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mitranjan\Desktop\Pension\PENSION\"/>
    </mc:Choice>
  </mc:AlternateContent>
  <workbookProtection workbookAlgorithmName="SHA-512" workbookHashValue="ifWaHPQLbk3Fb/3t1Gs2Q07BdgJ0rDkul/lTjaQSiODeTJ3IB+607a6XZz1h5Wz8Hz8DiksHKHuSWczllBnX2g==" workbookSaltValue="D+ykMJKbvqXa5+Fv5V+Lcw==" workbookSpinCount="100000" lockStructure="1"/>
  <bookViews>
    <workbookView xWindow="0" yWindow="0" windowWidth="20505" windowHeight="7155" tabRatio="796"/>
  </bookViews>
  <sheets>
    <sheet name="Annuity Calculator" sheetId="61" r:id="rId1"/>
    <sheet name="All Options" sheetId="1" state="veryHidden" r:id="rId2"/>
    <sheet name="Immediate Annuity" sheetId="65" state="veryHidden" r:id="rId3"/>
    <sheet name="SP-input" sheetId="56" state="veryHidden" r:id="rId4"/>
    <sheet name="Valid Data-SP" sheetId="58" state="veryHidden" r:id="rId5"/>
    <sheet name="Working-SP" sheetId="59" state="veryHidden" r:id="rId6"/>
    <sheet name="Sheet12" sheetId="60" state="veryHidden" r:id="rId7"/>
    <sheet name="Output" sheetId="20" state="veryHidden" r:id="rId8"/>
    <sheet name="SV calc_ignore" sheetId="45" state="veryHidden" r:id="rId9"/>
    <sheet name="Version control" sheetId="46" state="veryHidden" r:id="rId10"/>
    <sheet name="Valid Data-GPG" sheetId="22" state="veryHidden" r:id="rId11"/>
    <sheet name="Working-GPG" sheetId="9" state="veryHidden" r:id="rId12"/>
    <sheet name="Instructions_Annuity to Premium" sheetId="69" r:id="rId13"/>
    <sheet name="SP - Option A" sheetId="55" state="veryHidden" r:id="rId14"/>
    <sheet name="SP - Option B" sheetId="57" state="veryHidden" r:id="rId15"/>
    <sheet name="Def_RP_OptionA" sheetId="42" state="veryHidden" r:id="rId16"/>
    <sheet name="Def_RP_OptionB" sheetId="44" state="veryHidden" r:id="rId17"/>
    <sheet name="Def_SP_OptionA" sheetId="37" state="veryHidden" r:id="rId18"/>
    <sheet name="Def_SP_OptionB" sheetId="38" state="veryHidden" r:id="rId19"/>
    <sheet name="Def_SP_OptionF_JL" sheetId="39" state="veryHidden" r:id="rId20"/>
    <sheet name="Def_SP_OptionG" sheetId="40" state="veryHidden" r:id="rId21"/>
    <sheet name="Def_SP_OptionH" sheetId="41" state="veryHidden" r:id="rId22"/>
    <sheet name="Imm_OptionA" sheetId="25" state="veryHidden" r:id="rId23"/>
    <sheet name="Imm_OptionB" sheetId="26" state="veryHidden" r:id="rId24"/>
    <sheet name="SSV" sheetId="47" state="veryHidden" r:id="rId25"/>
    <sheet name="SSV methodology" sheetId="48" state="veryHidden" r:id="rId26"/>
    <sheet name="Imm_OptionC_G5" sheetId="27" state="veryHidden" r:id="rId27"/>
    <sheet name="Imm_OptionC_G10" sheetId="28" state="veryHidden" r:id="rId28"/>
    <sheet name="Imm_OptionC_G15" sheetId="29" state="veryHidden" r:id="rId29"/>
    <sheet name="Imm_OptionC_G20" sheetId="30" state="veryHidden" r:id="rId30"/>
    <sheet name="Imm_Option D - OS" sheetId="31" state="veryHidden" r:id="rId31"/>
    <sheet name="Imm_Option D - YS" sheetId="32" state="veryHidden" r:id="rId32"/>
    <sheet name="Imm_Option E" sheetId="33" state="veryHidden" r:id="rId33"/>
    <sheet name="Imm_Option F" sheetId="34" state="veryHidden" r:id="rId34"/>
    <sheet name="Imm_Option G" sheetId="35" state="veryHidden" r:id="rId35"/>
    <sheet name="Imm_Option H" sheetId="36" state="veryHidden" r:id="rId36"/>
  </sheets>
  <externalReferences>
    <externalReference r:id="rId37"/>
    <externalReference r:id="rId38"/>
    <externalReference r:id="rId39"/>
  </externalReferences>
  <definedNames>
    <definedName name="_xlnm._FilterDatabase" localSheetId="1" hidden="1">'All Options'!#REF!</definedName>
    <definedName name="_xlnm._FilterDatabase" localSheetId="23" hidden="1">Imm_OptionB!$B$6:$J$6</definedName>
    <definedName name="_xlnm._FilterDatabase" localSheetId="2" hidden="1">'Immediate Annuity'!#REF!</definedName>
    <definedName name="_xlnm._FilterDatabase" localSheetId="7" hidden="1">Output!$A$26:$EU$26</definedName>
    <definedName name="_xlnm._FilterDatabase" localSheetId="8" hidden="1">'SV calc_ignore'!$A$10:$R$1341</definedName>
    <definedName name="Age" localSheetId="2">'Immediate Annuity'!$E$14</definedName>
    <definedName name="Age">'All Options'!$E$14</definedName>
    <definedName name="Age_1" localSheetId="2">#REF!</definedName>
    <definedName name="Age_1">#REF!</definedName>
    <definedName name="Age_2">'SP-input'!$D$9</definedName>
    <definedName name="Annuity_Type">'Annuity Calculator'!$D$15</definedName>
    <definedName name="AnnuityMode" localSheetId="2">'Immediate Annuity'!$E$17</definedName>
    <definedName name="AnnuityMode">'All Options'!$E$17</definedName>
    <definedName name="AnnuityMode_1" localSheetId="2">#REF!</definedName>
    <definedName name="AnnuityMode_1">#REF!</definedName>
    <definedName name="AnnuityMode_2">'SP-input'!$D$11</definedName>
    <definedName name="AnnuityOption" localSheetId="2">'Immediate Annuity'!$E$15</definedName>
    <definedName name="AnnuityOption">'All Options'!$E$15</definedName>
    <definedName name="Channel" localSheetId="2">'Immediate Annuity'!$E$7</definedName>
    <definedName name="Channel">'All Options'!$E$7</definedName>
    <definedName name="Channel_1" localSheetId="2">#REF!</definedName>
    <definedName name="Channel_1">#REF!</definedName>
    <definedName name="Channel_2">'SP-input'!$D$7</definedName>
    <definedName name="DP" localSheetId="2">'Immediate Annuity'!$E$10</definedName>
    <definedName name="DP">'All Options'!$E$10</definedName>
    <definedName name="DP_1" localSheetId="2">[1]INPUT!#REF!</definedName>
    <definedName name="DP_1">[1]INPUT!#REF!</definedName>
    <definedName name="DP1_OptA_SP">Def_SP_OptionA!$B$4:$E$105</definedName>
    <definedName name="DP1_OptB_SP">Def_SP_OptionB!$B$4:$E$105</definedName>
    <definedName name="DP1_OptF_1">Def_SP_OptionF_JL!$B$6:$S$89</definedName>
    <definedName name="DP1_OptF_2">Def_SP_OptionF_JL!$U$6:$AL$89</definedName>
    <definedName name="DP1_OptF_3">Def_SP_OptionF_JL!$AN$6:$BE$89</definedName>
    <definedName name="DP1_OptG_SP">Def_SP_OptionG!$B$4:$E$105</definedName>
    <definedName name="DP1_OptH_SP">Def_SP_OptionH!$B$4:$E$105</definedName>
    <definedName name="DP10_OptA_RP_PPT10">Def_RP_OptionA!$B$550:$E$651</definedName>
    <definedName name="DP10_OptA_RP_PPT5">Def_RP_OptionA!$AZ$4:$BC$105</definedName>
    <definedName name="DP10_OptA_RP_PPT6">Def_RP_OptionA!$AP$112:$AS$213</definedName>
    <definedName name="DP10_OptA_RP_PPT7">Def_RP_OptionA!$AF$222:$AI$323</definedName>
    <definedName name="DP10_OptA_RP_PPT8">Def_RP_OptionA!$V$333:$Y$434</definedName>
    <definedName name="DP10_OptA_RP_PPT9">Def_RP_OptionA!$L$442:$O$543</definedName>
    <definedName name="DP10_OptA_SP">Def_SP_OptionA!$CN$4:$CQ$105</definedName>
    <definedName name="DP10_OptB_RP_PPT10">Def_RP_OptionB!$B$547:$E$648</definedName>
    <definedName name="DP10_OptB_RP_PPT5">Def_RP_OptionB!$AZ$4:$BC$105</definedName>
    <definedName name="DP10_OptB_RP_PPT6">Def_RP_OptionB!$AP$110:$AS$211</definedName>
    <definedName name="DP10_OptB_RP_PPT7">Def_RP_OptionB!$AF$219:$AI$320</definedName>
    <definedName name="DP10_OptB_RP_PPT8">Def_RP_OptionB!$V$327:$Y$428</definedName>
    <definedName name="DP10_OptB_RP_PPT9">Def_RP_OptionB!$L$436:$O$537</definedName>
    <definedName name="DP10_OptB_SP">Def_SP_OptionB!$CQ$4:$CT$105</definedName>
    <definedName name="DP10_OptF_1">Def_SP_OptionF_JL!$B$814:$S$897</definedName>
    <definedName name="DP10_OptF_2">Def_SP_OptionF_JL!$U$814:$AL$897</definedName>
    <definedName name="DP10_OptF_3">Def_SP_OptionF_JL!$AN$814:$BE$897</definedName>
    <definedName name="DP10_OptG_SP">Def_SP_OptionG!$CN$4:$CQ$105</definedName>
    <definedName name="DP10_OptH_SP">Def_SP_OptionH!$CN$4:$CQ$105</definedName>
    <definedName name="DP2_OptA_SP">Def_SP_OptionA!$L$4:$O$105</definedName>
    <definedName name="DP2_OptB_SP">Def_SP_OptionB!$M$4:$P$105</definedName>
    <definedName name="DP2_OptF_1">Def_SP_OptionF_JL!$B$96:$S$179</definedName>
    <definedName name="DP2_OptF_2">Def_SP_OptionF_JL!$U$96:$AL$179</definedName>
    <definedName name="DP2_OptF_3">Def_SP_OptionF_JL!$AN$96:$BE$179</definedName>
    <definedName name="DP2_OptG_SP">Def_SP_OptionG!$L$4:$O$105</definedName>
    <definedName name="DP2_OptH_SP">Def_SP_OptionH!$L$4:$O$105</definedName>
    <definedName name="DP3_OptA_SP">Def_SP_OptionA!$V$4:$Y$105</definedName>
    <definedName name="DP3_OptB_SP">Def_SP_OptionB!$X$4:$AA$105</definedName>
    <definedName name="DP3_OptF_1">Def_SP_OptionF_JL!$B$185:$S$268</definedName>
    <definedName name="DP3_OptF_2">Def_SP_OptionF_JL!$U$185:$AL$268</definedName>
    <definedName name="DP3_OptF_3">Def_SP_OptionF_JL!$AN$185:$BE$268</definedName>
    <definedName name="DP3_OptG_SP">Def_SP_OptionG!$V$4:$Y$105</definedName>
    <definedName name="DP3_OptH_SP">Def_SP_OptionH!$V$4:$Y$105</definedName>
    <definedName name="DP4_OptA_SP">Def_SP_OptionA!$AF$4:$AI$105</definedName>
    <definedName name="DP4_OptB_SP">Def_SP_OptionB!$AI$4:$AL$105</definedName>
    <definedName name="DP4_OptF_1">Def_SP_OptionF_JL!$B$274:$S$357</definedName>
    <definedName name="DP4_OptF_2">Def_SP_OptionF_JL!$U$274:$AL$357</definedName>
    <definedName name="DP4_OptF_3">Def_SP_OptionF_JL!$AN$274:$BE$357</definedName>
    <definedName name="DP4_OptG_SP">Def_SP_OptionG!$AF$4:$AI$105</definedName>
    <definedName name="DP4_OptH_SP">Def_SP_OptionH!$AF$4:$AI$105</definedName>
    <definedName name="DP5_OptA_RP_PPT5">Def_RP_OptionA!$B$4:$E$105</definedName>
    <definedName name="DP5_OptA_SP">Def_SP_OptionA!$AP$4:$AS$105</definedName>
    <definedName name="DP5_OptB_RP_PPT5">Def_RP_OptionB!$B$4:$E$105</definedName>
    <definedName name="DP5_OptB_SP">Def_SP_OptionB!$AS$4:$AV$105</definedName>
    <definedName name="DP5_OptF_1">Def_SP_OptionF_JL!$B$364:$S$447</definedName>
    <definedName name="DP5_OptF_2">Def_SP_OptionF_JL!$U$364:$AL$447</definedName>
    <definedName name="DP5_OptF_3">Def_SP_OptionF_JL!$AN$364:$BE$447</definedName>
    <definedName name="DP5_OptG_SP">Def_SP_OptionG!$AP$4:$AS$105</definedName>
    <definedName name="DP5_OptH_SP">Def_SP_OptionH!$AP$4:$AS$105</definedName>
    <definedName name="DP6_OptA_RP_PPT5">Def_RP_OptionA!$L$4:$O$105</definedName>
    <definedName name="DP6_OptA_RP_PPT6">Def_RP_OptionA!$B$112:$E$213</definedName>
    <definedName name="DP6_OptA_SP">Def_SP_OptionA!$AZ$4:$BC$105</definedName>
    <definedName name="DP6_OptB_RP_PPT5">Def_RP_OptionB!$L$4:$O$105</definedName>
    <definedName name="DP6_OptB_RP_PPT6">Def_RP_OptionB!$B$110:$E$211</definedName>
    <definedName name="DP6_OptB_SP">Def_SP_OptionB!$BC$4:$BF$105</definedName>
    <definedName name="DP6_OptF_1">Def_SP_OptionF_JL!$B$454:$S$537</definedName>
    <definedName name="DP6_OptF_2">Def_SP_OptionF_JL!$U$454:$AL$537</definedName>
    <definedName name="DP6_OptF_3">Def_SP_OptionF_JL!$AN$454:$BE$537</definedName>
    <definedName name="DP6_OptG_SP">Def_SP_OptionG!$AZ$4:$BC$105</definedName>
    <definedName name="DP6_OptH_SP">Def_SP_OptionH!$AZ$4:$BC$105</definedName>
    <definedName name="DP7_OptA_RP_PPT5">Def_RP_OptionA!$V$4:$Y$105</definedName>
    <definedName name="DP7_OptA_RP_PPT6">Def_RP_OptionA!$L$112:$O$213</definedName>
    <definedName name="DP7_OptA_RP_PPT7">Def_RP_OptionA!$B$222:$E$323</definedName>
    <definedName name="DP7_OptA_SP">Def_SP_OptionA!$BJ$4:$BM$105</definedName>
    <definedName name="DP7_OptB_RP_PPT5">Def_RP_OptionB!$V$4:$Y$105</definedName>
    <definedName name="DP7_OptB_RP_PPT6">Def_RP_OptionB!$L$110:$O$211</definedName>
    <definedName name="DP7_OptB_RP_PPT7">Def_RP_OptionB!$B$219:$E$320</definedName>
    <definedName name="DP7_OptB_SP">Def_SP_OptionB!$BM$4:$BP$105</definedName>
    <definedName name="DP7_OptF_1">Def_SP_OptionF_JL!$B$544:$S$627</definedName>
    <definedName name="DP7_OptF_2">Def_SP_OptionF_JL!$U$544:$AL$627</definedName>
    <definedName name="DP7_OptF_3">Def_SP_OptionF_JL!$AN$544:$BE$627</definedName>
    <definedName name="DP7_OptG_SP">Def_SP_OptionG!$BJ$4:$BM$105</definedName>
    <definedName name="DP7_OptH_SP">Def_SP_OptionH!$BJ$4:$BM$105</definedName>
    <definedName name="DP8_OptA_RP_PPT5">Def_RP_OptionA!$AF$4:$AI$105</definedName>
    <definedName name="DP8_OptA_RP_PPT6">Def_RP_OptionA!$V$112:$Y$213</definedName>
    <definedName name="DP8_OptA_RP_PPT7">Def_RP_OptionA!$L$222:$O$323</definedName>
    <definedName name="DP8_OptA_RP_PPT8">Def_RP_OptionA!$B$333:$E$434</definedName>
    <definedName name="DP8_OptA_SP">Def_SP_OptionA!$BT$4:$BW$105</definedName>
    <definedName name="DP8_OptB_RP_PPT5">Def_RP_OptionB!$AF$4:$AI$105</definedName>
    <definedName name="DP8_OptB_RP_PPT6">Def_RP_OptionB!$V$110:$Y$211</definedName>
    <definedName name="DP8_OptB_RP_PPT7">Def_RP_OptionB!$L$219:$O$320</definedName>
    <definedName name="DP8_OptB_RP_PPT8">Def_RP_OptionB!$B$327:$E$428</definedName>
    <definedName name="DP8_OptB_SP">Def_SP_OptionB!$BW$4:$BZ$105</definedName>
    <definedName name="DP8_OptF_1">Def_SP_OptionF_JL!$B$634:$S$717</definedName>
    <definedName name="DP8_OptF_2">Def_SP_OptionF_JL!$U$634:$AL$717</definedName>
    <definedName name="DP8_OptF_3">Def_SP_OptionF_JL!$AN$634:$BE$717</definedName>
    <definedName name="DP8_OptG_SP">Def_SP_OptionG!$BT$4:$BW$105</definedName>
    <definedName name="DP8_OptH_SP">Def_SP_OptionH!$BT$4:$BW$105</definedName>
    <definedName name="DP9_OptA_RP_PPT5">Def_RP_OptionA!$AP$4:$AS$105</definedName>
    <definedName name="DP9_OptA_RP_PPT6">Def_RP_OptionA!$AF$112:$AI$213</definedName>
    <definedName name="DP9_OptA_RP_PPT7">Def_RP_OptionA!$V$222:$Y$323</definedName>
    <definedName name="DP9_OptA_RP_PPT8">Def_RP_OptionA!$L$333:$O$434</definedName>
    <definedName name="DP9_OptA_RP_PPT9">Def_RP_OptionA!$B$442:$E$543</definedName>
    <definedName name="DP9_OptA_SP">Def_SP_OptionA!$CD$4:$CG$105</definedName>
    <definedName name="DP9_OptB_RP_PPT5">Def_RP_OptionB!$AP$4:$AS$105</definedName>
    <definedName name="DP9_OptB_RP_PPT6">Def_RP_OptionB!$AF$110:$AI$211</definedName>
    <definedName name="DP9_OptB_RP_PPT7">Def_RP_OptionB!$V$219:$Y$320</definedName>
    <definedName name="DP9_OptB_RP_PPT8">Def_RP_OptionB!$L$327:$O$428</definedName>
    <definedName name="DP9_OptB_RP_PPT9">Def_RP_OptionB!$B$436:$E$537</definedName>
    <definedName name="DP9_OptB_SP">Def_SP_OptionB!$CG$4:$CJ$105</definedName>
    <definedName name="DP9_OptF_1">Def_SP_OptionF_JL!$B$724:$S$807</definedName>
    <definedName name="DP9_OptF_2">Def_SP_OptionF_JL!$U$724:$AL$807</definedName>
    <definedName name="DP9_OptF_3">Def_SP_OptionF_JL!$AN$724:$BE$807</definedName>
    <definedName name="DP9_OptG_SP">Def_SP_OptionG!$CD$4:$CG$105</definedName>
    <definedName name="DP9_OptH_SP">Def_SP_OptionH!$CD$4:$CG$105</definedName>
    <definedName name="Group_prem_list">'Valid Data-GPG'!$A$168:$A$169</definedName>
    <definedName name="Imm_Ann_Table" localSheetId="2">'Immediate Annuity'!$C$36:$H$47</definedName>
    <definedName name="Imm_Ann_Table">'All Options'!$C$36:$H$47</definedName>
    <definedName name="JLL100_1">'Imm_Option E'!$B$6:$U$89</definedName>
    <definedName name="JLL100_2">'Imm_Option E'!$W$6:$AP$89</definedName>
    <definedName name="JLL100_3">'Imm_Option E'!$AR$6:$BK$89</definedName>
    <definedName name="JLL100_4" localSheetId="2">#REF!</definedName>
    <definedName name="JLL100_4">#REF!</definedName>
    <definedName name="JLL100_5" localSheetId="2">#REF!</definedName>
    <definedName name="JLL100_5">#REF!</definedName>
    <definedName name="JLL100_6" localSheetId="2">#REF!</definedName>
    <definedName name="JLL100_6">#REF!</definedName>
    <definedName name="JLL50_OS_1">'Imm_Option D - OS'!$B$6:$U$89</definedName>
    <definedName name="JLL50_OS_2">'Imm_Option D - OS'!$W$6:$AP$89</definedName>
    <definedName name="JLL50_OS_3">'Imm_Option D - OS'!$AR$6:$BK$89</definedName>
    <definedName name="JLL50_OS_4" localSheetId="2">#REF!</definedName>
    <definedName name="JLL50_OS_4">#REF!</definedName>
    <definedName name="JLL50_OS_5" localSheetId="2">#REF!</definedName>
    <definedName name="JLL50_OS_5">#REF!</definedName>
    <definedName name="JLL50_OS_6" localSheetId="2">#REF!</definedName>
    <definedName name="JLL50_OS_6">#REF!</definedName>
    <definedName name="JLL50_YS_1">'Imm_Option D - YS'!$B$6:$U$89</definedName>
    <definedName name="JLL50_YS_2">'Imm_Option D - YS'!$W$6:$AP$89</definedName>
    <definedName name="JLL50_YS_3">'Imm_Option D - YS'!$AR$6:$BK$89</definedName>
    <definedName name="JLL50_YS_4" localSheetId="2">#REF!</definedName>
    <definedName name="JLL50_YS_4">#REF!</definedName>
    <definedName name="JLL50_YS_5" localSheetId="2">#REF!</definedName>
    <definedName name="JLL50_YS_5">#REF!</definedName>
    <definedName name="JLL50_YS_6" localSheetId="2">#REF!</definedName>
    <definedName name="JLL50_YS_6">#REF!</definedName>
    <definedName name="JLLROC_1">'Imm_Option F'!$B$6:$U$89</definedName>
    <definedName name="JLLROC_2">'Imm_Option F'!$W$6:$AP$89</definedName>
    <definedName name="JLLROC_3">'Imm_Option F'!$AR$6:$BK$89</definedName>
    <definedName name="JLLROC_4" localSheetId="2">#REF!</definedName>
    <definedName name="JLLROC_4">#REF!</definedName>
    <definedName name="JLLROC_5">'SP - Option B'!$B$6:$S$47</definedName>
    <definedName name="JLLROC_6">'SP - Option B'!$U$6:$AL$47</definedName>
    <definedName name="JLLROC_7">'SP - Option B'!$AN$6:$BE$47</definedName>
    <definedName name="JLLROC_8">'SP - Option B'!$BG$6:$BX$47</definedName>
    <definedName name="JLLROC_9">'SP - Option B'!$BZ$6:$CQ$47</definedName>
    <definedName name="Mode">[2]Input!$C$22</definedName>
    <definedName name="NPS_prem_list">'Valid Data-GPG'!#REF!</definedName>
    <definedName name="PPT" localSheetId="2">'Immediate Annuity'!$E$12</definedName>
    <definedName name="PPT">'All Options'!$E$12</definedName>
    <definedName name="Pr">[2]Input!$C$23</definedName>
    <definedName name="Premium_Type">'Annuity Calculator'!$D$13</definedName>
    <definedName name="PremiumType" localSheetId="2">'Immediate Annuity'!$E$11</definedName>
    <definedName name="PremiumType">'All Options'!$E$11</definedName>
    <definedName name="_xlnm.Print_Area" localSheetId="7">Output!$A$1:$I$191</definedName>
    <definedName name="PurchasePrice">'Annuity Calculator'!$D$17</definedName>
    <definedName name="RP_Def_Ann_Table" localSheetId="2">'Immediate Annuity'!$C$61:$H$62</definedName>
    <definedName name="RP_Def_Ann_Table">'All Options'!$C$61:$H$62</definedName>
    <definedName name="Select" localSheetId="2">'Immediate Annuity'!$E$9</definedName>
    <definedName name="Select">'All Options'!$E$9</definedName>
    <definedName name="Select_1">'Annuity Calculator'!$D$15</definedName>
    <definedName name="SP_Def_Ann_Table" localSheetId="2">'Immediate Annuity'!$C$52:$H$56</definedName>
    <definedName name="SP_Def_Ann_Table">'All Options'!$C$52:$H$56</definedName>
  </definedNames>
  <calcPr calcId="152511"/>
</workbook>
</file>

<file path=xl/calcChain.xml><?xml version="1.0" encoding="utf-8"?>
<calcChain xmlns="http://schemas.openxmlformats.org/spreadsheetml/2006/main">
  <c r="D12" i="56" l="1"/>
  <c r="B10" i="22" l="1"/>
  <c r="B7" i="22"/>
  <c r="B2" i="36" l="1"/>
  <c r="D2" i="36" s="1"/>
  <c r="B2" i="35"/>
  <c r="D2" i="35" s="1"/>
  <c r="B5" i="34"/>
  <c r="C4" i="34" s="1"/>
  <c r="B5" i="33"/>
  <c r="C4" i="33" s="1"/>
  <c r="B5" i="32"/>
  <c r="B3" i="32" s="1"/>
  <c r="B5" i="31"/>
  <c r="C4" i="31" s="1"/>
  <c r="B2" i="30"/>
  <c r="D2" i="30" s="1"/>
  <c r="B2" i="29"/>
  <c r="D2" i="29" s="1"/>
  <c r="B2" i="28"/>
  <c r="D2" i="28" s="1"/>
  <c r="B2" i="27"/>
  <c r="D2" i="27" s="1"/>
  <c r="B4" i="26"/>
  <c r="D4" i="26" s="1"/>
  <c r="B2" i="25"/>
  <c r="D2" i="25" s="1"/>
  <c r="C17" i="61" l="1"/>
  <c r="C19" i="61" l="1"/>
  <c r="H20" i="61" l="1"/>
  <c r="W15" i="47" l="1"/>
  <c r="W14" i="47"/>
  <c r="W13" i="47"/>
  <c r="W12" i="47"/>
  <c r="W11" i="47"/>
  <c r="W10" i="47"/>
  <c r="W9" i="47"/>
  <c r="W8" i="47"/>
  <c r="W7" i="47"/>
  <c r="XES20" i="9"/>
  <c r="XEO20" i="9"/>
  <c r="XEH20" i="9"/>
  <c r="XEE20" i="9"/>
  <c r="XES19" i="9"/>
  <c r="XEO19" i="9"/>
  <c r="XEH19" i="9"/>
  <c r="XEE19" i="9"/>
  <c r="XES18" i="9"/>
  <c r="XEO18" i="9"/>
  <c r="XEH18" i="9"/>
  <c r="XEE18" i="9"/>
  <c r="XES17" i="9"/>
  <c r="XEO17" i="9"/>
  <c r="XEH17" i="9"/>
  <c r="XEE17" i="9"/>
  <c r="XES16" i="9"/>
  <c r="XEO16" i="9"/>
  <c r="XEH16" i="9"/>
  <c r="XEE16" i="9"/>
  <c r="XES15" i="9"/>
  <c r="XEO15" i="9"/>
  <c r="XEH15" i="9"/>
  <c r="XEE15" i="9"/>
  <c r="XES14" i="9"/>
  <c r="XEO14" i="9"/>
  <c r="XEH14" i="9"/>
  <c r="XEE14" i="9"/>
  <c r="XES13" i="9"/>
  <c r="XEO13" i="9"/>
  <c r="XEH13" i="9"/>
  <c r="XEE13" i="9"/>
  <c r="XES12" i="9"/>
  <c r="XEO12" i="9"/>
  <c r="XEH12" i="9"/>
  <c r="XEE12" i="9"/>
  <c r="XES11" i="9"/>
  <c r="XEO11" i="9"/>
  <c r="XEH11" i="9"/>
  <c r="XEE11" i="9"/>
  <c r="G131" i="22"/>
  <c r="E101" i="22"/>
  <c r="E100" i="22"/>
  <c r="E99" i="22"/>
  <c r="H95" i="22"/>
  <c r="H94" i="22"/>
  <c r="H93" i="22"/>
  <c r="H92" i="22"/>
  <c r="B87" i="22"/>
  <c r="B86" i="22"/>
  <c r="F15" i="22"/>
  <c r="F14" i="22"/>
  <c r="X1341" i="45"/>
  <c r="P1341" i="45"/>
  <c r="L1341" i="45"/>
  <c r="F1341" i="45"/>
  <c r="E1341" i="45"/>
  <c r="D1341" i="45"/>
  <c r="B1341" i="45"/>
  <c r="A1341" i="45"/>
  <c r="X1340" i="45"/>
  <c r="F1340" i="45"/>
  <c r="E1340" i="45"/>
  <c r="D1340" i="45"/>
  <c r="B1340" i="45"/>
  <c r="A1340" i="45"/>
  <c r="X1339" i="45"/>
  <c r="F1339" i="45"/>
  <c r="E1339" i="45"/>
  <c r="D1339" i="45"/>
  <c r="B1339" i="45"/>
  <c r="A1339" i="45"/>
  <c r="X1338" i="45"/>
  <c r="F1338" i="45"/>
  <c r="E1338" i="45"/>
  <c r="D1338" i="45"/>
  <c r="B1338" i="45"/>
  <c r="A1338" i="45"/>
  <c r="X1337" i="45"/>
  <c r="F1337" i="45"/>
  <c r="E1337" i="45"/>
  <c r="D1337" i="45"/>
  <c r="B1337" i="45"/>
  <c r="A1337" i="45"/>
  <c r="X1336" i="45"/>
  <c r="F1336" i="45"/>
  <c r="E1336" i="45"/>
  <c r="D1336" i="45"/>
  <c r="B1336" i="45"/>
  <c r="A1336" i="45"/>
  <c r="X1335" i="45"/>
  <c r="F1335" i="45"/>
  <c r="E1335" i="45"/>
  <c r="D1335" i="45"/>
  <c r="B1335" i="45"/>
  <c r="A1335" i="45"/>
  <c r="X1334" i="45"/>
  <c r="F1334" i="45"/>
  <c r="E1334" i="45"/>
  <c r="D1334" i="45"/>
  <c r="B1334" i="45"/>
  <c r="A1334" i="45"/>
  <c r="X1333" i="45"/>
  <c r="F1333" i="45"/>
  <c r="E1333" i="45"/>
  <c r="D1333" i="45"/>
  <c r="B1333" i="45"/>
  <c r="A1333" i="45"/>
  <c r="X1332" i="45"/>
  <c r="F1332" i="45"/>
  <c r="E1332" i="45"/>
  <c r="D1332" i="45"/>
  <c r="B1332" i="45"/>
  <c r="A1332" i="45"/>
  <c r="X1331" i="45"/>
  <c r="F1331" i="45"/>
  <c r="E1331" i="45"/>
  <c r="D1331" i="45"/>
  <c r="B1331" i="45"/>
  <c r="A1331" i="45"/>
  <c r="X1330" i="45"/>
  <c r="F1330" i="45"/>
  <c r="E1330" i="45"/>
  <c r="D1330" i="45"/>
  <c r="B1330" i="45"/>
  <c r="A1330" i="45"/>
  <c r="X1329" i="45"/>
  <c r="F1329" i="45"/>
  <c r="E1329" i="45"/>
  <c r="D1329" i="45"/>
  <c r="B1329" i="45"/>
  <c r="A1329" i="45"/>
  <c r="X1328" i="45"/>
  <c r="F1328" i="45"/>
  <c r="E1328" i="45"/>
  <c r="D1328" i="45"/>
  <c r="B1328" i="45"/>
  <c r="A1328" i="45"/>
  <c r="X1327" i="45"/>
  <c r="F1327" i="45"/>
  <c r="E1327" i="45"/>
  <c r="D1327" i="45"/>
  <c r="B1327" i="45"/>
  <c r="A1327" i="45"/>
  <c r="X1326" i="45"/>
  <c r="F1326" i="45"/>
  <c r="E1326" i="45"/>
  <c r="D1326" i="45"/>
  <c r="B1326" i="45"/>
  <c r="A1326" i="45"/>
  <c r="X1325" i="45"/>
  <c r="F1325" i="45"/>
  <c r="E1325" i="45"/>
  <c r="D1325" i="45"/>
  <c r="B1325" i="45"/>
  <c r="A1325" i="45"/>
  <c r="X1324" i="45"/>
  <c r="F1324" i="45"/>
  <c r="E1324" i="45"/>
  <c r="D1324" i="45"/>
  <c r="B1324" i="45"/>
  <c r="A1324" i="45"/>
  <c r="X1323" i="45"/>
  <c r="F1323" i="45"/>
  <c r="E1323" i="45"/>
  <c r="D1323" i="45"/>
  <c r="B1323" i="45"/>
  <c r="A1323" i="45"/>
  <c r="X1322" i="45"/>
  <c r="F1322" i="45"/>
  <c r="E1322" i="45"/>
  <c r="D1322" i="45"/>
  <c r="B1322" i="45"/>
  <c r="A1322" i="45"/>
  <c r="X1321" i="45"/>
  <c r="F1321" i="45"/>
  <c r="E1321" i="45"/>
  <c r="D1321" i="45"/>
  <c r="B1321" i="45"/>
  <c r="A1321" i="45"/>
  <c r="X1320" i="45"/>
  <c r="F1320" i="45"/>
  <c r="E1320" i="45"/>
  <c r="D1320" i="45"/>
  <c r="B1320" i="45"/>
  <c r="A1320" i="45"/>
  <c r="X1319" i="45"/>
  <c r="F1319" i="45"/>
  <c r="E1319" i="45"/>
  <c r="D1319" i="45"/>
  <c r="B1319" i="45"/>
  <c r="A1319" i="45"/>
  <c r="X1318" i="45"/>
  <c r="F1318" i="45"/>
  <c r="E1318" i="45"/>
  <c r="D1318" i="45"/>
  <c r="B1318" i="45"/>
  <c r="A1318" i="45"/>
  <c r="X1317" i="45"/>
  <c r="F1317" i="45"/>
  <c r="E1317" i="45"/>
  <c r="D1317" i="45"/>
  <c r="B1317" i="45"/>
  <c r="A1317" i="45"/>
  <c r="X1316" i="45"/>
  <c r="F1316" i="45"/>
  <c r="E1316" i="45"/>
  <c r="D1316" i="45"/>
  <c r="B1316" i="45"/>
  <c r="A1316" i="45"/>
  <c r="X1315" i="45"/>
  <c r="F1315" i="45"/>
  <c r="E1315" i="45"/>
  <c r="D1315" i="45"/>
  <c r="B1315" i="45"/>
  <c r="A1315" i="45"/>
  <c r="X1314" i="45"/>
  <c r="F1314" i="45"/>
  <c r="E1314" i="45"/>
  <c r="D1314" i="45"/>
  <c r="B1314" i="45"/>
  <c r="A1314" i="45"/>
  <c r="X1313" i="45"/>
  <c r="F1313" i="45"/>
  <c r="E1313" i="45"/>
  <c r="D1313" i="45"/>
  <c r="B1313" i="45"/>
  <c r="A1313" i="45"/>
  <c r="X1312" i="45"/>
  <c r="F1312" i="45"/>
  <c r="E1312" i="45"/>
  <c r="D1312" i="45"/>
  <c r="B1312" i="45"/>
  <c r="A1312" i="45"/>
  <c r="X1311" i="45"/>
  <c r="F1311" i="45"/>
  <c r="E1311" i="45"/>
  <c r="D1311" i="45"/>
  <c r="B1311" i="45"/>
  <c r="A1311" i="45"/>
  <c r="X1310" i="45"/>
  <c r="F1310" i="45"/>
  <c r="E1310" i="45"/>
  <c r="D1310" i="45"/>
  <c r="B1310" i="45"/>
  <c r="A1310" i="45"/>
  <c r="X1309" i="45"/>
  <c r="F1309" i="45"/>
  <c r="E1309" i="45"/>
  <c r="D1309" i="45"/>
  <c r="B1309" i="45"/>
  <c r="A1309" i="45"/>
  <c r="X1308" i="45"/>
  <c r="F1308" i="45"/>
  <c r="E1308" i="45"/>
  <c r="D1308" i="45"/>
  <c r="B1308" i="45"/>
  <c r="A1308" i="45"/>
  <c r="X1307" i="45"/>
  <c r="F1307" i="45"/>
  <c r="E1307" i="45"/>
  <c r="D1307" i="45"/>
  <c r="B1307" i="45"/>
  <c r="A1307" i="45"/>
  <c r="X1306" i="45"/>
  <c r="F1306" i="45"/>
  <c r="E1306" i="45"/>
  <c r="D1306" i="45"/>
  <c r="B1306" i="45"/>
  <c r="A1306" i="45"/>
  <c r="X1305" i="45"/>
  <c r="F1305" i="45"/>
  <c r="E1305" i="45"/>
  <c r="D1305" i="45"/>
  <c r="B1305" i="45"/>
  <c r="A1305" i="45"/>
  <c r="X1304" i="45"/>
  <c r="F1304" i="45"/>
  <c r="E1304" i="45"/>
  <c r="D1304" i="45"/>
  <c r="B1304" i="45"/>
  <c r="A1304" i="45"/>
  <c r="X1303" i="45"/>
  <c r="F1303" i="45"/>
  <c r="E1303" i="45"/>
  <c r="D1303" i="45"/>
  <c r="B1303" i="45"/>
  <c r="A1303" i="45"/>
  <c r="X1302" i="45"/>
  <c r="F1302" i="45"/>
  <c r="E1302" i="45"/>
  <c r="D1302" i="45"/>
  <c r="B1302" i="45"/>
  <c r="A1302" i="45"/>
  <c r="X1301" i="45"/>
  <c r="F1301" i="45"/>
  <c r="E1301" i="45"/>
  <c r="D1301" i="45"/>
  <c r="B1301" i="45"/>
  <c r="A1301" i="45"/>
  <c r="X1300" i="45"/>
  <c r="F1300" i="45"/>
  <c r="E1300" i="45"/>
  <c r="D1300" i="45"/>
  <c r="B1300" i="45"/>
  <c r="A1300" i="45"/>
  <c r="X1299" i="45"/>
  <c r="F1299" i="45"/>
  <c r="E1299" i="45"/>
  <c r="D1299" i="45"/>
  <c r="B1299" i="45"/>
  <c r="A1299" i="45"/>
  <c r="X1298" i="45"/>
  <c r="F1298" i="45"/>
  <c r="E1298" i="45"/>
  <c r="D1298" i="45"/>
  <c r="B1298" i="45"/>
  <c r="A1298" i="45"/>
  <c r="X1297" i="45"/>
  <c r="F1297" i="45"/>
  <c r="E1297" i="45"/>
  <c r="D1297" i="45"/>
  <c r="B1297" i="45"/>
  <c r="A1297" i="45"/>
  <c r="X1296" i="45"/>
  <c r="F1296" i="45"/>
  <c r="E1296" i="45"/>
  <c r="D1296" i="45"/>
  <c r="B1296" i="45"/>
  <c r="A1296" i="45"/>
  <c r="X1295" i="45"/>
  <c r="F1295" i="45"/>
  <c r="E1295" i="45"/>
  <c r="D1295" i="45"/>
  <c r="B1295" i="45"/>
  <c r="A1295" i="45"/>
  <c r="X1294" i="45"/>
  <c r="F1294" i="45"/>
  <c r="E1294" i="45"/>
  <c r="D1294" i="45"/>
  <c r="B1294" i="45"/>
  <c r="A1294" i="45"/>
  <c r="X1293" i="45"/>
  <c r="F1293" i="45"/>
  <c r="E1293" i="45"/>
  <c r="D1293" i="45"/>
  <c r="B1293" i="45"/>
  <c r="A1293" i="45"/>
  <c r="X1292" i="45"/>
  <c r="F1292" i="45"/>
  <c r="E1292" i="45"/>
  <c r="D1292" i="45"/>
  <c r="B1292" i="45"/>
  <c r="A1292" i="45"/>
  <c r="X1291" i="45"/>
  <c r="F1291" i="45"/>
  <c r="E1291" i="45"/>
  <c r="D1291" i="45"/>
  <c r="B1291" i="45"/>
  <c r="A1291" i="45"/>
  <c r="X1290" i="45"/>
  <c r="F1290" i="45"/>
  <c r="E1290" i="45"/>
  <c r="D1290" i="45"/>
  <c r="B1290" i="45"/>
  <c r="A1290" i="45"/>
  <c r="X1289" i="45"/>
  <c r="F1289" i="45"/>
  <c r="E1289" i="45"/>
  <c r="D1289" i="45"/>
  <c r="B1289" i="45"/>
  <c r="A1289" i="45"/>
  <c r="X1288" i="45"/>
  <c r="F1288" i="45"/>
  <c r="E1288" i="45"/>
  <c r="D1288" i="45"/>
  <c r="B1288" i="45"/>
  <c r="A1288" i="45"/>
  <c r="X1287" i="45"/>
  <c r="F1287" i="45"/>
  <c r="E1287" i="45"/>
  <c r="D1287" i="45"/>
  <c r="B1287" i="45"/>
  <c r="A1287" i="45"/>
  <c r="X1286" i="45"/>
  <c r="F1286" i="45"/>
  <c r="E1286" i="45"/>
  <c r="D1286" i="45"/>
  <c r="B1286" i="45"/>
  <c r="A1286" i="45"/>
  <c r="X1285" i="45"/>
  <c r="F1285" i="45"/>
  <c r="E1285" i="45"/>
  <c r="D1285" i="45"/>
  <c r="B1285" i="45"/>
  <c r="A1285" i="45"/>
  <c r="X1284" i="45"/>
  <c r="F1284" i="45"/>
  <c r="E1284" i="45"/>
  <c r="D1284" i="45"/>
  <c r="B1284" i="45"/>
  <c r="A1284" i="45"/>
  <c r="X1283" i="45"/>
  <c r="F1283" i="45"/>
  <c r="E1283" i="45"/>
  <c r="D1283" i="45"/>
  <c r="B1283" i="45"/>
  <c r="A1283" i="45"/>
  <c r="X1282" i="45"/>
  <c r="F1282" i="45"/>
  <c r="E1282" i="45"/>
  <c r="D1282" i="45"/>
  <c r="B1282" i="45"/>
  <c r="A1282" i="45"/>
  <c r="X1281" i="45"/>
  <c r="F1281" i="45"/>
  <c r="E1281" i="45"/>
  <c r="D1281" i="45"/>
  <c r="B1281" i="45"/>
  <c r="A1281" i="45"/>
  <c r="X1280" i="45"/>
  <c r="F1280" i="45"/>
  <c r="E1280" i="45"/>
  <c r="D1280" i="45"/>
  <c r="B1280" i="45"/>
  <c r="A1280" i="45"/>
  <c r="X1279" i="45"/>
  <c r="F1279" i="45"/>
  <c r="E1279" i="45"/>
  <c r="D1279" i="45"/>
  <c r="B1279" i="45"/>
  <c r="A1279" i="45"/>
  <c r="X1278" i="45"/>
  <c r="F1278" i="45"/>
  <c r="E1278" i="45"/>
  <c r="D1278" i="45"/>
  <c r="B1278" i="45"/>
  <c r="A1278" i="45"/>
  <c r="X1277" i="45"/>
  <c r="F1277" i="45"/>
  <c r="E1277" i="45"/>
  <c r="D1277" i="45"/>
  <c r="B1277" i="45"/>
  <c r="A1277" i="45"/>
  <c r="X1276" i="45"/>
  <c r="F1276" i="45"/>
  <c r="E1276" i="45"/>
  <c r="D1276" i="45"/>
  <c r="B1276" i="45"/>
  <c r="A1276" i="45"/>
  <c r="X1275" i="45"/>
  <c r="F1275" i="45"/>
  <c r="E1275" i="45"/>
  <c r="D1275" i="45"/>
  <c r="B1275" i="45"/>
  <c r="A1275" i="45"/>
  <c r="X1274" i="45"/>
  <c r="F1274" i="45"/>
  <c r="E1274" i="45"/>
  <c r="D1274" i="45"/>
  <c r="B1274" i="45"/>
  <c r="A1274" i="45"/>
  <c r="X1273" i="45"/>
  <c r="F1273" i="45"/>
  <c r="E1273" i="45"/>
  <c r="D1273" i="45"/>
  <c r="B1273" i="45"/>
  <c r="A1273" i="45"/>
  <c r="X1272" i="45"/>
  <c r="F1272" i="45"/>
  <c r="E1272" i="45"/>
  <c r="D1272" i="45"/>
  <c r="B1272" i="45"/>
  <c r="A1272" i="45"/>
  <c r="X1271" i="45"/>
  <c r="F1271" i="45"/>
  <c r="E1271" i="45"/>
  <c r="D1271" i="45"/>
  <c r="B1271" i="45"/>
  <c r="A1271" i="45"/>
  <c r="X1270" i="45"/>
  <c r="F1270" i="45"/>
  <c r="E1270" i="45"/>
  <c r="D1270" i="45"/>
  <c r="B1270" i="45"/>
  <c r="A1270" i="45"/>
  <c r="X1269" i="45"/>
  <c r="F1269" i="45"/>
  <c r="E1269" i="45"/>
  <c r="D1269" i="45"/>
  <c r="B1269" i="45"/>
  <c r="A1269" i="45"/>
  <c r="X1268" i="45"/>
  <c r="F1268" i="45"/>
  <c r="E1268" i="45"/>
  <c r="D1268" i="45"/>
  <c r="B1268" i="45"/>
  <c r="A1268" i="45"/>
  <c r="X1267" i="45"/>
  <c r="F1267" i="45"/>
  <c r="E1267" i="45"/>
  <c r="D1267" i="45"/>
  <c r="B1267" i="45"/>
  <c r="A1267" i="45"/>
  <c r="X1266" i="45"/>
  <c r="F1266" i="45"/>
  <c r="E1266" i="45"/>
  <c r="D1266" i="45"/>
  <c r="B1266" i="45"/>
  <c r="A1266" i="45"/>
  <c r="X1265" i="45"/>
  <c r="F1265" i="45"/>
  <c r="E1265" i="45"/>
  <c r="D1265" i="45"/>
  <c r="B1265" i="45"/>
  <c r="A1265" i="45"/>
  <c r="X1264" i="45"/>
  <c r="F1264" i="45"/>
  <c r="E1264" i="45"/>
  <c r="D1264" i="45"/>
  <c r="B1264" i="45"/>
  <c r="A1264" i="45"/>
  <c r="X1263" i="45"/>
  <c r="F1263" i="45"/>
  <c r="E1263" i="45"/>
  <c r="D1263" i="45"/>
  <c r="B1263" i="45"/>
  <c r="A1263" i="45"/>
  <c r="X1262" i="45"/>
  <c r="F1262" i="45"/>
  <c r="E1262" i="45"/>
  <c r="D1262" i="45"/>
  <c r="B1262" i="45"/>
  <c r="A1262" i="45"/>
  <c r="X1261" i="45"/>
  <c r="F1261" i="45"/>
  <c r="E1261" i="45"/>
  <c r="D1261" i="45"/>
  <c r="B1261" i="45"/>
  <c r="A1261" i="45"/>
  <c r="X1260" i="45"/>
  <c r="F1260" i="45"/>
  <c r="E1260" i="45"/>
  <c r="D1260" i="45"/>
  <c r="B1260" i="45"/>
  <c r="A1260" i="45"/>
  <c r="X1259" i="45"/>
  <c r="F1259" i="45"/>
  <c r="E1259" i="45"/>
  <c r="D1259" i="45"/>
  <c r="B1259" i="45"/>
  <c r="A1259" i="45"/>
  <c r="X1258" i="45"/>
  <c r="F1258" i="45"/>
  <c r="E1258" i="45"/>
  <c r="D1258" i="45"/>
  <c r="B1258" i="45"/>
  <c r="A1258" i="45"/>
  <c r="X1257" i="45"/>
  <c r="F1257" i="45"/>
  <c r="E1257" i="45"/>
  <c r="D1257" i="45"/>
  <c r="B1257" i="45"/>
  <c r="A1257" i="45"/>
  <c r="X1256" i="45"/>
  <c r="F1256" i="45"/>
  <c r="E1256" i="45"/>
  <c r="D1256" i="45"/>
  <c r="B1256" i="45"/>
  <c r="A1256" i="45"/>
  <c r="X1255" i="45"/>
  <c r="F1255" i="45"/>
  <c r="E1255" i="45"/>
  <c r="D1255" i="45"/>
  <c r="B1255" i="45"/>
  <c r="A1255" i="45"/>
  <c r="X1254" i="45"/>
  <c r="F1254" i="45"/>
  <c r="E1254" i="45"/>
  <c r="D1254" i="45"/>
  <c r="B1254" i="45"/>
  <c r="A1254" i="45"/>
  <c r="X1253" i="45"/>
  <c r="F1253" i="45"/>
  <c r="E1253" i="45"/>
  <c r="D1253" i="45"/>
  <c r="B1253" i="45"/>
  <c r="A1253" i="45"/>
  <c r="X1252" i="45"/>
  <c r="F1252" i="45"/>
  <c r="E1252" i="45"/>
  <c r="D1252" i="45"/>
  <c r="B1252" i="45"/>
  <c r="A1252" i="45"/>
  <c r="X1251" i="45"/>
  <c r="F1251" i="45"/>
  <c r="E1251" i="45"/>
  <c r="D1251" i="45"/>
  <c r="B1251" i="45"/>
  <c r="A1251" i="45"/>
  <c r="X1250" i="45"/>
  <c r="F1250" i="45"/>
  <c r="E1250" i="45"/>
  <c r="D1250" i="45"/>
  <c r="B1250" i="45"/>
  <c r="A1250" i="45"/>
  <c r="X1249" i="45"/>
  <c r="F1249" i="45"/>
  <c r="E1249" i="45"/>
  <c r="D1249" i="45"/>
  <c r="B1249" i="45"/>
  <c r="A1249" i="45"/>
  <c r="X1248" i="45"/>
  <c r="F1248" i="45"/>
  <c r="E1248" i="45"/>
  <c r="D1248" i="45"/>
  <c r="B1248" i="45"/>
  <c r="A1248" i="45"/>
  <c r="X1247" i="45"/>
  <c r="F1247" i="45"/>
  <c r="E1247" i="45"/>
  <c r="D1247" i="45"/>
  <c r="B1247" i="45"/>
  <c r="A1247" i="45"/>
  <c r="X1246" i="45"/>
  <c r="F1246" i="45"/>
  <c r="E1246" i="45"/>
  <c r="D1246" i="45"/>
  <c r="B1246" i="45"/>
  <c r="A1246" i="45"/>
  <c r="X1245" i="45"/>
  <c r="F1245" i="45"/>
  <c r="E1245" i="45"/>
  <c r="D1245" i="45"/>
  <c r="B1245" i="45"/>
  <c r="A1245" i="45"/>
  <c r="X1244" i="45"/>
  <c r="F1244" i="45"/>
  <c r="E1244" i="45"/>
  <c r="D1244" i="45"/>
  <c r="B1244" i="45"/>
  <c r="A1244" i="45"/>
  <c r="X1243" i="45"/>
  <c r="F1243" i="45"/>
  <c r="E1243" i="45"/>
  <c r="D1243" i="45"/>
  <c r="B1243" i="45"/>
  <c r="A1243" i="45"/>
  <c r="X1242" i="45"/>
  <c r="F1242" i="45"/>
  <c r="E1242" i="45"/>
  <c r="D1242" i="45"/>
  <c r="B1242" i="45"/>
  <c r="A1242" i="45"/>
  <c r="X1241" i="45"/>
  <c r="F1241" i="45"/>
  <c r="E1241" i="45"/>
  <c r="D1241" i="45"/>
  <c r="B1241" i="45"/>
  <c r="A1241" i="45"/>
  <c r="X1240" i="45"/>
  <c r="F1240" i="45"/>
  <c r="E1240" i="45"/>
  <c r="D1240" i="45"/>
  <c r="B1240" i="45"/>
  <c r="A1240" i="45"/>
  <c r="X1239" i="45"/>
  <c r="F1239" i="45"/>
  <c r="E1239" i="45"/>
  <c r="D1239" i="45"/>
  <c r="B1239" i="45"/>
  <c r="A1239" i="45"/>
  <c r="X1238" i="45"/>
  <c r="F1238" i="45"/>
  <c r="E1238" i="45"/>
  <c r="D1238" i="45"/>
  <c r="B1238" i="45"/>
  <c r="A1238" i="45"/>
  <c r="X1237" i="45"/>
  <c r="F1237" i="45"/>
  <c r="E1237" i="45"/>
  <c r="D1237" i="45"/>
  <c r="B1237" i="45"/>
  <c r="A1237" i="45"/>
  <c r="X1236" i="45"/>
  <c r="F1236" i="45"/>
  <c r="E1236" i="45"/>
  <c r="D1236" i="45"/>
  <c r="B1236" i="45"/>
  <c r="A1236" i="45"/>
  <c r="X1235" i="45"/>
  <c r="F1235" i="45"/>
  <c r="E1235" i="45"/>
  <c r="D1235" i="45"/>
  <c r="B1235" i="45"/>
  <c r="A1235" i="45"/>
  <c r="X1234" i="45"/>
  <c r="F1234" i="45"/>
  <c r="E1234" i="45"/>
  <c r="D1234" i="45"/>
  <c r="B1234" i="45"/>
  <c r="A1234" i="45"/>
  <c r="X1233" i="45"/>
  <c r="F1233" i="45"/>
  <c r="E1233" i="45"/>
  <c r="D1233" i="45"/>
  <c r="B1233" i="45"/>
  <c r="A1233" i="45"/>
  <c r="X1232" i="45"/>
  <c r="F1232" i="45"/>
  <c r="E1232" i="45"/>
  <c r="D1232" i="45"/>
  <c r="B1232" i="45"/>
  <c r="A1232" i="45"/>
  <c r="X1231" i="45"/>
  <c r="F1231" i="45"/>
  <c r="E1231" i="45"/>
  <c r="D1231" i="45"/>
  <c r="B1231" i="45"/>
  <c r="A1231" i="45"/>
  <c r="X1230" i="45"/>
  <c r="F1230" i="45"/>
  <c r="E1230" i="45"/>
  <c r="D1230" i="45"/>
  <c r="B1230" i="45"/>
  <c r="A1230" i="45"/>
  <c r="X1229" i="45"/>
  <c r="F1229" i="45"/>
  <c r="E1229" i="45"/>
  <c r="D1229" i="45"/>
  <c r="B1229" i="45"/>
  <c r="A1229" i="45"/>
  <c r="X1228" i="45"/>
  <c r="F1228" i="45"/>
  <c r="E1228" i="45"/>
  <c r="D1228" i="45"/>
  <c r="B1228" i="45"/>
  <c r="A1228" i="45"/>
  <c r="X1227" i="45"/>
  <c r="F1227" i="45"/>
  <c r="E1227" i="45"/>
  <c r="D1227" i="45"/>
  <c r="B1227" i="45"/>
  <c r="A1227" i="45"/>
  <c r="X1226" i="45"/>
  <c r="F1226" i="45"/>
  <c r="E1226" i="45"/>
  <c r="D1226" i="45"/>
  <c r="B1226" i="45"/>
  <c r="A1226" i="45"/>
  <c r="X1225" i="45"/>
  <c r="F1225" i="45"/>
  <c r="E1225" i="45"/>
  <c r="D1225" i="45"/>
  <c r="B1225" i="45"/>
  <c r="A1225" i="45"/>
  <c r="X1224" i="45"/>
  <c r="F1224" i="45"/>
  <c r="E1224" i="45"/>
  <c r="D1224" i="45"/>
  <c r="B1224" i="45"/>
  <c r="A1224" i="45"/>
  <c r="X1223" i="45"/>
  <c r="F1223" i="45"/>
  <c r="E1223" i="45"/>
  <c r="D1223" i="45"/>
  <c r="B1223" i="45"/>
  <c r="A1223" i="45"/>
  <c r="X1222" i="45"/>
  <c r="F1222" i="45"/>
  <c r="E1222" i="45"/>
  <c r="D1222" i="45"/>
  <c r="B1222" i="45"/>
  <c r="A1222" i="45"/>
  <c r="X1221" i="45"/>
  <c r="F1221" i="45"/>
  <c r="E1221" i="45"/>
  <c r="D1221" i="45"/>
  <c r="B1221" i="45"/>
  <c r="A1221" i="45"/>
  <c r="X1220" i="45"/>
  <c r="F1220" i="45"/>
  <c r="E1220" i="45"/>
  <c r="D1220" i="45"/>
  <c r="B1220" i="45"/>
  <c r="A1220" i="45"/>
  <c r="X1219" i="45"/>
  <c r="F1219" i="45"/>
  <c r="E1219" i="45"/>
  <c r="D1219" i="45"/>
  <c r="B1219" i="45"/>
  <c r="A1219" i="45"/>
  <c r="X1218" i="45"/>
  <c r="F1218" i="45"/>
  <c r="E1218" i="45"/>
  <c r="D1218" i="45"/>
  <c r="B1218" i="45"/>
  <c r="A1218" i="45"/>
  <c r="X1217" i="45"/>
  <c r="F1217" i="45"/>
  <c r="E1217" i="45"/>
  <c r="D1217" i="45"/>
  <c r="B1217" i="45"/>
  <c r="A1217" i="45"/>
  <c r="X1216" i="45"/>
  <c r="F1216" i="45"/>
  <c r="E1216" i="45"/>
  <c r="D1216" i="45"/>
  <c r="B1216" i="45"/>
  <c r="A1216" i="45"/>
  <c r="X1215" i="45"/>
  <c r="F1215" i="45"/>
  <c r="E1215" i="45"/>
  <c r="D1215" i="45"/>
  <c r="B1215" i="45"/>
  <c r="A1215" i="45"/>
  <c r="X1214" i="45"/>
  <c r="F1214" i="45"/>
  <c r="E1214" i="45"/>
  <c r="D1214" i="45"/>
  <c r="B1214" i="45"/>
  <c r="A1214" i="45"/>
  <c r="X1213" i="45"/>
  <c r="F1213" i="45"/>
  <c r="E1213" i="45"/>
  <c r="D1213" i="45"/>
  <c r="B1213" i="45"/>
  <c r="A1213" i="45"/>
  <c r="X1212" i="45"/>
  <c r="F1212" i="45"/>
  <c r="E1212" i="45"/>
  <c r="D1212" i="45"/>
  <c r="B1212" i="45"/>
  <c r="A1212" i="45"/>
  <c r="X1211" i="45"/>
  <c r="F1211" i="45"/>
  <c r="E1211" i="45"/>
  <c r="D1211" i="45"/>
  <c r="B1211" i="45"/>
  <c r="A1211" i="45"/>
  <c r="X1210" i="45"/>
  <c r="F1210" i="45"/>
  <c r="E1210" i="45"/>
  <c r="D1210" i="45"/>
  <c r="B1210" i="45"/>
  <c r="A1210" i="45"/>
  <c r="X1209" i="45"/>
  <c r="F1209" i="45"/>
  <c r="E1209" i="45"/>
  <c r="D1209" i="45"/>
  <c r="B1209" i="45"/>
  <c r="A1209" i="45"/>
  <c r="X1208" i="45"/>
  <c r="F1208" i="45"/>
  <c r="E1208" i="45"/>
  <c r="D1208" i="45"/>
  <c r="B1208" i="45"/>
  <c r="A1208" i="45"/>
  <c r="X1207" i="45"/>
  <c r="F1207" i="45"/>
  <c r="E1207" i="45"/>
  <c r="D1207" i="45"/>
  <c r="B1207" i="45"/>
  <c r="A1207" i="45"/>
  <c r="X1206" i="45"/>
  <c r="F1206" i="45"/>
  <c r="E1206" i="45"/>
  <c r="D1206" i="45"/>
  <c r="B1206" i="45"/>
  <c r="A1206" i="45"/>
  <c r="X1205" i="45"/>
  <c r="F1205" i="45"/>
  <c r="E1205" i="45"/>
  <c r="D1205" i="45"/>
  <c r="B1205" i="45"/>
  <c r="A1205" i="45"/>
  <c r="X1204" i="45"/>
  <c r="F1204" i="45"/>
  <c r="E1204" i="45"/>
  <c r="D1204" i="45"/>
  <c r="B1204" i="45"/>
  <c r="A1204" i="45"/>
  <c r="X1203" i="45"/>
  <c r="F1203" i="45"/>
  <c r="E1203" i="45"/>
  <c r="D1203" i="45"/>
  <c r="B1203" i="45"/>
  <c r="A1203" i="45"/>
  <c r="X1202" i="45"/>
  <c r="F1202" i="45"/>
  <c r="E1202" i="45"/>
  <c r="D1202" i="45"/>
  <c r="B1202" i="45"/>
  <c r="A1202" i="45"/>
  <c r="X1201" i="45"/>
  <c r="F1201" i="45"/>
  <c r="E1201" i="45"/>
  <c r="D1201" i="45"/>
  <c r="B1201" i="45"/>
  <c r="A1201" i="45"/>
  <c r="X1200" i="45"/>
  <c r="F1200" i="45"/>
  <c r="E1200" i="45"/>
  <c r="D1200" i="45"/>
  <c r="B1200" i="45"/>
  <c r="A1200" i="45"/>
  <c r="X1199" i="45"/>
  <c r="F1199" i="45"/>
  <c r="E1199" i="45"/>
  <c r="D1199" i="45"/>
  <c r="B1199" i="45"/>
  <c r="A1199" i="45"/>
  <c r="X1198" i="45"/>
  <c r="F1198" i="45"/>
  <c r="E1198" i="45"/>
  <c r="D1198" i="45"/>
  <c r="B1198" i="45"/>
  <c r="A1198" i="45"/>
  <c r="X1197" i="45"/>
  <c r="F1197" i="45"/>
  <c r="E1197" i="45"/>
  <c r="D1197" i="45"/>
  <c r="B1197" i="45"/>
  <c r="A1197" i="45"/>
  <c r="X1196" i="45"/>
  <c r="F1196" i="45"/>
  <c r="E1196" i="45"/>
  <c r="D1196" i="45"/>
  <c r="B1196" i="45"/>
  <c r="A1196" i="45"/>
  <c r="X1195" i="45"/>
  <c r="F1195" i="45"/>
  <c r="E1195" i="45"/>
  <c r="D1195" i="45"/>
  <c r="B1195" i="45"/>
  <c r="A1195" i="45"/>
  <c r="X1194" i="45"/>
  <c r="F1194" i="45"/>
  <c r="E1194" i="45"/>
  <c r="D1194" i="45"/>
  <c r="B1194" i="45"/>
  <c r="A1194" i="45"/>
  <c r="X1193" i="45"/>
  <c r="F1193" i="45"/>
  <c r="E1193" i="45"/>
  <c r="D1193" i="45"/>
  <c r="B1193" i="45"/>
  <c r="A1193" i="45"/>
  <c r="X1192" i="45"/>
  <c r="F1192" i="45"/>
  <c r="E1192" i="45"/>
  <c r="D1192" i="45"/>
  <c r="B1192" i="45"/>
  <c r="A1192" i="45"/>
  <c r="X1191" i="45"/>
  <c r="F1191" i="45"/>
  <c r="E1191" i="45"/>
  <c r="D1191" i="45"/>
  <c r="B1191" i="45"/>
  <c r="A1191" i="45"/>
  <c r="X1190" i="45"/>
  <c r="F1190" i="45"/>
  <c r="E1190" i="45"/>
  <c r="D1190" i="45"/>
  <c r="B1190" i="45"/>
  <c r="A1190" i="45"/>
  <c r="X1189" i="45"/>
  <c r="F1189" i="45"/>
  <c r="E1189" i="45"/>
  <c r="D1189" i="45"/>
  <c r="B1189" i="45"/>
  <c r="A1189" i="45"/>
  <c r="X1188" i="45"/>
  <c r="F1188" i="45"/>
  <c r="E1188" i="45"/>
  <c r="D1188" i="45"/>
  <c r="B1188" i="45"/>
  <c r="A1188" i="45"/>
  <c r="X1187" i="45"/>
  <c r="F1187" i="45"/>
  <c r="E1187" i="45"/>
  <c r="D1187" i="45"/>
  <c r="B1187" i="45"/>
  <c r="A1187" i="45"/>
  <c r="X1186" i="45"/>
  <c r="F1186" i="45"/>
  <c r="E1186" i="45"/>
  <c r="D1186" i="45"/>
  <c r="B1186" i="45"/>
  <c r="A1186" i="45"/>
  <c r="X1185" i="45"/>
  <c r="F1185" i="45"/>
  <c r="E1185" i="45"/>
  <c r="D1185" i="45"/>
  <c r="B1185" i="45"/>
  <c r="A1185" i="45"/>
  <c r="X1184" i="45"/>
  <c r="F1184" i="45"/>
  <c r="E1184" i="45"/>
  <c r="D1184" i="45"/>
  <c r="B1184" i="45"/>
  <c r="A1184" i="45"/>
  <c r="X1183" i="45"/>
  <c r="F1183" i="45"/>
  <c r="E1183" i="45"/>
  <c r="D1183" i="45"/>
  <c r="B1183" i="45"/>
  <c r="A1183" i="45"/>
  <c r="X1182" i="45"/>
  <c r="F1182" i="45"/>
  <c r="E1182" i="45"/>
  <c r="D1182" i="45"/>
  <c r="B1182" i="45"/>
  <c r="A1182" i="45"/>
  <c r="X1181" i="45"/>
  <c r="F1181" i="45"/>
  <c r="E1181" i="45"/>
  <c r="D1181" i="45"/>
  <c r="B1181" i="45"/>
  <c r="A1181" i="45"/>
  <c r="X1180" i="45"/>
  <c r="F1180" i="45"/>
  <c r="E1180" i="45"/>
  <c r="D1180" i="45"/>
  <c r="B1180" i="45"/>
  <c r="A1180" i="45"/>
  <c r="X1179" i="45"/>
  <c r="F1179" i="45"/>
  <c r="E1179" i="45"/>
  <c r="D1179" i="45"/>
  <c r="B1179" i="45"/>
  <c r="A1179" i="45"/>
  <c r="X1178" i="45"/>
  <c r="F1178" i="45"/>
  <c r="E1178" i="45"/>
  <c r="D1178" i="45"/>
  <c r="B1178" i="45"/>
  <c r="A1178" i="45"/>
  <c r="X1177" i="45"/>
  <c r="F1177" i="45"/>
  <c r="E1177" i="45"/>
  <c r="D1177" i="45"/>
  <c r="B1177" i="45"/>
  <c r="A1177" i="45"/>
  <c r="X1176" i="45"/>
  <c r="F1176" i="45"/>
  <c r="E1176" i="45"/>
  <c r="D1176" i="45"/>
  <c r="B1176" i="45"/>
  <c r="A1176" i="45"/>
  <c r="X1175" i="45"/>
  <c r="F1175" i="45"/>
  <c r="E1175" i="45"/>
  <c r="D1175" i="45"/>
  <c r="B1175" i="45"/>
  <c r="A1175" i="45"/>
  <c r="X1174" i="45"/>
  <c r="F1174" i="45"/>
  <c r="E1174" i="45"/>
  <c r="D1174" i="45"/>
  <c r="B1174" i="45"/>
  <c r="A1174" i="45"/>
  <c r="X1173" i="45"/>
  <c r="F1173" i="45"/>
  <c r="E1173" i="45"/>
  <c r="D1173" i="45"/>
  <c r="B1173" i="45"/>
  <c r="A1173" i="45"/>
  <c r="X1172" i="45"/>
  <c r="F1172" i="45"/>
  <c r="E1172" i="45"/>
  <c r="D1172" i="45"/>
  <c r="B1172" i="45"/>
  <c r="A1172" i="45"/>
  <c r="X1171" i="45"/>
  <c r="F1171" i="45"/>
  <c r="E1171" i="45"/>
  <c r="D1171" i="45"/>
  <c r="B1171" i="45"/>
  <c r="A1171" i="45"/>
  <c r="X1170" i="45"/>
  <c r="F1170" i="45"/>
  <c r="E1170" i="45"/>
  <c r="D1170" i="45"/>
  <c r="B1170" i="45"/>
  <c r="A1170" i="45"/>
  <c r="X1169" i="45"/>
  <c r="F1169" i="45"/>
  <c r="E1169" i="45"/>
  <c r="D1169" i="45"/>
  <c r="B1169" i="45"/>
  <c r="A1169" i="45"/>
  <c r="X1168" i="45"/>
  <c r="F1168" i="45"/>
  <c r="E1168" i="45"/>
  <c r="D1168" i="45"/>
  <c r="B1168" i="45"/>
  <c r="A1168" i="45"/>
  <c r="X1167" i="45"/>
  <c r="F1167" i="45"/>
  <c r="E1167" i="45"/>
  <c r="D1167" i="45"/>
  <c r="B1167" i="45"/>
  <c r="A1167" i="45"/>
  <c r="X1166" i="45"/>
  <c r="F1166" i="45"/>
  <c r="E1166" i="45"/>
  <c r="D1166" i="45"/>
  <c r="B1166" i="45"/>
  <c r="A1166" i="45"/>
  <c r="X1165" i="45"/>
  <c r="F1165" i="45"/>
  <c r="E1165" i="45"/>
  <c r="D1165" i="45"/>
  <c r="B1165" i="45"/>
  <c r="A1165" i="45"/>
  <c r="X1164" i="45"/>
  <c r="F1164" i="45"/>
  <c r="E1164" i="45"/>
  <c r="D1164" i="45"/>
  <c r="B1164" i="45"/>
  <c r="A1164" i="45"/>
  <c r="X1163" i="45"/>
  <c r="F1163" i="45"/>
  <c r="E1163" i="45"/>
  <c r="D1163" i="45"/>
  <c r="B1163" i="45"/>
  <c r="A1163" i="45"/>
  <c r="X1162" i="45"/>
  <c r="F1162" i="45"/>
  <c r="E1162" i="45"/>
  <c r="D1162" i="45"/>
  <c r="B1162" i="45"/>
  <c r="A1162" i="45"/>
  <c r="X1161" i="45"/>
  <c r="F1161" i="45"/>
  <c r="E1161" i="45"/>
  <c r="D1161" i="45"/>
  <c r="B1161" i="45"/>
  <c r="A1161" i="45"/>
  <c r="X1160" i="45"/>
  <c r="F1160" i="45"/>
  <c r="E1160" i="45"/>
  <c r="D1160" i="45"/>
  <c r="B1160" i="45"/>
  <c r="A1160" i="45"/>
  <c r="X1159" i="45"/>
  <c r="F1159" i="45"/>
  <c r="E1159" i="45"/>
  <c r="D1159" i="45"/>
  <c r="B1159" i="45"/>
  <c r="A1159" i="45"/>
  <c r="X1158" i="45"/>
  <c r="F1158" i="45"/>
  <c r="E1158" i="45"/>
  <c r="D1158" i="45"/>
  <c r="B1158" i="45"/>
  <c r="A1158" i="45"/>
  <c r="X1157" i="45"/>
  <c r="F1157" i="45"/>
  <c r="E1157" i="45"/>
  <c r="D1157" i="45"/>
  <c r="B1157" i="45"/>
  <c r="A1157" i="45"/>
  <c r="X1156" i="45"/>
  <c r="F1156" i="45"/>
  <c r="E1156" i="45"/>
  <c r="D1156" i="45"/>
  <c r="B1156" i="45"/>
  <c r="A1156" i="45"/>
  <c r="X1155" i="45"/>
  <c r="F1155" i="45"/>
  <c r="E1155" i="45"/>
  <c r="D1155" i="45"/>
  <c r="B1155" i="45"/>
  <c r="A1155" i="45"/>
  <c r="X1154" i="45"/>
  <c r="F1154" i="45"/>
  <c r="E1154" i="45"/>
  <c r="D1154" i="45"/>
  <c r="B1154" i="45"/>
  <c r="A1154" i="45"/>
  <c r="X1153" i="45"/>
  <c r="F1153" i="45"/>
  <c r="E1153" i="45"/>
  <c r="D1153" i="45"/>
  <c r="B1153" i="45"/>
  <c r="A1153" i="45"/>
  <c r="X1152" i="45"/>
  <c r="F1152" i="45"/>
  <c r="E1152" i="45"/>
  <c r="D1152" i="45"/>
  <c r="B1152" i="45"/>
  <c r="A1152" i="45"/>
  <c r="X1151" i="45"/>
  <c r="F1151" i="45"/>
  <c r="E1151" i="45"/>
  <c r="D1151" i="45"/>
  <c r="B1151" i="45"/>
  <c r="A1151" i="45"/>
  <c r="X1150" i="45"/>
  <c r="F1150" i="45"/>
  <c r="E1150" i="45"/>
  <c r="D1150" i="45"/>
  <c r="B1150" i="45"/>
  <c r="A1150" i="45"/>
  <c r="X1149" i="45"/>
  <c r="F1149" i="45"/>
  <c r="E1149" i="45"/>
  <c r="D1149" i="45"/>
  <c r="B1149" i="45"/>
  <c r="A1149" i="45"/>
  <c r="X1148" i="45"/>
  <c r="F1148" i="45"/>
  <c r="E1148" i="45"/>
  <c r="D1148" i="45"/>
  <c r="B1148" i="45"/>
  <c r="A1148" i="45"/>
  <c r="X1147" i="45"/>
  <c r="F1147" i="45"/>
  <c r="E1147" i="45"/>
  <c r="D1147" i="45"/>
  <c r="B1147" i="45"/>
  <c r="A1147" i="45"/>
  <c r="X1146" i="45"/>
  <c r="F1146" i="45"/>
  <c r="E1146" i="45"/>
  <c r="D1146" i="45"/>
  <c r="B1146" i="45"/>
  <c r="A1146" i="45"/>
  <c r="X1145" i="45"/>
  <c r="F1145" i="45"/>
  <c r="E1145" i="45"/>
  <c r="D1145" i="45"/>
  <c r="B1145" i="45"/>
  <c r="A1145" i="45"/>
  <c r="X1144" i="45"/>
  <c r="F1144" i="45"/>
  <c r="E1144" i="45"/>
  <c r="D1144" i="45"/>
  <c r="B1144" i="45"/>
  <c r="A1144" i="45"/>
  <c r="X1143" i="45"/>
  <c r="F1143" i="45"/>
  <c r="E1143" i="45"/>
  <c r="D1143" i="45"/>
  <c r="B1143" i="45"/>
  <c r="A1143" i="45"/>
  <c r="X1142" i="45"/>
  <c r="F1142" i="45"/>
  <c r="E1142" i="45"/>
  <c r="D1142" i="45"/>
  <c r="B1142" i="45"/>
  <c r="A1142" i="45"/>
  <c r="X1141" i="45"/>
  <c r="F1141" i="45"/>
  <c r="E1141" i="45"/>
  <c r="D1141" i="45"/>
  <c r="B1141" i="45"/>
  <c r="A1141" i="45"/>
  <c r="X1140" i="45"/>
  <c r="F1140" i="45"/>
  <c r="E1140" i="45"/>
  <c r="D1140" i="45"/>
  <c r="B1140" i="45"/>
  <c r="A1140" i="45"/>
  <c r="X1139" i="45"/>
  <c r="F1139" i="45"/>
  <c r="E1139" i="45"/>
  <c r="D1139" i="45"/>
  <c r="B1139" i="45"/>
  <c r="A1139" i="45"/>
  <c r="X1138" i="45"/>
  <c r="F1138" i="45"/>
  <c r="E1138" i="45"/>
  <c r="D1138" i="45"/>
  <c r="B1138" i="45"/>
  <c r="A1138" i="45"/>
  <c r="X1137" i="45"/>
  <c r="F1137" i="45"/>
  <c r="E1137" i="45"/>
  <c r="D1137" i="45"/>
  <c r="B1137" i="45"/>
  <c r="A1137" i="45"/>
  <c r="X1136" i="45"/>
  <c r="F1136" i="45"/>
  <c r="E1136" i="45"/>
  <c r="D1136" i="45"/>
  <c r="B1136" i="45"/>
  <c r="A1136" i="45"/>
  <c r="X1135" i="45"/>
  <c r="F1135" i="45"/>
  <c r="E1135" i="45"/>
  <c r="D1135" i="45"/>
  <c r="B1135" i="45"/>
  <c r="A1135" i="45"/>
  <c r="X1134" i="45"/>
  <c r="F1134" i="45"/>
  <c r="E1134" i="45"/>
  <c r="D1134" i="45"/>
  <c r="B1134" i="45"/>
  <c r="A1134" i="45"/>
  <c r="X1133" i="45"/>
  <c r="F1133" i="45"/>
  <c r="E1133" i="45"/>
  <c r="D1133" i="45"/>
  <c r="B1133" i="45"/>
  <c r="A1133" i="45"/>
  <c r="X1132" i="45"/>
  <c r="F1132" i="45"/>
  <c r="E1132" i="45"/>
  <c r="D1132" i="45"/>
  <c r="B1132" i="45"/>
  <c r="A1132" i="45"/>
  <c r="X1131" i="45"/>
  <c r="F1131" i="45"/>
  <c r="E1131" i="45"/>
  <c r="D1131" i="45"/>
  <c r="B1131" i="45"/>
  <c r="A1131" i="45"/>
  <c r="X1130" i="45"/>
  <c r="F1130" i="45"/>
  <c r="E1130" i="45"/>
  <c r="D1130" i="45"/>
  <c r="B1130" i="45"/>
  <c r="A1130" i="45"/>
  <c r="X1129" i="45"/>
  <c r="F1129" i="45"/>
  <c r="E1129" i="45"/>
  <c r="D1129" i="45"/>
  <c r="B1129" i="45"/>
  <c r="A1129" i="45"/>
  <c r="X1128" i="45"/>
  <c r="F1128" i="45"/>
  <c r="E1128" i="45"/>
  <c r="D1128" i="45"/>
  <c r="B1128" i="45"/>
  <c r="A1128" i="45"/>
  <c r="X1127" i="45"/>
  <c r="F1127" i="45"/>
  <c r="E1127" i="45"/>
  <c r="D1127" i="45"/>
  <c r="B1127" i="45"/>
  <c r="A1127" i="45"/>
  <c r="X1126" i="45"/>
  <c r="F1126" i="45"/>
  <c r="E1126" i="45"/>
  <c r="D1126" i="45"/>
  <c r="B1126" i="45"/>
  <c r="A1126" i="45"/>
  <c r="X1125" i="45"/>
  <c r="F1125" i="45"/>
  <c r="E1125" i="45"/>
  <c r="D1125" i="45"/>
  <c r="B1125" i="45"/>
  <c r="A1125" i="45"/>
  <c r="X1124" i="45"/>
  <c r="F1124" i="45"/>
  <c r="E1124" i="45"/>
  <c r="D1124" i="45"/>
  <c r="B1124" i="45"/>
  <c r="A1124" i="45"/>
  <c r="X1123" i="45"/>
  <c r="F1123" i="45"/>
  <c r="E1123" i="45"/>
  <c r="D1123" i="45"/>
  <c r="B1123" i="45"/>
  <c r="A1123" i="45"/>
  <c r="X1122" i="45"/>
  <c r="F1122" i="45"/>
  <c r="E1122" i="45"/>
  <c r="D1122" i="45"/>
  <c r="B1122" i="45"/>
  <c r="A1122" i="45"/>
  <c r="X1121" i="45"/>
  <c r="F1121" i="45"/>
  <c r="E1121" i="45"/>
  <c r="D1121" i="45"/>
  <c r="B1121" i="45"/>
  <c r="A1121" i="45"/>
  <c r="X1120" i="45"/>
  <c r="F1120" i="45"/>
  <c r="E1120" i="45"/>
  <c r="D1120" i="45"/>
  <c r="B1120" i="45"/>
  <c r="A1120" i="45"/>
  <c r="X1119" i="45"/>
  <c r="F1119" i="45"/>
  <c r="E1119" i="45"/>
  <c r="D1119" i="45"/>
  <c r="B1119" i="45"/>
  <c r="A1119" i="45"/>
  <c r="X1118" i="45"/>
  <c r="F1118" i="45"/>
  <c r="E1118" i="45"/>
  <c r="D1118" i="45"/>
  <c r="B1118" i="45"/>
  <c r="A1118" i="45"/>
  <c r="X1117" i="45"/>
  <c r="F1117" i="45"/>
  <c r="E1117" i="45"/>
  <c r="D1117" i="45"/>
  <c r="B1117" i="45"/>
  <c r="A1117" i="45"/>
  <c r="X1116" i="45"/>
  <c r="F1116" i="45"/>
  <c r="E1116" i="45"/>
  <c r="D1116" i="45"/>
  <c r="B1116" i="45"/>
  <c r="A1116" i="45"/>
  <c r="X1115" i="45"/>
  <c r="F1115" i="45"/>
  <c r="E1115" i="45"/>
  <c r="D1115" i="45"/>
  <c r="B1115" i="45"/>
  <c r="A1115" i="45"/>
  <c r="X1114" i="45"/>
  <c r="F1114" i="45"/>
  <c r="E1114" i="45"/>
  <c r="D1114" i="45"/>
  <c r="B1114" i="45"/>
  <c r="A1114" i="45"/>
  <c r="X1113" i="45"/>
  <c r="F1113" i="45"/>
  <c r="E1113" i="45"/>
  <c r="D1113" i="45"/>
  <c r="B1113" i="45"/>
  <c r="A1113" i="45"/>
  <c r="X1112" i="45"/>
  <c r="F1112" i="45"/>
  <c r="E1112" i="45"/>
  <c r="D1112" i="45"/>
  <c r="B1112" i="45"/>
  <c r="A1112" i="45"/>
  <c r="X1111" i="45"/>
  <c r="F1111" i="45"/>
  <c r="E1111" i="45"/>
  <c r="D1111" i="45"/>
  <c r="B1111" i="45"/>
  <c r="A1111" i="45"/>
  <c r="X1110" i="45"/>
  <c r="F1110" i="45"/>
  <c r="E1110" i="45"/>
  <c r="D1110" i="45"/>
  <c r="B1110" i="45"/>
  <c r="A1110" i="45"/>
  <c r="X1109" i="45"/>
  <c r="F1109" i="45"/>
  <c r="E1109" i="45"/>
  <c r="D1109" i="45"/>
  <c r="B1109" i="45"/>
  <c r="A1109" i="45"/>
  <c r="X1108" i="45"/>
  <c r="F1108" i="45"/>
  <c r="E1108" i="45"/>
  <c r="D1108" i="45"/>
  <c r="B1108" i="45"/>
  <c r="A1108" i="45"/>
  <c r="X1107" i="45"/>
  <c r="F1107" i="45"/>
  <c r="E1107" i="45"/>
  <c r="D1107" i="45"/>
  <c r="B1107" i="45"/>
  <c r="A1107" i="45"/>
  <c r="X1106" i="45"/>
  <c r="F1106" i="45"/>
  <c r="E1106" i="45"/>
  <c r="D1106" i="45"/>
  <c r="B1106" i="45"/>
  <c r="A1106" i="45"/>
  <c r="X1105" i="45"/>
  <c r="F1105" i="45"/>
  <c r="E1105" i="45"/>
  <c r="D1105" i="45"/>
  <c r="B1105" i="45"/>
  <c r="A1105" i="45"/>
  <c r="X1104" i="45"/>
  <c r="F1104" i="45"/>
  <c r="E1104" i="45"/>
  <c r="D1104" i="45"/>
  <c r="B1104" i="45"/>
  <c r="A1104" i="45"/>
  <c r="X1103" i="45"/>
  <c r="F1103" i="45"/>
  <c r="E1103" i="45"/>
  <c r="D1103" i="45"/>
  <c r="B1103" i="45"/>
  <c r="A1103" i="45"/>
  <c r="X1102" i="45"/>
  <c r="F1102" i="45"/>
  <c r="E1102" i="45"/>
  <c r="D1102" i="45"/>
  <c r="B1102" i="45"/>
  <c r="A1102" i="45"/>
  <c r="X1101" i="45"/>
  <c r="F1101" i="45"/>
  <c r="E1101" i="45"/>
  <c r="D1101" i="45"/>
  <c r="B1101" i="45"/>
  <c r="A1101" i="45"/>
  <c r="X1100" i="45"/>
  <c r="F1100" i="45"/>
  <c r="E1100" i="45"/>
  <c r="D1100" i="45"/>
  <c r="B1100" i="45"/>
  <c r="A1100" i="45"/>
  <c r="X1099" i="45"/>
  <c r="F1099" i="45"/>
  <c r="E1099" i="45"/>
  <c r="D1099" i="45"/>
  <c r="B1099" i="45"/>
  <c r="A1099" i="45"/>
  <c r="X1098" i="45"/>
  <c r="F1098" i="45"/>
  <c r="E1098" i="45"/>
  <c r="D1098" i="45"/>
  <c r="B1098" i="45"/>
  <c r="A1098" i="45"/>
  <c r="X1097" i="45"/>
  <c r="F1097" i="45"/>
  <c r="E1097" i="45"/>
  <c r="D1097" i="45"/>
  <c r="B1097" i="45"/>
  <c r="A1097" i="45"/>
  <c r="X1096" i="45"/>
  <c r="F1096" i="45"/>
  <c r="E1096" i="45"/>
  <c r="D1096" i="45"/>
  <c r="B1096" i="45"/>
  <c r="A1096" i="45"/>
  <c r="X1095" i="45"/>
  <c r="F1095" i="45"/>
  <c r="E1095" i="45"/>
  <c r="D1095" i="45"/>
  <c r="B1095" i="45"/>
  <c r="A1095" i="45"/>
  <c r="X1094" i="45"/>
  <c r="F1094" i="45"/>
  <c r="E1094" i="45"/>
  <c r="D1094" i="45"/>
  <c r="B1094" i="45"/>
  <c r="A1094" i="45"/>
  <c r="X1093" i="45"/>
  <c r="F1093" i="45"/>
  <c r="E1093" i="45"/>
  <c r="D1093" i="45"/>
  <c r="B1093" i="45"/>
  <c r="A1093" i="45"/>
  <c r="X1092" i="45"/>
  <c r="F1092" i="45"/>
  <c r="E1092" i="45"/>
  <c r="D1092" i="45"/>
  <c r="B1092" i="45"/>
  <c r="A1092" i="45"/>
  <c r="X1091" i="45"/>
  <c r="F1091" i="45"/>
  <c r="E1091" i="45"/>
  <c r="D1091" i="45"/>
  <c r="B1091" i="45"/>
  <c r="A1091" i="45"/>
  <c r="X1090" i="45"/>
  <c r="F1090" i="45"/>
  <c r="E1090" i="45"/>
  <c r="D1090" i="45"/>
  <c r="B1090" i="45"/>
  <c r="A1090" i="45"/>
  <c r="X1089" i="45"/>
  <c r="F1089" i="45"/>
  <c r="E1089" i="45"/>
  <c r="D1089" i="45"/>
  <c r="B1089" i="45"/>
  <c r="A1089" i="45"/>
  <c r="X1088" i="45"/>
  <c r="F1088" i="45"/>
  <c r="E1088" i="45"/>
  <c r="D1088" i="45"/>
  <c r="B1088" i="45"/>
  <c r="A1088" i="45"/>
  <c r="X1087" i="45"/>
  <c r="F1087" i="45"/>
  <c r="E1087" i="45"/>
  <c r="D1087" i="45"/>
  <c r="B1087" i="45"/>
  <c r="A1087" i="45"/>
  <c r="X1086" i="45"/>
  <c r="F1086" i="45"/>
  <c r="E1086" i="45"/>
  <c r="D1086" i="45"/>
  <c r="B1086" i="45"/>
  <c r="A1086" i="45"/>
  <c r="X1085" i="45"/>
  <c r="F1085" i="45"/>
  <c r="E1085" i="45"/>
  <c r="D1085" i="45"/>
  <c r="B1085" i="45"/>
  <c r="A1085" i="45"/>
  <c r="X1084" i="45"/>
  <c r="F1084" i="45"/>
  <c r="E1084" i="45"/>
  <c r="D1084" i="45"/>
  <c r="B1084" i="45"/>
  <c r="A1084" i="45"/>
  <c r="X1083" i="45"/>
  <c r="F1083" i="45"/>
  <c r="E1083" i="45"/>
  <c r="D1083" i="45"/>
  <c r="B1083" i="45"/>
  <c r="A1083" i="45"/>
  <c r="X1082" i="45"/>
  <c r="F1082" i="45"/>
  <c r="E1082" i="45"/>
  <c r="D1082" i="45"/>
  <c r="B1082" i="45"/>
  <c r="A1082" i="45"/>
  <c r="X1081" i="45"/>
  <c r="F1081" i="45"/>
  <c r="E1081" i="45"/>
  <c r="D1081" i="45"/>
  <c r="B1081" i="45"/>
  <c r="A1081" i="45"/>
  <c r="X1080" i="45"/>
  <c r="F1080" i="45"/>
  <c r="E1080" i="45"/>
  <c r="D1080" i="45"/>
  <c r="B1080" i="45"/>
  <c r="A1080" i="45"/>
  <c r="X1079" i="45"/>
  <c r="F1079" i="45"/>
  <c r="E1079" i="45"/>
  <c r="D1079" i="45"/>
  <c r="B1079" i="45"/>
  <c r="A1079" i="45"/>
  <c r="X1078" i="45"/>
  <c r="F1078" i="45"/>
  <c r="E1078" i="45"/>
  <c r="D1078" i="45"/>
  <c r="B1078" i="45"/>
  <c r="A1078" i="45"/>
  <c r="X1077" i="45"/>
  <c r="F1077" i="45"/>
  <c r="E1077" i="45"/>
  <c r="D1077" i="45"/>
  <c r="B1077" i="45"/>
  <c r="A1077" i="45"/>
  <c r="X1076" i="45"/>
  <c r="F1076" i="45"/>
  <c r="E1076" i="45"/>
  <c r="D1076" i="45"/>
  <c r="B1076" i="45"/>
  <c r="A1076" i="45"/>
  <c r="X1075" i="45"/>
  <c r="F1075" i="45"/>
  <c r="E1075" i="45"/>
  <c r="D1075" i="45"/>
  <c r="B1075" i="45"/>
  <c r="A1075" i="45"/>
  <c r="X1074" i="45"/>
  <c r="F1074" i="45"/>
  <c r="E1074" i="45"/>
  <c r="D1074" i="45"/>
  <c r="B1074" i="45"/>
  <c r="A1074" i="45"/>
  <c r="X1073" i="45"/>
  <c r="F1073" i="45"/>
  <c r="E1073" i="45"/>
  <c r="D1073" i="45"/>
  <c r="B1073" i="45"/>
  <c r="A1073" i="45"/>
  <c r="X1072" i="45"/>
  <c r="F1072" i="45"/>
  <c r="E1072" i="45"/>
  <c r="D1072" i="45"/>
  <c r="B1072" i="45"/>
  <c r="A1072" i="45"/>
  <c r="X1071" i="45"/>
  <c r="F1071" i="45"/>
  <c r="E1071" i="45"/>
  <c r="D1071" i="45"/>
  <c r="B1071" i="45"/>
  <c r="A1071" i="45"/>
  <c r="X1070" i="45"/>
  <c r="F1070" i="45"/>
  <c r="E1070" i="45"/>
  <c r="D1070" i="45"/>
  <c r="B1070" i="45"/>
  <c r="A1070" i="45"/>
  <c r="X1069" i="45"/>
  <c r="F1069" i="45"/>
  <c r="E1069" i="45"/>
  <c r="D1069" i="45"/>
  <c r="B1069" i="45"/>
  <c r="A1069" i="45"/>
  <c r="X1068" i="45"/>
  <c r="F1068" i="45"/>
  <c r="E1068" i="45"/>
  <c r="D1068" i="45"/>
  <c r="B1068" i="45"/>
  <c r="A1068" i="45"/>
  <c r="X1067" i="45"/>
  <c r="F1067" i="45"/>
  <c r="E1067" i="45"/>
  <c r="D1067" i="45"/>
  <c r="B1067" i="45"/>
  <c r="A1067" i="45"/>
  <c r="X1066" i="45"/>
  <c r="F1066" i="45"/>
  <c r="E1066" i="45"/>
  <c r="D1066" i="45"/>
  <c r="B1066" i="45"/>
  <c r="A1066" i="45"/>
  <c r="X1065" i="45"/>
  <c r="F1065" i="45"/>
  <c r="E1065" i="45"/>
  <c r="D1065" i="45"/>
  <c r="B1065" i="45"/>
  <c r="A1065" i="45"/>
  <c r="X1064" i="45"/>
  <c r="F1064" i="45"/>
  <c r="E1064" i="45"/>
  <c r="D1064" i="45"/>
  <c r="B1064" i="45"/>
  <c r="A1064" i="45"/>
  <c r="X1063" i="45"/>
  <c r="F1063" i="45"/>
  <c r="E1063" i="45"/>
  <c r="D1063" i="45"/>
  <c r="B1063" i="45"/>
  <c r="A1063" i="45"/>
  <c r="X1062" i="45"/>
  <c r="F1062" i="45"/>
  <c r="E1062" i="45"/>
  <c r="D1062" i="45"/>
  <c r="B1062" i="45"/>
  <c r="A1062" i="45"/>
  <c r="X1061" i="45"/>
  <c r="F1061" i="45"/>
  <c r="E1061" i="45"/>
  <c r="D1061" i="45"/>
  <c r="B1061" i="45"/>
  <c r="A1061" i="45"/>
  <c r="X1060" i="45"/>
  <c r="F1060" i="45"/>
  <c r="E1060" i="45"/>
  <c r="D1060" i="45"/>
  <c r="B1060" i="45"/>
  <c r="A1060" i="45"/>
  <c r="X1059" i="45"/>
  <c r="F1059" i="45"/>
  <c r="E1059" i="45"/>
  <c r="D1059" i="45"/>
  <c r="B1059" i="45"/>
  <c r="A1059" i="45"/>
  <c r="X1058" i="45"/>
  <c r="F1058" i="45"/>
  <c r="E1058" i="45"/>
  <c r="D1058" i="45"/>
  <c r="B1058" i="45"/>
  <c r="A1058" i="45"/>
  <c r="X1057" i="45"/>
  <c r="F1057" i="45"/>
  <c r="E1057" i="45"/>
  <c r="D1057" i="45"/>
  <c r="B1057" i="45"/>
  <c r="A1057" i="45"/>
  <c r="X1056" i="45"/>
  <c r="F1056" i="45"/>
  <c r="E1056" i="45"/>
  <c r="D1056" i="45"/>
  <c r="B1056" i="45"/>
  <c r="A1056" i="45"/>
  <c r="X1055" i="45"/>
  <c r="F1055" i="45"/>
  <c r="E1055" i="45"/>
  <c r="D1055" i="45"/>
  <c r="B1055" i="45"/>
  <c r="A1055" i="45"/>
  <c r="X1054" i="45"/>
  <c r="F1054" i="45"/>
  <c r="E1054" i="45"/>
  <c r="D1054" i="45"/>
  <c r="B1054" i="45"/>
  <c r="A1054" i="45"/>
  <c r="X1053" i="45"/>
  <c r="F1053" i="45"/>
  <c r="E1053" i="45"/>
  <c r="D1053" i="45"/>
  <c r="B1053" i="45"/>
  <c r="A1053" i="45"/>
  <c r="X1052" i="45"/>
  <c r="F1052" i="45"/>
  <c r="E1052" i="45"/>
  <c r="D1052" i="45"/>
  <c r="B1052" i="45"/>
  <c r="A1052" i="45"/>
  <c r="X1051" i="45"/>
  <c r="F1051" i="45"/>
  <c r="E1051" i="45"/>
  <c r="D1051" i="45"/>
  <c r="B1051" i="45"/>
  <c r="A1051" i="45"/>
  <c r="X1050" i="45"/>
  <c r="F1050" i="45"/>
  <c r="E1050" i="45"/>
  <c r="D1050" i="45"/>
  <c r="B1050" i="45"/>
  <c r="A1050" i="45"/>
  <c r="X1049" i="45"/>
  <c r="F1049" i="45"/>
  <c r="E1049" i="45"/>
  <c r="D1049" i="45"/>
  <c r="B1049" i="45"/>
  <c r="A1049" i="45"/>
  <c r="X1048" i="45"/>
  <c r="F1048" i="45"/>
  <c r="E1048" i="45"/>
  <c r="D1048" i="45"/>
  <c r="B1048" i="45"/>
  <c r="A1048" i="45"/>
  <c r="X1047" i="45"/>
  <c r="F1047" i="45"/>
  <c r="E1047" i="45"/>
  <c r="D1047" i="45"/>
  <c r="B1047" i="45"/>
  <c r="A1047" i="45"/>
  <c r="X1046" i="45"/>
  <c r="F1046" i="45"/>
  <c r="E1046" i="45"/>
  <c r="D1046" i="45"/>
  <c r="B1046" i="45"/>
  <c r="A1046" i="45"/>
  <c r="X1045" i="45"/>
  <c r="F1045" i="45"/>
  <c r="E1045" i="45"/>
  <c r="D1045" i="45"/>
  <c r="B1045" i="45"/>
  <c r="A1045" i="45"/>
  <c r="X1044" i="45"/>
  <c r="F1044" i="45"/>
  <c r="E1044" i="45"/>
  <c r="D1044" i="45"/>
  <c r="B1044" i="45"/>
  <c r="A1044" i="45"/>
  <c r="X1043" i="45"/>
  <c r="F1043" i="45"/>
  <c r="E1043" i="45"/>
  <c r="D1043" i="45"/>
  <c r="B1043" i="45"/>
  <c r="A1043" i="45"/>
  <c r="X1042" i="45"/>
  <c r="F1042" i="45"/>
  <c r="E1042" i="45"/>
  <c r="D1042" i="45"/>
  <c r="B1042" i="45"/>
  <c r="A1042" i="45"/>
  <c r="X1041" i="45"/>
  <c r="F1041" i="45"/>
  <c r="E1041" i="45"/>
  <c r="D1041" i="45"/>
  <c r="B1041" i="45"/>
  <c r="A1041" i="45"/>
  <c r="X1040" i="45"/>
  <c r="F1040" i="45"/>
  <c r="E1040" i="45"/>
  <c r="D1040" i="45"/>
  <c r="B1040" i="45"/>
  <c r="A1040" i="45"/>
  <c r="X1039" i="45"/>
  <c r="F1039" i="45"/>
  <c r="E1039" i="45"/>
  <c r="D1039" i="45"/>
  <c r="B1039" i="45"/>
  <c r="A1039" i="45"/>
  <c r="X1038" i="45"/>
  <c r="F1038" i="45"/>
  <c r="E1038" i="45"/>
  <c r="D1038" i="45"/>
  <c r="B1038" i="45"/>
  <c r="A1038" i="45"/>
  <c r="X1037" i="45"/>
  <c r="F1037" i="45"/>
  <c r="E1037" i="45"/>
  <c r="D1037" i="45"/>
  <c r="B1037" i="45"/>
  <c r="A1037" i="45"/>
  <c r="X1036" i="45"/>
  <c r="F1036" i="45"/>
  <c r="E1036" i="45"/>
  <c r="D1036" i="45"/>
  <c r="B1036" i="45"/>
  <c r="A1036" i="45"/>
  <c r="X1035" i="45"/>
  <c r="F1035" i="45"/>
  <c r="E1035" i="45"/>
  <c r="D1035" i="45"/>
  <c r="B1035" i="45"/>
  <c r="A1035" i="45"/>
  <c r="X1034" i="45"/>
  <c r="F1034" i="45"/>
  <c r="E1034" i="45"/>
  <c r="D1034" i="45"/>
  <c r="B1034" i="45"/>
  <c r="A1034" i="45"/>
  <c r="X1033" i="45"/>
  <c r="F1033" i="45"/>
  <c r="E1033" i="45"/>
  <c r="D1033" i="45"/>
  <c r="B1033" i="45"/>
  <c r="A1033" i="45"/>
  <c r="X1032" i="45"/>
  <c r="F1032" i="45"/>
  <c r="E1032" i="45"/>
  <c r="D1032" i="45"/>
  <c r="B1032" i="45"/>
  <c r="A1032" i="45"/>
  <c r="X1031" i="45"/>
  <c r="F1031" i="45"/>
  <c r="E1031" i="45"/>
  <c r="D1031" i="45"/>
  <c r="B1031" i="45"/>
  <c r="A1031" i="45"/>
  <c r="X1030" i="45"/>
  <c r="F1030" i="45"/>
  <c r="E1030" i="45"/>
  <c r="D1030" i="45"/>
  <c r="B1030" i="45"/>
  <c r="A1030" i="45"/>
  <c r="X1029" i="45"/>
  <c r="F1029" i="45"/>
  <c r="E1029" i="45"/>
  <c r="D1029" i="45"/>
  <c r="B1029" i="45"/>
  <c r="A1029" i="45"/>
  <c r="X1028" i="45"/>
  <c r="F1028" i="45"/>
  <c r="E1028" i="45"/>
  <c r="D1028" i="45"/>
  <c r="B1028" i="45"/>
  <c r="A1028" i="45"/>
  <c r="X1027" i="45"/>
  <c r="F1027" i="45"/>
  <c r="E1027" i="45"/>
  <c r="D1027" i="45"/>
  <c r="B1027" i="45"/>
  <c r="A1027" i="45"/>
  <c r="X1026" i="45"/>
  <c r="F1026" i="45"/>
  <c r="E1026" i="45"/>
  <c r="D1026" i="45"/>
  <c r="B1026" i="45"/>
  <c r="A1026" i="45"/>
  <c r="X1025" i="45"/>
  <c r="F1025" i="45"/>
  <c r="E1025" i="45"/>
  <c r="D1025" i="45"/>
  <c r="B1025" i="45"/>
  <c r="A1025" i="45"/>
  <c r="X1024" i="45"/>
  <c r="F1024" i="45"/>
  <c r="E1024" i="45"/>
  <c r="D1024" i="45"/>
  <c r="B1024" i="45"/>
  <c r="A1024" i="45"/>
  <c r="X1023" i="45"/>
  <c r="F1023" i="45"/>
  <c r="E1023" i="45"/>
  <c r="D1023" i="45"/>
  <c r="B1023" i="45"/>
  <c r="A1023" i="45"/>
  <c r="X1022" i="45"/>
  <c r="F1022" i="45"/>
  <c r="E1022" i="45"/>
  <c r="D1022" i="45"/>
  <c r="B1022" i="45"/>
  <c r="A1022" i="45"/>
  <c r="X1021" i="45"/>
  <c r="F1021" i="45"/>
  <c r="E1021" i="45"/>
  <c r="D1021" i="45"/>
  <c r="B1021" i="45"/>
  <c r="A1021" i="45"/>
  <c r="X1020" i="45"/>
  <c r="F1020" i="45"/>
  <c r="E1020" i="45"/>
  <c r="D1020" i="45"/>
  <c r="B1020" i="45"/>
  <c r="A1020" i="45"/>
  <c r="X1019" i="45"/>
  <c r="F1019" i="45"/>
  <c r="E1019" i="45"/>
  <c r="D1019" i="45"/>
  <c r="B1019" i="45"/>
  <c r="A1019" i="45"/>
  <c r="X1018" i="45"/>
  <c r="F1018" i="45"/>
  <c r="E1018" i="45"/>
  <c r="D1018" i="45"/>
  <c r="B1018" i="45"/>
  <c r="A1018" i="45"/>
  <c r="X1017" i="45"/>
  <c r="F1017" i="45"/>
  <c r="E1017" i="45"/>
  <c r="D1017" i="45"/>
  <c r="B1017" i="45"/>
  <c r="A1017" i="45"/>
  <c r="X1016" i="45"/>
  <c r="F1016" i="45"/>
  <c r="E1016" i="45"/>
  <c r="D1016" i="45"/>
  <c r="B1016" i="45"/>
  <c r="A1016" i="45"/>
  <c r="X1015" i="45"/>
  <c r="F1015" i="45"/>
  <c r="E1015" i="45"/>
  <c r="D1015" i="45"/>
  <c r="B1015" i="45"/>
  <c r="A1015" i="45"/>
  <c r="X1014" i="45"/>
  <c r="F1014" i="45"/>
  <c r="E1014" i="45"/>
  <c r="D1014" i="45"/>
  <c r="B1014" i="45"/>
  <c r="A1014" i="45"/>
  <c r="X1013" i="45"/>
  <c r="F1013" i="45"/>
  <c r="E1013" i="45"/>
  <c r="D1013" i="45"/>
  <c r="B1013" i="45"/>
  <c r="A1013" i="45"/>
  <c r="X1012" i="45"/>
  <c r="F1012" i="45"/>
  <c r="E1012" i="45"/>
  <c r="D1012" i="45"/>
  <c r="B1012" i="45"/>
  <c r="A1012" i="45"/>
  <c r="X1011" i="45"/>
  <c r="F1011" i="45"/>
  <c r="E1011" i="45"/>
  <c r="D1011" i="45"/>
  <c r="B1011" i="45"/>
  <c r="A1011" i="45"/>
  <c r="X1010" i="45"/>
  <c r="F1010" i="45"/>
  <c r="E1010" i="45"/>
  <c r="D1010" i="45"/>
  <c r="B1010" i="45"/>
  <c r="A1010" i="45"/>
  <c r="X1009" i="45"/>
  <c r="F1009" i="45"/>
  <c r="E1009" i="45"/>
  <c r="D1009" i="45"/>
  <c r="B1009" i="45"/>
  <c r="A1009" i="45"/>
  <c r="X1008" i="45"/>
  <c r="F1008" i="45"/>
  <c r="E1008" i="45"/>
  <c r="D1008" i="45"/>
  <c r="B1008" i="45"/>
  <c r="A1008" i="45"/>
  <c r="X1007" i="45"/>
  <c r="F1007" i="45"/>
  <c r="E1007" i="45"/>
  <c r="D1007" i="45"/>
  <c r="B1007" i="45"/>
  <c r="A1007" i="45"/>
  <c r="X1006" i="45"/>
  <c r="F1006" i="45"/>
  <c r="E1006" i="45"/>
  <c r="D1006" i="45"/>
  <c r="B1006" i="45"/>
  <c r="A1006" i="45"/>
  <c r="X1005" i="45"/>
  <c r="F1005" i="45"/>
  <c r="E1005" i="45"/>
  <c r="D1005" i="45"/>
  <c r="B1005" i="45"/>
  <c r="A1005" i="45"/>
  <c r="X1004" i="45"/>
  <c r="F1004" i="45"/>
  <c r="E1004" i="45"/>
  <c r="D1004" i="45"/>
  <c r="B1004" i="45"/>
  <c r="A1004" i="45"/>
  <c r="X1003" i="45"/>
  <c r="F1003" i="45"/>
  <c r="E1003" i="45"/>
  <c r="D1003" i="45"/>
  <c r="B1003" i="45"/>
  <c r="A1003" i="45"/>
  <c r="X1002" i="45"/>
  <c r="F1002" i="45"/>
  <c r="E1002" i="45"/>
  <c r="D1002" i="45"/>
  <c r="B1002" i="45"/>
  <c r="A1002" i="45"/>
  <c r="X1001" i="45"/>
  <c r="F1001" i="45"/>
  <c r="E1001" i="45"/>
  <c r="D1001" i="45"/>
  <c r="B1001" i="45"/>
  <c r="A1001" i="45"/>
  <c r="X1000" i="45"/>
  <c r="F1000" i="45"/>
  <c r="E1000" i="45"/>
  <c r="D1000" i="45"/>
  <c r="B1000" i="45"/>
  <c r="A1000" i="45"/>
  <c r="X999" i="45"/>
  <c r="F999" i="45"/>
  <c r="E999" i="45"/>
  <c r="D999" i="45"/>
  <c r="B999" i="45"/>
  <c r="A999" i="45"/>
  <c r="X998" i="45"/>
  <c r="F998" i="45"/>
  <c r="E998" i="45"/>
  <c r="D998" i="45"/>
  <c r="B998" i="45"/>
  <c r="A998" i="45"/>
  <c r="X997" i="45"/>
  <c r="F997" i="45"/>
  <c r="E997" i="45"/>
  <c r="D997" i="45"/>
  <c r="B997" i="45"/>
  <c r="A997" i="45"/>
  <c r="X996" i="45"/>
  <c r="F996" i="45"/>
  <c r="E996" i="45"/>
  <c r="D996" i="45"/>
  <c r="B996" i="45"/>
  <c r="A996" i="45"/>
  <c r="X995" i="45"/>
  <c r="F995" i="45"/>
  <c r="E995" i="45"/>
  <c r="D995" i="45"/>
  <c r="B995" i="45"/>
  <c r="A995" i="45"/>
  <c r="X994" i="45"/>
  <c r="F994" i="45"/>
  <c r="E994" i="45"/>
  <c r="D994" i="45"/>
  <c r="B994" i="45"/>
  <c r="A994" i="45"/>
  <c r="X993" i="45"/>
  <c r="F993" i="45"/>
  <c r="E993" i="45"/>
  <c r="D993" i="45"/>
  <c r="B993" i="45"/>
  <c r="A993" i="45"/>
  <c r="X992" i="45"/>
  <c r="F992" i="45"/>
  <c r="E992" i="45"/>
  <c r="D992" i="45"/>
  <c r="B992" i="45"/>
  <c r="A992" i="45"/>
  <c r="X991" i="45"/>
  <c r="F991" i="45"/>
  <c r="E991" i="45"/>
  <c r="D991" i="45"/>
  <c r="B991" i="45"/>
  <c r="A991" i="45"/>
  <c r="X990" i="45"/>
  <c r="F990" i="45"/>
  <c r="E990" i="45"/>
  <c r="D990" i="45"/>
  <c r="B990" i="45"/>
  <c r="A990" i="45"/>
  <c r="X989" i="45"/>
  <c r="F989" i="45"/>
  <c r="E989" i="45"/>
  <c r="D989" i="45"/>
  <c r="B989" i="45"/>
  <c r="A989" i="45"/>
  <c r="X988" i="45"/>
  <c r="F988" i="45"/>
  <c r="E988" i="45"/>
  <c r="D988" i="45"/>
  <c r="B988" i="45"/>
  <c r="A988" i="45"/>
  <c r="X987" i="45"/>
  <c r="F987" i="45"/>
  <c r="E987" i="45"/>
  <c r="D987" i="45"/>
  <c r="B987" i="45"/>
  <c r="A987" i="45"/>
  <c r="X986" i="45"/>
  <c r="F986" i="45"/>
  <c r="E986" i="45"/>
  <c r="D986" i="45"/>
  <c r="B986" i="45"/>
  <c r="A986" i="45"/>
  <c r="X985" i="45"/>
  <c r="F985" i="45"/>
  <c r="E985" i="45"/>
  <c r="D985" i="45"/>
  <c r="B985" i="45"/>
  <c r="A985" i="45"/>
  <c r="X984" i="45"/>
  <c r="F984" i="45"/>
  <c r="E984" i="45"/>
  <c r="D984" i="45"/>
  <c r="B984" i="45"/>
  <c r="A984" i="45"/>
  <c r="X983" i="45"/>
  <c r="F983" i="45"/>
  <c r="E983" i="45"/>
  <c r="D983" i="45"/>
  <c r="B983" i="45"/>
  <c r="A983" i="45"/>
  <c r="X982" i="45"/>
  <c r="F982" i="45"/>
  <c r="E982" i="45"/>
  <c r="D982" i="45"/>
  <c r="B982" i="45"/>
  <c r="A982" i="45"/>
  <c r="X981" i="45"/>
  <c r="F981" i="45"/>
  <c r="E981" i="45"/>
  <c r="D981" i="45"/>
  <c r="B981" i="45"/>
  <c r="A981" i="45"/>
  <c r="X980" i="45"/>
  <c r="F980" i="45"/>
  <c r="E980" i="45"/>
  <c r="D980" i="45"/>
  <c r="B980" i="45"/>
  <c r="A980" i="45"/>
  <c r="X979" i="45"/>
  <c r="F979" i="45"/>
  <c r="E979" i="45"/>
  <c r="D979" i="45"/>
  <c r="B979" i="45"/>
  <c r="A979" i="45"/>
  <c r="X978" i="45"/>
  <c r="F978" i="45"/>
  <c r="E978" i="45"/>
  <c r="D978" i="45"/>
  <c r="B978" i="45"/>
  <c r="A978" i="45"/>
  <c r="X977" i="45"/>
  <c r="F977" i="45"/>
  <c r="E977" i="45"/>
  <c r="D977" i="45"/>
  <c r="B977" i="45"/>
  <c r="A977" i="45"/>
  <c r="X976" i="45"/>
  <c r="F976" i="45"/>
  <c r="E976" i="45"/>
  <c r="D976" i="45"/>
  <c r="B976" i="45"/>
  <c r="A976" i="45"/>
  <c r="X975" i="45"/>
  <c r="F975" i="45"/>
  <c r="E975" i="45"/>
  <c r="D975" i="45"/>
  <c r="B975" i="45"/>
  <c r="A975" i="45"/>
  <c r="X974" i="45"/>
  <c r="F974" i="45"/>
  <c r="E974" i="45"/>
  <c r="D974" i="45"/>
  <c r="B974" i="45"/>
  <c r="A974" i="45"/>
  <c r="X973" i="45"/>
  <c r="F973" i="45"/>
  <c r="E973" i="45"/>
  <c r="D973" i="45"/>
  <c r="B973" i="45"/>
  <c r="A973" i="45"/>
  <c r="X972" i="45"/>
  <c r="F972" i="45"/>
  <c r="E972" i="45"/>
  <c r="D972" i="45"/>
  <c r="B972" i="45"/>
  <c r="A972" i="45"/>
  <c r="X971" i="45"/>
  <c r="F971" i="45"/>
  <c r="E971" i="45"/>
  <c r="D971" i="45"/>
  <c r="B971" i="45"/>
  <c r="A971" i="45"/>
  <c r="X970" i="45"/>
  <c r="F970" i="45"/>
  <c r="E970" i="45"/>
  <c r="D970" i="45"/>
  <c r="B970" i="45"/>
  <c r="A970" i="45"/>
  <c r="X969" i="45"/>
  <c r="F969" i="45"/>
  <c r="E969" i="45"/>
  <c r="D969" i="45"/>
  <c r="B969" i="45"/>
  <c r="A969" i="45"/>
  <c r="X968" i="45"/>
  <c r="F968" i="45"/>
  <c r="E968" i="45"/>
  <c r="D968" i="45"/>
  <c r="B968" i="45"/>
  <c r="A968" i="45"/>
  <c r="X967" i="45"/>
  <c r="F967" i="45"/>
  <c r="E967" i="45"/>
  <c r="D967" i="45"/>
  <c r="B967" i="45"/>
  <c r="A967" i="45"/>
  <c r="X966" i="45"/>
  <c r="F966" i="45"/>
  <c r="E966" i="45"/>
  <c r="D966" i="45"/>
  <c r="B966" i="45"/>
  <c r="A966" i="45"/>
  <c r="X965" i="45"/>
  <c r="F965" i="45"/>
  <c r="E965" i="45"/>
  <c r="D965" i="45"/>
  <c r="B965" i="45"/>
  <c r="A965" i="45"/>
  <c r="X964" i="45"/>
  <c r="F964" i="45"/>
  <c r="E964" i="45"/>
  <c r="D964" i="45"/>
  <c r="B964" i="45"/>
  <c r="A964" i="45"/>
  <c r="X963" i="45"/>
  <c r="F963" i="45"/>
  <c r="E963" i="45"/>
  <c r="D963" i="45"/>
  <c r="B963" i="45"/>
  <c r="A963" i="45"/>
  <c r="X962" i="45"/>
  <c r="F962" i="45"/>
  <c r="E962" i="45"/>
  <c r="D962" i="45"/>
  <c r="B962" i="45"/>
  <c r="A962" i="45"/>
  <c r="X961" i="45"/>
  <c r="F961" i="45"/>
  <c r="E961" i="45"/>
  <c r="D961" i="45"/>
  <c r="B961" i="45"/>
  <c r="A961" i="45"/>
  <c r="X960" i="45"/>
  <c r="F960" i="45"/>
  <c r="E960" i="45"/>
  <c r="D960" i="45"/>
  <c r="B960" i="45"/>
  <c r="A960" i="45"/>
  <c r="X959" i="45"/>
  <c r="F959" i="45"/>
  <c r="E959" i="45"/>
  <c r="D959" i="45"/>
  <c r="B959" i="45"/>
  <c r="A959" i="45"/>
  <c r="X958" i="45"/>
  <c r="F958" i="45"/>
  <c r="E958" i="45"/>
  <c r="D958" i="45"/>
  <c r="B958" i="45"/>
  <c r="A958" i="45"/>
  <c r="X957" i="45"/>
  <c r="F957" i="45"/>
  <c r="E957" i="45"/>
  <c r="D957" i="45"/>
  <c r="B957" i="45"/>
  <c r="A957" i="45"/>
  <c r="X956" i="45"/>
  <c r="F956" i="45"/>
  <c r="E956" i="45"/>
  <c r="D956" i="45"/>
  <c r="B956" i="45"/>
  <c r="A956" i="45"/>
  <c r="X955" i="45"/>
  <c r="F955" i="45"/>
  <c r="E955" i="45"/>
  <c r="D955" i="45"/>
  <c r="B955" i="45"/>
  <c r="A955" i="45"/>
  <c r="X954" i="45"/>
  <c r="F954" i="45"/>
  <c r="E954" i="45"/>
  <c r="D954" i="45"/>
  <c r="B954" i="45"/>
  <c r="A954" i="45"/>
  <c r="X953" i="45"/>
  <c r="F953" i="45"/>
  <c r="E953" i="45"/>
  <c r="D953" i="45"/>
  <c r="B953" i="45"/>
  <c r="A953" i="45"/>
  <c r="X952" i="45"/>
  <c r="F952" i="45"/>
  <c r="E952" i="45"/>
  <c r="D952" i="45"/>
  <c r="B952" i="45"/>
  <c r="A952" i="45"/>
  <c r="X951" i="45"/>
  <c r="F951" i="45"/>
  <c r="E951" i="45"/>
  <c r="D951" i="45"/>
  <c r="B951" i="45"/>
  <c r="A951" i="45"/>
  <c r="X950" i="45"/>
  <c r="F950" i="45"/>
  <c r="E950" i="45"/>
  <c r="D950" i="45"/>
  <c r="B950" i="45"/>
  <c r="A950" i="45"/>
  <c r="X949" i="45"/>
  <c r="F949" i="45"/>
  <c r="E949" i="45"/>
  <c r="D949" i="45"/>
  <c r="B949" i="45"/>
  <c r="A949" i="45"/>
  <c r="X948" i="45"/>
  <c r="F948" i="45"/>
  <c r="E948" i="45"/>
  <c r="D948" i="45"/>
  <c r="B948" i="45"/>
  <c r="A948" i="45"/>
  <c r="X947" i="45"/>
  <c r="F947" i="45"/>
  <c r="E947" i="45"/>
  <c r="D947" i="45"/>
  <c r="B947" i="45"/>
  <c r="A947" i="45"/>
  <c r="X946" i="45"/>
  <c r="F946" i="45"/>
  <c r="E946" i="45"/>
  <c r="D946" i="45"/>
  <c r="B946" i="45"/>
  <c r="A946" i="45"/>
  <c r="X945" i="45"/>
  <c r="F945" i="45"/>
  <c r="E945" i="45"/>
  <c r="D945" i="45"/>
  <c r="B945" i="45"/>
  <c r="A945" i="45"/>
  <c r="X944" i="45"/>
  <c r="F944" i="45"/>
  <c r="E944" i="45"/>
  <c r="D944" i="45"/>
  <c r="B944" i="45"/>
  <c r="A944" i="45"/>
  <c r="X943" i="45"/>
  <c r="F943" i="45"/>
  <c r="E943" i="45"/>
  <c r="D943" i="45"/>
  <c r="B943" i="45"/>
  <c r="A943" i="45"/>
  <c r="X942" i="45"/>
  <c r="F942" i="45"/>
  <c r="E942" i="45"/>
  <c r="D942" i="45"/>
  <c r="B942" i="45"/>
  <c r="A942" i="45"/>
  <c r="X941" i="45"/>
  <c r="F941" i="45"/>
  <c r="E941" i="45"/>
  <c r="D941" i="45"/>
  <c r="B941" i="45"/>
  <c r="A941" i="45"/>
  <c r="X940" i="45"/>
  <c r="F940" i="45"/>
  <c r="E940" i="45"/>
  <c r="D940" i="45"/>
  <c r="B940" i="45"/>
  <c r="A940" i="45"/>
  <c r="X939" i="45"/>
  <c r="F939" i="45"/>
  <c r="E939" i="45"/>
  <c r="D939" i="45"/>
  <c r="B939" i="45"/>
  <c r="A939" i="45"/>
  <c r="X938" i="45"/>
  <c r="F938" i="45"/>
  <c r="E938" i="45"/>
  <c r="D938" i="45"/>
  <c r="B938" i="45"/>
  <c r="A938" i="45"/>
  <c r="X937" i="45"/>
  <c r="F937" i="45"/>
  <c r="E937" i="45"/>
  <c r="D937" i="45"/>
  <c r="B937" i="45"/>
  <c r="A937" i="45"/>
  <c r="X936" i="45"/>
  <c r="F936" i="45"/>
  <c r="E936" i="45"/>
  <c r="D936" i="45"/>
  <c r="B936" i="45"/>
  <c r="A936" i="45"/>
  <c r="X935" i="45"/>
  <c r="F935" i="45"/>
  <c r="E935" i="45"/>
  <c r="D935" i="45"/>
  <c r="B935" i="45"/>
  <c r="A935" i="45"/>
  <c r="X934" i="45"/>
  <c r="F934" i="45"/>
  <c r="E934" i="45"/>
  <c r="D934" i="45"/>
  <c r="B934" i="45"/>
  <c r="A934" i="45"/>
  <c r="X933" i="45"/>
  <c r="F933" i="45"/>
  <c r="E933" i="45"/>
  <c r="D933" i="45"/>
  <c r="B933" i="45"/>
  <c r="A933" i="45"/>
  <c r="X932" i="45"/>
  <c r="F932" i="45"/>
  <c r="E932" i="45"/>
  <c r="D932" i="45"/>
  <c r="B932" i="45"/>
  <c r="A932" i="45"/>
  <c r="X931" i="45"/>
  <c r="F931" i="45"/>
  <c r="E931" i="45"/>
  <c r="D931" i="45"/>
  <c r="B931" i="45"/>
  <c r="A931" i="45"/>
  <c r="X930" i="45"/>
  <c r="F930" i="45"/>
  <c r="E930" i="45"/>
  <c r="D930" i="45"/>
  <c r="B930" i="45"/>
  <c r="A930" i="45"/>
  <c r="X929" i="45"/>
  <c r="F929" i="45"/>
  <c r="E929" i="45"/>
  <c r="D929" i="45"/>
  <c r="B929" i="45"/>
  <c r="A929" i="45"/>
  <c r="X928" i="45"/>
  <c r="F928" i="45"/>
  <c r="E928" i="45"/>
  <c r="D928" i="45"/>
  <c r="B928" i="45"/>
  <c r="A928" i="45"/>
  <c r="X927" i="45"/>
  <c r="F927" i="45"/>
  <c r="E927" i="45"/>
  <c r="D927" i="45"/>
  <c r="B927" i="45"/>
  <c r="A927" i="45"/>
  <c r="X926" i="45"/>
  <c r="F926" i="45"/>
  <c r="E926" i="45"/>
  <c r="D926" i="45"/>
  <c r="B926" i="45"/>
  <c r="A926" i="45"/>
  <c r="X925" i="45"/>
  <c r="F925" i="45"/>
  <c r="E925" i="45"/>
  <c r="D925" i="45"/>
  <c r="B925" i="45"/>
  <c r="A925" i="45"/>
  <c r="X924" i="45"/>
  <c r="F924" i="45"/>
  <c r="E924" i="45"/>
  <c r="D924" i="45"/>
  <c r="B924" i="45"/>
  <c r="A924" i="45"/>
  <c r="X923" i="45"/>
  <c r="F923" i="45"/>
  <c r="E923" i="45"/>
  <c r="D923" i="45"/>
  <c r="B923" i="45"/>
  <c r="A923" i="45"/>
  <c r="X922" i="45"/>
  <c r="F922" i="45"/>
  <c r="E922" i="45"/>
  <c r="D922" i="45"/>
  <c r="B922" i="45"/>
  <c r="A922" i="45"/>
  <c r="X921" i="45"/>
  <c r="F921" i="45"/>
  <c r="E921" i="45"/>
  <c r="D921" i="45"/>
  <c r="B921" i="45"/>
  <c r="A921" i="45"/>
  <c r="X920" i="45"/>
  <c r="F920" i="45"/>
  <c r="E920" i="45"/>
  <c r="D920" i="45"/>
  <c r="B920" i="45"/>
  <c r="A920" i="45"/>
  <c r="X919" i="45"/>
  <c r="F919" i="45"/>
  <c r="E919" i="45"/>
  <c r="D919" i="45"/>
  <c r="B919" i="45"/>
  <c r="A919" i="45"/>
  <c r="X918" i="45"/>
  <c r="F918" i="45"/>
  <c r="E918" i="45"/>
  <c r="D918" i="45"/>
  <c r="B918" i="45"/>
  <c r="A918" i="45"/>
  <c r="X917" i="45"/>
  <c r="F917" i="45"/>
  <c r="E917" i="45"/>
  <c r="D917" i="45"/>
  <c r="B917" i="45"/>
  <c r="A917" i="45"/>
  <c r="X916" i="45"/>
  <c r="F916" i="45"/>
  <c r="E916" i="45"/>
  <c r="D916" i="45"/>
  <c r="B916" i="45"/>
  <c r="A916" i="45"/>
  <c r="X915" i="45"/>
  <c r="F915" i="45"/>
  <c r="E915" i="45"/>
  <c r="D915" i="45"/>
  <c r="B915" i="45"/>
  <c r="A915" i="45"/>
  <c r="X914" i="45"/>
  <c r="F914" i="45"/>
  <c r="E914" i="45"/>
  <c r="D914" i="45"/>
  <c r="B914" i="45"/>
  <c r="A914" i="45"/>
  <c r="X913" i="45"/>
  <c r="F913" i="45"/>
  <c r="E913" i="45"/>
  <c r="D913" i="45"/>
  <c r="B913" i="45"/>
  <c r="A913" i="45"/>
  <c r="X912" i="45"/>
  <c r="F912" i="45"/>
  <c r="E912" i="45"/>
  <c r="D912" i="45"/>
  <c r="B912" i="45"/>
  <c r="A912" i="45"/>
  <c r="X911" i="45"/>
  <c r="F911" i="45"/>
  <c r="E911" i="45"/>
  <c r="D911" i="45"/>
  <c r="B911" i="45"/>
  <c r="A911" i="45"/>
  <c r="X910" i="45"/>
  <c r="F910" i="45"/>
  <c r="E910" i="45"/>
  <c r="D910" i="45"/>
  <c r="B910" i="45"/>
  <c r="A910" i="45"/>
  <c r="X909" i="45"/>
  <c r="F909" i="45"/>
  <c r="E909" i="45"/>
  <c r="D909" i="45"/>
  <c r="B909" i="45"/>
  <c r="A909" i="45"/>
  <c r="X908" i="45"/>
  <c r="F908" i="45"/>
  <c r="E908" i="45"/>
  <c r="D908" i="45"/>
  <c r="B908" i="45"/>
  <c r="A908" i="45"/>
  <c r="X907" i="45"/>
  <c r="F907" i="45"/>
  <c r="E907" i="45"/>
  <c r="D907" i="45"/>
  <c r="B907" i="45"/>
  <c r="A907" i="45"/>
  <c r="X906" i="45"/>
  <c r="F906" i="45"/>
  <c r="E906" i="45"/>
  <c r="D906" i="45"/>
  <c r="B906" i="45"/>
  <c r="A906" i="45"/>
  <c r="X905" i="45"/>
  <c r="F905" i="45"/>
  <c r="E905" i="45"/>
  <c r="D905" i="45"/>
  <c r="B905" i="45"/>
  <c r="A905" i="45"/>
  <c r="X904" i="45"/>
  <c r="F904" i="45"/>
  <c r="E904" i="45"/>
  <c r="D904" i="45"/>
  <c r="B904" i="45"/>
  <c r="A904" i="45"/>
  <c r="X903" i="45"/>
  <c r="F903" i="45"/>
  <c r="E903" i="45"/>
  <c r="D903" i="45"/>
  <c r="B903" i="45"/>
  <c r="A903" i="45"/>
  <c r="X902" i="45"/>
  <c r="F902" i="45"/>
  <c r="E902" i="45"/>
  <c r="D902" i="45"/>
  <c r="B902" i="45"/>
  <c r="A902" i="45"/>
  <c r="X901" i="45"/>
  <c r="F901" i="45"/>
  <c r="E901" i="45"/>
  <c r="D901" i="45"/>
  <c r="B901" i="45"/>
  <c r="A901" i="45"/>
  <c r="X900" i="45"/>
  <c r="F900" i="45"/>
  <c r="E900" i="45"/>
  <c r="D900" i="45"/>
  <c r="B900" i="45"/>
  <c r="A900" i="45"/>
  <c r="X899" i="45"/>
  <c r="F899" i="45"/>
  <c r="E899" i="45"/>
  <c r="D899" i="45"/>
  <c r="B899" i="45"/>
  <c r="A899" i="45"/>
  <c r="X898" i="45"/>
  <c r="F898" i="45"/>
  <c r="E898" i="45"/>
  <c r="D898" i="45"/>
  <c r="B898" i="45"/>
  <c r="A898" i="45"/>
  <c r="X897" i="45"/>
  <c r="F897" i="45"/>
  <c r="E897" i="45"/>
  <c r="D897" i="45"/>
  <c r="B897" i="45"/>
  <c r="A897" i="45"/>
  <c r="X896" i="45"/>
  <c r="F896" i="45"/>
  <c r="E896" i="45"/>
  <c r="D896" i="45"/>
  <c r="B896" i="45"/>
  <c r="A896" i="45"/>
  <c r="X895" i="45"/>
  <c r="F895" i="45"/>
  <c r="E895" i="45"/>
  <c r="D895" i="45"/>
  <c r="B895" i="45"/>
  <c r="A895" i="45"/>
  <c r="X894" i="45"/>
  <c r="F894" i="45"/>
  <c r="E894" i="45"/>
  <c r="D894" i="45"/>
  <c r="B894" i="45"/>
  <c r="A894" i="45"/>
  <c r="X893" i="45"/>
  <c r="F893" i="45"/>
  <c r="E893" i="45"/>
  <c r="D893" i="45"/>
  <c r="B893" i="45"/>
  <c r="A893" i="45"/>
  <c r="X892" i="45"/>
  <c r="F892" i="45"/>
  <c r="E892" i="45"/>
  <c r="D892" i="45"/>
  <c r="B892" i="45"/>
  <c r="A892" i="45"/>
  <c r="X891" i="45"/>
  <c r="F891" i="45"/>
  <c r="E891" i="45"/>
  <c r="D891" i="45"/>
  <c r="B891" i="45"/>
  <c r="A891" i="45"/>
  <c r="X890" i="45"/>
  <c r="F890" i="45"/>
  <c r="E890" i="45"/>
  <c r="D890" i="45"/>
  <c r="B890" i="45"/>
  <c r="A890" i="45"/>
  <c r="X889" i="45"/>
  <c r="F889" i="45"/>
  <c r="E889" i="45"/>
  <c r="D889" i="45"/>
  <c r="B889" i="45"/>
  <c r="A889" i="45"/>
  <c r="X888" i="45"/>
  <c r="F888" i="45"/>
  <c r="E888" i="45"/>
  <c r="D888" i="45"/>
  <c r="B888" i="45"/>
  <c r="A888" i="45"/>
  <c r="X887" i="45"/>
  <c r="F887" i="45"/>
  <c r="E887" i="45"/>
  <c r="D887" i="45"/>
  <c r="B887" i="45"/>
  <c r="A887" i="45"/>
  <c r="X886" i="45"/>
  <c r="F886" i="45"/>
  <c r="E886" i="45"/>
  <c r="D886" i="45"/>
  <c r="B886" i="45"/>
  <c r="A886" i="45"/>
  <c r="X885" i="45"/>
  <c r="F885" i="45"/>
  <c r="E885" i="45"/>
  <c r="D885" i="45"/>
  <c r="B885" i="45"/>
  <c r="A885" i="45"/>
  <c r="X884" i="45"/>
  <c r="F884" i="45"/>
  <c r="E884" i="45"/>
  <c r="D884" i="45"/>
  <c r="B884" i="45"/>
  <c r="A884" i="45"/>
  <c r="X883" i="45"/>
  <c r="F883" i="45"/>
  <c r="E883" i="45"/>
  <c r="D883" i="45"/>
  <c r="B883" i="45"/>
  <c r="A883" i="45"/>
  <c r="X882" i="45"/>
  <c r="F882" i="45"/>
  <c r="E882" i="45"/>
  <c r="D882" i="45"/>
  <c r="B882" i="45"/>
  <c r="A882" i="45"/>
  <c r="X881" i="45"/>
  <c r="F881" i="45"/>
  <c r="E881" i="45"/>
  <c r="D881" i="45"/>
  <c r="B881" i="45"/>
  <c r="A881" i="45"/>
  <c r="X880" i="45"/>
  <c r="F880" i="45"/>
  <c r="E880" i="45"/>
  <c r="D880" i="45"/>
  <c r="B880" i="45"/>
  <c r="A880" i="45"/>
  <c r="X879" i="45"/>
  <c r="F879" i="45"/>
  <c r="E879" i="45"/>
  <c r="D879" i="45"/>
  <c r="B879" i="45"/>
  <c r="A879" i="45"/>
  <c r="X878" i="45"/>
  <c r="F878" i="45"/>
  <c r="E878" i="45"/>
  <c r="D878" i="45"/>
  <c r="B878" i="45"/>
  <c r="A878" i="45"/>
  <c r="X877" i="45"/>
  <c r="F877" i="45"/>
  <c r="E877" i="45"/>
  <c r="D877" i="45"/>
  <c r="B877" i="45"/>
  <c r="A877" i="45"/>
  <c r="X876" i="45"/>
  <c r="F876" i="45"/>
  <c r="E876" i="45"/>
  <c r="D876" i="45"/>
  <c r="B876" i="45"/>
  <c r="A876" i="45"/>
  <c r="X875" i="45"/>
  <c r="F875" i="45"/>
  <c r="E875" i="45"/>
  <c r="D875" i="45"/>
  <c r="B875" i="45"/>
  <c r="A875" i="45"/>
  <c r="X874" i="45"/>
  <c r="F874" i="45"/>
  <c r="E874" i="45"/>
  <c r="D874" i="45"/>
  <c r="B874" i="45"/>
  <c r="A874" i="45"/>
  <c r="X873" i="45"/>
  <c r="F873" i="45"/>
  <c r="E873" i="45"/>
  <c r="D873" i="45"/>
  <c r="B873" i="45"/>
  <c r="A873" i="45"/>
  <c r="X872" i="45"/>
  <c r="F872" i="45"/>
  <c r="E872" i="45"/>
  <c r="D872" i="45"/>
  <c r="B872" i="45"/>
  <c r="A872" i="45"/>
  <c r="X871" i="45"/>
  <c r="F871" i="45"/>
  <c r="E871" i="45"/>
  <c r="D871" i="45"/>
  <c r="B871" i="45"/>
  <c r="A871" i="45"/>
  <c r="X870" i="45"/>
  <c r="F870" i="45"/>
  <c r="E870" i="45"/>
  <c r="D870" i="45"/>
  <c r="B870" i="45"/>
  <c r="A870" i="45"/>
  <c r="X869" i="45"/>
  <c r="F869" i="45"/>
  <c r="E869" i="45"/>
  <c r="D869" i="45"/>
  <c r="B869" i="45"/>
  <c r="A869" i="45"/>
  <c r="X868" i="45"/>
  <c r="F868" i="45"/>
  <c r="E868" i="45"/>
  <c r="D868" i="45"/>
  <c r="B868" i="45"/>
  <c r="A868" i="45"/>
  <c r="X867" i="45"/>
  <c r="F867" i="45"/>
  <c r="E867" i="45"/>
  <c r="D867" i="45"/>
  <c r="B867" i="45"/>
  <c r="A867" i="45"/>
  <c r="X866" i="45"/>
  <c r="F866" i="45"/>
  <c r="E866" i="45"/>
  <c r="D866" i="45"/>
  <c r="B866" i="45"/>
  <c r="A866" i="45"/>
  <c r="X865" i="45"/>
  <c r="F865" i="45"/>
  <c r="E865" i="45"/>
  <c r="D865" i="45"/>
  <c r="B865" i="45"/>
  <c r="A865" i="45"/>
  <c r="X864" i="45"/>
  <c r="F864" i="45"/>
  <c r="E864" i="45"/>
  <c r="D864" i="45"/>
  <c r="B864" i="45"/>
  <c r="A864" i="45"/>
  <c r="X863" i="45"/>
  <c r="F863" i="45"/>
  <c r="E863" i="45"/>
  <c r="D863" i="45"/>
  <c r="B863" i="45"/>
  <c r="A863" i="45"/>
  <c r="X862" i="45"/>
  <c r="F862" i="45"/>
  <c r="E862" i="45"/>
  <c r="D862" i="45"/>
  <c r="B862" i="45"/>
  <c r="A862" i="45"/>
  <c r="X861" i="45"/>
  <c r="F861" i="45"/>
  <c r="E861" i="45"/>
  <c r="D861" i="45"/>
  <c r="B861" i="45"/>
  <c r="A861" i="45"/>
  <c r="X860" i="45"/>
  <c r="F860" i="45"/>
  <c r="E860" i="45"/>
  <c r="D860" i="45"/>
  <c r="B860" i="45"/>
  <c r="A860" i="45"/>
  <c r="X859" i="45"/>
  <c r="F859" i="45"/>
  <c r="E859" i="45"/>
  <c r="D859" i="45"/>
  <c r="B859" i="45"/>
  <c r="A859" i="45"/>
  <c r="X858" i="45"/>
  <c r="F858" i="45"/>
  <c r="E858" i="45"/>
  <c r="D858" i="45"/>
  <c r="B858" i="45"/>
  <c r="A858" i="45"/>
  <c r="X857" i="45"/>
  <c r="F857" i="45"/>
  <c r="E857" i="45"/>
  <c r="D857" i="45"/>
  <c r="B857" i="45"/>
  <c r="A857" i="45"/>
  <c r="X856" i="45"/>
  <c r="F856" i="45"/>
  <c r="E856" i="45"/>
  <c r="D856" i="45"/>
  <c r="B856" i="45"/>
  <c r="A856" i="45"/>
  <c r="X855" i="45"/>
  <c r="F855" i="45"/>
  <c r="E855" i="45"/>
  <c r="D855" i="45"/>
  <c r="B855" i="45"/>
  <c r="A855" i="45"/>
  <c r="X854" i="45"/>
  <c r="F854" i="45"/>
  <c r="E854" i="45"/>
  <c r="D854" i="45"/>
  <c r="B854" i="45"/>
  <c r="A854" i="45"/>
  <c r="X853" i="45"/>
  <c r="F853" i="45"/>
  <c r="E853" i="45"/>
  <c r="D853" i="45"/>
  <c r="B853" i="45"/>
  <c r="A853" i="45"/>
  <c r="X852" i="45"/>
  <c r="F852" i="45"/>
  <c r="E852" i="45"/>
  <c r="D852" i="45"/>
  <c r="B852" i="45"/>
  <c r="A852" i="45"/>
  <c r="X851" i="45"/>
  <c r="F851" i="45"/>
  <c r="E851" i="45"/>
  <c r="D851" i="45"/>
  <c r="B851" i="45"/>
  <c r="A851" i="45"/>
  <c r="X850" i="45"/>
  <c r="F850" i="45"/>
  <c r="E850" i="45"/>
  <c r="D850" i="45"/>
  <c r="B850" i="45"/>
  <c r="A850" i="45"/>
  <c r="X849" i="45"/>
  <c r="F849" i="45"/>
  <c r="E849" i="45"/>
  <c r="D849" i="45"/>
  <c r="B849" i="45"/>
  <c r="A849" i="45"/>
  <c r="X848" i="45"/>
  <c r="F848" i="45"/>
  <c r="E848" i="45"/>
  <c r="D848" i="45"/>
  <c r="B848" i="45"/>
  <c r="A848" i="45"/>
  <c r="X847" i="45"/>
  <c r="F847" i="45"/>
  <c r="E847" i="45"/>
  <c r="D847" i="45"/>
  <c r="B847" i="45"/>
  <c r="A847" i="45"/>
  <c r="X846" i="45"/>
  <c r="F846" i="45"/>
  <c r="E846" i="45"/>
  <c r="D846" i="45"/>
  <c r="B846" i="45"/>
  <c r="A846" i="45"/>
  <c r="X845" i="45"/>
  <c r="F845" i="45"/>
  <c r="E845" i="45"/>
  <c r="D845" i="45"/>
  <c r="B845" i="45"/>
  <c r="A845" i="45"/>
  <c r="X844" i="45"/>
  <c r="F844" i="45"/>
  <c r="E844" i="45"/>
  <c r="D844" i="45"/>
  <c r="B844" i="45"/>
  <c r="A844" i="45"/>
  <c r="X843" i="45"/>
  <c r="F843" i="45"/>
  <c r="E843" i="45"/>
  <c r="D843" i="45"/>
  <c r="B843" i="45"/>
  <c r="A843" i="45"/>
  <c r="X842" i="45"/>
  <c r="F842" i="45"/>
  <c r="E842" i="45"/>
  <c r="D842" i="45"/>
  <c r="B842" i="45"/>
  <c r="A842" i="45"/>
  <c r="X841" i="45"/>
  <c r="F841" i="45"/>
  <c r="E841" i="45"/>
  <c r="D841" i="45"/>
  <c r="B841" i="45"/>
  <c r="A841" i="45"/>
  <c r="X840" i="45"/>
  <c r="F840" i="45"/>
  <c r="E840" i="45"/>
  <c r="D840" i="45"/>
  <c r="B840" i="45"/>
  <c r="A840" i="45"/>
  <c r="X839" i="45"/>
  <c r="F839" i="45"/>
  <c r="E839" i="45"/>
  <c r="D839" i="45"/>
  <c r="B839" i="45"/>
  <c r="A839" i="45"/>
  <c r="X838" i="45"/>
  <c r="F838" i="45"/>
  <c r="E838" i="45"/>
  <c r="D838" i="45"/>
  <c r="B838" i="45"/>
  <c r="A838" i="45"/>
  <c r="X837" i="45"/>
  <c r="F837" i="45"/>
  <c r="E837" i="45"/>
  <c r="D837" i="45"/>
  <c r="B837" i="45"/>
  <c r="A837" i="45"/>
  <c r="X836" i="45"/>
  <c r="F836" i="45"/>
  <c r="E836" i="45"/>
  <c r="D836" i="45"/>
  <c r="B836" i="45"/>
  <c r="A836" i="45"/>
  <c r="X835" i="45"/>
  <c r="F835" i="45"/>
  <c r="E835" i="45"/>
  <c r="D835" i="45"/>
  <c r="B835" i="45"/>
  <c r="A835" i="45"/>
  <c r="X834" i="45"/>
  <c r="F834" i="45"/>
  <c r="E834" i="45"/>
  <c r="D834" i="45"/>
  <c r="B834" i="45"/>
  <c r="A834" i="45"/>
  <c r="X833" i="45"/>
  <c r="F833" i="45"/>
  <c r="E833" i="45"/>
  <c r="D833" i="45"/>
  <c r="B833" i="45"/>
  <c r="A833" i="45"/>
  <c r="X832" i="45"/>
  <c r="F832" i="45"/>
  <c r="E832" i="45"/>
  <c r="D832" i="45"/>
  <c r="B832" i="45"/>
  <c r="A832" i="45"/>
  <c r="X831" i="45"/>
  <c r="F831" i="45"/>
  <c r="E831" i="45"/>
  <c r="D831" i="45"/>
  <c r="B831" i="45"/>
  <c r="A831" i="45"/>
  <c r="X830" i="45"/>
  <c r="F830" i="45"/>
  <c r="E830" i="45"/>
  <c r="D830" i="45"/>
  <c r="B830" i="45"/>
  <c r="A830" i="45"/>
  <c r="X829" i="45"/>
  <c r="F829" i="45"/>
  <c r="E829" i="45"/>
  <c r="D829" i="45"/>
  <c r="B829" i="45"/>
  <c r="A829" i="45"/>
  <c r="X828" i="45"/>
  <c r="F828" i="45"/>
  <c r="E828" i="45"/>
  <c r="D828" i="45"/>
  <c r="B828" i="45"/>
  <c r="A828" i="45"/>
  <c r="X827" i="45"/>
  <c r="F827" i="45"/>
  <c r="E827" i="45"/>
  <c r="D827" i="45"/>
  <c r="B827" i="45"/>
  <c r="A827" i="45"/>
  <c r="X826" i="45"/>
  <c r="F826" i="45"/>
  <c r="E826" i="45"/>
  <c r="D826" i="45"/>
  <c r="B826" i="45"/>
  <c r="A826" i="45"/>
  <c r="X825" i="45"/>
  <c r="F825" i="45"/>
  <c r="E825" i="45"/>
  <c r="D825" i="45"/>
  <c r="B825" i="45"/>
  <c r="A825" i="45"/>
  <c r="X824" i="45"/>
  <c r="F824" i="45"/>
  <c r="E824" i="45"/>
  <c r="D824" i="45"/>
  <c r="B824" i="45"/>
  <c r="A824" i="45"/>
  <c r="X823" i="45"/>
  <c r="F823" i="45"/>
  <c r="E823" i="45"/>
  <c r="D823" i="45"/>
  <c r="B823" i="45"/>
  <c r="A823" i="45"/>
  <c r="X822" i="45"/>
  <c r="F822" i="45"/>
  <c r="E822" i="45"/>
  <c r="D822" i="45"/>
  <c r="B822" i="45"/>
  <c r="A822" i="45"/>
  <c r="X821" i="45"/>
  <c r="F821" i="45"/>
  <c r="E821" i="45"/>
  <c r="D821" i="45"/>
  <c r="B821" i="45"/>
  <c r="A821" i="45"/>
  <c r="X820" i="45"/>
  <c r="F820" i="45"/>
  <c r="E820" i="45"/>
  <c r="D820" i="45"/>
  <c r="B820" i="45"/>
  <c r="A820" i="45"/>
  <c r="X819" i="45"/>
  <c r="F819" i="45"/>
  <c r="E819" i="45"/>
  <c r="D819" i="45"/>
  <c r="B819" i="45"/>
  <c r="A819" i="45"/>
  <c r="X818" i="45"/>
  <c r="F818" i="45"/>
  <c r="E818" i="45"/>
  <c r="D818" i="45"/>
  <c r="B818" i="45"/>
  <c r="A818" i="45"/>
  <c r="X817" i="45"/>
  <c r="F817" i="45"/>
  <c r="E817" i="45"/>
  <c r="D817" i="45"/>
  <c r="B817" i="45"/>
  <c r="A817" i="45"/>
  <c r="X816" i="45"/>
  <c r="F816" i="45"/>
  <c r="E816" i="45"/>
  <c r="D816" i="45"/>
  <c r="B816" i="45"/>
  <c r="A816" i="45"/>
  <c r="X815" i="45"/>
  <c r="F815" i="45"/>
  <c r="E815" i="45"/>
  <c r="D815" i="45"/>
  <c r="B815" i="45"/>
  <c r="A815" i="45"/>
  <c r="X814" i="45"/>
  <c r="F814" i="45"/>
  <c r="E814" i="45"/>
  <c r="D814" i="45"/>
  <c r="B814" i="45"/>
  <c r="A814" i="45"/>
  <c r="X813" i="45"/>
  <c r="F813" i="45"/>
  <c r="E813" i="45"/>
  <c r="D813" i="45"/>
  <c r="B813" i="45"/>
  <c r="A813" i="45"/>
  <c r="X812" i="45"/>
  <c r="F812" i="45"/>
  <c r="E812" i="45"/>
  <c r="D812" i="45"/>
  <c r="B812" i="45"/>
  <c r="A812" i="45"/>
  <c r="X811" i="45"/>
  <c r="F811" i="45"/>
  <c r="E811" i="45"/>
  <c r="D811" i="45"/>
  <c r="B811" i="45"/>
  <c r="A811" i="45"/>
  <c r="X810" i="45"/>
  <c r="F810" i="45"/>
  <c r="E810" i="45"/>
  <c r="D810" i="45"/>
  <c r="B810" i="45"/>
  <c r="A810" i="45"/>
  <c r="X809" i="45"/>
  <c r="F809" i="45"/>
  <c r="E809" i="45"/>
  <c r="D809" i="45"/>
  <c r="B809" i="45"/>
  <c r="A809" i="45"/>
  <c r="X808" i="45"/>
  <c r="F808" i="45"/>
  <c r="E808" i="45"/>
  <c r="D808" i="45"/>
  <c r="B808" i="45"/>
  <c r="A808" i="45"/>
  <c r="X807" i="45"/>
  <c r="F807" i="45"/>
  <c r="E807" i="45"/>
  <c r="D807" i="45"/>
  <c r="B807" i="45"/>
  <c r="A807" i="45"/>
  <c r="X806" i="45"/>
  <c r="F806" i="45"/>
  <c r="E806" i="45"/>
  <c r="D806" i="45"/>
  <c r="B806" i="45"/>
  <c r="A806" i="45"/>
  <c r="X805" i="45"/>
  <c r="F805" i="45"/>
  <c r="E805" i="45"/>
  <c r="D805" i="45"/>
  <c r="B805" i="45"/>
  <c r="A805" i="45"/>
  <c r="X804" i="45"/>
  <c r="F804" i="45"/>
  <c r="E804" i="45"/>
  <c r="D804" i="45"/>
  <c r="B804" i="45"/>
  <c r="A804" i="45"/>
  <c r="X803" i="45"/>
  <c r="F803" i="45"/>
  <c r="E803" i="45"/>
  <c r="D803" i="45"/>
  <c r="B803" i="45"/>
  <c r="A803" i="45"/>
  <c r="X802" i="45"/>
  <c r="F802" i="45"/>
  <c r="E802" i="45"/>
  <c r="D802" i="45"/>
  <c r="B802" i="45"/>
  <c r="A802" i="45"/>
  <c r="X801" i="45"/>
  <c r="F801" i="45"/>
  <c r="E801" i="45"/>
  <c r="D801" i="45"/>
  <c r="B801" i="45"/>
  <c r="A801" i="45"/>
  <c r="X800" i="45"/>
  <c r="F800" i="45"/>
  <c r="E800" i="45"/>
  <c r="D800" i="45"/>
  <c r="B800" i="45"/>
  <c r="A800" i="45"/>
  <c r="X799" i="45"/>
  <c r="F799" i="45"/>
  <c r="E799" i="45"/>
  <c r="D799" i="45"/>
  <c r="B799" i="45"/>
  <c r="A799" i="45"/>
  <c r="X798" i="45"/>
  <c r="F798" i="45"/>
  <c r="E798" i="45"/>
  <c r="D798" i="45"/>
  <c r="B798" i="45"/>
  <c r="A798" i="45"/>
  <c r="X797" i="45"/>
  <c r="F797" i="45"/>
  <c r="E797" i="45"/>
  <c r="D797" i="45"/>
  <c r="B797" i="45"/>
  <c r="A797" i="45"/>
  <c r="X796" i="45"/>
  <c r="F796" i="45"/>
  <c r="E796" i="45"/>
  <c r="D796" i="45"/>
  <c r="B796" i="45"/>
  <c r="A796" i="45"/>
  <c r="X795" i="45"/>
  <c r="F795" i="45"/>
  <c r="E795" i="45"/>
  <c r="D795" i="45"/>
  <c r="B795" i="45"/>
  <c r="A795" i="45"/>
  <c r="X794" i="45"/>
  <c r="F794" i="45"/>
  <c r="E794" i="45"/>
  <c r="D794" i="45"/>
  <c r="B794" i="45"/>
  <c r="A794" i="45"/>
  <c r="X793" i="45"/>
  <c r="F793" i="45"/>
  <c r="E793" i="45"/>
  <c r="D793" i="45"/>
  <c r="B793" i="45"/>
  <c r="A793" i="45"/>
  <c r="X792" i="45"/>
  <c r="F792" i="45"/>
  <c r="E792" i="45"/>
  <c r="D792" i="45"/>
  <c r="B792" i="45"/>
  <c r="A792" i="45"/>
  <c r="X791" i="45"/>
  <c r="F791" i="45"/>
  <c r="E791" i="45"/>
  <c r="D791" i="45"/>
  <c r="B791" i="45"/>
  <c r="A791" i="45"/>
  <c r="X790" i="45"/>
  <c r="F790" i="45"/>
  <c r="E790" i="45"/>
  <c r="D790" i="45"/>
  <c r="B790" i="45"/>
  <c r="A790" i="45"/>
  <c r="X789" i="45"/>
  <c r="F789" i="45"/>
  <c r="E789" i="45"/>
  <c r="D789" i="45"/>
  <c r="B789" i="45"/>
  <c r="A789" i="45"/>
  <c r="X788" i="45"/>
  <c r="F788" i="45"/>
  <c r="E788" i="45"/>
  <c r="D788" i="45"/>
  <c r="B788" i="45"/>
  <c r="A788" i="45"/>
  <c r="X787" i="45"/>
  <c r="F787" i="45"/>
  <c r="E787" i="45"/>
  <c r="D787" i="45"/>
  <c r="B787" i="45"/>
  <c r="A787" i="45"/>
  <c r="X786" i="45"/>
  <c r="F786" i="45"/>
  <c r="E786" i="45"/>
  <c r="D786" i="45"/>
  <c r="B786" i="45"/>
  <c r="A786" i="45"/>
  <c r="X785" i="45"/>
  <c r="F785" i="45"/>
  <c r="E785" i="45"/>
  <c r="D785" i="45"/>
  <c r="B785" i="45"/>
  <c r="A785" i="45"/>
  <c r="X784" i="45"/>
  <c r="F784" i="45"/>
  <c r="E784" i="45"/>
  <c r="D784" i="45"/>
  <c r="B784" i="45"/>
  <c r="A784" i="45"/>
  <c r="X783" i="45"/>
  <c r="F783" i="45"/>
  <c r="E783" i="45"/>
  <c r="D783" i="45"/>
  <c r="B783" i="45"/>
  <c r="A783" i="45"/>
  <c r="X782" i="45"/>
  <c r="F782" i="45"/>
  <c r="E782" i="45"/>
  <c r="D782" i="45"/>
  <c r="B782" i="45"/>
  <c r="A782" i="45"/>
  <c r="X781" i="45"/>
  <c r="F781" i="45"/>
  <c r="E781" i="45"/>
  <c r="D781" i="45"/>
  <c r="B781" i="45"/>
  <c r="A781" i="45"/>
  <c r="X780" i="45"/>
  <c r="F780" i="45"/>
  <c r="E780" i="45"/>
  <c r="D780" i="45"/>
  <c r="B780" i="45"/>
  <c r="A780" i="45"/>
  <c r="X779" i="45"/>
  <c r="F779" i="45"/>
  <c r="E779" i="45"/>
  <c r="D779" i="45"/>
  <c r="B779" i="45"/>
  <c r="A779" i="45"/>
  <c r="X778" i="45"/>
  <c r="F778" i="45"/>
  <c r="E778" i="45"/>
  <c r="D778" i="45"/>
  <c r="B778" i="45"/>
  <c r="A778" i="45"/>
  <c r="X777" i="45"/>
  <c r="F777" i="45"/>
  <c r="E777" i="45"/>
  <c r="D777" i="45"/>
  <c r="B777" i="45"/>
  <c r="A777" i="45"/>
  <c r="X776" i="45"/>
  <c r="F776" i="45"/>
  <c r="E776" i="45"/>
  <c r="D776" i="45"/>
  <c r="B776" i="45"/>
  <c r="A776" i="45"/>
  <c r="X775" i="45"/>
  <c r="F775" i="45"/>
  <c r="E775" i="45"/>
  <c r="D775" i="45"/>
  <c r="B775" i="45"/>
  <c r="A775" i="45"/>
  <c r="X774" i="45"/>
  <c r="F774" i="45"/>
  <c r="E774" i="45"/>
  <c r="D774" i="45"/>
  <c r="B774" i="45"/>
  <c r="A774" i="45"/>
  <c r="X773" i="45"/>
  <c r="F773" i="45"/>
  <c r="E773" i="45"/>
  <c r="D773" i="45"/>
  <c r="B773" i="45"/>
  <c r="A773" i="45"/>
  <c r="X772" i="45"/>
  <c r="F772" i="45"/>
  <c r="E772" i="45"/>
  <c r="D772" i="45"/>
  <c r="B772" i="45"/>
  <c r="A772" i="45"/>
  <c r="X771" i="45"/>
  <c r="F771" i="45"/>
  <c r="E771" i="45"/>
  <c r="D771" i="45"/>
  <c r="B771" i="45"/>
  <c r="A771" i="45"/>
  <c r="X770" i="45"/>
  <c r="F770" i="45"/>
  <c r="E770" i="45"/>
  <c r="D770" i="45"/>
  <c r="B770" i="45"/>
  <c r="A770" i="45"/>
  <c r="X769" i="45"/>
  <c r="F769" i="45"/>
  <c r="E769" i="45"/>
  <c r="D769" i="45"/>
  <c r="B769" i="45"/>
  <c r="A769" i="45"/>
  <c r="X768" i="45"/>
  <c r="F768" i="45"/>
  <c r="E768" i="45"/>
  <c r="D768" i="45"/>
  <c r="B768" i="45"/>
  <c r="A768" i="45"/>
  <c r="X767" i="45"/>
  <c r="F767" i="45"/>
  <c r="E767" i="45"/>
  <c r="D767" i="45"/>
  <c r="B767" i="45"/>
  <c r="A767" i="45"/>
  <c r="X766" i="45"/>
  <c r="F766" i="45"/>
  <c r="E766" i="45"/>
  <c r="D766" i="45"/>
  <c r="B766" i="45"/>
  <c r="A766" i="45"/>
  <c r="X765" i="45"/>
  <c r="F765" i="45"/>
  <c r="E765" i="45"/>
  <c r="D765" i="45"/>
  <c r="B765" i="45"/>
  <c r="A765" i="45"/>
  <c r="X764" i="45"/>
  <c r="F764" i="45"/>
  <c r="E764" i="45"/>
  <c r="D764" i="45"/>
  <c r="B764" i="45"/>
  <c r="A764" i="45"/>
  <c r="X763" i="45"/>
  <c r="F763" i="45"/>
  <c r="E763" i="45"/>
  <c r="D763" i="45"/>
  <c r="B763" i="45"/>
  <c r="A763" i="45"/>
  <c r="X762" i="45"/>
  <c r="F762" i="45"/>
  <c r="E762" i="45"/>
  <c r="D762" i="45"/>
  <c r="B762" i="45"/>
  <c r="A762" i="45"/>
  <c r="X761" i="45"/>
  <c r="F761" i="45"/>
  <c r="E761" i="45"/>
  <c r="D761" i="45"/>
  <c r="B761" i="45"/>
  <c r="A761" i="45"/>
  <c r="X760" i="45"/>
  <c r="F760" i="45"/>
  <c r="E760" i="45"/>
  <c r="D760" i="45"/>
  <c r="B760" i="45"/>
  <c r="A760" i="45"/>
  <c r="X759" i="45"/>
  <c r="F759" i="45"/>
  <c r="E759" i="45"/>
  <c r="D759" i="45"/>
  <c r="B759" i="45"/>
  <c r="A759" i="45"/>
  <c r="X758" i="45"/>
  <c r="F758" i="45"/>
  <c r="E758" i="45"/>
  <c r="D758" i="45"/>
  <c r="B758" i="45"/>
  <c r="A758" i="45"/>
  <c r="X757" i="45"/>
  <c r="F757" i="45"/>
  <c r="E757" i="45"/>
  <c r="D757" i="45"/>
  <c r="B757" i="45"/>
  <c r="A757" i="45"/>
  <c r="X756" i="45"/>
  <c r="F756" i="45"/>
  <c r="E756" i="45"/>
  <c r="D756" i="45"/>
  <c r="B756" i="45"/>
  <c r="A756" i="45"/>
  <c r="X755" i="45"/>
  <c r="F755" i="45"/>
  <c r="E755" i="45"/>
  <c r="D755" i="45"/>
  <c r="B755" i="45"/>
  <c r="A755" i="45"/>
  <c r="X754" i="45"/>
  <c r="F754" i="45"/>
  <c r="E754" i="45"/>
  <c r="D754" i="45"/>
  <c r="B754" i="45"/>
  <c r="A754" i="45"/>
  <c r="X753" i="45"/>
  <c r="F753" i="45"/>
  <c r="E753" i="45"/>
  <c r="D753" i="45"/>
  <c r="B753" i="45"/>
  <c r="A753" i="45"/>
  <c r="X752" i="45"/>
  <c r="F752" i="45"/>
  <c r="E752" i="45"/>
  <c r="D752" i="45"/>
  <c r="B752" i="45"/>
  <c r="A752" i="45"/>
  <c r="X751" i="45"/>
  <c r="F751" i="45"/>
  <c r="E751" i="45"/>
  <c r="D751" i="45"/>
  <c r="B751" i="45"/>
  <c r="A751" i="45"/>
  <c r="X750" i="45"/>
  <c r="F750" i="45"/>
  <c r="E750" i="45"/>
  <c r="D750" i="45"/>
  <c r="B750" i="45"/>
  <c r="A750" i="45"/>
  <c r="X749" i="45"/>
  <c r="F749" i="45"/>
  <c r="E749" i="45"/>
  <c r="D749" i="45"/>
  <c r="B749" i="45"/>
  <c r="A749" i="45"/>
  <c r="X748" i="45"/>
  <c r="F748" i="45"/>
  <c r="E748" i="45"/>
  <c r="D748" i="45"/>
  <c r="B748" i="45"/>
  <c r="A748" i="45"/>
  <c r="X747" i="45"/>
  <c r="F747" i="45"/>
  <c r="E747" i="45"/>
  <c r="D747" i="45"/>
  <c r="B747" i="45"/>
  <c r="A747" i="45"/>
  <c r="X746" i="45"/>
  <c r="F746" i="45"/>
  <c r="E746" i="45"/>
  <c r="D746" i="45"/>
  <c r="B746" i="45"/>
  <c r="A746" i="45"/>
  <c r="X745" i="45"/>
  <c r="F745" i="45"/>
  <c r="E745" i="45"/>
  <c r="D745" i="45"/>
  <c r="B745" i="45"/>
  <c r="A745" i="45"/>
  <c r="X744" i="45"/>
  <c r="F744" i="45"/>
  <c r="E744" i="45"/>
  <c r="D744" i="45"/>
  <c r="B744" i="45"/>
  <c r="A744" i="45"/>
  <c r="X743" i="45"/>
  <c r="F743" i="45"/>
  <c r="E743" i="45"/>
  <c r="D743" i="45"/>
  <c r="B743" i="45"/>
  <c r="A743" i="45"/>
  <c r="X742" i="45"/>
  <c r="F742" i="45"/>
  <c r="E742" i="45"/>
  <c r="D742" i="45"/>
  <c r="B742" i="45"/>
  <c r="A742" i="45"/>
  <c r="X741" i="45"/>
  <c r="F741" i="45"/>
  <c r="E741" i="45"/>
  <c r="D741" i="45"/>
  <c r="B741" i="45"/>
  <c r="A741" i="45"/>
  <c r="X740" i="45"/>
  <c r="F740" i="45"/>
  <c r="E740" i="45"/>
  <c r="D740" i="45"/>
  <c r="B740" i="45"/>
  <c r="A740" i="45"/>
  <c r="X739" i="45"/>
  <c r="F739" i="45"/>
  <c r="E739" i="45"/>
  <c r="D739" i="45"/>
  <c r="B739" i="45"/>
  <c r="A739" i="45"/>
  <c r="X738" i="45"/>
  <c r="F738" i="45"/>
  <c r="E738" i="45"/>
  <c r="D738" i="45"/>
  <c r="B738" i="45"/>
  <c r="A738" i="45"/>
  <c r="X737" i="45"/>
  <c r="F737" i="45"/>
  <c r="E737" i="45"/>
  <c r="D737" i="45"/>
  <c r="B737" i="45"/>
  <c r="A737" i="45"/>
  <c r="X736" i="45"/>
  <c r="F736" i="45"/>
  <c r="E736" i="45"/>
  <c r="D736" i="45"/>
  <c r="B736" i="45"/>
  <c r="A736" i="45"/>
  <c r="X735" i="45"/>
  <c r="F735" i="45"/>
  <c r="E735" i="45"/>
  <c r="D735" i="45"/>
  <c r="B735" i="45"/>
  <c r="A735" i="45"/>
  <c r="X734" i="45"/>
  <c r="F734" i="45"/>
  <c r="E734" i="45"/>
  <c r="D734" i="45"/>
  <c r="B734" i="45"/>
  <c r="A734" i="45"/>
  <c r="X733" i="45"/>
  <c r="F733" i="45"/>
  <c r="E733" i="45"/>
  <c r="D733" i="45"/>
  <c r="B733" i="45"/>
  <c r="A733" i="45"/>
  <c r="X732" i="45"/>
  <c r="F732" i="45"/>
  <c r="E732" i="45"/>
  <c r="D732" i="45"/>
  <c r="B732" i="45"/>
  <c r="A732" i="45"/>
  <c r="X731" i="45"/>
  <c r="F731" i="45"/>
  <c r="E731" i="45"/>
  <c r="D731" i="45"/>
  <c r="B731" i="45"/>
  <c r="A731" i="45"/>
  <c r="X730" i="45"/>
  <c r="F730" i="45"/>
  <c r="E730" i="45"/>
  <c r="D730" i="45"/>
  <c r="B730" i="45"/>
  <c r="A730" i="45"/>
  <c r="X729" i="45"/>
  <c r="F729" i="45"/>
  <c r="E729" i="45"/>
  <c r="D729" i="45"/>
  <c r="B729" i="45"/>
  <c r="A729" i="45"/>
  <c r="X728" i="45"/>
  <c r="F728" i="45"/>
  <c r="E728" i="45"/>
  <c r="D728" i="45"/>
  <c r="B728" i="45"/>
  <c r="A728" i="45"/>
  <c r="X727" i="45"/>
  <c r="F727" i="45"/>
  <c r="E727" i="45"/>
  <c r="D727" i="45"/>
  <c r="B727" i="45"/>
  <c r="A727" i="45"/>
  <c r="X726" i="45"/>
  <c r="F726" i="45"/>
  <c r="E726" i="45"/>
  <c r="D726" i="45"/>
  <c r="B726" i="45"/>
  <c r="A726" i="45"/>
  <c r="X725" i="45"/>
  <c r="F725" i="45"/>
  <c r="E725" i="45"/>
  <c r="D725" i="45"/>
  <c r="B725" i="45"/>
  <c r="A725" i="45"/>
  <c r="X724" i="45"/>
  <c r="F724" i="45"/>
  <c r="E724" i="45"/>
  <c r="D724" i="45"/>
  <c r="B724" i="45"/>
  <c r="A724" i="45"/>
  <c r="X723" i="45"/>
  <c r="F723" i="45"/>
  <c r="E723" i="45"/>
  <c r="D723" i="45"/>
  <c r="B723" i="45"/>
  <c r="A723" i="45"/>
  <c r="X722" i="45"/>
  <c r="F722" i="45"/>
  <c r="E722" i="45"/>
  <c r="D722" i="45"/>
  <c r="B722" i="45"/>
  <c r="A722" i="45"/>
  <c r="X721" i="45"/>
  <c r="F721" i="45"/>
  <c r="E721" i="45"/>
  <c r="D721" i="45"/>
  <c r="B721" i="45"/>
  <c r="A721" i="45"/>
  <c r="X720" i="45"/>
  <c r="F720" i="45"/>
  <c r="E720" i="45"/>
  <c r="D720" i="45"/>
  <c r="B720" i="45"/>
  <c r="A720" i="45"/>
  <c r="X719" i="45"/>
  <c r="F719" i="45"/>
  <c r="E719" i="45"/>
  <c r="D719" i="45"/>
  <c r="B719" i="45"/>
  <c r="A719" i="45"/>
  <c r="X718" i="45"/>
  <c r="F718" i="45"/>
  <c r="E718" i="45"/>
  <c r="D718" i="45"/>
  <c r="B718" i="45"/>
  <c r="A718" i="45"/>
  <c r="X717" i="45"/>
  <c r="F717" i="45"/>
  <c r="E717" i="45"/>
  <c r="D717" i="45"/>
  <c r="B717" i="45"/>
  <c r="A717" i="45"/>
  <c r="X716" i="45"/>
  <c r="F716" i="45"/>
  <c r="E716" i="45"/>
  <c r="D716" i="45"/>
  <c r="B716" i="45"/>
  <c r="A716" i="45"/>
  <c r="X715" i="45"/>
  <c r="F715" i="45"/>
  <c r="E715" i="45"/>
  <c r="D715" i="45"/>
  <c r="B715" i="45"/>
  <c r="A715" i="45"/>
  <c r="X714" i="45"/>
  <c r="F714" i="45"/>
  <c r="E714" i="45"/>
  <c r="D714" i="45"/>
  <c r="B714" i="45"/>
  <c r="A714" i="45"/>
  <c r="X713" i="45"/>
  <c r="F713" i="45"/>
  <c r="E713" i="45"/>
  <c r="D713" i="45"/>
  <c r="B713" i="45"/>
  <c r="A713" i="45"/>
  <c r="X712" i="45"/>
  <c r="F712" i="45"/>
  <c r="E712" i="45"/>
  <c r="D712" i="45"/>
  <c r="B712" i="45"/>
  <c r="A712" i="45"/>
  <c r="X711" i="45"/>
  <c r="F711" i="45"/>
  <c r="E711" i="45"/>
  <c r="D711" i="45"/>
  <c r="B711" i="45"/>
  <c r="A711" i="45"/>
  <c r="X710" i="45"/>
  <c r="F710" i="45"/>
  <c r="E710" i="45"/>
  <c r="D710" i="45"/>
  <c r="B710" i="45"/>
  <c r="A710" i="45"/>
  <c r="X709" i="45"/>
  <c r="F709" i="45"/>
  <c r="E709" i="45"/>
  <c r="D709" i="45"/>
  <c r="B709" i="45"/>
  <c r="A709" i="45"/>
  <c r="X708" i="45"/>
  <c r="F708" i="45"/>
  <c r="E708" i="45"/>
  <c r="D708" i="45"/>
  <c r="B708" i="45"/>
  <c r="A708" i="45"/>
  <c r="X707" i="45"/>
  <c r="F707" i="45"/>
  <c r="E707" i="45"/>
  <c r="D707" i="45"/>
  <c r="B707" i="45"/>
  <c r="A707" i="45"/>
  <c r="X706" i="45"/>
  <c r="F706" i="45"/>
  <c r="E706" i="45"/>
  <c r="D706" i="45"/>
  <c r="B706" i="45"/>
  <c r="A706" i="45"/>
  <c r="X705" i="45"/>
  <c r="F705" i="45"/>
  <c r="E705" i="45"/>
  <c r="D705" i="45"/>
  <c r="B705" i="45"/>
  <c r="A705" i="45"/>
  <c r="X704" i="45"/>
  <c r="F704" i="45"/>
  <c r="E704" i="45"/>
  <c r="D704" i="45"/>
  <c r="B704" i="45"/>
  <c r="A704" i="45"/>
  <c r="X703" i="45"/>
  <c r="F703" i="45"/>
  <c r="E703" i="45"/>
  <c r="D703" i="45"/>
  <c r="B703" i="45"/>
  <c r="A703" i="45"/>
  <c r="X702" i="45"/>
  <c r="F702" i="45"/>
  <c r="E702" i="45"/>
  <c r="D702" i="45"/>
  <c r="B702" i="45"/>
  <c r="A702" i="45"/>
  <c r="X701" i="45"/>
  <c r="F701" i="45"/>
  <c r="E701" i="45"/>
  <c r="D701" i="45"/>
  <c r="B701" i="45"/>
  <c r="A701" i="45"/>
  <c r="X700" i="45"/>
  <c r="F700" i="45"/>
  <c r="E700" i="45"/>
  <c r="D700" i="45"/>
  <c r="B700" i="45"/>
  <c r="A700" i="45"/>
  <c r="X699" i="45"/>
  <c r="F699" i="45"/>
  <c r="E699" i="45"/>
  <c r="D699" i="45"/>
  <c r="B699" i="45"/>
  <c r="A699" i="45"/>
  <c r="X698" i="45"/>
  <c r="F698" i="45"/>
  <c r="E698" i="45"/>
  <c r="D698" i="45"/>
  <c r="B698" i="45"/>
  <c r="A698" i="45"/>
  <c r="X697" i="45"/>
  <c r="F697" i="45"/>
  <c r="E697" i="45"/>
  <c r="D697" i="45"/>
  <c r="B697" i="45"/>
  <c r="A697" i="45"/>
  <c r="X696" i="45"/>
  <c r="F696" i="45"/>
  <c r="E696" i="45"/>
  <c r="D696" i="45"/>
  <c r="B696" i="45"/>
  <c r="A696" i="45"/>
  <c r="X695" i="45"/>
  <c r="F695" i="45"/>
  <c r="E695" i="45"/>
  <c r="D695" i="45"/>
  <c r="B695" i="45"/>
  <c r="A695" i="45"/>
  <c r="X694" i="45"/>
  <c r="F694" i="45"/>
  <c r="E694" i="45"/>
  <c r="D694" i="45"/>
  <c r="B694" i="45"/>
  <c r="A694" i="45"/>
  <c r="X693" i="45"/>
  <c r="F693" i="45"/>
  <c r="E693" i="45"/>
  <c r="D693" i="45"/>
  <c r="B693" i="45"/>
  <c r="A693" i="45"/>
  <c r="X692" i="45"/>
  <c r="F692" i="45"/>
  <c r="E692" i="45"/>
  <c r="D692" i="45"/>
  <c r="B692" i="45"/>
  <c r="A692" i="45"/>
  <c r="X691" i="45"/>
  <c r="F691" i="45"/>
  <c r="E691" i="45"/>
  <c r="D691" i="45"/>
  <c r="B691" i="45"/>
  <c r="A691" i="45"/>
  <c r="X690" i="45"/>
  <c r="F690" i="45"/>
  <c r="E690" i="45"/>
  <c r="D690" i="45"/>
  <c r="B690" i="45"/>
  <c r="A690" i="45"/>
  <c r="X689" i="45"/>
  <c r="F689" i="45"/>
  <c r="E689" i="45"/>
  <c r="D689" i="45"/>
  <c r="B689" i="45"/>
  <c r="A689" i="45"/>
  <c r="X688" i="45"/>
  <c r="F688" i="45"/>
  <c r="E688" i="45"/>
  <c r="D688" i="45"/>
  <c r="B688" i="45"/>
  <c r="A688" i="45"/>
  <c r="X687" i="45"/>
  <c r="F687" i="45"/>
  <c r="E687" i="45"/>
  <c r="D687" i="45"/>
  <c r="B687" i="45"/>
  <c r="A687" i="45"/>
  <c r="X686" i="45"/>
  <c r="F686" i="45"/>
  <c r="E686" i="45"/>
  <c r="D686" i="45"/>
  <c r="B686" i="45"/>
  <c r="A686" i="45"/>
  <c r="X685" i="45"/>
  <c r="F685" i="45"/>
  <c r="E685" i="45"/>
  <c r="D685" i="45"/>
  <c r="B685" i="45"/>
  <c r="A685" i="45"/>
  <c r="X684" i="45"/>
  <c r="F684" i="45"/>
  <c r="E684" i="45"/>
  <c r="D684" i="45"/>
  <c r="B684" i="45"/>
  <c r="A684" i="45"/>
  <c r="X683" i="45"/>
  <c r="F683" i="45"/>
  <c r="E683" i="45"/>
  <c r="D683" i="45"/>
  <c r="B683" i="45"/>
  <c r="A683" i="45"/>
  <c r="X682" i="45"/>
  <c r="F682" i="45"/>
  <c r="E682" i="45"/>
  <c r="D682" i="45"/>
  <c r="B682" i="45"/>
  <c r="A682" i="45"/>
  <c r="X681" i="45"/>
  <c r="F681" i="45"/>
  <c r="E681" i="45"/>
  <c r="D681" i="45"/>
  <c r="B681" i="45"/>
  <c r="A681" i="45"/>
  <c r="X680" i="45"/>
  <c r="F680" i="45"/>
  <c r="E680" i="45"/>
  <c r="D680" i="45"/>
  <c r="B680" i="45"/>
  <c r="A680" i="45"/>
  <c r="X679" i="45"/>
  <c r="F679" i="45"/>
  <c r="E679" i="45"/>
  <c r="D679" i="45"/>
  <c r="B679" i="45"/>
  <c r="A679" i="45"/>
  <c r="X678" i="45"/>
  <c r="F678" i="45"/>
  <c r="E678" i="45"/>
  <c r="D678" i="45"/>
  <c r="B678" i="45"/>
  <c r="A678" i="45"/>
  <c r="X677" i="45"/>
  <c r="F677" i="45"/>
  <c r="E677" i="45"/>
  <c r="D677" i="45"/>
  <c r="B677" i="45"/>
  <c r="A677" i="45"/>
  <c r="X676" i="45"/>
  <c r="F676" i="45"/>
  <c r="E676" i="45"/>
  <c r="D676" i="45"/>
  <c r="B676" i="45"/>
  <c r="A676" i="45"/>
  <c r="X675" i="45"/>
  <c r="F675" i="45"/>
  <c r="E675" i="45"/>
  <c r="D675" i="45"/>
  <c r="B675" i="45"/>
  <c r="A675" i="45"/>
  <c r="X674" i="45"/>
  <c r="F674" i="45"/>
  <c r="E674" i="45"/>
  <c r="D674" i="45"/>
  <c r="B674" i="45"/>
  <c r="A674" i="45"/>
  <c r="X673" i="45"/>
  <c r="F673" i="45"/>
  <c r="E673" i="45"/>
  <c r="D673" i="45"/>
  <c r="B673" i="45"/>
  <c r="A673" i="45"/>
  <c r="X672" i="45"/>
  <c r="F672" i="45"/>
  <c r="E672" i="45"/>
  <c r="D672" i="45"/>
  <c r="B672" i="45"/>
  <c r="A672" i="45"/>
  <c r="X671" i="45"/>
  <c r="F671" i="45"/>
  <c r="E671" i="45"/>
  <c r="D671" i="45"/>
  <c r="B671" i="45"/>
  <c r="A671" i="45"/>
  <c r="X670" i="45"/>
  <c r="F670" i="45"/>
  <c r="E670" i="45"/>
  <c r="D670" i="45"/>
  <c r="B670" i="45"/>
  <c r="A670" i="45"/>
  <c r="X669" i="45"/>
  <c r="F669" i="45"/>
  <c r="E669" i="45"/>
  <c r="D669" i="45"/>
  <c r="B669" i="45"/>
  <c r="A669" i="45"/>
  <c r="X668" i="45"/>
  <c r="F668" i="45"/>
  <c r="E668" i="45"/>
  <c r="D668" i="45"/>
  <c r="B668" i="45"/>
  <c r="A668" i="45"/>
  <c r="X667" i="45"/>
  <c r="F667" i="45"/>
  <c r="E667" i="45"/>
  <c r="D667" i="45"/>
  <c r="B667" i="45"/>
  <c r="A667" i="45"/>
  <c r="X666" i="45"/>
  <c r="F666" i="45"/>
  <c r="E666" i="45"/>
  <c r="D666" i="45"/>
  <c r="B666" i="45"/>
  <c r="A666" i="45"/>
  <c r="X665" i="45"/>
  <c r="F665" i="45"/>
  <c r="E665" i="45"/>
  <c r="D665" i="45"/>
  <c r="B665" i="45"/>
  <c r="A665" i="45"/>
  <c r="X664" i="45"/>
  <c r="F664" i="45"/>
  <c r="E664" i="45"/>
  <c r="D664" i="45"/>
  <c r="B664" i="45"/>
  <c r="A664" i="45"/>
  <c r="X663" i="45"/>
  <c r="F663" i="45"/>
  <c r="E663" i="45"/>
  <c r="D663" i="45"/>
  <c r="B663" i="45"/>
  <c r="A663" i="45"/>
  <c r="X662" i="45"/>
  <c r="F662" i="45"/>
  <c r="E662" i="45"/>
  <c r="D662" i="45"/>
  <c r="B662" i="45"/>
  <c r="A662" i="45"/>
  <c r="X661" i="45"/>
  <c r="F661" i="45"/>
  <c r="E661" i="45"/>
  <c r="D661" i="45"/>
  <c r="B661" i="45"/>
  <c r="A661" i="45"/>
  <c r="X660" i="45"/>
  <c r="F660" i="45"/>
  <c r="E660" i="45"/>
  <c r="D660" i="45"/>
  <c r="B660" i="45"/>
  <c r="A660" i="45"/>
  <c r="X659" i="45"/>
  <c r="F659" i="45"/>
  <c r="E659" i="45"/>
  <c r="D659" i="45"/>
  <c r="B659" i="45"/>
  <c r="A659" i="45"/>
  <c r="X658" i="45"/>
  <c r="F658" i="45"/>
  <c r="E658" i="45"/>
  <c r="D658" i="45"/>
  <c r="B658" i="45"/>
  <c r="A658" i="45"/>
  <c r="X657" i="45"/>
  <c r="F657" i="45"/>
  <c r="E657" i="45"/>
  <c r="D657" i="45"/>
  <c r="B657" i="45"/>
  <c r="A657" i="45"/>
  <c r="X656" i="45"/>
  <c r="F656" i="45"/>
  <c r="E656" i="45"/>
  <c r="D656" i="45"/>
  <c r="B656" i="45"/>
  <c r="A656" i="45"/>
  <c r="X655" i="45"/>
  <c r="F655" i="45"/>
  <c r="E655" i="45"/>
  <c r="D655" i="45"/>
  <c r="B655" i="45"/>
  <c r="A655" i="45"/>
  <c r="X654" i="45"/>
  <c r="F654" i="45"/>
  <c r="E654" i="45"/>
  <c r="D654" i="45"/>
  <c r="B654" i="45"/>
  <c r="A654" i="45"/>
  <c r="X653" i="45"/>
  <c r="F653" i="45"/>
  <c r="E653" i="45"/>
  <c r="D653" i="45"/>
  <c r="B653" i="45"/>
  <c r="A653" i="45"/>
  <c r="X652" i="45"/>
  <c r="F652" i="45"/>
  <c r="E652" i="45"/>
  <c r="D652" i="45"/>
  <c r="B652" i="45"/>
  <c r="A652" i="45"/>
  <c r="X651" i="45"/>
  <c r="F651" i="45"/>
  <c r="E651" i="45"/>
  <c r="D651" i="45"/>
  <c r="B651" i="45"/>
  <c r="A651" i="45"/>
  <c r="X650" i="45"/>
  <c r="F650" i="45"/>
  <c r="E650" i="45"/>
  <c r="D650" i="45"/>
  <c r="B650" i="45"/>
  <c r="A650" i="45"/>
  <c r="X649" i="45"/>
  <c r="F649" i="45"/>
  <c r="E649" i="45"/>
  <c r="D649" i="45"/>
  <c r="B649" i="45"/>
  <c r="A649" i="45"/>
  <c r="X648" i="45"/>
  <c r="F648" i="45"/>
  <c r="E648" i="45"/>
  <c r="D648" i="45"/>
  <c r="B648" i="45"/>
  <c r="A648" i="45"/>
  <c r="X647" i="45"/>
  <c r="F647" i="45"/>
  <c r="E647" i="45"/>
  <c r="D647" i="45"/>
  <c r="B647" i="45"/>
  <c r="A647" i="45"/>
  <c r="X646" i="45"/>
  <c r="F646" i="45"/>
  <c r="E646" i="45"/>
  <c r="D646" i="45"/>
  <c r="B646" i="45"/>
  <c r="A646" i="45"/>
  <c r="X645" i="45"/>
  <c r="F645" i="45"/>
  <c r="E645" i="45"/>
  <c r="D645" i="45"/>
  <c r="B645" i="45"/>
  <c r="A645" i="45"/>
  <c r="X644" i="45"/>
  <c r="F644" i="45"/>
  <c r="E644" i="45"/>
  <c r="D644" i="45"/>
  <c r="B644" i="45"/>
  <c r="A644" i="45"/>
  <c r="X643" i="45"/>
  <c r="F643" i="45"/>
  <c r="E643" i="45"/>
  <c r="D643" i="45"/>
  <c r="B643" i="45"/>
  <c r="A643" i="45"/>
  <c r="X642" i="45"/>
  <c r="F642" i="45"/>
  <c r="E642" i="45"/>
  <c r="D642" i="45"/>
  <c r="B642" i="45"/>
  <c r="A642" i="45"/>
  <c r="X641" i="45"/>
  <c r="F641" i="45"/>
  <c r="E641" i="45"/>
  <c r="D641" i="45"/>
  <c r="B641" i="45"/>
  <c r="A641" i="45"/>
  <c r="X640" i="45"/>
  <c r="F640" i="45"/>
  <c r="E640" i="45"/>
  <c r="D640" i="45"/>
  <c r="B640" i="45"/>
  <c r="A640" i="45"/>
  <c r="X639" i="45"/>
  <c r="F639" i="45"/>
  <c r="E639" i="45"/>
  <c r="D639" i="45"/>
  <c r="B639" i="45"/>
  <c r="A639" i="45"/>
  <c r="X638" i="45"/>
  <c r="F638" i="45"/>
  <c r="E638" i="45"/>
  <c r="D638" i="45"/>
  <c r="B638" i="45"/>
  <c r="A638" i="45"/>
  <c r="X637" i="45"/>
  <c r="F637" i="45"/>
  <c r="E637" i="45"/>
  <c r="D637" i="45"/>
  <c r="B637" i="45"/>
  <c r="A637" i="45"/>
  <c r="X636" i="45"/>
  <c r="F636" i="45"/>
  <c r="E636" i="45"/>
  <c r="D636" i="45"/>
  <c r="B636" i="45"/>
  <c r="A636" i="45"/>
  <c r="X635" i="45"/>
  <c r="F635" i="45"/>
  <c r="E635" i="45"/>
  <c r="D635" i="45"/>
  <c r="B635" i="45"/>
  <c r="A635" i="45"/>
  <c r="X634" i="45"/>
  <c r="F634" i="45"/>
  <c r="E634" i="45"/>
  <c r="D634" i="45"/>
  <c r="B634" i="45"/>
  <c r="A634" i="45"/>
  <c r="X633" i="45"/>
  <c r="F633" i="45"/>
  <c r="E633" i="45"/>
  <c r="D633" i="45"/>
  <c r="B633" i="45"/>
  <c r="A633" i="45"/>
  <c r="X632" i="45"/>
  <c r="F632" i="45"/>
  <c r="E632" i="45"/>
  <c r="D632" i="45"/>
  <c r="B632" i="45"/>
  <c r="A632" i="45"/>
  <c r="X631" i="45"/>
  <c r="F631" i="45"/>
  <c r="E631" i="45"/>
  <c r="D631" i="45"/>
  <c r="B631" i="45"/>
  <c r="A631" i="45"/>
  <c r="X630" i="45"/>
  <c r="F630" i="45"/>
  <c r="E630" i="45"/>
  <c r="D630" i="45"/>
  <c r="B630" i="45"/>
  <c r="A630" i="45"/>
  <c r="X629" i="45"/>
  <c r="F629" i="45"/>
  <c r="E629" i="45"/>
  <c r="D629" i="45"/>
  <c r="B629" i="45"/>
  <c r="A629" i="45"/>
  <c r="X628" i="45"/>
  <c r="F628" i="45"/>
  <c r="E628" i="45"/>
  <c r="D628" i="45"/>
  <c r="B628" i="45"/>
  <c r="A628" i="45"/>
  <c r="X627" i="45"/>
  <c r="F627" i="45"/>
  <c r="E627" i="45"/>
  <c r="D627" i="45"/>
  <c r="B627" i="45"/>
  <c r="A627" i="45"/>
  <c r="X626" i="45"/>
  <c r="F626" i="45"/>
  <c r="E626" i="45"/>
  <c r="D626" i="45"/>
  <c r="B626" i="45"/>
  <c r="A626" i="45"/>
  <c r="X625" i="45"/>
  <c r="F625" i="45"/>
  <c r="E625" i="45"/>
  <c r="D625" i="45"/>
  <c r="B625" i="45"/>
  <c r="A625" i="45"/>
  <c r="X624" i="45"/>
  <c r="F624" i="45"/>
  <c r="E624" i="45"/>
  <c r="D624" i="45"/>
  <c r="B624" i="45"/>
  <c r="A624" i="45"/>
  <c r="X623" i="45"/>
  <c r="F623" i="45"/>
  <c r="E623" i="45"/>
  <c r="D623" i="45"/>
  <c r="B623" i="45"/>
  <c r="A623" i="45"/>
  <c r="X622" i="45"/>
  <c r="F622" i="45"/>
  <c r="E622" i="45"/>
  <c r="D622" i="45"/>
  <c r="B622" i="45"/>
  <c r="A622" i="45"/>
  <c r="X621" i="45"/>
  <c r="F621" i="45"/>
  <c r="E621" i="45"/>
  <c r="D621" i="45"/>
  <c r="B621" i="45"/>
  <c r="A621" i="45"/>
  <c r="X620" i="45"/>
  <c r="F620" i="45"/>
  <c r="E620" i="45"/>
  <c r="D620" i="45"/>
  <c r="B620" i="45"/>
  <c r="A620" i="45"/>
  <c r="X619" i="45"/>
  <c r="F619" i="45"/>
  <c r="E619" i="45"/>
  <c r="D619" i="45"/>
  <c r="B619" i="45"/>
  <c r="A619" i="45"/>
  <c r="X618" i="45"/>
  <c r="F618" i="45"/>
  <c r="E618" i="45"/>
  <c r="D618" i="45"/>
  <c r="B618" i="45"/>
  <c r="A618" i="45"/>
  <c r="X617" i="45"/>
  <c r="F617" i="45"/>
  <c r="E617" i="45"/>
  <c r="D617" i="45"/>
  <c r="B617" i="45"/>
  <c r="A617" i="45"/>
  <c r="X616" i="45"/>
  <c r="F616" i="45"/>
  <c r="E616" i="45"/>
  <c r="D616" i="45"/>
  <c r="B616" i="45"/>
  <c r="A616" i="45"/>
  <c r="X615" i="45"/>
  <c r="F615" i="45"/>
  <c r="E615" i="45"/>
  <c r="D615" i="45"/>
  <c r="B615" i="45"/>
  <c r="A615" i="45"/>
  <c r="X614" i="45"/>
  <c r="F614" i="45"/>
  <c r="E614" i="45"/>
  <c r="D614" i="45"/>
  <c r="B614" i="45"/>
  <c r="A614" i="45"/>
  <c r="X613" i="45"/>
  <c r="F613" i="45"/>
  <c r="E613" i="45"/>
  <c r="D613" i="45"/>
  <c r="B613" i="45"/>
  <c r="A613" i="45"/>
  <c r="X612" i="45"/>
  <c r="F612" i="45"/>
  <c r="E612" i="45"/>
  <c r="D612" i="45"/>
  <c r="B612" i="45"/>
  <c r="A612" i="45"/>
  <c r="X611" i="45"/>
  <c r="F611" i="45"/>
  <c r="E611" i="45"/>
  <c r="D611" i="45"/>
  <c r="B611" i="45"/>
  <c r="A611" i="45"/>
  <c r="X610" i="45"/>
  <c r="F610" i="45"/>
  <c r="E610" i="45"/>
  <c r="D610" i="45"/>
  <c r="B610" i="45"/>
  <c r="A610" i="45"/>
  <c r="X609" i="45"/>
  <c r="F609" i="45"/>
  <c r="E609" i="45"/>
  <c r="D609" i="45"/>
  <c r="B609" i="45"/>
  <c r="A609" i="45"/>
  <c r="X608" i="45"/>
  <c r="F608" i="45"/>
  <c r="E608" i="45"/>
  <c r="D608" i="45"/>
  <c r="B608" i="45"/>
  <c r="A608" i="45"/>
  <c r="X607" i="45"/>
  <c r="F607" i="45"/>
  <c r="E607" i="45"/>
  <c r="D607" i="45"/>
  <c r="B607" i="45"/>
  <c r="A607" i="45"/>
  <c r="X606" i="45"/>
  <c r="F606" i="45"/>
  <c r="E606" i="45"/>
  <c r="D606" i="45"/>
  <c r="B606" i="45"/>
  <c r="A606" i="45"/>
  <c r="X605" i="45"/>
  <c r="F605" i="45"/>
  <c r="E605" i="45"/>
  <c r="D605" i="45"/>
  <c r="B605" i="45"/>
  <c r="A605" i="45"/>
  <c r="X604" i="45"/>
  <c r="F604" i="45"/>
  <c r="E604" i="45"/>
  <c r="D604" i="45"/>
  <c r="B604" i="45"/>
  <c r="A604" i="45"/>
  <c r="X603" i="45"/>
  <c r="F603" i="45"/>
  <c r="E603" i="45"/>
  <c r="D603" i="45"/>
  <c r="B603" i="45"/>
  <c r="A603" i="45"/>
  <c r="X602" i="45"/>
  <c r="F602" i="45"/>
  <c r="E602" i="45"/>
  <c r="D602" i="45"/>
  <c r="B602" i="45"/>
  <c r="A602" i="45"/>
  <c r="X601" i="45"/>
  <c r="F601" i="45"/>
  <c r="E601" i="45"/>
  <c r="D601" i="45"/>
  <c r="B601" i="45"/>
  <c r="A601" i="45"/>
  <c r="X600" i="45"/>
  <c r="F600" i="45"/>
  <c r="E600" i="45"/>
  <c r="D600" i="45"/>
  <c r="B600" i="45"/>
  <c r="A600" i="45"/>
  <c r="X599" i="45"/>
  <c r="F599" i="45"/>
  <c r="E599" i="45"/>
  <c r="D599" i="45"/>
  <c r="B599" i="45"/>
  <c r="A599" i="45"/>
  <c r="X598" i="45"/>
  <c r="F598" i="45"/>
  <c r="E598" i="45"/>
  <c r="D598" i="45"/>
  <c r="B598" i="45"/>
  <c r="A598" i="45"/>
  <c r="X597" i="45"/>
  <c r="F597" i="45"/>
  <c r="E597" i="45"/>
  <c r="D597" i="45"/>
  <c r="B597" i="45"/>
  <c r="A597" i="45"/>
  <c r="X596" i="45"/>
  <c r="F596" i="45"/>
  <c r="E596" i="45"/>
  <c r="D596" i="45"/>
  <c r="B596" i="45"/>
  <c r="A596" i="45"/>
  <c r="X595" i="45"/>
  <c r="F595" i="45"/>
  <c r="E595" i="45"/>
  <c r="D595" i="45"/>
  <c r="B595" i="45"/>
  <c r="A595" i="45"/>
  <c r="X594" i="45"/>
  <c r="F594" i="45"/>
  <c r="E594" i="45"/>
  <c r="D594" i="45"/>
  <c r="B594" i="45"/>
  <c r="A594" i="45"/>
  <c r="X593" i="45"/>
  <c r="F593" i="45"/>
  <c r="E593" i="45"/>
  <c r="D593" i="45"/>
  <c r="B593" i="45"/>
  <c r="A593" i="45"/>
  <c r="X592" i="45"/>
  <c r="F592" i="45"/>
  <c r="E592" i="45"/>
  <c r="D592" i="45"/>
  <c r="B592" i="45"/>
  <c r="A592" i="45"/>
  <c r="X591" i="45"/>
  <c r="F591" i="45"/>
  <c r="E591" i="45"/>
  <c r="D591" i="45"/>
  <c r="B591" i="45"/>
  <c r="A591" i="45"/>
  <c r="X590" i="45"/>
  <c r="F590" i="45"/>
  <c r="E590" i="45"/>
  <c r="D590" i="45"/>
  <c r="B590" i="45"/>
  <c r="A590" i="45"/>
  <c r="X589" i="45"/>
  <c r="F589" i="45"/>
  <c r="E589" i="45"/>
  <c r="D589" i="45"/>
  <c r="B589" i="45"/>
  <c r="A589" i="45"/>
  <c r="X588" i="45"/>
  <c r="F588" i="45"/>
  <c r="E588" i="45"/>
  <c r="D588" i="45"/>
  <c r="B588" i="45"/>
  <c r="A588" i="45"/>
  <c r="X587" i="45"/>
  <c r="F587" i="45"/>
  <c r="E587" i="45"/>
  <c r="D587" i="45"/>
  <c r="B587" i="45"/>
  <c r="A587" i="45"/>
  <c r="X586" i="45"/>
  <c r="F586" i="45"/>
  <c r="E586" i="45"/>
  <c r="D586" i="45"/>
  <c r="B586" i="45"/>
  <c r="A586" i="45"/>
  <c r="X585" i="45"/>
  <c r="F585" i="45"/>
  <c r="E585" i="45"/>
  <c r="D585" i="45"/>
  <c r="B585" i="45"/>
  <c r="A585" i="45"/>
  <c r="X584" i="45"/>
  <c r="F584" i="45"/>
  <c r="E584" i="45"/>
  <c r="D584" i="45"/>
  <c r="B584" i="45"/>
  <c r="A584" i="45"/>
  <c r="X583" i="45"/>
  <c r="F583" i="45"/>
  <c r="E583" i="45"/>
  <c r="D583" i="45"/>
  <c r="B583" i="45"/>
  <c r="A583" i="45"/>
  <c r="X582" i="45"/>
  <c r="F582" i="45"/>
  <c r="E582" i="45"/>
  <c r="D582" i="45"/>
  <c r="B582" i="45"/>
  <c r="A582" i="45"/>
  <c r="X581" i="45"/>
  <c r="F581" i="45"/>
  <c r="E581" i="45"/>
  <c r="D581" i="45"/>
  <c r="B581" i="45"/>
  <c r="A581" i="45"/>
  <c r="X580" i="45"/>
  <c r="F580" i="45"/>
  <c r="E580" i="45"/>
  <c r="D580" i="45"/>
  <c r="B580" i="45"/>
  <c r="A580" i="45"/>
  <c r="X579" i="45"/>
  <c r="F579" i="45"/>
  <c r="E579" i="45"/>
  <c r="D579" i="45"/>
  <c r="B579" i="45"/>
  <c r="A579" i="45"/>
  <c r="X578" i="45"/>
  <c r="F578" i="45"/>
  <c r="E578" i="45"/>
  <c r="D578" i="45"/>
  <c r="B578" i="45"/>
  <c r="A578" i="45"/>
  <c r="X577" i="45"/>
  <c r="F577" i="45"/>
  <c r="E577" i="45"/>
  <c r="D577" i="45"/>
  <c r="B577" i="45"/>
  <c r="A577" i="45"/>
  <c r="X576" i="45"/>
  <c r="F576" i="45"/>
  <c r="E576" i="45"/>
  <c r="D576" i="45"/>
  <c r="B576" i="45"/>
  <c r="A576" i="45"/>
  <c r="X575" i="45"/>
  <c r="F575" i="45"/>
  <c r="E575" i="45"/>
  <c r="D575" i="45"/>
  <c r="B575" i="45"/>
  <c r="A575" i="45"/>
  <c r="X574" i="45"/>
  <c r="F574" i="45"/>
  <c r="E574" i="45"/>
  <c r="D574" i="45"/>
  <c r="B574" i="45"/>
  <c r="A574" i="45"/>
  <c r="X573" i="45"/>
  <c r="F573" i="45"/>
  <c r="E573" i="45"/>
  <c r="D573" i="45"/>
  <c r="B573" i="45"/>
  <c r="A573" i="45"/>
  <c r="X572" i="45"/>
  <c r="F572" i="45"/>
  <c r="E572" i="45"/>
  <c r="D572" i="45"/>
  <c r="B572" i="45"/>
  <c r="A572" i="45"/>
  <c r="X571" i="45"/>
  <c r="F571" i="45"/>
  <c r="E571" i="45"/>
  <c r="D571" i="45"/>
  <c r="B571" i="45"/>
  <c r="A571" i="45"/>
  <c r="X570" i="45"/>
  <c r="F570" i="45"/>
  <c r="E570" i="45"/>
  <c r="D570" i="45"/>
  <c r="B570" i="45"/>
  <c r="A570" i="45"/>
  <c r="X569" i="45"/>
  <c r="F569" i="45"/>
  <c r="E569" i="45"/>
  <c r="D569" i="45"/>
  <c r="B569" i="45"/>
  <c r="A569" i="45"/>
  <c r="X568" i="45"/>
  <c r="F568" i="45"/>
  <c r="E568" i="45"/>
  <c r="D568" i="45"/>
  <c r="B568" i="45"/>
  <c r="A568" i="45"/>
  <c r="X567" i="45"/>
  <c r="F567" i="45"/>
  <c r="E567" i="45"/>
  <c r="D567" i="45"/>
  <c r="B567" i="45"/>
  <c r="A567" i="45"/>
  <c r="X566" i="45"/>
  <c r="F566" i="45"/>
  <c r="E566" i="45"/>
  <c r="D566" i="45"/>
  <c r="B566" i="45"/>
  <c r="A566" i="45"/>
  <c r="X565" i="45"/>
  <c r="F565" i="45"/>
  <c r="E565" i="45"/>
  <c r="D565" i="45"/>
  <c r="B565" i="45"/>
  <c r="A565" i="45"/>
  <c r="X564" i="45"/>
  <c r="F564" i="45"/>
  <c r="E564" i="45"/>
  <c r="D564" i="45"/>
  <c r="B564" i="45"/>
  <c r="A564" i="45"/>
  <c r="X563" i="45"/>
  <c r="F563" i="45"/>
  <c r="E563" i="45"/>
  <c r="D563" i="45"/>
  <c r="B563" i="45"/>
  <c r="A563" i="45"/>
  <c r="X562" i="45"/>
  <c r="F562" i="45"/>
  <c r="E562" i="45"/>
  <c r="D562" i="45"/>
  <c r="B562" i="45"/>
  <c r="A562" i="45"/>
  <c r="X561" i="45"/>
  <c r="F561" i="45"/>
  <c r="E561" i="45"/>
  <c r="D561" i="45"/>
  <c r="B561" i="45"/>
  <c r="A561" i="45"/>
  <c r="X560" i="45"/>
  <c r="F560" i="45"/>
  <c r="E560" i="45"/>
  <c r="D560" i="45"/>
  <c r="B560" i="45"/>
  <c r="A560" i="45"/>
  <c r="X559" i="45"/>
  <c r="F559" i="45"/>
  <c r="E559" i="45"/>
  <c r="D559" i="45"/>
  <c r="B559" i="45"/>
  <c r="A559" i="45"/>
  <c r="X558" i="45"/>
  <c r="F558" i="45"/>
  <c r="E558" i="45"/>
  <c r="D558" i="45"/>
  <c r="B558" i="45"/>
  <c r="A558" i="45"/>
  <c r="X557" i="45"/>
  <c r="F557" i="45"/>
  <c r="E557" i="45"/>
  <c r="D557" i="45"/>
  <c r="B557" i="45"/>
  <c r="A557" i="45"/>
  <c r="X556" i="45"/>
  <c r="F556" i="45"/>
  <c r="E556" i="45"/>
  <c r="D556" i="45"/>
  <c r="B556" i="45"/>
  <c r="A556" i="45"/>
  <c r="X555" i="45"/>
  <c r="F555" i="45"/>
  <c r="E555" i="45"/>
  <c r="D555" i="45"/>
  <c r="B555" i="45"/>
  <c r="A555" i="45"/>
  <c r="X554" i="45"/>
  <c r="F554" i="45"/>
  <c r="E554" i="45"/>
  <c r="D554" i="45"/>
  <c r="B554" i="45"/>
  <c r="A554" i="45"/>
  <c r="X553" i="45"/>
  <c r="F553" i="45"/>
  <c r="E553" i="45"/>
  <c r="D553" i="45"/>
  <c r="B553" i="45"/>
  <c r="A553" i="45"/>
  <c r="X552" i="45"/>
  <c r="F552" i="45"/>
  <c r="E552" i="45"/>
  <c r="D552" i="45"/>
  <c r="B552" i="45"/>
  <c r="A552" i="45"/>
  <c r="X551" i="45"/>
  <c r="F551" i="45"/>
  <c r="E551" i="45"/>
  <c r="D551" i="45"/>
  <c r="B551" i="45"/>
  <c r="A551" i="45"/>
  <c r="X550" i="45"/>
  <c r="F550" i="45"/>
  <c r="E550" i="45"/>
  <c r="D550" i="45"/>
  <c r="B550" i="45"/>
  <c r="A550" i="45"/>
  <c r="X549" i="45"/>
  <c r="F549" i="45"/>
  <c r="E549" i="45"/>
  <c r="D549" i="45"/>
  <c r="B549" i="45"/>
  <c r="A549" i="45"/>
  <c r="X548" i="45"/>
  <c r="F548" i="45"/>
  <c r="E548" i="45"/>
  <c r="D548" i="45"/>
  <c r="B548" i="45"/>
  <c r="A548" i="45"/>
  <c r="X547" i="45"/>
  <c r="F547" i="45"/>
  <c r="E547" i="45"/>
  <c r="D547" i="45"/>
  <c r="B547" i="45"/>
  <c r="A547" i="45"/>
  <c r="X546" i="45"/>
  <c r="F546" i="45"/>
  <c r="E546" i="45"/>
  <c r="D546" i="45"/>
  <c r="B546" i="45"/>
  <c r="A546" i="45"/>
  <c r="X545" i="45"/>
  <c r="F545" i="45"/>
  <c r="E545" i="45"/>
  <c r="D545" i="45"/>
  <c r="B545" i="45"/>
  <c r="A545" i="45"/>
  <c r="X544" i="45"/>
  <c r="F544" i="45"/>
  <c r="E544" i="45"/>
  <c r="D544" i="45"/>
  <c r="B544" i="45"/>
  <c r="A544" i="45"/>
  <c r="X543" i="45"/>
  <c r="F543" i="45"/>
  <c r="E543" i="45"/>
  <c r="D543" i="45"/>
  <c r="B543" i="45"/>
  <c r="A543" i="45"/>
  <c r="X542" i="45"/>
  <c r="F542" i="45"/>
  <c r="E542" i="45"/>
  <c r="D542" i="45"/>
  <c r="B542" i="45"/>
  <c r="A542" i="45"/>
  <c r="X541" i="45"/>
  <c r="F541" i="45"/>
  <c r="E541" i="45"/>
  <c r="D541" i="45"/>
  <c r="B541" i="45"/>
  <c r="A541" i="45"/>
  <c r="X540" i="45"/>
  <c r="F540" i="45"/>
  <c r="E540" i="45"/>
  <c r="D540" i="45"/>
  <c r="B540" i="45"/>
  <c r="A540" i="45"/>
  <c r="X539" i="45"/>
  <c r="F539" i="45"/>
  <c r="E539" i="45"/>
  <c r="D539" i="45"/>
  <c r="B539" i="45"/>
  <c r="A539" i="45"/>
  <c r="X538" i="45"/>
  <c r="F538" i="45"/>
  <c r="E538" i="45"/>
  <c r="D538" i="45"/>
  <c r="B538" i="45"/>
  <c r="A538" i="45"/>
  <c r="X537" i="45"/>
  <c r="F537" i="45"/>
  <c r="E537" i="45"/>
  <c r="D537" i="45"/>
  <c r="B537" i="45"/>
  <c r="A537" i="45"/>
  <c r="X536" i="45"/>
  <c r="F536" i="45"/>
  <c r="E536" i="45"/>
  <c r="D536" i="45"/>
  <c r="B536" i="45"/>
  <c r="A536" i="45"/>
  <c r="X535" i="45"/>
  <c r="F535" i="45"/>
  <c r="E535" i="45"/>
  <c r="D535" i="45"/>
  <c r="B535" i="45"/>
  <c r="A535" i="45"/>
  <c r="X534" i="45"/>
  <c r="F534" i="45"/>
  <c r="E534" i="45"/>
  <c r="D534" i="45"/>
  <c r="B534" i="45"/>
  <c r="A534" i="45"/>
  <c r="X533" i="45"/>
  <c r="F533" i="45"/>
  <c r="E533" i="45"/>
  <c r="D533" i="45"/>
  <c r="B533" i="45"/>
  <c r="A533" i="45"/>
  <c r="X532" i="45"/>
  <c r="F532" i="45"/>
  <c r="E532" i="45"/>
  <c r="D532" i="45"/>
  <c r="B532" i="45"/>
  <c r="A532" i="45"/>
  <c r="X531" i="45"/>
  <c r="F531" i="45"/>
  <c r="E531" i="45"/>
  <c r="D531" i="45"/>
  <c r="B531" i="45"/>
  <c r="A531" i="45"/>
  <c r="X530" i="45"/>
  <c r="F530" i="45"/>
  <c r="E530" i="45"/>
  <c r="D530" i="45"/>
  <c r="B530" i="45"/>
  <c r="A530" i="45"/>
  <c r="X529" i="45"/>
  <c r="F529" i="45"/>
  <c r="E529" i="45"/>
  <c r="D529" i="45"/>
  <c r="B529" i="45"/>
  <c r="A529" i="45"/>
  <c r="X528" i="45"/>
  <c r="F528" i="45"/>
  <c r="E528" i="45"/>
  <c r="D528" i="45"/>
  <c r="B528" i="45"/>
  <c r="A528" i="45"/>
  <c r="X527" i="45"/>
  <c r="F527" i="45"/>
  <c r="E527" i="45"/>
  <c r="D527" i="45"/>
  <c r="B527" i="45"/>
  <c r="A527" i="45"/>
  <c r="X526" i="45"/>
  <c r="F526" i="45"/>
  <c r="E526" i="45"/>
  <c r="D526" i="45"/>
  <c r="B526" i="45"/>
  <c r="A526" i="45"/>
  <c r="X525" i="45"/>
  <c r="F525" i="45"/>
  <c r="E525" i="45"/>
  <c r="D525" i="45"/>
  <c r="B525" i="45"/>
  <c r="A525" i="45"/>
  <c r="X524" i="45"/>
  <c r="F524" i="45"/>
  <c r="E524" i="45"/>
  <c r="D524" i="45"/>
  <c r="B524" i="45"/>
  <c r="A524" i="45"/>
  <c r="X523" i="45"/>
  <c r="F523" i="45"/>
  <c r="E523" i="45"/>
  <c r="D523" i="45"/>
  <c r="B523" i="45"/>
  <c r="A523" i="45"/>
  <c r="X522" i="45"/>
  <c r="F522" i="45"/>
  <c r="E522" i="45"/>
  <c r="D522" i="45"/>
  <c r="B522" i="45"/>
  <c r="A522" i="45"/>
  <c r="X521" i="45"/>
  <c r="F521" i="45"/>
  <c r="E521" i="45"/>
  <c r="D521" i="45"/>
  <c r="B521" i="45"/>
  <c r="A521" i="45"/>
  <c r="X520" i="45"/>
  <c r="F520" i="45"/>
  <c r="E520" i="45"/>
  <c r="D520" i="45"/>
  <c r="B520" i="45"/>
  <c r="A520" i="45"/>
  <c r="X519" i="45"/>
  <c r="F519" i="45"/>
  <c r="E519" i="45"/>
  <c r="D519" i="45"/>
  <c r="B519" i="45"/>
  <c r="A519" i="45"/>
  <c r="X518" i="45"/>
  <c r="F518" i="45"/>
  <c r="E518" i="45"/>
  <c r="D518" i="45"/>
  <c r="B518" i="45"/>
  <c r="A518" i="45"/>
  <c r="X517" i="45"/>
  <c r="F517" i="45"/>
  <c r="E517" i="45"/>
  <c r="D517" i="45"/>
  <c r="B517" i="45"/>
  <c r="A517" i="45"/>
  <c r="X516" i="45"/>
  <c r="F516" i="45"/>
  <c r="E516" i="45"/>
  <c r="D516" i="45"/>
  <c r="B516" i="45"/>
  <c r="A516" i="45"/>
  <c r="X515" i="45"/>
  <c r="F515" i="45"/>
  <c r="E515" i="45"/>
  <c r="D515" i="45"/>
  <c r="B515" i="45"/>
  <c r="A515" i="45"/>
  <c r="X514" i="45"/>
  <c r="F514" i="45"/>
  <c r="E514" i="45"/>
  <c r="D514" i="45"/>
  <c r="B514" i="45"/>
  <c r="A514" i="45"/>
  <c r="X513" i="45"/>
  <c r="F513" i="45"/>
  <c r="E513" i="45"/>
  <c r="D513" i="45"/>
  <c r="B513" i="45"/>
  <c r="A513" i="45"/>
  <c r="X512" i="45"/>
  <c r="F512" i="45"/>
  <c r="E512" i="45"/>
  <c r="D512" i="45"/>
  <c r="B512" i="45"/>
  <c r="A512" i="45"/>
  <c r="X511" i="45"/>
  <c r="F511" i="45"/>
  <c r="E511" i="45"/>
  <c r="D511" i="45"/>
  <c r="B511" i="45"/>
  <c r="A511" i="45"/>
  <c r="X510" i="45"/>
  <c r="F510" i="45"/>
  <c r="E510" i="45"/>
  <c r="D510" i="45"/>
  <c r="B510" i="45"/>
  <c r="A510" i="45"/>
  <c r="X509" i="45"/>
  <c r="F509" i="45"/>
  <c r="E509" i="45"/>
  <c r="D509" i="45"/>
  <c r="B509" i="45"/>
  <c r="A509" i="45"/>
  <c r="X508" i="45"/>
  <c r="F508" i="45"/>
  <c r="E508" i="45"/>
  <c r="D508" i="45"/>
  <c r="B508" i="45"/>
  <c r="A508" i="45"/>
  <c r="X507" i="45"/>
  <c r="F507" i="45"/>
  <c r="E507" i="45"/>
  <c r="D507" i="45"/>
  <c r="B507" i="45"/>
  <c r="A507" i="45"/>
  <c r="X506" i="45"/>
  <c r="F506" i="45"/>
  <c r="E506" i="45"/>
  <c r="D506" i="45"/>
  <c r="B506" i="45"/>
  <c r="A506" i="45"/>
  <c r="X505" i="45"/>
  <c r="F505" i="45"/>
  <c r="E505" i="45"/>
  <c r="D505" i="45"/>
  <c r="B505" i="45"/>
  <c r="A505" i="45"/>
  <c r="X504" i="45"/>
  <c r="F504" i="45"/>
  <c r="E504" i="45"/>
  <c r="D504" i="45"/>
  <c r="B504" i="45"/>
  <c r="A504" i="45"/>
  <c r="X503" i="45"/>
  <c r="F503" i="45"/>
  <c r="E503" i="45"/>
  <c r="D503" i="45"/>
  <c r="B503" i="45"/>
  <c r="A503" i="45"/>
  <c r="X502" i="45"/>
  <c r="F502" i="45"/>
  <c r="E502" i="45"/>
  <c r="D502" i="45"/>
  <c r="B502" i="45"/>
  <c r="A502" i="45"/>
  <c r="X501" i="45"/>
  <c r="F501" i="45"/>
  <c r="E501" i="45"/>
  <c r="D501" i="45"/>
  <c r="B501" i="45"/>
  <c r="A501" i="45"/>
  <c r="X500" i="45"/>
  <c r="F500" i="45"/>
  <c r="E500" i="45"/>
  <c r="D500" i="45"/>
  <c r="B500" i="45"/>
  <c r="A500" i="45"/>
  <c r="X499" i="45"/>
  <c r="F499" i="45"/>
  <c r="E499" i="45"/>
  <c r="D499" i="45"/>
  <c r="B499" i="45"/>
  <c r="A499" i="45"/>
  <c r="X498" i="45"/>
  <c r="F498" i="45"/>
  <c r="E498" i="45"/>
  <c r="D498" i="45"/>
  <c r="B498" i="45"/>
  <c r="A498" i="45"/>
  <c r="X497" i="45"/>
  <c r="F497" i="45"/>
  <c r="E497" i="45"/>
  <c r="D497" i="45"/>
  <c r="B497" i="45"/>
  <c r="A497" i="45"/>
  <c r="X496" i="45"/>
  <c r="F496" i="45"/>
  <c r="E496" i="45"/>
  <c r="D496" i="45"/>
  <c r="B496" i="45"/>
  <c r="A496" i="45"/>
  <c r="X495" i="45"/>
  <c r="F495" i="45"/>
  <c r="E495" i="45"/>
  <c r="D495" i="45"/>
  <c r="B495" i="45"/>
  <c r="A495" i="45"/>
  <c r="X494" i="45"/>
  <c r="F494" i="45"/>
  <c r="E494" i="45"/>
  <c r="D494" i="45"/>
  <c r="B494" i="45"/>
  <c r="A494" i="45"/>
  <c r="X493" i="45"/>
  <c r="F493" i="45"/>
  <c r="E493" i="45"/>
  <c r="D493" i="45"/>
  <c r="B493" i="45"/>
  <c r="A493" i="45"/>
  <c r="X492" i="45"/>
  <c r="F492" i="45"/>
  <c r="E492" i="45"/>
  <c r="D492" i="45"/>
  <c r="B492" i="45"/>
  <c r="A492" i="45"/>
  <c r="X491" i="45"/>
  <c r="F491" i="45"/>
  <c r="E491" i="45"/>
  <c r="D491" i="45"/>
  <c r="B491" i="45"/>
  <c r="A491" i="45"/>
  <c r="X490" i="45"/>
  <c r="F490" i="45"/>
  <c r="E490" i="45"/>
  <c r="D490" i="45"/>
  <c r="B490" i="45"/>
  <c r="A490" i="45"/>
  <c r="X489" i="45"/>
  <c r="F489" i="45"/>
  <c r="E489" i="45"/>
  <c r="D489" i="45"/>
  <c r="B489" i="45"/>
  <c r="A489" i="45"/>
  <c r="X488" i="45"/>
  <c r="F488" i="45"/>
  <c r="E488" i="45"/>
  <c r="D488" i="45"/>
  <c r="B488" i="45"/>
  <c r="A488" i="45"/>
  <c r="X487" i="45"/>
  <c r="F487" i="45"/>
  <c r="E487" i="45"/>
  <c r="D487" i="45"/>
  <c r="B487" i="45"/>
  <c r="A487" i="45"/>
  <c r="X486" i="45"/>
  <c r="F486" i="45"/>
  <c r="E486" i="45"/>
  <c r="D486" i="45"/>
  <c r="B486" i="45"/>
  <c r="A486" i="45"/>
  <c r="X485" i="45"/>
  <c r="F485" i="45"/>
  <c r="E485" i="45"/>
  <c r="D485" i="45"/>
  <c r="B485" i="45"/>
  <c r="A485" i="45"/>
  <c r="X484" i="45"/>
  <c r="F484" i="45"/>
  <c r="E484" i="45"/>
  <c r="D484" i="45"/>
  <c r="B484" i="45"/>
  <c r="A484" i="45"/>
  <c r="X483" i="45"/>
  <c r="F483" i="45"/>
  <c r="E483" i="45"/>
  <c r="D483" i="45"/>
  <c r="B483" i="45"/>
  <c r="A483" i="45"/>
  <c r="X482" i="45"/>
  <c r="F482" i="45"/>
  <c r="E482" i="45"/>
  <c r="D482" i="45"/>
  <c r="B482" i="45"/>
  <c r="A482" i="45"/>
  <c r="X481" i="45"/>
  <c r="F481" i="45"/>
  <c r="E481" i="45"/>
  <c r="D481" i="45"/>
  <c r="B481" i="45"/>
  <c r="A481" i="45"/>
  <c r="X480" i="45"/>
  <c r="F480" i="45"/>
  <c r="E480" i="45"/>
  <c r="D480" i="45"/>
  <c r="B480" i="45"/>
  <c r="A480" i="45"/>
  <c r="X479" i="45"/>
  <c r="F479" i="45"/>
  <c r="E479" i="45"/>
  <c r="D479" i="45"/>
  <c r="B479" i="45"/>
  <c r="A479" i="45"/>
  <c r="X478" i="45"/>
  <c r="F478" i="45"/>
  <c r="E478" i="45"/>
  <c r="D478" i="45"/>
  <c r="B478" i="45"/>
  <c r="A478" i="45"/>
  <c r="X477" i="45"/>
  <c r="F477" i="45"/>
  <c r="E477" i="45"/>
  <c r="D477" i="45"/>
  <c r="B477" i="45"/>
  <c r="A477" i="45"/>
  <c r="X476" i="45"/>
  <c r="F476" i="45"/>
  <c r="E476" i="45"/>
  <c r="D476" i="45"/>
  <c r="B476" i="45"/>
  <c r="A476" i="45"/>
  <c r="X475" i="45"/>
  <c r="F475" i="45"/>
  <c r="E475" i="45"/>
  <c r="D475" i="45"/>
  <c r="B475" i="45"/>
  <c r="A475" i="45"/>
  <c r="X474" i="45"/>
  <c r="F474" i="45"/>
  <c r="E474" i="45"/>
  <c r="D474" i="45"/>
  <c r="B474" i="45"/>
  <c r="A474" i="45"/>
  <c r="X473" i="45"/>
  <c r="F473" i="45"/>
  <c r="E473" i="45"/>
  <c r="D473" i="45"/>
  <c r="B473" i="45"/>
  <c r="A473" i="45"/>
  <c r="X472" i="45"/>
  <c r="F472" i="45"/>
  <c r="E472" i="45"/>
  <c r="D472" i="45"/>
  <c r="B472" i="45"/>
  <c r="A472" i="45"/>
  <c r="X471" i="45"/>
  <c r="F471" i="45"/>
  <c r="E471" i="45"/>
  <c r="D471" i="45"/>
  <c r="B471" i="45"/>
  <c r="A471" i="45"/>
  <c r="X470" i="45"/>
  <c r="F470" i="45"/>
  <c r="E470" i="45"/>
  <c r="D470" i="45"/>
  <c r="B470" i="45"/>
  <c r="A470" i="45"/>
  <c r="X469" i="45"/>
  <c r="F469" i="45"/>
  <c r="E469" i="45"/>
  <c r="D469" i="45"/>
  <c r="B469" i="45"/>
  <c r="A469" i="45"/>
  <c r="X468" i="45"/>
  <c r="F468" i="45"/>
  <c r="E468" i="45"/>
  <c r="D468" i="45"/>
  <c r="B468" i="45"/>
  <c r="A468" i="45"/>
  <c r="X467" i="45"/>
  <c r="F467" i="45"/>
  <c r="E467" i="45"/>
  <c r="D467" i="45"/>
  <c r="B467" i="45"/>
  <c r="A467" i="45"/>
  <c r="X466" i="45"/>
  <c r="F466" i="45"/>
  <c r="E466" i="45"/>
  <c r="D466" i="45"/>
  <c r="B466" i="45"/>
  <c r="A466" i="45"/>
  <c r="X465" i="45"/>
  <c r="F465" i="45"/>
  <c r="E465" i="45"/>
  <c r="D465" i="45"/>
  <c r="B465" i="45"/>
  <c r="A465" i="45"/>
  <c r="X464" i="45"/>
  <c r="F464" i="45"/>
  <c r="E464" i="45"/>
  <c r="D464" i="45"/>
  <c r="B464" i="45"/>
  <c r="A464" i="45"/>
  <c r="X463" i="45"/>
  <c r="F463" i="45"/>
  <c r="E463" i="45"/>
  <c r="D463" i="45"/>
  <c r="B463" i="45"/>
  <c r="A463" i="45"/>
  <c r="X462" i="45"/>
  <c r="F462" i="45"/>
  <c r="E462" i="45"/>
  <c r="D462" i="45"/>
  <c r="B462" i="45"/>
  <c r="A462" i="45"/>
  <c r="X461" i="45"/>
  <c r="F461" i="45"/>
  <c r="E461" i="45"/>
  <c r="D461" i="45"/>
  <c r="B461" i="45"/>
  <c r="A461" i="45"/>
  <c r="X460" i="45"/>
  <c r="F460" i="45"/>
  <c r="E460" i="45"/>
  <c r="D460" i="45"/>
  <c r="B460" i="45"/>
  <c r="A460" i="45"/>
  <c r="X459" i="45"/>
  <c r="F459" i="45"/>
  <c r="E459" i="45"/>
  <c r="D459" i="45"/>
  <c r="B459" i="45"/>
  <c r="A459" i="45"/>
  <c r="X458" i="45"/>
  <c r="F458" i="45"/>
  <c r="E458" i="45"/>
  <c r="D458" i="45"/>
  <c r="B458" i="45"/>
  <c r="A458" i="45"/>
  <c r="X457" i="45"/>
  <c r="F457" i="45"/>
  <c r="E457" i="45"/>
  <c r="D457" i="45"/>
  <c r="B457" i="45"/>
  <c r="A457" i="45"/>
  <c r="X456" i="45"/>
  <c r="F456" i="45"/>
  <c r="E456" i="45"/>
  <c r="D456" i="45"/>
  <c r="B456" i="45"/>
  <c r="A456" i="45"/>
  <c r="X455" i="45"/>
  <c r="F455" i="45"/>
  <c r="E455" i="45"/>
  <c r="D455" i="45"/>
  <c r="B455" i="45"/>
  <c r="A455" i="45"/>
  <c r="X454" i="45"/>
  <c r="F454" i="45"/>
  <c r="E454" i="45"/>
  <c r="D454" i="45"/>
  <c r="B454" i="45"/>
  <c r="A454" i="45"/>
  <c r="X453" i="45"/>
  <c r="F453" i="45"/>
  <c r="E453" i="45"/>
  <c r="D453" i="45"/>
  <c r="B453" i="45"/>
  <c r="A453" i="45"/>
  <c r="X452" i="45"/>
  <c r="F452" i="45"/>
  <c r="E452" i="45"/>
  <c r="D452" i="45"/>
  <c r="B452" i="45"/>
  <c r="A452" i="45"/>
  <c r="X451" i="45"/>
  <c r="F451" i="45"/>
  <c r="E451" i="45"/>
  <c r="D451" i="45"/>
  <c r="B451" i="45"/>
  <c r="A451" i="45"/>
  <c r="X450" i="45"/>
  <c r="F450" i="45"/>
  <c r="E450" i="45"/>
  <c r="D450" i="45"/>
  <c r="B450" i="45"/>
  <c r="A450" i="45"/>
  <c r="X449" i="45"/>
  <c r="F449" i="45"/>
  <c r="E449" i="45"/>
  <c r="D449" i="45"/>
  <c r="B449" i="45"/>
  <c r="A449" i="45"/>
  <c r="X448" i="45"/>
  <c r="F448" i="45"/>
  <c r="E448" i="45"/>
  <c r="D448" i="45"/>
  <c r="B448" i="45"/>
  <c r="A448" i="45"/>
  <c r="X447" i="45"/>
  <c r="F447" i="45"/>
  <c r="E447" i="45"/>
  <c r="D447" i="45"/>
  <c r="B447" i="45"/>
  <c r="A447" i="45"/>
  <c r="X446" i="45"/>
  <c r="F446" i="45"/>
  <c r="E446" i="45"/>
  <c r="D446" i="45"/>
  <c r="B446" i="45"/>
  <c r="A446" i="45"/>
  <c r="X445" i="45"/>
  <c r="F445" i="45"/>
  <c r="E445" i="45"/>
  <c r="D445" i="45"/>
  <c r="B445" i="45"/>
  <c r="A445" i="45"/>
  <c r="X444" i="45"/>
  <c r="F444" i="45"/>
  <c r="E444" i="45"/>
  <c r="D444" i="45"/>
  <c r="B444" i="45"/>
  <c r="A444" i="45"/>
  <c r="X443" i="45"/>
  <c r="F443" i="45"/>
  <c r="E443" i="45"/>
  <c r="D443" i="45"/>
  <c r="B443" i="45"/>
  <c r="A443" i="45"/>
  <c r="X442" i="45"/>
  <c r="F442" i="45"/>
  <c r="E442" i="45"/>
  <c r="D442" i="45"/>
  <c r="B442" i="45"/>
  <c r="A442" i="45"/>
  <c r="X441" i="45"/>
  <c r="F441" i="45"/>
  <c r="E441" i="45"/>
  <c r="D441" i="45"/>
  <c r="B441" i="45"/>
  <c r="A441" i="45"/>
  <c r="X440" i="45"/>
  <c r="F440" i="45"/>
  <c r="E440" i="45"/>
  <c r="D440" i="45"/>
  <c r="B440" i="45"/>
  <c r="A440" i="45"/>
  <c r="X439" i="45"/>
  <c r="F439" i="45"/>
  <c r="E439" i="45"/>
  <c r="D439" i="45"/>
  <c r="B439" i="45"/>
  <c r="A439" i="45"/>
  <c r="X438" i="45"/>
  <c r="F438" i="45"/>
  <c r="E438" i="45"/>
  <c r="D438" i="45"/>
  <c r="B438" i="45"/>
  <c r="A438" i="45"/>
  <c r="X437" i="45"/>
  <c r="F437" i="45"/>
  <c r="E437" i="45"/>
  <c r="D437" i="45"/>
  <c r="B437" i="45"/>
  <c r="A437" i="45"/>
  <c r="X436" i="45"/>
  <c r="F436" i="45"/>
  <c r="E436" i="45"/>
  <c r="D436" i="45"/>
  <c r="B436" i="45"/>
  <c r="A436" i="45"/>
  <c r="X435" i="45"/>
  <c r="F435" i="45"/>
  <c r="E435" i="45"/>
  <c r="D435" i="45"/>
  <c r="B435" i="45"/>
  <c r="A435" i="45"/>
  <c r="X434" i="45"/>
  <c r="F434" i="45"/>
  <c r="E434" i="45"/>
  <c r="D434" i="45"/>
  <c r="B434" i="45"/>
  <c r="A434" i="45"/>
  <c r="X433" i="45"/>
  <c r="F433" i="45"/>
  <c r="E433" i="45"/>
  <c r="D433" i="45"/>
  <c r="B433" i="45"/>
  <c r="A433" i="45"/>
  <c r="X432" i="45"/>
  <c r="F432" i="45"/>
  <c r="E432" i="45"/>
  <c r="D432" i="45"/>
  <c r="B432" i="45"/>
  <c r="A432" i="45"/>
  <c r="X431" i="45"/>
  <c r="F431" i="45"/>
  <c r="E431" i="45"/>
  <c r="D431" i="45"/>
  <c r="B431" i="45"/>
  <c r="A431" i="45"/>
  <c r="X430" i="45"/>
  <c r="F430" i="45"/>
  <c r="E430" i="45"/>
  <c r="D430" i="45"/>
  <c r="B430" i="45"/>
  <c r="A430" i="45"/>
  <c r="X429" i="45"/>
  <c r="F429" i="45"/>
  <c r="E429" i="45"/>
  <c r="D429" i="45"/>
  <c r="B429" i="45"/>
  <c r="A429" i="45"/>
  <c r="X428" i="45"/>
  <c r="F428" i="45"/>
  <c r="E428" i="45"/>
  <c r="D428" i="45"/>
  <c r="B428" i="45"/>
  <c r="A428" i="45"/>
  <c r="X427" i="45"/>
  <c r="F427" i="45"/>
  <c r="E427" i="45"/>
  <c r="D427" i="45"/>
  <c r="B427" i="45"/>
  <c r="A427" i="45"/>
  <c r="X426" i="45"/>
  <c r="F426" i="45"/>
  <c r="E426" i="45"/>
  <c r="D426" i="45"/>
  <c r="B426" i="45"/>
  <c r="A426" i="45"/>
  <c r="X425" i="45"/>
  <c r="F425" i="45"/>
  <c r="E425" i="45"/>
  <c r="D425" i="45"/>
  <c r="B425" i="45"/>
  <c r="A425" i="45"/>
  <c r="X424" i="45"/>
  <c r="F424" i="45"/>
  <c r="E424" i="45"/>
  <c r="D424" i="45"/>
  <c r="B424" i="45"/>
  <c r="A424" i="45"/>
  <c r="X423" i="45"/>
  <c r="F423" i="45"/>
  <c r="E423" i="45"/>
  <c r="D423" i="45"/>
  <c r="B423" i="45"/>
  <c r="A423" i="45"/>
  <c r="X422" i="45"/>
  <c r="F422" i="45"/>
  <c r="E422" i="45"/>
  <c r="D422" i="45"/>
  <c r="B422" i="45"/>
  <c r="A422" i="45"/>
  <c r="X421" i="45"/>
  <c r="F421" i="45"/>
  <c r="E421" i="45"/>
  <c r="D421" i="45"/>
  <c r="B421" i="45"/>
  <c r="A421" i="45"/>
  <c r="X420" i="45"/>
  <c r="F420" i="45"/>
  <c r="E420" i="45"/>
  <c r="D420" i="45"/>
  <c r="B420" i="45"/>
  <c r="A420" i="45"/>
  <c r="X419" i="45"/>
  <c r="F419" i="45"/>
  <c r="E419" i="45"/>
  <c r="D419" i="45"/>
  <c r="B419" i="45"/>
  <c r="A419" i="45"/>
  <c r="X418" i="45"/>
  <c r="F418" i="45"/>
  <c r="E418" i="45"/>
  <c r="D418" i="45"/>
  <c r="B418" i="45"/>
  <c r="A418" i="45"/>
  <c r="X417" i="45"/>
  <c r="F417" i="45"/>
  <c r="E417" i="45"/>
  <c r="D417" i="45"/>
  <c r="B417" i="45"/>
  <c r="A417" i="45"/>
  <c r="X416" i="45"/>
  <c r="F416" i="45"/>
  <c r="E416" i="45"/>
  <c r="D416" i="45"/>
  <c r="B416" i="45"/>
  <c r="A416" i="45"/>
  <c r="X415" i="45"/>
  <c r="F415" i="45"/>
  <c r="E415" i="45"/>
  <c r="D415" i="45"/>
  <c r="B415" i="45"/>
  <c r="A415" i="45"/>
  <c r="X414" i="45"/>
  <c r="F414" i="45"/>
  <c r="E414" i="45"/>
  <c r="D414" i="45"/>
  <c r="B414" i="45"/>
  <c r="A414" i="45"/>
  <c r="X413" i="45"/>
  <c r="F413" i="45"/>
  <c r="E413" i="45"/>
  <c r="D413" i="45"/>
  <c r="B413" i="45"/>
  <c r="A413" i="45"/>
  <c r="X412" i="45"/>
  <c r="F412" i="45"/>
  <c r="E412" i="45"/>
  <c r="D412" i="45"/>
  <c r="B412" i="45"/>
  <c r="A412" i="45"/>
  <c r="X411" i="45"/>
  <c r="F411" i="45"/>
  <c r="E411" i="45"/>
  <c r="D411" i="45"/>
  <c r="B411" i="45"/>
  <c r="A411" i="45"/>
  <c r="X410" i="45"/>
  <c r="F410" i="45"/>
  <c r="E410" i="45"/>
  <c r="D410" i="45"/>
  <c r="B410" i="45"/>
  <c r="A410" i="45"/>
  <c r="X409" i="45"/>
  <c r="F409" i="45"/>
  <c r="E409" i="45"/>
  <c r="D409" i="45"/>
  <c r="B409" i="45"/>
  <c r="A409" i="45"/>
  <c r="X408" i="45"/>
  <c r="F408" i="45"/>
  <c r="E408" i="45"/>
  <c r="D408" i="45"/>
  <c r="B408" i="45"/>
  <c r="A408" i="45"/>
  <c r="X407" i="45"/>
  <c r="F407" i="45"/>
  <c r="E407" i="45"/>
  <c r="D407" i="45"/>
  <c r="B407" i="45"/>
  <c r="A407" i="45"/>
  <c r="X406" i="45"/>
  <c r="F406" i="45"/>
  <c r="E406" i="45"/>
  <c r="D406" i="45"/>
  <c r="B406" i="45"/>
  <c r="A406" i="45"/>
  <c r="X405" i="45"/>
  <c r="F405" i="45"/>
  <c r="E405" i="45"/>
  <c r="D405" i="45"/>
  <c r="B405" i="45"/>
  <c r="A405" i="45"/>
  <c r="X404" i="45"/>
  <c r="F404" i="45"/>
  <c r="E404" i="45"/>
  <c r="D404" i="45"/>
  <c r="B404" i="45"/>
  <c r="A404" i="45"/>
  <c r="X403" i="45"/>
  <c r="F403" i="45"/>
  <c r="E403" i="45"/>
  <c r="D403" i="45"/>
  <c r="B403" i="45"/>
  <c r="A403" i="45"/>
  <c r="X402" i="45"/>
  <c r="F402" i="45"/>
  <c r="E402" i="45"/>
  <c r="D402" i="45"/>
  <c r="B402" i="45"/>
  <c r="A402" i="45"/>
  <c r="X401" i="45"/>
  <c r="F401" i="45"/>
  <c r="E401" i="45"/>
  <c r="D401" i="45"/>
  <c r="B401" i="45"/>
  <c r="A401" i="45"/>
  <c r="X400" i="45"/>
  <c r="F400" i="45"/>
  <c r="E400" i="45"/>
  <c r="D400" i="45"/>
  <c r="B400" i="45"/>
  <c r="A400" i="45"/>
  <c r="X399" i="45"/>
  <c r="F399" i="45"/>
  <c r="E399" i="45"/>
  <c r="D399" i="45"/>
  <c r="B399" i="45"/>
  <c r="A399" i="45"/>
  <c r="X398" i="45"/>
  <c r="F398" i="45"/>
  <c r="E398" i="45"/>
  <c r="D398" i="45"/>
  <c r="B398" i="45"/>
  <c r="A398" i="45"/>
  <c r="X397" i="45"/>
  <c r="F397" i="45"/>
  <c r="E397" i="45"/>
  <c r="D397" i="45"/>
  <c r="B397" i="45"/>
  <c r="A397" i="45"/>
  <c r="X396" i="45"/>
  <c r="F396" i="45"/>
  <c r="E396" i="45"/>
  <c r="D396" i="45"/>
  <c r="B396" i="45"/>
  <c r="A396" i="45"/>
  <c r="X395" i="45"/>
  <c r="F395" i="45"/>
  <c r="E395" i="45"/>
  <c r="D395" i="45"/>
  <c r="B395" i="45"/>
  <c r="A395" i="45"/>
  <c r="X394" i="45"/>
  <c r="F394" i="45"/>
  <c r="E394" i="45"/>
  <c r="D394" i="45"/>
  <c r="B394" i="45"/>
  <c r="A394" i="45"/>
  <c r="X393" i="45"/>
  <c r="F393" i="45"/>
  <c r="E393" i="45"/>
  <c r="D393" i="45"/>
  <c r="B393" i="45"/>
  <c r="A393" i="45"/>
  <c r="X392" i="45"/>
  <c r="F392" i="45"/>
  <c r="E392" i="45"/>
  <c r="D392" i="45"/>
  <c r="B392" i="45"/>
  <c r="A392" i="45"/>
  <c r="X391" i="45"/>
  <c r="F391" i="45"/>
  <c r="E391" i="45"/>
  <c r="D391" i="45"/>
  <c r="B391" i="45"/>
  <c r="A391" i="45"/>
  <c r="X390" i="45"/>
  <c r="F390" i="45"/>
  <c r="E390" i="45"/>
  <c r="D390" i="45"/>
  <c r="B390" i="45"/>
  <c r="A390" i="45"/>
  <c r="X389" i="45"/>
  <c r="F389" i="45"/>
  <c r="E389" i="45"/>
  <c r="D389" i="45"/>
  <c r="B389" i="45"/>
  <c r="A389" i="45"/>
  <c r="X388" i="45"/>
  <c r="F388" i="45"/>
  <c r="E388" i="45"/>
  <c r="D388" i="45"/>
  <c r="B388" i="45"/>
  <c r="A388" i="45"/>
  <c r="X387" i="45"/>
  <c r="F387" i="45"/>
  <c r="E387" i="45"/>
  <c r="D387" i="45"/>
  <c r="B387" i="45"/>
  <c r="A387" i="45"/>
  <c r="X386" i="45"/>
  <c r="F386" i="45"/>
  <c r="E386" i="45"/>
  <c r="D386" i="45"/>
  <c r="B386" i="45"/>
  <c r="A386" i="45"/>
  <c r="X385" i="45"/>
  <c r="F385" i="45"/>
  <c r="E385" i="45"/>
  <c r="D385" i="45"/>
  <c r="B385" i="45"/>
  <c r="A385" i="45"/>
  <c r="X384" i="45"/>
  <c r="F384" i="45"/>
  <c r="E384" i="45"/>
  <c r="D384" i="45"/>
  <c r="B384" i="45"/>
  <c r="A384" i="45"/>
  <c r="X383" i="45"/>
  <c r="F383" i="45"/>
  <c r="E383" i="45"/>
  <c r="D383" i="45"/>
  <c r="B383" i="45"/>
  <c r="A383" i="45"/>
  <c r="X382" i="45"/>
  <c r="F382" i="45"/>
  <c r="E382" i="45"/>
  <c r="D382" i="45"/>
  <c r="B382" i="45"/>
  <c r="A382" i="45"/>
  <c r="X381" i="45"/>
  <c r="F381" i="45"/>
  <c r="E381" i="45"/>
  <c r="D381" i="45"/>
  <c r="B381" i="45"/>
  <c r="A381" i="45"/>
  <c r="X380" i="45"/>
  <c r="F380" i="45"/>
  <c r="E380" i="45"/>
  <c r="D380" i="45"/>
  <c r="B380" i="45"/>
  <c r="A380" i="45"/>
  <c r="X379" i="45"/>
  <c r="F379" i="45"/>
  <c r="E379" i="45"/>
  <c r="D379" i="45"/>
  <c r="B379" i="45"/>
  <c r="A379" i="45"/>
  <c r="X378" i="45"/>
  <c r="F378" i="45"/>
  <c r="E378" i="45"/>
  <c r="D378" i="45"/>
  <c r="B378" i="45"/>
  <c r="A378" i="45"/>
  <c r="X377" i="45"/>
  <c r="F377" i="45"/>
  <c r="E377" i="45"/>
  <c r="D377" i="45"/>
  <c r="B377" i="45"/>
  <c r="A377" i="45"/>
  <c r="X376" i="45"/>
  <c r="F376" i="45"/>
  <c r="E376" i="45"/>
  <c r="D376" i="45"/>
  <c r="B376" i="45"/>
  <c r="A376" i="45"/>
  <c r="X375" i="45"/>
  <c r="F375" i="45"/>
  <c r="E375" i="45"/>
  <c r="D375" i="45"/>
  <c r="B375" i="45"/>
  <c r="A375" i="45"/>
  <c r="X374" i="45"/>
  <c r="F374" i="45"/>
  <c r="E374" i="45"/>
  <c r="D374" i="45"/>
  <c r="B374" i="45"/>
  <c r="A374" i="45"/>
  <c r="X373" i="45"/>
  <c r="F373" i="45"/>
  <c r="E373" i="45"/>
  <c r="D373" i="45"/>
  <c r="B373" i="45"/>
  <c r="A373" i="45"/>
  <c r="X372" i="45"/>
  <c r="F372" i="45"/>
  <c r="E372" i="45"/>
  <c r="D372" i="45"/>
  <c r="B372" i="45"/>
  <c r="A372" i="45"/>
  <c r="X371" i="45"/>
  <c r="F371" i="45"/>
  <c r="E371" i="45"/>
  <c r="D371" i="45"/>
  <c r="B371" i="45"/>
  <c r="A371" i="45"/>
  <c r="X370" i="45"/>
  <c r="F370" i="45"/>
  <c r="E370" i="45"/>
  <c r="D370" i="45"/>
  <c r="B370" i="45"/>
  <c r="A370" i="45"/>
  <c r="X369" i="45"/>
  <c r="F369" i="45"/>
  <c r="E369" i="45"/>
  <c r="D369" i="45"/>
  <c r="B369" i="45"/>
  <c r="A369" i="45"/>
  <c r="X368" i="45"/>
  <c r="F368" i="45"/>
  <c r="E368" i="45"/>
  <c r="D368" i="45"/>
  <c r="B368" i="45"/>
  <c r="A368" i="45"/>
  <c r="X367" i="45"/>
  <c r="F367" i="45"/>
  <c r="E367" i="45"/>
  <c r="D367" i="45"/>
  <c r="B367" i="45"/>
  <c r="A367" i="45"/>
  <c r="X366" i="45"/>
  <c r="F366" i="45"/>
  <c r="E366" i="45"/>
  <c r="D366" i="45"/>
  <c r="B366" i="45"/>
  <c r="A366" i="45"/>
  <c r="X365" i="45"/>
  <c r="F365" i="45"/>
  <c r="E365" i="45"/>
  <c r="D365" i="45"/>
  <c r="B365" i="45"/>
  <c r="A365" i="45"/>
  <c r="X364" i="45"/>
  <c r="F364" i="45"/>
  <c r="E364" i="45"/>
  <c r="D364" i="45"/>
  <c r="B364" i="45"/>
  <c r="A364" i="45"/>
  <c r="X363" i="45"/>
  <c r="F363" i="45"/>
  <c r="E363" i="45"/>
  <c r="D363" i="45"/>
  <c r="B363" i="45"/>
  <c r="A363" i="45"/>
  <c r="X362" i="45"/>
  <c r="F362" i="45"/>
  <c r="E362" i="45"/>
  <c r="D362" i="45"/>
  <c r="B362" i="45"/>
  <c r="A362" i="45"/>
  <c r="X361" i="45"/>
  <c r="F361" i="45"/>
  <c r="E361" i="45"/>
  <c r="D361" i="45"/>
  <c r="B361" i="45"/>
  <c r="A361" i="45"/>
  <c r="X360" i="45"/>
  <c r="F360" i="45"/>
  <c r="E360" i="45"/>
  <c r="D360" i="45"/>
  <c r="B360" i="45"/>
  <c r="A360" i="45"/>
  <c r="X359" i="45"/>
  <c r="F359" i="45"/>
  <c r="E359" i="45"/>
  <c r="D359" i="45"/>
  <c r="B359" i="45"/>
  <c r="A359" i="45"/>
  <c r="X358" i="45"/>
  <c r="F358" i="45"/>
  <c r="E358" i="45"/>
  <c r="D358" i="45"/>
  <c r="B358" i="45"/>
  <c r="A358" i="45"/>
  <c r="X357" i="45"/>
  <c r="F357" i="45"/>
  <c r="E357" i="45"/>
  <c r="D357" i="45"/>
  <c r="B357" i="45"/>
  <c r="A357" i="45"/>
  <c r="X356" i="45"/>
  <c r="F356" i="45"/>
  <c r="E356" i="45"/>
  <c r="D356" i="45"/>
  <c r="B356" i="45"/>
  <c r="A356" i="45"/>
  <c r="X355" i="45"/>
  <c r="F355" i="45"/>
  <c r="E355" i="45"/>
  <c r="D355" i="45"/>
  <c r="B355" i="45"/>
  <c r="A355" i="45"/>
  <c r="X354" i="45"/>
  <c r="F354" i="45"/>
  <c r="E354" i="45"/>
  <c r="D354" i="45"/>
  <c r="B354" i="45"/>
  <c r="A354" i="45"/>
  <c r="X353" i="45"/>
  <c r="F353" i="45"/>
  <c r="E353" i="45"/>
  <c r="D353" i="45"/>
  <c r="B353" i="45"/>
  <c r="A353" i="45"/>
  <c r="X352" i="45"/>
  <c r="F352" i="45"/>
  <c r="E352" i="45"/>
  <c r="D352" i="45"/>
  <c r="B352" i="45"/>
  <c r="A352" i="45"/>
  <c r="X351" i="45"/>
  <c r="F351" i="45"/>
  <c r="E351" i="45"/>
  <c r="D351" i="45"/>
  <c r="B351" i="45"/>
  <c r="A351" i="45"/>
  <c r="X350" i="45"/>
  <c r="F350" i="45"/>
  <c r="E350" i="45"/>
  <c r="D350" i="45"/>
  <c r="B350" i="45"/>
  <c r="A350" i="45"/>
  <c r="X349" i="45"/>
  <c r="F349" i="45"/>
  <c r="E349" i="45"/>
  <c r="D349" i="45"/>
  <c r="B349" i="45"/>
  <c r="A349" i="45"/>
  <c r="X348" i="45"/>
  <c r="F348" i="45"/>
  <c r="E348" i="45"/>
  <c r="D348" i="45"/>
  <c r="B348" i="45"/>
  <c r="A348" i="45"/>
  <c r="X347" i="45"/>
  <c r="F347" i="45"/>
  <c r="E347" i="45"/>
  <c r="D347" i="45"/>
  <c r="B347" i="45"/>
  <c r="A347" i="45"/>
  <c r="X346" i="45"/>
  <c r="F346" i="45"/>
  <c r="E346" i="45"/>
  <c r="D346" i="45"/>
  <c r="B346" i="45"/>
  <c r="A346" i="45"/>
  <c r="X345" i="45"/>
  <c r="F345" i="45"/>
  <c r="E345" i="45"/>
  <c r="D345" i="45"/>
  <c r="B345" i="45"/>
  <c r="A345" i="45"/>
  <c r="X344" i="45"/>
  <c r="F344" i="45"/>
  <c r="E344" i="45"/>
  <c r="D344" i="45"/>
  <c r="B344" i="45"/>
  <c r="A344" i="45"/>
  <c r="X343" i="45"/>
  <c r="F343" i="45"/>
  <c r="E343" i="45"/>
  <c r="D343" i="45"/>
  <c r="B343" i="45"/>
  <c r="A343" i="45"/>
  <c r="X342" i="45"/>
  <c r="F342" i="45"/>
  <c r="E342" i="45"/>
  <c r="D342" i="45"/>
  <c r="B342" i="45"/>
  <c r="A342" i="45"/>
  <c r="X341" i="45"/>
  <c r="F341" i="45"/>
  <c r="E341" i="45"/>
  <c r="D341" i="45"/>
  <c r="B341" i="45"/>
  <c r="A341" i="45"/>
  <c r="X340" i="45"/>
  <c r="F340" i="45"/>
  <c r="E340" i="45"/>
  <c r="D340" i="45"/>
  <c r="B340" i="45"/>
  <c r="A340" i="45"/>
  <c r="X339" i="45"/>
  <c r="F339" i="45"/>
  <c r="E339" i="45"/>
  <c r="D339" i="45"/>
  <c r="B339" i="45"/>
  <c r="A339" i="45"/>
  <c r="X338" i="45"/>
  <c r="F338" i="45"/>
  <c r="E338" i="45"/>
  <c r="D338" i="45"/>
  <c r="B338" i="45"/>
  <c r="A338" i="45"/>
  <c r="X337" i="45"/>
  <c r="F337" i="45"/>
  <c r="E337" i="45"/>
  <c r="D337" i="45"/>
  <c r="B337" i="45"/>
  <c r="A337" i="45"/>
  <c r="X336" i="45"/>
  <c r="F336" i="45"/>
  <c r="E336" i="45"/>
  <c r="D336" i="45"/>
  <c r="B336" i="45"/>
  <c r="A336" i="45"/>
  <c r="X335" i="45"/>
  <c r="F335" i="45"/>
  <c r="E335" i="45"/>
  <c r="D335" i="45"/>
  <c r="B335" i="45"/>
  <c r="A335" i="45"/>
  <c r="X334" i="45"/>
  <c r="F334" i="45"/>
  <c r="E334" i="45"/>
  <c r="D334" i="45"/>
  <c r="B334" i="45"/>
  <c r="A334" i="45"/>
  <c r="X333" i="45"/>
  <c r="F333" i="45"/>
  <c r="E333" i="45"/>
  <c r="D333" i="45"/>
  <c r="B333" i="45"/>
  <c r="A333" i="45"/>
  <c r="X332" i="45"/>
  <c r="F332" i="45"/>
  <c r="E332" i="45"/>
  <c r="D332" i="45"/>
  <c r="B332" i="45"/>
  <c r="A332" i="45"/>
  <c r="X331" i="45"/>
  <c r="F331" i="45"/>
  <c r="E331" i="45"/>
  <c r="D331" i="45"/>
  <c r="B331" i="45"/>
  <c r="A331" i="45"/>
  <c r="X330" i="45"/>
  <c r="F330" i="45"/>
  <c r="E330" i="45"/>
  <c r="D330" i="45"/>
  <c r="B330" i="45"/>
  <c r="A330" i="45"/>
  <c r="X329" i="45"/>
  <c r="F329" i="45"/>
  <c r="E329" i="45"/>
  <c r="D329" i="45"/>
  <c r="B329" i="45"/>
  <c r="A329" i="45"/>
  <c r="X328" i="45"/>
  <c r="F328" i="45"/>
  <c r="E328" i="45"/>
  <c r="D328" i="45"/>
  <c r="B328" i="45"/>
  <c r="A328" i="45"/>
  <c r="X327" i="45"/>
  <c r="F327" i="45"/>
  <c r="E327" i="45"/>
  <c r="D327" i="45"/>
  <c r="B327" i="45"/>
  <c r="A327" i="45"/>
  <c r="X326" i="45"/>
  <c r="F326" i="45"/>
  <c r="E326" i="45"/>
  <c r="D326" i="45"/>
  <c r="B326" i="45"/>
  <c r="A326" i="45"/>
  <c r="X325" i="45"/>
  <c r="F325" i="45"/>
  <c r="E325" i="45"/>
  <c r="D325" i="45"/>
  <c r="B325" i="45"/>
  <c r="A325" i="45"/>
  <c r="X324" i="45"/>
  <c r="F324" i="45"/>
  <c r="E324" i="45"/>
  <c r="D324" i="45"/>
  <c r="B324" i="45"/>
  <c r="A324" i="45"/>
  <c r="X323" i="45"/>
  <c r="F323" i="45"/>
  <c r="E323" i="45"/>
  <c r="D323" i="45"/>
  <c r="B323" i="45"/>
  <c r="A323" i="45"/>
  <c r="X322" i="45"/>
  <c r="F322" i="45"/>
  <c r="E322" i="45"/>
  <c r="D322" i="45"/>
  <c r="B322" i="45"/>
  <c r="A322" i="45"/>
  <c r="X321" i="45"/>
  <c r="F321" i="45"/>
  <c r="E321" i="45"/>
  <c r="D321" i="45"/>
  <c r="B321" i="45"/>
  <c r="A321" i="45"/>
  <c r="X320" i="45"/>
  <c r="F320" i="45"/>
  <c r="E320" i="45"/>
  <c r="D320" i="45"/>
  <c r="B320" i="45"/>
  <c r="A320" i="45"/>
  <c r="X319" i="45"/>
  <c r="F319" i="45"/>
  <c r="E319" i="45"/>
  <c r="D319" i="45"/>
  <c r="B319" i="45"/>
  <c r="A319" i="45"/>
  <c r="X318" i="45"/>
  <c r="F318" i="45"/>
  <c r="E318" i="45"/>
  <c r="D318" i="45"/>
  <c r="B318" i="45"/>
  <c r="A318" i="45"/>
  <c r="X317" i="45"/>
  <c r="F317" i="45"/>
  <c r="E317" i="45"/>
  <c r="D317" i="45"/>
  <c r="B317" i="45"/>
  <c r="A317" i="45"/>
  <c r="X316" i="45"/>
  <c r="F316" i="45"/>
  <c r="E316" i="45"/>
  <c r="D316" i="45"/>
  <c r="B316" i="45"/>
  <c r="A316" i="45"/>
  <c r="X315" i="45"/>
  <c r="F315" i="45"/>
  <c r="E315" i="45"/>
  <c r="D315" i="45"/>
  <c r="B315" i="45"/>
  <c r="A315" i="45"/>
  <c r="X314" i="45"/>
  <c r="F314" i="45"/>
  <c r="E314" i="45"/>
  <c r="D314" i="45"/>
  <c r="B314" i="45"/>
  <c r="A314" i="45"/>
  <c r="X313" i="45"/>
  <c r="F313" i="45"/>
  <c r="E313" i="45"/>
  <c r="D313" i="45"/>
  <c r="B313" i="45"/>
  <c r="A313" i="45"/>
  <c r="X312" i="45"/>
  <c r="F312" i="45"/>
  <c r="E312" i="45"/>
  <c r="D312" i="45"/>
  <c r="B312" i="45"/>
  <c r="A312" i="45"/>
  <c r="X311" i="45"/>
  <c r="F311" i="45"/>
  <c r="E311" i="45"/>
  <c r="D311" i="45"/>
  <c r="B311" i="45"/>
  <c r="A311" i="45"/>
  <c r="X310" i="45"/>
  <c r="F310" i="45"/>
  <c r="E310" i="45"/>
  <c r="D310" i="45"/>
  <c r="B310" i="45"/>
  <c r="A310" i="45"/>
  <c r="X309" i="45"/>
  <c r="F309" i="45"/>
  <c r="E309" i="45"/>
  <c r="D309" i="45"/>
  <c r="B309" i="45"/>
  <c r="A309" i="45"/>
  <c r="X308" i="45"/>
  <c r="F308" i="45"/>
  <c r="E308" i="45"/>
  <c r="D308" i="45"/>
  <c r="B308" i="45"/>
  <c r="A308" i="45"/>
  <c r="X307" i="45"/>
  <c r="F307" i="45"/>
  <c r="E307" i="45"/>
  <c r="D307" i="45"/>
  <c r="B307" i="45"/>
  <c r="A307" i="45"/>
  <c r="X306" i="45"/>
  <c r="F306" i="45"/>
  <c r="E306" i="45"/>
  <c r="D306" i="45"/>
  <c r="B306" i="45"/>
  <c r="A306" i="45"/>
  <c r="X305" i="45"/>
  <c r="F305" i="45"/>
  <c r="E305" i="45"/>
  <c r="D305" i="45"/>
  <c r="B305" i="45"/>
  <c r="A305" i="45"/>
  <c r="X304" i="45"/>
  <c r="F304" i="45"/>
  <c r="E304" i="45"/>
  <c r="D304" i="45"/>
  <c r="B304" i="45"/>
  <c r="A304" i="45"/>
  <c r="X303" i="45"/>
  <c r="F303" i="45"/>
  <c r="E303" i="45"/>
  <c r="D303" i="45"/>
  <c r="B303" i="45"/>
  <c r="A303" i="45"/>
  <c r="X302" i="45"/>
  <c r="F302" i="45"/>
  <c r="E302" i="45"/>
  <c r="D302" i="45"/>
  <c r="B302" i="45"/>
  <c r="A302" i="45"/>
  <c r="X301" i="45"/>
  <c r="F301" i="45"/>
  <c r="E301" i="45"/>
  <c r="D301" i="45"/>
  <c r="B301" i="45"/>
  <c r="A301" i="45"/>
  <c r="X300" i="45"/>
  <c r="F300" i="45"/>
  <c r="E300" i="45"/>
  <c r="D300" i="45"/>
  <c r="B300" i="45"/>
  <c r="A300" i="45"/>
  <c r="X299" i="45"/>
  <c r="F299" i="45"/>
  <c r="E299" i="45"/>
  <c r="D299" i="45"/>
  <c r="B299" i="45"/>
  <c r="A299" i="45"/>
  <c r="X298" i="45"/>
  <c r="F298" i="45"/>
  <c r="E298" i="45"/>
  <c r="D298" i="45"/>
  <c r="B298" i="45"/>
  <c r="A298" i="45"/>
  <c r="X297" i="45"/>
  <c r="F297" i="45"/>
  <c r="E297" i="45"/>
  <c r="D297" i="45"/>
  <c r="B297" i="45"/>
  <c r="A297" i="45"/>
  <c r="X296" i="45"/>
  <c r="F296" i="45"/>
  <c r="E296" i="45"/>
  <c r="D296" i="45"/>
  <c r="B296" i="45"/>
  <c r="A296" i="45"/>
  <c r="X295" i="45"/>
  <c r="F295" i="45"/>
  <c r="E295" i="45"/>
  <c r="D295" i="45"/>
  <c r="B295" i="45"/>
  <c r="A295" i="45"/>
  <c r="X294" i="45"/>
  <c r="F294" i="45"/>
  <c r="E294" i="45"/>
  <c r="D294" i="45"/>
  <c r="B294" i="45"/>
  <c r="A294" i="45"/>
  <c r="X293" i="45"/>
  <c r="F293" i="45"/>
  <c r="E293" i="45"/>
  <c r="D293" i="45"/>
  <c r="B293" i="45"/>
  <c r="A293" i="45"/>
  <c r="X292" i="45"/>
  <c r="F292" i="45"/>
  <c r="E292" i="45"/>
  <c r="D292" i="45"/>
  <c r="B292" i="45"/>
  <c r="A292" i="45"/>
  <c r="X291" i="45"/>
  <c r="F291" i="45"/>
  <c r="E291" i="45"/>
  <c r="D291" i="45"/>
  <c r="B291" i="45"/>
  <c r="A291" i="45"/>
  <c r="X290" i="45"/>
  <c r="F290" i="45"/>
  <c r="E290" i="45"/>
  <c r="D290" i="45"/>
  <c r="B290" i="45"/>
  <c r="A290" i="45"/>
  <c r="X289" i="45"/>
  <c r="F289" i="45"/>
  <c r="E289" i="45"/>
  <c r="D289" i="45"/>
  <c r="B289" i="45"/>
  <c r="A289" i="45"/>
  <c r="X288" i="45"/>
  <c r="F288" i="45"/>
  <c r="E288" i="45"/>
  <c r="D288" i="45"/>
  <c r="B288" i="45"/>
  <c r="A288" i="45"/>
  <c r="X287" i="45"/>
  <c r="F287" i="45"/>
  <c r="E287" i="45"/>
  <c r="D287" i="45"/>
  <c r="B287" i="45"/>
  <c r="A287" i="45"/>
  <c r="X286" i="45"/>
  <c r="F286" i="45"/>
  <c r="E286" i="45"/>
  <c r="D286" i="45"/>
  <c r="B286" i="45"/>
  <c r="A286" i="45"/>
  <c r="X285" i="45"/>
  <c r="F285" i="45"/>
  <c r="E285" i="45"/>
  <c r="D285" i="45"/>
  <c r="B285" i="45"/>
  <c r="A285" i="45"/>
  <c r="X284" i="45"/>
  <c r="F284" i="45"/>
  <c r="E284" i="45"/>
  <c r="D284" i="45"/>
  <c r="B284" i="45"/>
  <c r="A284" i="45"/>
  <c r="X283" i="45"/>
  <c r="F283" i="45"/>
  <c r="E283" i="45"/>
  <c r="D283" i="45"/>
  <c r="B283" i="45"/>
  <c r="A283" i="45"/>
  <c r="X282" i="45"/>
  <c r="F282" i="45"/>
  <c r="E282" i="45"/>
  <c r="D282" i="45"/>
  <c r="B282" i="45"/>
  <c r="A282" i="45"/>
  <c r="X281" i="45"/>
  <c r="F281" i="45"/>
  <c r="E281" i="45"/>
  <c r="D281" i="45"/>
  <c r="B281" i="45"/>
  <c r="A281" i="45"/>
  <c r="X280" i="45"/>
  <c r="F280" i="45"/>
  <c r="E280" i="45"/>
  <c r="D280" i="45"/>
  <c r="B280" i="45"/>
  <c r="A280" i="45"/>
  <c r="X279" i="45"/>
  <c r="F279" i="45"/>
  <c r="E279" i="45"/>
  <c r="D279" i="45"/>
  <c r="B279" i="45"/>
  <c r="A279" i="45"/>
  <c r="X278" i="45"/>
  <c r="F278" i="45"/>
  <c r="E278" i="45"/>
  <c r="D278" i="45"/>
  <c r="B278" i="45"/>
  <c r="A278" i="45"/>
  <c r="X277" i="45"/>
  <c r="F277" i="45"/>
  <c r="E277" i="45"/>
  <c r="D277" i="45"/>
  <c r="B277" i="45"/>
  <c r="A277" i="45"/>
  <c r="X276" i="45"/>
  <c r="F276" i="45"/>
  <c r="E276" i="45"/>
  <c r="D276" i="45"/>
  <c r="B276" i="45"/>
  <c r="A276" i="45"/>
  <c r="X275" i="45"/>
  <c r="F275" i="45"/>
  <c r="E275" i="45"/>
  <c r="D275" i="45"/>
  <c r="B275" i="45"/>
  <c r="A275" i="45"/>
  <c r="X274" i="45"/>
  <c r="F274" i="45"/>
  <c r="E274" i="45"/>
  <c r="D274" i="45"/>
  <c r="B274" i="45"/>
  <c r="A274" i="45"/>
  <c r="X273" i="45"/>
  <c r="F273" i="45"/>
  <c r="E273" i="45"/>
  <c r="D273" i="45"/>
  <c r="B273" i="45"/>
  <c r="A273" i="45"/>
  <c r="X272" i="45"/>
  <c r="F272" i="45"/>
  <c r="E272" i="45"/>
  <c r="D272" i="45"/>
  <c r="B272" i="45"/>
  <c r="A272" i="45"/>
  <c r="X271" i="45"/>
  <c r="F271" i="45"/>
  <c r="E271" i="45"/>
  <c r="D271" i="45"/>
  <c r="B271" i="45"/>
  <c r="A271" i="45"/>
  <c r="X270" i="45"/>
  <c r="F270" i="45"/>
  <c r="E270" i="45"/>
  <c r="D270" i="45"/>
  <c r="B270" i="45"/>
  <c r="A270" i="45"/>
  <c r="X269" i="45"/>
  <c r="F269" i="45"/>
  <c r="E269" i="45"/>
  <c r="D269" i="45"/>
  <c r="B269" i="45"/>
  <c r="A269" i="45"/>
  <c r="X268" i="45"/>
  <c r="F268" i="45"/>
  <c r="E268" i="45"/>
  <c r="D268" i="45"/>
  <c r="B268" i="45"/>
  <c r="A268" i="45"/>
  <c r="X267" i="45"/>
  <c r="F267" i="45"/>
  <c r="E267" i="45"/>
  <c r="D267" i="45"/>
  <c r="B267" i="45"/>
  <c r="A267" i="45"/>
  <c r="X266" i="45"/>
  <c r="F266" i="45"/>
  <c r="E266" i="45"/>
  <c r="D266" i="45"/>
  <c r="B266" i="45"/>
  <c r="A266" i="45"/>
  <c r="X265" i="45"/>
  <c r="F265" i="45"/>
  <c r="E265" i="45"/>
  <c r="D265" i="45"/>
  <c r="B265" i="45"/>
  <c r="A265" i="45"/>
  <c r="X264" i="45"/>
  <c r="F264" i="45"/>
  <c r="E264" i="45"/>
  <c r="D264" i="45"/>
  <c r="B264" i="45"/>
  <c r="A264" i="45"/>
  <c r="X263" i="45"/>
  <c r="F263" i="45"/>
  <c r="E263" i="45"/>
  <c r="D263" i="45"/>
  <c r="B263" i="45"/>
  <c r="A263" i="45"/>
  <c r="X262" i="45"/>
  <c r="F262" i="45"/>
  <c r="E262" i="45"/>
  <c r="D262" i="45"/>
  <c r="B262" i="45"/>
  <c r="A262" i="45"/>
  <c r="X261" i="45"/>
  <c r="F261" i="45"/>
  <c r="E261" i="45"/>
  <c r="D261" i="45"/>
  <c r="B261" i="45"/>
  <c r="A261" i="45"/>
  <c r="X260" i="45"/>
  <c r="F260" i="45"/>
  <c r="E260" i="45"/>
  <c r="D260" i="45"/>
  <c r="B260" i="45"/>
  <c r="A260" i="45"/>
  <c r="X259" i="45"/>
  <c r="F259" i="45"/>
  <c r="E259" i="45"/>
  <c r="D259" i="45"/>
  <c r="B259" i="45"/>
  <c r="A259" i="45"/>
  <c r="X258" i="45"/>
  <c r="F258" i="45"/>
  <c r="E258" i="45"/>
  <c r="D258" i="45"/>
  <c r="B258" i="45"/>
  <c r="A258" i="45"/>
  <c r="X257" i="45"/>
  <c r="F257" i="45"/>
  <c r="E257" i="45"/>
  <c r="D257" i="45"/>
  <c r="B257" i="45"/>
  <c r="A257" i="45"/>
  <c r="X256" i="45"/>
  <c r="F256" i="45"/>
  <c r="E256" i="45"/>
  <c r="D256" i="45"/>
  <c r="B256" i="45"/>
  <c r="A256" i="45"/>
  <c r="X255" i="45"/>
  <c r="F255" i="45"/>
  <c r="E255" i="45"/>
  <c r="D255" i="45"/>
  <c r="B255" i="45"/>
  <c r="A255" i="45"/>
  <c r="X254" i="45"/>
  <c r="F254" i="45"/>
  <c r="E254" i="45"/>
  <c r="D254" i="45"/>
  <c r="B254" i="45"/>
  <c r="A254" i="45"/>
  <c r="X253" i="45"/>
  <c r="F253" i="45"/>
  <c r="E253" i="45"/>
  <c r="D253" i="45"/>
  <c r="B253" i="45"/>
  <c r="A253" i="45"/>
  <c r="X252" i="45"/>
  <c r="F252" i="45"/>
  <c r="E252" i="45"/>
  <c r="D252" i="45"/>
  <c r="B252" i="45"/>
  <c r="A252" i="45"/>
  <c r="X251" i="45"/>
  <c r="F251" i="45"/>
  <c r="E251" i="45"/>
  <c r="D251" i="45"/>
  <c r="B251" i="45"/>
  <c r="A251" i="45"/>
  <c r="X250" i="45"/>
  <c r="F250" i="45"/>
  <c r="E250" i="45"/>
  <c r="D250" i="45"/>
  <c r="B250" i="45"/>
  <c r="A250" i="45"/>
  <c r="X249" i="45"/>
  <c r="F249" i="45"/>
  <c r="E249" i="45"/>
  <c r="D249" i="45"/>
  <c r="B249" i="45"/>
  <c r="A249" i="45"/>
  <c r="X248" i="45"/>
  <c r="F248" i="45"/>
  <c r="E248" i="45"/>
  <c r="D248" i="45"/>
  <c r="B248" i="45"/>
  <c r="A248" i="45"/>
  <c r="X247" i="45"/>
  <c r="F247" i="45"/>
  <c r="E247" i="45"/>
  <c r="D247" i="45"/>
  <c r="B247" i="45"/>
  <c r="A247" i="45"/>
  <c r="X246" i="45"/>
  <c r="F246" i="45"/>
  <c r="E246" i="45"/>
  <c r="D246" i="45"/>
  <c r="B246" i="45"/>
  <c r="A246" i="45"/>
  <c r="X245" i="45"/>
  <c r="F245" i="45"/>
  <c r="E245" i="45"/>
  <c r="D245" i="45"/>
  <c r="B245" i="45"/>
  <c r="A245" i="45"/>
  <c r="X244" i="45"/>
  <c r="F244" i="45"/>
  <c r="E244" i="45"/>
  <c r="D244" i="45"/>
  <c r="B244" i="45"/>
  <c r="A244" i="45"/>
  <c r="X243" i="45"/>
  <c r="F243" i="45"/>
  <c r="E243" i="45"/>
  <c r="D243" i="45"/>
  <c r="B243" i="45"/>
  <c r="A243" i="45"/>
  <c r="X242" i="45"/>
  <c r="F242" i="45"/>
  <c r="E242" i="45"/>
  <c r="D242" i="45"/>
  <c r="B242" i="45"/>
  <c r="A242" i="45"/>
  <c r="X241" i="45"/>
  <c r="F241" i="45"/>
  <c r="E241" i="45"/>
  <c r="D241" i="45"/>
  <c r="B241" i="45"/>
  <c r="A241" i="45"/>
  <c r="X240" i="45"/>
  <c r="F240" i="45"/>
  <c r="E240" i="45"/>
  <c r="D240" i="45"/>
  <c r="B240" i="45"/>
  <c r="A240" i="45"/>
  <c r="X239" i="45"/>
  <c r="F239" i="45"/>
  <c r="E239" i="45"/>
  <c r="D239" i="45"/>
  <c r="B239" i="45"/>
  <c r="A239" i="45"/>
  <c r="X238" i="45"/>
  <c r="F238" i="45"/>
  <c r="E238" i="45"/>
  <c r="D238" i="45"/>
  <c r="B238" i="45"/>
  <c r="A238" i="45"/>
  <c r="X237" i="45"/>
  <c r="F237" i="45"/>
  <c r="E237" i="45"/>
  <c r="D237" i="45"/>
  <c r="B237" i="45"/>
  <c r="A237" i="45"/>
  <c r="X236" i="45"/>
  <c r="F236" i="45"/>
  <c r="E236" i="45"/>
  <c r="D236" i="45"/>
  <c r="B236" i="45"/>
  <c r="A236" i="45"/>
  <c r="X235" i="45"/>
  <c r="F235" i="45"/>
  <c r="E235" i="45"/>
  <c r="D235" i="45"/>
  <c r="B235" i="45"/>
  <c r="A235" i="45"/>
  <c r="X234" i="45"/>
  <c r="F234" i="45"/>
  <c r="E234" i="45"/>
  <c r="D234" i="45"/>
  <c r="B234" i="45"/>
  <c r="A234" i="45"/>
  <c r="X233" i="45"/>
  <c r="F233" i="45"/>
  <c r="E233" i="45"/>
  <c r="D233" i="45"/>
  <c r="B233" i="45"/>
  <c r="A233" i="45"/>
  <c r="X232" i="45"/>
  <c r="F232" i="45"/>
  <c r="E232" i="45"/>
  <c r="D232" i="45"/>
  <c r="B232" i="45"/>
  <c r="A232" i="45"/>
  <c r="X231" i="45"/>
  <c r="F231" i="45"/>
  <c r="E231" i="45"/>
  <c r="D231" i="45"/>
  <c r="B231" i="45"/>
  <c r="A231" i="45"/>
  <c r="X230" i="45"/>
  <c r="F230" i="45"/>
  <c r="E230" i="45"/>
  <c r="D230" i="45"/>
  <c r="B230" i="45"/>
  <c r="A230" i="45"/>
  <c r="X229" i="45"/>
  <c r="F229" i="45"/>
  <c r="E229" i="45"/>
  <c r="D229" i="45"/>
  <c r="B229" i="45"/>
  <c r="A229" i="45"/>
  <c r="X228" i="45"/>
  <c r="F228" i="45"/>
  <c r="E228" i="45"/>
  <c r="D228" i="45"/>
  <c r="B228" i="45"/>
  <c r="A228" i="45"/>
  <c r="X227" i="45"/>
  <c r="F227" i="45"/>
  <c r="E227" i="45"/>
  <c r="D227" i="45"/>
  <c r="B227" i="45"/>
  <c r="A227" i="45"/>
  <c r="X226" i="45"/>
  <c r="F226" i="45"/>
  <c r="E226" i="45"/>
  <c r="D226" i="45"/>
  <c r="B226" i="45"/>
  <c r="A226" i="45"/>
  <c r="X225" i="45"/>
  <c r="F225" i="45"/>
  <c r="E225" i="45"/>
  <c r="D225" i="45"/>
  <c r="B225" i="45"/>
  <c r="A225" i="45"/>
  <c r="X224" i="45"/>
  <c r="F224" i="45"/>
  <c r="E224" i="45"/>
  <c r="D224" i="45"/>
  <c r="B224" i="45"/>
  <c r="A224" i="45"/>
  <c r="X223" i="45"/>
  <c r="F223" i="45"/>
  <c r="E223" i="45"/>
  <c r="D223" i="45"/>
  <c r="B223" i="45"/>
  <c r="A223" i="45"/>
  <c r="X222" i="45"/>
  <c r="F222" i="45"/>
  <c r="E222" i="45"/>
  <c r="D222" i="45"/>
  <c r="B222" i="45"/>
  <c r="A222" i="45"/>
  <c r="X221" i="45"/>
  <c r="F221" i="45"/>
  <c r="E221" i="45"/>
  <c r="D221" i="45"/>
  <c r="B221" i="45"/>
  <c r="A221" i="45"/>
  <c r="X220" i="45"/>
  <c r="F220" i="45"/>
  <c r="E220" i="45"/>
  <c r="D220" i="45"/>
  <c r="B220" i="45"/>
  <c r="A220" i="45"/>
  <c r="X219" i="45"/>
  <c r="F219" i="45"/>
  <c r="E219" i="45"/>
  <c r="D219" i="45"/>
  <c r="B219" i="45"/>
  <c r="A219" i="45"/>
  <c r="X218" i="45"/>
  <c r="F218" i="45"/>
  <c r="E218" i="45"/>
  <c r="D218" i="45"/>
  <c r="B218" i="45"/>
  <c r="A218" i="45"/>
  <c r="X217" i="45"/>
  <c r="F217" i="45"/>
  <c r="E217" i="45"/>
  <c r="D217" i="45"/>
  <c r="B217" i="45"/>
  <c r="A217" i="45"/>
  <c r="X216" i="45"/>
  <c r="F216" i="45"/>
  <c r="E216" i="45"/>
  <c r="D216" i="45"/>
  <c r="B216" i="45"/>
  <c r="A216" i="45"/>
  <c r="X215" i="45"/>
  <c r="F215" i="45"/>
  <c r="E215" i="45"/>
  <c r="D215" i="45"/>
  <c r="B215" i="45"/>
  <c r="A215" i="45"/>
  <c r="X214" i="45"/>
  <c r="F214" i="45"/>
  <c r="E214" i="45"/>
  <c r="D214" i="45"/>
  <c r="B214" i="45"/>
  <c r="A214" i="45"/>
  <c r="X213" i="45"/>
  <c r="F213" i="45"/>
  <c r="E213" i="45"/>
  <c r="D213" i="45"/>
  <c r="B213" i="45"/>
  <c r="A213" i="45"/>
  <c r="X212" i="45"/>
  <c r="F212" i="45"/>
  <c r="E212" i="45"/>
  <c r="D212" i="45"/>
  <c r="B212" i="45"/>
  <c r="A212" i="45"/>
  <c r="X211" i="45"/>
  <c r="F211" i="45"/>
  <c r="E211" i="45"/>
  <c r="D211" i="45"/>
  <c r="B211" i="45"/>
  <c r="A211" i="45"/>
  <c r="X210" i="45"/>
  <c r="F210" i="45"/>
  <c r="E210" i="45"/>
  <c r="D210" i="45"/>
  <c r="B210" i="45"/>
  <c r="A210" i="45"/>
  <c r="X209" i="45"/>
  <c r="F209" i="45"/>
  <c r="E209" i="45"/>
  <c r="D209" i="45"/>
  <c r="B209" i="45"/>
  <c r="A209" i="45"/>
  <c r="X208" i="45"/>
  <c r="F208" i="45"/>
  <c r="E208" i="45"/>
  <c r="D208" i="45"/>
  <c r="B208" i="45"/>
  <c r="A208" i="45"/>
  <c r="X207" i="45"/>
  <c r="F207" i="45"/>
  <c r="E207" i="45"/>
  <c r="D207" i="45"/>
  <c r="B207" i="45"/>
  <c r="A207" i="45"/>
  <c r="X206" i="45"/>
  <c r="F206" i="45"/>
  <c r="E206" i="45"/>
  <c r="D206" i="45"/>
  <c r="B206" i="45"/>
  <c r="A206" i="45"/>
  <c r="X205" i="45"/>
  <c r="F205" i="45"/>
  <c r="E205" i="45"/>
  <c r="D205" i="45"/>
  <c r="B205" i="45"/>
  <c r="A205" i="45"/>
  <c r="X204" i="45"/>
  <c r="F204" i="45"/>
  <c r="E204" i="45"/>
  <c r="D204" i="45"/>
  <c r="B204" i="45"/>
  <c r="A204" i="45"/>
  <c r="X203" i="45"/>
  <c r="F203" i="45"/>
  <c r="E203" i="45"/>
  <c r="D203" i="45"/>
  <c r="B203" i="45"/>
  <c r="A203" i="45"/>
  <c r="X202" i="45"/>
  <c r="F202" i="45"/>
  <c r="E202" i="45"/>
  <c r="D202" i="45"/>
  <c r="B202" i="45"/>
  <c r="A202" i="45"/>
  <c r="X201" i="45"/>
  <c r="F201" i="45"/>
  <c r="E201" i="45"/>
  <c r="D201" i="45"/>
  <c r="B201" i="45"/>
  <c r="A201" i="45"/>
  <c r="X200" i="45"/>
  <c r="F200" i="45"/>
  <c r="E200" i="45"/>
  <c r="D200" i="45"/>
  <c r="B200" i="45"/>
  <c r="A200" i="45"/>
  <c r="X199" i="45"/>
  <c r="F199" i="45"/>
  <c r="E199" i="45"/>
  <c r="D199" i="45"/>
  <c r="B199" i="45"/>
  <c r="A199" i="45"/>
  <c r="X198" i="45"/>
  <c r="F198" i="45"/>
  <c r="E198" i="45"/>
  <c r="D198" i="45"/>
  <c r="B198" i="45"/>
  <c r="A198" i="45"/>
  <c r="X197" i="45"/>
  <c r="F197" i="45"/>
  <c r="E197" i="45"/>
  <c r="D197" i="45"/>
  <c r="B197" i="45"/>
  <c r="A197" i="45"/>
  <c r="X196" i="45"/>
  <c r="F196" i="45"/>
  <c r="E196" i="45"/>
  <c r="D196" i="45"/>
  <c r="B196" i="45"/>
  <c r="A196" i="45"/>
  <c r="X195" i="45"/>
  <c r="F195" i="45"/>
  <c r="E195" i="45"/>
  <c r="D195" i="45"/>
  <c r="B195" i="45"/>
  <c r="A195" i="45"/>
  <c r="X194" i="45"/>
  <c r="F194" i="45"/>
  <c r="E194" i="45"/>
  <c r="D194" i="45"/>
  <c r="B194" i="45"/>
  <c r="A194" i="45"/>
  <c r="X193" i="45"/>
  <c r="F193" i="45"/>
  <c r="E193" i="45"/>
  <c r="D193" i="45"/>
  <c r="B193" i="45"/>
  <c r="A193" i="45"/>
  <c r="X192" i="45"/>
  <c r="F192" i="45"/>
  <c r="E192" i="45"/>
  <c r="D192" i="45"/>
  <c r="B192" i="45"/>
  <c r="A192" i="45"/>
  <c r="X191" i="45"/>
  <c r="F191" i="45"/>
  <c r="E191" i="45"/>
  <c r="D191" i="45"/>
  <c r="B191" i="45"/>
  <c r="A191" i="45"/>
  <c r="X190" i="45"/>
  <c r="F190" i="45"/>
  <c r="E190" i="45"/>
  <c r="D190" i="45"/>
  <c r="B190" i="45"/>
  <c r="A190" i="45"/>
  <c r="X189" i="45"/>
  <c r="F189" i="45"/>
  <c r="E189" i="45"/>
  <c r="D189" i="45"/>
  <c r="B189" i="45"/>
  <c r="A189" i="45"/>
  <c r="X188" i="45"/>
  <c r="F188" i="45"/>
  <c r="E188" i="45"/>
  <c r="D188" i="45"/>
  <c r="B188" i="45"/>
  <c r="A188" i="45"/>
  <c r="X187" i="45"/>
  <c r="F187" i="45"/>
  <c r="E187" i="45"/>
  <c r="D187" i="45"/>
  <c r="B187" i="45"/>
  <c r="A187" i="45"/>
  <c r="X186" i="45"/>
  <c r="F186" i="45"/>
  <c r="E186" i="45"/>
  <c r="D186" i="45"/>
  <c r="B186" i="45"/>
  <c r="A186" i="45"/>
  <c r="X185" i="45"/>
  <c r="F185" i="45"/>
  <c r="E185" i="45"/>
  <c r="D185" i="45"/>
  <c r="B185" i="45"/>
  <c r="A185" i="45"/>
  <c r="X184" i="45"/>
  <c r="F184" i="45"/>
  <c r="E184" i="45"/>
  <c r="D184" i="45"/>
  <c r="B184" i="45"/>
  <c r="A184" i="45"/>
  <c r="X183" i="45"/>
  <c r="F183" i="45"/>
  <c r="E183" i="45"/>
  <c r="D183" i="45"/>
  <c r="B183" i="45"/>
  <c r="A183" i="45"/>
  <c r="X182" i="45"/>
  <c r="F182" i="45"/>
  <c r="E182" i="45"/>
  <c r="D182" i="45"/>
  <c r="B182" i="45"/>
  <c r="A182" i="45"/>
  <c r="X181" i="45"/>
  <c r="F181" i="45"/>
  <c r="E181" i="45"/>
  <c r="D181" i="45"/>
  <c r="B181" i="45"/>
  <c r="A181" i="45"/>
  <c r="X180" i="45"/>
  <c r="F180" i="45"/>
  <c r="E180" i="45"/>
  <c r="D180" i="45"/>
  <c r="B180" i="45"/>
  <c r="A180" i="45"/>
  <c r="X179" i="45"/>
  <c r="F179" i="45"/>
  <c r="E179" i="45"/>
  <c r="D179" i="45"/>
  <c r="B179" i="45"/>
  <c r="A179" i="45"/>
  <c r="X178" i="45"/>
  <c r="F178" i="45"/>
  <c r="E178" i="45"/>
  <c r="D178" i="45"/>
  <c r="B178" i="45"/>
  <c r="A178" i="45"/>
  <c r="X177" i="45"/>
  <c r="F177" i="45"/>
  <c r="E177" i="45"/>
  <c r="D177" i="45"/>
  <c r="B177" i="45"/>
  <c r="A177" i="45"/>
  <c r="X176" i="45"/>
  <c r="F176" i="45"/>
  <c r="E176" i="45"/>
  <c r="D176" i="45"/>
  <c r="B176" i="45"/>
  <c r="A176" i="45"/>
  <c r="X175" i="45"/>
  <c r="F175" i="45"/>
  <c r="E175" i="45"/>
  <c r="D175" i="45"/>
  <c r="B175" i="45"/>
  <c r="A175" i="45"/>
  <c r="X174" i="45"/>
  <c r="F174" i="45"/>
  <c r="E174" i="45"/>
  <c r="D174" i="45"/>
  <c r="B174" i="45"/>
  <c r="A174" i="45"/>
  <c r="X173" i="45"/>
  <c r="F173" i="45"/>
  <c r="E173" i="45"/>
  <c r="D173" i="45"/>
  <c r="B173" i="45"/>
  <c r="A173" i="45"/>
  <c r="X172" i="45"/>
  <c r="F172" i="45"/>
  <c r="E172" i="45"/>
  <c r="D172" i="45"/>
  <c r="B172" i="45"/>
  <c r="A172" i="45"/>
  <c r="X171" i="45"/>
  <c r="F171" i="45"/>
  <c r="E171" i="45"/>
  <c r="D171" i="45"/>
  <c r="B171" i="45"/>
  <c r="A171" i="45"/>
  <c r="X170" i="45"/>
  <c r="F170" i="45"/>
  <c r="E170" i="45"/>
  <c r="D170" i="45"/>
  <c r="B170" i="45"/>
  <c r="A170" i="45"/>
  <c r="X169" i="45"/>
  <c r="F169" i="45"/>
  <c r="E169" i="45"/>
  <c r="D169" i="45"/>
  <c r="B169" i="45"/>
  <c r="A169" i="45"/>
  <c r="X168" i="45"/>
  <c r="F168" i="45"/>
  <c r="E168" i="45"/>
  <c r="D168" i="45"/>
  <c r="B168" i="45"/>
  <c r="A168" i="45"/>
  <c r="X167" i="45"/>
  <c r="F167" i="45"/>
  <c r="E167" i="45"/>
  <c r="D167" i="45"/>
  <c r="B167" i="45"/>
  <c r="A167" i="45"/>
  <c r="X166" i="45"/>
  <c r="F166" i="45"/>
  <c r="E166" i="45"/>
  <c r="D166" i="45"/>
  <c r="B166" i="45"/>
  <c r="A166" i="45"/>
  <c r="X165" i="45"/>
  <c r="F165" i="45"/>
  <c r="E165" i="45"/>
  <c r="D165" i="45"/>
  <c r="B165" i="45"/>
  <c r="A165" i="45"/>
  <c r="X164" i="45"/>
  <c r="F164" i="45"/>
  <c r="E164" i="45"/>
  <c r="D164" i="45"/>
  <c r="B164" i="45"/>
  <c r="A164" i="45"/>
  <c r="X163" i="45"/>
  <c r="F163" i="45"/>
  <c r="E163" i="45"/>
  <c r="D163" i="45"/>
  <c r="B163" i="45"/>
  <c r="A163" i="45"/>
  <c r="X162" i="45"/>
  <c r="F162" i="45"/>
  <c r="E162" i="45"/>
  <c r="D162" i="45"/>
  <c r="B162" i="45"/>
  <c r="A162" i="45"/>
  <c r="X161" i="45"/>
  <c r="F161" i="45"/>
  <c r="E161" i="45"/>
  <c r="D161" i="45"/>
  <c r="B161" i="45"/>
  <c r="A161" i="45"/>
  <c r="X160" i="45"/>
  <c r="F160" i="45"/>
  <c r="E160" i="45"/>
  <c r="D160" i="45"/>
  <c r="B160" i="45"/>
  <c r="A160" i="45"/>
  <c r="X159" i="45"/>
  <c r="F159" i="45"/>
  <c r="E159" i="45"/>
  <c r="D159" i="45"/>
  <c r="B159" i="45"/>
  <c r="A159" i="45"/>
  <c r="X158" i="45"/>
  <c r="F158" i="45"/>
  <c r="E158" i="45"/>
  <c r="D158" i="45"/>
  <c r="B158" i="45"/>
  <c r="A158" i="45"/>
  <c r="X157" i="45"/>
  <c r="F157" i="45"/>
  <c r="E157" i="45"/>
  <c r="D157" i="45"/>
  <c r="B157" i="45"/>
  <c r="A157" i="45"/>
  <c r="X156" i="45"/>
  <c r="F156" i="45"/>
  <c r="E156" i="45"/>
  <c r="D156" i="45"/>
  <c r="B156" i="45"/>
  <c r="A156" i="45"/>
  <c r="X155" i="45"/>
  <c r="F155" i="45"/>
  <c r="E155" i="45"/>
  <c r="D155" i="45"/>
  <c r="B155" i="45"/>
  <c r="A155" i="45"/>
  <c r="X154" i="45"/>
  <c r="F154" i="45"/>
  <c r="E154" i="45"/>
  <c r="D154" i="45"/>
  <c r="B154" i="45"/>
  <c r="A154" i="45"/>
  <c r="X153" i="45"/>
  <c r="F153" i="45"/>
  <c r="E153" i="45"/>
  <c r="D153" i="45"/>
  <c r="B153" i="45"/>
  <c r="A153" i="45"/>
  <c r="X152" i="45"/>
  <c r="F152" i="45"/>
  <c r="E152" i="45"/>
  <c r="D152" i="45"/>
  <c r="B152" i="45"/>
  <c r="A152" i="45"/>
  <c r="X151" i="45"/>
  <c r="F151" i="45"/>
  <c r="E151" i="45"/>
  <c r="D151" i="45"/>
  <c r="B151" i="45"/>
  <c r="A151" i="45"/>
  <c r="X150" i="45"/>
  <c r="F150" i="45"/>
  <c r="E150" i="45"/>
  <c r="D150" i="45"/>
  <c r="B150" i="45"/>
  <c r="A150" i="45"/>
  <c r="X149" i="45"/>
  <c r="F149" i="45"/>
  <c r="E149" i="45"/>
  <c r="D149" i="45"/>
  <c r="B149" i="45"/>
  <c r="A149" i="45"/>
  <c r="X148" i="45"/>
  <c r="F148" i="45"/>
  <c r="E148" i="45"/>
  <c r="D148" i="45"/>
  <c r="B148" i="45"/>
  <c r="A148" i="45"/>
  <c r="X147" i="45"/>
  <c r="F147" i="45"/>
  <c r="E147" i="45"/>
  <c r="D147" i="45"/>
  <c r="B147" i="45"/>
  <c r="A147" i="45"/>
  <c r="X146" i="45"/>
  <c r="F146" i="45"/>
  <c r="E146" i="45"/>
  <c r="D146" i="45"/>
  <c r="B146" i="45"/>
  <c r="A146" i="45"/>
  <c r="X145" i="45"/>
  <c r="F145" i="45"/>
  <c r="E145" i="45"/>
  <c r="D145" i="45"/>
  <c r="B145" i="45"/>
  <c r="A145" i="45"/>
  <c r="X144" i="45"/>
  <c r="F144" i="45"/>
  <c r="E144" i="45"/>
  <c r="D144" i="45"/>
  <c r="B144" i="45"/>
  <c r="A144" i="45"/>
  <c r="X143" i="45"/>
  <c r="F143" i="45"/>
  <c r="E143" i="45"/>
  <c r="D143" i="45"/>
  <c r="B143" i="45"/>
  <c r="A143" i="45"/>
  <c r="X142" i="45"/>
  <c r="F142" i="45"/>
  <c r="E142" i="45"/>
  <c r="D142" i="45"/>
  <c r="B142" i="45"/>
  <c r="A142" i="45"/>
  <c r="X141" i="45"/>
  <c r="F141" i="45"/>
  <c r="E141" i="45"/>
  <c r="D141" i="45"/>
  <c r="B141" i="45"/>
  <c r="A141" i="45"/>
  <c r="X140" i="45"/>
  <c r="F140" i="45"/>
  <c r="E140" i="45"/>
  <c r="D140" i="45"/>
  <c r="B140" i="45"/>
  <c r="A140" i="45"/>
  <c r="X139" i="45"/>
  <c r="F139" i="45"/>
  <c r="E139" i="45"/>
  <c r="D139" i="45"/>
  <c r="B139" i="45"/>
  <c r="A139" i="45"/>
  <c r="X138" i="45"/>
  <c r="F138" i="45"/>
  <c r="E138" i="45"/>
  <c r="D138" i="45"/>
  <c r="B138" i="45"/>
  <c r="A138" i="45"/>
  <c r="X137" i="45"/>
  <c r="F137" i="45"/>
  <c r="E137" i="45"/>
  <c r="D137" i="45"/>
  <c r="B137" i="45"/>
  <c r="A137" i="45"/>
  <c r="X136" i="45"/>
  <c r="F136" i="45"/>
  <c r="E136" i="45"/>
  <c r="D136" i="45"/>
  <c r="B136" i="45"/>
  <c r="A136" i="45"/>
  <c r="X135" i="45"/>
  <c r="F135" i="45"/>
  <c r="E135" i="45"/>
  <c r="D135" i="45"/>
  <c r="B135" i="45"/>
  <c r="A135" i="45"/>
  <c r="X134" i="45"/>
  <c r="F134" i="45"/>
  <c r="E134" i="45"/>
  <c r="D134" i="45"/>
  <c r="B134" i="45"/>
  <c r="A134" i="45"/>
  <c r="X133" i="45"/>
  <c r="F133" i="45"/>
  <c r="E133" i="45"/>
  <c r="D133" i="45"/>
  <c r="B133" i="45"/>
  <c r="A133" i="45"/>
  <c r="X132" i="45"/>
  <c r="F132" i="45"/>
  <c r="E132" i="45"/>
  <c r="D132" i="45"/>
  <c r="B132" i="45"/>
  <c r="A132" i="45"/>
  <c r="X131" i="45"/>
  <c r="F131" i="45"/>
  <c r="E131" i="45"/>
  <c r="D131" i="45"/>
  <c r="B131" i="45"/>
  <c r="A131" i="45"/>
  <c r="X130" i="45"/>
  <c r="F130" i="45"/>
  <c r="E130" i="45"/>
  <c r="D130" i="45"/>
  <c r="B130" i="45"/>
  <c r="A130" i="45"/>
  <c r="X129" i="45"/>
  <c r="F129" i="45"/>
  <c r="E129" i="45"/>
  <c r="D129" i="45"/>
  <c r="B129" i="45"/>
  <c r="A129" i="45"/>
  <c r="X128" i="45"/>
  <c r="F128" i="45"/>
  <c r="E128" i="45"/>
  <c r="D128" i="45"/>
  <c r="B128" i="45"/>
  <c r="A128" i="45"/>
  <c r="X127" i="45"/>
  <c r="F127" i="45"/>
  <c r="E127" i="45"/>
  <c r="D127" i="45"/>
  <c r="B127" i="45"/>
  <c r="A127" i="45"/>
  <c r="X126" i="45"/>
  <c r="F126" i="45"/>
  <c r="E126" i="45"/>
  <c r="D126" i="45"/>
  <c r="B126" i="45"/>
  <c r="A126" i="45"/>
  <c r="X125" i="45"/>
  <c r="F125" i="45"/>
  <c r="E125" i="45"/>
  <c r="D125" i="45"/>
  <c r="B125" i="45"/>
  <c r="A125" i="45"/>
  <c r="X124" i="45"/>
  <c r="F124" i="45"/>
  <c r="E124" i="45"/>
  <c r="D124" i="45"/>
  <c r="B124" i="45"/>
  <c r="A124" i="45"/>
  <c r="X123" i="45"/>
  <c r="F123" i="45"/>
  <c r="E123" i="45"/>
  <c r="D123" i="45"/>
  <c r="B123" i="45"/>
  <c r="A123" i="45"/>
  <c r="X122" i="45"/>
  <c r="F122" i="45"/>
  <c r="E122" i="45"/>
  <c r="D122" i="45"/>
  <c r="B122" i="45"/>
  <c r="A122" i="45"/>
  <c r="X121" i="45"/>
  <c r="F121" i="45"/>
  <c r="E121" i="45"/>
  <c r="D121" i="45"/>
  <c r="B121" i="45"/>
  <c r="A121" i="45"/>
  <c r="X120" i="45"/>
  <c r="F120" i="45"/>
  <c r="E120" i="45"/>
  <c r="D120" i="45"/>
  <c r="B120" i="45"/>
  <c r="A120" i="45"/>
  <c r="X119" i="45"/>
  <c r="F119" i="45"/>
  <c r="E119" i="45"/>
  <c r="D119" i="45"/>
  <c r="B119" i="45"/>
  <c r="A119" i="45"/>
  <c r="X118" i="45"/>
  <c r="F118" i="45"/>
  <c r="E118" i="45"/>
  <c r="D118" i="45"/>
  <c r="B118" i="45"/>
  <c r="A118" i="45"/>
  <c r="X117" i="45"/>
  <c r="F117" i="45"/>
  <c r="E117" i="45"/>
  <c r="D117" i="45"/>
  <c r="B117" i="45"/>
  <c r="A117" i="45"/>
  <c r="X116" i="45"/>
  <c r="F116" i="45"/>
  <c r="E116" i="45"/>
  <c r="D116" i="45"/>
  <c r="B116" i="45"/>
  <c r="A116" i="45"/>
  <c r="X115" i="45"/>
  <c r="F115" i="45"/>
  <c r="E115" i="45"/>
  <c r="D115" i="45"/>
  <c r="B115" i="45"/>
  <c r="A115" i="45"/>
  <c r="X114" i="45"/>
  <c r="F114" i="45"/>
  <c r="E114" i="45"/>
  <c r="D114" i="45"/>
  <c r="B114" i="45"/>
  <c r="A114" i="45"/>
  <c r="X113" i="45"/>
  <c r="F113" i="45"/>
  <c r="E113" i="45"/>
  <c r="D113" i="45"/>
  <c r="B113" i="45"/>
  <c r="A113" i="45"/>
  <c r="X112" i="45"/>
  <c r="F112" i="45"/>
  <c r="E112" i="45"/>
  <c r="D112" i="45"/>
  <c r="B112" i="45"/>
  <c r="A112" i="45"/>
  <c r="X111" i="45"/>
  <c r="F111" i="45"/>
  <c r="E111" i="45"/>
  <c r="D111" i="45"/>
  <c r="B111" i="45"/>
  <c r="A111" i="45"/>
  <c r="X110" i="45"/>
  <c r="F110" i="45"/>
  <c r="E110" i="45"/>
  <c r="D110" i="45"/>
  <c r="B110" i="45"/>
  <c r="A110" i="45"/>
  <c r="X109" i="45"/>
  <c r="F109" i="45"/>
  <c r="E109" i="45"/>
  <c r="D109" i="45"/>
  <c r="B109" i="45"/>
  <c r="A109" i="45"/>
  <c r="X108" i="45"/>
  <c r="F108" i="45"/>
  <c r="E108" i="45"/>
  <c r="D108" i="45"/>
  <c r="B108" i="45"/>
  <c r="A108" i="45"/>
  <c r="X107" i="45"/>
  <c r="F107" i="45"/>
  <c r="E107" i="45"/>
  <c r="D107" i="45"/>
  <c r="B107" i="45"/>
  <c r="A107" i="45"/>
  <c r="X106" i="45"/>
  <c r="F106" i="45"/>
  <c r="E106" i="45"/>
  <c r="D106" i="45"/>
  <c r="B106" i="45"/>
  <c r="A106" i="45"/>
  <c r="X105" i="45"/>
  <c r="F105" i="45"/>
  <c r="E105" i="45"/>
  <c r="D105" i="45"/>
  <c r="B105" i="45"/>
  <c r="A105" i="45"/>
  <c r="X104" i="45"/>
  <c r="F104" i="45"/>
  <c r="E104" i="45"/>
  <c r="D104" i="45"/>
  <c r="B104" i="45"/>
  <c r="A104" i="45"/>
  <c r="X103" i="45"/>
  <c r="F103" i="45"/>
  <c r="E103" i="45"/>
  <c r="D103" i="45"/>
  <c r="B103" i="45"/>
  <c r="A103" i="45"/>
  <c r="X102" i="45"/>
  <c r="F102" i="45"/>
  <c r="E102" i="45"/>
  <c r="D102" i="45"/>
  <c r="B102" i="45"/>
  <c r="A102" i="45"/>
  <c r="X101" i="45"/>
  <c r="F101" i="45"/>
  <c r="E101" i="45"/>
  <c r="D101" i="45"/>
  <c r="B101" i="45"/>
  <c r="A101" i="45"/>
  <c r="X100" i="45"/>
  <c r="F100" i="45"/>
  <c r="E100" i="45"/>
  <c r="D100" i="45"/>
  <c r="B100" i="45"/>
  <c r="A100" i="45"/>
  <c r="X99" i="45"/>
  <c r="F99" i="45"/>
  <c r="E99" i="45"/>
  <c r="D99" i="45"/>
  <c r="B99" i="45"/>
  <c r="A99" i="45"/>
  <c r="X98" i="45"/>
  <c r="F98" i="45"/>
  <c r="E98" i="45"/>
  <c r="D98" i="45"/>
  <c r="B98" i="45"/>
  <c r="A98" i="45"/>
  <c r="X97" i="45"/>
  <c r="F97" i="45"/>
  <c r="E97" i="45"/>
  <c r="D97" i="45"/>
  <c r="B97" i="45"/>
  <c r="A97" i="45"/>
  <c r="X96" i="45"/>
  <c r="F96" i="45"/>
  <c r="E96" i="45"/>
  <c r="D96" i="45"/>
  <c r="B96" i="45"/>
  <c r="A96" i="45"/>
  <c r="X95" i="45"/>
  <c r="F95" i="45"/>
  <c r="E95" i="45"/>
  <c r="D95" i="45"/>
  <c r="B95" i="45"/>
  <c r="A95" i="45"/>
  <c r="X94" i="45"/>
  <c r="F94" i="45"/>
  <c r="E94" i="45"/>
  <c r="D94" i="45"/>
  <c r="B94" i="45"/>
  <c r="A94" i="45"/>
  <c r="X93" i="45"/>
  <c r="F93" i="45"/>
  <c r="E93" i="45"/>
  <c r="D93" i="45"/>
  <c r="B93" i="45"/>
  <c r="A93" i="45"/>
  <c r="X92" i="45"/>
  <c r="F92" i="45"/>
  <c r="E92" i="45"/>
  <c r="D92" i="45"/>
  <c r="B92" i="45"/>
  <c r="A92" i="45"/>
  <c r="X91" i="45"/>
  <c r="F91" i="45"/>
  <c r="E91" i="45"/>
  <c r="D91" i="45"/>
  <c r="B91" i="45"/>
  <c r="A91" i="45"/>
  <c r="X90" i="45"/>
  <c r="F90" i="45"/>
  <c r="E90" i="45"/>
  <c r="D90" i="45"/>
  <c r="B90" i="45"/>
  <c r="A90" i="45"/>
  <c r="X89" i="45"/>
  <c r="F89" i="45"/>
  <c r="E89" i="45"/>
  <c r="D89" i="45"/>
  <c r="B89" i="45"/>
  <c r="A89" i="45"/>
  <c r="X88" i="45"/>
  <c r="F88" i="45"/>
  <c r="E88" i="45"/>
  <c r="D88" i="45"/>
  <c r="B88" i="45"/>
  <c r="A88" i="45"/>
  <c r="X87" i="45"/>
  <c r="F87" i="45"/>
  <c r="E87" i="45"/>
  <c r="D87" i="45"/>
  <c r="B87" i="45"/>
  <c r="A87" i="45"/>
  <c r="X86" i="45"/>
  <c r="F86" i="45"/>
  <c r="E86" i="45"/>
  <c r="D86" i="45"/>
  <c r="B86" i="45"/>
  <c r="A86" i="45"/>
  <c r="X85" i="45"/>
  <c r="F85" i="45"/>
  <c r="E85" i="45"/>
  <c r="D85" i="45"/>
  <c r="B85" i="45"/>
  <c r="A85" i="45"/>
  <c r="X84" i="45"/>
  <c r="F84" i="45"/>
  <c r="E84" i="45"/>
  <c r="D84" i="45"/>
  <c r="B84" i="45"/>
  <c r="A84" i="45"/>
  <c r="X83" i="45"/>
  <c r="F83" i="45"/>
  <c r="E83" i="45"/>
  <c r="D83" i="45"/>
  <c r="B83" i="45"/>
  <c r="A83" i="45"/>
  <c r="X82" i="45"/>
  <c r="F82" i="45"/>
  <c r="E82" i="45"/>
  <c r="D82" i="45"/>
  <c r="B82" i="45"/>
  <c r="A82" i="45"/>
  <c r="X81" i="45"/>
  <c r="F81" i="45"/>
  <c r="E81" i="45"/>
  <c r="D81" i="45"/>
  <c r="B81" i="45"/>
  <c r="A81" i="45"/>
  <c r="X80" i="45"/>
  <c r="F80" i="45"/>
  <c r="E80" i="45"/>
  <c r="D80" i="45"/>
  <c r="B80" i="45"/>
  <c r="A80" i="45"/>
  <c r="X79" i="45"/>
  <c r="F79" i="45"/>
  <c r="E79" i="45"/>
  <c r="D79" i="45"/>
  <c r="B79" i="45"/>
  <c r="A79" i="45"/>
  <c r="X78" i="45"/>
  <c r="F78" i="45"/>
  <c r="E78" i="45"/>
  <c r="D78" i="45"/>
  <c r="B78" i="45"/>
  <c r="A78" i="45"/>
  <c r="X77" i="45"/>
  <c r="F77" i="45"/>
  <c r="E77" i="45"/>
  <c r="D77" i="45"/>
  <c r="B77" i="45"/>
  <c r="A77" i="45"/>
  <c r="X76" i="45"/>
  <c r="F76" i="45"/>
  <c r="E76" i="45"/>
  <c r="D76" i="45"/>
  <c r="B76" i="45"/>
  <c r="A76" i="45"/>
  <c r="X75" i="45"/>
  <c r="F75" i="45"/>
  <c r="E75" i="45"/>
  <c r="D75" i="45"/>
  <c r="B75" i="45"/>
  <c r="A75" i="45"/>
  <c r="X74" i="45"/>
  <c r="F74" i="45"/>
  <c r="E74" i="45"/>
  <c r="D74" i="45"/>
  <c r="B74" i="45"/>
  <c r="A74" i="45"/>
  <c r="X73" i="45"/>
  <c r="F73" i="45"/>
  <c r="E73" i="45"/>
  <c r="D73" i="45"/>
  <c r="B73" i="45"/>
  <c r="A73" i="45"/>
  <c r="X72" i="45"/>
  <c r="F72" i="45"/>
  <c r="E72" i="45"/>
  <c r="D72" i="45"/>
  <c r="B72" i="45"/>
  <c r="A72" i="45"/>
  <c r="X71" i="45"/>
  <c r="F71" i="45"/>
  <c r="E71" i="45"/>
  <c r="D71" i="45"/>
  <c r="B71" i="45"/>
  <c r="A71" i="45"/>
  <c r="X70" i="45"/>
  <c r="F70" i="45"/>
  <c r="E70" i="45"/>
  <c r="D70" i="45"/>
  <c r="B70" i="45"/>
  <c r="A70" i="45"/>
  <c r="X69" i="45"/>
  <c r="F69" i="45"/>
  <c r="E69" i="45"/>
  <c r="D69" i="45"/>
  <c r="B69" i="45"/>
  <c r="A69" i="45"/>
  <c r="X68" i="45"/>
  <c r="F68" i="45"/>
  <c r="E68" i="45"/>
  <c r="D68" i="45"/>
  <c r="B68" i="45"/>
  <c r="A68" i="45"/>
  <c r="X67" i="45"/>
  <c r="F67" i="45"/>
  <c r="E67" i="45"/>
  <c r="D67" i="45"/>
  <c r="B67" i="45"/>
  <c r="A67" i="45"/>
  <c r="X66" i="45"/>
  <c r="F66" i="45"/>
  <c r="E66" i="45"/>
  <c r="D66" i="45"/>
  <c r="B66" i="45"/>
  <c r="A66" i="45"/>
  <c r="X65" i="45"/>
  <c r="F65" i="45"/>
  <c r="E65" i="45"/>
  <c r="D65" i="45"/>
  <c r="B65" i="45"/>
  <c r="A65" i="45"/>
  <c r="X64" i="45"/>
  <c r="F64" i="45"/>
  <c r="E64" i="45"/>
  <c r="D64" i="45"/>
  <c r="B64" i="45"/>
  <c r="A64" i="45"/>
  <c r="X63" i="45"/>
  <c r="F63" i="45"/>
  <c r="E63" i="45"/>
  <c r="D63" i="45"/>
  <c r="B63" i="45"/>
  <c r="A63" i="45"/>
  <c r="X62" i="45"/>
  <c r="F62" i="45"/>
  <c r="E62" i="45"/>
  <c r="D62" i="45"/>
  <c r="B62" i="45"/>
  <c r="A62" i="45"/>
  <c r="X61" i="45"/>
  <c r="F61" i="45"/>
  <c r="E61" i="45"/>
  <c r="D61" i="45"/>
  <c r="B61" i="45"/>
  <c r="A61" i="45"/>
  <c r="X60" i="45"/>
  <c r="F60" i="45"/>
  <c r="E60" i="45"/>
  <c r="D60" i="45"/>
  <c r="B60" i="45"/>
  <c r="A60" i="45"/>
  <c r="X59" i="45"/>
  <c r="F59" i="45"/>
  <c r="E59" i="45"/>
  <c r="D59" i="45"/>
  <c r="B59" i="45"/>
  <c r="A59" i="45"/>
  <c r="X58" i="45"/>
  <c r="F58" i="45"/>
  <c r="E58" i="45"/>
  <c r="D58" i="45"/>
  <c r="B58" i="45"/>
  <c r="A58" i="45"/>
  <c r="X57" i="45"/>
  <c r="F57" i="45"/>
  <c r="E57" i="45"/>
  <c r="D57" i="45"/>
  <c r="B57" i="45"/>
  <c r="A57" i="45"/>
  <c r="X56" i="45"/>
  <c r="F56" i="45"/>
  <c r="E56" i="45"/>
  <c r="D56" i="45"/>
  <c r="B56" i="45"/>
  <c r="A56" i="45"/>
  <c r="X55" i="45"/>
  <c r="F55" i="45"/>
  <c r="E55" i="45"/>
  <c r="D55" i="45"/>
  <c r="B55" i="45"/>
  <c r="A55" i="45"/>
  <c r="X54" i="45"/>
  <c r="F54" i="45"/>
  <c r="E54" i="45"/>
  <c r="D54" i="45"/>
  <c r="B54" i="45"/>
  <c r="A54" i="45"/>
  <c r="X53" i="45"/>
  <c r="F53" i="45"/>
  <c r="E53" i="45"/>
  <c r="D53" i="45"/>
  <c r="B53" i="45"/>
  <c r="A53" i="45"/>
  <c r="X52" i="45"/>
  <c r="F52" i="45"/>
  <c r="E52" i="45"/>
  <c r="D52" i="45"/>
  <c r="B52" i="45"/>
  <c r="A52" i="45"/>
  <c r="X51" i="45"/>
  <c r="F51" i="45"/>
  <c r="E51" i="45"/>
  <c r="D51" i="45"/>
  <c r="B51" i="45"/>
  <c r="A51" i="45"/>
  <c r="X50" i="45"/>
  <c r="F50" i="45"/>
  <c r="E50" i="45"/>
  <c r="D50" i="45"/>
  <c r="B50" i="45"/>
  <c r="A50" i="45"/>
  <c r="X49" i="45"/>
  <c r="F49" i="45"/>
  <c r="E49" i="45"/>
  <c r="D49" i="45"/>
  <c r="B49" i="45"/>
  <c r="A49" i="45"/>
  <c r="X48" i="45"/>
  <c r="F48" i="45"/>
  <c r="E48" i="45"/>
  <c r="D48" i="45"/>
  <c r="B48" i="45"/>
  <c r="A48" i="45"/>
  <c r="X47" i="45"/>
  <c r="F47" i="45"/>
  <c r="E47" i="45"/>
  <c r="D47" i="45"/>
  <c r="B47" i="45"/>
  <c r="A47" i="45"/>
  <c r="X46" i="45"/>
  <c r="F46" i="45"/>
  <c r="E46" i="45"/>
  <c r="D46" i="45"/>
  <c r="B46" i="45"/>
  <c r="A46" i="45"/>
  <c r="X45" i="45"/>
  <c r="F45" i="45"/>
  <c r="E45" i="45"/>
  <c r="D45" i="45"/>
  <c r="B45" i="45"/>
  <c r="A45" i="45"/>
  <c r="X44" i="45"/>
  <c r="F44" i="45"/>
  <c r="E44" i="45"/>
  <c r="D44" i="45"/>
  <c r="B44" i="45"/>
  <c r="A44" i="45"/>
  <c r="X43" i="45"/>
  <c r="F43" i="45"/>
  <c r="E43" i="45"/>
  <c r="D43" i="45"/>
  <c r="B43" i="45"/>
  <c r="A43" i="45"/>
  <c r="X42" i="45"/>
  <c r="F42" i="45"/>
  <c r="E42" i="45"/>
  <c r="D42" i="45"/>
  <c r="B42" i="45"/>
  <c r="A42" i="45"/>
  <c r="X41" i="45"/>
  <c r="F41" i="45"/>
  <c r="E41" i="45"/>
  <c r="D41" i="45"/>
  <c r="B41" i="45"/>
  <c r="A41" i="45"/>
  <c r="X40" i="45"/>
  <c r="F40" i="45"/>
  <c r="E40" i="45"/>
  <c r="D40" i="45"/>
  <c r="B40" i="45"/>
  <c r="A40" i="45"/>
  <c r="X39" i="45"/>
  <c r="F39" i="45"/>
  <c r="E39" i="45"/>
  <c r="D39" i="45"/>
  <c r="B39" i="45"/>
  <c r="A39" i="45"/>
  <c r="X38" i="45"/>
  <c r="F38" i="45"/>
  <c r="E38" i="45"/>
  <c r="D38" i="45"/>
  <c r="B38" i="45"/>
  <c r="A38" i="45"/>
  <c r="X37" i="45"/>
  <c r="F37" i="45"/>
  <c r="E37" i="45"/>
  <c r="D37" i="45"/>
  <c r="B37" i="45"/>
  <c r="A37" i="45"/>
  <c r="X36" i="45"/>
  <c r="F36" i="45"/>
  <c r="E36" i="45"/>
  <c r="D36" i="45"/>
  <c r="B36" i="45"/>
  <c r="A36" i="45"/>
  <c r="X35" i="45"/>
  <c r="F35" i="45"/>
  <c r="E35" i="45"/>
  <c r="D35" i="45"/>
  <c r="B35" i="45"/>
  <c r="A35" i="45"/>
  <c r="X34" i="45"/>
  <c r="F34" i="45"/>
  <c r="E34" i="45"/>
  <c r="D34" i="45"/>
  <c r="B34" i="45"/>
  <c r="A34" i="45"/>
  <c r="X33" i="45"/>
  <c r="F33" i="45"/>
  <c r="E33" i="45"/>
  <c r="D33" i="45"/>
  <c r="B33" i="45"/>
  <c r="A33" i="45"/>
  <c r="X32" i="45"/>
  <c r="F32" i="45"/>
  <c r="E32" i="45"/>
  <c r="D32" i="45"/>
  <c r="B32" i="45"/>
  <c r="A32" i="45"/>
  <c r="X31" i="45"/>
  <c r="F31" i="45"/>
  <c r="E31" i="45"/>
  <c r="D31" i="45"/>
  <c r="B31" i="45"/>
  <c r="A31" i="45"/>
  <c r="X30" i="45"/>
  <c r="F30" i="45"/>
  <c r="E30" i="45"/>
  <c r="D30" i="45"/>
  <c r="B30" i="45"/>
  <c r="A30" i="45"/>
  <c r="X29" i="45"/>
  <c r="F29" i="45"/>
  <c r="E29" i="45"/>
  <c r="D29" i="45"/>
  <c r="B29" i="45"/>
  <c r="A29" i="45"/>
  <c r="X28" i="45"/>
  <c r="F28" i="45"/>
  <c r="E28" i="45"/>
  <c r="D28" i="45"/>
  <c r="B28" i="45"/>
  <c r="A28" i="45"/>
  <c r="X27" i="45"/>
  <c r="F27" i="45"/>
  <c r="E27" i="45"/>
  <c r="D27" i="45"/>
  <c r="B27" i="45"/>
  <c r="A27" i="45"/>
  <c r="X26" i="45"/>
  <c r="F26" i="45"/>
  <c r="E26" i="45"/>
  <c r="D26" i="45"/>
  <c r="B26" i="45"/>
  <c r="A26" i="45"/>
  <c r="X25" i="45"/>
  <c r="F25" i="45"/>
  <c r="E25" i="45"/>
  <c r="D25" i="45"/>
  <c r="B25" i="45"/>
  <c r="A25" i="45"/>
  <c r="X24" i="45"/>
  <c r="F24" i="45"/>
  <c r="E24" i="45"/>
  <c r="D24" i="45"/>
  <c r="B24" i="45"/>
  <c r="A24" i="45"/>
  <c r="X23" i="45"/>
  <c r="F23" i="45"/>
  <c r="E23" i="45"/>
  <c r="D23" i="45"/>
  <c r="B23" i="45"/>
  <c r="A23" i="45"/>
  <c r="X22" i="45"/>
  <c r="F22" i="45"/>
  <c r="E22" i="45"/>
  <c r="D22" i="45"/>
  <c r="B22" i="45"/>
  <c r="A22" i="45"/>
  <c r="X21" i="45"/>
  <c r="F21" i="45"/>
  <c r="E21" i="45"/>
  <c r="D21" i="45"/>
  <c r="B21" i="45"/>
  <c r="A21" i="45"/>
  <c r="X20" i="45"/>
  <c r="F20" i="45"/>
  <c r="E20" i="45"/>
  <c r="D20" i="45"/>
  <c r="B20" i="45"/>
  <c r="A20" i="45"/>
  <c r="X19" i="45"/>
  <c r="F19" i="45"/>
  <c r="E19" i="45"/>
  <c r="D19" i="45"/>
  <c r="B19" i="45"/>
  <c r="A19" i="45"/>
  <c r="X18" i="45"/>
  <c r="F18" i="45"/>
  <c r="E18" i="45"/>
  <c r="D18" i="45"/>
  <c r="B18" i="45"/>
  <c r="A18" i="45"/>
  <c r="X17" i="45"/>
  <c r="F17" i="45"/>
  <c r="E17" i="45"/>
  <c r="D17" i="45"/>
  <c r="B17" i="45"/>
  <c r="A17" i="45"/>
  <c r="X16" i="45"/>
  <c r="F16" i="45"/>
  <c r="E16" i="45"/>
  <c r="D16" i="45"/>
  <c r="B16" i="45"/>
  <c r="A16" i="45"/>
  <c r="X15" i="45"/>
  <c r="F15" i="45"/>
  <c r="E15" i="45"/>
  <c r="D15" i="45"/>
  <c r="B15" i="45"/>
  <c r="A15" i="45"/>
  <c r="X14" i="45"/>
  <c r="F14" i="45"/>
  <c r="E14" i="45"/>
  <c r="D14" i="45"/>
  <c r="B14" i="45"/>
  <c r="A14" i="45"/>
  <c r="X13" i="45"/>
  <c r="F13" i="45"/>
  <c r="E13" i="45"/>
  <c r="D13" i="45"/>
  <c r="B13" i="45"/>
  <c r="A13" i="45"/>
  <c r="X12" i="45"/>
  <c r="F12" i="45"/>
  <c r="E12" i="45"/>
  <c r="D12" i="45"/>
  <c r="B12" i="45"/>
  <c r="A12" i="45"/>
  <c r="X11" i="45"/>
  <c r="F11" i="45"/>
  <c r="E11" i="45"/>
  <c r="D11" i="45"/>
  <c r="B11" i="45"/>
  <c r="A11" i="45"/>
  <c r="X10" i="45"/>
  <c r="K10" i="45"/>
  <c r="B10" i="45"/>
  <c r="N3" i="45"/>
  <c r="M3" i="45"/>
  <c r="L3" i="45"/>
  <c r="K3" i="45"/>
  <c r="N2" i="45"/>
  <c r="M2" i="45"/>
  <c r="L2" i="45"/>
  <c r="K2" i="45"/>
  <c r="J2" i="45"/>
  <c r="D16" i="20"/>
  <c r="XEN20" i="59"/>
  <c r="XEJ20" i="59"/>
  <c r="XEF20" i="59"/>
  <c r="XEC20" i="59"/>
  <c r="XDZ20" i="59"/>
  <c r="XEN19" i="59"/>
  <c r="XEJ19" i="59"/>
  <c r="XEF19" i="59"/>
  <c r="XEC19" i="59"/>
  <c r="XDZ19" i="59"/>
  <c r="XEN18" i="59"/>
  <c r="XEJ18" i="59"/>
  <c r="XEF18" i="59"/>
  <c r="XEC18" i="59"/>
  <c r="XDZ18" i="59"/>
  <c r="XEN17" i="59"/>
  <c r="XEJ17" i="59"/>
  <c r="XEF17" i="59"/>
  <c r="XEC17" i="59"/>
  <c r="XDZ17" i="59"/>
  <c r="XEN16" i="59"/>
  <c r="XEJ16" i="59"/>
  <c r="XEF16" i="59"/>
  <c r="XEC16" i="59"/>
  <c r="XDZ16" i="59"/>
  <c r="XEN15" i="59"/>
  <c r="XEJ15" i="59"/>
  <c r="XEF15" i="59"/>
  <c r="XEC15" i="59"/>
  <c r="XDZ15" i="59"/>
  <c r="XEN14" i="59"/>
  <c r="XEJ14" i="59"/>
  <c r="XEF14" i="59"/>
  <c r="XEC14" i="59"/>
  <c r="XDZ14" i="59"/>
  <c r="XEN13" i="59"/>
  <c r="XEJ13" i="59"/>
  <c r="XEF13" i="59"/>
  <c r="XEC13" i="59"/>
  <c r="XDZ13" i="59"/>
  <c r="XEN12" i="59"/>
  <c r="XEJ12" i="59"/>
  <c r="XEF12" i="59"/>
  <c r="XEC12" i="59"/>
  <c r="XDZ12" i="59"/>
  <c r="XEN11" i="59"/>
  <c r="XEK11" i="59"/>
  <c r="XEJ11" i="59"/>
  <c r="XEG11" i="59"/>
  <c r="XEF11" i="59"/>
  <c r="XED11" i="59"/>
  <c r="XEC11" i="59"/>
  <c r="XEA11" i="59"/>
  <c r="XDZ11" i="59"/>
  <c r="C13" i="58"/>
  <c r="D3" i="58"/>
  <c r="D7" i="56"/>
  <c r="B14" i="56" s="1"/>
  <c r="R91" i="65"/>
  <c r="M89" i="65"/>
  <c r="AM62" i="65"/>
  <c r="AB62" i="65"/>
  <c r="AM61" i="65"/>
  <c r="AB61" i="65"/>
  <c r="AM53" i="65"/>
  <c r="AB53" i="65"/>
  <c r="AM52" i="65"/>
  <c r="AB52" i="65"/>
  <c r="AM37" i="65"/>
  <c r="AB37" i="65"/>
  <c r="AM36" i="65"/>
  <c r="AB36" i="65"/>
  <c r="H35" i="65"/>
  <c r="E35" i="65"/>
  <c r="Y29" i="65"/>
  <c r="E21" i="65"/>
  <c r="F18" i="65"/>
  <c r="E18" i="65"/>
  <c r="K30" i="65" s="1"/>
  <c r="E16" i="65"/>
  <c r="E17" i="65" s="1"/>
  <c r="S83" i="65" s="1"/>
  <c r="E15" i="65"/>
  <c r="E14" i="65"/>
  <c r="E11" i="65"/>
  <c r="N95" i="65" s="1"/>
  <c r="E10" i="65"/>
  <c r="E9" i="65"/>
  <c r="E8" i="65"/>
  <c r="E6" i="65"/>
  <c r="E7" i="65" s="1"/>
  <c r="K76" i="65" s="1"/>
  <c r="R91" i="1"/>
  <c r="M89" i="1"/>
  <c r="AM62" i="1"/>
  <c r="AB62" i="1"/>
  <c r="AM61" i="1"/>
  <c r="AB61" i="1"/>
  <c r="H60" i="1"/>
  <c r="E60" i="1"/>
  <c r="H51" i="1"/>
  <c r="E51" i="1"/>
  <c r="H35" i="1"/>
  <c r="E35" i="1"/>
  <c r="Y29" i="1"/>
  <c r="E21" i="1"/>
  <c r="F18" i="1"/>
  <c r="E18" i="1"/>
  <c r="E16" i="1"/>
  <c r="E17" i="1" s="1"/>
  <c r="C827" i="45" s="1"/>
  <c r="A141" i="20"/>
  <c r="E14" i="1"/>
  <c r="E11" i="1"/>
  <c r="E10" i="1"/>
  <c r="J14" i="9" s="1"/>
  <c r="E9" i="1"/>
  <c r="E8" i="1"/>
  <c r="D2" i="20" s="1"/>
  <c r="E6" i="1"/>
  <c r="R146" i="22" s="1"/>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B7" i="55"/>
  <c r="B6" i="55"/>
  <c r="N54" i="61"/>
  <c r="J54" i="61"/>
  <c r="N45" i="61"/>
  <c r="J45" i="61"/>
  <c r="N30" i="61"/>
  <c r="J30" i="61"/>
  <c r="C21" i="61"/>
  <c r="C20" i="61"/>
  <c r="N89" i="65"/>
  <c r="O89" i="65"/>
  <c r="P89" i="65"/>
  <c r="P90" i="65"/>
  <c r="N90" i="65"/>
  <c r="D5" i="20" l="1"/>
  <c r="D15" i="56"/>
  <c r="H1034" i="45"/>
  <c r="E7" i="1"/>
  <c r="R11" i="58" s="1"/>
  <c r="A8" i="22"/>
  <c r="A7" i="22"/>
  <c r="H610" i="45"/>
  <c r="H614" i="45"/>
  <c r="H618" i="45"/>
  <c r="H613" i="45"/>
  <c r="H617" i="45"/>
  <c r="H612" i="45"/>
  <c r="H616" i="45"/>
  <c r="H620" i="45"/>
  <c r="H46" i="45"/>
  <c r="H611" i="45"/>
  <c r="H615" i="45"/>
  <c r="H619" i="45"/>
  <c r="K30" i="1"/>
  <c r="O95" i="1"/>
  <c r="O97" i="1" s="1"/>
  <c r="O96" i="1" s="1"/>
  <c r="C46" i="45"/>
  <c r="C612" i="45"/>
  <c r="C613" i="45"/>
  <c r="C614" i="45"/>
  <c r="C616" i="45"/>
  <c r="C701" i="45"/>
  <c r="H970" i="45"/>
  <c r="C1341" i="45"/>
  <c r="C619" i="45"/>
  <c r="C620" i="45"/>
  <c r="O95" i="65"/>
  <c r="O97" i="65" s="1"/>
  <c r="O96" i="65" s="1"/>
  <c r="D9" i="56"/>
  <c r="R12" i="58"/>
  <c r="E13" i="56" s="1"/>
  <c r="D13" i="56" s="1"/>
  <c r="C122" i="45"/>
  <c r="H122" i="45"/>
  <c r="C145" i="45"/>
  <c r="I145" i="45" s="1"/>
  <c r="H145" i="45"/>
  <c r="C174" i="45"/>
  <c r="H174" i="45"/>
  <c r="C761" i="45"/>
  <c r="K76" i="1"/>
  <c r="C610" i="45"/>
  <c r="C611" i="45"/>
  <c r="C615" i="45"/>
  <c r="C617" i="45"/>
  <c r="C618" i="45"/>
  <c r="C621" i="45"/>
  <c r="K72" i="1"/>
  <c r="J1" i="45"/>
  <c r="C891" i="45"/>
  <c r="CZ21" i="20"/>
  <c r="C20" i="1"/>
  <c r="K73" i="1"/>
  <c r="K77" i="1"/>
  <c r="K74" i="65"/>
  <c r="D10" i="56"/>
  <c r="D3" i="20"/>
  <c r="D15" i="20"/>
  <c r="DF23" i="20"/>
  <c r="K27" i="20"/>
  <c r="C30" i="45"/>
  <c r="H30" i="45"/>
  <c r="C49" i="45"/>
  <c r="I49" i="45" s="1"/>
  <c r="H49" i="45"/>
  <c r="C78" i="45"/>
  <c r="H78" i="45"/>
  <c r="C154" i="45"/>
  <c r="I154" i="45" s="1"/>
  <c r="H154" i="45"/>
  <c r="C177" i="45"/>
  <c r="H177" i="45"/>
  <c r="C418" i="45"/>
  <c r="H418" i="45"/>
  <c r="C419" i="45"/>
  <c r="H419" i="45"/>
  <c r="C420" i="45"/>
  <c r="H420" i="45"/>
  <c r="C421" i="45"/>
  <c r="H421" i="45"/>
  <c r="C422" i="45"/>
  <c r="H422" i="45"/>
  <c r="C423" i="45"/>
  <c r="H423" i="45"/>
  <c r="C424" i="45"/>
  <c r="H424" i="45"/>
  <c r="C425" i="45"/>
  <c r="H425" i="45"/>
  <c r="C426" i="45"/>
  <c r="H426" i="45"/>
  <c r="C427" i="45"/>
  <c r="H427" i="45"/>
  <c r="C428" i="45"/>
  <c r="H428" i="45"/>
  <c r="C429" i="45"/>
  <c r="C693" i="45"/>
  <c r="C745" i="45"/>
  <c r="C859" i="45"/>
  <c r="H1002" i="45"/>
  <c r="K77" i="65"/>
  <c r="K70" i="1"/>
  <c r="K78" i="1" s="1"/>
  <c r="K74" i="1"/>
  <c r="K75" i="65"/>
  <c r="D11" i="56"/>
  <c r="E11" i="56" s="1"/>
  <c r="D4" i="58"/>
  <c r="D4" i="20"/>
  <c r="C22" i="45"/>
  <c r="H22" i="45"/>
  <c r="C58" i="45"/>
  <c r="I58" i="45" s="1"/>
  <c r="H58" i="45"/>
  <c r="C81" i="45"/>
  <c r="H81" i="45"/>
  <c r="C110" i="45"/>
  <c r="I110" i="45" s="1"/>
  <c r="H110" i="45"/>
  <c r="C685" i="45"/>
  <c r="C729" i="45"/>
  <c r="K73" i="65"/>
  <c r="Y1342" i="45"/>
  <c r="C1340" i="45"/>
  <c r="C1338" i="45"/>
  <c r="C1336" i="45"/>
  <c r="C1334" i="45"/>
  <c r="C1332" i="45"/>
  <c r="C1330" i="45"/>
  <c r="C1328" i="45"/>
  <c r="C1326" i="45"/>
  <c r="C1324" i="45"/>
  <c r="C1322" i="45"/>
  <c r="C1320" i="45"/>
  <c r="C1318" i="45"/>
  <c r="C1316" i="45"/>
  <c r="C1314" i="45"/>
  <c r="C1312" i="45"/>
  <c r="C1310" i="45"/>
  <c r="C1308" i="45"/>
  <c r="C1306" i="45"/>
  <c r="C1304" i="45"/>
  <c r="C1302" i="45"/>
  <c r="C1300" i="45"/>
  <c r="C1298" i="45"/>
  <c r="C1296" i="45"/>
  <c r="C1294" i="45"/>
  <c r="C1292" i="45"/>
  <c r="C1290" i="45"/>
  <c r="C1288" i="45"/>
  <c r="C1286" i="45"/>
  <c r="C1339" i="45"/>
  <c r="C1337" i="45"/>
  <c r="C1335" i="45"/>
  <c r="C1333" i="45"/>
  <c r="C1331" i="45"/>
  <c r="C1329" i="45"/>
  <c r="C1327" i="45"/>
  <c r="C1325" i="45"/>
  <c r="C1323" i="45"/>
  <c r="C1321" i="45"/>
  <c r="C1319" i="45"/>
  <c r="C1317" i="45"/>
  <c r="C1315" i="45"/>
  <c r="C1313" i="45"/>
  <c r="C1311" i="45"/>
  <c r="C1309" i="45"/>
  <c r="C1307" i="45"/>
  <c r="C1305" i="45"/>
  <c r="C1303" i="45"/>
  <c r="C1301" i="45"/>
  <c r="C1299" i="45"/>
  <c r="C1297" i="45"/>
  <c r="C1295" i="45"/>
  <c r="C1293" i="45"/>
  <c r="C1291" i="45"/>
  <c r="C1289" i="45"/>
  <c r="C1287" i="45"/>
  <c r="C1285" i="45"/>
  <c r="C1284" i="45"/>
  <c r="C1282" i="45"/>
  <c r="C1280" i="45"/>
  <c r="C1278" i="45"/>
  <c r="C1276" i="45"/>
  <c r="C1274" i="45"/>
  <c r="C1272" i="45"/>
  <c r="C1270" i="45"/>
  <c r="C1268" i="45"/>
  <c r="C1266" i="45"/>
  <c r="C1264" i="45"/>
  <c r="C1262" i="45"/>
  <c r="C1260" i="45"/>
  <c r="C1258" i="45"/>
  <c r="C1281" i="45"/>
  <c r="C1273" i="45"/>
  <c r="C1265" i="45"/>
  <c r="C1257" i="45"/>
  <c r="C1255" i="45"/>
  <c r="C1253" i="45"/>
  <c r="C1251" i="45"/>
  <c r="C1249" i="45"/>
  <c r="C1247" i="45"/>
  <c r="C1245" i="45"/>
  <c r="C1243" i="45"/>
  <c r="C1241" i="45"/>
  <c r="C1239" i="45"/>
  <c r="C1237" i="45"/>
  <c r="C1235" i="45"/>
  <c r="C1233" i="45"/>
  <c r="C1231" i="45"/>
  <c r="C1229" i="45"/>
  <c r="C1227" i="45"/>
  <c r="C1225" i="45"/>
  <c r="C1223" i="45"/>
  <c r="C1221" i="45"/>
  <c r="C1219" i="45"/>
  <c r="C1217" i="45"/>
  <c r="C1215" i="45"/>
  <c r="C1213" i="45"/>
  <c r="C1211" i="45"/>
  <c r="C1209" i="45"/>
  <c r="C1207" i="45"/>
  <c r="C1205" i="45"/>
  <c r="C1203" i="45"/>
  <c r="C1201" i="45"/>
  <c r="C1199" i="45"/>
  <c r="C1197" i="45"/>
  <c r="C1195" i="45"/>
  <c r="C1193" i="45"/>
  <c r="C1191" i="45"/>
  <c r="C1189" i="45"/>
  <c r="C1187" i="45"/>
  <c r="C1185" i="45"/>
  <c r="C1183" i="45"/>
  <c r="C1181" i="45"/>
  <c r="C1179" i="45"/>
  <c r="C1177" i="45"/>
  <c r="C1175" i="45"/>
  <c r="C1173" i="45"/>
  <c r="C1171" i="45"/>
  <c r="C1169" i="45"/>
  <c r="C1167" i="45"/>
  <c r="C1165" i="45"/>
  <c r="C1163" i="45"/>
  <c r="C1161" i="45"/>
  <c r="C1279" i="45"/>
  <c r="C1271" i="45"/>
  <c r="C1263" i="45"/>
  <c r="C1269" i="45"/>
  <c r="C1283" i="45"/>
  <c r="C1267" i="45"/>
  <c r="C1256" i="45"/>
  <c r="C1254" i="45"/>
  <c r="C1252" i="45"/>
  <c r="C1250" i="45"/>
  <c r="C1248" i="45"/>
  <c r="C1246" i="45"/>
  <c r="C1244" i="45"/>
  <c r="C1242" i="45"/>
  <c r="C1240" i="45"/>
  <c r="C1238" i="45"/>
  <c r="C1236" i="45"/>
  <c r="C1234" i="45"/>
  <c r="C1232" i="45"/>
  <c r="C1230" i="45"/>
  <c r="C1228" i="45"/>
  <c r="C1226" i="45"/>
  <c r="C1224" i="45"/>
  <c r="C1222" i="45"/>
  <c r="C1220" i="45"/>
  <c r="C1218" i="45"/>
  <c r="C1216" i="45"/>
  <c r="C1214" i="45"/>
  <c r="C1212" i="45"/>
  <c r="C1210" i="45"/>
  <c r="C1208" i="45"/>
  <c r="C1206" i="45"/>
  <c r="C1204" i="45"/>
  <c r="C1202" i="45"/>
  <c r="C1200" i="45"/>
  <c r="C1198" i="45"/>
  <c r="C1196" i="45"/>
  <c r="C1194" i="45"/>
  <c r="C1192" i="45"/>
  <c r="C1190" i="45"/>
  <c r="C1188" i="45"/>
  <c r="C1186" i="45"/>
  <c r="C1184" i="45"/>
  <c r="C1182" i="45"/>
  <c r="C1180" i="45"/>
  <c r="C1178" i="45"/>
  <c r="C1176" i="45"/>
  <c r="C1174" i="45"/>
  <c r="C1172" i="45"/>
  <c r="C1170" i="45"/>
  <c r="C1168" i="45"/>
  <c r="C1166" i="45"/>
  <c r="C1164" i="45"/>
  <c r="C1162" i="45"/>
  <c r="C1160" i="45"/>
  <c r="C1158" i="45"/>
  <c r="C1156" i="45"/>
  <c r="C1154" i="45"/>
  <c r="C1152" i="45"/>
  <c r="C1275" i="45"/>
  <c r="C1150" i="45"/>
  <c r="C1145" i="45"/>
  <c r="C1142" i="45"/>
  <c r="C1137" i="45"/>
  <c r="C1134" i="45"/>
  <c r="C1129" i="45"/>
  <c r="C1126" i="45"/>
  <c r="C1121" i="45"/>
  <c r="C1118" i="45"/>
  <c r="C1113" i="45"/>
  <c r="C1110" i="45"/>
  <c r="C1105" i="45"/>
  <c r="C1102" i="45"/>
  <c r="C1097" i="45"/>
  <c r="C1094" i="45"/>
  <c r="C1261" i="45"/>
  <c r="C1147" i="45"/>
  <c r="C1144" i="45"/>
  <c r="C1139" i="45"/>
  <c r="C1136" i="45"/>
  <c r="C1131" i="45"/>
  <c r="C1128" i="45"/>
  <c r="C1123" i="45"/>
  <c r="C1120" i="45"/>
  <c r="C1115" i="45"/>
  <c r="C1112" i="45"/>
  <c r="C1107" i="45"/>
  <c r="C1104" i="45"/>
  <c r="C1099" i="45"/>
  <c r="C1096" i="45"/>
  <c r="C1091" i="45"/>
  <c r="C1089" i="45"/>
  <c r="C1087" i="45"/>
  <c r="C1085" i="45"/>
  <c r="C1083" i="45"/>
  <c r="C1081" i="45"/>
  <c r="C1079" i="45"/>
  <c r="C1077" i="45"/>
  <c r="C1075" i="45"/>
  <c r="C1073" i="45"/>
  <c r="C1071" i="45"/>
  <c r="C1069" i="45"/>
  <c r="C1067" i="45"/>
  <c r="C1065" i="45"/>
  <c r="C1063" i="45"/>
  <c r="C1061" i="45"/>
  <c r="C1059" i="45"/>
  <c r="C1057" i="45"/>
  <c r="C1055" i="45"/>
  <c r="C1053" i="45"/>
  <c r="C1051" i="45"/>
  <c r="C1049" i="45"/>
  <c r="C1047" i="45"/>
  <c r="C1045" i="45"/>
  <c r="C1043" i="45"/>
  <c r="C1041" i="45"/>
  <c r="C1039" i="45"/>
  <c r="C1037" i="45"/>
  <c r="C1035" i="45"/>
  <c r="C1033" i="45"/>
  <c r="C1031" i="45"/>
  <c r="C1029" i="45"/>
  <c r="C1027" i="45"/>
  <c r="C1025" i="45"/>
  <c r="C1023" i="45"/>
  <c r="C1021" i="45"/>
  <c r="C1019" i="45"/>
  <c r="C1017" i="45"/>
  <c r="C1015" i="45"/>
  <c r="C1013" i="45"/>
  <c r="C1011" i="45"/>
  <c r="C1009" i="45"/>
  <c r="C1007" i="45"/>
  <c r="C1005" i="45"/>
  <c r="C1003" i="45"/>
  <c r="C1001" i="45"/>
  <c r="C999" i="45"/>
  <c r="C997" i="45"/>
  <c r="C995" i="45"/>
  <c r="C993" i="45"/>
  <c r="C991" i="45"/>
  <c r="C989" i="45"/>
  <c r="C987" i="45"/>
  <c r="C985" i="45"/>
  <c r="C983" i="45"/>
  <c r="C981" i="45"/>
  <c r="C979" i="45"/>
  <c r="C977" i="45"/>
  <c r="C975" i="45"/>
  <c r="C973" i="45"/>
  <c r="C971" i="45"/>
  <c r="C969" i="45"/>
  <c r="C967" i="45"/>
  <c r="C965" i="45"/>
  <c r="C963" i="45"/>
  <c r="C961" i="45"/>
  <c r="C959" i="45"/>
  <c r="C957" i="45"/>
  <c r="C955" i="45"/>
  <c r="C953" i="45"/>
  <c r="C951" i="45"/>
  <c r="C949" i="45"/>
  <c r="C947" i="45"/>
  <c r="C945" i="45"/>
  <c r="C943" i="45"/>
  <c r="C941" i="45"/>
  <c r="C939" i="45"/>
  <c r="C937" i="45"/>
  <c r="C935" i="45"/>
  <c r="C933" i="45"/>
  <c r="C931" i="45"/>
  <c r="C929" i="45"/>
  <c r="C927" i="45"/>
  <c r="C925" i="45"/>
  <c r="C923" i="45"/>
  <c r="C921" i="45"/>
  <c r="C919" i="45"/>
  <c r="C917" i="45"/>
  <c r="C915" i="45"/>
  <c r="C913" i="45"/>
  <c r="C911" i="45"/>
  <c r="C1149" i="45"/>
  <c r="C1146" i="45"/>
  <c r="C1133" i="45"/>
  <c r="C1130" i="45"/>
  <c r="C1117" i="45"/>
  <c r="C1114" i="45"/>
  <c r="C1101" i="45"/>
  <c r="C1098" i="45"/>
  <c r="C910" i="45"/>
  <c r="C908" i="45"/>
  <c r="C906" i="45"/>
  <c r="C904" i="45"/>
  <c r="C902" i="45"/>
  <c r="C900" i="45"/>
  <c r="C898" i="45"/>
  <c r="C896" i="45"/>
  <c r="C894" i="45"/>
  <c r="C892" i="45"/>
  <c r="C890" i="45"/>
  <c r="C888" i="45"/>
  <c r="C886" i="45"/>
  <c r="C884" i="45"/>
  <c r="C882" i="45"/>
  <c r="C880" i="45"/>
  <c r="C878" i="45"/>
  <c r="C876" i="45"/>
  <c r="C874" i="45"/>
  <c r="C872" i="45"/>
  <c r="C870" i="45"/>
  <c r="C868" i="45"/>
  <c r="C866" i="45"/>
  <c r="C864" i="45"/>
  <c r="C862" i="45"/>
  <c r="C860" i="45"/>
  <c r="C858" i="45"/>
  <c r="C856" i="45"/>
  <c r="C854" i="45"/>
  <c r="C852" i="45"/>
  <c r="C850" i="45"/>
  <c r="C848" i="45"/>
  <c r="C846" i="45"/>
  <c r="C844" i="45"/>
  <c r="C842" i="45"/>
  <c r="C840" i="45"/>
  <c r="C838" i="45"/>
  <c r="C836" i="45"/>
  <c r="C834" i="45"/>
  <c r="C832" i="45"/>
  <c r="C830" i="45"/>
  <c r="C828" i="45"/>
  <c r="C826" i="45"/>
  <c r="C824" i="45"/>
  <c r="C822" i="45"/>
  <c r="C820" i="45"/>
  <c r="C818" i="45"/>
  <c r="C816" i="45"/>
  <c r="C814" i="45"/>
  <c r="C812" i="45"/>
  <c r="C810" i="45"/>
  <c r="C808" i="45"/>
  <c r="C806" i="45"/>
  <c r="C804" i="45"/>
  <c r="C802" i="45"/>
  <c r="C800" i="45"/>
  <c r="C798" i="45"/>
  <c r="C796" i="45"/>
  <c r="C794" i="45"/>
  <c r="C792" i="45"/>
  <c r="C790" i="45"/>
  <c r="C788" i="45"/>
  <c r="C786" i="45"/>
  <c r="C784" i="45"/>
  <c r="C782" i="45"/>
  <c r="C780" i="45"/>
  <c r="C778" i="45"/>
  <c r="C776" i="45"/>
  <c r="C774" i="45"/>
  <c r="C772" i="45"/>
  <c r="C770" i="45"/>
  <c r="C768" i="45"/>
  <c r="C766" i="45"/>
  <c r="C764" i="45"/>
  <c r="C762" i="45"/>
  <c r="C760" i="45"/>
  <c r="C758" i="45"/>
  <c r="C756" i="45"/>
  <c r="C754" i="45"/>
  <c r="C752" i="45"/>
  <c r="C750" i="45"/>
  <c r="C748" i="45"/>
  <c r="C746" i="45"/>
  <c r="C744" i="45"/>
  <c r="C742" i="45"/>
  <c r="C740" i="45"/>
  <c r="C738" i="45"/>
  <c r="C736" i="45"/>
  <c r="C734" i="45"/>
  <c r="C732" i="45"/>
  <c r="C730" i="45"/>
  <c r="C728" i="45"/>
  <c r="C726" i="45"/>
  <c r="C724" i="45"/>
  <c r="C722" i="45"/>
  <c r="C720" i="45"/>
  <c r="C718" i="45"/>
  <c r="C716" i="45"/>
  <c r="C714" i="45"/>
  <c r="C712" i="45"/>
  <c r="C710" i="45"/>
  <c r="C1259" i="45"/>
  <c r="C1159" i="45"/>
  <c r="C1157" i="45"/>
  <c r="C1155" i="45"/>
  <c r="C1153" i="45"/>
  <c r="C1151" i="45"/>
  <c r="C1148" i="45"/>
  <c r="C1135" i="45"/>
  <c r="C1132" i="45"/>
  <c r="C1119" i="45"/>
  <c r="C1116" i="45"/>
  <c r="C1103" i="45"/>
  <c r="C1100" i="45"/>
  <c r="C1277" i="45"/>
  <c r="C1127" i="45"/>
  <c r="C1124" i="45"/>
  <c r="C1095" i="45"/>
  <c r="C1092" i="45"/>
  <c r="C1090" i="45"/>
  <c r="C1088" i="45"/>
  <c r="C1086" i="45"/>
  <c r="C1084" i="45"/>
  <c r="C1082" i="45"/>
  <c r="C1080" i="45"/>
  <c r="C1078" i="45"/>
  <c r="C1076" i="45"/>
  <c r="C1074" i="45"/>
  <c r="C1072" i="45"/>
  <c r="C1070" i="45"/>
  <c r="C1068" i="45"/>
  <c r="C1066" i="45"/>
  <c r="C1064" i="45"/>
  <c r="C1062" i="45"/>
  <c r="C1060" i="45"/>
  <c r="C1058" i="45"/>
  <c r="C1056" i="45"/>
  <c r="C1054" i="45"/>
  <c r="C1052" i="45"/>
  <c r="C1050" i="45"/>
  <c r="C1048" i="45"/>
  <c r="C1046" i="45"/>
  <c r="C1044" i="45"/>
  <c r="C1042" i="45"/>
  <c r="C1040" i="45"/>
  <c r="C1038" i="45"/>
  <c r="C1036" i="45"/>
  <c r="C1034" i="45"/>
  <c r="C1032" i="45"/>
  <c r="C1030" i="45"/>
  <c r="C1028" i="45"/>
  <c r="C1026" i="45"/>
  <c r="C1024" i="45"/>
  <c r="C1022" i="45"/>
  <c r="C1020" i="45"/>
  <c r="C1018" i="45"/>
  <c r="C1016" i="45"/>
  <c r="C1014" i="45"/>
  <c r="C1012" i="45"/>
  <c r="C1010" i="45"/>
  <c r="C1008" i="45"/>
  <c r="C1006" i="45"/>
  <c r="C1004" i="45"/>
  <c r="C1002" i="45"/>
  <c r="C1000" i="45"/>
  <c r="C998" i="45"/>
  <c r="C996" i="45"/>
  <c r="C994" i="45"/>
  <c r="C992" i="45"/>
  <c r="C990" i="45"/>
  <c r="C988" i="45"/>
  <c r="C986" i="45"/>
  <c r="C984" i="45"/>
  <c r="C982" i="45"/>
  <c r="C980" i="45"/>
  <c r="C978" i="45"/>
  <c r="C976" i="45"/>
  <c r="C974" i="45"/>
  <c r="C972" i="45"/>
  <c r="C970" i="45"/>
  <c r="C968" i="45"/>
  <c r="C966" i="45"/>
  <c r="C964" i="45"/>
  <c r="C962" i="45"/>
  <c r="C960" i="45"/>
  <c r="C958" i="45"/>
  <c r="C956" i="45"/>
  <c r="C954" i="45"/>
  <c r="C952" i="45"/>
  <c r="C950" i="45"/>
  <c r="C948" i="45"/>
  <c r="C946" i="45"/>
  <c r="C944" i="45"/>
  <c r="C942" i="45"/>
  <c r="C940" i="45"/>
  <c r="C938" i="45"/>
  <c r="C936" i="45"/>
  <c r="C934" i="45"/>
  <c r="C932" i="45"/>
  <c r="C930" i="45"/>
  <c r="C928" i="45"/>
  <c r="C926" i="45"/>
  <c r="C924" i="45"/>
  <c r="C922" i="45"/>
  <c r="C920" i="45"/>
  <c r="C918" i="45"/>
  <c r="C916" i="45"/>
  <c r="C914" i="45"/>
  <c r="C912" i="45"/>
  <c r="C709" i="45"/>
  <c r="C704" i="45"/>
  <c r="C702" i="45"/>
  <c r="C700" i="45"/>
  <c r="C698" i="45"/>
  <c r="C696" i="45"/>
  <c r="C694" i="45"/>
  <c r="C692" i="45"/>
  <c r="C690" i="45"/>
  <c r="C688" i="45"/>
  <c r="C686" i="45"/>
  <c r="C684" i="45"/>
  <c r="C682" i="45"/>
  <c r="C645" i="45"/>
  <c r="C644" i="45"/>
  <c r="C643" i="45"/>
  <c r="C642" i="45"/>
  <c r="C641" i="45"/>
  <c r="C640" i="45"/>
  <c r="C639" i="45"/>
  <c r="C638" i="45"/>
  <c r="C637" i="45"/>
  <c r="C636" i="45"/>
  <c r="C635" i="45"/>
  <c r="C634" i="45"/>
  <c r="C597" i="45"/>
  <c r="C596" i="45"/>
  <c r="C595" i="45"/>
  <c r="C594" i="45"/>
  <c r="C593" i="45"/>
  <c r="C592" i="45"/>
  <c r="C591" i="45"/>
  <c r="C590" i="45"/>
  <c r="C589" i="45"/>
  <c r="C588" i="45"/>
  <c r="C587" i="45"/>
  <c r="C586" i="45"/>
  <c r="C549" i="45"/>
  <c r="C548" i="45"/>
  <c r="C547" i="45"/>
  <c r="C546" i="45"/>
  <c r="C545" i="45"/>
  <c r="C544" i="45"/>
  <c r="C543" i="45"/>
  <c r="C542" i="45"/>
  <c r="C541" i="45"/>
  <c r="C540" i="45"/>
  <c r="C539" i="45"/>
  <c r="C538" i="45"/>
  <c r="C501" i="45"/>
  <c r="C500" i="45"/>
  <c r="C499" i="45"/>
  <c r="C498" i="45"/>
  <c r="C497" i="45"/>
  <c r="C496" i="45"/>
  <c r="C495" i="45"/>
  <c r="C494" i="45"/>
  <c r="C493" i="45"/>
  <c r="C492" i="45"/>
  <c r="C491" i="45"/>
  <c r="C490" i="45"/>
  <c r="C453" i="45"/>
  <c r="C452" i="45"/>
  <c r="C451" i="45"/>
  <c r="C450" i="45"/>
  <c r="C449" i="45"/>
  <c r="C448" i="45"/>
  <c r="C447" i="45"/>
  <c r="C446" i="45"/>
  <c r="C445" i="45"/>
  <c r="C444" i="45"/>
  <c r="C443" i="45"/>
  <c r="C442" i="45"/>
  <c r="C405" i="45"/>
  <c r="C404" i="45"/>
  <c r="C403" i="45"/>
  <c r="C402" i="45"/>
  <c r="C401" i="45"/>
  <c r="C400" i="45"/>
  <c r="C399" i="45"/>
  <c r="C398" i="45"/>
  <c r="C397" i="45"/>
  <c r="C396" i="45"/>
  <c r="C395" i="45"/>
  <c r="C394" i="45"/>
  <c r="C187" i="45"/>
  <c r="I187" i="45" s="1"/>
  <c r="C183" i="45"/>
  <c r="I183" i="45" s="1"/>
  <c r="C179" i="45"/>
  <c r="I179" i="45" s="1"/>
  <c r="C175" i="45"/>
  <c r="C171" i="45"/>
  <c r="I171" i="45" s="1"/>
  <c r="C167" i="45"/>
  <c r="I167" i="45" s="1"/>
  <c r="C163" i="45"/>
  <c r="I163" i="45" s="1"/>
  <c r="C159" i="45"/>
  <c r="C155" i="45"/>
  <c r="I155" i="45" s="1"/>
  <c r="C151" i="45"/>
  <c r="I151" i="45" s="1"/>
  <c r="C147" i="45"/>
  <c r="I147" i="45" s="1"/>
  <c r="C143" i="45"/>
  <c r="C139" i="45"/>
  <c r="I139" i="45" s="1"/>
  <c r="C135" i="45"/>
  <c r="I135" i="45" s="1"/>
  <c r="C131" i="45"/>
  <c r="I131" i="45" s="1"/>
  <c r="C127" i="45"/>
  <c r="C123" i="45"/>
  <c r="I123" i="45" s="1"/>
  <c r="C119" i="45"/>
  <c r="I119" i="45" s="1"/>
  <c r="C115" i="45"/>
  <c r="I115" i="45" s="1"/>
  <c r="C111" i="45"/>
  <c r="C107" i="45"/>
  <c r="I107" i="45" s="1"/>
  <c r="C103" i="45"/>
  <c r="I103" i="45" s="1"/>
  <c r="C99" i="45"/>
  <c r="I99" i="45" s="1"/>
  <c r="C95" i="45"/>
  <c r="C91" i="45"/>
  <c r="I91" i="45" s="1"/>
  <c r="C87" i="45"/>
  <c r="I87" i="45" s="1"/>
  <c r="C83" i="45"/>
  <c r="I83" i="45" s="1"/>
  <c r="C79" i="45"/>
  <c r="C75" i="45"/>
  <c r="I75" i="45" s="1"/>
  <c r="C71" i="45"/>
  <c r="I71" i="45" s="1"/>
  <c r="C67" i="45"/>
  <c r="I67" i="45" s="1"/>
  <c r="C63" i="45"/>
  <c r="C59" i="45"/>
  <c r="I59" i="45" s="1"/>
  <c r="C55" i="45"/>
  <c r="I55" i="45" s="1"/>
  <c r="C51" i="45"/>
  <c r="I51" i="45" s="1"/>
  <c r="C47" i="45"/>
  <c r="C43" i="45"/>
  <c r="C39" i="45"/>
  <c r="I39" i="45" s="1"/>
  <c r="C1141" i="45"/>
  <c r="C1138" i="45"/>
  <c r="C1109" i="45"/>
  <c r="C1106" i="45"/>
  <c r="C706" i="45"/>
  <c r="C657" i="45"/>
  <c r="C656" i="45"/>
  <c r="C655" i="45"/>
  <c r="C654" i="45"/>
  <c r="C653" i="45"/>
  <c r="C652" i="45"/>
  <c r="C651" i="45"/>
  <c r="C650" i="45"/>
  <c r="C649" i="45"/>
  <c r="C648" i="45"/>
  <c r="C647" i="45"/>
  <c r="C646" i="45"/>
  <c r="C609" i="45"/>
  <c r="C608" i="45"/>
  <c r="C607" i="45"/>
  <c r="C606" i="45"/>
  <c r="C605" i="45"/>
  <c r="C604" i="45"/>
  <c r="C603" i="45"/>
  <c r="C602" i="45"/>
  <c r="C601" i="45"/>
  <c r="C600" i="45"/>
  <c r="C599" i="45"/>
  <c r="C598" i="45"/>
  <c r="C561" i="45"/>
  <c r="C560" i="45"/>
  <c r="C559" i="45"/>
  <c r="C558" i="45"/>
  <c r="C557" i="45"/>
  <c r="C556" i="45"/>
  <c r="C555" i="45"/>
  <c r="C554" i="45"/>
  <c r="C553" i="45"/>
  <c r="C552" i="45"/>
  <c r="C551" i="45"/>
  <c r="C550" i="45"/>
  <c r="C513" i="45"/>
  <c r="C512" i="45"/>
  <c r="C511" i="45"/>
  <c r="C510" i="45"/>
  <c r="C509" i="45"/>
  <c r="C508" i="45"/>
  <c r="C507" i="45"/>
  <c r="C506" i="45"/>
  <c r="C505" i="45"/>
  <c r="C504" i="45"/>
  <c r="C503" i="45"/>
  <c r="C502" i="45"/>
  <c r="C465" i="45"/>
  <c r="C464" i="45"/>
  <c r="C463" i="45"/>
  <c r="C462" i="45"/>
  <c r="C461" i="45"/>
  <c r="C460" i="45"/>
  <c r="C459" i="45"/>
  <c r="C458" i="45"/>
  <c r="C457" i="45"/>
  <c r="C456" i="45"/>
  <c r="C455" i="45"/>
  <c r="C454" i="45"/>
  <c r="C417" i="45"/>
  <c r="C416" i="45"/>
  <c r="C415" i="45"/>
  <c r="C414" i="45"/>
  <c r="C413" i="45"/>
  <c r="C412" i="45"/>
  <c r="C411" i="45"/>
  <c r="C410" i="45"/>
  <c r="C409" i="45"/>
  <c r="C408" i="45"/>
  <c r="C407" i="45"/>
  <c r="C406" i="45"/>
  <c r="C369" i="45"/>
  <c r="C368" i="45"/>
  <c r="C367" i="45"/>
  <c r="C366" i="45"/>
  <c r="C365" i="45"/>
  <c r="C364" i="45"/>
  <c r="C363" i="45"/>
  <c r="C362" i="45"/>
  <c r="C361" i="45"/>
  <c r="C360" i="45"/>
  <c r="C359" i="45"/>
  <c r="C358" i="45"/>
  <c r="C357" i="45"/>
  <c r="C356" i="45"/>
  <c r="C355" i="45"/>
  <c r="C354" i="45"/>
  <c r="C353" i="45"/>
  <c r="C352" i="45"/>
  <c r="C351" i="45"/>
  <c r="C350" i="45"/>
  <c r="C349" i="45"/>
  <c r="C348" i="45"/>
  <c r="C347" i="45"/>
  <c r="C346" i="45"/>
  <c r="C345" i="45"/>
  <c r="C344" i="45"/>
  <c r="C343" i="45"/>
  <c r="C342" i="45"/>
  <c r="C341" i="45"/>
  <c r="C340" i="45"/>
  <c r="C339" i="45"/>
  <c r="C338" i="45"/>
  <c r="C337" i="45"/>
  <c r="C336" i="45"/>
  <c r="C335" i="45"/>
  <c r="C334" i="45"/>
  <c r="C333" i="45"/>
  <c r="C332" i="45"/>
  <c r="C331" i="45"/>
  <c r="C330" i="45"/>
  <c r="C329" i="45"/>
  <c r="C328" i="45"/>
  <c r="C327" i="45"/>
  <c r="C326" i="45"/>
  <c r="C325" i="45"/>
  <c r="C324" i="45"/>
  <c r="C323" i="45"/>
  <c r="C322" i="45"/>
  <c r="C321" i="45"/>
  <c r="C320" i="45"/>
  <c r="C319" i="45"/>
  <c r="C318" i="45"/>
  <c r="C317" i="45"/>
  <c r="C316" i="45"/>
  <c r="C315" i="45"/>
  <c r="C314" i="45"/>
  <c r="C313" i="45"/>
  <c r="C312" i="45"/>
  <c r="C311" i="45"/>
  <c r="C310" i="45"/>
  <c r="C309" i="45"/>
  <c r="C308" i="45"/>
  <c r="C307" i="45"/>
  <c r="C306" i="45"/>
  <c r="C305" i="45"/>
  <c r="C304" i="45"/>
  <c r="C303" i="45"/>
  <c r="C302" i="45"/>
  <c r="C301" i="45"/>
  <c r="C300" i="45"/>
  <c r="C299" i="45"/>
  <c r="C298" i="45"/>
  <c r="C297" i="45"/>
  <c r="C296" i="45"/>
  <c r="C295" i="45"/>
  <c r="C294" i="45"/>
  <c r="C293" i="45"/>
  <c r="C292" i="45"/>
  <c r="C291" i="45"/>
  <c r="C290" i="45"/>
  <c r="C289" i="45"/>
  <c r="C288" i="45"/>
  <c r="C287" i="45"/>
  <c r="C286" i="45"/>
  <c r="C285" i="45"/>
  <c r="C284" i="45"/>
  <c r="C283" i="45"/>
  <c r="C282" i="45"/>
  <c r="C281" i="45"/>
  <c r="C280" i="45"/>
  <c r="C279" i="45"/>
  <c r="C278" i="45"/>
  <c r="C277" i="45"/>
  <c r="C276" i="45"/>
  <c r="C275" i="45"/>
  <c r="C274" i="45"/>
  <c r="C273" i="45"/>
  <c r="C272" i="45"/>
  <c r="C271" i="45"/>
  <c r="C270" i="45"/>
  <c r="C269" i="45"/>
  <c r="C268" i="45"/>
  <c r="C267" i="45"/>
  <c r="C266" i="45"/>
  <c r="C265" i="45"/>
  <c r="C264" i="45"/>
  <c r="C263" i="45"/>
  <c r="C262" i="45"/>
  <c r="C261" i="45"/>
  <c r="C260" i="45"/>
  <c r="C259" i="45"/>
  <c r="C258" i="45"/>
  <c r="C257" i="45"/>
  <c r="C256" i="45"/>
  <c r="C255" i="45"/>
  <c r="C254" i="45"/>
  <c r="C253" i="45"/>
  <c r="C252" i="45"/>
  <c r="C251" i="45"/>
  <c r="C250" i="45"/>
  <c r="C249" i="45"/>
  <c r="C248" i="45"/>
  <c r="C247" i="45"/>
  <c r="C246" i="45"/>
  <c r="C245" i="45"/>
  <c r="C244" i="45"/>
  <c r="C243" i="45"/>
  <c r="C242" i="45"/>
  <c r="C241" i="45"/>
  <c r="C240" i="45"/>
  <c r="C239" i="45"/>
  <c r="C238" i="45"/>
  <c r="C237" i="45"/>
  <c r="C236" i="45"/>
  <c r="C235" i="45"/>
  <c r="C234" i="45"/>
  <c r="C233" i="45"/>
  <c r="C232" i="45"/>
  <c r="C231" i="45"/>
  <c r="C230" i="45"/>
  <c r="C229" i="45"/>
  <c r="C228" i="45"/>
  <c r="C227" i="45"/>
  <c r="C226" i="45"/>
  <c r="C225" i="45"/>
  <c r="C224" i="45"/>
  <c r="C223" i="45"/>
  <c r="C222" i="45"/>
  <c r="C221" i="45"/>
  <c r="C220" i="45"/>
  <c r="C219" i="45"/>
  <c r="C218" i="45"/>
  <c r="C217" i="45"/>
  <c r="C216" i="45"/>
  <c r="C215" i="45"/>
  <c r="C214" i="45"/>
  <c r="C213" i="45"/>
  <c r="C212" i="45"/>
  <c r="C211" i="45"/>
  <c r="C210" i="45"/>
  <c r="C209" i="45"/>
  <c r="C208" i="45"/>
  <c r="C207" i="45"/>
  <c r="C206" i="45"/>
  <c r="C205" i="45"/>
  <c r="C204" i="45"/>
  <c r="C203" i="45"/>
  <c r="C202" i="45"/>
  <c r="C201" i="45"/>
  <c r="C200" i="45"/>
  <c r="C199" i="45"/>
  <c r="C198" i="45"/>
  <c r="C197" i="45"/>
  <c r="C196" i="45"/>
  <c r="C195" i="45"/>
  <c r="C194" i="45"/>
  <c r="C193" i="45"/>
  <c r="C192" i="45"/>
  <c r="C191" i="45"/>
  <c r="C190" i="45"/>
  <c r="C186" i="45"/>
  <c r="C182" i="45"/>
  <c r="I182" i="45" s="1"/>
  <c r="C1143" i="45"/>
  <c r="C1125" i="45"/>
  <c r="C909" i="45"/>
  <c r="C901" i="45"/>
  <c r="C893" i="45"/>
  <c r="C885" i="45"/>
  <c r="C877" i="45"/>
  <c r="C869" i="45"/>
  <c r="C861" i="45"/>
  <c r="C853" i="45"/>
  <c r="C845" i="45"/>
  <c r="C837" i="45"/>
  <c r="C829" i="45"/>
  <c r="C821" i="45"/>
  <c r="C813" i="45"/>
  <c r="C805" i="45"/>
  <c r="C797" i="45"/>
  <c r="C789" i="45"/>
  <c r="C781" i="45"/>
  <c r="C773" i="45"/>
  <c r="C765" i="45"/>
  <c r="C757" i="45"/>
  <c r="C749" i="45"/>
  <c r="C741" i="45"/>
  <c r="C733" i="45"/>
  <c r="C725" i="45"/>
  <c r="C717" i="45"/>
  <c r="C707" i="45"/>
  <c r="C633" i="45"/>
  <c r="C632" i="45"/>
  <c r="C631" i="45"/>
  <c r="C630" i="45"/>
  <c r="C629" i="45"/>
  <c r="C628" i="45"/>
  <c r="C627" i="45"/>
  <c r="C626" i="45"/>
  <c r="C625" i="45"/>
  <c r="C624" i="45"/>
  <c r="C623" i="45"/>
  <c r="C622" i="45"/>
  <c r="C537" i="45"/>
  <c r="C536" i="45"/>
  <c r="C535" i="45"/>
  <c r="C534" i="45"/>
  <c r="C533" i="45"/>
  <c r="C532" i="45"/>
  <c r="C531" i="45"/>
  <c r="C530" i="45"/>
  <c r="C529" i="45"/>
  <c r="C528" i="45"/>
  <c r="C527" i="45"/>
  <c r="C526" i="45"/>
  <c r="C441" i="45"/>
  <c r="C440" i="45"/>
  <c r="C439" i="45"/>
  <c r="C438" i="45"/>
  <c r="C437" i="45"/>
  <c r="C436" i="45"/>
  <c r="C435" i="45"/>
  <c r="C434" i="45"/>
  <c r="C433" i="45"/>
  <c r="C432" i="45"/>
  <c r="C431" i="45"/>
  <c r="C430" i="45"/>
  <c r="C184" i="45"/>
  <c r="I184" i="45" s="1"/>
  <c r="C172" i="45"/>
  <c r="I172" i="45" s="1"/>
  <c r="C169" i="45"/>
  <c r="C166" i="45"/>
  <c r="I166" i="45" s="1"/>
  <c r="C156" i="45"/>
  <c r="I156" i="45" s="1"/>
  <c r="C153" i="45"/>
  <c r="I153" i="45" s="1"/>
  <c r="C150" i="45"/>
  <c r="C140" i="45"/>
  <c r="I140" i="45" s="1"/>
  <c r="C137" i="45"/>
  <c r="I137" i="45" s="1"/>
  <c r="C134" i="45"/>
  <c r="I134" i="45" s="1"/>
  <c r="C124" i="45"/>
  <c r="C121" i="45"/>
  <c r="I121" i="45" s="1"/>
  <c r="C118" i="45"/>
  <c r="I118" i="45" s="1"/>
  <c r="C108" i="45"/>
  <c r="I108" i="45" s="1"/>
  <c r="C105" i="45"/>
  <c r="C102" i="45"/>
  <c r="I102" i="45" s="1"/>
  <c r="C92" i="45"/>
  <c r="I92" i="45" s="1"/>
  <c r="C89" i="45"/>
  <c r="I89" i="45" s="1"/>
  <c r="C86" i="45"/>
  <c r="C76" i="45"/>
  <c r="I76" i="45" s="1"/>
  <c r="C73" i="45"/>
  <c r="I73" i="45" s="1"/>
  <c r="C70" i="45"/>
  <c r="I70" i="45" s="1"/>
  <c r="C60" i="45"/>
  <c r="C57" i="45"/>
  <c r="I57" i="45" s="1"/>
  <c r="C54" i="45"/>
  <c r="C44" i="45"/>
  <c r="I44" i="45" s="1"/>
  <c r="C41" i="45"/>
  <c r="C38" i="45"/>
  <c r="I38" i="45" s="1"/>
  <c r="C33" i="45"/>
  <c r="I33" i="45" s="1"/>
  <c r="C29" i="45"/>
  <c r="I29" i="45" s="1"/>
  <c r="C25" i="45"/>
  <c r="C21" i="45"/>
  <c r="I21" i="45" s="1"/>
  <c r="C17" i="45"/>
  <c r="I17" i="45" s="1"/>
  <c r="C13" i="45"/>
  <c r="I13" i="45" s="1"/>
  <c r="C1140" i="45"/>
  <c r="C1122" i="45"/>
  <c r="C903" i="45"/>
  <c r="C895" i="45"/>
  <c r="C887" i="45"/>
  <c r="C879" i="45"/>
  <c r="C871" i="45"/>
  <c r="C863" i="45"/>
  <c r="C855" i="45"/>
  <c r="C847" i="45"/>
  <c r="C839" i="45"/>
  <c r="C831" i="45"/>
  <c r="C823" i="45"/>
  <c r="C815" i="45"/>
  <c r="C807" i="45"/>
  <c r="C799" i="45"/>
  <c r="C791" i="45"/>
  <c r="C783" i="45"/>
  <c r="C775" i="45"/>
  <c r="C767" i="45"/>
  <c r="C759" i="45"/>
  <c r="C751" i="45"/>
  <c r="C743" i="45"/>
  <c r="C735" i="45"/>
  <c r="C727" i="45"/>
  <c r="C719" i="45"/>
  <c r="C711" i="45"/>
  <c r="C669" i="45"/>
  <c r="C668" i="45"/>
  <c r="C667" i="45"/>
  <c r="C666" i="45"/>
  <c r="C665" i="45"/>
  <c r="C664" i="45"/>
  <c r="C663" i="45"/>
  <c r="C662" i="45"/>
  <c r="C661" i="45"/>
  <c r="C660" i="45"/>
  <c r="C659" i="45"/>
  <c r="C658" i="45"/>
  <c r="C573" i="45"/>
  <c r="C572" i="45"/>
  <c r="C571" i="45"/>
  <c r="C570" i="45"/>
  <c r="C569" i="45"/>
  <c r="C568" i="45"/>
  <c r="C567" i="45"/>
  <c r="C566" i="45"/>
  <c r="C565" i="45"/>
  <c r="C564" i="45"/>
  <c r="C563" i="45"/>
  <c r="C562" i="45"/>
  <c r="C477" i="45"/>
  <c r="C476" i="45"/>
  <c r="C475" i="45"/>
  <c r="C474" i="45"/>
  <c r="C473" i="45"/>
  <c r="C472" i="45"/>
  <c r="C471" i="45"/>
  <c r="C470" i="45"/>
  <c r="C469" i="45"/>
  <c r="C468" i="45"/>
  <c r="C467" i="45"/>
  <c r="C466" i="45"/>
  <c r="C381" i="45"/>
  <c r="C380" i="45"/>
  <c r="C379" i="45"/>
  <c r="C378" i="45"/>
  <c r="C377" i="45"/>
  <c r="C376" i="45"/>
  <c r="C375" i="45"/>
  <c r="C374" i="45"/>
  <c r="C373" i="45"/>
  <c r="C372" i="45"/>
  <c r="C371" i="45"/>
  <c r="C370" i="45"/>
  <c r="C189" i="45"/>
  <c r="I189" i="45" s="1"/>
  <c r="C181" i="45"/>
  <c r="C178" i="45"/>
  <c r="I178" i="45" s="1"/>
  <c r="C168" i="45"/>
  <c r="I168" i="45" s="1"/>
  <c r="C165" i="45"/>
  <c r="I165" i="45" s="1"/>
  <c r="C162" i="45"/>
  <c r="C152" i="45"/>
  <c r="I152" i="45" s="1"/>
  <c r="C149" i="45"/>
  <c r="I149" i="45" s="1"/>
  <c r="C146" i="45"/>
  <c r="I146" i="45" s="1"/>
  <c r="C136" i="45"/>
  <c r="C133" i="45"/>
  <c r="I133" i="45" s="1"/>
  <c r="C130" i="45"/>
  <c r="I130" i="45" s="1"/>
  <c r="C120" i="45"/>
  <c r="I120" i="45" s="1"/>
  <c r="C117" i="45"/>
  <c r="C114" i="45"/>
  <c r="I114" i="45" s="1"/>
  <c r="C104" i="45"/>
  <c r="I104" i="45" s="1"/>
  <c r="C101" i="45"/>
  <c r="I101" i="45" s="1"/>
  <c r="C98" i="45"/>
  <c r="C88" i="45"/>
  <c r="I88" i="45" s="1"/>
  <c r="C85" i="45"/>
  <c r="I85" i="45" s="1"/>
  <c r="C82" i="45"/>
  <c r="I82" i="45" s="1"/>
  <c r="C72" i="45"/>
  <c r="C69" i="45"/>
  <c r="I69" i="45" s="1"/>
  <c r="C66" i="45"/>
  <c r="I66" i="45" s="1"/>
  <c r="C56" i="45"/>
  <c r="I56" i="45" s="1"/>
  <c r="C53" i="45"/>
  <c r="C50" i="45"/>
  <c r="I50" i="45" s="1"/>
  <c r="C40" i="45"/>
  <c r="I40" i="45" s="1"/>
  <c r="C37" i="45"/>
  <c r="I37" i="45" s="1"/>
  <c r="C32" i="45"/>
  <c r="C28" i="45"/>
  <c r="I28" i="45" s="1"/>
  <c r="C24" i="45"/>
  <c r="I24" i="45" s="1"/>
  <c r="C20" i="45"/>
  <c r="I20" i="45" s="1"/>
  <c r="C16" i="45"/>
  <c r="C12" i="45"/>
  <c r="I12" i="45" s="1"/>
  <c r="C10" i="45"/>
  <c r="I10" i="45" s="1"/>
  <c r="C1111" i="45"/>
  <c r="C1093" i="45"/>
  <c r="C905" i="45"/>
  <c r="C897" i="45"/>
  <c r="C889" i="45"/>
  <c r="C881" i="45"/>
  <c r="C873" i="45"/>
  <c r="C865" i="45"/>
  <c r="C857" i="45"/>
  <c r="C849" i="45"/>
  <c r="C841" i="45"/>
  <c r="C833" i="45"/>
  <c r="C825" i="45"/>
  <c r="C817" i="45"/>
  <c r="C809" i="45"/>
  <c r="C801" i="45"/>
  <c r="C793" i="45"/>
  <c r="C785" i="45"/>
  <c r="C777" i="45"/>
  <c r="C769" i="45"/>
  <c r="C899" i="45"/>
  <c r="C867" i="45"/>
  <c r="C835" i="45"/>
  <c r="C803" i="45"/>
  <c r="C771" i="45"/>
  <c r="C763" i="45"/>
  <c r="C747" i="45"/>
  <c r="C731" i="45"/>
  <c r="C715" i="45"/>
  <c r="C708" i="45"/>
  <c r="C703" i="45"/>
  <c r="C695" i="45"/>
  <c r="C687" i="45"/>
  <c r="C681" i="45"/>
  <c r="C680" i="45"/>
  <c r="C679" i="45"/>
  <c r="C678" i="45"/>
  <c r="C677" i="45"/>
  <c r="C676" i="45"/>
  <c r="C675" i="45"/>
  <c r="C674" i="45"/>
  <c r="C673" i="45"/>
  <c r="C672" i="45"/>
  <c r="C671" i="45"/>
  <c r="C670" i="45"/>
  <c r="C489" i="45"/>
  <c r="C488" i="45"/>
  <c r="C487" i="45"/>
  <c r="C486" i="45"/>
  <c r="C485" i="45"/>
  <c r="C484" i="45"/>
  <c r="C483" i="45"/>
  <c r="C482" i="45"/>
  <c r="C481" i="45"/>
  <c r="C480" i="45"/>
  <c r="C479" i="45"/>
  <c r="C478" i="45"/>
  <c r="C188" i="45"/>
  <c r="C176" i="45"/>
  <c r="I176" i="45" s="1"/>
  <c r="C173" i="45"/>
  <c r="I173" i="45" s="1"/>
  <c r="C164" i="45"/>
  <c r="I164" i="45" s="1"/>
  <c r="C144" i="45"/>
  <c r="I144" i="45" s="1"/>
  <c r="C141" i="45"/>
  <c r="I141" i="45" s="1"/>
  <c r="C132" i="45"/>
  <c r="I132" i="45" s="1"/>
  <c r="C112" i="45"/>
  <c r="I112" i="45" s="1"/>
  <c r="C109" i="45"/>
  <c r="I109" i="45" s="1"/>
  <c r="C100" i="45"/>
  <c r="I100" i="45" s="1"/>
  <c r="C80" i="45"/>
  <c r="I80" i="45" s="1"/>
  <c r="C77" i="45"/>
  <c r="I77" i="45" s="1"/>
  <c r="C68" i="45"/>
  <c r="C48" i="45"/>
  <c r="I48" i="45" s="1"/>
  <c r="C45" i="45"/>
  <c r="I45" i="45" s="1"/>
  <c r="C36" i="45"/>
  <c r="I36" i="45" s="1"/>
  <c r="C35" i="45"/>
  <c r="C27" i="45"/>
  <c r="C19" i="45"/>
  <c r="I19" i="45" s="1"/>
  <c r="C11" i="45"/>
  <c r="I11" i="45" s="1"/>
  <c r="C1108" i="45"/>
  <c r="C907" i="45"/>
  <c r="C875" i="45"/>
  <c r="C843" i="45"/>
  <c r="C811" i="45"/>
  <c r="C779" i="45"/>
  <c r="C753" i="45"/>
  <c r="C737" i="45"/>
  <c r="C721" i="45"/>
  <c r="C705" i="45"/>
  <c r="C697" i="45"/>
  <c r="C689" i="45"/>
  <c r="C525" i="45"/>
  <c r="C524" i="45"/>
  <c r="C523" i="45"/>
  <c r="C522" i="45"/>
  <c r="C521" i="45"/>
  <c r="C520" i="45"/>
  <c r="C519" i="45"/>
  <c r="C518" i="45"/>
  <c r="C517" i="45"/>
  <c r="C516" i="45"/>
  <c r="C515" i="45"/>
  <c r="C514" i="45"/>
  <c r="C185" i="45"/>
  <c r="C170" i="45"/>
  <c r="I170" i="45" s="1"/>
  <c r="C161" i="45"/>
  <c r="I161" i="45" s="1"/>
  <c r="C158" i="45"/>
  <c r="I158" i="45" s="1"/>
  <c r="C138" i="45"/>
  <c r="C129" i="45"/>
  <c r="I129" i="45" s="1"/>
  <c r="C126" i="45"/>
  <c r="I126" i="45" s="1"/>
  <c r="C106" i="45"/>
  <c r="I106" i="45" s="1"/>
  <c r="C97" i="45"/>
  <c r="C94" i="45"/>
  <c r="I94" i="45" s="1"/>
  <c r="C74" i="45"/>
  <c r="I74" i="45" s="1"/>
  <c r="C65" i="45"/>
  <c r="I65" i="45" s="1"/>
  <c r="C62" i="45"/>
  <c r="C42" i="45"/>
  <c r="I42" i="45" s="1"/>
  <c r="C34" i="45"/>
  <c r="I34" i="45" s="1"/>
  <c r="C26" i="45"/>
  <c r="I26" i="45" s="1"/>
  <c r="C18" i="45"/>
  <c r="C883" i="45"/>
  <c r="C851" i="45"/>
  <c r="C819" i="45"/>
  <c r="C787" i="45"/>
  <c r="C755" i="45"/>
  <c r="C739" i="45"/>
  <c r="C723" i="45"/>
  <c r="C699" i="45"/>
  <c r="C691" i="45"/>
  <c r="C683" i="45"/>
  <c r="C585" i="45"/>
  <c r="C584" i="45"/>
  <c r="C583" i="45"/>
  <c r="C582" i="45"/>
  <c r="C581" i="45"/>
  <c r="C580" i="45"/>
  <c r="C579" i="45"/>
  <c r="C578" i="45"/>
  <c r="C577" i="45"/>
  <c r="C576" i="45"/>
  <c r="C575" i="45"/>
  <c r="C574" i="45"/>
  <c r="C393" i="45"/>
  <c r="C392" i="45"/>
  <c r="C391" i="45"/>
  <c r="C390" i="45"/>
  <c r="C389" i="45"/>
  <c r="C388" i="45"/>
  <c r="C387" i="45"/>
  <c r="C386" i="45"/>
  <c r="C385" i="45"/>
  <c r="C384" i="45"/>
  <c r="C383" i="45"/>
  <c r="C382" i="45"/>
  <c r="C180" i="45"/>
  <c r="I180" i="45" s="1"/>
  <c r="C160" i="45"/>
  <c r="C157" i="45"/>
  <c r="I157" i="45" s="1"/>
  <c r="C148" i="45"/>
  <c r="I148" i="45" s="1"/>
  <c r="C128" i="45"/>
  <c r="I128" i="45" s="1"/>
  <c r="C125" i="45"/>
  <c r="C116" i="45"/>
  <c r="I116" i="45" s="1"/>
  <c r="C96" i="45"/>
  <c r="I96" i="45" s="1"/>
  <c r="C93" i="45"/>
  <c r="I93" i="45" s="1"/>
  <c r="C84" i="45"/>
  <c r="C64" i="45"/>
  <c r="C61" i="45"/>
  <c r="I61" i="45" s="1"/>
  <c r="C52" i="45"/>
  <c r="I52" i="45" s="1"/>
  <c r="C31" i="45"/>
  <c r="C23" i="45"/>
  <c r="I23" i="45" s="1"/>
  <c r="C15" i="45"/>
  <c r="I15" i="45" s="1"/>
  <c r="H1340" i="45"/>
  <c r="H1338" i="45"/>
  <c r="H1336" i="45"/>
  <c r="H1334" i="45"/>
  <c r="H1332" i="45"/>
  <c r="H1330" i="45"/>
  <c r="H1328" i="45"/>
  <c r="H1326" i="45"/>
  <c r="H1324" i="45"/>
  <c r="H1322" i="45"/>
  <c r="H1320" i="45"/>
  <c r="H1318" i="45"/>
  <c r="H1316" i="45"/>
  <c r="H1314" i="45"/>
  <c r="H1312" i="45"/>
  <c r="H1310" i="45"/>
  <c r="H1308" i="45"/>
  <c r="H1306" i="45"/>
  <c r="H1304" i="45"/>
  <c r="H1302" i="45"/>
  <c r="H1300" i="45"/>
  <c r="H1298" i="45"/>
  <c r="H1296" i="45"/>
  <c r="H1294" i="45"/>
  <c r="H1292" i="45"/>
  <c r="H1290" i="45"/>
  <c r="H1288" i="45"/>
  <c r="H1286" i="45"/>
  <c r="H1284" i="45"/>
  <c r="H1335" i="45"/>
  <c r="H1327" i="45"/>
  <c r="H1319" i="45"/>
  <c r="H1311" i="45"/>
  <c r="H1303" i="45"/>
  <c r="H1295" i="45"/>
  <c r="H1287" i="45"/>
  <c r="H1282" i="45"/>
  <c r="H1279" i="45"/>
  <c r="H1274" i="45"/>
  <c r="H1271" i="45"/>
  <c r="H1266" i="45"/>
  <c r="H1263" i="45"/>
  <c r="H1258" i="45"/>
  <c r="H1333" i="45"/>
  <c r="H1325" i="45"/>
  <c r="H1309" i="45"/>
  <c r="H1301" i="45"/>
  <c r="H1285" i="45"/>
  <c r="H1280" i="45"/>
  <c r="H1277" i="45"/>
  <c r="H1272" i="45"/>
  <c r="H1264" i="45"/>
  <c r="H1261" i="45"/>
  <c r="H1256" i="45"/>
  <c r="H1254" i="45"/>
  <c r="H1252" i="45"/>
  <c r="H1250" i="45"/>
  <c r="H1248" i="45"/>
  <c r="H1246" i="45"/>
  <c r="H1244" i="45"/>
  <c r="H1242" i="45"/>
  <c r="H1240" i="45"/>
  <c r="H1238" i="45"/>
  <c r="H1236" i="45"/>
  <c r="H1234" i="45"/>
  <c r="H1232" i="45"/>
  <c r="H1230" i="45"/>
  <c r="H1228" i="45"/>
  <c r="H1226" i="45"/>
  <c r="H1224" i="45"/>
  <c r="H1222" i="45"/>
  <c r="H1220" i="45"/>
  <c r="H1218" i="45"/>
  <c r="H1216" i="45"/>
  <c r="H1214" i="45"/>
  <c r="H1212" i="45"/>
  <c r="H1210" i="45"/>
  <c r="H1208" i="45"/>
  <c r="H1206" i="45"/>
  <c r="H1204" i="45"/>
  <c r="H1202" i="45"/>
  <c r="H1200" i="45"/>
  <c r="H1198" i="45"/>
  <c r="H1196" i="45"/>
  <c r="H1194" i="45"/>
  <c r="H1192" i="45"/>
  <c r="H1190" i="45"/>
  <c r="H1188" i="45"/>
  <c r="H1186" i="45"/>
  <c r="H1184" i="45"/>
  <c r="H1182" i="45"/>
  <c r="H1180" i="45"/>
  <c r="H1178" i="45"/>
  <c r="H1176" i="45"/>
  <c r="H1174" i="45"/>
  <c r="H1172" i="45"/>
  <c r="H1170" i="45"/>
  <c r="H1168" i="45"/>
  <c r="H1166" i="45"/>
  <c r="H1164" i="45"/>
  <c r="H1162" i="45"/>
  <c r="H1160" i="45"/>
  <c r="H1331" i="45"/>
  <c r="H1315" i="45"/>
  <c r="H1299" i="45"/>
  <c r="H1283" i="45"/>
  <c r="H1267" i="45"/>
  <c r="H1265" i="45"/>
  <c r="H1158" i="45"/>
  <c r="H1156" i="45"/>
  <c r="H1154" i="45"/>
  <c r="H1152" i="45"/>
  <c r="H1150" i="45"/>
  <c r="H1148" i="45"/>
  <c r="H1146" i="45"/>
  <c r="H1144" i="45"/>
  <c r="H1142" i="45"/>
  <c r="H1140" i="45"/>
  <c r="H1138" i="45"/>
  <c r="H1136" i="45"/>
  <c r="H1134" i="45"/>
  <c r="H1132" i="45"/>
  <c r="H1130" i="45"/>
  <c r="H1128" i="45"/>
  <c r="H1126" i="45"/>
  <c r="H1124" i="45"/>
  <c r="H1122" i="45"/>
  <c r="H1120" i="45"/>
  <c r="H1118" i="45"/>
  <c r="H1116" i="45"/>
  <c r="H1114" i="45"/>
  <c r="H1112" i="45"/>
  <c r="H1110" i="45"/>
  <c r="H1108" i="45"/>
  <c r="H1106" i="45"/>
  <c r="H1104" i="45"/>
  <c r="H1102" i="45"/>
  <c r="H1100" i="45"/>
  <c r="H1098" i="45"/>
  <c r="H1096" i="45"/>
  <c r="H1094" i="45"/>
  <c r="H1092" i="45"/>
  <c r="H1313" i="45"/>
  <c r="H1297" i="45"/>
  <c r="H1270" i="45"/>
  <c r="H1268" i="45"/>
  <c r="H1323" i="45"/>
  <c r="H1291" i="45"/>
  <c r="H1278" i="45"/>
  <c r="H1276" i="45"/>
  <c r="H1251" i="45"/>
  <c r="H1243" i="45"/>
  <c r="H1235" i="45"/>
  <c r="H1227" i="45"/>
  <c r="H1219" i="45"/>
  <c r="H1211" i="45"/>
  <c r="H1203" i="45"/>
  <c r="H1195" i="45"/>
  <c r="H1187" i="45"/>
  <c r="H1179" i="45"/>
  <c r="H1171" i="45"/>
  <c r="H1163" i="45"/>
  <c r="H1147" i="45"/>
  <c r="H1139" i="45"/>
  <c r="H1131" i="45"/>
  <c r="H1123" i="45"/>
  <c r="H1115" i="45"/>
  <c r="H1107" i="45"/>
  <c r="H1099" i="45"/>
  <c r="H1091" i="45"/>
  <c r="H1087" i="45"/>
  <c r="H1085" i="45"/>
  <c r="H1083" i="45"/>
  <c r="H1081" i="45"/>
  <c r="H1079" i="45"/>
  <c r="H1075" i="45"/>
  <c r="H1073" i="45"/>
  <c r="H1071" i="45"/>
  <c r="H1069" i="45"/>
  <c r="H1067" i="45"/>
  <c r="H1063" i="45"/>
  <c r="H1061" i="45"/>
  <c r="H1059" i="45"/>
  <c r="H1057" i="45"/>
  <c r="H1055" i="45"/>
  <c r="H1051" i="45"/>
  <c r="H1049" i="45"/>
  <c r="H1047" i="45"/>
  <c r="H1045" i="45"/>
  <c r="H1043" i="45"/>
  <c r="H1039" i="45"/>
  <c r="H1037" i="45"/>
  <c r="H1035" i="45"/>
  <c r="H1033" i="45"/>
  <c r="H1031" i="45"/>
  <c r="H1027" i="45"/>
  <c r="H1025" i="45"/>
  <c r="H1023" i="45"/>
  <c r="H1021" i="45"/>
  <c r="H1019" i="45"/>
  <c r="H1015" i="45"/>
  <c r="H1013" i="45"/>
  <c r="H1011" i="45"/>
  <c r="H1009" i="45"/>
  <c r="H1007" i="45"/>
  <c r="H1003" i="45"/>
  <c r="H1001" i="45"/>
  <c r="H999" i="45"/>
  <c r="H997" i="45"/>
  <c r="H995" i="45"/>
  <c r="H991" i="45"/>
  <c r="H989" i="45"/>
  <c r="H987" i="45"/>
  <c r="H985" i="45"/>
  <c r="H983" i="45"/>
  <c r="H979" i="45"/>
  <c r="H977" i="45"/>
  <c r="H975" i="45"/>
  <c r="H973" i="45"/>
  <c r="H971" i="45"/>
  <c r="H967" i="45"/>
  <c r="H965" i="45"/>
  <c r="H963" i="45"/>
  <c r="H961" i="45"/>
  <c r="H959" i="45"/>
  <c r="H955" i="45"/>
  <c r="H953" i="45"/>
  <c r="H951" i="45"/>
  <c r="H949" i="45"/>
  <c r="H947" i="45"/>
  <c r="H943" i="45"/>
  <c r="H941" i="45"/>
  <c r="H939" i="45"/>
  <c r="H937" i="45"/>
  <c r="H935" i="45"/>
  <c r="H931" i="45"/>
  <c r="H929" i="45"/>
  <c r="H927" i="45"/>
  <c r="H925" i="45"/>
  <c r="H923" i="45"/>
  <c r="H919" i="45"/>
  <c r="H917" i="45"/>
  <c r="H915" i="45"/>
  <c r="H913" i="45"/>
  <c r="H911" i="45"/>
  <c r="H1321" i="45"/>
  <c r="H1289" i="45"/>
  <c r="H1259" i="45"/>
  <c r="H1249" i="45"/>
  <c r="H1241" i="45"/>
  <c r="H1225" i="45"/>
  <c r="H1217" i="45"/>
  <c r="H1201" i="45"/>
  <c r="H1193" i="45"/>
  <c r="H1177" i="45"/>
  <c r="H1169" i="45"/>
  <c r="H1141" i="45"/>
  <c r="H1133" i="45"/>
  <c r="H1117" i="45"/>
  <c r="H1109" i="45"/>
  <c r="H1093" i="45"/>
  <c r="H1307" i="45"/>
  <c r="H1255" i="45"/>
  <c r="H1239" i="45"/>
  <c r="H1223" i="45"/>
  <c r="H1207" i="45"/>
  <c r="H1191" i="45"/>
  <c r="H1175" i="45"/>
  <c r="H1159" i="45"/>
  <c r="H1157" i="45"/>
  <c r="H1155" i="45"/>
  <c r="H1153" i="45"/>
  <c r="H1151" i="45"/>
  <c r="H1135" i="45"/>
  <c r="H1119" i="45"/>
  <c r="H1103" i="45"/>
  <c r="H1275" i="45"/>
  <c r="H1262" i="45"/>
  <c r="H1253" i="45"/>
  <c r="H1237" i="45"/>
  <c r="H1205" i="45"/>
  <c r="H1189" i="45"/>
  <c r="H1145" i="45"/>
  <c r="H1129" i="45"/>
  <c r="H1097" i="45"/>
  <c r="H907" i="45"/>
  <c r="H905" i="45"/>
  <c r="H903" i="45"/>
  <c r="H901" i="45"/>
  <c r="H899" i="45"/>
  <c r="H895" i="45"/>
  <c r="H893" i="45"/>
  <c r="H891" i="45"/>
  <c r="H889" i="45"/>
  <c r="H887" i="45"/>
  <c r="H883" i="45"/>
  <c r="H881" i="45"/>
  <c r="H879" i="45"/>
  <c r="H877" i="45"/>
  <c r="H875" i="45"/>
  <c r="H871" i="45"/>
  <c r="H869" i="45"/>
  <c r="H867" i="45"/>
  <c r="H865" i="45"/>
  <c r="H863" i="45"/>
  <c r="H859" i="45"/>
  <c r="H857" i="45"/>
  <c r="H855" i="45"/>
  <c r="H853" i="45"/>
  <c r="H851" i="45"/>
  <c r="H847" i="45"/>
  <c r="H845" i="45"/>
  <c r="H843" i="45"/>
  <c r="H841" i="45"/>
  <c r="H839" i="45"/>
  <c r="H835" i="45"/>
  <c r="H833" i="45"/>
  <c r="H831" i="45"/>
  <c r="H829" i="45"/>
  <c r="H827" i="45"/>
  <c r="H823" i="45"/>
  <c r="H821" i="45"/>
  <c r="H819" i="45"/>
  <c r="H817" i="45"/>
  <c r="H815" i="45"/>
  <c r="H811" i="45"/>
  <c r="H809" i="45"/>
  <c r="H807" i="45"/>
  <c r="H805" i="45"/>
  <c r="H803" i="45"/>
  <c r="H799" i="45"/>
  <c r="H797" i="45"/>
  <c r="H795" i="45"/>
  <c r="H793" i="45"/>
  <c r="H791" i="45"/>
  <c r="H787" i="45"/>
  <c r="H785" i="45"/>
  <c r="H783" i="45"/>
  <c r="H781" i="45"/>
  <c r="H779" i="45"/>
  <c r="H775" i="45"/>
  <c r="H773" i="45"/>
  <c r="H771" i="45"/>
  <c r="H769" i="45"/>
  <c r="H767" i="45"/>
  <c r="H763" i="45"/>
  <c r="H761" i="45"/>
  <c r="H759" i="45"/>
  <c r="H757" i="45"/>
  <c r="H755" i="45"/>
  <c r="H751" i="45"/>
  <c r="H749" i="45"/>
  <c r="H747" i="45"/>
  <c r="H745" i="45"/>
  <c r="H743" i="45"/>
  <c r="H739" i="45"/>
  <c r="H737" i="45"/>
  <c r="H735" i="45"/>
  <c r="H733" i="45"/>
  <c r="H731" i="45"/>
  <c r="H727" i="45"/>
  <c r="H725" i="45"/>
  <c r="H723" i="45"/>
  <c r="H721" i="45"/>
  <c r="H719" i="45"/>
  <c r="H715" i="45"/>
  <c r="H713" i="45"/>
  <c r="H711" i="45"/>
  <c r="H709" i="45"/>
  <c r="H707" i="45"/>
  <c r="H1229" i="45"/>
  <c r="H1165" i="45"/>
  <c r="H1121" i="45"/>
  <c r="H910" i="45"/>
  <c r="H908" i="45"/>
  <c r="H906" i="45"/>
  <c r="H904" i="45"/>
  <c r="H902" i="45"/>
  <c r="H900" i="45"/>
  <c r="H898" i="45"/>
  <c r="H896" i="45"/>
  <c r="H894" i="45"/>
  <c r="H892" i="45"/>
  <c r="H890" i="45"/>
  <c r="H888" i="45"/>
  <c r="H886" i="45"/>
  <c r="H884" i="45"/>
  <c r="H882" i="45"/>
  <c r="H880" i="45"/>
  <c r="H878" i="45"/>
  <c r="H876" i="45"/>
  <c r="H874" i="45"/>
  <c r="H872" i="45"/>
  <c r="H870" i="45"/>
  <c r="H868" i="45"/>
  <c r="H866" i="45"/>
  <c r="H864" i="45"/>
  <c r="H862" i="45"/>
  <c r="H860" i="45"/>
  <c r="H858" i="45"/>
  <c r="H856" i="45"/>
  <c r="H854" i="45"/>
  <c r="H852" i="45"/>
  <c r="H850" i="45"/>
  <c r="H848" i="45"/>
  <c r="H846" i="45"/>
  <c r="H844" i="45"/>
  <c r="H842" i="45"/>
  <c r="H840" i="45"/>
  <c r="H838" i="45"/>
  <c r="H836" i="45"/>
  <c r="H834" i="45"/>
  <c r="H832" i="45"/>
  <c r="H830" i="45"/>
  <c r="H828" i="45"/>
  <c r="H826" i="45"/>
  <c r="H824" i="45"/>
  <c r="H822" i="45"/>
  <c r="H820" i="45"/>
  <c r="H818" i="45"/>
  <c r="H816" i="45"/>
  <c r="H814" i="45"/>
  <c r="H812" i="45"/>
  <c r="H810" i="45"/>
  <c r="H808" i="45"/>
  <c r="H806" i="45"/>
  <c r="H804" i="45"/>
  <c r="H802" i="45"/>
  <c r="H800" i="45"/>
  <c r="H798" i="45"/>
  <c r="H796" i="45"/>
  <c r="H794" i="45"/>
  <c r="H792" i="45"/>
  <c r="H790" i="45"/>
  <c r="H788" i="45"/>
  <c r="H786" i="45"/>
  <c r="H784" i="45"/>
  <c r="H782" i="45"/>
  <c r="H780" i="45"/>
  <c r="H778" i="45"/>
  <c r="H776" i="45"/>
  <c r="H774" i="45"/>
  <c r="H772" i="45"/>
  <c r="H770" i="45"/>
  <c r="H768" i="45"/>
  <c r="H766" i="45"/>
  <c r="H764" i="45"/>
  <c r="H762" i="45"/>
  <c r="H760" i="45"/>
  <c r="H758" i="45"/>
  <c r="H756" i="45"/>
  <c r="H754" i="45"/>
  <c r="H752" i="45"/>
  <c r="H750" i="45"/>
  <c r="H748" i="45"/>
  <c r="H746" i="45"/>
  <c r="H744" i="45"/>
  <c r="H742" i="45"/>
  <c r="H740" i="45"/>
  <c r="H738" i="45"/>
  <c r="H736" i="45"/>
  <c r="H734" i="45"/>
  <c r="H732" i="45"/>
  <c r="H730" i="45"/>
  <c r="H728" i="45"/>
  <c r="H726" i="45"/>
  <c r="H724" i="45"/>
  <c r="H722" i="45"/>
  <c r="H720" i="45"/>
  <c r="H718" i="45"/>
  <c r="H716" i="45"/>
  <c r="H714" i="45"/>
  <c r="H712" i="45"/>
  <c r="H710" i="45"/>
  <c r="H706" i="45"/>
  <c r="H644" i="45"/>
  <c r="H643" i="45"/>
  <c r="H642" i="45"/>
  <c r="H641" i="45"/>
  <c r="H640" i="45"/>
  <c r="H639" i="45"/>
  <c r="H638" i="45"/>
  <c r="H637" i="45"/>
  <c r="H636" i="45"/>
  <c r="H635" i="45"/>
  <c r="H634" i="45"/>
  <c r="H596" i="45"/>
  <c r="H595" i="45"/>
  <c r="H594" i="45"/>
  <c r="H593" i="45"/>
  <c r="H592" i="45"/>
  <c r="H591" i="45"/>
  <c r="H590" i="45"/>
  <c r="H589" i="45"/>
  <c r="H588" i="45"/>
  <c r="H587" i="45"/>
  <c r="H586" i="45"/>
  <c r="H548" i="45"/>
  <c r="H547" i="45"/>
  <c r="H546" i="45"/>
  <c r="H545" i="45"/>
  <c r="H544" i="45"/>
  <c r="H543" i="45"/>
  <c r="H542" i="45"/>
  <c r="H541" i="45"/>
  <c r="H540" i="45"/>
  <c r="H539" i="45"/>
  <c r="H538" i="45"/>
  <c r="H500" i="45"/>
  <c r="H499" i="45"/>
  <c r="H498" i="45"/>
  <c r="H497" i="45"/>
  <c r="H496" i="45"/>
  <c r="H495" i="45"/>
  <c r="H494" i="45"/>
  <c r="H493" i="45"/>
  <c r="H492" i="45"/>
  <c r="H491" i="45"/>
  <c r="H490" i="45"/>
  <c r="H452" i="45"/>
  <c r="H451" i="45"/>
  <c r="H450" i="45"/>
  <c r="H449" i="45"/>
  <c r="H448" i="45"/>
  <c r="H447" i="45"/>
  <c r="H446" i="45"/>
  <c r="H445" i="45"/>
  <c r="H444" i="45"/>
  <c r="H443" i="45"/>
  <c r="H442" i="45"/>
  <c r="H404" i="45"/>
  <c r="H403" i="45"/>
  <c r="H402" i="45"/>
  <c r="H401" i="45"/>
  <c r="H400" i="45"/>
  <c r="H399" i="45"/>
  <c r="H398" i="45"/>
  <c r="H397" i="45"/>
  <c r="H396" i="45"/>
  <c r="H395" i="45"/>
  <c r="H394" i="45"/>
  <c r="H187" i="45"/>
  <c r="I186" i="45"/>
  <c r="H183" i="45"/>
  <c r="H179" i="45"/>
  <c r="H175" i="45"/>
  <c r="I174" i="45"/>
  <c r="H171" i="45"/>
  <c r="H167" i="45"/>
  <c r="H163" i="45"/>
  <c r="I162" i="45"/>
  <c r="H159" i="45"/>
  <c r="H155" i="45"/>
  <c r="H151" i="45"/>
  <c r="I150" i="45"/>
  <c r="H147" i="45"/>
  <c r="H143" i="45"/>
  <c r="H139" i="45"/>
  <c r="I138" i="45"/>
  <c r="H135" i="45"/>
  <c r="H131" i="45"/>
  <c r="H127" i="45"/>
  <c r="H123" i="45"/>
  <c r="I122" i="45"/>
  <c r="H119" i="45"/>
  <c r="H115" i="45"/>
  <c r="H111" i="45"/>
  <c r="H107" i="45"/>
  <c r="H103" i="45"/>
  <c r="H99" i="45"/>
  <c r="I98" i="45"/>
  <c r="H95" i="45"/>
  <c r="H91" i="45"/>
  <c r="H87" i="45"/>
  <c r="I86" i="45"/>
  <c r="H83" i="45"/>
  <c r="H79" i="45"/>
  <c r="I78" i="45"/>
  <c r="H75" i="45"/>
  <c r="H71" i="45"/>
  <c r="H67" i="45"/>
  <c r="H63" i="45"/>
  <c r="I62" i="45"/>
  <c r="H59" i="45"/>
  <c r="H55" i="45"/>
  <c r="I54" i="45"/>
  <c r="H51" i="45"/>
  <c r="H47" i="45"/>
  <c r="I46" i="45"/>
  <c r="H43" i="45"/>
  <c r="H39" i="45"/>
  <c r="H35" i="45"/>
  <c r="H1247" i="45"/>
  <c r="H1215" i="45"/>
  <c r="H1183" i="45"/>
  <c r="H1143" i="45"/>
  <c r="H1111" i="45"/>
  <c r="H708" i="45"/>
  <c r="H703" i="45"/>
  <c r="H701" i="45"/>
  <c r="H699" i="45"/>
  <c r="H697" i="45"/>
  <c r="H695" i="45"/>
  <c r="H691" i="45"/>
  <c r="H689" i="45"/>
  <c r="H687" i="45"/>
  <c r="H685" i="45"/>
  <c r="H683" i="45"/>
  <c r="H656" i="45"/>
  <c r="H655" i="45"/>
  <c r="H654" i="45"/>
  <c r="H653" i="45"/>
  <c r="H652" i="45"/>
  <c r="H651" i="45"/>
  <c r="H650" i="45"/>
  <c r="H649" i="45"/>
  <c r="H648" i="45"/>
  <c r="H647" i="45"/>
  <c r="H646" i="45"/>
  <c r="H608" i="45"/>
  <c r="H607" i="45"/>
  <c r="H606" i="45"/>
  <c r="H605" i="45"/>
  <c r="H604" i="45"/>
  <c r="H603" i="45"/>
  <c r="H602" i="45"/>
  <c r="H601" i="45"/>
  <c r="H600" i="45"/>
  <c r="H599" i="45"/>
  <c r="H598" i="45"/>
  <c r="H560" i="45"/>
  <c r="H559" i="45"/>
  <c r="H558" i="45"/>
  <c r="H557" i="45"/>
  <c r="H556" i="45"/>
  <c r="H555" i="45"/>
  <c r="H554" i="45"/>
  <c r="H553" i="45"/>
  <c r="H552" i="45"/>
  <c r="H551" i="45"/>
  <c r="H550" i="45"/>
  <c r="H512" i="45"/>
  <c r="H511" i="45"/>
  <c r="H510" i="45"/>
  <c r="H509" i="45"/>
  <c r="H508" i="45"/>
  <c r="H507" i="45"/>
  <c r="H506" i="45"/>
  <c r="H505" i="45"/>
  <c r="H504" i="45"/>
  <c r="H503" i="45"/>
  <c r="H502" i="45"/>
  <c r="H464" i="45"/>
  <c r="H463" i="45"/>
  <c r="H462" i="45"/>
  <c r="H461" i="45"/>
  <c r="H460" i="45"/>
  <c r="H459" i="45"/>
  <c r="H458" i="45"/>
  <c r="H457" i="45"/>
  <c r="H456" i="45"/>
  <c r="H455" i="45"/>
  <c r="H454" i="45"/>
  <c r="H416" i="45"/>
  <c r="H415" i="45"/>
  <c r="H414" i="45"/>
  <c r="H413" i="45"/>
  <c r="H412" i="45"/>
  <c r="H411" i="45"/>
  <c r="H410" i="45"/>
  <c r="H409" i="45"/>
  <c r="H408" i="45"/>
  <c r="H407" i="45"/>
  <c r="H406" i="45"/>
  <c r="H368" i="45"/>
  <c r="H367" i="45"/>
  <c r="H366" i="45"/>
  <c r="H365" i="45"/>
  <c r="H364" i="45"/>
  <c r="H363" i="45"/>
  <c r="H362" i="45"/>
  <c r="H361" i="45"/>
  <c r="H360" i="45"/>
  <c r="H359" i="45"/>
  <c r="H358" i="45"/>
  <c r="H356" i="45"/>
  <c r="H355" i="45"/>
  <c r="H354" i="45"/>
  <c r="H353" i="45"/>
  <c r="H352" i="45"/>
  <c r="H351" i="45"/>
  <c r="H350" i="45"/>
  <c r="H349" i="45"/>
  <c r="H348" i="45"/>
  <c r="H347" i="45"/>
  <c r="H346" i="45"/>
  <c r="H344" i="45"/>
  <c r="H343" i="45"/>
  <c r="H342" i="45"/>
  <c r="H341" i="45"/>
  <c r="H340" i="45"/>
  <c r="H339" i="45"/>
  <c r="H338" i="45"/>
  <c r="H337" i="45"/>
  <c r="H336" i="45"/>
  <c r="H335" i="45"/>
  <c r="H334" i="45"/>
  <c r="H332" i="45"/>
  <c r="H331" i="45"/>
  <c r="H330" i="45"/>
  <c r="H329" i="45"/>
  <c r="H328" i="45"/>
  <c r="H327" i="45"/>
  <c r="H326" i="45"/>
  <c r="H325" i="45"/>
  <c r="H324" i="45"/>
  <c r="H323" i="45"/>
  <c r="H322" i="45"/>
  <c r="H320" i="45"/>
  <c r="H319" i="45"/>
  <c r="H318" i="45"/>
  <c r="H317" i="45"/>
  <c r="H316" i="45"/>
  <c r="H315" i="45"/>
  <c r="H314" i="45"/>
  <c r="H313" i="45"/>
  <c r="H312" i="45"/>
  <c r="H311" i="45"/>
  <c r="H310" i="45"/>
  <c r="H309" i="45"/>
  <c r="H308" i="45"/>
  <c r="H307" i="45"/>
  <c r="H306" i="45"/>
  <c r="H305" i="45"/>
  <c r="H304" i="45"/>
  <c r="H303" i="45"/>
  <c r="H302" i="45"/>
  <c r="H301" i="45"/>
  <c r="H300" i="45"/>
  <c r="H299" i="45"/>
  <c r="H298" i="45"/>
  <c r="H297" i="45"/>
  <c r="H296" i="45"/>
  <c r="H295" i="45"/>
  <c r="H294" i="45"/>
  <c r="H293" i="45"/>
  <c r="H292" i="45"/>
  <c r="H291" i="45"/>
  <c r="H290" i="45"/>
  <c r="H289" i="45"/>
  <c r="H288" i="45"/>
  <c r="H287" i="45"/>
  <c r="H286" i="45"/>
  <c r="H285" i="45"/>
  <c r="H284" i="45"/>
  <c r="H283" i="45"/>
  <c r="H282" i="45"/>
  <c r="H281" i="45"/>
  <c r="H280" i="45"/>
  <c r="H279" i="45"/>
  <c r="H278" i="45"/>
  <c r="H277" i="45"/>
  <c r="H276" i="45"/>
  <c r="H275" i="45"/>
  <c r="H274" i="45"/>
  <c r="H273" i="45"/>
  <c r="H272" i="45"/>
  <c r="H271" i="45"/>
  <c r="H270" i="45"/>
  <c r="H269" i="45"/>
  <c r="H268" i="45"/>
  <c r="H267" i="45"/>
  <c r="H266" i="45"/>
  <c r="H265" i="45"/>
  <c r="H264" i="45"/>
  <c r="H263" i="45"/>
  <c r="H262" i="45"/>
  <c r="H261" i="45"/>
  <c r="H260" i="45"/>
  <c r="H259" i="45"/>
  <c r="H258" i="45"/>
  <c r="H257" i="45"/>
  <c r="H256" i="45"/>
  <c r="H255" i="45"/>
  <c r="H254" i="45"/>
  <c r="H253" i="45"/>
  <c r="H252" i="45"/>
  <c r="H251" i="45"/>
  <c r="H250" i="45"/>
  <c r="H249" i="45"/>
  <c r="H248" i="45"/>
  <c r="H247" i="45"/>
  <c r="H246" i="45"/>
  <c r="H245" i="45"/>
  <c r="H244" i="45"/>
  <c r="H243" i="45"/>
  <c r="H242" i="45"/>
  <c r="H241" i="45"/>
  <c r="H240" i="45"/>
  <c r="H239" i="45"/>
  <c r="H238" i="45"/>
  <c r="H237" i="45"/>
  <c r="H236" i="45"/>
  <c r="H235" i="45"/>
  <c r="H234" i="45"/>
  <c r="H233" i="45"/>
  <c r="H232" i="45"/>
  <c r="H231" i="45"/>
  <c r="H230" i="45"/>
  <c r="H229" i="45"/>
  <c r="H228" i="45"/>
  <c r="H227" i="45"/>
  <c r="H226" i="45"/>
  <c r="H225" i="45"/>
  <c r="H224" i="45"/>
  <c r="H223" i="45"/>
  <c r="H222" i="45"/>
  <c r="H221" i="45"/>
  <c r="H220" i="45"/>
  <c r="H219" i="45"/>
  <c r="H218" i="45"/>
  <c r="H217" i="45"/>
  <c r="H216" i="45"/>
  <c r="H215" i="45"/>
  <c r="H214" i="45"/>
  <c r="H213" i="45"/>
  <c r="H212" i="45"/>
  <c r="H211" i="45"/>
  <c r="H210" i="45"/>
  <c r="H209" i="45"/>
  <c r="H208" i="45"/>
  <c r="H207" i="45"/>
  <c r="H206" i="45"/>
  <c r="H205" i="45"/>
  <c r="H204" i="45"/>
  <c r="H203" i="45"/>
  <c r="H202" i="45"/>
  <c r="H201" i="45"/>
  <c r="H200" i="45"/>
  <c r="H199" i="45"/>
  <c r="H198" i="45"/>
  <c r="H197" i="45"/>
  <c r="H196" i="45"/>
  <c r="H195" i="45"/>
  <c r="H194" i="45"/>
  <c r="H193" i="45"/>
  <c r="H192" i="45"/>
  <c r="H191" i="45"/>
  <c r="H190" i="45"/>
  <c r="H186" i="45"/>
  <c r="I185" i="45"/>
  <c r="H182" i="45"/>
  <c r="I181" i="45"/>
  <c r="H1273" i="45"/>
  <c r="H1213" i="45"/>
  <c r="H1105" i="45"/>
  <c r="H1088" i="45"/>
  <c r="H1080" i="45"/>
  <c r="H1072" i="45"/>
  <c r="H1064" i="45"/>
  <c r="H1056" i="45"/>
  <c r="H1048" i="45"/>
  <c r="H1040" i="45"/>
  <c r="H1032" i="45"/>
  <c r="H1024" i="45"/>
  <c r="H1016" i="45"/>
  <c r="H1008" i="45"/>
  <c r="H1000" i="45"/>
  <c r="H992" i="45"/>
  <c r="H984" i="45"/>
  <c r="H976" i="45"/>
  <c r="H968" i="45"/>
  <c r="H960" i="45"/>
  <c r="H952" i="45"/>
  <c r="H944" i="45"/>
  <c r="H936" i="45"/>
  <c r="H928" i="45"/>
  <c r="H920" i="45"/>
  <c r="H912" i="45"/>
  <c r="H704" i="45"/>
  <c r="H702" i="45"/>
  <c r="H700" i="45"/>
  <c r="H698" i="45"/>
  <c r="H696" i="45"/>
  <c r="H694" i="45"/>
  <c r="H692" i="45"/>
  <c r="H690" i="45"/>
  <c r="H688" i="45"/>
  <c r="H686" i="45"/>
  <c r="H684" i="45"/>
  <c r="H682" i="45"/>
  <c r="H632" i="45"/>
  <c r="H631" i="45"/>
  <c r="H630" i="45"/>
  <c r="H629" i="45"/>
  <c r="H628" i="45"/>
  <c r="H627" i="45"/>
  <c r="H626" i="45"/>
  <c r="H625" i="45"/>
  <c r="H624" i="45"/>
  <c r="H623" i="45"/>
  <c r="H622" i="45"/>
  <c r="H536" i="45"/>
  <c r="H535" i="45"/>
  <c r="H534" i="45"/>
  <c r="H533" i="45"/>
  <c r="H532" i="45"/>
  <c r="H531" i="45"/>
  <c r="H530" i="45"/>
  <c r="H529" i="45"/>
  <c r="H528" i="45"/>
  <c r="H527" i="45"/>
  <c r="H526" i="45"/>
  <c r="H440" i="45"/>
  <c r="H439" i="45"/>
  <c r="H438" i="45"/>
  <c r="H437" i="45"/>
  <c r="H436" i="45"/>
  <c r="H435" i="45"/>
  <c r="H434" i="45"/>
  <c r="H433" i="45"/>
  <c r="H432" i="45"/>
  <c r="H431" i="45"/>
  <c r="H430" i="45"/>
  <c r="H184" i="45"/>
  <c r="H172" i="45"/>
  <c r="H169" i="45"/>
  <c r="H166" i="45"/>
  <c r="H156" i="45"/>
  <c r="H153" i="45"/>
  <c r="H150" i="45"/>
  <c r="H140" i="45"/>
  <c r="H137" i="45"/>
  <c r="I136" i="45"/>
  <c r="H134" i="45"/>
  <c r="H124" i="45"/>
  <c r="H121" i="45"/>
  <c r="H118" i="45"/>
  <c r="I117" i="45"/>
  <c r="H108" i="45"/>
  <c r="H105" i="45"/>
  <c r="H102" i="45"/>
  <c r="H92" i="45"/>
  <c r="H89" i="45"/>
  <c r="H86" i="45"/>
  <c r="H76" i="45"/>
  <c r="H73" i="45"/>
  <c r="I72" i="45"/>
  <c r="H70" i="45"/>
  <c r="H60" i="45"/>
  <c r="H57" i="45"/>
  <c r="H54" i="45"/>
  <c r="I53" i="45"/>
  <c r="H44" i="45"/>
  <c r="I43" i="45"/>
  <c r="H41" i="45"/>
  <c r="H38" i="45"/>
  <c r="H33" i="45"/>
  <c r="I32" i="45"/>
  <c r="H29" i="45"/>
  <c r="H25" i="45"/>
  <c r="H21" i="45"/>
  <c r="H17" i="45"/>
  <c r="I16" i="45"/>
  <c r="H13" i="45"/>
  <c r="H10" i="45"/>
  <c r="H1199" i="45"/>
  <c r="H1095" i="45"/>
  <c r="H1086" i="45"/>
  <c r="H1078" i="45"/>
  <c r="H1070" i="45"/>
  <c r="H1062" i="45"/>
  <c r="H1054" i="45"/>
  <c r="H1046" i="45"/>
  <c r="H1038" i="45"/>
  <c r="H1030" i="45"/>
  <c r="H1022" i="45"/>
  <c r="H1014" i="45"/>
  <c r="H1006" i="45"/>
  <c r="H998" i="45"/>
  <c r="H990" i="45"/>
  <c r="H982" i="45"/>
  <c r="H974" i="45"/>
  <c r="H966" i="45"/>
  <c r="H958" i="45"/>
  <c r="H950" i="45"/>
  <c r="H942" i="45"/>
  <c r="H934" i="45"/>
  <c r="H926" i="45"/>
  <c r="H918" i="45"/>
  <c r="H668" i="45"/>
  <c r="H667" i="45"/>
  <c r="H666" i="45"/>
  <c r="H665" i="45"/>
  <c r="H664" i="45"/>
  <c r="H663" i="45"/>
  <c r="H662" i="45"/>
  <c r="H661" i="45"/>
  <c r="H660" i="45"/>
  <c r="H659" i="45"/>
  <c r="H658" i="45"/>
  <c r="H572" i="45"/>
  <c r="H571" i="45"/>
  <c r="H570" i="45"/>
  <c r="H569" i="45"/>
  <c r="H568" i="45"/>
  <c r="H567" i="45"/>
  <c r="H566" i="45"/>
  <c r="H565" i="45"/>
  <c r="H564" i="45"/>
  <c r="H563" i="45"/>
  <c r="H562" i="45"/>
  <c r="H476" i="45"/>
  <c r="H475" i="45"/>
  <c r="H474" i="45"/>
  <c r="H473" i="45"/>
  <c r="H472" i="45"/>
  <c r="H471" i="45"/>
  <c r="H470" i="45"/>
  <c r="H469" i="45"/>
  <c r="H468" i="45"/>
  <c r="H467" i="45"/>
  <c r="H466" i="45"/>
  <c r="H380" i="45"/>
  <c r="H379" i="45"/>
  <c r="H378" i="45"/>
  <c r="H377" i="45"/>
  <c r="H376" i="45"/>
  <c r="H375" i="45"/>
  <c r="H374" i="45"/>
  <c r="H373" i="45"/>
  <c r="H372" i="45"/>
  <c r="H371" i="45"/>
  <c r="H370" i="45"/>
  <c r="H189" i="45"/>
  <c r="I188" i="45"/>
  <c r="H181" i="45"/>
  <c r="H178" i="45"/>
  <c r="I177" i="45"/>
  <c r="H168" i="45"/>
  <c r="H165" i="45"/>
  <c r="H162" i="45"/>
  <c r="H152" i="45"/>
  <c r="H149" i="45"/>
  <c r="H146" i="45"/>
  <c r="H136" i="45"/>
  <c r="H133" i="45"/>
  <c r="H130" i="45"/>
  <c r="H120" i="45"/>
  <c r="H117" i="45"/>
  <c r="H114" i="45"/>
  <c r="H104" i="45"/>
  <c r="H101" i="45"/>
  <c r="H98" i="45"/>
  <c r="I97" i="45"/>
  <c r="H88" i="45"/>
  <c r="H85" i="45"/>
  <c r="I84" i="45"/>
  <c r="H82" i="45"/>
  <c r="I81" i="45"/>
  <c r="H72" i="45"/>
  <c r="H69" i="45"/>
  <c r="I68" i="45"/>
  <c r="H66" i="45"/>
  <c r="H56" i="45"/>
  <c r="H53" i="45"/>
  <c r="H50" i="45"/>
  <c r="H40" i="45"/>
  <c r="H37" i="45"/>
  <c r="H32" i="45"/>
  <c r="I31" i="45"/>
  <c r="H28" i="45"/>
  <c r="I27" i="45"/>
  <c r="H24" i="45"/>
  <c r="H20" i="45"/>
  <c r="H16" i="45"/>
  <c r="H12" i="45"/>
  <c r="H1339" i="45"/>
  <c r="H1181" i="45"/>
  <c r="H1084" i="45"/>
  <c r="H1076" i="45"/>
  <c r="H1068" i="45"/>
  <c r="H1060" i="45"/>
  <c r="H1052" i="45"/>
  <c r="H1044" i="45"/>
  <c r="H1036" i="45"/>
  <c r="H1028" i="45"/>
  <c r="H1020" i="45"/>
  <c r="H1012" i="45"/>
  <c r="H1004" i="45"/>
  <c r="H996" i="45"/>
  <c r="H988" i="45"/>
  <c r="H980" i="45"/>
  <c r="H972" i="45"/>
  <c r="H964" i="45"/>
  <c r="H956" i="45"/>
  <c r="H948" i="45"/>
  <c r="H940" i="45"/>
  <c r="H932" i="45"/>
  <c r="H924" i="45"/>
  <c r="H916" i="45"/>
  <c r="H1231" i="45"/>
  <c r="H1090" i="45"/>
  <c r="H1058" i="45"/>
  <c r="H1026" i="45"/>
  <c r="H994" i="45"/>
  <c r="H962" i="45"/>
  <c r="H930" i="45"/>
  <c r="H680" i="45"/>
  <c r="H679" i="45"/>
  <c r="H678" i="45"/>
  <c r="H677" i="45"/>
  <c r="H676" i="45"/>
  <c r="H675" i="45"/>
  <c r="H674" i="45"/>
  <c r="H673" i="45"/>
  <c r="H672" i="45"/>
  <c r="H671" i="45"/>
  <c r="H670" i="45"/>
  <c r="H488" i="45"/>
  <c r="H487" i="45"/>
  <c r="H486" i="45"/>
  <c r="H485" i="45"/>
  <c r="H484" i="45"/>
  <c r="H483" i="45"/>
  <c r="H482" i="45"/>
  <c r="H481" i="45"/>
  <c r="H480" i="45"/>
  <c r="H479" i="45"/>
  <c r="H478" i="45"/>
  <c r="H188" i="45"/>
  <c r="H176" i="45"/>
  <c r="I175" i="45"/>
  <c r="H173" i="45"/>
  <c r="H164" i="45"/>
  <c r="H144" i="45"/>
  <c r="I143" i="45"/>
  <c r="H141" i="45"/>
  <c r="H132" i="45"/>
  <c r="H112" i="45"/>
  <c r="I111" i="45"/>
  <c r="H109" i="45"/>
  <c r="H100" i="45"/>
  <c r="H80" i="45"/>
  <c r="I79" i="45"/>
  <c r="H77" i="45"/>
  <c r="H68" i="45"/>
  <c r="H48" i="45"/>
  <c r="I47" i="45"/>
  <c r="H45" i="45"/>
  <c r="H36" i="45"/>
  <c r="I35" i="45"/>
  <c r="H27" i="45"/>
  <c r="H19" i="45"/>
  <c r="I18" i="45"/>
  <c r="H11" i="45"/>
  <c r="H1260" i="45"/>
  <c r="H1167" i="45"/>
  <c r="H1082" i="45"/>
  <c r="H1050" i="45"/>
  <c r="H1018" i="45"/>
  <c r="H986" i="45"/>
  <c r="H954" i="45"/>
  <c r="H922" i="45"/>
  <c r="H524" i="45"/>
  <c r="H523" i="45"/>
  <c r="H522" i="45"/>
  <c r="H521" i="45"/>
  <c r="H520" i="45"/>
  <c r="H519" i="45"/>
  <c r="H518" i="45"/>
  <c r="H517" i="45"/>
  <c r="H516" i="45"/>
  <c r="H515" i="45"/>
  <c r="H514" i="45"/>
  <c r="H185" i="45"/>
  <c r="H170" i="45"/>
  <c r="I169" i="45"/>
  <c r="H161" i="45"/>
  <c r="I160" i="45"/>
  <c r="H158" i="45"/>
  <c r="H138" i="45"/>
  <c r="H129" i="45"/>
  <c r="H126" i="45"/>
  <c r="I125" i="45"/>
  <c r="H106" i="45"/>
  <c r="I105" i="45"/>
  <c r="H97" i="45"/>
  <c r="H94" i="45"/>
  <c r="H74" i="45"/>
  <c r="H65" i="45"/>
  <c r="I64" i="45"/>
  <c r="H62" i="45"/>
  <c r="H42" i="45"/>
  <c r="I41" i="45"/>
  <c r="H34" i="45"/>
  <c r="H26" i="45"/>
  <c r="I25" i="45"/>
  <c r="H18" i="45"/>
  <c r="H1337" i="45"/>
  <c r="H1127" i="45"/>
  <c r="H1074" i="45"/>
  <c r="H1042" i="45"/>
  <c r="H1010" i="45"/>
  <c r="H978" i="45"/>
  <c r="H946" i="45"/>
  <c r="H914" i="45"/>
  <c r="H584" i="45"/>
  <c r="H583" i="45"/>
  <c r="H582" i="45"/>
  <c r="H581" i="45"/>
  <c r="H580" i="45"/>
  <c r="H579" i="45"/>
  <c r="H578" i="45"/>
  <c r="H577" i="45"/>
  <c r="H576" i="45"/>
  <c r="H575" i="45"/>
  <c r="H574" i="45"/>
  <c r="H392" i="45"/>
  <c r="H391" i="45"/>
  <c r="H390" i="45"/>
  <c r="H389" i="45"/>
  <c r="H388" i="45"/>
  <c r="H387" i="45"/>
  <c r="H386" i="45"/>
  <c r="H385" i="45"/>
  <c r="H384" i="45"/>
  <c r="H383" i="45"/>
  <c r="H382" i="45"/>
  <c r="H180" i="45"/>
  <c r="H160" i="45"/>
  <c r="I159" i="45"/>
  <c r="H157" i="45"/>
  <c r="H148" i="45"/>
  <c r="H128" i="45"/>
  <c r="I127" i="45"/>
  <c r="H125" i="45"/>
  <c r="I124" i="45"/>
  <c r="H116" i="45"/>
  <c r="H96" i="45"/>
  <c r="I95" i="45"/>
  <c r="H93" i="45"/>
  <c r="H84" i="45"/>
  <c r="H64" i="45"/>
  <c r="I63" i="45"/>
  <c r="H61" i="45"/>
  <c r="I60" i="45"/>
  <c r="H52" i="45"/>
  <c r="H31" i="45"/>
  <c r="I30" i="45"/>
  <c r="H23" i="45"/>
  <c r="I22" i="45"/>
  <c r="H15" i="45"/>
  <c r="K71" i="1"/>
  <c r="K75" i="1"/>
  <c r="S83" i="1"/>
  <c r="D8" i="20" s="1"/>
  <c r="C20" i="65"/>
  <c r="BN21" i="20"/>
  <c r="BN63" i="20" s="1"/>
  <c r="DP25" i="20"/>
  <c r="C14" i="45"/>
  <c r="I14" i="45" s="1"/>
  <c r="H14" i="45"/>
  <c r="C90" i="45"/>
  <c r="I90" i="45" s="1"/>
  <c r="H90" i="45"/>
  <c r="C113" i="45"/>
  <c r="I113" i="45" s="1"/>
  <c r="H113" i="45"/>
  <c r="C142" i="45"/>
  <c r="I142" i="45" s="1"/>
  <c r="H142" i="45"/>
  <c r="C713" i="45"/>
  <c r="C795" i="45"/>
  <c r="H938" i="45"/>
  <c r="H1066" i="45"/>
  <c r="E23" i="1"/>
  <c r="E23" i="65"/>
  <c r="DG27" i="20"/>
  <c r="F10" i="65"/>
  <c r="XEF11" i="9"/>
  <c r="XEP11" i="9"/>
  <c r="J15" i="9"/>
  <c r="J11" i="9"/>
  <c r="XEI11" i="9"/>
  <c r="J12" i="9"/>
  <c r="CR21" i="20"/>
  <c r="CN21" i="20"/>
  <c r="BJ21" i="20"/>
  <c r="BJ134" i="20" s="1"/>
  <c r="CI21" i="20"/>
  <c r="BH21" i="20"/>
  <c r="BP21" i="20"/>
  <c r="CT21" i="20"/>
  <c r="B25" i="22"/>
  <c r="B13" i="22"/>
  <c r="DE23" i="20"/>
  <c r="CW21" i="20"/>
  <c r="CS21" i="20"/>
  <c r="CO21" i="20"/>
  <c r="BO21" i="20"/>
  <c r="BK21" i="20"/>
  <c r="BG21" i="20"/>
  <c r="D14" i="20"/>
  <c r="I14" i="20" s="1"/>
  <c r="CY21" i="20"/>
  <c r="CU21" i="20"/>
  <c r="CQ21" i="20"/>
  <c r="BQ21" i="20"/>
  <c r="BM21" i="20"/>
  <c r="BI21" i="20"/>
  <c r="F10" i="1"/>
  <c r="BL21" i="20"/>
  <c r="CP21" i="20"/>
  <c r="CX21" i="20"/>
  <c r="BW21" i="20"/>
  <c r="N96" i="1"/>
  <c r="E12" i="1"/>
  <c r="M12" i="9" s="1"/>
  <c r="CA21" i="20"/>
  <c r="N96" i="65"/>
  <c r="CM21" i="20"/>
  <c r="N95" i="1"/>
  <c r="CE21" i="20"/>
  <c r="BE21" i="20"/>
  <c r="AE21" i="20"/>
  <c r="C29" i="1"/>
  <c r="BA21" i="20"/>
  <c r="I30" i="1"/>
  <c r="E22" i="65"/>
  <c r="C30" i="65"/>
  <c r="E31" i="65"/>
  <c r="AF21" i="20"/>
  <c r="BB21" i="20"/>
  <c r="BF21" i="20"/>
  <c r="BT21" i="20"/>
  <c r="BX21" i="20"/>
  <c r="CB21" i="20"/>
  <c r="CF21" i="20"/>
  <c r="CJ21" i="20"/>
  <c r="K95" i="1"/>
  <c r="K96" i="1"/>
  <c r="K97" i="1"/>
  <c r="C29" i="65"/>
  <c r="K95" i="65"/>
  <c r="K96" i="65"/>
  <c r="K97" i="65"/>
  <c r="AC21" i="20"/>
  <c r="AG21" i="20"/>
  <c r="BC21" i="20"/>
  <c r="BU21" i="20"/>
  <c r="BY21" i="20"/>
  <c r="CC21" i="20"/>
  <c r="CG21" i="20"/>
  <c r="CK21" i="20"/>
  <c r="K150" i="22"/>
  <c r="L150" i="22" s="1"/>
  <c r="L140" i="22"/>
  <c r="E12" i="9"/>
  <c r="E11" i="9"/>
  <c r="J134" i="22"/>
  <c r="B24" i="22"/>
  <c r="L152" i="22"/>
  <c r="J133" i="22"/>
  <c r="A55" i="22"/>
  <c r="B55" i="22" s="1"/>
  <c r="C55" i="22" s="1"/>
  <c r="E12" i="65" s="1"/>
  <c r="B23" i="22"/>
  <c r="M140" i="22"/>
  <c r="A37" i="22"/>
  <c r="J132" i="22"/>
  <c r="K149" i="22"/>
  <c r="L149" i="22" s="1"/>
  <c r="B22" i="22"/>
  <c r="E22" i="1"/>
  <c r="C30" i="1"/>
  <c r="E31" i="1"/>
  <c r="I30" i="65"/>
  <c r="AD21" i="20"/>
  <c r="AZ21" i="20"/>
  <c r="BD21" i="20"/>
  <c r="BV21" i="20"/>
  <c r="BZ21" i="20"/>
  <c r="CD21" i="20"/>
  <c r="CH21" i="20"/>
  <c r="CL21" i="20"/>
  <c r="C7" i="22" l="1"/>
  <c r="C10" i="22"/>
  <c r="BN78" i="20"/>
  <c r="BN111" i="20"/>
  <c r="BJ133" i="20"/>
  <c r="BN125" i="20"/>
  <c r="BJ82" i="20"/>
  <c r="BN46" i="20"/>
  <c r="BN124" i="20"/>
  <c r="BN53" i="20"/>
  <c r="BJ49" i="20"/>
  <c r="BN84" i="20"/>
  <c r="BN90" i="20"/>
  <c r="BJ50" i="20"/>
  <c r="BN69" i="20"/>
  <c r="BN51" i="20"/>
  <c r="BN60" i="20"/>
  <c r="BN109" i="20"/>
  <c r="BN132" i="20"/>
  <c r="BN47" i="20"/>
  <c r="BN41" i="20"/>
  <c r="BN102" i="20"/>
  <c r="CV21" i="20"/>
  <c r="BN81" i="20"/>
  <c r="BN58" i="20"/>
  <c r="BN44" i="20"/>
  <c r="BN127" i="20"/>
  <c r="BN110" i="20"/>
  <c r="BJ73" i="20"/>
  <c r="BJ105" i="20"/>
  <c r="BN80" i="20"/>
  <c r="BN36" i="20"/>
  <c r="BJ30" i="20"/>
  <c r="BN131" i="20"/>
  <c r="BN133" i="20"/>
  <c r="BN112" i="20"/>
  <c r="BN134" i="20"/>
  <c r="BN75" i="20"/>
  <c r="BN49" i="20"/>
  <c r="BN74" i="20"/>
  <c r="BN42" i="20"/>
  <c r="BN85" i="20"/>
  <c r="BN94" i="20"/>
  <c r="BN62" i="20"/>
  <c r="BJ95" i="20"/>
  <c r="BJ117" i="20"/>
  <c r="BN64" i="20"/>
  <c r="BN77" i="20"/>
  <c r="BN103" i="20"/>
  <c r="BN105" i="20"/>
  <c r="BN100" i="20"/>
  <c r="BN120" i="20"/>
  <c r="BN67" i="20"/>
  <c r="BN43" i="20"/>
  <c r="BN28" i="20"/>
  <c r="BJ33" i="20"/>
  <c r="BJ57" i="20"/>
  <c r="BJ79" i="20"/>
  <c r="BJ32" i="20"/>
  <c r="BJ60" i="20"/>
  <c r="BJ90" i="20"/>
  <c r="BJ106" i="20"/>
  <c r="BJ122" i="20"/>
  <c r="BJ137" i="20"/>
  <c r="BJ27" i="20"/>
  <c r="BJ63" i="20"/>
  <c r="BJ40" i="20"/>
  <c r="BJ111" i="20"/>
  <c r="BJ41" i="20"/>
  <c r="BJ81" i="20"/>
  <c r="BJ68" i="20"/>
  <c r="BJ92" i="20"/>
  <c r="BJ126" i="20"/>
  <c r="BJ96" i="20"/>
  <c r="BJ47" i="20"/>
  <c r="BJ65" i="20"/>
  <c r="BJ89" i="20"/>
  <c r="BJ48" i="20"/>
  <c r="BJ72" i="20"/>
  <c r="BJ101" i="20"/>
  <c r="BJ115" i="20"/>
  <c r="BJ127" i="20"/>
  <c r="BN27" i="20"/>
  <c r="BN79" i="20"/>
  <c r="BN73" i="20"/>
  <c r="BN37" i="20"/>
  <c r="BN86" i="20"/>
  <c r="BN70" i="20"/>
  <c r="BN54" i="20"/>
  <c r="BN38" i="20"/>
  <c r="BN76" i="20"/>
  <c r="BN52" i="20"/>
  <c r="BN32" i="20"/>
  <c r="BN61" i="20"/>
  <c r="BN115" i="20"/>
  <c r="BN135" i="20"/>
  <c r="BN117" i="20"/>
  <c r="BN137" i="20"/>
  <c r="BN104" i="20"/>
  <c r="BN116" i="20"/>
  <c r="BN126" i="20"/>
  <c r="BN136" i="20"/>
  <c r="BN95" i="20"/>
  <c r="BN65" i="20"/>
  <c r="BN33" i="20"/>
  <c r="BN82" i="20"/>
  <c r="BN66" i="20"/>
  <c r="BN50" i="20"/>
  <c r="BN34" i="20"/>
  <c r="BJ39" i="20"/>
  <c r="BJ55" i="20"/>
  <c r="BJ71" i="20"/>
  <c r="BJ87" i="20"/>
  <c r="BJ38" i="20"/>
  <c r="BJ58" i="20"/>
  <c r="BJ80" i="20"/>
  <c r="BJ99" i="20"/>
  <c r="BJ110" i="20"/>
  <c r="BJ121" i="20"/>
  <c r="BJ131" i="20"/>
  <c r="BN92" i="20"/>
  <c r="BN68" i="20"/>
  <c r="BN48" i="20"/>
  <c r="BN93" i="20"/>
  <c r="BN45" i="20"/>
  <c r="BN99" i="20"/>
  <c r="BN119" i="20"/>
  <c r="BN101" i="20"/>
  <c r="BN121" i="20"/>
  <c r="BN96" i="20"/>
  <c r="BN108" i="20"/>
  <c r="BN118" i="20"/>
  <c r="BN128" i="20"/>
  <c r="BN83" i="20"/>
  <c r="BN91" i="20"/>
  <c r="BN71" i="20"/>
  <c r="BN29" i="20"/>
  <c r="BJ29" i="20"/>
  <c r="BJ35" i="20"/>
  <c r="BJ43" i="20"/>
  <c r="BJ51" i="20"/>
  <c r="BJ59" i="20"/>
  <c r="BJ67" i="20"/>
  <c r="BJ75" i="20"/>
  <c r="BJ83" i="20"/>
  <c r="BJ91" i="20"/>
  <c r="BJ34" i="20"/>
  <c r="BJ42" i="20"/>
  <c r="BJ52" i="20"/>
  <c r="BJ64" i="20"/>
  <c r="BJ74" i="20"/>
  <c r="BJ84" i="20"/>
  <c r="BJ97" i="20"/>
  <c r="BJ102" i="20"/>
  <c r="BJ107" i="20"/>
  <c r="BJ113" i="20"/>
  <c r="BJ118" i="20"/>
  <c r="BJ123" i="20"/>
  <c r="BJ129" i="20"/>
  <c r="BJ31" i="20"/>
  <c r="BJ28" i="20"/>
  <c r="BJ136" i="20"/>
  <c r="BJ132" i="20"/>
  <c r="BJ128" i="20"/>
  <c r="BJ124" i="20"/>
  <c r="BJ120" i="20"/>
  <c r="BJ116" i="20"/>
  <c r="BJ112" i="20"/>
  <c r="BJ108" i="20"/>
  <c r="BJ104" i="20"/>
  <c r="BJ100" i="20"/>
  <c r="BJ94" i="20"/>
  <c r="BJ86" i="20"/>
  <c r="BJ78" i="20"/>
  <c r="BJ70" i="20"/>
  <c r="BJ62" i="20"/>
  <c r="BJ54" i="20"/>
  <c r="BJ46" i="20"/>
  <c r="BJ37" i="20"/>
  <c r="BJ45" i="20"/>
  <c r="BJ53" i="20"/>
  <c r="BJ61" i="20"/>
  <c r="BJ69" i="20"/>
  <c r="BJ77" i="20"/>
  <c r="BJ85" i="20"/>
  <c r="BJ93" i="20"/>
  <c r="BJ36" i="20"/>
  <c r="BJ44" i="20"/>
  <c r="BJ56" i="20"/>
  <c r="BJ66" i="20"/>
  <c r="BJ76" i="20"/>
  <c r="BJ88" i="20"/>
  <c r="BJ98" i="20"/>
  <c r="BJ103" i="20"/>
  <c r="BJ109" i="20"/>
  <c r="BJ114" i="20"/>
  <c r="BJ119" i="20"/>
  <c r="BJ125" i="20"/>
  <c r="BJ130" i="20"/>
  <c r="BJ135" i="20"/>
  <c r="BN87" i="20"/>
  <c r="BN31" i="20"/>
  <c r="BN30" i="20"/>
  <c r="BN55" i="20"/>
  <c r="BN59" i="20"/>
  <c r="BN35" i="20"/>
  <c r="BN39" i="20"/>
  <c r="BN130" i="20"/>
  <c r="BN122" i="20"/>
  <c r="BN114" i="20"/>
  <c r="BN106" i="20"/>
  <c r="BN98" i="20"/>
  <c r="BN129" i="20"/>
  <c r="BN113" i="20"/>
  <c r="BN97" i="20"/>
  <c r="BN123" i="20"/>
  <c r="BN107" i="20"/>
  <c r="BN57" i="20"/>
  <c r="BN89" i="20"/>
  <c r="BN40" i="20"/>
  <c r="BN56" i="20"/>
  <c r="BN72" i="20"/>
  <c r="BN88" i="20"/>
  <c r="K28" i="20"/>
  <c r="DP137" i="20"/>
  <c r="DP135" i="20"/>
  <c r="DP133" i="20"/>
  <c r="DP131" i="20"/>
  <c r="DP129" i="20"/>
  <c r="DP127" i="20"/>
  <c r="DP125" i="20"/>
  <c r="DP123" i="20"/>
  <c r="DP121" i="20"/>
  <c r="DP136" i="20"/>
  <c r="DP132" i="20"/>
  <c r="DP128" i="20"/>
  <c r="DP124" i="20"/>
  <c r="DP120" i="20"/>
  <c r="DP119" i="20"/>
  <c r="DP117" i="20"/>
  <c r="DP115" i="20"/>
  <c r="DP113" i="20"/>
  <c r="DP111" i="20"/>
  <c r="DP109" i="20"/>
  <c r="DP107" i="20"/>
  <c r="DP105" i="20"/>
  <c r="DP103" i="20"/>
  <c r="DP134" i="20"/>
  <c r="DP130" i="20"/>
  <c r="DP126" i="20"/>
  <c r="DP122" i="20"/>
  <c r="DP112" i="20"/>
  <c r="DP104" i="20"/>
  <c r="DP102" i="20"/>
  <c r="DP100" i="20"/>
  <c r="DP98" i="20"/>
  <c r="DP96" i="20"/>
  <c r="DP94" i="20"/>
  <c r="DP92" i="20"/>
  <c r="DP90" i="20"/>
  <c r="DP88" i="20"/>
  <c r="DP86" i="20"/>
  <c r="DP84" i="20"/>
  <c r="DP82" i="20"/>
  <c r="DP80" i="20"/>
  <c r="DP78" i="20"/>
  <c r="DP76" i="20"/>
  <c r="DP74" i="20"/>
  <c r="DP72" i="20"/>
  <c r="DP70" i="20"/>
  <c r="DP68" i="20"/>
  <c r="DP66" i="20"/>
  <c r="DP64" i="20"/>
  <c r="DP62" i="20"/>
  <c r="DP60" i="20"/>
  <c r="DP58" i="20"/>
  <c r="DP56" i="20"/>
  <c r="DP54" i="20"/>
  <c r="DP52" i="20"/>
  <c r="DP50" i="20"/>
  <c r="DP48" i="20"/>
  <c r="DP46" i="20"/>
  <c r="DP44" i="20"/>
  <c r="DP42" i="20"/>
  <c r="DP40" i="20"/>
  <c r="DP38" i="20"/>
  <c r="DP36" i="20"/>
  <c r="DP34" i="20"/>
  <c r="DP32" i="20"/>
  <c r="DP30" i="20"/>
  <c r="DP28" i="20"/>
  <c r="DP114" i="20"/>
  <c r="DP106" i="20"/>
  <c r="DP110" i="20"/>
  <c r="DP116" i="20"/>
  <c r="DP108" i="20"/>
  <c r="DP101" i="20"/>
  <c r="DP99" i="20"/>
  <c r="DP97" i="20"/>
  <c r="DP95" i="20"/>
  <c r="DP93" i="20"/>
  <c r="DP91" i="20"/>
  <c r="DP89" i="20"/>
  <c r="DP87" i="20"/>
  <c r="DP85" i="20"/>
  <c r="DP83" i="20"/>
  <c r="DP81" i="20"/>
  <c r="DP79" i="20"/>
  <c r="DP77" i="20"/>
  <c r="DP75" i="20"/>
  <c r="DP73" i="20"/>
  <c r="DP71" i="20"/>
  <c r="DP69" i="20"/>
  <c r="DP67" i="20"/>
  <c r="DP65" i="20"/>
  <c r="DP63" i="20"/>
  <c r="DP61" i="20"/>
  <c r="DP59" i="20"/>
  <c r="DP57" i="20"/>
  <c r="DP55" i="20"/>
  <c r="DP53" i="20"/>
  <c r="DP51" i="20"/>
  <c r="DP49" i="20"/>
  <c r="DP47" i="20"/>
  <c r="DP45" i="20"/>
  <c r="DP43" i="20"/>
  <c r="DP41" i="20"/>
  <c r="DP39" i="20"/>
  <c r="DP37" i="20"/>
  <c r="DP35" i="20"/>
  <c r="DP33" i="20"/>
  <c r="DP31" i="20"/>
  <c r="DP29" i="20"/>
  <c r="DP27" i="20"/>
  <c r="DP118" i="20"/>
  <c r="A142" i="20"/>
  <c r="DN26" i="20"/>
  <c r="DQ25" i="20"/>
  <c r="DM26" i="20"/>
  <c r="F25" i="20"/>
  <c r="DO26" i="20"/>
  <c r="DR25" i="20"/>
  <c r="L95" i="1"/>
  <c r="L98" i="1" s="1"/>
  <c r="BS27" i="20"/>
  <c r="DU27" i="20"/>
  <c r="K8" i="45"/>
  <c r="K11" i="45" s="1"/>
  <c r="K12" i="45" s="1"/>
  <c r="K13" i="45" s="1"/>
  <c r="K14" i="45" s="1"/>
  <c r="K15" i="45" s="1"/>
  <c r="K16" i="45" s="1"/>
  <c r="K17" i="45" s="1"/>
  <c r="K18" i="45" s="1"/>
  <c r="K19" i="45" s="1"/>
  <c r="K20" i="45" s="1"/>
  <c r="K21" i="45" s="1"/>
  <c r="K22" i="45" s="1"/>
  <c r="K23" i="45" s="1"/>
  <c r="K24" i="45" s="1"/>
  <c r="K25" i="45" s="1"/>
  <c r="K26" i="45" s="1"/>
  <c r="K27" i="45" s="1"/>
  <c r="K28" i="45" s="1"/>
  <c r="K29" i="45" s="1"/>
  <c r="K30" i="45" s="1"/>
  <c r="K31" i="45" s="1"/>
  <c r="K32" i="45" s="1"/>
  <c r="K33" i="45" s="1"/>
  <c r="K34" i="45" s="1"/>
  <c r="K35" i="45" s="1"/>
  <c r="K36" i="45" s="1"/>
  <c r="K37" i="45" s="1"/>
  <c r="K38" i="45" s="1"/>
  <c r="K39" i="45" s="1"/>
  <c r="K40" i="45" s="1"/>
  <c r="K41" i="45" s="1"/>
  <c r="K42" i="45" s="1"/>
  <c r="K43" i="45" s="1"/>
  <c r="K44" i="45" s="1"/>
  <c r="K45" i="45" s="1"/>
  <c r="K46" i="45" s="1"/>
  <c r="K47" i="45" s="1"/>
  <c r="K48" i="45" s="1"/>
  <c r="K49" i="45" s="1"/>
  <c r="K50" i="45" s="1"/>
  <c r="K51" i="45" s="1"/>
  <c r="K52" i="45" s="1"/>
  <c r="K53" i="45" s="1"/>
  <c r="K54" i="45" s="1"/>
  <c r="K55" i="45" s="1"/>
  <c r="K56" i="45" s="1"/>
  <c r="K57" i="45" s="1"/>
  <c r="K58" i="45" s="1"/>
  <c r="K59" i="45" s="1"/>
  <c r="K60" i="45" s="1"/>
  <c r="K61" i="45" s="1"/>
  <c r="K62" i="45" s="1"/>
  <c r="K63" i="45" s="1"/>
  <c r="K64" i="45" s="1"/>
  <c r="K65" i="45" s="1"/>
  <c r="K66" i="45" s="1"/>
  <c r="K67" i="45" s="1"/>
  <c r="K68" i="45" s="1"/>
  <c r="K69" i="45" s="1"/>
  <c r="K70" i="45" s="1"/>
  <c r="K71" i="45" s="1"/>
  <c r="K72" i="45" s="1"/>
  <c r="K73" i="45" s="1"/>
  <c r="K74" i="45" s="1"/>
  <c r="K75" i="45" s="1"/>
  <c r="K76" i="45" s="1"/>
  <c r="K77" i="45" s="1"/>
  <c r="K78" i="45" s="1"/>
  <c r="K79" i="45" s="1"/>
  <c r="K80" i="45" s="1"/>
  <c r="K81" i="45" s="1"/>
  <c r="K82" i="45" s="1"/>
  <c r="K83" i="45" s="1"/>
  <c r="K84" i="45" s="1"/>
  <c r="K85" i="45" s="1"/>
  <c r="K86" i="45" s="1"/>
  <c r="K87" i="45" s="1"/>
  <c r="K88" i="45" s="1"/>
  <c r="K89" i="45" s="1"/>
  <c r="K90" i="45" s="1"/>
  <c r="K91" i="45" s="1"/>
  <c r="K92" i="45" s="1"/>
  <c r="K93" i="45" s="1"/>
  <c r="K94" i="45" s="1"/>
  <c r="K95" i="45" s="1"/>
  <c r="K96" i="45" s="1"/>
  <c r="K97" i="45" s="1"/>
  <c r="K98" i="45" s="1"/>
  <c r="K99" i="45" s="1"/>
  <c r="K100" i="45" s="1"/>
  <c r="K101" i="45" s="1"/>
  <c r="K102" i="45" s="1"/>
  <c r="K103" i="45" s="1"/>
  <c r="K104" i="45" s="1"/>
  <c r="K105" i="45" s="1"/>
  <c r="K106" i="45" s="1"/>
  <c r="K107" i="45" s="1"/>
  <c r="K108" i="45" s="1"/>
  <c r="K109" i="45" s="1"/>
  <c r="K110" i="45" s="1"/>
  <c r="K111" i="45" s="1"/>
  <c r="K112" i="45" s="1"/>
  <c r="K113" i="45" s="1"/>
  <c r="K114" i="45" s="1"/>
  <c r="K115" i="45" s="1"/>
  <c r="K116" i="45" s="1"/>
  <c r="K117" i="45" s="1"/>
  <c r="K118" i="45" s="1"/>
  <c r="K119" i="45" s="1"/>
  <c r="K120" i="45" s="1"/>
  <c r="K121" i="45" s="1"/>
  <c r="K122" i="45" s="1"/>
  <c r="K123" i="45" s="1"/>
  <c r="K124" i="45" s="1"/>
  <c r="K125" i="45" s="1"/>
  <c r="K126" i="45" s="1"/>
  <c r="K127" i="45" s="1"/>
  <c r="K128" i="45" s="1"/>
  <c r="K129" i="45" s="1"/>
  <c r="K130" i="45" s="1"/>
  <c r="K131" i="45" s="1"/>
  <c r="K132" i="45" s="1"/>
  <c r="K133" i="45" s="1"/>
  <c r="K134" i="45" s="1"/>
  <c r="K135" i="45" s="1"/>
  <c r="K136" i="45" s="1"/>
  <c r="K137" i="45" s="1"/>
  <c r="K138" i="45" s="1"/>
  <c r="K139" i="45" s="1"/>
  <c r="K140" i="45" s="1"/>
  <c r="K141" i="45" s="1"/>
  <c r="K142" i="45" s="1"/>
  <c r="K143" i="45" s="1"/>
  <c r="K144" i="45" s="1"/>
  <c r="K145" i="45" s="1"/>
  <c r="K146" i="45" s="1"/>
  <c r="K147" i="45" s="1"/>
  <c r="K148" i="45" s="1"/>
  <c r="K149" i="45" s="1"/>
  <c r="K150" i="45" s="1"/>
  <c r="K151" i="45" s="1"/>
  <c r="K152" i="45" s="1"/>
  <c r="K153" i="45" s="1"/>
  <c r="K154" i="45" s="1"/>
  <c r="K155" i="45" s="1"/>
  <c r="K156" i="45" s="1"/>
  <c r="K157" i="45" s="1"/>
  <c r="K158" i="45" s="1"/>
  <c r="K159" i="45" s="1"/>
  <c r="K160" i="45" s="1"/>
  <c r="K161" i="45" s="1"/>
  <c r="K162" i="45" s="1"/>
  <c r="K163" i="45" s="1"/>
  <c r="K164" i="45" s="1"/>
  <c r="K165" i="45" s="1"/>
  <c r="K166" i="45" s="1"/>
  <c r="K167" i="45" s="1"/>
  <c r="K168" i="45" s="1"/>
  <c r="K169" i="45" s="1"/>
  <c r="K170" i="45" s="1"/>
  <c r="K171" i="45" s="1"/>
  <c r="K172" i="45" s="1"/>
  <c r="K173" i="45" s="1"/>
  <c r="K174" i="45" s="1"/>
  <c r="K175" i="45" s="1"/>
  <c r="K176" i="45" s="1"/>
  <c r="K177" i="45" s="1"/>
  <c r="K178" i="45" s="1"/>
  <c r="K179" i="45" s="1"/>
  <c r="K180" i="45" s="1"/>
  <c r="K181" i="45" s="1"/>
  <c r="K182" i="45" s="1"/>
  <c r="K183" i="45" s="1"/>
  <c r="K184" i="45" s="1"/>
  <c r="K185" i="45" s="1"/>
  <c r="K186" i="45" s="1"/>
  <c r="K187" i="45" s="1"/>
  <c r="K188" i="45" s="1"/>
  <c r="K189" i="45" s="1"/>
  <c r="K190" i="45" s="1"/>
  <c r="K191" i="45" s="1"/>
  <c r="K192" i="45" s="1"/>
  <c r="K193" i="45" s="1"/>
  <c r="K194" i="45" s="1"/>
  <c r="K195" i="45" s="1"/>
  <c r="K196" i="45" s="1"/>
  <c r="K197" i="45" s="1"/>
  <c r="K198" i="45" s="1"/>
  <c r="K199" i="45" s="1"/>
  <c r="K200" i="45" s="1"/>
  <c r="K201" i="45" s="1"/>
  <c r="K202" i="45" s="1"/>
  <c r="K203" i="45" s="1"/>
  <c r="K204" i="45" s="1"/>
  <c r="K205" i="45" s="1"/>
  <c r="K206" i="45" s="1"/>
  <c r="K207" i="45" s="1"/>
  <c r="K208" i="45" s="1"/>
  <c r="K209" i="45" s="1"/>
  <c r="K210" i="45" s="1"/>
  <c r="K211" i="45" s="1"/>
  <c r="K212" i="45" s="1"/>
  <c r="K213" i="45" s="1"/>
  <c r="K214" i="45" s="1"/>
  <c r="K215" i="45" s="1"/>
  <c r="K216" i="45" s="1"/>
  <c r="K217" i="45" s="1"/>
  <c r="K218" i="45" s="1"/>
  <c r="K219" i="45" s="1"/>
  <c r="K220" i="45" s="1"/>
  <c r="K221" i="45" s="1"/>
  <c r="K222" i="45" s="1"/>
  <c r="K223" i="45" s="1"/>
  <c r="K224" i="45" s="1"/>
  <c r="K225" i="45" s="1"/>
  <c r="K226" i="45" s="1"/>
  <c r="K227" i="45" s="1"/>
  <c r="K228" i="45" s="1"/>
  <c r="K229" i="45" s="1"/>
  <c r="K230" i="45" s="1"/>
  <c r="K231" i="45" s="1"/>
  <c r="K232" i="45" s="1"/>
  <c r="K233" i="45" s="1"/>
  <c r="K234" i="45" s="1"/>
  <c r="K235" i="45" s="1"/>
  <c r="K236" i="45" s="1"/>
  <c r="K237" i="45" s="1"/>
  <c r="K238" i="45" s="1"/>
  <c r="K239" i="45" s="1"/>
  <c r="K240" i="45" s="1"/>
  <c r="K241" i="45" s="1"/>
  <c r="K242" i="45" s="1"/>
  <c r="K243" i="45" s="1"/>
  <c r="K244" i="45" s="1"/>
  <c r="K245" i="45" s="1"/>
  <c r="K246" i="45" s="1"/>
  <c r="K247" i="45" s="1"/>
  <c r="K248" i="45" s="1"/>
  <c r="K249" i="45" s="1"/>
  <c r="K250" i="45" s="1"/>
  <c r="K251" i="45" s="1"/>
  <c r="K252" i="45" s="1"/>
  <c r="K253" i="45" s="1"/>
  <c r="K254" i="45" s="1"/>
  <c r="K255" i="45" s="1"/>
  <c r="K256" i="45" s="1"/>
  <c r="K257" i="45" s="1"/>
  <c r="K258" i="45" s="1"/>
  <c r="K259" i="45" s="1"/>
  <c r="K260" i="45" s="1"/>
  <c r="K261" i="45" s="1"/>
  <c r="K262" i="45" s="1"/>
  <c r="K263" i="45" s="1"/>
  <c r="K264" i="45" s="1"/>
  <c r="K265" i="45" s="1"/>
  <c r="K266" i="45" s="1"/>
  <c r="K267" i="45" s="1"/>
  <c r="K268" i="45" s="1"/>
  <c r="K269" i="45" s="1"/>
  <c r="K270" i="45" s="1"/>
  <c r="K271" i="45" s="1"/>
  <c r="K272" i="45" s="1"/>
  <c r="K273" i="45" s="1"/>
  <c r="K274" i="45" s="1"/>
  <c r="K275" i="45" s="1"/>
  <c r="K276" i="45" s="1"/>
  <c r="K277" i="45" s="1"/>
  <c r="K278" i="45" s="1"/>
  <c r="K279" i="45" s="1"/>
  <c r="K280" i="45" s="1"/>
  <c r="K281" i="45" s="1"/>
  <c r="K282" i="45" s="1"/>
  <c r="K283" i="45" s="1"/>
  <c r="K284" i="45" s="1"/>
  <c r="K285" i="45" s="1"/>
  <c r="K286" i="45" s="1"/>
  <c r="K287" i="45" s="1"/>
  <c r="K288" i="45" s="1"/>
  <c r="K289" i="45" s="1"/>
  <c r="K290" i="45" s="1"/>
  <c r="K291" i="45" s="1"/>
  <c r="K292" i="45" s="1"/>
  <c r="K293" i="45" s="1"/>
  <c r="K294" i="45" s="1"/>
  <c r="K295" i="45" s="1"/>
  <c r="K296" i="45" s="1"/>
  <c r="K297" i="45" s="1"/>
  <c r="K298" i="45" s="1"/>
  <c r="K299" i="45" s="1"/>
  <c r="K300" i="45" s="1"/>
  <c r="K301" i="45" s="1"/>
  <c r="K302" i="45" s="1"/>
  <c r="K303" i="45" s="1"/>
  <c r="K304" i="45" s="1"/>
  <c r="K305" i="45" s="1"/>
  <c r="K306" i="45" s="1"/>
  <c r="K307" i="45" s="1"/>
  <c r="K308" i="45" s="1"/>
  <c r="K309" i="45" s="1"/>
  <c r="K310" i="45" s="1"/>
  <c r="K311" i="45" s="1"/>
  <c r="K312" i="45" s="1"/>
  <c r="K313" i="45" s="1"/>
  <c r="K314" i="45" s="1"/>
  <c r="K315" i="45" s="1"/>
  <c r="K316" i="45" s="1"/>
  <c r="K317" i="45" s="1"/>
  <c r="K318" i="45" s="1"/>
  <c r="K319" i="45" s="1"/>
  <c r="K320" i="45" s="1"/>
  <c r="K321" i="45" s="1"/>
  <c r="K322" i="45" s="1"/>
  <c r="K323" i="45" s="1"/>
  <c r="K324" i="45" s="1"/>
  <c r="K325" i="45" s="1"/>
  <c r="K326" i="45" s="1"/>
  <c r="K327" i="45" s="1"/>
  <c r="K328" i="45" s="1"/>
  <c r="K329" i="45" s="1"/>
  <c r="K330" i="45" s="1"/>
  <c r="K331" i="45" s="1"/>
  <c r="K332" i="45" s="1"/>
  <c r="K333" i="45" s="1"/>
  <c r="K334" i="45" s="1"/>
  <c r="K335" i="45" s="1"/>
  <c r="K336" i="45" s="1"/>
  <c r="K337" i="45" s="1"/>
  <c r="K338" i="45" s="1"/>
  <c r="K339" i="45" s="1"/>
  <c r="K340" i="45" s="1"/>
  <c r="K341" i="45" s="1"/>
  <c r="K342" i="45" s="1"/>
  <c r="K343" i="45" s="1"/>
  <c r="K344" i="45" s="1"/>
  <c r="K345" i="45" s="1"/>
  <c r="K346" i="45" s="1"/>
  <c r="K347" i="45" s="1"/>
  <c r="K348" i="45" s="1"/>
  <c r="K349" i="45" s="1"/>
  <c r="K350" i="45" s="1"/>
  <c r="K351" i="45" s="1"/>
  <c r="K352" i="45" s="1"/>
  <c r="K353" i="45" s="1"/>
  <c r="K354" i="45" s="1"/>
  <c r="K355" i="45" s="1"/>
  <c r="K356" i="45" s="1"/>
  <c r="K357" i="45" s="1"/>
  <c r="K358" i="45" s="1"/>
  <c r="K359" i="45" s="1"/>
  <c r="K360" i="45" s="1"/>
  <c r="K361" i="45" s="1"/>
  <c r="K362" i="45" s="1"/>
  <c r="K363" i="45" s="1"/>
  <c r="K364" i="45" s="1"/>
  <c r="K365" i="45" s="1"/>
  <c r="K366" i="45" s="1"/>
  <c r="K367" i="45" s="1"/>
  <c r="K368" i="45" s="1"/>
  <c r="K369" i="45" s="1"/>
  <c r="K370" i="45" s="1"/>
  <c r="K371" i="45" s="1"/>
  <c r="K372" i="45" s="1"/>
  <c r="K373" i="45" s="1"/>
  <c r="K374" i="45" s="1"/>
  <c r="K375" i="45" s="1"/>
  <c r="K376" i="45" s="1"/>
  <c r="K377" i="45" s="1"/>
  <c r="K378" i="45" s="1"/>
  <c r="K379" i="45" s="1"/>
  <c r="K380" i="45" s="1"/>
  <c r="K381" i="45" s="1"/>
  <c r="K382" i="45" s="1"/>
  <c r="K383" i="45" s="1"/>
  <c r="K384" i="45" s="1"/>
  <c r="K385" i="45" s="1"/>
  <c r="K386" i="45" s="1"/>
  <c r="K387" i="45" s="1"/>
  <c r="K388" i="45" s="1"/>
  <c r="K389" i="45" s="1"/>
  <c r="K390" i="45" s="1"/>
  <c r="K391" i="45" s="1"/>
  <c r="K392" i="45" s="1"/>
  <c r="K393" i="45" s="1"/>
  <c r="K394" i="45" s="1"/>
  <c r="K395" i="45" s="1"/>
  <c r="K396" i="45" s="1"/>
  <c r="K397" i="45" s="1"/>
  <c r="K398" i="45" s="1"/>
  <c r="K399" i="45" s="1"/>
  <c r="K400" i="45" s="1"/>
  <c r="K401" i="45" s="1"/>
  <c r="K402" i="45" s="1"/>
  <c r="K403" i="45" s="1"/>
  <c r="K404" i="45" s="1"/>
  <c r="K405" i="45" s="1"/>
  <c r="K406" i="45" s="1"/>
  <c r="K407" i="45" s="1"/>
  <c r="K408" i="45" s="1"/>
  <c r="K409" i="45" s="1"/>
  <c r="K410" i="45" s="1"/>
  <c r="K411" i="45" s="1"/>
  <c r="K412" i="45" s="1"/>
  <c r="K413" i="45" s="1"/>
  <c r="K414" i="45" s="1"/>
  <c r="K415" i="45" s="1"/>
  <c r="K416" i="45" s="1"/>
  <c r="K417" i="45" s="1"/>
  <c r="K418" i="45" s="1"/>
  <c r="K419" i="45" s="1"/>
  <c r="K420" i="45" s="1"/>
  <c r="K421" i="45" s="1"/>
  <c r="K422" i="45" s="1"/>
  <c r="K423" i="45" s="1"/>
  <c r="K424" i="45" s="1"/>
  <c r="K425" i="45" s="1"/>
  <c r="K426" i="45" s="1"/>
  <c r="K427" i="45" s="1"/>
  <c r="K428" i="45" s="1"/>
  <c r="K429" i="45" s="1"/>
  <c r="K430" i="45" s="1"/>
  <c r="K431" i="45" s="1"/>
  <c r="K432" i="45" s="1"/>
  <c r="K433" i="45" s="1"/>
  <c r="K434" i="45" s="1"/>
  <c r="K435" i="45" s="1"/>
  <c r="K436" i="45" s="1"/>
  <c r="K437" i="45" s="1"/>
  <c r="K438" i="45" s="1"/>
  <c r="K439" i="45" s="1"/>
  <c r="K440" i="45" s="1"/>
  <c r="K441" i="45" s="1"/>
  <c r="K442" i="45" s="1"/>
  <c r="K443" i="45" s="1"/>
  <c r="K444" i="45" s="1"/>
  <c r="K445" i="45" s="1"/>
  <c r="K446" i="45" s="1"/>
  <c r="K447" i="45" s="1"/>
  <c r="K448" i="45" s="1"/>
  <c r="K449" i="45" s="1"/>
  <c r="K450" i="45" s="1"/>
  <c r="K451" i="45" s="1"/>
  <c r="K452" i="45" s="1"/>
  <c r="K453" i="45" s="1"/>
  <c r="K454" i="45" s="1"/>
  <c r="K455" i="45" s="1"/>
  <c r="K456" i="45" s="1"/>
  <c r="K457" i="45" s="1"/>
  <c r="K458" i="45" s="1"/>
  <c r="K459" i="45" s="1"/>
  <c r="K460" i="45" s="1"/>
  <c r="K461" i="45" s="1"/>
  <c r="K462" i="45" s="1"/>
  <c r="K463" i="45" s="1"/>
  <c r="K464" i="45" s="1"/>
  <c r="K465" i="45" s="1"/>
  <c r="K466" i="45" s="1"/>
  <c r="K467" i="45" s="1"/>
  <c r="K468" i="45" s="1"/>
  <c r="K469" i="45" s="1"/>
  <c r="K470" i="45" s="1"/>
  <c r="K471" i="45" s="1"/>
  <c r="K472" i="45" s="1"/>
  <c r="K473" i="45" s="1"/>
  <c r="K474" i="45" s="1"/>
  <c r="K475" i="45" s="1"/>
  <c r="K476" i="45" s="1"/>
  <c r="K477" i="45" s="1"/>
  <c r="K478" i="45" s="1"/>
  <c r="K479" i="45" s="1"/>
  <c r="K480" i="45" s="1"/>
  <c r="K481" i="45" s="1"/>
  <c r="K482" i="45" s="1"/>
  <c r="K483" i="45" s="1"/>
  <c r="K484" i="45" s="1"/>
  <c r="K485" i="45" s="1"/>
  <c r="K486" i="45" s="1"/>
  <c r="K487" i="45" s="1"/>
  <c r="K488" i="45" s="1"/>
  <c r="K489" i="45" s="1"/>
  <c r="K490" i="45" s="1"/>
  <c r="K491" i="45" s="1"/>
  <c r="K492" i="45" s="1"/>
  <c r="K493" i="45" s="1"/>
  <c r="K494" i="45" s="1"/>
  <c r="K495" i="45" s="1"/>
  <c r="K496" i="45" s="1"/>
  <c r="K497" i="45" s="1"/>
  <c r="K498" i="45" s="1"/>
  <c r="K499" i="45" s="1"/>
  <c r="K500" i="45" s="1"/>
  <c r="K501" i="45" s="1"/>
  <c r="K502" i="45" s="1"/>
  <c r="K503" i="45" s="1"/>
  <c r="K504" i="45" s="1"/>
  <c r="K505" i="45" s="1"/>
  <c r="K506" i="45" s="1"/>
  <c r="K507" i="45" s="1"/>
  <c r="K508" i="45" s="1"/>
  <c r="K509" i="45" s="1"/>
  <c r="K510" i="45" s="1"/>
  <c r="K511" i="45" s="1"/>
  <c r="K512" i="45" s="1"/>
  <c r="K513" i="45" s="1"/>
  <c r="K514" i="45" s="1"/>
  <c r="K515" i="45" s="1"/>
  <c r="K516" i="45" s="1"/>
  <c r="K517" i="45" s="1"/>
  <c r="K518" i="45" s="1"/>
  <c r="K519" i="45" s="1"/>
  <c r="K520" i="45" s="1"/>
  <c r="K521" i="45" s="1"/>
  <c r="K522" i="45" s="1"/>
  <c r="K523" i="45" s="1"/>
  <c r="K524" i="45" s="1"/>
  <c r="K525" i="45" s="1"/>
  <c r="K526" i="45" s="1"/>
  <c r="K527" i="45" s="1"/>
  <c r="K528" i="45" s="1"/>
  <c r="K529" i="45" s="1"/>
  <c r="K530" i="45" s="1"/>
  <c r="K531" i="45" s="1"/>
  <c r="K532" i="45" s="1"/>
  <c r="K533" i="45" s="1"/>
  <c r="K534" i="45" s="1"/>
  <c r="K535" i="45" s="1"/>
  <c r="K536" i="45" s="1"/>
  <c r="K537" i="45" s="1"/>
  <c r="K538" i="45" s="1"/>
  <c r="K539" i="45" s="1"/>
  <c r="K540" i="45" s="1"/>
  <c r="K541" i="45" s="1"/>
  <c r="K542" i="45" s="1"/>
  <c r="K543" i="45" s="1"/>
  <c r="K544" i="45" s="1"/>
  <c r="K545" i="45" s="1"/>
  <c r="K546" i="45" s="1"/>
  <c r="K547" i="45" s="1"/>
  <c r="K548" i="45" s="1"/>
  <c r="K549" i="45" s="1"/>
  <c r="K550" i="45" s="1"/>
  <c r="K551" i="45" s="1"/>
  <c r="K552" i="45" s="1"/>
  <c r="K553" i="45" s="1"/>
  <c r="K554" i="45" s="1"/>
  <c r="K555" i="45" s="1"/>
  <c r="K556" i="45" s="1"/>
  <c r="K557" i="45" s="1"/>
  <c r="K558" i="45" s="1"/>
  <c r="K559" i="45" s="1"/>
  <c r="K560" i="45" s="1"/>
  <c r="K561" i="45" s="1"/>
  <c r="K562" i="45" s="1"/>
  <c r="K563" i="45" s="1"/>
  <c r="K564" i="45" s="1"/>
  <c r="K565" i="45" s="1"/>
  <c r="K566" i="45" s="1"/>
  <c r="K567" i="45" s="1"/>
  <c r="K568" i="45" s="1"/>
  <c r="K569" i="45" s="1"/>
  <c r="K570" i="45" s="1"/>
  <c r="K571" i="45" s="1"/>
  <c r="K572" i="45" s="1"/>
  <c r="K573" i="45" s="1"/>
  <c r="K574" i="45" s="1"/>
  <c r="K575" i="45" s="1"/>
  <c r="K576" i="45" s="1"/>
  <c r="K577" i="45" s="1"/>
  <c r="K578" i="45" s="1"/>
  <c r="K579" i="45" s="1"/>
  <c r="K580" i="45" s="1"/>
  <c r="K581" i="45" s="1"/>
  <c r="K582" i="45" s="1"/>
  <c r="K583" i="45" s="1"/>
  <c r="K584" i="45" s="1"/>
  <c r="K585" i="45" s="1"/>
  <c r="K586" i="45" s="1"/>
  <c r="K587" i="45" s="1"/>
  <c r="K588" i="45" s="1"/>
  <c r="K589" i="45" s="1"/>
  <c r="K590" i="45" s="1"/>
  <c r="K591" i="45" s="1"/>
  <c r="K592" i="45" s="1"/>
  <c r="K593" i="45" s="1"/>
  <c r="K594" i="45" s="1"/>
  <c r="K595" i="45" s="1"/>
  <c r="K596" i="45" s="1"/>
  <c r="K597" i="45" s="1"/>
  <c r="K598" i="45" s="1"/>
  <c r="K599" i="45" s="1"/>
  <c r="K600" i="45" s="1"/>
  <c r="K601" i="45" s="1"/>
  <c r="K602" i="45" s="1"/>
  <c r="K603" i="45" s="1"/>
  <c r="K604" i="45" s="1"/>
  <c r="K605" i="45" s="1"/>
  <c r="K606" i="45" s="1"/>
  <c r="K607" i="45" s="1"/>
  <c r="K608" i="45" s="1"/>
  <c r="K609" i="45" s="1"/>
  <c r="K610" i="45" s="1"/>
  <c r="K611" i="45" s="1"/>
  <c r="K612" i="45" s="1"/>
  <c r="K613" i="45" s="1"/>
  <c r="K614" i="45" s="1"/>
  <c r="K615" i="45" s="1"/>
  <c r="K616" i="45" s="1"/>
  <c r="K617" i="45" s="1"/>
  <c r="K618" i="45" s="1"/>
  <c r="K619" i="45" s="1"/>
  <c r="K620" i="45" s="1"/>
  <c r="K621" i="45" s="1"/>
  <c r="K622" i="45" s="1"/>
  <c r="K623" i="45" s="1"/>
  <c r="K624" i="45" s="1"/>
  <c r="K625" i="45" s="1"/>
  <c r="K626" i="45" s="1"/>
  <c r="K627" i="45" s="1"/>
  <c r="K628" i="45" s="1"/>
  <c r="K629" i="45" s="1"/>
  <c r="K630" i="45" s="1"/>
  <c r="K631" i="45" s="1"/>
  <c r="K632" i="45" s="1"/>
  <c r="K633" i="45" s="1"/>
  <c r="K634" i="45" s="1"/>
  <c r="K635" i="45" s="1"/>
  <c r="K636" i="45" s="1"/>
  <c r="K637" i="45" s="1"/>
  <c r="K638" i="45" s="1"/>
  <c r="K639" i="45" s="1"/>
  <c r="K640" i="45" s="1"/>
  <c r="K641" i="45" s="1"/>
  <c r="K642" i="45" s="1"/>
  <c r="K643" i="45" s="1"/>
  <c r="K644" i="45" s="1"/>
  <c r="K645" i="45" s="1"/>
  <c r="K646" i="45" s="1"/>
  <c r="K647" i="45" s="1"/>
  <c r="K648" i="45" s="1"/>
  <c r="K649" i="45" s="1"/>
  <c r="K650" i="45" s="1"/>
  <c r="K651" i="45" s="1"/>
  <c r="K652" i="45" s="1"/>
  <c r="K653" i="45" s="1"/>
  <c r="K654" i="45" s="1"/>
  <c r="K655" i="45" s="1"/>
  <c r="K656" i="45" s="1"/>
  <c r="K657" i="45" s="1"/>
  <c r="K658" i="45" s="1"/>
  <c r="K659" i="45" s="1"/>
  <c r="K660" i="45" s="1"/>
  <c r="K661" i="45" s="1"/>
  <c r="K662" i="45" s="1"/>
  <c r="K663" i="45" s="1"/>
  <c r="K664" i="45" s="1"/>
  <c r="K665" i="45" s="1"/>
  <c r="K666" i="45" s="1"/>
  <c r="K667" i="45" s="1"/>
  <c r="K668" i="45" s="1"/>
  <c r="K669" i="45" s="1"/>
  <c r="K670" i="45" s="1"/>
  <c r="K671" i="45" s="1"/>
  <c r="K672" i="45" s="1"/>
  <c r="K673" i="45" s="1"/>
  <c r="K674" i="45" s="1"/>
  <c r="K675" i="45" s="1"/>
  <c r="K676" i="45" s="1"/>
  <c r="K677" i="45" s="1"/>
  <c r="K678" i="45" s="1"/>
  <c r="K679" i="45" s="1"/>
  <c r="K680" i="45" s="1"/>
  <c r="K681" i="45" s="1"/>
  <c r="K682" i="45" s="1"/>
  <c r="K683" i="45" s="1"/>
  <c r="K684" i="45" s="1"/>
  <c r="K685" i="45" s="1"/>
  <c r="K686" i="45" s="1"/>
  <c r="K687" i="45" s="1"/>
  <c r="K688" i="45" s="1"/>
  <c r="K689" i="45" s="1"/>
  <c r="K690" i="45" s="1"/>
  <c r="K691" i="45" s="1"/>
  <c r="K692" i="45" s="1"/>
  <c r="K693" i="45" s="1"/>
  <c r="K694" i="45" s="1"/>
  <c r="K695" i="45" s="1"/>
  <c r="K696" i="45" s="1"/>
  <c r="K697" i="45" s="1"/>
  <c r="K698" i="45" s="1"/>
  <c r="K699" i="45" s="1"/>
  <c r="K700" i="45" s="1"/>
  <c r="K701" i="45" s="1"/>
  <c r="K702" i="45" s="1"/>
  <c r="K703" i="45" s="1"/>
  <c r="K704" i="45" s="1"/>
  <c r="K705" i="45" s="1"/>
  <c r="K706" i="45" s="1"/>
  <c r="K707" i="45" s="1"/>
  <c r="K708" i="45" s="1"/>
  <c r="K709" i="45" s="1"/>
  <c r="K710" i="45" s="1"/>
  <c r="K711" i="45" s="1"/>
  <c r="K712" i="45" s="1"/>
  <c r="K713" i="45" s="1"/>
  <c r="K714" i="45" s="1"/>
  <c r="K715" i="45" s="1"/>
  <c r="K716" i="45" s="1"/>
  <c r="K717" i="45" s="1"/>
  <c r="K718" i="45" s="1"/>
  <c r="K719" i="45" s="1"/>
  <c r="K720" i="45" s="1"/>
  <c r="K721" i="45" s="1"/>
  <c r="K722" i="45" s="1"/>
  <c r="K723" i="45" s="1"/>
  <c r="K724" i="45" s="1"/>
  <c r="K725" i="45" s="1"/>
  <c r="K726" i="45" s="1"/>
  <c r="K727" i="45" s="1"/>
  <c r="K728" i="45" s="1"/>
  <c r="K729" i="45" s="1"/>
  <c r="K730" i="45" s="1"/>
  <c r="K731" i="45" s="1"/>
  <c r="K732" i="45" s="1"/>
  <c r="K733" i="45" s="1"/>
  <c r="K734" i="45" s="1"/>
  <c r="K735" i="45" s="1"/>
  <c r="K736" i="45" s="1"/>
  <c r="K737" i="45" s="1"/>
  <c r="K738" i="45" s="1"/>
  <c r="K739" i="45" s="1"/>
  <c r="K740" i="45" s="1"/>
  <c r="K741" i="45" s="1"/>
  <c r="K742" i="45" s="1"/>
  <c r="K743" i="45" s="1"/>
  <c r="K744" i="45" s="1"/>
  <c r="K745" i="45" s="1"/>
  <c r="K746" i="45" s="1"/>
  <c r="K747" i="45" s="1"/>
  <c r="K748" i="45" s="1"/>
  <c r="K749" i="45" s="1"/>
  <c r="K750" i="45" s="1"/>
  <c r="K751" i="45" s="1"/>
  <c r="K752" i="45" s="1"/>
  <c r="K753" i="45" s="1"/>
  <c r="K754" i="45" s="1"/>
  <c r="K755" i="45" s="1"/>
  <c r="K756" i="45" s="1"/>
  <c r="K757" i="45" s="1"/>
  <c r="K758" i="45" s="1"/>
  <c r="K759" i="45" s="1"/>
  <c r="K760" i="45" s="1"/>
  <c r="K761" i="45" s="1"/>
  <c r="K762" i="45" s="1"/>
  <c r="K763" i="45" s="1"/>
  <c r="K764" i="45" s="1"/>
  <c r="K765" i="45" s="1"/>
  <c r="K766" i="45" s="1"/>
  <c r="K767" i="45" s="1"/>
  <c r="K768" i="45" s="1"/>
  <c r="K769" i="45" s="1"/>
  <c r="K770" i="45" s="1"/>
  <c r="K771" i="45" s="1"/>
  <c r="K772" i="45" s="1"/>
  <c r="K773" i="45" s="1"/>
  <c r="K774" i="45" s="1"/>
  <c r="K775" i="45" s="1"/>
  <c r="K776" i="45" s="1"/>
  <c r="K777" i="45" s="1"/>
  <c r="K778" i="45" s="1"/>
  <c r="K779" i="45" s="1"/>
  <c r="K780" i="45" s="1"/>
  <c r="K781" i="45" s="1"/>
  <c r="K782" i="45" s="1"/>
  <c r="K783" i="45" s="1"/>
  <c r="K784" i="45" s="1"/>
  <c r="K785" i="45" s="1"/>
  <c r="K786" i="45" s="1"/>
  <c r="K787" i="45" s="1"/>
  <c r="K788" i="45" s="1"/>
  <c r="K789" i="45" s="1"/>
  <c r="K790" i="45" s="1"/>
  <c r="K791" i="45" s="1"/>
  <c r="K792" i="45" s="1"/>
  <c r="K793" i="45" s="1"/>
  <c r="K794" i="45" s="1"/>
  <c r="K795" i="45" s="1"/>
  <c r="K796" i="45" s="1"/>
  <c r="K797" i="45" s="1"/>
  <c r="K798" i="45" s="1"/>
  <c r="K799" i="45" s="1"/>
  <c r="K800" i="45" s="1"/>
  <c r="K801" i="45" s="1"/>
  <c r="K802" i="45" s="1"/>
  <c r="K803" i="45" s="1"/>
  <c r="K804" i="45" s="1"/>
  <c r="K805" i="45" s="1"/>
  <c r="K806" i="45" s="1"/>
  <c r="K807" i="45" s="1"/>
  <c r="K808" i="45" s="1"/>
  <c r="K809" i="45" s="1"/>
  <c r="K810" i="45" s="1"/>
  <c r="K811" i="45" s="1"/>
  <c r="K812" i="45" s="1"/>
  <c r="K813" i="45" s="1"/>
  <c r="K814" i="45" s="1"/>
  <c r="K815" i="45" s="1"/>
  <c r="K816" i="45" s="1"/>
  <c r="K817" i="45" s="1"/>
  <c r="K818" i="45" s="1"/>
  <c r="K819" i="45" s="1"/>
  <c r="K820" i="45" s="1"/>
  <c r="K821" i="45" s="1"/>
  <c r="K822" i="45" s="1"/>
  <c r="K823" i="45" s="1"/>
  <c r="K824" i="45" s="1"/>
  <c r="K825" i="45" s="1"/>
  <c r="K826" i="45" s="1"/>
  <c r="K827" i="45" s="1"/>
  <c r="K828" i="45" s="1"/>
  <c r="K829" i="45" s="1"/>
  <c r="K830" i="45" s="1"/>
  <c r="K831" i="45" s="1"/>
  <c r="K832" i="45" s="1"/>
  <c r="K833" i="45" s="1"/>
  <c r="K834" i="45" s="1"/>
  <c r="K835" i="45" s="1"/>
  <c r="K836" i="45" s="1"/>
  <c r="K837" i="45" s="1"/>
  <c r="K838" i="45" s="1"/>
  <c r="K839" i="45" s="1"/>
  <c r="K840" i="45" s="1"/>
  <c r="K841" i="45" s="1"/>
  <c r="K842" i="45" s="1"/>
  <c r="K843" i="45" s="1"/>
  <c r="K844" i="45" s="1"/>
  <c r="K845" i="45" s="1"/>
  <c r="K846" i="45" s="1"/>
  <c r="K847" i="45" s="1"/>
  <c r="K848" i="45" s="1"/>
  <c r="K849" i="45" s="1"/>
  <c r="K850" i="45" s="1"/>
  <c r="K851" i="45" s="1"/>
  <c r="K852" i="45" s="1"/>
  <c r="K853" i="45" s="1"/>
  <c r="K854" i="45" s="1"/>
  <c r="K855" i="45" s="1"/>
  <c r="K856" i="45" s="1"/>
  <c r="K857" i="45" s="1"/>
  <c r="K858" i="45" s="1"/>
  <c r="K859" i="45" s="1"/>
  <c r="K860" i="45" s="1"/>
  <c r="K861" i="45" s="1"/>
  <c r="K862" i="45" s="1"/>
  <c r="K863" i="45" s="1"/>
  <c r="K864" i="45" s="1"/>
  <c r="K865" i="45" s="1"/>
  <c r="K866" i="45" s="1"/>
  <c r="K867" i="45" s="1"/>
  <c r="K868" i="45" s="1"/>
  <c r="K869" i="45" s="1"/>
  <c r="K870" i="45" s="1"/>
  <c r="K871" i="45" s="1"/>
  <c r="K872" i="45" s="1"/>
  <c r="K873" i="45" s="1"/>
  <c r="K874" i="45" s="1"/>
  <c r="K875" i="45" s="1"/>
  <c r="K876" i="45" s="1"/>
  <c r="K877" i="45" s="1"/>
  <c r="K878" i="45" s="1"/>
  <c r="K879" i="45" s="1"/>
  <c r="K880" i="45" s="1"/>
  <c r="K881" i="45" s="1"/>
  <c r="K882" i="45" s="1"/>
  <c r="K883" i="45" s="1"/>
  <c r="K884" i="45" s="1"/>
  <c r="K885" i="45" s="1"/>
  <c r="K886" i="45" s="1"/>
  <c r="K887" i="45" s="1"/>
  <c r="K888" i="45" s="1"/>
  <c r="K889" i="45" s="1"/>
  <c r="K890" i="45" s="1"/>
  <c r="K891" i="45" s="1"/>
  <c r="K892" i="45" s="1"/>
  <c r="K893" i="45" s="1"/>
  <c r="K894" i="45" s="1"/>
  <c r="K895" i="45" s="1"/>
  <c r="K896" i="45" s="1"/>
  <c r="K897" i="45" s="1"/>
  <c r="K898" i="45" s="1"/>
  <c r="K899" i="45" s="1"/>
  <c r="K900" i="45" s="1"/>
  <c r="K901" i="45" s="1"/>
  <c r="K902" i="45" s="1"/>
  <c r="K903" i="45" s="1"/>
  <c r="K904" i="45" s="1"/>
  <c r="K905" i="45" s="1"/>
  <c r="K906" i="45" s="1"/>
  <c r="K907" i="45" s="1"/>
  <c r="K908" i="45" s="1"/>
  <c r="K909" i="45" s="1"/>
  <c r="K910" i="45" s="1"/>
  <c r="K911" i="45" s="1"/>
  <c r="K912" i="45" s="1"/>
  <c r="K913" i="45" s="1"/>
  <c r="K914" i="45" s="1"/>
  <c r="K915" i="45" s="1"/>
  <c r="K916" i="45" s="1"/>
  <c r="K917" i="45" s="1"/>
  <c r="K918" i="45" s="1"/>
  <c r="K919" i="45" s="1"/>
  <c r="K920" i="45" s="1"/>
  <c r="K921" i="45" s="1"/>
  <c r="K922" i="45" s="1"/>
  <c r="K923" i="45" s="1"/>
  <c r="K924" i="45" s="1"/>
  <c r="K925" i="45" s="1"/>
  <c r="K926" i="45" s="1"/>
  <c r="K927" i="45" s="1"/>
  <c r="K928" i="45" s="1"/>
  <c r="K929" i="45" s="1"/>
  <c r="K930" i="45" s="1"/>
  <c r="K931" i="45" s="1"/>
  <c r="K932" i="45" s="1"/>
  <c r="K933" i="45" s="1"/>
  <c r="K934" i="45" s="1"/>
  <c r="K935" i="45" s="1"/>
  <c r="K936" i="45" s="1"/>
  <c r="K937" i="45" s="1"/>
  <c r="K938" i="45" s="1"/>
  <c r="K939" i="45" s="1"/>
  <c r="K940" i="45" s="1"/>
  <c r="K941" i="45" s="1"/>
  <c r="K942" i="45" s="1"/>
  <c r="K943" i="45" s="1"/>
  <c r="K944" i="45" s="1"/>
  <c r="K945" i="45" s="1"/>
  <c r="K946" i="45" s="1"/>
  <c r="K947" i="45" s="1"/>
  <c r="K948" i="45" s="1"/>
  <c r="K949" i="45" s="1"/>
  <c r="K950" i="45" s="1"/>
  <c r="K951" i="45" s="1"/>
  <c r="K952" i="45" s="1"/>
  <c r="K953" i="45" s="1"/>
  <c r="K954" i="45" s="1"/>
  <c r="K955" i="45" s="1"/>
  <c r="K956" i="45" s="1"/>
  <c r="K957" i="45" s="1"/>
  <c r="K958" i="45" s="1"/>
  <c r="K959" i="45" s="1"/>
  <c r="K960" i="45" s="1"/>
  <c r="K961" i="45" s="1"/>
  <c r="K962" i="45" s="1"/>
  <c r="K963" i="45" s="1"/>
  <c r="K964" i="45" s="1"/>
  <c r="K965" i="45" s="1"/>
  <c r="K966" i="45" s="1"/>
  <c r="K967" i="45" s="1"/>
  <c r="K968" i="45" s="1"/>
  <c r="K969" i="45" s="1"/>
  <c r="K970" i="45" s="1"/>
  <c r="K971" i="45" s="1"/>
  <c r="K972" i="45" s="1"/>
  <c r="K973" i="45" s="1"/>
  <c r="K974" i="45" s="1"/>
  <c r="K975" i="45" s="1"/>
  <c r="K976" i="45" s="1"/>
  <c r="K977" i="45" s="1"/>
  <c r="K978" i="45" s="1"/>
  <c r="K979" i="45" s="1"/>
  <c r="K980" i="45" s="1"/>
  <c r="K981" i="45" s="1"/>
  <c r="K982" i="45" s="1"/>
  <c r="K983" i="45" s="1"/>
  <c r="K984" i="45" s="1"/>
  <c r="K985" i="45" s="1"/>
  <c r="K986" i="45" s="1"/>
  <c r="K987" i="45" s="1"/>
  <c r="K988" i="45" s="1"/>
  <c r="K989" i="45" s="1"/>
  <c r="K990" i="45" s="1"/>
  <c r="K991" i="45" s="1"/>
  <c r="K992" i="45" s="1"/>
  <c r="K993" i="45" s="1"/>
  <c r="K994" i="45" s="1"/>
  <c r="K995" i="45" s="1"/>
  <c r="K996" i="45" s="1"/>
  <c r="K997" i="45" s="1"/>
  <c r="K998" i="45" s="1"/>
  <c r="K999" i="45" s="1"/>
  <c r="K1000" i="45" s="1"/>
  <c r="K1001" i="45" s="1"/>
  <c r="K1002" i="45" s="1"/>
  <c r="K1003" i="45" s="1"/>
  <c r="K1004" i="45" s="1"/>
  <c r="K1005" i="45" s="1"/>
  <c r="K1006" i="45" s="1"/>
  <c r="K1007" i="45" s="1"/>
  <c r="K1008" i="45" s="1"/>
  <c r="K1009" i="45" s="1"/>
  <c r="K1010" i="45" s="1"/>
  <c r="K1011" i="45" s="1"/>
  <c r="K1012" i="45" s="1"/>
  <c r="K1013" i="45" s="1"/>
  <c r="K1014" i="45" s="1"/>
  <c r="K1015" i="45" s="1"/>
  <c r="K1016" i="45" s="1"/>
  <c r="K1017" i="45" s="1"/>
  <c r="K1018" i="45" s="1"/>
  <c r="K1019" i="45" s="1"/>
  <c r="K1020" i="45" s="1"/>
  <c r="K1021" i="45" s="1"/>
  <c r="K1022" i="45" s="1"/>
  <c r="K1023" i="45" s="1"/>
  <c r="K1024" i="45" s="1"/>
  <c r="K1025" i="45" s="1"/>
  <c r="K1026" i="45" s="1"/>
  <c r="K1027" i="45" s="1"/>
  <c r="K1028" i="45" s="1"/>
  <c r="K1029" i="45" s="1"/>
  <c r="K1030" i="45" s="1"/>
  <c r="K1031" i="45" s="1"/>
  <c r="K1032" i="45" s="1"/>
  <c r="K1033" i="45" s="1"/>
  <c r="K1034" i="45" s="1"/>
  <c r="K1035" i="45" s="1"/>
  <c r="K1036" i="45" s="1"/>
  <c r="K1037" i="45" s="1"/>
  <c r="K1038" i="45" s="1"/>
  <c r="K1039" i="45" s="1"/>
  <c r="K1040" i="45" s="1"/>
  <c r="K1041" i="45" s="1"/>
  <c r="K1042" i="45" s="1"/>
  <c r="K1043" i="45" s="1"/>
  <c r="K1044" i="45" s="1"/>
  <c r="K1045" i="45" s="1"/>
  <c r="K1046" i="45" s="1"/>
  <c r="K1047" i="45" s="1"/>
  <c r="K1048" i="45" s="1"/>
  <c r="K1049" i="45" s="1"/>
  <c r="K1050" i="45" s="1"/>
  <c r="K1051" i="45" s="1"/>
  <c r="K1052" i="45" s="1"/>
  <c r="K1053" i="45" s="1"/>
  <c r="K1054" i="45" s="1"/>
  <c r="K1055" i="45" s="1"/>
  <c r="K1056" i="45" s="1"/>
  <c r="K1057" i="45" s="1"/>
  <c r="K1058" i="45" s="1"/>
  <c r="K1059" i="45" s="1"/>
  <c r="K1060" i="45" s="1"/>
  <c r="K1061" i="45" s="1"/>
  <c r="K1062" i="45" s="1"/>
  <c r="K1063" i="45" s="1"/>
  <c r="K1064" i="45" s="1"/>
  <c r="K1065" i="45" s="1"/>
  <c r="K1066" i="45" s="1"/>
  <c r="K1067" i="45" s="1"/>
  <c r="K1068" i="45" s="1"/>
  <c r="K1069" i="45" s="1"/>
  <c r="K1070" i="45" s="1"/>
  <c r="K1071" i="45" s="1"/>
  <c r="K1072" i="45" s="1"/>
  <c r="K1073" i="45" s="1"/>
  <c r="K1074" i="45" s="1"/>
  <c r="K1075" i="45" s="1"/>
  <c r="K1076" i="45" s="1"/>
  <c r="K1077" i="45" s="1"/>
  <c r="K1078" i="45" s="1"/>
  <c r="K1079" i="45" s="1"/>
  <c r="K1080" i="45" s="1"/>
  <c r="K1081" i="45" s="1"/>
  <c r="K1082" i="45" s="1"/>
  <c r="K1083" i="45" s="1"/>
  <c r="K1084" i="45" s="1"/>
  <c r="K1085" i="45" s="1"/>
  <c r="K1086" i="45" s="1"/>
  <c r="K1087" i="45" s="1"/>
  <c r="K1088" i="45" s="1"/>
  <c r="K1089" i="45" s="1"/>
  <c r="K1090" i="45" s="1"/>
  <c r="K1091" i="45" s="1"/>
  <c r="K1092" i="45" s="1"/>
  <c r="K1093" i="45" s="1"/>
  <c r="K1094" i="45" s="1"/>
  <c r="K1095" i="45" s="1"/>
  <c r="K1096" i="45" s="1"/>
  <c r="K1097" i="45" s="1"/>
  <c r="K1098" i="45" s="1"/>
  <c r="K1099" i="45" s="1"/>
  <c r="K1100" i="45" s="1"/>
  <c r="K1101" i="45" s="1"/>
  <c r="K1102" i="45" s="1"/>
  <c r="K1103" i="45" s="1"/>
  <c r="K1104" i="45" s="1"/>
  <c r="K1105" i="45" s="1"/>
  <c r="K1106" i="45" s="1"/>
  <c r="K1107" i="45" s="1"/>
  <c r="K1108" i="45" s="1"/>
  <c r="K1109" i="45" s="1"/>
  <c r="K1110" i="45" s="1"/>
  <c r="K1111" i="45" s="1"/>
  <c r="K1112" i="45" s="1"/>
  <c r="K1113" i="45" s="1"/>
  <c r="K1114" i="45" s="1"/>
  <c r="K1115" i="45" s="1"/>
  <c r="K1116" i="45" s="1"/>
  <c r="K1117" i="45" s="1"/>
  <c r="K1118" i="45" s="1"/>
  <c r="K1119" i="45" s="1"/>
  <c r="K1120" i="45" s="1"/>
  <c r="K1121" i="45" s="1"/>
  <c r="K1122" i="45" s="1"/>
  <c r="K1123" i="45" s="1"/>
  <c r="K1124" i="45" s="1"/>
  <c r="K1125" i="45" s="1"/>
  <c r="K1126" i="45" s="1"/>
  <c r="K1127" i="45" s="1"/>
  <c r="K1128" i="45" s="1"/>
  <c r="K1129" i="45" s="1"/>
  <c r="K1130" i="45" s="1"/>
  <c r="K1131" i="45" s="1"/>
  <c r="K1132" i="45" s="1"/>
  <c r="K1133" i="45" s="1"/>
  <c r="K1134" i="45" s="1"/>
  <c r="K1135" i="45" s="1"/>
  <c r="K1136" i="45" s="1"/>
  <c r="K1137" i="45" s="1"/>
  <c r="K1138" i="45" s="1"/>
  <c r="K1139" i="45" s="1"/>
  <c r="K1140" i="45" s="1"/>
  <c r="K1141" i="45" s="1"/>
  <c r="K1142" i="45" s="1"/>
  <c r="K1143" i="45" s="1"/>
  <c r="K1144" i="45" s="1"/>
  <c r="K1145" i="45" s="1"/>
  <c r="K1146" i="45" s="1"/>
  <c r="K1147" i="45" s="1"/>
  <c r="K1148" i="45" s="1"/>
  <c r="K1149" i="45" s="1"/>
  <c r="K1150" i="45" s="1"/>
  <c r="K1151" i="45" s="1"/>
  <c r="K1152" i="45" s="1"/>
  <c r="K1153" i="45" s="1"/>
  <c r="K1154" i="45" s="1"/>
  <c r="K1155" i="45" s="1"/>
  <c r="K1156" i="45" s="1"/>
  <c r="K1157" i="45" s="1"/>
  <c r="K1158" i="45" s="1"/>
  <c r="K1159" i="45" s="1"/>
  <c r="K1160" i="45" s="1"/>
  <c r="K1161" i="45" s="1"/>
  <c r="K1162" i="45" s="1"/>
  <c r="K1163" i="45" s="1"/>
  <c r="K1164" i="45" s="1"/>
  <c r="K1165" i="45" s="1"/>
  <c r="K1166" i="45" s="1"/>
  <c r="K1167" i="45" s="1"/>
  <c r="K1168" i="45" s="1"/>
  <c r="K1169" i="45" s="1"/>
  <c r="K1170" i="45" s="1"/>
  <c r="K1171" i="45" s="1"/>
  <c r="K1172" i="45" s="1"/>
  <c r="K1173" i="45" s="1"/>
  <c r="K1174" i="45" s="1"/>
  <c r="K1175" i="45" s="1"/>
  <c r="K1176" i="45" s="1"/>
  <c r="K1177" i="45" s="1"/>
  <c r="K1178" i="45" s="1"/>
  <c r="K1179" i="45" s="1"/>
  <c r="K1180" i="45" s="1"/>
  <c r="K1181" i="45" s="1"/>
  <c r="K1182" i="45" s="1"/>
  <c r="K1183" i="45" s="1"/>
  <c r="K1184" i="45" s="1"/>
  <c r="K1185" i="45" s="1"/>
  <c r="K1186" i="45" s="1"/>
  <c r="K1187" i="45" s="1"/>
  <c r="K1188" i="45" s="1"/>
  <c r="K1189" i="45" s="1"/>
  <c r="K1190" i="45" s="1"/>
  <c r="K1191" i="45" s="1"/>
  <c r="K1192" i="45" s="1"/>
  <c r="K1193" i="45" s="1"/>
  <c r="K1194" i="45" s="1"/>
  <c r="K1195" i="45" s="1"/>
  <c r="K1196" i="45" s="1"/>
  <c r="K1197" i="45" s="1"/>
  <c r="K1198" i="45" s="1"/>
  <c r="K1199" i="45" s="1"/>
  <c r="K1200" i="45" s="1"/>
  <c r="K1201" i="45" s="1"/>
  <c r="K1202" i="45" s="1"/>
  <c r="K1203" i="45" s="1"/>
  <c r="K1204" i="45" s="1"/>
  <c r="K1205" i="45" s="1"/>
  <c r="K1206" i="45" s="1"/>
  <c r="K1207" i="45" s="1"/>
  <c r="K1208" i="45" s="1"/>
  <c r="K1209" i="45" s="1"/>
  <c r="K1210" i="45" s="1"/>
  <c r="K1211" i="45" s="1"/>
  <c r="K1212" i="45" s="1"/>
  <c r="K1213" i="45" s="1"/>
  <c r="K1214" i="45" s="1"/>
  <c r="K1215" i="45" s="1"/>
  <c r="K1216" i="45" s="1"/>
  <c r="K1217" i="45" s="1"/>
  <c r="K1218" i="45" s="1"/>
  <c r="K1219" i="45" s="1"/>
  <c r="K1220" i="45" s="1"/>
  <c r="K1221" i="45" s="1"/>
  <c r="K1222" i="45" s="1"/>
  <c r="K1223" i="45" s="1"/>
  <c r="K1224" i="45" s="1"/>
  <c r="K1225" i="45" s="1"/>
  <c r="K1226" i="45" s="1"/>
  <c r="K1227" i="45" s="1"/>
  <c r="K1228" i="45" s="1"/>
  <c r="K1229" i="45" s="1"/>
  <c r="K1230" i="45" s="1"/>
  <c r="K1231" i="45" s="1"/>
  <c r="K1232" i="45" s="1"/>
  <c r="K1233" i="45" s="1"/>
  <c r="K1234" i="45" s="1"/>
  <c r="K1235" i="45" s="1"/>
  <c r="K1236" i="45" s="1"/>
  <c r="K1237" i="45" s="1"/>
  <c r="K1238" i="45" s="1"/>
  <c r="K1239" i="45" s="1"/>
  <c r="K1240" i="45" s="1"/>
  <c r="K1241" i="45" s="1"/>
  <c r="K1242" i="45" s="1"/>
  <c r="K1243" i="45" s="1"/>
  <c r="K1244" i="45" s="1"/>
  <c r="K1245" i="45" s="1"/>
  <c r="K1246" i="45" s="1"/>
  <c r="K1247" i="45" s="1"/>
  <c r="K1248" i="45" s="1"/>
  <c r="K1249" i="45" s="1"/>
  <c r="K1250" i="45" s="1"/>
  <c r="K1251" i="45" s="1"/>
  <c r="K1252" i="45" s="1"/>
  <c r="K1253" i="45" s="1"/>
  <c r="K1254" i="45" s="1"/>
  <c r="K1255" i="45" s="1"/>
  <c r="K1256" i="45" s="1"/>
  <c r="K1257" i="45" s="1"/>
  <c r="K1258" i="45" s="1"/>
  <c r="K1259" i="45" s="1"/>
  <c r="K1260" i="45" s="1"/>
  <c r="K1261" i="45" s="1"/>
  <c r="K1262" i="45" s="1"/>
  <c r="K1263" i="45" s="1"/>
  <c r="K1264" i="45" s="1"/>
  <c r="K1265" i="45" s="1"/>
  <c r="K1266" i="45" s="1"/>
  <c r="K1267" i="45" s="1"/>
  <c r="K1268" i="45" s="1"/>
  <c r="K1269" i="45" s="1"/>
  <c r="K1270" i="45" s="1"/>
  <c r="K1271" i="45" s="1"/>
  <c r="K1272" i="45" s="1"/>
  <c r="K1273" i="45" s="1"/>
  <c r="K1274" i="45" s="1"/>
  <c r="K1275" i="45" s="1"/>
  <c r="K1276" i="45" s="1"/>
  <c r="K1277" i="45" s="1"/>
  <c r="K1278" i="45" s="1"/>
  <c r="K1279" i="45" s="1"/>
  <c r="K1280" i="45" s="1"/>
  <c r="K1281" i="45" s="1"/>
  <c r="K1282" i="45" s="1"/>
  <c r="K1283" i="45" s="1"/>
  <c r="K1284" i="45" s="1"/>
  <c r="K1285" i="45" s="1"/>
  <c r="K1286" i="45" s="1"/>
  <c r="K1287" i="45" s="1"/>
  <c r="K1288" i="45" s="1"/>
  <c r="K1289" i="45" s="1"/>
  <c r="K1290" i="45" s="1"/>
  <c r="K1291" i="45" s="1"/>
  <c r="K1292" i="45" s="1"/>
  <c r="K1293" i="45" s="1"/>
  <c r="K1294" i="45" s="1"/>
  <c r="K1295" i="45" s="1"/>
  <c r="K1296" i="45" s="1"/>
  <c r="K1297" i="45" s="1"/>
  <c r="K1298" i="45" s="1"/>
  <c r="K1299" i="45" s="1"/>
  <c r="K1300" i="45" s="1"/>
  <c r="K1301" i="45" s="1"/>
  <c r="K1302" i="45" s="1"/>
  <c r="K1303" i="45" s="1"/>
  <c r="K1304" i="45" s="1"/>
  <c r="K1305" i="45" s="1"/>
  <c r="K1306" i="45" s="1"/>
  <c r="K1307" i="45" s="1"/>
  <c r="K1308" i="45" s="1"/>
  <c r="K1309" i="45" s="1"/>
  <c r="K1310" i="45" s="1"/>
  <c r="K1311" i="45" s="1"/>
  <c r="K1312" i="45" s="1"/>
  <c r="K1313" i="45" s="1"/>
  <c r="K1314" i="45" s="1"/>
  <c r="K1315" i="45" s="1"/>
  <c r="K1316" i="45" s="1"/>
  <c r="K1317" i="45" s="1"/>
  <c r="K1318" i="45" s="1"/>
  <c r="K1319" i="45" s="1"/>
  <c r="K1320" i="45" s="1"/>
  <c r="K1321" i="45" s="1"/>
  <c r="K1322" i="45" s="1"/>
  <c r="K1323" i="45" s="1"/>
  <c r="K1324" i="45" s="1"/>
  <c r="K1325" i="45" s="1"/>
  <c r="K1326" i="45" s="1"/>
  <c r="K1327" i="45" s="1"/>
  <c r="K1328" i="45" s="1"/>
  <c r="K1329" i="45" s="1"/>
  <c r="K1330" i="45" s="1"/>
  <c r="K1331" i="45" s="1"/>
  <c r="K1332" i="45" s="1"/>
  <c r="K1333" i="45" s="1"/>
  <c r="K1334" i="45" s="1"/>
  <c r="K1335" i="45" s="1"/>
  <c r="K1336" i="45" s="1"/>
  <c r="K1337" i="45" s="1"/>
  <c r="K1338" i="45" s="1"/>
  <c r="K1339" i="45" s="1"/>
  <c r="K1340" i="45" s="1"/>
  <c r="K1341" i="45" s="1"/>
  <c r="D6" i="20"/>
  <c r="M11" i="9"/>
  <c r="BL137" i="20"/>
  <c r="BL136" i="20"/>
  <c r="BL135" i="20"/>
  <c r="BL134" i="20"/>
  <c r="BL133" i="20"/>
  <c r="BL132" i="20"/>
  <c r="BL131" i="20"/>
  <c r="BL130" i="20"/>
  <c r="BL129" i="20"/>
  <c r="BL128" i="20"/>
  <c r="BL127" i="20"/>
  <c r="BL126" i="20"/>
  <c r="BL125" i="20"/>
  <c r="BL124" i="20"/>
  <c r="BL123" i="20"/>
  <c r="BL122" i="20"/>
  <c r="BL121" i="20"/>
  <c r="BL120" i="20"/>
  <c r="BL119" i="20"/>
  <c r="BL118" i="20"/>
  <c r="BL117" i="20"/>
  <c r="BL116" i="20"/>
  <c r="BL115" i="20"/>
  <c r="BL114" i="20"/>
  <c r="BL113" i="20"/>
  <c r="BL112" i="20"/>
  <c r="BL111" i="20"/>
  <c r="BL110" i="20"/>
  <c r="BL109" i="20"/>
  <c r="BL108" i="20"/>
  <c r="BL107" i="20"/>
  <c r="BL106" i="20"/>
  <c r="BL105" i="20"/>
  <c r="BL104" i="20"/>
  <c r="BL103" i="20"/>
  <c r="BL102" i="20"/>
  <c r="BL101" i="20"/>
  <c r="BL100" i="20"/>
  <c r="BL99" i="20"/>
  <c r="BL98" i="20"/>
  <c r="BL97" i="20"/>
  <c r="BL96" i="20"/>
  <c r="BL95" i="20"/>
  <c r="BL93" i="20"/>
  <c r="BL91" i="20"/>
  <c r="BL89" i="20"/>
  <c r="BL87" i="20"/>
  <c r="BL85" i="20"/>
  <c r="BL83" i="20"/>
  <c r="BL81" i="20"/>
  <c r="BL79" i="20"/>
  <c r="BL77" i="20"/>
  <c r="BL75" i="20"/>
  <c r="BL73" i="20"/>
  <c r="BL71" i="20"/>
  <c r="BL69" i="20"/>
  <c r="BL67" i="20"/>
  <c r="BL65" i="20"/>
  <c r="BL63" i="20"/>
  <c r="BL61" i="20"/>
  <c r="BL59" i="20"/>
  <c r="BL57" i="20"/>
  <c r="BL55" i="20"/>
  <c r="BL53" i="20"/>
  <c r="BL51" i="20"/>
  <c r="BL49" i="20"/>
  <c r="BL47" i="20"/>
  <c r="BL45" i="20"/>
  <c r="BL43" i="20"/>
  <c r="BL41" i="20"/>
  <c r="BL39" i="20"/>
  <c r="BL37" i="20"/>
  <c r="BL35" i="20"/>
  <c r="BL33" i="20"/>
  <c r="BL94" i="20"/>
  <c r="BL92" i="20"/>
  <c r="BL90" i="20"/>
  <c r="BL88" i="20"/>
  <c r="BL86" i="20"/>
  <c r="BL84" i="20"/>
  <c r="BL82" i="20"/>
  <c r="BL80" i="20"/>
  <c r="BL78" i="20"/>
  <c r="BL76" i="20"/>
  <c r="BL74" i="20"/>
  <c r="BL72" i="20"/>
  <c r="BL70" i="20"/>
  <c r="BL68" i="20"/>
  <c r="BL66" i="20"/>
  <c r="BL64" i="20"/>
  <c r="BL62" i="20"/>
  <c r="BL60" i="20"/>
  <c r="BL58" i="20"/>
  <c r="BL56" i="20"/>
  <c r="BL54" i="20"/>
  <c r="BL52" i="20"/>
  <c r="BL50" i="20"/>
  <c r="BL48" i="20"/>
  <c r="BL46" i="20"/>
  <c r="BL44" i="20"/>
  <c r="BL42" i="20"/>
  <c r="BL40" i="20"/>
  <c r="BL38" i="20"/>
  <c r="BL36" i="20"/>
  <c r="BL34" i="20"/>
  <c r="BL32" i="20"/>
  <c r="BL31" i="20"/>
  <c r="BL30" i="20"/>
  <c r="BL29" i="20"/>
  <c r="BL28" i="20"/>
  <c r="BL27" i="20"/>
  <c r="BI136" i="20"/>
  <c r="BI134" i="20"/>
  <c r="BI132" i="20"/>
  <c r="BI130" i="20"/>
  <c r="BI128" i="20"/>
  <c r="BI126" i="20"/>
  <c r="BI124" i="20"/>
  <c r="BI122" i="20"/>
  <c r="BI120" i="20"/>
  <c r="BI118" i="20"/>
  <c r="BI116" i="20"/>
  <c r="BI114" i="20"/>
  <c r="BI112" i="20"/>
  <c r="BI110" i="20"/>
  <c r="BI108" i="20"/>
  <c r="BI106" i="20"/>
  <c r="BI104" i="20"/>
  <c r="BI102" i="20"/>
  <c r="BI100" i="20"/>
  <c r="BI98" i="20"/>
  <c r="BI95" i="20"/>
  <c r="BI94" i="20"/>
  <c r="BI93" i="20"/>
  <c r="BI92" i="20"/>
  <c r="BI91" i="20"/>
  <c r="BI90" i="20"/>
  <c r="BI89" i="20"/>
  <c r="BI88" i="20"/>
  <c r="BI87" i="20"/>
  <c r="BI86" i="20"/>
  <c r="BI85" i="20"/>
  <c r="BI84" i="20"/>
  <c r="BI83" i="20"/>
  <c r="BI82" i="20"/>
  <c r="BI81" i="20"/>
  <c r="BI80" i="20"/>
  <c r="BI79" i="20"/>
  <c r="BI78" i="20"/>
  <c r="BI77" i="20"/>
  <c r="BI76" i="20"/>
  <c r="BI75" i="20"/>
  <c r="BI74" i="20"/>
  <c r="BI73" i="20"/>
  <c r="BI72" i="20"/>
  <c r="BI71" i="20"/>
  <c r="BI70" i="20"/>
  <c r="BI69" i="20"/>
  <c r="BI68" i="20"/>
  <c r="BI67" i="20"/>
  <c r="BI66" i="20"/>
  <c r="BI65" i="20"/>
  <c r="BI64" i="20"/>
  <c r="BI63" i="20"/>
  <c r="BI62" i="20"/>
  <c r="BI61" i="20"/>
  <c r="BI60" i="20"/>
  <c r="BI59" i="20"/>
  <c r="BI58" i="20"/>
  <c r="BI57" i="20"/>
  <c r="BI56" i="20"/>
  <c r="BI55" i="20"/>
  <c r="BI54" i="20"/>
  <c r="BI53" i="20"/>
  <c r="BI52" i="20"/>
  <c r="BI51" i="20"/>
  <c r="BI50" i="20"/>
  <c r="BI49" i="20"/>
  <c r="BI48" i="20"/>
  <c r="BI47" i="20"/>
  <c r="BI46" i="20"/>
  <c r="BI45" i="20"/>
  <c r="BI44" i="20"/>
  <c r="BI43" i="20"/>
  <c r="BI42" i="20"/>
  <c r="BI41" i="20"/>
  <c r="BI40" i="20"/>
  <c r="BI39" i="20"/>
  <c r="BI38" i="20"/>
  <c r="BI37" i="20"/>
  <c r="BI36" i="20"/>
  <c r="BI35" i="20"/>
  <c r="BI34" i="20"/>
  <c r="BI33" i="20"/>
  <c r="BI32" i="20"/>
  <c r="BI135" i="20"/>
  <c r="BI131" i="20"/>
  <c r="BI127" i="20"/>
  <c r="BI123" i="20"/>
  <c r="BI119" i="20"/>
  <c r="BI115" i="20"/>
  <c r="BI111" i="20"/>
  <c r="BI107" i="20"/>
  <c r="BI103" i="20"/>
  <c r="BI99" i="20"/>
  <c r="BI31" i="20"/>
  <c r="BI30" i="20"/>
  <c r="BI29" i="20"/>
  <c r="BI28" i="20"/>
  <c r="BI27" i="20"/>
  <c r="BI137" i="20"/>
  <c r="BI133" i="20"/>
  <c r="BI129" i="20"/>
  <c r="BI125" i="20"/>
  <c r="BI121" i="20"/>
  <c r="BI117" i="20"/>
  <c r="BI113" i="20"/>
  <c r="BI109" i="20"/>
  <c r="BI105" i="20"/>
  <c r="BI101" i="20"/>
  <c r="BI97" i="20"/>
  <c r="BI96" i="20"/>
  <c r="B19" i="22"/>
  <c r="B18" i="22"/>
  <c r="B21" i="22"/>
  <c r="B17" i="22"/>
  <c r="B20" i="22"/>
  <c r="B16" i="22"/>
  <c r="M149" i="22"/>
  <c r="F19" i="65" s="1"/>
  <c r="BM95" i="20"/>
  <c r="BM94" i="20"/>
  <c r="BM93" i="20"/>
  <c r="BM92" i="20"/>
  <c r="BM91" i="20"/>
  <c r="BM90" i="20"/>
  <c r="BM89" i="20"/>
  <c r="BM88" i="20"/>
  <c r="BM87" i="20"/>
  <c r="BM86" i="20"/>
  <c r="BM85" i="20"/>
  <c r="BM84" i="20"/>
  <c r="BM83" i="20"/>
  <c r="BM82" i="20"/>
  <c r="BM81" i="20"/>
  <c r="BM80" i="20"/>
  <c r="BM79" i="20"/>
  <c r="BM78" i="20"/>
  <c r="BM77" i="20"/>
  <c r="BM76" i="20"/>
  <c r="BM75" i="20"/>
  <c r="BM74" i="20"/>
  <c r="BM73" i="20"/>
  <c r="BM72" i="20"/>
  <c r="BM71" i="20"/>
  <c r="BM70" i="20"/>
  <c r="BM69" i="20"/>
  <c r="BM68" i="20"/>
  <c r="BM67" i="20"/>
  <c r="BM66" i="20"/>
  <c r="BM65" i="20"/>
  <c r="BM64" i="20"/>
  <c r="BM63" i="20"/>
  <c r="BM62" i="20"/>
  <c r="BM61" i="20"/>
  <c r="BM60" i="20"/>
  <c r="BM59" i="20"/>
  <c r="BM58" i="20"/>
  <c r="BM57" i="20"/>
  <c r="BM56" i="20"/>
  <c r="BM55" i="20"/>
  <c r="BM54" i="20"/>
  <c r="BM53" i="20"/>
  <c r="BM52" i="20"/>
  <c r="BM51" i="20"/>
  <c r="BM50" i="20"/>
  <c r="BM49" i="20"/>
  <c r="BM48" i="20"/>
  <c r="BM47" i="20"/>
  <c r="BM46" i="20"/>
  <c r="BM45" i="20"/>
  <c r="BM44" i="20"/>
  <c r="BM43" i="20"/>
  <c r="BM42" i="20"/>
  <c r="BM41" i="20"/>
  <c r="BM40" i="20"/>
  <c r="BM39" i="20"/>
  <c r="BM38" i="20"/>
  <c r="BM37" i="20"/>
  <c r="BM36" i="20"/>
  <c r="BM35" i="20"/>
  <c r="BM34" i="20"/>
  <c r="BM33" i="20"/>
  <c r="BM32" i="20"/>
  <c r="BM31" i="20"/>
  <c r="BM30" i="20"/>
  <c r="BM29" i="20"/>
  <c r="BM28" i="20"/>
  <c r="BM27" i="20"/>
  <c r="BM131" i="20"/>
  <c r="BM122" i="20"/>
  <c r="BM115" i="20"/>
  <c r="BM106" i="20"/>
  <c r="BM98" i="20"/>
  <c r="BM135" i="20"/>
  <c r="BM134" i="20"/>
  <c r="BM110" i="20"/>
  <c r="BM102" i="20"/>
  <c r="BM137" i="20"/>
  <c r="BM136" i="20"/>
  <c r="BM129" i="20"/>
  <c r="BM128" i="20"/>
  <c r="BM121" i="20"/>
  <c r="BM120" i="20"/>
  <c r="BM113" i="20"/>
  <c r="BM112" i="20"/>
  <c r="BM105" i="20"/>
  <c r="BM104" i="20"/>
  <c r="BM97" i="20"/>
  <c r="BM96" i="20"/>
  <c r="BM127" i="20"/>
  <c r="BM118" i="20"/>
  <c r="BM111" i="20"/>
  <c r="BM133" i="20"/>
  <c r="BM132" i="20"/>
  <c r="BM125" i="20"/>
  <c r="BM124" i="20"/>
  <c r="BM117" i="20"/>
  <c r="BM116" i="20"/>
  <c r="BM109" i="20"/>
  <c r="BM108" i="20"/>
  <c r="BM101" i="20"/>
  <c r="BM100" i="20"/>
  <c r="BM130" i="20"/>
  <c r="BM123" i="20"/>
  <c r="BM114" i="20"/>
  <c r="BM107" i="20"/>
  <c r="BM99" i="20"/>
  <c r="BM126" i="20"/>
  <c r="BM119" i="20"/>
  <c r="BM103" i="20"/>
  <c r="BG137" i="20"/>
  <c r="BG136" i="20"/>
  <c r="BG135" i="20"/>
  <c r="BG134" i="20"/>
  <c r="BG133" i="20"/>
  <c r="BG132" i="20"/>
  <c r="BG131" i="20"/>
  <c r="BG130" i="20"/>
  <c r="BG129" i="20"/>
  <c r="BG128" i="20"/>
  <c r="BG127" i="20"/>
  <c r="BG126" i="20"/>
  <c r="BG125" i="20"/>
  <c r="BG124" i="20"/>
  <c r="BG123" i="20"/>
  <c r="BG122" i="20"/>
  <c r="BG121" i="20"/>
  <c r="BG120" i="20"/>
  <c r="BG119" i="20"/>
  <c r="BG118" i="20"/>
  <c r="BG117" i="20"/>
  <c r="BG116" i="20"/>
  <c r="BG115" i="20"/>
  <c r="BG114" i="20"/>
  <c r="BG113" i="20"/>
  <c r="BG112" i="20"/>
  <c r="BG111" i="20"/>
  <c r="BG110" i="20"/>
  <c r="BG109" i="20"/>
  <c r="BG108" i="20"/>
  <c r="BG107" i="20"/>
  <c r="BG106" i="20"/>
  <c r="BG105" i="20"/>
  <c r="BG104" i="20"/>
  <c r="BG103" i="20"/>
  <c r="BG102" i="20"/>
  <c r="BG101" i="20"/>
  <c r="BG100" i="20"/>
  <c r="BG99" i="20"/>
  <c r="BG98" i="20"/>
  <c r="BG97" i="20"/>
  <c r="BG96" i="20"/>
  <c r="BG83" i="20"/>
  <c r="BG75" i="20"/>
  <c r="BG67" i="20"/>
  <c r="BG55" i="20"/>
  <c r="BG51" i="20"/>
  <c r="BG39" i="20"/>
  <c r="BG35" i="20"/>
  <c r="BG73" i="20"/>
  <c r="BG61" i="20"/>
  <c r="BG53" i="20"/>
  <c r="BG41" i="20"/>
  <c r="BG37" i="20"/>
  <c r="BG92" i="20"/>
  <c r="BG88" i="20"/>
  <c r="BG84" i="20"/>
  <c r="BG80" i="20"/>
  <c r="BG76" i="20"/>
  <c r="BG72" i="20"/>
  <c r="BG68" i="20"/>
  <c r="BG64" i="20"/>
  <c r="BG60" i="20"/>
  <c r="BG56" i="20"/>
  <c r="BG52" i="20"/>
  <c r="BG48" i="20"/>
  <c r="BG44" i="20"/>
  <c r="BG40" i="20"/>
  <c r="BG36" i="20"/>
  <c r="BG32" i="20"/>
  <c r="BG31" i="20"/>
  <c r="BG30" i="20"/>
  <c r="BG29" i="20"/>
  <c r="BG28" i="20"/>
  <c r="BG27" i="20"/>
  <c r="BG93" i="20"/>
  <c r="BG85" i="20"/>
  <c r="BG77" i="20"/>
  <c r="BG69" i="20"/>
  <c r="BG89" i="20"/>
  <c r="BG57" i="20"/>
  <c r="BG49" i="20"/>
  <c r="BG33" i="20"/>
  <c r="BG94" i="20"/>
  <c r="BG90" i="20"/>
  <c r="BG86" i="20"/>
  <c r="BG82" i="20"/>
  <c r="BG78" i="20"/>
  <c r="BG74" i="20"/>
  <c r="BG70" i="20"/>
  <c r="BG66" i="20"/>
  <c r="BG62" i="20"/>
  <c r="BG58" i="20"/>
  <c r="BG54" i="20"/>
  <c r="BG50" i="20"/>
  <c r="BG46" i="20"/>
  <c r="BG42" i="20"/>
  <c r="BG38" i="20"/>
  <c r="BG34" i="20"/>
  <c r="BG95" i="20"/>
  <c r="BG91" i="20"/>
  <c r="BG87" i="20"/>
  <c r="BG79" i="20"/>
  <c r="BG71" i="20"/>
  <c r="BG63" i="20"/>
  <c r="BG59" i="20"/>
  <c r="BG47" i="20"/>
  <c r="BG43" i="20"/>
  <c r="BG81" i="20"/>
  <c r="BG65" i="20"/>
  <c r="BG45" i="20"/>
  <c r="BK137" i="20"/>
  <c r="BK135" i="20"/>
  <c r="BK133" i="20"/>
  <c r="BK131" i="20"/>
  <c r="BK129" i="20"/>
  <c r="BK127" i="20"/>
  <c r="BK125" i="20"/>
  <c r="BK123" i="20"/>
  <c r="BK121" i="20"/>
  <c r="BK119" i="20"/>
  <c r="BK117" i="20"/>
  <c r="BK115" i="20"/>
  <c r="BK113" i="20"/>
  <c r="BK111" i="20"/>
  <c r="BK109" i="20"/>
  <c r="BK107" i="20"/>
  <c r="BK105" i="20"/>
  <c r="BK103" i="20"/>
  <c r="BK101" i="20"/>
  <c r="BK99" i="20"/>
  <c r="BK97" i="20"/>
  <c r="BK96" i="20"/>
  <c r="BK136" i="20"/>
  <c r="BK132" i="20"/>
  <c r="BK128" i="20"/>
  <c r="BK124" i="20"/>
  <c r="BK120" i="20"/>
  <c r="BK116" i="20"/>
  <c r="BK112" i="20"/>
  <c r="BK108" i="20"/>
  <c r="BK104" i="20"/>
  <c r="BK100" i="20"/>
  <c r="BK134" i="20"/>
  <c r="BK130" i="20"/>
  <c r="BK126" i="20"/>
  <c r="BK122" i="20"/>
  <c r="BK118" i="20"/>
  <c r="BK114" i="20"/>
  <c r="BK110" i="20"/>
  <c r="BK106" i="20"/>
  <c r="BK102" i="20"/>
  <c r="BK98" i="20"/>
  <c r="BK31" i="20"/>
  <c r="BK30" i="20"/>
  <c r="BK29" i="20"/>
  <c r="BK28" i="20"/>
  <c r="BK27" i="20"/>
  <c r="BK84" i="20"/>
  <c r="BK76" i="20"/>
  <c r="BK68" i="20"/>
  <c r="BK56" i="20"/>
  <c r="BK52" i="20"/>
  <c r="BK40" i="20"/>
  <c r="BK36" i="20"/>
  <c r="BK70" i="20"/>
  <c r="BK62" i="20"/>
  <c r="BK58" i="20"/>
  <c r="BK46" i="20"/>
  <c r="BK42" i="20"/>
  <c r="BK38" i="20"/>
  <c r="BK93" i="20"/>
  <c r="BK89" i="20"/>
  <c r="BK85" i="20"/>
  <c r="BK81" i="20"/>
  <c r="BK77" i="20"/>
  <c r="BK73" i="20"/>
  <c r="BK69" i="20"/>
  <c r="BK65" i="20"/>
  <c r="BK61" i="20"/>
  <c r="BK57" i="20"/>
  <c r="BK53" i="20"/>
  <c r="BK49" i="20"/>
  <c r="BK45" i="20"/>
  <c r="BK41" i="20"/>
  <c r="BK37" i="20"/>
  <c r="BK33" i="20"/>
  <c r="BK90" i="20"/>
  <c r="BK86" i="20"/>
  <c r="BK74" i="20"/>
  <c r="BK54" i="20"/>
  <c r="BK50" i="20"/>
  <c r="BK95" i="20"/>
  <c r="BK91" i="20"/>
  <c r="BK87" i="20"/>
  <c r="BK83" i="20"/>
  <c r="BK79" i="20"/>
  <c r="BK75" i="20"/>
  <c r="BK71" i="20"/>
  <c r="BK67" i="20"/>
  <c r="BK63" i="20"/>
  <c r="BK59" i="20"/>
  <c r="BK55" i="20"/>
  <c r="BK51" i="20"/>
  <c r="BK47" i="20"/>
  <c r="BK43" i="20"/>
  <c r="BK39" i="20"/>
  <c r="BK35" i="20"/>
  <c r="BK92" i="20"/>
  <c r="BK88" i="20"/>
  <c r="BK80" i="20"/>
  <c r="BK72" i="20"/>
  <c r="BK64" i="20"/>
  <c r="BK60" i="20"/>
  <c r="BK48" i="20"/>
  <c r="BK44" i="20"/>
  <c r="BK32" i="20"/>
  <c r="BK94" i="20"/>
  <c r="BK82" i="20"/>
  <c r="BK78" i="20"/>
  <c r="BK66" i="20"/>
  <c r="BK34" i="20"/>
  <c r="AM47" i="1"/>
  <c r="AM47" i="65"/>
  <c r="AB47" i="1"/>
  <c r="AB47" i="65"/>
  <c r="B27" i="20"/>
  <c r="BP27" i="20" s="1"/>
  <c r="S85" i="1"/>
  <c r="S84" i="1"/>
  <c r="O98" i="1"/>
  <c r="S84" i="65"/>
  <c r="E29" i="65" s="1"/>
  <c r="E30" i="65" s="1"/>
  <c r="S85" i="65"/>
  <c r="AB27" i="20"/>
  <c r="N143" i="22"/>
  <c r="F24" i="9"/>
  <c r="XEK17" i="9"/>
  <c r="XEK14" i="9"/>
  <c r="XEK12" i="9"/>
  <c r="XEK20" i="9"/>
  <c r="XEK16" i="9"/>
  <c r="XEL11" i="9"/>
  <c r="F25" i="9"/>
  <c r="F23" i="9"/>
  <c r="XEK19" i="9"/>
  <c r="XEK15" i="9"/>
  <c r="XEK13" i="9"/>
  <c r="XEK11" i="9"/>
  <c r="XEK18" i="9"/>
  <c r="AB54" i="65"/>
  <c r="AM44" i="65"/>
  <c r="AB44" i="65"/>
  <c r="K72" i="65" s="1"/>
  <c r="AM54" i="65"/>
  <c r="AM45" i="65"/>
  <c r="AB45" i="65"/>
  <c r="AM55" i="65"/>
  <c r="AB55" i="65"/>
  <c r="BT27" i="20"/>
  <c r="H25" i="9"/>
  <c r="H23" i="9"/>
  <c r="H24" i="9"/>
  <c r="F31" i="1"/>
  <c r="G31" i="1" s="1"/>
  <c r="E25" i="1"/>
  <c r="B56" i="22"/>
  <c r="C56" i="22" s="1"/>
  <c r="C37" i="22"/>
  <c r="C38" i="22" s="1"/>
  <c r="AB56" i="65"/>
  <c r="AM46" i="65"/>
  <c r="AB46" i="65"/>
  <c r="AM56" i="65"/>
  <c r="N142" i="22"/>
  <c r="L95" i="65"/>
  <c r="L96" i="65" s="1"/>
  <c r="L97" i="65" s="1"/>
  <c r="BU27" i="20"/>
  <c r="E25" i="65"/>
  <c r="F31" i="65"/>
  <c r="G31" i="65" s="1"/>
  <c r="AN42" i="65"/>
  <c r="AC56" i="65"/>
  <c r="AC55" i="65"/>
  <c r="AC42" i="65"/>
  <c r="AC61" i="65"/>
  <c r="AN61" i="65"/>
  <c r="AC47" i="65"/>
  <c r="AC52" i="65"/>
  <c r="AN43" i="65"/>
  <c r="AN52" i="65"/>
  <c r="AC43" i="65"/>
  <c r="G19" i="61" l="1"/>
  <c r="D23" i="56" s="1"/>
  <c r="F19" i="1"/>
  <c r="U27" i="20"/>
  <c r="AC36" i="65"/>
  <c r="AH36" i="65" s="1"/>
  <c r="AN38" i="65"/>
  <c r="AO38" i="65" s="1"/>
  <c r="B37" i="22"/>
  <c r="B38" i="22" s="1"/>
  <c r="K20" i="61"/>
  <c r="A28" i="20"/>
  <c r="DI29" i="20" s="1"/>
  <c r="K29" i="20"/>
  <c r="DI27" i="20"/>
  <c r="DI28" i="20"/>
  <c r="DJ27" i="20"/>
  <c r="L96" i="1"/>
  <c r="L97" i="1" s="1"/>
  <c r="G21" i="61" s="1"/>
  <c r="AB17" i="20"/>
  <c r="BO128" i="20" s="1"/>
  <c r="AN36" i="65"/>
  <c r="D20" i="20"/>
  <c r="D21" i="20" s="1"/>
  <c r="E29" i="1"/>
  <c r="E30" i="1" s="1"/>
  <c r="AN45" i="65"/>
  <c r="AQ45" i="65" s="1"/>
  <c r="C39" i="22"/>
  <c r="AB39" i="65"/>
  <c r="AM39" i="65"/>
  <c r="AB43" i="65"/>
  <c r="K71" i="65" s="1"/>
  <c r="AM43" i="65"/>
  <c r="AB38" i="65"/>
  <c r="AM38" i="65"/>
  <c r="AB40" i="65"/>
  <c r="AM40" i="65"/>
  <c r="AM42" i="65"/>
  <c r="AB42" i="65"/>
  <c r="K70" i="65" s="1"/>
  <c r="K78" i="65" s="1"/>
  <c r="AB41" i="65"/>
  <c r="AM41" i="65"/>
  <c r="AN39" i="65"/>
  <c r="AO39" i="65" s="1"/>
  <c r="AN46" i="65"/>
  <c r="AQ46" i="65" s="1"/>
  <c r="AN40" i="65"/>
  <c r="AQ40" i="65" s="1"/>
  <c r="AN41" i="65"/>
  <c r="AQ41" i="65" s="1"/>
  <c r="AD47" i="65"/>
  <c r="AE47" i="65" s="1"/>
  <c r="AG47" i="65" s="1"/>
  <c r="AI47" i="65"/>
  <c r="AH47" i="65"/>
  <c r="AF47" i="65"/>
  <c r="AQ43" i="65"/>
  <c r="D43" i="65"/>
  <c r="AO43" i="65"/>
  <c r="D61" i="65"/>
  <c r="AQ61" i="65"/>
  <c r="AO61" i="65"/>
  <c r="AF61" i="65"/>
  <c r="AD61" i="65"/>
  <c r="AE61" i="65" s="1"/>
  <c r="AG61" i="65" s="1"/>
  <c r="D52" i="65"/>
  <c r="AO52" i="65"/>
  <c r="AQ52" i="65"/>
  <c r="AF52" i="65"/>
  <c r="AD52" i="65"/>
  <c r="AE52" i="65" s="1"/>
  <c r="AG52" i="65" s="1"/>
  <c r="AQ42" i="65"/>
  <c r="AO42" i="65"/>
  <c r="D42" i="65"/>
  <c r="AD42" i="65"/>
  <c r="AE42" i="65" s="1"/>
  <c r="AG42" i="65" s="1"/>
  <c r="AF42" i="65"/>
  <c r="AH42" i="65"/>
  <c r="AI42" i="65"/>
  <c r="AI43" i="65"/>
  <c r="AF43" i="65"/>
  <c r="AD43" i="65"/>
  <c r="AE43" i="65" s="1"/>
  <c r="AG43" i="65" s="1"/>
  <c r="AH43" i="65"/>
  <c r="AD56" i="65"/>
  <c r="AE56" i="65" s="1"/>
  <c r="AG56" i="65" s="1"/>
  <c r="AF56" i="65"/>
  <c r="AD55" i="65"/>
  <c r="AE55" i="65" s="1"/>
  <c r="AG55" i="65" s="1"/>
  <c r="AF55" i="65"/>
  <c r="AN40" i="1"/>
  <c r="B57" i="22"/>
  <c r="E26" i="1"/>
  <c r="E27" i="1" s="1"/>
  <c r="AC36" i="1"/>
  <c r="E26" i="65"/>
  <c r="E27" i="65" s="1"/>
  <c r="E19" i="65"/>
  <c r="AN36" i="1"/>
  <c r="G18" i="45"/>
  <c r="G14" i="45"/>
  <c r="G19" i="45"/>
  <c r="G15" i="45"/>
  <c r="G11" i="45"/>
  <c r="G20" i="45"/>
  <c r="G16" i="45"/>
  <c r="G12" i="45"/>
  <c r="G21" i="45"/>
  <c r="G17" i="45"/>
  <c r="G13" i="45"/>
  <c r="G10" i="45"/>
  <c r="AC19" i="20"/>
  <c r="AC38" i="65"/>
  <c r="AC46" i="65"/>
  <c r="AC41" i="65"/>
  <c r="AC39" i="65"/>
  <c r="AC45" i="65"/>
  <c r="AC40" i="65"/>
  <c r="AN62" i="1"/>
  <c r="AC53" i="1"/>
  <c r="AN43" i="1"/>
  <c r="AC55" i="1"/>
  <c r="AC47" i="1"/>
  <c r="AC62" i="1"/>
  <c r="AN42" i="1"/>
  <c r="AC42" i="1"/>
  <c r="AN53" i="1"/>
  <c r="AN61" i="1"/>
  <c r="AC61" i="1"/>
  <c r="AC56" i="1"/>
  <c r="AC43" i="1"/>
  <c r="AN55" i="1"/>
  <c r="AN52" i="1"/>
  <c r="AN56" i="1"/>
  <c r="AC52" i="1"/>
  <c r="DJ28" i="20" l="1"/>
  <c r="E12" i="56"/>
  <c r="D17" i="56"/>
  <c r="DF27" i="20"/>
  <c r="AN38" i="1"/>
  <c r="AO38" i="1" s="1"/>
  <c r="AL38" i="1" s="1"/>
  <c r="J13" i="9"/>
  <c r="F17" i="61"/>
  <c r="BO63" i="20"/>
  <c r="AO41" i="65"/>
  <c r="AP41" i="65" s="1"/>
  <c r="AN39" i="1"/>
  <c r="AQ39" i="1" s="1"/>
  <c r="AC40" i="1"/>
  <c r="AI40" i="1" s="1"/>
  <c r="AN45" i="1"/>
  <c r="AQ45" i="1" s="1"/>
  <c r="AC41" i="1"/>
  <c r="AH41" i="1" s="1"/>
  <c r="AN46" i="1"/>
  <c r="AO46" i="1" s="1"/>
  <c r="AL46" i="1" s="1"/>
  <c r="AC45" i="1"/>
  <c r="AI45" i="1" s="1"/>
  <c r="AC39" i="1"/>
  <c r="AD39" i="1" s="1"/>
  <c r="AN41" i="1"/>
  <c r="AO41" i="1" s="1"/>
  <c r="AL41" i="1" s="1"/>
  <c r="AC38" i="1"/>
  <c r="AI38" i="1" s="1"/>
  <c r="AC46" i="1"/>
  <c r="AH46" i="1" s="1"/>
  <c r="E19" i="1"/>
  <c r="BZ27" i="20"/>
  <c r="BH55" i="20"/>
  <c r="BO79" i="20"/>
  <c r="BH42" i="20"/>
  <c r="BH87" i="20"/>
  <c r="BO116" i="20"/>
  <c r="BH76" i="20"/>
  <c r="BO47" i="20"/>
  <c r="AC27" i="20"/>
  <c r="BO38" i="20"/>
  <c r="BH111" i="20"/>
  <c r="D41" i="65"/>
  <c r="BH50" i="20"/>
  <c r="BH57" i="20"/>
  <c r="BB28" i="20"/>
  <c r="BH82" i="20"/>
  <c r="AC28" i="20"/>
  <c r="BO43" i="20"/>
  <c r="BO83" i="20"/>
  <c r="AQ38" i="65"/>
  <c r="BH60" i="20"/>
  <c r="BH92" i="20"/>
  <c r="BO39" i="20"/>
  <c r="BO37" i="20"/>
  <c r="BH71" i="20"/>
  <c r="BW27" i="20"/>
  <c r="BO107" i="20"/>
  <c r="BO55" i="20"/>
  <c r="BO71" i="20"/>
  <c r="BO95" i="20"/>
  <c r="BH127" i="20"/>
  <c r="BO132" i="20"/>
  <c r="AF28" i="20"/>
  <c r="BH89" i="20"/>
  <c r="BO48" i="20"/>
  <c r="BO64" i="20"/>
  <c r="BH115" i="20"/>
  <c r="BO120" i="20"/>
  <c r="BH30" i="20"/>
  <c r="BH66" i="20"/>
  <c r="BH98" i="20"/>
  <c r="BO45" i="20"/>
  <c r="BH40" i="20"/>
  <c r="BH73" i="20"/>
  <c r="BV28" i="20"/>
  <c r="BO109" i="20"/>
  <c r="BO56" i="20"/>
  <c r="BO72" i="20"/>
  <c r="BO99" i="20"/>
  <c r="BH131" i="20"/>
  <c r="BO136" i="20"/>
  <c r="D46" i="65"/>
  <c r="AO46" i="65"/>
  <c r="AP46" i="65" s="1"/>
  <c r="D38" i="65"/>
  <c r="AO45" i="65"/>
  <c r="AP45" i="65" s="1"/>
  <c r="BO31" i="20"/>
  <c r="BH52" i="20"/>
  <c r="BH68" i="20"/>
  <c r="BH84" i="20"/>
  <c r="BH100" i="20"/>
  <c r="BH31" i="20"/>
  <c r="BO108" i="20"/>
  <c r="BO29" i="20"/>
  <c r="BH47" i="20"/>
  <c r="BH63" i="20"/>
  <c r="BH79" i="20"/>
  <c r="BH95" i="20"/>
  <c r="BO30" i="20"/>
  <c r="BH41" i="20"/>
  <c r="BH43" i="20"/>
  <c r="BO51" i="20"/>
  <c r="BO59" i="20"/>
  <c r="BO67" i="20"/>
  <c r="BO75" i="20"/>
  <c r="BO87" i="20"/>
  <c r="BO103" i="20"/>
  <c r="BH119" i="20"/>
  <c r="BH135" i="20"/>
  <c r="BO124" i="20"/>
  <c r="BH38" i="20"/>
  <c r="BH58" i="20"/>
  <c r="BH74" i="20"/>
  <c r="BH90" i="20"/>
  <c r="BW28" i="20"/>
  <c r="BO32" i="20"/>
  <c r="BX27" i="20"/>
  <c r="BH32" i="20"/>
  <c r="BH49" i="20"/>
  <c r="BH65" i="20"/>
  <c r="BH81" i="20"/>
  <c r="BH97" i="20"/>
  <c r="BH33" i="20"/>
  <c r="BO42" i="20"/>
  <c r="BH44" i="20"/>
  <c r="BO52" i="20"/>
  <c r="BO60" i="20"/>
  <c r="BO68" i="20"/>
  <c r="BO76" i="20"/>
  <c r="BO91" i="20"/>
  <c r="BH107" i="20"/>
  <c r="BH123" i="20"/>
  <c r="BO112" i="20"/>
  <c r="D7" i="20"/>
  <c r="AO55" i="1"/>
  <c r="AQ55" i="1"/>
  <c r="AD56" i="1"/>
  <c r="AF56" i="1"/>
  <c r="AO53" i="1"/>
  <c r="AQ53" i="1"/>
  <c r="AI42" i="1"/>
  <c r="AF42" i="1"/>
  <c r="AH42" i="1"/>
  <c r="AD42" i="1"/>
  <c r="AQ61" i="1"/>
  <c r="AO61" i="1"/>
  <c r="AO56" i="1"/>
  <c r="AQ56" i="1"/>
  <c r="AO43" i="1"/>
  <c r="AQ43" i="1"/>
  <c r="AO42" i="1"/>
  <c r="AQ42" i="1"/>
  <c r="AF61" i="1"/>
  <c r="AD61" i="1"/>
  <c r="AF53" i="1"/>
  <c r="AD53" i="1"/>
  <c r="AD47" i="1"/>
  <c r="AH47" i="1"/>
  <c r="AI47" i="1"/>
  <c r="AF47" i="1"/>
  <c r="AQ52" i="1"/>
  <c r="AO52" i="1"/>
  <c r="AO62" i="1"/>
  <c r="AQ62" i="1"/>
  <c r="AF62" i="1"/>
  <c r="AD62" i="1"/>
  <c r="AF55" i="1"/>
  <c r="AD55" i="1"/>
  <c r="AD52" i="1"/>
  <c r="AF52" i="1"/>
  <c r="AI43" i="1"/>
  <c r="AD43" i="1"/>
  <c r="AF43" i="1"/>
  <c r="AH43" i="1"/>
  <c r="D40" i="65"/>
  <c r="AO40" i="65"/>
  <c r="AP40" i="65" s="1"/>
  <c r="D36" i="65"/>
  <c r="AI36" i="65"/>
  <c r="AF36" i="65"/>
  <c r="AD36" i="65"/>
  <c r="AE36" i="65" s="1"/>
  <c r="AG36" i="65" s="1"/>
  <c r="AO36" i="65"/>
  <c r="AP36" i="65" s="1"/>
  <c r="AQ36" i="65"/>
  <c r="BO135" i="20"/>
  <c r="BO131" i="20"/>
  <c r="BO127" i="20"/>
  <c r="BO123" i="20"/>
  <c r="BO119" i="20"/>
  <c r="BO115" i="20"/>
  <c r="BO111" i="20"/>
  <c r="BH134" i="20"/>
  <c r="BH130" i="20"/>
  <c r="BH126" i="20"/>
  <c r="BH122" i="20"/>
  <c r="BH118" i="20"/>
  <c r="BH114" i="20"/>
  <c r="BH110" i="20"/>
  <c r="BH106" i="20"/>
  <c r="BO102" i="20"/>
  <c r="BO98" i="20"/>
  <c r="BO94" i="20"/>
  <c r="BO90" i="20"/>
  <c r="BO86" i="20"/>
  <c r="BO82" i="20"/>
  <c r="BO78" i="20"/>
  <c r="BO74" i="20"/>
  <c r="BO70" i="20"/>
  <c r="BO66" i="20"/>
  <c r="BO62" i="20"/>
  <c r="BO58" i="20"/>
  <c r="BO54" i="20"/>
  <c r="BO50" i="20"/>
  <c r="BH46" i="20"/>
  <c r="BO40" i="20"/>
  <c r="BO105" i="20"/>
  <c r="BH103" i="20"/>
  <c r="BH37" i="20"/>
  <c r="BH29" i="20"/>
  <c r="BH101" i="20"/>
  <c r="BH93" i="20"/>
  <c r="BH85" i="20"/>
  <c r="BH77" i="20"/>
  <c r="BH69" i="20"/>
  <c r="BH61" i="20"/>
  <c r="BH53" i="20"/>
  <c r="BO44" i="20"/>
  <c r="BH36" i="20"/>
  <c r="BY28" i="20"/>
  <c r="BV27" i="20"/>
  <c r="BO106" i="20"/>
  <c r="BO36" i="20"/>
  <c r="BX28" i="20"/>
  <c r="BY27" i="20"/>
  <c r="BO27" i="20"/>
  <c r="BH96" i="20"/>
  <c r="BH88" i="20"/>
  <c r="BH80" i="20"/>
  <c r="BH72" i="20"/>
  <c r="BH64" i="20"/>
  <c r="BH56" i="20"/>
  <c r="BH48" i="20"/>
  <c r="BO35" i="20"/>
  <c r="BO137" i="20"/>
  <c r="BO133" i="20"/>
  <c r="BO129" i="20"/>
  <c r="BO125" i="20"/>
  <c r="BO121" i="20"/>
  <c r="BO117" i="20"/>
  <c r="BO113" i="20"/>
  <c r="BH136" i="20"/>
  <c r="BH132" i="20"/>
  <c r="BH128" i="20"/>
  <c r="BH124" i="20"/>
  <c r="BH120" i="20"/>
  <c r="BH116" i="20"/>
  <c r="BH112" i="20"/>
  <c r="BH108" i="20"/>
  <c r="BH104" i="20"/>
  <c r="BO100" i="20"/>
  <c r="BO96" i="20"/>
  <c r="BO92" i="20"/>
  <c r="BO88" i="20"/>
  <c r="BO84" i="20"/>
  <c r="BO80" i="20"/>
  <c r="BO134" i="20"/>
  <c r="BO130" i="20"/>
  <c r="BO126" i="20"/>
  <c r="BO122" i="20"/>
  <c r="BO118" i="20"/>
  <c r="BO114" i="20"/>
  <c r="BH137" i="20"/>
  <c r="BH133" i="20"/>
  <c r="BH129" i="20"/>
  <c r="BH125" i="20"/>
  <c r="BH121" i="20"/>
  <c r="BH117" i="20"/>
  <c r="BH113" i="20"/>
  <c r="BH109" i="20"/>
  <c r="BH105" i="20"/>
  <c r="BO101" i="20"/>
  <c r="BO97" i="20"/>
  <c r="BO93" i="20"/>
  <c r="BO89" i="20"/>
  <c r="BO85" i="20"/>
  <c r="BO81" i="20"/>
  <c r="BO77" i="20"/>
  <c r="BO73" i="20"/>
  <c r="BO69" i="20"/>
  <c r="BO65" i="20"/>
  <c r="BO61" i="20"/>
  <c r="BO57" i="20"/>
  <c r="BO53" i="20"/>
  <c r="BO49" i="20"/>
  <c r="BH45" i="20"/>
  <c r="BH39" i="20"/>
  <c r="BO110" i="20"/>
  <c r="BH102" i="20"/>
  <c r="BO34" i="20"/>
  <c r="BZ28" i="20"/>
  <c r="BH99" i="20"/>
  <c r="BH91" i="20"/>
  <c r="BH83" i="20"/>
  <c r="BH75" i="20"/>
  <c r="BH67" i="20"/>
  <c r="BH59" i="20"/>
  <c r="BH51" i="20"/>
  <c r="BO41" i="20"/>
  <c r="BO33" i="20"/>
  <c r="BH28" i="20"/>
  <c r="BO104" i="20"/>
  <c r="BH35" i="20"/>
  <c r="BO28" i="20"/>
  <c r="BH27" i="20"/>
  <c r="AF27" i="20"/>
  <c r="BH94" i="20"/>
  <c r="BH86" i="20"/>
  <c r="BH78" i="20"/>
  <c r="BH70" i="20"/>
  <c r="BH62" i="20"/>
  <c r="BH54" i="20"/>
  <c r="BO46" i="20"/>
  <c r="BH34" i="20"/>
  <c r="D45" i="65"/>
  <c r="D39" i="65"/>
  <c r="AQ39" i="65"/>
  <c r="G20" i="61"/>
  <c r="K30" i="20"/>
  <c r="DR27" i="20"/>
  <c r="DQ27" i="20"/>
  <c r="A29" i="20"/>
  <c r="DG28" i="20"/>
  <c r="DU28" i="20"/>
  <c r="BP28" i="20"/>
  <c r="B28" i="20"/>
  <c r="BS28" i="20"/>
  <c r="AB28" i="20"/>
  <c r="BB27" i="20"/>
  <c r="G42" i="65"/>
  <c r="G61" i="65"/>
  <c r="G43" i="65"/>
  <c r="G52" i="65"/>
  <c r="B39" i="22"/>
  <c r="C40" i="22"/>
  <c r="AF38" i="65"/>
  <c r="AD38" i="65"/>
  <c r="AE38" i="65" s="1"/>
  <c r="AG38" i="65" s="1"/>
  <c r="AI38" i="65"/>
  <c r="AH38" i="65"/>
  <c r="Y21" i="45"/>
  <c r="Y18" i="45"/>
  <c r="Y10" i="45"/>
  <c r="Y12" i="45"/>
  <c r="AI40" i="65"/>
  <c r="AF40" i="65"/>
  <c r="G40" i="65" s="1"/>
  <c r="AH40" i="65"/>
  <c r="AD40" i="65"/>
  <c r="AE40" i="65" s="1"/>
  <c r="AG40" i="65" s="1"/>
  <c r="AF46" i="65"/>
  <c r="G46" i="65" s="1"/>
  <c r="AI46" i="65"/>
  <c r="AH46" i="65"/>
  <c r="AD46" i="65"/>
  <c r="AE46" i="65" s="1"/>
  <c r="AG46" i="65" s="1"/>
  <c r="Y13" i="45"/>
  <c r="Y16" i="45"/>
  <c r="Y19" i="45"/>
  <c r="AQ40" i="1"/>
  <c r="AO40" i="1"/>
  <c r="AL40" i="1" s="1"/>
  <c r="E52" i="65"/>
  <c r="AP52" i="65"/>
  <c r="AP61" i="65"/>
  <c r="E61" i="65"/>
  <c r="Y20" i="45"/>
  <c r="AI36" i="1"/>
  <c r="AH36" i="1"/>
  <c r="AD36" i="1"/>
  <c r="AF36" i="1"/>
  <c r="AZ27" i="20"/>
  <c r="AP42" i="65"/>
  <c r="E42" i="65"/>
  <c r="AI45" i="65"/>
  <c r="AH45" i="65"/>
  <c r="AD45" i="65"/>
  <c r="AF45" i="65"/>
  <c r="G45" i="65" s="1"/>
  <c r="AH39" i="65"/>
  <c r="AD39" i="65"/>
  <c r="E39" i="65" s="1"/>
  <c r="AI39" i="65"/>
  <c r="AF39" i="65"/>
  <c r="AP38" i="65"/>
  <c r="AP39" i="65"/>
  <c r="C57" i="22"/>
  <c r="B58" i="22"/>
  <c r="Y17" i="45"/>
  <c r="Y14" i="45"/>
  <c r="Y11" i="45"/>
  <c r="AF41" i="65"/>
  <c r="G41" i="65" s="1"/>
  <c r="AI41" i="65"/>
  <c r="AH41" i="65"/>
  <c r="AD41" i="65"/>
  <c r="AE41" i="65" s="1"/>
  <c r="AG41" i="65" s="1"/>
  <c r="Y15" i="45"/>
  <c r="AQ36" i="1"/>
  <c r="AO36" i="1"/>
  <c r="AL36" i="1" s="1"/>
  <c r="E43" i="65"/>
  <c r="AP43" i="65"/>
  <c r="AN54" i="1"/>
  <c r="AC54" i="1"/>
  <c r="AO39" i="1" l="1"/>
  <c r="AL39" i="1" s="1"/>
  <c r="AF38" i="1"/>
  <c r="AQ46" i="1"/>
  <c r="G27" i="20"/>
  <c r="DJ29" i="20"/>
  <c r="DI30" i="20"/>
  <c r="AQ38" i="1"/>
  <c r="DF28" i="20"/>
  <c r="F23" i="59"/>
  <c r="F24" i="59"/>
  <c r="D20" i="56"/>
  <c r="H14" i="56"/>
  <c r="H15" i="56" s="1"/>
  <c r="AD38" i="1"/>
  <c r="AA38" i="1" s="1"/>
  <c r="E38" i="1" s="1"/>
  <c r="G38" i="65"/>
  <c r="AI39" i="1"/>
  <c r="AD27" i="20"/>
  <c r="AE27" i="20" s="1"/>
  <c r="AH39" i="1"/>
  <c r="AH38" i="1"/>
  <c r="AD45" i="1"/>
  <c r="AA45" i="1" s="1"/>
  <c r="AI46" i="1"/>
  <c r="AQ54" i="1"/>
  <c r="AO54" i="1"/>
  <c r="AP54" i="1" s="1"/>
  <c r="AR54" i="1" s="1"/>
  <c r="AF54" i="1"/>
  <c r="AD54" i="1"/>
  <c r="AE54" i="1" s="1"/>
  <c r="AF45" i="1"/>
  <c r="AF40" i="1"/>
  <c r="AO45" i="1"/>
  <c r="AL45" i="1" s="1"/>
  <c r="AD41" i="1"/>
  <c r="AE41" i="1" s="1"/>
  <c r="AQ41" i="1"/>
  <c r="AF39" i="1"/>
  <c r="AF41" i="1"/>
  <c r="AD28" i="20"/>
  <c r="AE28" i="20" s="1"/>
  <c r="AI41" i="1"/>
  <c r="BE27" i="20"/>
  <c r="AH40" i="1"/>
  <c r="AD46" i="1"/>
  <c r="AA46" i="1" s="1"/>
  <c r="E46" i="1" s="1"/>
  <c r="AH45" i="1"/>
  <c r="AD40" i="1"/>
  <c r="AA40" i="1" s="1"/>
  <c r="AF46" i="1"/>
  <c r="AA39" i="1"/>
  <c r="E39" i="1" s="1"/>
  <c r="J34" i="61" s="1"/>
  <c r="AP62" i="1"/>
  <c r="AR62" i="1" s="1"/>
  <c r="AL62" i="1"/>
  <c r="AP61" i="1"/>
  <c r="AR61" i="1" s="1"/>
  <c r="AL61" i="1"/>
  <c r="AP52" i="1"/>
  <c r="AR52" i="1" s="1"/>
  <c r="AL52" i="1"/>
  <c r="AP56" i="1"/>
  <c r="AR56" i="1" s="1"/>
  <c r="AL56" i="1"/>
  <c r="AP55" i="1"/>
  <c r="AR55" i="1" s="1"/>
  <c r="AL55" i="1"/>
  <c r="AP53" i="1"/>
  <c r="AR53" i="1" s="1"/>
  <c r="AL53" i="1"/>
  <c r="AE62" i="1"/>
  <c r="AA62" i="1"/>
  <c r="AE61" i="1"/>
  <c r="AA61" i="1"/>
  <c r="AE53" i="1"/>
  <c r="AA53" i="1"/>
  <c r="AE55" i="1"/>
  <c r="AA55" i="1"/>
  <c r="AE56" i="1"/>
  <c r="AA56" i="1"/>
  <c r="AE52" i="1"/>
  <c r="AA52" i="1"/>
  <c r="AA47" i="1"/>
  <c r="AA43" i="1"/>
  <c r="AA42" i="1"/>
  <c r="AP42" i="1"/>
  <c r="AR42" i="1" s="1"/>
  <c r="AL42" i="1"/>
  <c r="AP43" i="1"/>
  <c r="AR43" i="1" s="1"/>
  <c r="AL43" i="1"/>
  <c r="E46" i="65"/>
  <c r="AE36" i="1"/>
  <c r="AA36" i="1"/>
  <c r="AE43" i="1"/>
  <c r="AE42" i="1"/>
  <c r="AE47" i="1"/>
  <c r="E38" i="65"/>
  <c r="AG28" i="20"/>
  <c r="BF28" i="20" s="1"/>
  <c r="E40" i="65"/>
  <c r="BQ28" i="20"/>
  <c r="G39" i="65"/>
  <c r="E36" i="65"/>
  <c r="G36" i="65"/>
  <c r="AG27" i="20"/>
  <c r="BF27" i="20" s="1"/>
  <c r="BQ27" i="20"/>
  <c r="AZ28" i="20"/>
  <c r="DQ28" i="20"/>
  <c r="BU28" i="20"/>
  <c r="DR28" i="20"/>
  <c r="AE45" i="65"/>
  <c r="AG45" i="65" s="1"/>
  <c r="E45" i="65"/>
  <c r="BT28" i="20"/>
  <c r="G28" i="20" s="1"/>
  <c r="A30" i="20"/>
  <c r="DG29" i="20"/>
  <c r="DU29" i="20"/>
  <c r="AB29" i="20"/>
  <c r="G35" i="45" s="1"/>
  <c r="Y35" i="45" s="1"/>
  <c r="BS29" i="20"/>
  <c r="BP29" i="20"/>
  <c r="B29" i="20"/>
  <c r="AF29" i="20"/>
  <c r="BW29" i="20"/>
  <c r="AC29" i="20"/>
  <c r="BB29" i="20"/>
  <c r="BV29" i="20"/>
  <c r="BY29" i="20"/>
  <c r="BX29" i="20"/>
  <c r="BZ29" i="20"/>
  <c r="K31" i="20"/>
  <c r="K32" i="20" s="1"/>
  <c r="K33" i="20" s="1"/>
  <c r="K34" i="20" s="1"/>
  <c r="K35" i="20" s="1"/>
  <c r="K36" i="20" s="1"/>
  <c r="K37" i="20" s="1"/>
  <c r="K38" i="20" s="1"/>
  <c r="K39" i="20" s="1"/>
  <c r="K40" i="20" s="1"/>
  <c r="K41" i="20" s="1"/>
  <c r="K42" i="20" s="1"/>
  <c r="K43" i="20" s="1"/>
  <c r="K44" i="20" s="1"/>
  <c r="K45" i="20" s="1"/>
  <c r="K46" i="20" s="1"/>
  <c r="K47" i="20" s="1"/>
  <c r="K48" i="20" s="1"/>
  <c r="K49" i="20" s="1"/>
  <c r="K50" i="20" s="1"/>
  <c r="K51" i="20" s="1"/>
  <c r="K52" i="20" s="1"/>
  <c r="K53" i="20" s="1"/>
  <c r="K54" i="20" s="1"/>
  <c r="K55" i="20" s="1"/>
  <c r="K56" i="20" s="1"/>
  <c r="K57" i="20" s="1"/>
  <c r="K58" i="20" s="1"/>
  <c r="K59" i="20" s="1"/>
  <c r="K60" i="20" s="1"/>
  <c r="K61" i="20" s="1"/>
  <c r="K62" i="20" s="1"/>
  <c r="K63" i="20" s="1"/>
  <c r="K64" i="20" s="1"/>
  <c r="K65" i="20" s="1"/>
  <c r="K66" i="20" s="1"/>
  <c r="K67" i="20" s="1"/>
  <c r="K68" i="20" s="1"/>
  <c r="K69" i="20" s="1"/>
  <c r="K70" i="20" s="1"/>
  <c r="K71" i="20" s="1"/>
  <c r="K72" i="20" s="1"/>
  <c r="K73" i="20" s="1"/>
  <c r="K74" i="20" s="1"/>
  <c r="K75" i="20" s="1"/>
  <c r="K76" i="20" s="1"/>
  <c r="K77" i="20" s="1"/>
  <c r="K78" i="20" s="1"/>
  <c r="K79" i="20" s="1"/>
  <c r="K80" i="20" s="1"/>
  <c r="K81" i="20" s="1"/>
  <c r="K82" i="20" s="1"/>
  <c r="K83" i="20" s="1"/>
  <c r="K84" i="20" s="1"/>
  <c r="K85" i="20" s="1"/>
  <c r="K86" i="20" s="1"/>
  <c r="K87" i="20" s="1"/>
  <c r="K88" i="20" s="1"/>
  <c r="K89" i="20" s="1"/>
  <c r="K90" i="20" s="1"/>
  <c r="K91" i="20" s="1"/>
  <c r="K92" i="20" s="1"/>
  <c r="K93" i="20" s="1"/>
  <c r="K94" i="20" s="1"/>
  <c r="K95" i="20" s="1"/>
  <c r="K96" i="20" s="1"/>
  <c r="K97" i="20" s="1"/>
  <c r="K98" i="20" s="1"/>
  <c r="K99" i="20" s="1"/>
  <c r="K100" i="20" s="1"/>
  <c r="K101" i="20" s="1"/>
  <c r="K102" i="20" s="1"/>
  <c r="K103" i="20" s="1"/>
  <c r="K104" i="20" s="1"/>
  <c r="K105" i="20" s="1"/>
  <c r="K106" i="20" s="1"/>
  <c r="K107" i="20" s="1"/>
  <c r="K108" i="20" s="1"/>
  <c r="K109" i="20" s="1"/>
  <c r="K110" i="20" s="1"/>
  <c r="K111" i="20" s="1"/>
  <c r="K112" i="20" s="1"/>
  <c r="K113" i="20" s="1"/>
  <c r="K114" i="20" s="1"/>
  <c r="K115" i="20" s="1"/>
  <c r="K116" i="20" s="1"/>
  <c r="K117" i="20" s="1"/>
  <c r="K118" i="20" s="1"/>
  <c r="K119" i="20" s="1"/>
  <c r="K120" i="20" s="1"/>
  <c r="K121" i="20" s="1"/>
  <c r="K122" i="20" s="1"/>
  <c r="K123" i="20" s="1"/>
  <c r="K124" i="20" s="1"/>
  <c r="K125" i="20" s="1"/>
  <c r="K126" i="20" s="1"/>
  <c r="K127" i="20" s="1"/>
  <c r="K128" i="20" s="1"/>
  <c r="K129" i="20" s="1"/>
  <c r="K130" i="20" s="1"/>
  <c r="K131" i="20" s="1"/>
  <c r="K132" i="20" s="1"/>
  <c r="K133" i="20" s="1"/>
  <c r="K134" i="20" s="1"/>
  <c r="K135" i="20" s="1"/>
  <c r="K136" i="20" s="1"/>
  <c r="K137" i="20" s="1"/>
  <c r="G26" i="45"/>
  <c r="Y26" i="45" s="1"/>
  <c r="G23" i="45"/>
  <c r="Y23" i="45" s="1"/>
  <c r="G33" i="45"/>
  <c r="Y33" i="45" s="1"/>
  <c r="G27" i="45"/>
  <c r="Y27" i="45" s="1"/>
  <c r="G22" i="45"/>
  <c r="Y22" i="45" s="1"/>
  <c r="G32" i="45"/>
  <c r="Y32" i="45" s="1"/>
  <c r="G29" i="45"/>
  <c r="Y29" i="45" s="1"/>
  <c r="G30" i="45"/>
  <c r="Y30" i="45" s="1"/>
  <c r="G24" i="45"/>
  <c r="Y24" i="45" s="1"/>
  <c r="G31" i="45"/>
  <c r="Y31" i="45" s="1"/>
  <c r="G28" i="45"/>
  <c r="Y28" i="45" s="1"/>
  <c r="G25" i="45"/>
  <c r="Y25" i="45" s="1"/>
  <c r="BE28" i="20"/>
  <c r="E41" i="65"/>
  <c r="C41" i="22"/>
  <c r="B40" i="22"/>
  <c r="AP38" i="1"/>
  <c r="AP39" i="1"/>
  <c r="AP46" i="1"/>
  <c r="AR61" i="65"/>
  <c r="H61" i="65" s="1"/>
  <c r="F61" i="65"/>
  <c r="AP40" i="1"/>
  <c r="AR36" i="65"/>
  <c r="H36" i="65" s="1"/>
  <c r="F36" i="65"/>
  <c r="F43" i="65"/>
  <c r="AR43" i="65"/>
  <c r="H43" i="65" s="1"/>
  <c r="AR40" i="65"/>
  <c r="H40" i="65" s="1"/>
  <c r="F40" i="65"/>
  <c r="AN47" i="1"/>
  <c r="AE39" i="1"/>
  <c r="AR45" i="65"/>
  <c r="AR39" i="65"/>
  <c r="F52" i="65"/>
  <c r="AR52" i="65"/>
  <c r="H52" i="65" s="1"/>
  <c r="AR46" i="65"/>
  <c r="H46" i="65" s="1"/>
  <c r="F46" i="65"/>
  <c r="AR41" i="65"/>
  <c r="H41" i="65" s="1"/>
  <c r="F41" i="65"/>
  <c r="AP36" i="1"/>
  <c r="C58" i="22"/>
  <c r="B59" i="22"/>
  <c r="AR38" i="65"/>
  <c r="H38" i="65" s="1"/>
  <c r="F38" i="65"/>
  <c r="AP41" i="1"/>
  <c r="AN47" i="65"/>
  <c r="AE39" i="65"/>
  <c r="AG39" i="65" s="1"/>
  <c r="AR42" i="65"/>
  <c r="H42" i="65" s="1"/>
  <c r="F42" i="65"/>
  <c r="D21" i="56"/>
  <c r="D24" i="56"/>
  <c r="DQ29" i="20" l="1"/>
  <c r="AE38" i="1"/>
  <c r="F38" i="1" s="1"/>
  <c r="K33" i="61" s="1"/>
  <c r="AE45" i="1"/>
  <c r="AG45" i="1" s="1"/>
  <c r="AE46" i="1"/>
  <c r="AG46" i="1" s="1"/>
  <c r="DI31" i="20"/>
  <c r="DJ30" i="20"/>
  <c r="DF29" i="20"/>
  <c r="E21" i="56"/>
  <c r="F21" i="56" s="1"/>
  <c r="AC44" i="65"/>
  <c r="AH44" i="65" s="1"/>
  <c r="AC54" i="65"/>
  <c r="AF54" i="65" s="1"/>
  <c r="AN54" i="65"/>
  <c r="AN44" i="65"/>
  <c r="E24" i="56"/>
  <c r="F24" i="56" s="1"/>
  <c r="AC53" i="65"/>
  <c r="E20" i="56"/>
  <c r="F20" i="56" s="1"/>
  <c r="AC37" i="65"/>
  <c r="AC62" i="65"/>
  <c r="AC37" i="1"/>
  <c r="AN37" i="1"/>
  <c r="AN53" i="65"/>
  <c r="AN62" i="65"/>
  <c r="E23" i="56"/>
  <c r="F23" i="56" s="1"/>
  <c r="AN37" i="65"/>
  <c r="AD29" i="20"/>
  <c r="AE29" i="20" s="1"/>
  <c r="AA54" i="1"/>
  <c r="AL54" i="1"/>
  <c r="AP45" i="1"/>
  <c r="F45" i="1" s="1"/>
  <c r="K40" i="61" s="1"/>
  <c r="D52" i="1"/>
  <c r="H46" i="61" s="1"/>
  <c r="D55" i="1"/>
  <c r="H49" i="61" s="1"/>
  <c r="D62" i="1"/>
  <c r="H56" i="61" s="1"/>
  <c r="D56" i="1"/>
  <c r="H50" i="61" s="1"/>
  <c r="AA41" i="1"/>
  <c r="F41" i="1" s="1"/>
  <c r="K36" i="61" s="1"/>
  <c r="D53" i="1"/>
  <c r="H47" i="61" s="1"/>
  <c r="D61" i="1"/>
  <c r="H55" i="61" s="1"/>
  <c r="D47" i="1"/>
  <c r="AE40" i="1"/>
  <c r="AG40" i="1" s="1"/>
  <c r="G39" i="1"/>
  <c r="M34" i="61" s="1"/>
  <c r="D45" i="1"/>
  <c r="H40" i="61" s="1"/>
  <c r="D40" i="1"/>
  <c r="H35" i="61" s="1"/>
  <c r="F46" i="1"/>
  <c r="K41" i="61" s="1"/>
  <c r="E45" i="1"/>
  <c r="J40" i="61" s="1"/>
  <c r="D39" i="1"/>
  <c r="H34" i="61" s="1"/>
  <c r="D36" i="1"/>
  <c r="D38" i="1"/>
  <c r="H33" i="61" s="1"/>
  <c r="G36" i="1"/>
  <c r="M31" i="61" s="1"/>
  <c r="G46" i="1"/>
  <c r="M41" i="61" s="1"/>
  <c r="G40" i="1"/>
  <c r="M35" i="61" s="1"/>
  <c r="AG36" i="1"/>
  <c r="F36" i="1"/>
  <c r="AG41" i="1"/>
  <c r="AG38" i="1"/>
  <c r="E36" i="1"/>
  <c r="J31" i="61" s="1"/>
  <c r="E40" i="1"/>
  <c r="J35" i="61" s="1"/>
  <c r="G45" i="1"/>
  <c r="M40" i="61" s="1"/>
  <c r="G38" i="1"/>
  <c r="M33" i="61" s="1"/>
  <c r="D46" i="1"/>
  <c r="H41" i="61" s="1"/>
  <c r="AG39" i="1"/>
  <c r="F39" i="1"/>
  <c r="K34" i="61" s="1"/>
  <c r="D43" i="1"/>
  <c r="H38" i="61" s="1"/>
  <c r="D42" i="1"/>
  <c r="H37" i="61" s="1"/>
  <c r="E62" i="1"/>
  <c r="J56" i="61" s="1"/>
  <c r="AG62" i="1"/>
  <c r="F62" i="1"/>
  <c r="K56" i="61" s="1"/>
  <c r="G62" i="1"/>
  <c r="M56" i="61" s="1"/>
  <c r="G61" i="1"/>
  <c r="M55" i="61" s="1"/>
  <c r="AG61" i="1"/>
  <c r="H61" i="1" s="1"/>
  <c r="N55" i="61" s="1"/>
  <c r="F61" i="1"/>
  <c r="K55" i="61" s="1"/>
  <c r="G56" i="1"/>
  <c r="M50" i="61" s="1"/>
  <c r="G53" i="1"/>
  <c r="M47" i="61" s="1"/>
  <c r="E61" i="1"/>
  <c r="J55" i="61" s="1"/>
  <c r="G55" i="1"/>
  <c r="M49" i="61" s="1"/>
  <c r="G52" i="1"/>
  <c r="M46" i="61" s="1"/>
  <c r="AG55" i="1"/>
  <c r="F55" i="1"/>
  <c r="K49" i="61" s="1"/>
  <c r="AG54" i="1"/>
  <c r="AG56" i="1"/>
  <c r="H56" i="1" s="1"/>
  <c r="N50" i="61" s="1"/>
  <c r="F56" i="1"/>
  <c r="K50" i="61" s="1"/>
  <c r="AG53" i="1"/>
  <c r="F53" i="1"/>
  <c r="K47" i="61" s="1"/>
  <c r="AG52" i="1"/>
  <c r="F52" i="1"/>
  <c r="K46" i="61" s="1"/>
  <c r="E55" i="1"/>
  <c r="J49" i="61" s="1"/>
  <c r="E56" i="1"/>
  <c r="J50" i="61" s="1"/>
  <c r="E53" i="1"/>
  <c r="J47" i="61" s="1"/>
  <c r="E52" i="1"/>
  <c r="J46" i="61" s="1"/>
  <c r="G43" i="1"/>
  <c r="M38" i="61" s="1"/>
  <c r="G42" i="1"/>
  <c r="M37" i="61" s="1"/>
  <c r="F43" i="1"/>
  <c r="E42" i="1"/>
  <c r="J37" i="61" s="1"/>
  <c r="F42" i="1"/>
  <c r="K37" i="61" s="1"/>
  <c r="E43" i="1"/>
  <c r="J41" i="61"/>
  <c r="J33" i="61"/>
  <c r="AG47" i="1"/>
  <c r="AG43" i="1"/>
  <c r="H43" i="1" s="1"/>
  <c r="AG42" i="1"/>
  <c r="H42" i="1" s="1"/>
  <c r="D28" i="20"/>
  <c r="R28" i="20"/>
  <c r="R27" i="20"/>
  <c r="D27" i="20"/>
  <c r="DR29" i="20"/>
  <c r="BU29" i="20"/>
  <c r="G34" i="45"/>
  <c r="Y34" i="45" s="1"/>
  <c r="BE29" i="20"/>
  <c r="G36" i="45"/>
  <c r="Y36" i="45" s="1"/>
  <c r="G37" i="45"/>
  <c r="Y37" i="45" s="1"/>
  <c r="G44" i="45"/>
  <c r="Y44" i="45" s="1"/>
  <c r="G39" i="45"/>
  <c r="Y39" i="45" s="1"/>
  <c r="G43" i="45"/>
  <c r="Y43" i="45" s="1"/>
  <c r="G41" i="45"/>
  <c r="Y41" i="45" s="1"/>
  <c r="G45" i="45"/>
  <c r="Y45" i="45" s="1"/>
  <c r="T5" i="45"/>
  <c r="G40" i="45"/>
  <c r="Y40" i="45" s="1"/>
  <c r="G42" i="45"/>
  <c r="Y42" i="45" s="1"/>
  <c r="G38" i="45"/>
  <c r="Y38" i="45" s="1"/>
  <c r="O5" i="45"/>
  <c r="BT29" i="20"/>
  <c r="G29" i="20" s="1"/>
  <c r="AG29" i="20"/>
  <c r="BF29" i="20" s="1"/>
  <c r="BQ29" i="20"/>
  <c r="F45" i="65"/>
  <c r="A31" i="20"/>
  <c r="DG30" i="20"/>
  <c r="BP30" i="20"/>
  <c r="B30" i="20"/>
  <c r="AB30" i="20"/>
  <c r="BE30" i="20" s="1"/>
  <c r="BS30" i="20"/>
  <c r="DU30" i="20"/>
  <c r="AF30" i="20"/>
  <c r="BW30" i="20"/>
  <c r="BX30" i="20"/>
  <c r="BZ30" i="20"/>
  <c r="AC30" i="20"/>
  <c r="BY30" i="20"/>
  <c r="BV30" i="20"/>
  <c r="BB30" i="20"/>
  <c r="AZ29" i="20"/>
  <c r="H45" i="65"/>
  <c r="H39" i="65"/>
  <c r="F39" i="65"/>
  <c r="C42" i="22"/>
  <c r="B41" i="22"/>
  <c r="AQ47" i="1"/>
  <c r="G47" i="1" s="1"/>
  <c r="AO47" i="1"/>
  <c r="E47" i="1" s="1"/>
  <c r="AR46" i="1"/>
  <c r="AQ47" i="65"/>
  <c r="G47" i="65" s="1"/>
  <c r="AO47" i="65"/>
  <c r="D47" i="65"/>
  <c r="AR41" i="1"/>
  <c r="C59" i="22"/>
  <c r="B60" i="22"/>
  <c r="C60" i="22" s="1"/>
  <c r="AR39" i="1"/>
  <c r="AR38" i="1"/>
  <c r="AR36" i="1"/>
  <c r="AR40" i="1"/>
  <c r="AN44" i="1"/>
  <c r="AC44" i="1"/>
  <c r="DQ30" i="20" l="1"/>
  <c r="DJ31" i="20"/>
  <c r="DI32" i="20"/>
  <c r="D44" i="65"/>
  <c r="D54" i="65"/>
  <c r="DF30" i="20"/>
  <c r="AF44" i="1"/>
  <c r="AI44" i="1"/>
  <c r="AH44" i="1"/>
  <c r="AO44" i="1"/>
  <c r="AL44" i="1" s="1"/>
  <c r="AQ44" i="1"/>
  <c r="AD44" i="1"/>
  <c r="AE44" i="1" s="1"/>
  <c r="AG44" i="1" s="1"/>
  <c r="AD54" i="65"/>
  <c r="AE54" i="65" s="1"/>
  <c r="AD44" i="65"/>
  <c r="AE44" i="65" s="1"/>
  <c r="AF44" i="65"/>
  <c r="AI44" i="65"/>
  <c r="BC28" i="20"/>
  <c r="AQ53" i="65"/>
  <c r="AO53" i="65"/>
  <c r="AP53" i="65" s="1"/>
  <c r="AR53" i="65" s="1"/>
  <c r="AD62" i="65"/>
  <c r="AF62" i="65"/>
  <c r="D62" i="65"/>
  <c r="AQ44" i="65"/>
  <c r="AO44" i="65"/>
  <c r="AP44" i="65" s="1"/>
  <c r="AR44" i="65" s="1"/>
  <c r="BC27" i="20"/>
  <c r="AO37" i="65"/>
  <c r="AP37" i="65" s="1"/>
  <c r="AR37" i="65" s="1"/>
  <c r="AQ37" i="65"/>
  <c r="AO37" i="1"/>
  <c r="AQ37" i="1"/>
  <c r="AH37" i="65"/>
  <c r="AJ37" i="65"/>
  <c r="AD37" i="65"/>
  <c r="AI37" i="65"/>
  <c r="AF37" i="65"/>
  <c r="D37" i="65"/>
  <c r="AQ54" i="65"/>
  <c r="G54" i="65" s="1"/>
  <c r="AO54" i="65"/>
  <c r="AP54" i="65" s="1"/>
  <c r="AR54" i="65" s="1"/>
  <c r="AQ62" i="65"/>
  <c r="AO62" i="65"/>
  <c r="AP62" i="65" s="1"/>
  <c r="AR62" i="65" s="1"/>
  <c r="AD37" i="1"/>
  <c r="AF37" i="1"/>
  <c r="DE29" i="20"/>
  <c r="AI37" i="1"/>
  <c r="DE30" i="20"/>
  <c r="AH37" i="1"/>
  <c r="DE31" i="20"/>
  <c r="DE27" i="20"/>
  <c r="AJ37" i="1"/>
  <c r="DE28" i="20"/>
  <c r="AD53" i="65"/>
  <c r="AF53" i="65"/>
  <c r="D53" i="65"/>
  <c r="AD30" i="20"/>
  <c r="AE30" i="20" s="1"/>
  <c r="D54" i="1"/>
  <c r="H48" i="61" s="1"/>
  <c r="AR45" i="1"/>
  <c r="H45" i="1" s="1"/>
  <c r="N40" i="61" s="1"/>
  <c r="E54" i="1"/>
  <c r="J48" i="61" s="1"/>
  <c r="F54" i="1"/>
  <c r="K48" i="61" s="1"/>
  <c r="H54" i="1"/>
  <c r="N48" i="61" s="1"/>
  <c r="G54" i="1"/>
  <c r="M48" i="61" s="1"/>
  <c r="D41" i="1"/>
  <c r="H36" i="61" s="1"/>
  <c r="E41" i="1"/>
  <c r="J36" i="61" s="1"/>
  <c r="G41" i="1"/>
  <c r="M36" i="61" s="1"/>
  <c r="H38" i="1"/>
  <c r="N33" i="61" s="1"/>
  <c r="H36" i="1"/>
  <c r="N31" i="61" s="1"/>
  <c r="H39" i="1"/>
  <c r="N34" i="61" s="1"/>
  <c r="H46" i="1"/>
  <c r="N41" i="61" s="1"/>
  <c r="H41" i="1"/>
  <c r="N36" i="61" s="1"/>
  <c r="H40" i="1"/>
  <c r="N35" i="61" s="1"/>
  <c r="F40" i="1"/>
  <c r="K35" i="61" s="1"/>
  <c r="H31" i="61"/>
  <c r="H62" i="1"/>
  <c r="N56" i="61" s="1"/>
  <c r="H55" i="1"/>
  <c r="N49" i="61" s="1"/>
  <c r="H53" i="1"/>
  <c r="N47" i="61" s="1"/>
  <c r="H52" i="1"/>
  <c r="N46" i="61" s="1"/>
  <c r="J38" i="61"/>
  <c r="N37" i="61"/>
  <c r="K38" i="61"/>
  <c r="N38" i="61"/>
  <c r="BD28" i="20"/>
  <c r="U29" i="20"/>
  <c r="BA28" i="20"/>
  <c r="F28" i="20" s="1"/>
  <c r="BA27" i="20"/>
  <c r="F27" i="20" s="1"/>
  <c r="BD27" i="20"/>
  <c r="U28" i="20"/>
  <c r="U43" i="20" s="1"/>
  <c r="BT30" i="20"/>
  <c r="D29" i="20"/>
  <c r="R29" i="20"/>
  <c r="BU30" i="20"/>
  <c r="DR30" i="20"/>
  <c r="AG30" i="20"/>
  <c r="BF30" i="20" s="1"/>
  <c r="G51" i="45"/>
  <c r="Y51" i="45" s="1"/>
  <c r="G47" i="45"/>
  <c r="Y47" i="45" s="1"/>
  <c r="G56" i="45"/>
  <c r="Y56" i="45" s="1"/>
  <c r="G55" i="45"/>
  <c r="Y55" i="45" s="1"/>
  <c r="G48" i="45"/>
  <c r="Y48" i="45" s="1"/>
  <c r="G57" i="45"/>
  <c r="Y57" i="45" s="1"/>
  <c r="G52" i="45"/>
  <c r="Y52" i="45" s="1"/>
  <c r="G53" i="45"/>
  <c r="Y53" i="45" s="1"/>
  <c r="G54" i="45"/>
  <c r="Y54" i="45" s="1"/>
  <c r="G49" i="45"/>
  <c r="Y49" i="45" s="1"/>
  <c r="G50" i="45"/>
  <c r="Y50" i="45" s="1"/>
  <c r="G46" i="45"/>
  <c r="Y46" i="45" s="1"/>
  <c r="A32" i="20"/>
  <c r="DG31" i="20"/>
  <c r="B31" i="20"/>
  <c r="DQ31" i="20" s="1"/>
  <c r="BP31" i="20"/>
  <c r="DU31" i="20"/>
  <c r="BS31" i="20"/>
  <c r="AB31" i="20"/>
  <c r="G69" i="45" s="1"/>
  <c r="Y69" i="45" s="1"/>
  <c r="BW31" i="20"/>
  <c r="AC31" i="20"/>
  <c r="BX31" i="20"/>
  <c r="BU31" i="20"/>
  <c r="BZ31" i="20"/>
  <c r="BV31" i="20"/>
  <c r="BY31" i="20"/>
  <c r="AF31" i="20"/>
  <c r="AG31" i="20" s="1"/>
  <c r="BB31" i="20"/>
  <c r="AZ30" i="20"/>
  <c r="BQ30" i="20"/>
  <c r="B42" i="22"/>
  <c r="C43" i="22"/>
  <c r="AP47" i="1"/>
  <c r="F47" i="1" s="1"/>
  <c r="E47" i="65"/>
  <c r="AP47" i="65"/>
  <c r="K31" i="61"/>
  <c r="AA44" i="1" l="1"/>
  <c r="D44" i="1" s="1"/>
  <c r="H39" i="61" s="1"/>
  <c r="G30" i="20"/>
  <c r="DJ32" i="20"/>
  <c r="DE32" i="20" s="1"/>
  <c r="DI33" i="20"/>
  <c r="DF31" i="20"/>
  <c r="G44" i="65"/>
  <c r="AP44" i="1"/>
  <c r="E54" i="65"/>
  <c r="E44" i="65"/>
  <c r="G62" i="65"/>
  <c r="AG54" i="65"/>
  <c r="H54" i="65" s="1"/>
  <c r="F54" i="65"/>
  <c r="AE37" i="65"/>
  <c r="E37" i="65"/>
  <c r="AL37" i="1"/>
  <c r="AP37" i="1"/>
  <c r="AR37" i="1" s="1"/>
  <c r="AG44" i="65"/>
  <c r="H44" i="65" s="1"/>
  <c r="F44" i="65"/>
  <c r="G37" i="65"/>
  <c r="AE53" i="65"/>
  <c r="E53" i="65"/>
  <c r="AE37" i="1"/>
  <c r="AA37" i="1"/>
  <c r="AE62" i="65"/>
  <c r="E62" i="65"/>
  <c r="G53" i="65"/>
  <c r="AD31" i="20"/>
  <c r="AE31" i="20" s="1"/>
  <c r="R30" i="20"/>
  <c r="G67" i="45"/>
  <c r="Y67" i="45" s="1"/>
  <c r="G58" i="45"/>
  <c r="Y58" i="45" s="1"/>
  <c r="G64" i="45"/>
  <c r="Y64" i="45" s="1"/>
  <c r="G63" i="45"/>
  <c r="Y63" i="45" s="1"/>
  <c r="BA29" i="20"/>
  <c r="F29" i="20" s="1"/>
  <c r="BD29" i="20"/>
  <c r="BC29" i="20"/>
  <c r="U30" i="20"/>
  <c r="BF31" i="20"/>
  <c r="G61" i="45"/>
  <c r="Y61" i="45" s="1"/>
  <c r="G59" i="45"/>
  <c r="Y59" i="45" s="1"/>
  <c r="BT31" i="20"/>
  <c r="G31" i="20" s="1"/>
  <c r="G62" i="45"/>
  <c r="Y62" i="45" s="1"/>
  <c r="G65" i="45"/>
  <c r="Y65" i="45" s="1"/>
  <c r="D30" i="20"/>
  <c r="U31" i="20" s="1"/>
  <c r="G68" i="45"/>
  <c r="Y68" i="45" s="1"/>
  <c r="G60" i="45"/>
  <c r="Y60" i="45" s="1"/>
  <c r="G66" i="45"/>
  <c r="Y66" i="45" s="1"/>
  <c r="BE31" i="20"/>
  <c r="DR31" i="20"/>
  <c r="BQ31" i="20"/>
  <c r="R31" i="20"/>
  <c r="AZ31" i="20"/>
  <c r="A33" i="20"/>
  <c r="DU32" i="20"/>
  <c r="DG32" i="20"/>
  <c r="BS32" i="20"/>
  <c r="AB32" i="20"/>
  <c r="BE32" i="20" s="1"/>
  <c r="B32" i="20"/>
  <c r="AZ32" i="20" s="1"/>
  <c r="BP32" i="20"/>
  <c r="AC32" i="20"/>
  <c r="BZ32" i="20"/>
  <c r="AF32" i="20"/>
  <c r="BV32" i="20"/>
  <c r="BY32" i="20"/>
  <c r="BX32" i="20"/>
  <c r="BW32" i="20"/>
  <c r="BB32" i="20"/>
  <c r="D31" i="20"/>
  <c r="B43" i="22"/>
  <c r="C44" i="22"/>
  <c r="AR47" i="1"/>
  <c r="H47" i="1" s="1"/>
  <c r="AR47" i="65"/>
  <c r="H47" i="65" s="1"/>
  <c r="F47" i="65"/>
  <c r="AN55" i="65"/>
  <c r="AN56" i="65"/>
  <c r="G44" i="1" l="1"/>
  <c r="M39" i="61" s="1"/>
  <c r="E44" i="1"/>
  <c r="J39" i="61" s="1"/>
  <c r="F44" i="1"/>
  <c r="K39" i="61" s="1"/>
  <c r="DI34" i="20"/>
  <c r="DJ33" i="20"/>
  <c r="DE33" i="20" s="1"/>
  <c r="DF32" i="20"/>
  <c r="AR44" i="1"/>
  <c r="H44" i="1" s="1"/>
  <c r="N39" i="61" s="1"/>
  <c r="D37" i="1"/>
  <c r="H32" i="61" s="1"/>
  <c r="D56" i="65"/>
  <c r="D55" i="65"/>
  <c r="AO56" i="65"/>
  <c r="AQ56" i="65"/>
  <c r="G56" i="65" s="1"/>
  <c r="AO55" i="65"/>
  <c r="AQ55" i="65"/>
  <c r="G55" i="65" s="1"/>
  <c r="AG62" i="65"/>
  <c r="H62" i="65" s="1"/>
  <c r="F62" i="65"/>
  <c r="AG37" i="1"/>
  <c r="H37" i="1" s="1"/>
  <c r="F37" i="1"/>
  <c r="AG37" i="65"/>
  <c r="H37" i="65" s="1"/>
  <c r="F37" i="65"/>
  <c r="G37" i="1"/>
  <c r="E37" i="1"/>
  <c r="AG53" i="65"/>
  <c r="H53" i="65" s="1"/>
  <c r="F53" i="65"/>
  <c r="AD32" i="20"/>
  <c r="AE32" i="20" s="1"/>
  <c r="BC30" i="20"/>
  <c r="BD30" i="20"/>
  <c r="BA30" i="20"/>
  <c r="F30" i="20" s="1"/>
  <c r="DQ32" i="20"/>
  <c r="BU32" i="20"/>
  <c r="BT32" i="20"/>
  <c r="G32" i="20" s="1"/>
  <c r="DR32" i="20"/>
  <c r="AG32" i="20"/>
  <c r="BF32" i="20" s="1"/>
  <c r="A34" i="20"/>
  <c r="DG33" i="20"/>
  <c r="BP33" i="20"/>
  <c r="DU33" i="20"/>
  <c r="AB33" i="20"/>
  <c r="G88" i="45" s="1"/>
  <c r="Y88" i="45" s="1"/>
  <c r="BS33" i="20"/>
  <c r="B33" i="20"/>
  <c r="BT33" i="20" s="1"/>
  <c r="AC33" i="20"/>
  <c r="BV33" i="20"/>
  <c r="AF33" i="20"/>
  <c r="BQ33" i="20" s="1"/>
  <c r="BW33" i="20"/>
  <c r="BZ33" i="20"/>
  <c r="BY33" i="20"/>
  <c r="BX33" i="20"/>
  <c r="BB33" i="20"/>
  <c r="BC31" i="20"/>
  <c r="U32" i="20"/>
  <c r="BD31" i="20"/>
  <c r="G75" i="45"/>
  <c r="Y75" i="45" s="1"/>
  <c r="G70" i="45"/>
  <c r="Y70" i="45" s="1"/>
  <c r="G71" i="45"/>
  <c r="Y71" i="45" s="1"/>
  <c r="G78" i="45"/>
  <c r="Y78" i="45" s="1"/>
  <c r="G81" i="45"/>
  <c r="Y81" i="45" s="1"/>
  <c r="G76" i="45"/>
  <c r="Y76" i="45" s="1"/>
  <c r="G74" i="45"/>
  <c r="Y74" i="45" s="1"/>
  <c r="BA31" i="20"/>
  <c r="F31" i="20" s="1"/>
  <c r="G80" i="45"/>
  <c r="Y80" i="45" s="1"/>
  <c r="G79" i="45"/>
  <c r="Y79" i="45" s="1"/>
  <c r="G72" i="45"/>
  <c r="Y72" i="45" s="1"/>
  <c r="G73" i="45"/>
  <c r="Y73" i="45" s="1"/>
  <c r="BQ32" i="20"/>
  <c r="G77" i="45"/>
  <c r="Y77" i="45" s="1"/>
  <c r="B44" i="22"/>
  <c r="C45" i="22"/>
  <c r="P89" i="1"/>
  <c r="P90" i="1"/>
  <c r="N89" i="1"/>
  <c r="O89" i="1"/>
  <c r="N90" i="1"/>
  <c r="DI35" i="20" l="1"/>
  <c r="DJ34" i="20"/>
  <c r="DE34" i="20"/>
  <c r="DF33" i="20"/>
  <c r="AP56" i="65"/>
  <c r="E56" i="65"/>
  <c r="AP55" i="65"/>
  <c r="E55" i="65"/>
  <c r="J32" i="61"/>
  <c r="K32" i="61"/>
  <c r="M32" i="61"/>
  <c r="N32" i="61"/>
  <c r="AD33" i="20"/>
  <c r="AE33" i="20" s="1"/>
  <c r="G82" i="45"/>
  <c r="Y82" i="45" s="1"/>
  <c r="G84" i="45"/>
  <c r="Y84" i="45" s="1"/>
  <c r="G89" i="45"/>
  <c r="Y89" i="45" s="1"/>
  <c r="G86" i="45"/>
  <c r="Y86" i="45" s="1"/>
  <c r="G91" i="45"/>
  <c r="Y91" i="45" s="1"/>
  <c r="G93" i="45"/>
  <c r="Y93" i="45" s="1"/>
  <c r="G83" i="45"/>
  <c r="Y83" i="45" s="1"/>
  <c r="G90" i="45"/>
  <c r="Y90" i="45" s="1"/>
  <c r="AG33" i="20"/>
  <c r="AZ33" i="20"/>
  <c r="D32" i="20"/>
  <c r="BU33" i="20"/>
  <c r="G33" i="20" s="1"/>
  <c r="G87" i="45"/>
  <c r="Y87" i="45" s="1"/>
  <c r="G92" i="45"/>
  <c r="Y92" i="45" s="1"/>
  <c r="A35" i="20"/>
  <c r="DG34" i="20"/>
  <c r="BS34" i="20"/>
  <c r="B34" i="20"/>
  <c r="DF34" i="20" s="1"/>
  <c r="BP34" i="20"/>
  <c r="AB34" i="20"/>
  <c r="G102" i="45" s="1"/>
  <c r="Y102" i="45" s="1"/>
  <c r="DU34" i="20"/>
  <c r="BY34" i="20"/>
  <c r="AF34" i="20"/>
  <c r="BW34" i="20"/>
  <c r="BV34" i="20"/>
  <c r="BX34" i="20"/>
  <c r="BZ34" i="20"/>
  <c r="AC34" i="20"/>
  <c r="AD34" i="20" s="1"/>
  <c r="AE34" i="20" s="1"/>
  <c r="BB34" i="20"/>
  <c r="R32" i="20"/>
  <c r="G85" i="45"/>
  <c r="Y85" i="45" s="1"/>
  <c r="BE33" i="20"/>
  <c r="DR33" i="20"/>
  <c r="DQ33" i="20"/>
  <c r="C46" i="22"/>
  <c r="B45" i="22"/>
  <c r="DQ34" i="20" l="1"/>
  <c r="DI36" i="20"/>
  <c r="DJ35" i="20"/>
  <c r="DE35" i="20" s="1"/>
  <c r="AR56" i="65"/>
  <c r="H56" i="65" s="1"/>
  <c r="F56" i="65"/>
  <c r="AR55" i="65"/>
  <c r="H55" i="65" s="1"/>
  <c r="F55" i="65"/>
  <c r="G98" i="45"/>
  <c r="Y98" i="45" s="1"/>
  <c r="BE34" i="20"/>
  <c r="DR34" i="20"/>
  <c r="G103" i="45"/>
  <c r="Y103" i="45" s="1"/>
  <c r="G99" i="45"/>
  <c r="Y99" i="45" s="1"/>
  <c r="G105" i="45"/>
  <c r="Y105" i="45" s="1"/>
  <c r="G96" i="45"/>
  <c r="Y96" i="45" s="1"/>
  <c r="G94" i="45"/>
  <c r="Y94" i="45" s="1"/>
  <c r="G100" i="45"/>
  <c r="Y100" i="45" s="1"/>
  <c r="G97" i="45"/>
  <c r="Y97" i="45" s="1"/>
  <c r="G104" i="45"/>
  <c r="Y104" i="45" s="1"/>
  <c r="G101" i="45"/>
  <c r="Y101" i="45" s="1"/>
  <c r="G95" i="45"/>
  <c r="Y95" i="45" s="1"/>
  <c r="BF33" i="20"/>
  <c r="D33" i="20"/>
  <c r="R33" i="20"/>
  <c r="AZ34" i="20"/>
  <c r="BU34" i="20"/>
  <c r="AG34" i="20"/>
  <c r="BF34" i="20" s="1"/>
  <c r="BQ34" i="20"/>
  <c r="BT34" i="20"/>
  <c r="A36" i="20"/>
  <c r="DG35" i="20"/>
  <c r="DU35" i="20"/>
  <c r="B35" i="20"/>
  <c r="AB35" i="20"/>
  <c r="G113" i="45" s="1"/>
  <c r="Y113" i="45" s="1"/>
  <c r="BS35" i="20"/>
  <c r="BP35" i="20"/>
  <c r="BX35" i="20"/>
  <c r="BV35" i="20"/>
  <c r="BY35" i="20"/>
  <c r="AF35" i="20"/>
  <c r="BW35" i="20"/>
  <c r="AC35" i="20"/>
  <c r="AD35" i="20" s="1"/>
  <c r="AE35" i="20" s="1"/>
  <c r="BZ35" i="20"/>
  <c r="BB35" i="20"/>
  <c r="U33" i="20"/>
  <c r="BC32" i="20"/>
  <c r="BD32" i="20"/>
  <c r="BA32" i="20"/>
  <c r="F32" i="20" s="1"/>
  <c r="B46" i="22"/>
  <c r="G34" i="20" l="1"/>
  <c r="DI37" i="20"/>
  <c r="DJ36" i="20"/>
  <c r="DE36" i="20" s="1"/>
  <c r="BT35" i="20"/>
  <c r="DF35" i="20"/>
  <c r="G107" i="45"/>
  <c r="Y107" i="45" s="1"/>
  <c r="G109" i="45"/>
  <c r="Y109" i="45" s="1"/>
  <c r="BU35" i="20"/>
  <c r="G35" i="20" s="1"/>
  <c r="G116" i="45"/>
  <c r="Y116" i="45" s="1"/>
  <c r="G117" i="45"/>
  <c r="Y117" i="45" s="1"/>
  <c r="DR35" i="20"/>
  <c r="DQ35" i="20"/>
  <c r="R34" i="20"/>
  <c r="D34" i="20"/>
  <c r="U35" i="20" s="1"/>
  <c r="BE35" i="20"/>
  <c r="AZ35" i="20"/>
  <c r="U34" i="20"/>
  <c r="BC33" i="20"/>
  <c r="BD33" i="20"/>
  <c r="BA33" i="20"/>
  <c r="F33" i="20" s="1"/>
  <c r="A37" i="20"/>
  <c r="DG36" i="20"/>
  <c r="BS36" i="20"/>
  <c r="AB36" i="20"/>
  <c r="G119" i="45" s="1"/>
  <c r="Y119" i="45" s="1"/>
  <c r="B36" i="20"/>
  <c r="BP36" i="20"/>
  <c r="DU36" i="20"/>
  <c r="BX36" i="20"/>
  <c r="AC36" i="20"/>
  <c r="AD36" i="20" s="1"/>
  <c r="AE36" i="20" s="1"/>
  <c r="BV36" i="20"/>
  <c r="BW36" i="20"/>
  <c r="BZ36" i="20"/>
  <c r="AF36" i="20"/>
  <c r="BQ36" i="20" s="1"/>
  <c r="BY36" i="20"/>
  <c r="BB36" i="20"/>
  <c r="G108" i="45"/>
  <c r="Y108" i="45" s="1"/>
  <c r="G110" i="45"/>
  <c r="Y110" i="45" s="1"/>
  <c r="G111" i="45"/>
  <c r="Y111" i="45" s="1"/>
  <c r="BQ35" i="20"/>
  <c r="AG35" i="20"/>
  <c r="DJ37" i="20" l="1"/>
  <c r="DI38" i="20"/>
  <c r="DE37" i="20"/>
  <c r="DR36" i="20"/>
  <c r="DF36" i="20"/>
  <c r="DH36" i="20" s="1"/>
  <c r="H36" i="20" s="1"/>
  <c r="BA34" i="20"/>
  <c r="F34" i="20" s="1"/>
  <c r="BE36" i="20"/>
  <c r="BC34" i="20"/>
  <c r="BD34" i="20"/>
  <c r="AG36" i="20"/>
  <c r="BF36" i="20" s="1"/>
  <c r="BT36" i="20"/>
  <c r="BU36" i="20"/>
  <c r="DQ36" i="20"/>
  <c r="G121" i="45"/>
  <c r="Y121" i="45" s="1"/>
  <c r="G124" i="45"/>
  <c r="Y124" i="45" s="1"/>
  <c r="BF35" i="20"/>
  <c r="D35" i="20"/>
  <c r="R35" i="20"/>
  <c r="AZ36" i="20"/>
  <c r="A38" i="20"/>
  <c r="DG37" i="20"/>
  <c r="DU37" i="20"/>
  <c r="B37" i="20"/>
  <c r="BP37" i="20"/>
  <c r="BS37" i="20"/>
  <c r="AB37" i="20"/>
  <c r="BE37" i="20" s="1"/>
  <c r="BZ37" i="20"/>
  <c r="AC37" i="20"/>
  <c r="AD37" i="20" s="1"/>
  <c r="AE37" i="20" s="1"/>
  <c r="BV37" i="20"/>
  <c r="BX37" i="20"/>
  <c r="AF37" i="20"/>
  <c r="BW37" i="20"/>
  <c r="BY37" i="20"/>
  <c r="BB37" i="20"/>
  <c r="DH34" i="20" l="1"/>
  <c r="H34" i="20" s="1"/>
  <c r="I34" i="20" s="1"/>
  <c r="DH27" i="20"/>
  <c r="H27" i="20" s="1"/>
  <c r="I27" i="20" s="1"/>
  <c r="DH33" i="20"/>
  <c r="H33" i="20" s="1"/>
  <c r="I33" i="20" s="1"/>
  <c r="DH31" i="20"/>
  <c r="H31" i="20" s="1"/>
  <c r="I31" i="20" s="1"/>
  <c r="DH32" i="20"/>
  <c r="H32" i="20" s="1"/>
  <c r="I32" i="20" s="1"/>
  <c r="DH29" i="20"/>
  <c r="H29" i="20" s="1"/>
  <c r="I29" i="20" s="1"/>
  <c r="DH35" i="20"/>
  <c r="H35" i="20" s="1"/>
  <c r="I35" i="20" s="1"/>
  <c r="DH30" i="20"/>
  <c r="H30" i="20" s="1"/>
  <c r="I30" i="20" s="1"/>
  <c r="DH28" i="20"/>
  <c r="H28" i="20" s="1"/>
  <c r="I28" i="20" s="1"/>
  <c r="G36" i="20"/>
  <c r="I36" i="20" s="1"/>
  <c r="DI39" i="20"/>
  <c r="DJ38" i="20"/>
  <c r="DE38" i="20" s="1"/>
  <c r="BT37" i="20"/>
  <c r="DF37" i="20"/>
  <c r="DH37" i="20" s="1"/>
  <c r="H37" i="20" s="1"/>
  <c r="R36" i="20"/>
  <c r="D36" i="20"/>
  <c r="BD36" i="20" s="1"/>
  <c r="DQ37" i="20"/>
  <c r="DR37" i="20"/>
  <c r="BU37" i="20"/>
  <c r="AG37" i="20"/>
  <c r="R37" i="20" s="1"/>
  <c r="BQ37" i="20"/>
  <c r="A39" i="20"/>
  <c r="DG38" i="20"/>
  <c r="BS38" i="20"/>
  <c r="B38" i="20"/>
  <c r="AB38" i="20"/>
  <c r="BE38" i="20" s="1"/>
  <c r="DU38" i="20"/>
  <c r="BP38" i="20"/>
  <c r="BV38" i="20"/>
  <c r="BZ38" i="20"/>
  <c r="AC38" i="20"/>
  <c r="AD38" i="20" s="1"/>
  <c r="AE38" i="20" s="1"/>
  <c r="BY38" i="20"/>
  <c r="AF38" i="20"/>
  <c r="BW38" i="20"/>
  <c r="BX38" i="20"/>
  <c r="BB38" i="20"/>
  <c r="AZ37" i="20"/>
  <c r="U36" i="20"/>
  <c r="BD35" i="20"/>
  <c r="BA35" i="20"/>
  <c r="F35" i="20" s="1"/>
  <c r="BC35" i="20"/>
  <c r="G37" i="20" l="1"/>
  <c r="I37" i="20" s="1"/>
  <c r="DI40" i="20"/>
  <c r="DJ39" i="20"/>
  <c r="DE39" i="20"/>
  <c r="DR38" i="20"/>
  <c r="DF38" i="20"/>
  <c r="DH38" i="20" s="1"/>
  <c r="H38" i="20" s="1"/>
  <c r="U37" i="20"/>
  <c r="DQ38" i="20"/>
  <c r="BC36" i="20"/>
  <c r="BA36" i="20"/>
  <c r="F36" i="20" s="1"/>
  <c r="BU38" i="20"/>
  <c r="BT38" i="20"/>
  <c r="A40" i="20"/>
  <c r="DG39" i="20"/>
  <c r="B39" i="20"/>
  <c r="AB39" i="20"/>
  <c r="BE39" i="20" s="1"/>
  <c r="BP39" i="20"/>
  <c r="DU39" i="20"/>
  <c r="BS39" i="20"/>
  <c r="BV39" i="20"/>
  <c r="AF39" i="20"/>
  <c r="BX39" i="20"/>
  <c r="BW39" i="20"/>
  <c r="BY39" i="20"/>
  <c r="AC39" i="20"/>
  <c r="AD39" i="20" s="1"/>
  <c r="AE39" i="20" s="1"/>
  <c r="BZ39" i="20"/>
  <c r="BB39" i="20"/>
  <c r="AZ38" i="20"/>
  <c r="BF37" i="20"/>
  <c r="D37" i="20"/>
  <c r="AG38" i="20"/>
  <c r="R38" i="20" s="1"/>
  <c r="BQ38" i="20"/>
  <c r="G38" i="20" l="1"/>
  <c r="I38" i="20" s="1"/>
  <c r="DJ40" i="20"/>
  <c r="DI41" i="20"/>
  <c r="DE40" i="20"/>
  <c r="DQ39" i="20"/>
  <c r="DF39" i="20"/>
  <c r="DH39" i="20" s="1"/>
  <c r="H39" i="20" s="1"/>
  <c r="DR39" i="20"/>
  <c r="BU39" i="20"/>
  <c r="U38" i="20"/>
  <c r="BD37" i="20"/>
  <c r="BA37" i="20"/>
  <c r="F37" i="20" s="1"/>
  <c r="BC37" i="20"/>
  <c r="AZ39" i="20"/>
  <c r="AG39" i="20"/>
  <c r="BQ39" i="20"/>
  <c r="BF38" i="20"/>
  <c r="D38" i="20"/>
  <c r="BT39" i="20"/>
  <c r="G39" i="20" s="1"/>
  <c r="A41" i="20"/>
  <c r="DG40" i="20"/>
  <c r="BS40" i="20"/>
  <c r="AB40" i="20"/>
  <c r="BE40" i="20" s="1"/>
  <c r="B40" i="20"/>
  <c r="BP40" i="20"/>
  <c r="DU40" i="20"/>
  <c r="BZ40" i="20"/>
  <c r="BW40" i="20"/>
  <c r="AF40" i="20"/>
  <c r="AC40" i="20"/>
  <c r="AD40" i="20" s="1"/>
  <c r="AE40" i="20" s="1"/>
  <c r="BV40" i="20"/>
  <c r="BX40" i="20"/>
  <c r="BY40" i="20"/>
  <c r="BB40" i="20"/>
  <c r="I39" i="20" l="1"/>
  <c r="DJ41" i="20"/>
  <c r="DI42" i="20"/>
  <c r="DE41" i="20"/>
  <c r="DQ40" i="20"/>
  <c r="DF40" i="20"/>
  <c r="DH40" i="20" s="1"/>
  <c r="H40" i="20" s="1"/>
  <c r="BU40" i="20"/>
  <c r="BT40" i="20"/>
  <c r="G40" i="20" s="1"/>
  <c r="DR40" i="20"/>
  <c r="BF39" i="20"/>
  <c r="D39" i="20"/>
  <c r="U39" i="20"/>
  <c r="BD38" i="20"/>
  <c r="BC38" i="20"/>
  <c r="BA38" i="20"/>
  <c r="F38" i="20" s="1"/>
  <c r="R39" i="20"/>
  <c r="BQ40" i="20"/>
  <c r="AG40" i="20"/>
  <c r="BF40" i="20" s="1"/>
  <c r="AZ40" i="20"/>
  <c r="A42" i="20"/>
  <c r="DG41" i="20"/>
  <c r="BS41" i="20"/>
  <c r="AB41" i="20"/>
  <c r="BE41" i="20" s="1"/>
  <c r="DU41" i="20"/>
  <c r="B41" i="20"/>
  <c r="BP41" i="20"/>
  <c r="AC41" i="20"/>
  <c r="AD41" i="20" s="1"/>
  <c r="AE41" i="20" s="1"/>
  <c r="BX41" i="20"/>
  <c r="BW41" i="20"/>
  <c r="BZ41" i="20"/>
  <c r="BV41" i="20"/>
  <c r="BY41" i="20"/>
  <c r="AF41" i="20"/>
  <c r="BB41" i="20"/>
  <c r="DI43" i="20" l="1"/>
  <c r="DJ42" i="20"/>
  <c r="DE42" i="20" s="1"/>
  <c r="DR41" i="20"/>
  <c r="DF41" i="20"/>
  <c r="DH41" i="20" s="1"/>
  <c r="H41" i="20" s="1"/>
  <c r="I40" i="20"/>
  <c r="BU41" i="20"/>
  <c r="BT41" i="20"/>
  <c r="R40" i="20"/>
  <c r="DQ41" i="20"/>
  <c r="BQ41" i="20"/>
  <c r="AG41" i="20"/>
  <c r="AZ41" i="20"/>
  <c r="D40" i="20"/>
  <c r="A43" i="20"/>
  <c r="BS42" i="20"/>
  <c r="DG42" i="20"/>
  <c r="DU42" i="20"/>
  <c r="B42" i="20"/>
  <c r="AB42" i="20"/>
  <c r="BE42" i="20" s="1"/>
  <c r="BP42" i="20"/>
  <c r="BY42" i="20"/>
  <c r="AC42" i="20"/>
  <c r="AD42" i="20" s="1"/>
  <c r="AE42" i="20" s="1"/>
  <c r="BV42" i="20"/>
  <c r="AF42" i="20"/>
  <c r="BZ42" i="20"/>
  <c r="BX42" i="20"/>
  <c r="BW42" i="20"/>
  <c r="BB42" i="20"/>
  <c r="U40" i="20"/>
  <c r="BC39" i="20"/>
  <c r="BD39" i="20"/>
  <c r="BA39" i="20"/>
  <c r="F39" i="20" s="1"/>
  <c r="G41" i="20" l="1"/>
  <c r="I41" i="20" s="1"/>
  <c r="DI44" i="20"/>
  <c r="DJ43" i="20"/>
  <c r="DE43" i="20"/>
  <c r="BT42" i="20"/>
  <c r="DF42" i="20"/>
  <c r="DH42" i="20" s="1"/>
  <c r="H42" i="20" s="1"/>
  <c r="G42" i="20"/>
  <c r="DQ42" i="20"/>
  <c r="BU42" i="20"/>
  <c r="DR42" i="20"/>
  <c r="AG42" i="20"/>
  <c r="BQ42" i="20"/>
  <c r="AZ42" i="20"/>
  <c r="A44" i="20"/>
  <c r="DG43" i="20"/>
  <c r="BP43" i="20"/>
  <c r="DU43" i="20"/>
  <c r="BS43" i="20"/>
  <c r="AB43" i="20"/>
  <c r="BE43" i="20" s="1"/>
  <c r="B43" i="20"/>
  <c r="AC43" i="20"/>
  <c r="AD43" i="20" s="1"/>
  <c r="AE43" i="20" s="1"/>
  <c r="BW43" i="20"/>
  <c r="BX43" i="20"/>
  <c r="BV43" i="20"/>
  <c r="BZ43" i="20"/>
  <c r="BY43" i="20"/>
  <c r="AF43" i="20"/>
  <c r="BB43" i="20"/>
  <c r="BF41" i="20"/>
  <c r="D41" i="20"/>
  <c r="U41" i="20"/>
  <c r="BD40" i="20"/>
  <c r="BC40" i="20"/>
  <c r="BA40" i="20"/>
  <c r="F40" i="20" s="1"/>
  <c r="R41" i="20"/>
  <c r="DI45" i="20" l="1"/>
  <c r="DJ44" i="20"/>
  <c r="DE44" i="20"/>
  <c r="I42" i="20"/>
  <c r="BU43" i="20"/>
  <c r="DF43" i="20"/>
  <c r="DH43" i="20" s="1"/>
  <c r="H43" i="20" s="1"/>
  <c r="R42" i="20"/>
  <c r="DQ43" i="20"/>
  <c r="BT43" i="20"/>
  <c r="G43" i="20" s="1"/>
  <c r="BQ43" i="20"/>
  <c r="AG43" i="20"/>
  <c r="BF43" i="20" s="1"/>
  <c r="AZ43" i="20"/>
  <c r="U42" i="20"/>
  <c r="BD41" i="20"/>
  <c r="BC41" i="20"/>
  <c r="BA41" i="20"/>
  <c r="F41" i="20" s="1"/>
  <c r="DR43" i="20"/>
  <c r="A45" i="20"/>
  <c r="DG44" i="20"/>
  <c r="BS44" i="20"/>
  <c r="DU44" i="20"/>
  <c r="BP44" i="20"/>
  <c r="AB44" i="20"/>
  <c r="BE44" i="20" s="1"/>
  <c r="B44" i="20"/>
  <c r="BY44" i="20"/>
  <c r="BW44" i="20"/>
  <c r="AF44" i="20"/>
  <c r="AC44" i="20"/>
  <c r="AD44" i="20" s="1"/>
  <c r="AE44" i="20" s="1"/>
  <c r="BX44" i="20"/>
  <c r="BV44" i="20"/>
  <c r="BZ44" i="20"/>
  <c r="BB44" i="20"/>
  <c r="BF42" i="20"/>
  <c r="D42" i="20"/>
  <c r="DJ45" i="20" l="1"/>
  <c r="DI46" i="20"/>
  <c r="DE45" i="20"/>
  <c r="I43" i="20"/>
  <c r="BT44" i="20"/>
  <c r="DF44" i="20"/>
  <c r="DH44" i="20" s="1"/>
  <c r="H44" i="20" s="1"/>
  <c r="G44" i="20"/>
  <c r="DR44" i="20"/>
  <c r="BU44" i="20"/>
  <c r="D43" i="20"/>
  <c r="BA43" i="20" s="1"/>
  <c r="F43" i="20" s="1"/>
  <c r="DQ44" i="20"/>
  <c r="R43" i="20"/>
  <c r="A46" i="20"/>
  <c r="DG45" i="20"/>
  <c r="BS45" i="20"/>
  <c r="DU45" i="20"/>
  <c r="AB45" i="20"/>
  <c r="BE45" i="20" s="1"/>
  <c r="B45" i="20"/>
  <c r="BP45" i="20"/>
  <c r="BZ45" i="20"/>
  <c r="BW45" i="20"/>
  <c r="BX45" i="20"/>
  <c r="BV45" i="20"/>
  <c r="BY45" i="20"/>
  <c r="AF45" i="20"/>
  <c r="AC45" i="20"/>
  <c r="AD45" i="20" s="1"/>
  <c r="AE45" i="20" s="1"/>
  <c r="BB45" i="20"/>
  <c r="AG44" i="20"/>
  <c r="BQ44" i="20"/>
  <c r="AZ44" i="20"/>
  <c r="BD42" i="20"/>
  <c r="BC42" i="20"/>
  <c r="BA42" i="20"/>
  <c r="F42" i="20" s="1"/>
  <c r="DI47" i="20" l="1"/>
  <c r="DJ46" i="20"/>
  <c r="DE46" i="20"/>
  <c r="I44" i="20"/>
  <c r="DR45" i="20"/>
  <c r="DF45" i="20"/>
  <c r="DH45" i="20" s="1"/>
  <c r="H45" i="20" s="1"/>
  <c r="R44" i="20"/>
  <c r="BD43" i="20"/>
  <c r="BC43" i="20"/>
  <c r="DQ45" i="20"/>
  <c r="BT45" i="20"/>
  <c r="BU45" i="20"/>
  <c r="AZ45" i="20"/>
  <c r="BQ45" i="20"/>
  <c r="AG45" i="20"/>
  <c r="BF45" i="20" s="1"/>
  <c r="BF44" i="20"/>
  <c r="D44" i="20"/>
  <c r="A47" i="20"/>
  <c r="DG46" i="20"/>
  <c r="AB46" i="20"/>
  <c r="BE46" i="20" s="1"/>
  <c r="DU46" i="20"/>
  <c r="B46" i="20"/>
  <c r="BP46" i="20"/>
  <c r="BS46" i="20"/>
  <c r="AC46" i="20"/>
  <c r="AD46" i="20" s="1"/>
  <c r="AE46" i="20" s="1"/>
  <c r="BX46" i="20"/>
  <c r="BV46" i="20"/>
  <c r="BZ46" i="20"/>
  <c r="BY46" i="20"/>
  <c r="BW46" i="20"/>
  <c r="AF46" i="20"/>
  <c r="BB46" i="20"/>
  <c r="G45" i="20" l="1"/>
  <c r="I45" i="20" s="1"/>
  <c r="DJ47" i="20"/>
  <c r="DI48" i="20"/>
  <c r="DE47" i="20"/>
  <c r="BU46" i="20"/>
  <c r="DF46" i="20"/>
  <c r="DH46" i="20" s="1"/>
  <c r="H46" i="20" s="1"/>
  <c r="DQ46" i="20"/>
  <c r="BT46" i="20"/>
  <c r="G46" i="20" s="1"/>
  <c r="DR46" i="20"/>
  <c r="BD44" i="20"/>
  <c r="BC44" i="20"/>
  <c r="BA44" i="20"/>
  <c r="F44" i="20" s="1"/>
  <c r="R45" i="20"/>
  <c r="BQ46" i="20"/>
  <c r="AG46" i="20"/>
  <c r="BF46" i="20" s="1"/>
  <c r="AZ46" i="20"/>
  <c r="A48" i="20"/>
  <c r="BS47" i="20"/>
  <c r="DG47" i="20"/>
  <c r="AB47" i="20"/>
  <c r="BE47" i="20" s="1"/>
  <c r="BP47" i="20"/>
  <c r="DU47" i="20"/>
  <c r="B47" i="20"/>
  <c r="BV47" i="20"/>
  <c r="BY47" i="20"/>
  <c r="BZ47" i="20"/>
  <c r="AC47" i="20"/>
  <c r="AD47" i="20" s="1"/>
  <c r="AE47" i="20" s="1"/>
  <c r="BX47" i="20"/>
  <c r="BW47" i="20"/>
  <c r="AF47" i="20"/>
  <c r="BB47" i="20"/>
  <c r="D45" i="20"/>
  <c r="DJ48" i="20" l="1"/>
  <c r="DI49" i="20"/>
  <c r="DE48" i="20"/>
  <c r="BU47" i="20"/>
  <c r="DF47" i="20"/>
  <c r="DH47" i="20" s="1"/>
  <c r="H47" i="20" s="1"/>
  <c r="I46" i="20"/>
  <c r="D46" i="20"/>
  <c r="BA46" i="20" s="1"/>
  <c r="F46" i="20" s="1"/>
  <c r="R46" i="20"/>
  <c r="AZ47" i="20"/>
  <c r="BT47" i="20"/>
  <c r="DR47" i="20"/>
  <c r="BD45" i="20"/>
  <c r="BC45" i="20"/>
  <c r="BA45" i="20"/>
  <c r="F45" i="20" s="1"/>
  <c r="DQ47" i="20"/>
  <c r="A49" i="20"/>
  <c r="DG48" i="20"/>
  <c r="B48" i="20"/>
  <c r="BP48" i="20"/>
  <c r="BS48" i="20"/>
  <c r="AB48" i="20"/>
  <c r="BE48" i="20" s="1"/>
  <c r="DU48" i="20"/>
  <c r="BW48" i="20"/>
  <c r="BZ48" i="20"/>
  <c r="AF48" i="20"/>
  <c r="BV48" i="20"/>
  <c r="AC48" i="20"/>
  <c r="AD48" i="20" s="1"/>
  <c r="AE48" i="20" s="1"/>
  <c r="BY48" i="20"/>
  <c r="BX48" i="20"/>
  <c r="BB48" i="20"/>
  <c r="AH47" i="20"/>
  <c r="BQ47" i="20"/>
  <c r="AG47" i="20"/>
  <c r="BF47" i="20" s="1"/>
  <c r="G47" i="20" l="1"/>
  <c r="I47" i="20" s="1"/>
  <c r="DJ49" i="20"/>
  <c r="DI50" i="20"/>
  <c r="DE49" i="20"/>
  <c r="BU48" i="20"/>
  <c r="DF48" i="20"/>
  <c r="DH48" i="20" s="1"/>
  <c r="H48" i="20" s="1"/>
  <c r="BC46" i="20"/>
  <c r="BD46" i="20"/>
  <c r="BT48" i="20"/>
  <c r="G48" i="20" s="1"/>
  <c r="R47" i="20"/>
  <c r="BQ48" i="20"/>
  <c r="AG48" i="20"/>
  <c r="BF48" i="20" s="1"/>
  <c r="AZ48" i="20"/>
  <c r="DQ48" i="20"/>
  <c r="DR48" i="20"/>
  <c r="A50" i="20"/>
  <c r="DG49" i="20"/>
  <c r="B49" i="20"/>
  <c r="BS49" i="20"/>
  <c r="DU49" i="20"/>
  <c r="BP49" i="20"/>
  <c r="AB49" i="20"/>
  <c r="BE49" i="20" s="1"/>
  <c r="BY49" i="20"/>
  <c r="AF49" i="20"/>
  <c r="BZ49" i="20"/>
  <c r="BW49" i="20"/>
  <c r="BX49" i="20"/>
  <c r="BV49" i="20"/>
  <c r="AC49" i="20"/>
  <c r="AD49" i="20" s="1"/>
  <c r="AE49" i="20" s="1"/>
  <c r="BB49" i="20"/>
  <c r="D47" i="20"/>
  <c r="DI51" i="20" l="1"/>
  <c r="DJ50" i="20"/>
  <c r="DE50" i="20" s="1"/>
  <c r="DQ49" i="20"/>
  <c r="DF49" i="20"/>
  <c r="DH49" i="20" s="1"/>
  <c r="H49" i="20" s="1"/>
  <c r="I48" i="20"/>
  <c r="BU49" i="20"/>
  <c r="D48" i="20"/>
  <c r="BA48" i="20" s="1"/>
  <c r="F48" i="20" s="1"/>
  <c r="BT49" i="20"/>
  <c r="R48" i="20"/>
  <c r="AZ49" i="20"/>
  <c r="AG49" i="20"/>
  <c r="BF49" i="20" s="1"/>
  <c r="BQ49" i="20"/>
  <c r="BC47" i="20"/>
  <c r="BD47" i="20"/>
  <c r="BA47" i="20"/>
  <c r="F47" i="20" s="1"/>
  <c r="DR49" i="20"/>
  <c r="A51" i="20"/>
  <c r="DG50" i="20"/>
  <c r="BS50" i="20"/>
  <c r="BP50" i="20"/>
  <c r="DU50" i="20"/>
  <c r="AB50" i="20"/>
  <c r="BE50" i="20" s="1"/>
  <c r="B50" i="20"/>
  <c r="AF50" i="20"/>
  <c r="BV50" i="20"/>
  <c r="AC50" i="20"/>
  <c r="AD50" i="20" s="1"/>
  <c r="AE50" i="20" s="1"/>
  <c r="BX50" i="20"/>
  <c r="BW50" i="20"/>
  <c r="BZ50" i="20"/>
  <c r="BY50" i="20"/>
  <c r="BB50" i="20"/>
  <c r="G49" i="20" l="1"/>
  <c r="I49" i="20" s="1"/>
  <c r="DI52" i="20"/>
  <c r="DJ51" i="20"/>
  <c r="DE51" i="20"/>
  <c r="BT50" i="20"/>
  <c r="DF50" i="20"/>
  <c r="DH50" i="20" s="1"/>
  <c r="H50" i="20" s="1"/>
  <c r="BD48" i="20"/>
  <c r="BC48" i="20"/>
  <c r="R49" i="20"/>
  <c r="D49" i="20"/>
  <c r="BA49" i="20" s="1"/>
  <c r="F49" i="20" s="1"/>
  <c r="DR50" i="20"/>
  <c r="BU50" i="20"/>
  <c r="G50" i="20" s="1"/>
  <c r="DQ50" i="20"/>
  <c r="BQ50" i="20"/>
  <c r="AG50" i="20"/>
  <c r="AZ50" i="20"/>
  <c r="A52" i="20"/>
  <c r="DG51" i="20"/>
  <c r="AB51" i="20"/>
  <c r="BE51" i="20" s="1"/>
  <c r="B51" i="20"/>
  <c r="BS51" i="20"/>
  <c r="DU51" i="20"/>
  <c r="BP51" i="20"/>
  <c r="BV51" i="20"/>
  <c r="AC51" i="20"/>
  <c r="AD51" i="20" s="1"/>
  <c r="AE51" i="20" s="1"/>
  <c r="AF51" i="20"/>
  <c r="BW51" i="20"/>
  <c r="BZ51" i="20"/>
  <c r="BY51" i="20"/>
  <c r="BX51" i="20"/>
  <c r="BB51" i="20"/>
  <c r="DI53" i="20" l="1"/>
  <c r="DJ52" i="20"/>
  <c r="DE52" i="20"/>
  <c r="DQ51" i="20"/>
  <c r="DF51" i="20"/>
  <c r="DH51" i="20" s="1"/>
  <c r="H51" i="20" s="1"/>
  <c r="I50" i="20"/>
  <c r="BC49" i="20"/>
  <c r="BD49" i="20"/>
  <c r="R50" i="20"/>
  <c r="DR51" i="20"/>
  <c r="BT51" i="20"/>
  <c r="A53" i="20"/>
  <c r="DG52" i="20"/>
  <c r="DU52" i="20"/>
  <c r="AB52" i="20"/>
  <c r="BE52" i="20" s="1"/>
  <c r="BP52" i="20"/>
  <c r="BS52" i="20"/>
  <c r="B52" i="20"/>
  <c r="BW52" i="20"/>
  <c r="BZ52" i="20"/>
  <c r="AF52" i="20"/>
  <c r="BV52" i="20"/>
  <c r="BY52" i="20"/>
  <c r="AC52" i="20"/>
  <c r="AD52" i="20" s="1"/>
  <c r="AE52" i="20" s="1"/>
  <c r="BX52" i="20"/>
  <c r="BB52" i="20"/>
  <c r="BQ51" i="20"/>
  <c r="AG51" i="20"/>
  <c r="BF51" i="20" s="1"/>
  <c r="AZ51" i="20"/>
  <c r="BU51" i="20"/>
  <c r="BF50" i="20"/>
  <c r="D50" i="20"/>
  <c r="G51" i="20" l="1"/>
  <c r="I51" i="20" s="1"/>
  <c r="DJ53" i="20"/>
  <c r="DI54" i="20"/>
  <c r="DE53" i="20"/>
  <c r="DQ52" i="20"/>
  <c r="DF52" i="20"/>
  <c r="DH52" i="20" s="1"/>
  <c r="H52" i="20" s="1"/>
  <c r="BU52" i="20"/>
  <c r="BD50" i="20"/>
  <c r="BC50" i="20"/>
  <c r="BA50" i="20"/>
  <c r="F50" i="20" s="1"/>
  <c r="AZ52" i="20"/>
  <c r="DR52" i="20"/>
  <c r="D51" i="20"/>
  <c r="R51" i="20"/>
  <c r="BT52" i="20"/>
  <c r="G52" i="20" s="1"/>
  <c r="BQ52" i="20"/>
  <c r="AG52" i="20"/>
  <c r="A54" i="20"/>
  <c r="DG53" i="20"/>
  <c r="B53" i="20"/>
  <c r="BP53" i="20"/>
  <c r="BS53" i="20"/>
  <c r="AB53" i="20"/>
  <c r="BE53" i="20" s="1"/>
  <c r="DU53" i="20"/>
  <c r="BW53" i="20"/>
  <c r="AF53" i="20"/>
  <c r="BZ53" i="20"/>
  <c r="BX53" i="20"/>
  <c r="BV53" i="20"/>
  <c r="BY53" i="20"/>
  <c r="AC53" i="20"/>
  <c r="AD53" i="20" s="1"/>
  <c r="AE53" i="20" s="1"/>
  <c r="BB53" i="20"/>
  <c r="DI55" i="20" l="1"/>
  <c r="DJ54" i="20"/>
  <c r="DE54" i="20"/>
  <c r="BT53" i="20"/>
  <c r="DF53" i="20"/>
  <c r="DH53" i="20" s="1"/>
  <c r="H53" i="20" s="1"/>
  <c r="I52" i="20"/>
  <c r="DQ53" i="20"/>
  <c r="DR53" i="20"/>
  <c r="BU53" i="20"/>
  <c r="R52" i="20"/>
  <c r="A55" i="20"/>
  <c r="DG54" i="20"/>
  <c r="DU54" i="20"/>
  <c r="B54" i="20"/>
  <c r="AB54" i="20"/>
  <c r="BE54" i="20" s="1"/>
  <c r="BS54" i="20"/>
  <c r="BP54" i="20"/>
  <c r="BY54" i="20"/>
  <c r="AC54" i="20"/>
  <c r="AD54" i="20" s="1"/>
  <c r="AE54" i="20" s="1"/>
  <c r="AF54" i="20"/>
  <c r="BV54" i="20"/>
  <c r="BX54" i="20"/>
  <c r="BW54" i="20"/>
  <c r="BZ54" i="20"/>
  <c r="BB54" i="20"/>
  <c r="BD51" i="20"/>
  <c r="BC51" i="20"/>
  <c r="BA51" i="20"/>
  <c r="F51" i="20" s="1"/>
  <c r="AG53" i="20"/>
  <c r="BQ53" i="20"/>
  <c r="AZ53" i="20"/>
  <c r="BF52" i="20"/>
  <c r="D52" i="20"/>
  <c r="G53" i="20" l="1"/>
  <c r="I53" i="20" s="1"/>
  <c r="DJ55" i="20"/>
  <c r="DI56" i="20"/>
  <c r="DE55" i="20"/>
  <c r="DQ54" i="20"/>
  <c r="DF54" i="20"/>
  <c r="DH54" i="20" s="1"/>
  <c r="H54" i="20" s="1"/>
  <c r="BU54" i="20"/>
  <c r="BT54" i="20"/>
  <c r="BC52" i="20"/>
  <c r="BD52" i="20"/>
  <c r="BA52" i="20"/>
  <c r="F52" i="20" s="1"/>
  <c r="AG54" i="20"/>
  <c r="BQ54" i="20"/>
  <c r="AZ54" i="20"/>
  <c r="BF53" i="20"/>
  <c r="D53" i="20"/>
  <c r="R53" i="20"/>
  <c r="DR54" i="20"/>
  <c r="A56" i="20"/>
  <c r="DG55" i="20"/>
  <c r="AB55" i="20"/>
  <c r="BE55" i="20" s="1"/>
  <c r="BP55" i="20"/>
  <c r="BS55" i="20"/>
  <c r="DU55" i="20"/>
  <c r="B55" i="20"/>
  <c r="BV55" i="20"/>
  <c r="AC55" i="20"/>
  <c r="AD55" i="20" s="1"/>
  <c r="AE55" i="20" s="1"/>
  <c r="AF55" i="20"/>
  <c r="BW55" i="20"/>
  <c r="BY55" i="20"/>
  <c r="BZ55" i="20"/>
  <c r="BX55" i="20"/>
  <c r="BB55" i="20"/>
  <c r="G54" i="20" l="1"/>
  <c r="I54" i="20" s="1"/>
  <c r="DJ56" i="20"/>
  <c r="DI57" i="20"/>
  <c r="DE56" i="20"/>
  <c r="DQ55" i="20"/>
  <c r="DF55" i="20"/>
  <c r="DH55" i="20" s="1"/>
  <c r="H55" i="20" s="1"/>
  <c r="BU55" i="20"/>
  <c r="BT55" i="20"/>
  <c r="DR55" i="20"/>
  <c r="BF54" i="20"/>
  <c r="D54" i="20"/>
  <c r="BQ55" i="20"/>
  <c r="AG55" i="20"/>
  <c r="BF55" i="20" s="1"/>
  <c r="AZ55" i="20"/>
  <c r="R54" i="20"/>
  <c r="A57" i="20"/>
  <c r="DG56" i="20"/>
  <c r="B56" i="20"/>
  <c r="DU56" i="20"/>
  <c r="BS56" i="20"/>
  <c r="BP56" i="20"/>
  <c r="AB56" i="20"/>
  <c r="BE56" i="20" s="1"/>
  <c r="BW56" i="20"/>
  <c r="BZ56" i="20"/>
  <c r="AF56" i="20"/>
  <c r="BV56" i="20"/>
  <c r="AC56" i="20"/>
  <c r="AD56" i="20" s="1"/>
  <c r="AE56" i="20" s="1"/>
  <c r="BX56" i="20"/>
  <c r="BY56" i="20"/>
  <c r="BB56" i="20"/>
  <c r="BD53" i="20"/>
  <c r="BC53" i="20"/>
  <c r="BA53" i="20"/>
  <c r="F53" i="20" s="1"/>
  <c r="G55" i="20" l="1"/>
  <c r="I55" i="20" s="1"/>
  <c r="DJ57" i="20"/>
  <c r="DE57" i="20" s="1"/>
  <c r="DI58" i="20"/>
  <c r="DQ56" i="20"/>
  <c r="DF56" i="20"/>
  <c r="DH56" i="20" s="1"/>
  <c r="H56" i="20" s="1"/>
  <c r="BT56" i="20"/>
  <c r="G56" i="20" s="1"/>
  <c r="BU56" i="20"/>
  <c r="DR56" i="20"/>
  <c r="A58" i="20"/>
  <c r="DG57" i="20"/>
  <c r="DU57" i="20"/>
  <c r="B57" i="20"/>
  <c r="BP57" i="20"/>
  <c r="BS57" i="20"/>
  <c r="AB57" i="20"/>
  <c r="BE57" i="20" s="1"/>
  <c r="BY57" i="20"/>
  <c r="AF57" i="20"/>
  <c r="BZ57" i="20"/>
  <c r="BX57" i="20"/>
  <c r="BV57" i="20"/>
  <c r="AC57" i="20"/>
  <c r="AD57" i="20" s="1"/>
  <c r="AE57" i="20" s="1"/>
  <c r="BW57" i="20"/>
  <c r="BB57" i="20"/>
  <c r="R55" i="20"/>
  <c r="AZ56" i="20"/>
  <c r="BD54" i="20"/>
  <c r="BC54" i="20"/>
  <c r="BA54" i="20"/>
  <c r="F54" i="20" s="1"/>
  <c r="D55" i="20"/>
  <c r="BQ56" i="20"/>
  <c r="AG56" i="20"/>
  <c r="DI59" i="20" l="1"/>
  <c r="DJ58" i="20"/>
  <c r="DE58" i="20"/>
  <c r="I56" i="20"/>
  <c r="BU57" i="20"/>
  <c r="DF57" i="20"/>
  <c r="DH57" i="20" s="1"/>
  <c r="H57" i="20" s="1"/>
  <c r="DQ57" i="20"/>
  <c r="DR57" i="20"/>
  <c r="BC55" i="20"/>
  <c r="BD55" i="20"/>
  <c r="BA55" i="20"/>
  <c r="F55" i="20" s="1"/>
  <c r="BT57" i="20"/>
  <c r="G57" i="20" s="1"/>
  <c r="BF56" i="20"/>
  <c r="D56" i="20"/>
  <c r="R56" i="20"/>
  <c r="AZ57" i="20"/>
  <c r="AG57" i="20"/>
  <c r="BF57" i="20" s="1"/>
  <c r="BQ57" i="20"/>
  <c r="A59" i="20"/>
  <c r="DG58" i="20"/>
  <c r="BP58" i="20"/>
  <c r="AB58" i="20"/>
  <c r="BE58" i="20" s="1"/>
  <c r="B58" i="20"/>
  <c r="BS58" i="20"/>
  <c r="DU58" i="20"/>
  <c r="BV58" i="20"/>
  <c r="AF58" i="20"/>
  <c r="BX58" i="20"/>
  <c r="BW58" i="20"/>
  <c r="BZ58" i="20"/>
  <c r="BY58" i="20"/>
  <c r="AC58" i="20"/>
  <c r="AD58" i="20" s="1"/>
  <c r="AE58" i="20" s="1"/>
  <c r="BB58" i="20"/>
  <c r="DI60" i="20" l="1"/>
  <c r="DJ59" i="20"/>
  <c r="DE59" i="20"/>
  <c r="I57" i="20"/>
  <c r="BT58" i="20"/>
  <c r="DF58" i="20"/>
  <c r="DH58" i="20" s="1"/>
  <c r="H58" i="20" s="1"/>
  <c r="DR58" i="20"/>
  <c r="DQ58" i="20"/>
  <c r="BU58" i="20"/>
  <c r="G58" i="20" s="1"/>
  <c r="R57" i="20"/>
  <c r="BD56" i="20"/>
  <c r="BC56" i="20"/>
  <c r="BA56" i="20"/>
  <c r="F56" i="20" s="1"/>
  <c r="BQ58" i="20"/>
  <c r="AG58" i="20"/>
  <c r="AZ58" i="20"/>
  <c r="A60" i="20"/>
  <c r="DG59" i="20"/>
  <c r="DU59" i="20"/>
  <c r="AB59" i="20"/>
  <c r="BE59" i="20" s="1"/>
  <c r="B59" i="20"/>
  <c r="BU59" i="20" s="1"/>
  <c r="BS59" i="20"/>
  <c r="BP59" i="20"/>
  <c r="BV59" i="20"/>
  <c r="AC59" i="20"/>
  <c r="AD59" i="20" s="1"/>
  <c r="AE59" i="20" s="1"/>
  <c r="BZ59" i="20"/>
  <c r="BY59" i="20"/>
  <c r="AF59" i="20"/>
  <c r="BW59" i="20"/>
  <c r="BX59" i="20"/>
  <c r="BB59" i="20"/>
  <c r="D57" i="20"/>
  <c r="DI61" i="20" l="1"/>
  <c r="DJ60" i="20"/>
  <c r="DE60" i="20"/>
  <c r="DQ59" i="20"/>
  <c r="DF59" i="20"/>
  <c r="DH59" i="20" s="1"/>
  <c r="H59" i="20" s="1"/>
  <c r="I58" i="20"/>
  <c r="R58" i="20"/>
  <c r="DR59" i="20"/>
  <c r="BT59" i="20"/>
  <c r="G59" i="20" s="1"/>
  <c r="BD57" i="20"/>
  <c r="BC57" i="20"/>
  <c r="BA57" i="20"/>
  <c r="F57" i="20" s="1"/>
  <c r="BF58" i="20"/>
  <c r="D58" i="20"/>
  <c r="BQ59" i="20"/>
  <c r="AG59" i="20"/>
  <c r="AZ59" i="20"/>
  <c r="A61" i="20"/>
  <c r="DG60" i="20"/>
  <c r="BS60" i="20"/>
  <c r="AB60" i="20"/>
  <c r="BE60" i="20" s="1"/>
  <c r="DU60" i="20"/>
  <c r="BP60" i="20"/>
  <c r="B60" i="20"/>
  <c r="BW60" i="20"/>
  <c r="BZ60" i="20"/>
  <c r="AF60" i="20"/>
  <c r="BV60" i="20"/>
  <c r="BY60" i="20"/>
  <c r="AC60" i="20"/>
  <c r="AD60" i="20" s="1"/>
  <c r="AE60" i="20" s="1"/>
  <c r="BX60" i="20"/>
  <c r="BB60" i="20"/>
  <c r="I59" i="20" l="1"/>
  <c r="DJ61" i="20"/>
  <c r="DI62" i="20"/>
  <c r="DE61" i="20"/>
  <c r="BU60" i="20"/>
  <c r="DF60" i="20"/>
  <c r="DH60" i="20" s="1"/>
  <c r="H60" i="20" s="1"/>
  <c r="DQ60" i="20"/>
  <c r="BT60" i="20"/>
  <c r="BQ60" i="20"/>
  <c r="AG60" i="20"/>
  <c r="BF59" i="20"/>
  <c r="D59" i="20"/>
  <c r="DR60" i="20"/>
  <c r="A62" i="20"/>
  <c r="DG61" i="20"/>
  <c r="DU61" i="20"/>
  <c r="B61" i="20"/>
  <c r="BP61" i="20"/>
  <c r="BS61" i="20"/>
  <c r="AB61" i="20"/>
  <c r="BE61" i="20" s="1"/>
  <c r="DQ61" i="20"/>
  <c r="AF61" i="20"/>
  <c r="BZ61" i="20"/>
  <c r="BW61" i="20"/>
  <c r="BX61" i="20"/>
  <c r="BV61" i="20"/>
  <c r="BY61" i="20"/>
  <c r="AC61" i="20"/>
  <c r="AD61" i="20" s="1"/>
  <c r="AE61" i="20" s="1"/>
  <c r="BB61" i="20"/>
  <c r="BD58" i="20"/>
  <c r="BC58" i="20"/>
  <c r="BA58" i="20"/>
  <c r="F58" i="20" s="1"/>
  <c r="AZ60" i="20"/>
  <c r="R59" i="20"/>
  <c r="DR61" i="20" l="1"/>
  <c r="G60" i="20"/>
  <c r="I60" i="20" s="1"/>
  <c r="DI63" i="20"/>
  <c r="DJ62" i="20"/>
  <c r="DE62" i="20"/>
  <c r="BT61" i="20"/>
  <c r="DF61" i="20"/>
  <c r="DH61" i="20" s="1"/>
  <c r="H61" i="20" s="1"/>
  <c r="R60" i="20"/>
  <c r="BU61" i="20"/>
  <c r="G61" i="20" s="1"/>
  <c r="BD59" i="20"/>
  <c r="BC59" i="20"/>
  <c r="BA59" i="20"/>
  <c r="F59" i="20" s="1"/>
  <c r="AG61" i="20"/>
  <c r="BQ61" i="20"/>
  <c r="A63" i="20"/>
  <c r="DG62" i="20"/>
  <c r="AB62" i="20"/>
  <c r="BE62" i="20" s="1"/>
  <c r="BS62" i="20"/>
  <c r="B62" i="20"/>
  <c r="DU62" i="20"/>
  <c r="BP62" i="20"/>
  <c r="BY62" i="20"/>
  <c r="AC62" i="20"/>
  <c r="AD62" i="20" s="1"/>
  <c r="AE62" i="20" s="1"/>
  <c r="AF62" i="20"/>
  <c r="BX62" i="20"/>
  <c r="BW62" i="20"/>
  <c r="BZ62" i="20"/>
  <c r="BV62" i="20"/>
  <c r="BB62" i="20"/>
  <c r="BF60" i="20"/>
  <c r="D60" i="20"/>
  <c r="AZ61" i="20"/>
  <c r="DJ63" i="20" l="1"/>
  <c r="DI64" i="20"/>
  <c r="DE63" i="20"/>
  <c r="I61" i="20"/>
  <c r="DQ62" i="20"/>
  <c r="DF62" i="20"/>
  <c r="DH62" i="20" s="1"/>
  <c r="H62" i="20" s="1"/>
  <c r="R61" i="20"/>
  <c r="BT62" i="20"/>
  <c r="G62" i="20" s="1"/>
  <c r="BU62" i="20"/>
  <c r="AZ62" i="20"/>
  <c r="A64" i="20"/>
  <c r="BS63" i="20"/>
  <c r="DG63" i="20"/>
  <c r="DU63" i="20"/>
  <c r="AB63" i="20"/>
  <c r="BE63" i="20" s="1"/>
  <c r="BP63" i="20"/>
  <c r="B63" i="20"/>
  <c r="BV63" i="20"/>
  <c r="AC63" i="20"/>
  <c r="AD63" i="20" s="1"/>
  <c r="AE63" i="20" s="1"/>
  <c r="AF63" i="20"/>
  <c r="BW63" i="20"/>
  <c r="BY63" i="20"/>
  <c r="BX63" i="20"/>
  <c r="BZ63" i="20"/>
  <c r="BB63" i="20"/>
  <c r="BF61" i="20"/>
  <c r="D61" i="20"/>
  <c r="BC60" i="20"/>
  <c r="BD60" i="20"/>
  <c r="BA60" i="20"/>
  <c r="F60" i="20" s="1"/>
  <c r="DR62" i="20"/>
  <c r="AG62" i="20"/>
  <c r="BQ62" i="20"/>
  <c r="DJ64" i="20" l="1"/>
  <c r="DI65" i="20"/>
  <c r="DE64" i="20"/>
  <c r="DQ63" i="20"/>
  <c r="DF63" i="20"/>
  <c r="DH63" i="20" s="1"/>
  <c r="H63" i="20" s="1"/>
  <c r="I62" i="20"/>
  <c r="DR63" i="20"/>
  <c r="BT63" i="20"/>
  <c r="G63" i="20" s="1"/>
  <c r="BU63" i="20"/>
  <c r="A65" i="20"/>
  <c r="DG64" i="20"/>
  <c r="B64" i="20"/>
  <c r="BS64" i="20"/>
  <c r="DU64" i="20"/>
  <c r="BP64" i="20"/>
  <c r="AB64" i="20"/>
  <c r="BE64" i="20" s="1"/>
  <c r="BW64" i="20"/>
  <c r="BZ64" i="20"/>
  <c r="AF64" i="20"/>
  <c r="BV64" i="20"/>
  <c r="AC64" i="20"/>
  <c r="AD64" i="20" s="1"/>
  <c r="AE64" i="20" s="1"/>
  <c r="BX64" i="20"/>
  <c r="BY64" i="20"/>
  <c r="BB64" i="20"/>
  <c r="BF62" i="20"/>
  <c r="D62" i="20"/>
  <c r="R62" i="20"/>
  <c r="AG63" i="20"/>
  <c r="BQ63" i="20"/>
  <c r="BD61" i="20"/>
  <c r="BC61" i="20"/>
  <c r="BA61" i="20"/>
  <c r="F61" i="20" s="1"/>
  <c r="AZ63" i="20"/>
  <c r="DI66" i="20" l="1"/>
  <c r="DJ65" i="20"/>
  <c r="DE65" i="20" s="1"/>
  <c r="DR64" i="20"/>
  <c r="DF64" i="20"/>
  <c r="DH64" i="20" s="1"/>
  <c r="H64" i="20" s="1"/>
  <c r="I63" i="20"/>
  <c r="DQ64" i="20"/>
  <c r="BT64" i="20"/>
  <c r="BU64" i="20"/>
  <c r="BD62" i="20"/>
  <c r="BC62" i="20"/>
  <c r="BA62" i="20"/>
  <c r="F62" i="20" s="1"/>
  <c r="AZ64" i="20"/>
  <c r="BF63" i="20"/>
  <c r="D63" i="20"/>
  <c r="AG64" i="20"/>
  <c r="BQ64" i="20"/>
  <c r="R63" i="20"/>
  <c r="A66" i="20"/>
  <c r="DG65" i="20"/>
  <c r="BS65" i="20"/>
  <c r="DU65" i="20"/>
  <c r="B65" i="20"/>
  <c r="BU65" i="20" s="1"/>
  <c r="BP65" i="20"/>
  <c r="AB65" i="20"/>
  <c r="BE65" i="20" s="1"/>
  <c r="BY65" i="20"/>
  <c r="BW65" i="20"/>
  <c r="AF65" i="20"/>
  <c r="BZ65" i="20"/>
  <c r="BX65" i="20"/>
  <c r="BV65" i="20"/>
  <c r="AC65" i="20"/>
  <c r="AD65" i="20" s="1"/>
  <c r="AE65" i="20" s="1"/>
  <c r="BB65" i="20"/>
  <c r="G64" i="20" l="1"/>
  <c r="I64" i="20" s="1"/>
  <c r="DI67" i="20"/>
  <c r="DJ66" i="20"/>
  <c r="DE66" i="20"/>
  <c r="DR65" i="20"/>
  <c r="DF65" i="20"/>
  <c r="DH65" i="20" s="1"/>
  <c r="H65" i="20" s="1"/>
  <c r="R64" i="20"/>
  <c r="A67" i="20"/>
  <c r="DG66" i="20"/>
  <c r="BP66" i="20"/>
  <c r="BS66" i="20"/>
  <c r="DU66" i="20"/>
  <c r="AB66" i="20"/>
  <c r="BE66" i="20" s="1"/>
  <c r="B66" i="20"/>
  <c r="AF66" i="20"/>
  <c r="BV66" i="20"/>
  <c r="AC66" i="20"/>
  <c r="AD66" i="20" s="1"/>
  <c r="AE66" i="20" s="1"/>
  <c r="BX66" i="20"/>
  <c r="BW66" i="20"/>
  <c r="BZ66" i="20"/>
  <c r="BY66" i="20"/>
  <c r="BB66" i="20"/>
  <c r="BD63" i="20"/>
  <c r="BC63" i="20"/>
  <c r="BA63" i="20"/>
  <c r="F63" i="20" s="1"/>
  <c r="BQ65" i="20"/>
  <c r="AG65" i="20"/>
  <c r="AZ65" i="20"/>
  <c r="BT65" i="20"/>
  <c r="G65" i="20" s="1"/>
  <c r="DQ65" i="20"/>
  <c r="BF64" i="20"/>
  <c r="D64" i="20"/>
  <c r="I65" i="20" l="1"/>
  <c r="DI68" i="20"/>
  <c r="DJ67" i="20"/>
  <c r="DE67" i="20"/>
  <c r="DR66" i="20"/>
  <c r="DF66" i="20"/>
  <c r="DH66" i="20" s="1"/>
  <c r="H66" i="20" s="1"/>
  <c r="BU66" i="20"/>
  <c r="BF65" i="20"/>
  <c r="D65" i="20"/>
  <c r="AZ66" i="20"/>
  <c r="BT66" i="20"/>
  <c r="G66" i="20" s="1"/>
  <c r="BC64" i="20"/>
  <c r="BD64" i="20"/>
  <c r="BA64" i="20"/>
  <c r="F64" i="20" s="1"/>
  <c r="R65" i="20"/>
  <c r="AG66" i="20"/>
  <c r="BQ66" i="20"/>
  <c r="DQ66" i="20"/>
  <c r="A68" i="20"/>
  <c r="DG67" i="20"/>
  <c r="AB67" i="20"/>
  <c r="BE67" i="20" s="1"/>
  <c r="B67" i="20"/>
  <c r="DU67" i="20"/>
  <c r="BS67" i="20"/>
  <c r="BP67" i="20"/>
  <c r="BV67" i="20"/>
  <c r="AC67" i="20"/>
  <c r="AD67" i="20" s="1"/>
  <c r="AE67" i="20" s="1"/>
  <c r="AF67" i="20"/>
  <c r="BW67" i="20"/>
  <c r="BZ67" i="20"/>
  <c r="BX67" i="20"/>
  <c r="BY67" i="20"/>
  <c r="BB67" i="20"/>
  <c r="DI69" i="20" l="1"/>
  <c r="DJ68" i="20"/>
  <c r="DE68" i="20"/>
  <c r="I66" i="20"/>
  <c r="DQ67" i="20"/>
  <c r="DF67" i="20"/>
  <c r="DH67" i="20" s="1"/>
  <c r="H67" i="20" s="1"/>
  <c r="BU67" i="20"/>
  <c r="BT67" i="20"/>
  <c r="DR67" i="20"/>
  <c r="BF66" i="20"/>
  <c r="D66" i="20"/>
  <c r="A69" i="20"/>
  <c r="DG68" i="20"/>
  <c r="DU68" i="20"/>
  <c r="AB68" i="20"/>
  <c r="BE68" i="20" s="1"/>
  <c r="BP68" i="20"/>
  <c r="BS68" i="20"/>
  <c r="B68" i="20"/>
  <c r="BW68" i="20"/>
  <c r="BZ68" i="20"/>
  <c r="AF68" i="20"/>
  <c r="BV68" i="20"/>
  <c r="BY68" i="20"/>
  <c r="AC68" i="20"/>
  <c r="AD68" i="20" s="1"/>
  <c r="AE68" i="20" s="1"/>
  <c r="BX68" i="20"/>
  <c r="BB68" i="20"/>
  <c r="R66" i="20"/>
  <c r="BC65" i="20"/>
  <c r="BD65" i="20"/>
  <c r="BA65" i="20"/>
  <c r="F65" i="20" s="1"/>
  <c r="BQ67" i="20"/>
  <c r="AG67" i="20"/>
  <c r="BF67" i="20" s="1"/>
  <c r="AZ67" i="20"/>
  <c r="G67" i="20" l="1"/>
  <c r="I67" i="20" s="1"/>
  <c r="DJ69" i="20"/>
  <c r="DI70" i="20"/>
  <c r="DE69" i="20"/>
  <c r="DR68" i="20"/>
  <c r="DF68" i="20"/>
  <c r="DH68" i="20" s="1"/>
  <c r="H68" i="20" s="1"/>
  <c r="BU68" i="20"/>
  <c r="DQ68" i="20"/>
  <c r="AZ68" i="20"/>
  <c r="R67" i="20"/>
  <c r="BC66" i="20"/>
  <c r="BD66" i="20"/>
  <c r="BA66" i="20"/>
  <c r="F66" i="20" s="1"/>
  <c r="BT68" i="20"/>
  <c r="BQ68" i="20"/>
  <c r="AG68" i="20"/>
  <c r="A70" i="20"/>
  <c r="DG69" i="20"/>
  <c r="BS69" i="20"/>
  <c r="B69" i="20"/>
  <c r="BP69" i="20"/>
  <c r="DU69" i="20"/>
  <c r="AB69" i="20"/>
  <c r="BE69" i="20" s="1"/>
  <c r="AF69" i="20"/>
  <c r="BZ69" i="20"/>
  <c r="BX69" i="20"/>
  <c r="BV69" i="20"/>
  <c r="BY69" i="20"/>
  <c r="AC69" i="20"/>
  <c r="AD69" i="20" s="1"/>
  <c r="AE69" i="20" s="1"/>
  <c r="BW69" i="20"/>
  <c r="BB69" i="20"/>
  <c r="D67" i="20"/>
  <c r="G68" i="20" l="1"/>
  <c r="I68" i="20" s="1"/>
  <c r="DI71" i="20"/>
  <c r="DJ70" i="20"/>
  <c r="DE70" i="20"/>
  <c r="BT69" i="20"/>
  <c r="DF69" i="20"/>
  <c r="DH69" i="20" s="1"/>
  <c r="H69" i="20" s="1"/>
  <c r="R68" i="20"/>
  <c r="G69" i="20"/>
  <c r="BU69" i="20"/>
  <c r="DQ69" i="20"/>
  <c r="DR69" i="20"/>
  <c r="AG69" i="20"/>
  <c r="BQ69" i="20"/>
  <c r="A71" i="20"/>
  <c r="DG70" i="20"/>
  <c r="BS70" i="20"/>
  <c r="DU70" i="20"/>
  <c r="B70" i="20"/>
  <c r="AB70" i="20"/>
  <c r="BE70" i="20" s="1"/>
  <c r="BP70" i="20"/>
  <c r="BY70" i="20"/>
  <c r="AF70" i="20"/>
  <c r="BV70" i="20"/>
  <c r="BX70" i="20"/>
  <c r="BW70" i="20"/>
  <c r="BZ70" i="20"/>
  <c r="AC70" i="20"/>
  <c r="AD70" i="20" s="1"/>
  <c r="AE70" i="20" s="1"/>
  <c r="BB70" i="20"/>
  <c r="AZ69" i="20"/>
  <c r="BF68" i="20"/>
  <c r="D68" i="20"/>
  <c r="BC67" i="20"/>
  <c r="BD67" i="20"/>
  <c r="BA67" i="20"/>
  <c r="F67" i="20" s="1"/>
  <c r="DF70" i="20" l="1"/>
  <c r="DH70" i="20" s="1"/>
  <c r="H70" i="20" s="1"/>
  <c r="I69" i="20"/>
  <c r="DJ71" i="20"/>
  <c r="DE71" i="20" s="1"/>
  <c r="DI72" i="20"/>
  <c r="BC68" i="20"/>
  <c r="BD68" i="20"/>
  <c r="BA68" i="20"/>
  <c r="F68" i="20" s="1"/>
  <c r="AZ70" i="20"/>
  <c r="DR70" i="20"/>
  <c r="A72" i="20"/>
  <c r="DG71" i="20"/>
  <c r="AB71" i="20"/>
  <c r="BE71" i="20" s="1"/>
  <c r="BP71" i="20"/>
  <c r="DU71" i="20"/>
  <c r="BS71" i="20"/>
  <c r="B71" i="20"/>
  <c r="BV71" i="20"/>
  <c r="AC71" i="20"/>
  <c r="AD71" i="20" s="1"/>
  <c r="AE71" i="20" s="1"/>
  <c r="AF71" i="20"/>
  <c r="BW71" i="20"/>
  <c r="BY71" i="20"/>
  <c r="BZ71" i="20"/>
  <c r="BX71" i="20"/>
  <c r="BB71" i="20"/>
  <c r="BT70" i="20"/>
  <c r="BF69" i="20"/>
  <c r="D69" i="20"/>
  <c r="AG70" i="20"/>
  <c r="BF70" i="20" s="1"/>
  <c r="BQ70" i="20"/>
  <c r="DQ70" i="20"/>
  <c r="BU70" i="20"/>
  <c r="R69" i="20"/>
  <c r="G70" i="20" l="1"/>
  <c r="I70" i="20" s="1"/>
  <c r="DJ72" i="20"/>
  <c r="DI73" i="20"/>
  <c r="DE72" i="20"/>
  <c r="BU71" i="20"/>
  <c r="DF71" i="20"/>
  <c r="DH71" i="20" s="1"/>
  <c r="H71" i="20" s="1"/>
  <c r="DR71" i="20"/>
  <c r="BT71" i="20"/>
  <c r="G71" i="20" s="1"/>
  <c r="DQ71" i="20"/>
  <c r="R70" i="20"/>
  <c r="A73" i="20"/>
  <c r="DG72" i="20"/>
  <c r="B72" i="20"/>
  <c r="BS72" i="20"/>
  <c r="BP72" i="20"/>
  <c r="AB72" i="20"/>
  <c r="BE72" i="20" s="1"/>
  <c r="DU72" i="20"/>
  <c r="BW72" i="20"/>
  <c r="BZ72" i="20"/>
  <c r="AF72" i="20"/>
  <c r="BV72" i="20"/>
  <c r="AC72" i="20"/>
  <c r="AD72" i="20" s="1"/>
  <c r="AE72" i="20" s="1"/>
  <c r="BY72" i="20"/>
  <c r="BX72" i="20"/>
  <c r="BB72" i="20"/>
  <c r="D70" i="20"/>
  <c r="BC69" i="20"/>
  <c r="BD69" i="20"/>
  <c r="BA69" i="20"/>
  <c r="F69" i="20" s="1"/>
  <c r="BQ71" i="20"/>
  <c r="AG71" i="20"/>
  <c r="AZ71" i="20"/>
  <c r="I71" i="20" l="1"/>
  <c r="DI74" i="20"/>
  <c r="DJ73" i="20"/>
  <c r="DE73" i="20"/>
  <c r="BT72" i="20"/>
  <c r="DF72" i="20"/>
  <c r="DH72" i="20" s="1"/>
  <c r="H72" i="20" s="1"/>
  <c r="R71" i="20"/>
  <c r="BU72" i="20"/>
  <c r="BD70" i="20"/>
  <c r="BC70" i="20"/>
  <c r="BA70" i="20"/>
  <c r="F70" i="20" s="1"/>
  <c r="A74" i="20"/>
  <c r="DG73" i="20"/>
  <c r="DU73" i="20"/>
  <c r="B73" i="20"/>
  <c r="BP73" i="20"/>
  <c r="BS73" i="20"/>
  <c r="AB73" i="20"/>
  <c r="BE73" i="20" s="1"/>
  <c r="BY73" i="20"/>
  <c r="AF73" i="20"/>
  <c r="BZ73" i="20"/>
  <c r="BW73" i="20"/>
  <c r="BX73" i="20"/>
  <c r="BV73" i="20"/>
  <c r="AC73" i="20"/>
  <c r="AD73" i="20" s="1"/>
  <c r="AE73" i="20" s="1"/>
  <c r="BB73" i="20"/>
  <c r="AZ72" i="20"/>
  <c r="BF71" i="20"/>
  <c r="D71" i="20"/>
  <c r="DR72" i="20"/>
  <c r="AG72" i="20"/>
  <c r="BQ72" i="20"/>
  <c r="DQ72" i="20"/>
  <c r="G72" i="20" l="1"/>
  <c r="I72" i="20" s="1"/>
  <c r="DI75" i="20"/>
  <c r="DJ74" i="20"/>
  <c r="DE74" i="20"/>
  <c r="DR73" i="20"/>
  <c r="DF73" i="20"/>
  <c r="DH73" i="20" s="1"/>
  <c r="H73" i="20" s="1"/>
  <c r="AZ73" i="20"/>
  <c r="BU73" i="20"/>
  <c r="DQ73" i="20"/>
  <c r="AG73" i="20"/>
  <c r="BQ73" i="20"/>
  <c r="BC71" i="20"/>
  <c r="BD71" i="20"/>
  <c r="BA71" i="20"/>
  <c r="F71" i="20" s="1"/>
  <c r="A75" i="20"/>
  <c r="DG74" i="20"/>
  <c r="BS74" i="20"/>
  <c r="BP74" i="20"/>
  <c r="B74" i="20"/>
  <c r="DF74" i="20" s="1"/>
  <c r="DU74" i="20"/>
  <c r="AB74" i="20"/>
  <c r="BE74" i="20" s="1"/>
  <c r="AC74" i="20"/>
  <c r="AD74" i="20" s="1"/>
  <c r="AE74" i="20" s="1"/>
  <c r="AF74" i="20"/>
  <c r="DR74" i="20"/>
  <c r="BX74" i="20"/>
  <c r="BW74" i="20"/>
  <c r="BZ74" i="20"/>
  <c r="BY74" i="20"/>
  <c r="BV74" i="20"/>
  <c r="BB74" i="20"/>
  <c r="BF72" i="20"/>
  <c r="D72" i="20"/>
  <c r="R72" i="20"/>
  <c r="BT73" i="20"/>
  <c r="DH74" i="20" l="1"/>
  <c r="H74" i="20" s="1"/>
  <c r="DQ74" i="20"/>
  <c r="G73" i="20"/>
  <c r="I73" i="20" s="1"/>
  <c r="DI76" i="20"/>
  <c r="DJ75" i="20"/>
  <c r="DE75" i="20" s="1"/>
  <c r="BF73" i="20"/>
  <c r="D73" i="20"/>
  <c r="AZ74" i="20"/>
  <c r="A76" i="20"/>
  <c r="DG75" i="20"/>
  <c r="BS75" i="20"/>
  <c r="AB75" i="20"/>
  <c r="BE75" i="20" s="1"/>
  <c r="B75" i="20"/>
  <c r="BP75" i="20"/>
  <c r="DU75" i="20"/>
  <c r="BV75" i="20"/>
  <c r="AC75" i="20"/>
  <c r="AD75" i="20" s="1"/>
  <c r="AE75" i="20" s="1"/>
  <c r="BY75" i="20"/>
  <c r="AF75" i="20"/>
  <c r="BW75" i="20"/>
  <c r="BX75" i="20"/>
  <c r="BZ75" i="20"/>
  <c r="BB75" i="20"/>
  <c r="BU74" i="20"/>
  <c r="BD72" i="20"/>
  <c r="BC72" i="20"/>
  <c r="BA72" i="20"/>
  <c r="F72" i="20" s="1"/>
  <c r="BT74" i="20"/>
  <c r="G74" i="20" s="1"/>
  <c r="BQ74" i="20"/>
  <c r="AG74" i="20"/>
  <c r="R73" i="20"/>
  <c r="I74" i="20" l="1"/>
  <c r="DI77" i="20"/>
  <c r="DJ76" i="20"/>
  <c r="DE76" i="20"/>
  <c r="BU75" i="20"/>
  <c r="DF75" i="20"/>
  <c r="DH75" i="20" s="1"/>
  <c r="H75" i="20" s="1"/>
  <c r="R74" i="20"/>
  <c r="BT75" i="20"/>
  <c r="DR75" i="20"/>
  <c r="DQ75" i="20"/>
  <c r="BQ75" i="20"/>
  <c r="AG75" i="20"/>
  <c r="BC73" i="20"/>
  <c r="BD73" i="20"/>
  <c r="BA73" i="20"/>
  <c r="F73" i="20" s="1"/>
  <c r="BF74" i="20"/>
  <c r="D74" i="20"/>
  <c r="AZ75" i="20"/>
  <c r="A77" i="20"/>
  <c r="DG76" i="20"/>
  <c r="BS76" i="20"/>
  <c r="AB76" i="20"/>
  <c r="BE76" i="20" s="1"/>
  <c r="BP76" i="20"/>
  <c r="DU76" i="20"/>
  <c r="B76" i="20"/>
  <c r="BW76" i="20"/>
  <c r="BZ76" i="20"/>
  <c r="AF76" i="20"/>
  <c r="BV76" i="20"/>
  <c r="BY76" i="20"/>
  <c r="AC76" i="20"/>
  <c r="AD76" i="20" s="1"/>
  <c r="AE76" i="20" s="1"/>
  <c r="BX76" i="20"/>
  <c r="BB76" i="20"/>
  <c r="G75" i="20" l="1"/>
  <c r="I75" i="20" s="1"/>
  <c r="DI78" i="20"/>
  <c r="DJ77" i="20"/>
  <c r="DE77" i="20"/>
  <c r="DQ76" i="20"/>
  <c r="DF76" i="20"/>
  <c r="DH76" i="20" s="1"/>
  <c r="H76" i="20" s="1"/>
  <c r="BU76" i="20"/>
  <c r="DR76" i="20"/>
  <c r="BT76" i="20"/>
  <c r="BC74" i="20"/>
  <c r="BD74" i="20"/>
  <c r="BA74" i="20"/>
  <c r="F74" i="20" s="1"/>
  <c r="BQ76" i="20"/>
  <c r="AG76" i="20"/>
  <c r="A78" i="20"/>
  <c r="DG77" i="20"/>
  <c r="BS77" i="20"/>
  <c r="B77" i="20"/>
  <c r="BP77" i="20"/>
  <c r="DU77" i="20"/>
  <c r="AB77" i="20"/>
  <c r="BE77" i="20" s="1"/>
  <c r="DR77" i="20"/>
  <c r="BW77" i="20"/>
  <c r="AF77" i="20"/>
  <c r="BZ77" i="20"/>
  <c r="BX77" i="20"/>
  <c r="BV77" i="20"/>
  <c r="BY77" i="20"/>
  <c r="AC77" i="20"/>
  <c r="AD77" i="20" s="1"/>
  <c r="AE77" i="20" s="1"/>
  <c r="BB77" i="20"/>
  <c r="BF75" i="20"/>
  <c r="D75" i="20"/>
  <c r="AZ76" i="20"/>
  <c r="R75" i="20"/>
  <c r="G76" i="20" l="1"/>
  <c r="I76" i="20" s="1"/>
  <c r="DI79" i="20"/>
  <c r="DJ78" i="20"/>
  <c r="DE78" i="20"/>
  <c r="BT77" i="20"/>
  <c r="DF77" i="20"/>
  <c r="DH77" i="20" s="1"/>
  <c r="H77" i="20" s="1"/>
  <c r="DQ77" i="20"/>
  <c r="BU77" i="20"/>
  <c r="R76" i="20"/>
  <c r="AZ77" i="20"/>
  <c r="BF76" i="20"/>
  <c r="D76" i="20"/>
  <c r="AG77" i="20"/>
  <c r="BQ77" i="20"/>
  <c r="A79" i="20"/>
  <c r="DG78" i="20"/>
  <c r="BS78" i="20"/>
  <c r="AB78" i="20"/>
  <c r="BE78" i="20" s="1"/>
  <c r="B78" i="20"/>
  <c r="DF78" i="20" s="1"/>
  <c r="DU78" i="20"/>
  <c r="BP78" i="20"/>
  <c r="BY78" i="20"/>
  <c r="AF78" i="20"/>
  <c r="AC78" i="20"/>
  <c r="AD78" i="20" s="1"/>
  <c r="AE78" i="20" s="1"/>
  <c r="BX78" i="20"/>
  <c r="BW78" i="20"/>
  <c r="BZ78" i="20"/>
  <c r="BV78" i="20"/>
  <c r="BB78" i="20"/>
  <c r="BD75" i="20"/>
  <c r="BC75" i="20"/>
  <c r="BA75" i="20"/>
  <c r="F75" i="20" s="1"/>
  <c r="G77" i="20" l="1"/>
  <c r="I77" i="20" s="1"/>
  <c r="DJ79" i="20"/>
  <c r="DI80" i="20"/>
  <c r="DE79" i="20"/>
  <c r="DH78" i="20"/>
  <c r="H78" i="20" s="1"/>
  <c r="AZ78" i="20"/>
  <c r="A80" i="20"/>
  <c r="DG79" i="20"/>
  <c r="DU79" i="20"/>
  <c r="AB79" i="20"/>
  <c r="BE79" i="20" s="1"/>
  <c r="BP79" i="20"/>
  <c r="BS79" i="20"/>
  <c r="B79" i="20"/>
  <c r="BV79" i="20"/>
  <c r="AC79" i="20"/>
  <c r="AD79" i="20" s="1"/>
  <c r="AE79" i="20" s="1"/>
  <c r="AF79" i="20"/>
  <c r="BW79" i="20"/>
  <c r="BY79" i="20"/>
  <c r="BX79" i="20"/>
  <c r="BZ79" i="20"/>
  <c r="BB79" i="20"/>
  <c r="BD76" i="20"/>
  <c r="BC76" i="20"/>
  <c r="BA76" i="20"/>
  <c r="F76" i="20" s="1"/>
  <c r="DR78" i="20"/>
  <c r="BF77" i="20"/>
  <c r="D77" i="20"/>
  <c r="AG78" i="20"/>
  <c r="BF78" i="20" s="1"/>
  <c r="BQ78" i="20"/>
  <c r="BU78" i="20"/>
  <c r="BT78" i="20"/>
  <c r="D78" i="20"/>
  <c r="DQ78" i="20"/>
  <c r="R77" i="20"/>
  <c r="G78" i="20" l="1"/>
  <c r="I78" i="20" s="1"/>
  <c r="DJ80" i="20"/>
  <c r="DI81" i="20"/>
  <c r="DE80" i="20"/>
  <c r="DQ79" i="20"/>
  <c r="DF79" i="20"/>
  <c r="DH79" i="20" s="1"/>
  <c r="H79" i="20" s="1"/>
  <c r="DR79" i="20"/>
  <c r="BU79" i="20"/>
  <c r="BT79" i="20"/>
  <c r="BD78" i="20"/>
  <c r="BC78" i="20"/>
  <c r="A81" i="20"/>
  <c r="DG80" i="20"/>
  <c r="DU80" i="20"/>
  <c r="B80" i="20"/>
  <c r="BP80" i="20"/>
  <c r="AB80" i="20"/>
  <c r="BE80" i="20" s="1"/>
  <c r="BS80" i="20"/>
  <c r="BW80" i="20"/>
  <c r="BZ80" i="20"/>
  <c r="AF80" i="20"/>
  <c r="BV80" i="20"/>
  <c r="AC80" i="20"/>
  <c r="AD80" i="20" s="1"/>
  <c r="AE80" i="20" s="1"/>
  <c r="BX80" i="20"/>
  <c r="BY80" i="20"/>
  <c r="BB80" i="20"/>
  <c r="R78" i="20"/>
  <c r="BQ79" i="20"/>
  <c r="AG79" i="20"/>
  <c r="BA78" i="20"/>
  <c r="F78" i="20" s="1"/>
  <c r="BC77" i="20"/>
  <c r="BD77" i="20"/>
  <c r="BA77" i="20"/>
  <c r="F77" i="20" s="1"/>
  <c r="AZ79" i="20"/>
  <c r="G79" i="20" l="1"/>
  <c r="I79" i="20" s="1"/>
  <c r="DI82" i="20"/>
  <c r="DJ81" i="20"/>
  <c r="DE81" i="20"/>
  <c r="BT80" i="20"/>
  <c r="DF80" i="20"/>
  <c r="DH80" i="20" s="1"/>
  <c r="H80" i="20" s="1"/>
  <c r="R79" i="20"/>
  <c r="BU80" i="20"/>
  <c r="DQ80" i="20"/>
  <c r="DR80" i="20"/>
  <c r="AG80" i="20"/>
  <c r="BQ80" i="20"/>
  <c r="A82" i="20"/>
  <c r="DG81" i="20"/>
  <c r="DU81" i="20"/>
  <c r="B81" i="20"/>
  <c r="DQ81" i="20" s="1"/>
  <c r="BP81" i="20"/>
  <c r="BS81" i="20"/>
  <c r="AB81" i="20"/>
  <c r="BE81" i="20" s="1"/>
  <c r="BY81" i="20"/>
  <c r="AF81" i="20"/>
  <c r="BZ81" i="20"/>
  <c r="BX81" i="20"/>
  <c r="BV81" i="20"/>
  <c r="AC81" i="20"/>
  <c r="AD81" i="20" s="1"/>
  <c r="AE81" i="20" s="1"/>
  <c r="BW81" i="20"/>
  <c r="BB81" i="20"/>
  <c r="BF79" i="20"/>
  <c r="D79" i="20"/>
  <c r="AZ80" i="20"/>
  <c r="G80" i="20" l="1"/>
  <c r="I80" i="20" s="1"/>
  <c r="DI83" i="20"/>
  <c r="DJ82" i="20"/>
  <c r="DE82" i="20"/>
  <c r="DR81" i="20"/>
  <c r="DF81" i="20"/>
  <c r="DH81" i="20" s="1"/>
  <c r="H81" i="20" s="1"/>
  <c r="AG81" i="20"/>
  <c r="BQ81" i="20"/>
  <c r="AZ81" i="20"/>
  <c r="BU81" i="20"/>
  <c r="BT81" i="20"/>
  <c r="BF80" i="20"/>
  <c r="D80" i="20"/>
  <c r="A83" i="20"/>
  <c r="DG82" i="20"/>
  <c r="BP82" i="20"/>
  <c r="BS82" i="20"/>
  <c r="DU82" i="20"/>
  <c r="AB82" i="20"/>
  <c r="BE82" i="20" s="1"/>
  <c r="B82" i="20"/>
  <c r="AC82" i="20"/>
  <c r="AD82" i="20" s="1"/>
  <c r="AE82" i="20" s="1"/>
  <c r="AF82" i="20"/>
  <c r="BX82" i="20"/>
  <c r="BW82" i="20"/>
  <c r="BZ82" i="20"/>
  <c r="BY82" i="20"/>
  <c r="BV82" i="20"/>
  <c r="BB82" i="20"/>
  <c r="BC79" i="20"/>
  <c r="BD79" i="20"/>
  <c r="BA79" i="20"/>
  <c r="F79" i="20" s="1"/>
  <c r="R80" i="20"/>
  <c r="G81" i="20" l="1"/>
  <c r="I81" i="20" s="1"/>
  <c r="DI84" i="20"/>
  <c r="DJ83" i="20"/>
  <c r="DE83" i="20"/>
  <c r="BU82" i="20"/>
  <c r="DF82" i="20"/>
  <c r="DH82" i="20" s="1"/>
  <c r="H82" i="20" s="1"/>
  <c r="AZ82" i="20"/>
  <c r="AG82" i="20"/>
  <c r="BQ82" i="20"/>
  <c r="DR82" i="20"/>
  <c r="BT82" i="20"/>
  <c r="G82" i="20" s="1"/>
  <c r="A84" i="20"/>
  <c r="DG83" i="20"/>
  <c r="DU83" i="20"/>
  <c r="AB83" i="20"/>
  <c r="BE83" i="20" s="1"/>
  <c r="B83" i="20"/>
  <c r="BS83" i="20"/>
  <c r="BP83" i="20"/>
  <c r="BV83" i="20"/>
  <c r="AC83" i="20"/>
  <c r="AD83" i="20" s="1"/>
  <c r="AE83" i="20" s="1"/>
  <c r="AF83" i="20"/>
  <c r="BW83" i="20"/>
  <c r="BZ83" i="20"/>
  <c r="BX83" i="20"/>
  <c r="BY83" i="20"/>
  <c r="BB83" i="20"/>
  <c r="BF81" i="20"/>
  <c r="D81" i="20"/>
  <c r="DQ82" i="20"/>
  <c r="BD80" i="20"/>
  <c r="BC80" i="20"/>
  <c r="BA80" i="20"/>
  <c r="F80" i="20" s="1"/>
  <c r="R81" i="20"/>
  <c r="DI85" i="20" l="1"/>
  <c r="DJ84" i="20"/>
  <c r="DE84" i="20"/>
  <c r="DQ83" i="20"/>
  <c r="DF83" i="20"/>
  <c r="DH83" i="20" s="1"/>
  <c r="H83" i="20" s="1"/>
  <c r="BU83" i="20"/>
  <c r="BT83" i="20"/>
  <c r="G83" i="20" s="1"/>
  <c r="I82" i="20"/>
  <c r="R82" i="20"/>
  <c r="AZ83" i="20"/>
  <c r="A85" i="20"/>
  <c r="DG84" i="20"/>
  <c r="DU84" i="20"/>
  <c r="AB84" i="20"/>
  <c r="BE84" i="20" s="1"/>
  <c r="BP84" i="20"/>
  <c r="BS84" i="20"/>
  <c r="B84" i="20"/>
  <c r="BW84" i="20"/>
  <c r="BZ84" i="20"/>
  <c r="AF84" i="20"/>
  <c r="BV84" i="20"/>
  <c r="BY84" i="20"/>
  <c r="AC84" i="20"/>
  <c r="AD84" i="20" s="1"/>
  <c r="AE84" i="20" s="1"/>
  <c r="BX84" i="20"/>
  <c r="BB84" i="20"/>
  <c r="BF82" i="20"/>
  <c r="D82" i="20"/>
  <c r="BD81" i="20"/>
  <c r="BC81" i="20"/>
  <c r="BA81" i="20"/>
  <c r="F81" i="20" s="1"/>
  <c r="BQ83" i="20"/>
  <c r="AG83" i="20"/>
  <c r="R83" i="20" s="1"/>
  <c r="DR83" i="20"/>
  <c r="DJ85" i="20" l="1"/>
  <c r="DE85" i="20" s="1"/>
  <c r="DI86" i="20"/>
  <c r="DQ84" i="20"/>
  <c r="DF84" i="20"/>
  <c r="DH84" i="20" s="1"/>
  <c r="H84" i="20" s="1"/>
  <c r="I83" i="20"/>
  <c r="BT84" i="20"/>
  <c r="BU84" i="20"/>
  <c r="DR84" i="20"/>
  <c r="BD82" i="20"/>
  <c r="BC82" i="20"/>
  <c r="BA82" i="20"/>
  <c r="F82" i="20" s="1"/>
  <c r="A86" i="20"/>
  <c r="DG85" i="20"/>
  <c r="DU85" i="20"/>
  <c r="B85" i="20"/>
  <c r="BP85" i="20"/>
  <c r="BS85" i="20"/>
  <c r="AB85" i="20"/>
  <c r="BE85" i="20" s="1"/>
  <c r="BT85" i="20"/>
  <c r="BW85" i="20"/>
  <c r="AF85" i="20"/>
  <c r="BZ85" i="20"/>
  <c r="BX85" i="20"/>
  <c r="BV85" i="20"/>
  <c r="BY85" i="20"/>
  <c r="AC85" i="20"/>
  <c r="AD85" i="20" s="1"/>
  <c r="AE85" i="20" s="1"/>
  <c r="BB85" i="20"/>
  <c r="BF83" i="20"/>
  <c r="D83" i="20"/>
  <c r="AZ84" i="20"/>
  <c r="AG84" i="20"/>
  <c r="R84" i="20" s="1"/>
  <c r="BQ84" i="20"/>
  <c r="G84" i="20" l="1"/>
  <c r="I84" i="20" s="1"/>
  <c r="DI87" i="20"/>
  <c r="DJ86" i="20"/>
  <c r="DE86" i="20"/>
  <c r="DR85" i="20"/>
  <c r="DF85" i="20"/>
  <c r="DH85" i="20" s="1"/>
  <c r="H85" i="20" s="1"/>
  <c r="BU85" i="20"/>
  <c r="G85" i="20" s="1"/>
  <c r="DQ85" i="20"/>
  <c r="AG85" i="20"/>
  <c r="BQ85" i="20"/>
  <c r="A87" i="20"/>
  <c r="DG86" i="20"/>
  <c r="DU86" i="20"/>
  <c r="B86" i="20"/>
  <c r="AB86" i="20"/>
  <c r="BE86" i="20" s="1"/>
  <c r="BP86" i="20"/>
  <c r="BS86" i="20"/>
  <c r="BY86" i="20"/>
  <c r="BV86" i="20"/>
  <c r="AF86" i="20"/>
  <c r="AC86" i="20"/>
  <c r="AD86" i="20" s="1"/>
  <c r="AE86" i="20" s="1"/>
  <c r="BX86" i="20"/>
  <c r="BW86" i="20"/>
  <c r="BZ86" i="20"/>
  <c r="BB86" i="20"/>
  <c r="AZ85" i="20"/>
  <c r="BF84" i="20"/>
  <c r="D84" i="20"/>
  <c r="BD83" i="20"/>
  <c r="BC83" i="20"/>
  <c r="BA83" i="20"/>
  <c r="F83" i="20" s="1"/>
  <c r="I85" i="20" l="1"/>
  <c r="DJ87" i="20"/>
  <c r="DI88" i="20"/>
  <c r="DE87" i="20"/>
  <c r="BT86" i="20"/>
  <c r="DF86" i="20"/>
  <c r="DH86" i="20" s="1"/>
  <c r="H86" i="20" s="1"/>
  <c r="BU86" i="20"/>
  <c r="AZ86" i="20"/>
  <c r="BQ86" i="20"/>
  <c r="AG86" i="20"/>
  <c r="BF85" i="20"/>
  <c r="D85" i="20"/>
  <c r="DQ86" i="20"/>
  <c r="A88" i="20"/>
  <c r="DG87" i="20"/>
  <c r="DU87" i="20"/>
  <c r="AB87" i="20"/>
  <c r="BE87" i="20" s="1"/>
  <c r="BP87" i="20"/>
  <c r="BS87" i="20"/>
  <c r="B87" i="20"/>
  <c r="BV87" i="20"/>
  <c r="AC87" i="20"/>
  <c r="AD87" i="20" s="1"/>
  <c r="AE87" i="20" s="1"/>
  <c r="BZ87" i="20"/>
  <c r="AF87" i="20"/>
  <c r="BW87" i="20"/>
  <c r="BY87" i="20"/>
  <c r="BX87" i="20"/>
  <c r="BB87" i="20"/>
  <c r="BD84" i="20"/>
  <c r="BC84" i="20"/>
  <c r="BA84" i="20"/>
  <c r="F84" i="20" s="1"/>
  <c r="DR86" i="20"/>
  <c r="R85" i="20"/>
  <c r="G86" i="20" l="1"/>
  <c r="I86" i="20" s="1"/>
  <c r="DJ88" i="20"/>
  <c r="DE88" i="20" s="1"/>
  <c r="DI89" i="20"/>
  <c r="DR87" i="20"/>
  <c r="DF87" i="20"/>
  <c r="DH87" i="20" s="1"/>
  <c r="H87" i="20" s="1"/>
  <c r="BU87" i="20"/>
  <c r="R86" i="20"/>
  <c r="BT87" i="20"/>
  <c r="DQ87" i="20"/>
  <c r="AG87" i="20"/>
  <c r="BF87" i="20" s="1"/>
  <c r="BQ87" i="20"/>
  <c r="BC85" i="20"/>
  <c r="BD85" i="20"/>
  <c r="BA85" i="20"/>
  <c r="F85" i="20" s="1"/>
  <c r="AZ87" i="20"/>
  <c r="A89" i="20"/>
  <c r="DG88" i="20"/>
  <c r="B88" i="20"/>
  <c r="BS88" i="20"/>
  <c r="DU88" i="20"/>
  <c r="BP88" i="20"/>
  <c r="AB88" i="20"/>
  <c r="BE88" i="20" s="1"/>
  <c r="BW88" i="20"/>
  <c r="BZ88" i="20"/>
  <c r="AF88" i="20"/>
  <c r="BV88" i="20"/>
  <c r="AC88" i="20"/>
  <c r="AD88" i="20" s="1"/>
  <c r="AE88" i="20" s="1"/>
  <c r="BX88" i="20"/>
  <c r="BY88" i="20"/>
  <c r="BB88" i="20"/>
  <c r="BF86" i="20"/>
  <c r="D86" i="20"/>
  <c r="G87" i="20" l="1"/>
  <c r="I87" i="20" s="1"/>
  <c r="DJ89" i="20"/>
  <c r="DI90" i="20"/>
  <c r="DE89" i="20"/>
  <c r="DQ88" i="20"/>
  <c r="DF88" i="20"/>
  <c r="BT88" i="20"/>
  <c r="BU88" i="20"/>
  <c r="DH88" i="20"/>
  <c r="H88" i="20" s="1"/>
  <c r="D87" i="20"/>
  <c r="BC87" i="20" s="1"/>
  <c r="BD86" i="20"/>
  <c r="BC86" i="20"/>
  <c r="BA86" i="20"/>
  <c r="F86" i="20" s="1"/>
  <c r="A90" i="20"/>
  <c r="DG89" i="20"/>
  <c r="B89" i="20"/>
  <c r="DQ89" i="20" s="1"/>
  <c r="BP89" i="20"/>
  <c r="DU89" i="20"/>
  <c r="AB89" i="20"/>
  <c r="BE89" i="20" s="1"/>
  <c r="BT89" i="20"/>
  <c r="BS89" i="20"/>
  <c r="BY89" i="20"/>
  <c r="DR89" i="20"/>
  <c r="AF89" i="20"/>
  <c r="BZ89" i="20"/>
  <c r="BW89" i="20"/>
  <c r="BX89" i="20"/>
  <c r="BV89" i="20"/>
  <c r="AC89" i="20"/>
  <c r="AD89" i="20" s="1"/>
  <c r="AE89" i="20" s="1"/>
  <c r="BB89" i="20"/>
  <c r="AZ88" i="20"/>
  <c r="BQ88" i="20"/>
  <c r="AG88" i="20"/>
  <c r="DR88" i="20"/>
  <c r="R87" i="20"/>
  <c r="G88" i="20" l="1"/>
  <c r="I88" i="20" s="1"/>
  <c r="DI91" i="20"/>
  <c r="DJ90" i="20"/>
  <c r="DE90" i="20" s="1"/>
  <c r="BU89" i="20"/>
  <c r="G89" i="20" s="1"/>
  <c r="DF89" i="20"/>
  <c r="DH89" i="20" s="1"/>
  <c r="H89" i="20" s="1"/>
  <c r="BA87" i="20"/>
  <c r="F87" i="20" s="1"/>
  <c r="BD87" i="20"/>
  <c r="R88" i="20"/>
  <c r="BF88" i="20"/>
  <c r="D88" i="20"/>
  <c r="AG89" i="20"/>
  <c r="R89" i="20" s="1"/>
  <c r="BQ89" i="20"/>
  <c r="A91" i="20"/>
  <c r="DG90" i="20"/>
  <c r="BP90" i="20"/>
  <c r="AB90" i="20"/>
  <c r="BE90" i="20" s="1"/>
  <c r="B90" i="20"/>
  <c r="BS90" i="20"/>
  <c r="DU90" i="20"/>
  <c r="BV90" i="20"/>
  <c r="AC90" i="20"/>
  <c r="AD90" i="20" s="1"/>
  <c r="AE90" i="20" s="1"/>
  <c r="AF90" i="20"/>
  <c r="BX90" i="20"/>
  <c r="BW90" i="20"/>
  <c r="BZ90" i="20"/>
  <c r="BY90" i="20"/>
  <c r="BB90" i="20"/>
  <c r="AZ89" i="20"/>
  <c r="I89" i="20" l="1"/>
  <c r="DI92" i="20"/>
  <c r="DJ91" i="20"/>
  <c r="DE91" i="20" s="1"/>
  <c r="BT90" i="20"/>
  <c r="DF90" i="20"/>
  <c r="DH90" i="20" s="1"/>
  <c r="H90" i="20" s="1"/>
  <c r="DR90" i="20"/>
  <c r="BU90" i="20"/>
  <c r="BQ90" i="20"/>
  <c r="AG90" i="20"/>
  <c r="BF90" i="20" s="1"/>
  <c r="AZ90" i="20"/>
  <c r="A92" i="20"/>
  <c r="DG91" i="20"/>
  <c r="BS91" i="20"/>
  <c r="AB91" i="20"/>
  <c r="BE91" i="20" s="1"/>
  <c r="B91" i="20"/>
  <c r="BU91" i="20" s="1"/>
  <c r="DU91" i="20"/>
  <c r="BP91" i="20"/>
  <c r="BV91" i="20"/>
  <c r="AC91" i="20"/>
  <c r="AD91" i="20" s="1"/>
  <c r="AE91" i="20" s="1"/>
  <c r="BZ91" i="20"/>
  <c r="BY91" i="20"/>
  <c r="AF91" i="20"/>
  <c r="BW91" i="20"/>
  <c r="BX91" i="20"/>
  <c r="BB91" i="20"/>
  <c r="BC88" i="20"/>
  <c r="BD88" i="20"/>
  <c r="BA88" i="20"/>
  <c r="F88" i="20" s="1"/>
  <c r="BF89" i="20"/>
  <c r="D89" i="20"/>
  <c r="D90" i="20"/>
  <c r="DQ90" i="20"/>
  <c r="G90" i="20" l="1"/>
  <c r="I90" i="20" s="1"/>
  <c r="DI93" i="20"/>
  <c r="DJ92" i="20"/>
  <c r="DE92" i="20"/>
  <c r="DQ91" i="20"/>
  <c r="DF91" i="20"/>
  <c r="DH91" i="20" s="1"/>
  <c r="H91" i="20" s="1"/>
  <c r="BT91" i="20"/>
  <c r="G91" i="20" s="1"/>
  <c r="BD90" i="20"/>
  <c r="BC90" i="20"/>
  <c r="AZ91" i="20"/>
  <c r="A93" i="20"/>
  <c r="DG92" i="20"/>
  <c r="BS92" i="20"/>
  <c r="AB92" i="20"/>
  <c r="BE92" i="20" s="1"/>
  <c r="DU92" i="20"/>
  <c r="BP92" i="20"/>
  <c r="B92" i="20"/>
  <c r="BW92" i="20"/>
  <c r="BZ92" i="20"/>
  <c r="AF92" i="20"/>
  <c r="BV92" i="20"/>
  <c r="BY92" i="20"/>
  <c r="AC92" i="20"/>
  <c r="AD92" i="20" s="1"/>
  <c r="AE92" i="20" s="1"/>
  <c r="BX92" i="20"/>
  <c r="BB92" i="20"/>
  <c r="BC89" i="20"/>
  <c r="BD89" i="20"/>
  <c r="BA89" i="20"/>
  <c r="F89" i="20" s="1"/>
  <c r="DR91" i="20"/>
  <c r="BQ91" i="20"/>
  <c r="AG91" i="20"/>
  <c r="BA90" i="20"/>
  <c r="F90" i="20" s="1"/>
  <c r="R90" i="20"/>
  <c r="I91" i="20" l="1"/>
  <c r="DI94" i="20"/>
  <c r="DJ93" i="20"/>
  <c r="DE93" i="20" s="1"/>
  <c r="DR92" i="20"/>
  <c r="DF92" i="20"/>
  <c r="DH92" i="20" s="1"/>
  <c r="H92" i="20" s="1"/>
  <c r="BT92" i="20"/>
  <c r="BU92" i="20"/>
  <c r="G92" i="20" s="1"/>
  <c r="BF91" i="20"/>
  <c r="D91" i="20"/>
  <c r="AZ92" i="20"/>
  <c r="R91" i="20"/>
  <c r="DQ92" i="20"/>
  <c r="BQ92" i="20"/>
  <c r="AG92" i="20"/>
  <c r="A94" i="20"/>
  <c r="DG93" i="20"/>
  <c r="BS93" i="20"/>
  <c r="B93" i="20"/>
  <c r="BP93" i="20"/>
  <c r="DU93" i="20"/>
  <c r="AB93" i="20"/>
  <c r="BE93" i="20" s="1"/>
  <c r="BT93" i="20"/>
  <c r="AF93" i="20"/>
  <c r="BZ93" i="20"/>
  <c r="BX93" i="20"/>
  <c r="BV93" i="20"/>
  <c r="BY93" i="20"/>
  <c r="AC93" i="20"/>
  <c r="AD93" i="20" s="1"/>
  <c r="AE93" i="20" s="1"/>
  <c r="BW93" i="20"/>
  <c r="BB93" i="20"/>
  <c r="DI95" i="20" l="1"/>
  <c r="DJ94" i="20"/>
  <c r="DE94" i="20" s="1"/>
  <c r="DQ93" i="20"/>
  <c r="DF93" i="20"/>
  <c r="BU93" i="20"/>
  <c r="G93" i="20" s="1"/>
  <c r="R92" i="20"/>
  <c r="I92" i="20"/>
  <c r="DH93" i="20"/>
  <c r="H93" i="20" s="1"/>
  <c r="DR93" i="20"/>
  <c r="AG93" i="20"/>
  <c r="BF93" i="20" s="1"/>
  <c r="BQ93" i="20"/>
  <c r="A95" i="20"/>
  <c r="DG94" i="20"/>
  <c r="BS94" i="20"/>
  <c r="AB94" i="20"/>
  <c r="BE94" i="20" s="1"/>
  <c r="B94" i="20"/>
  <c r="BT94" i="20" s="1"/>
  <c r="DU94" i="20"/>
  <c r="BP94" i="20"/>
  <c r="BY94" i="20"/>
  <c r="BV94" i="20"/>
  <c r="AF94" i="20"/>
  <c r="AC94" i="20"/>
  <c r="AD94" i="20" s="1"/>
  <c r="AE94" i="20" s="1"/>
  <c r="BX94" i="20"/>
  <c r="BW94" i="20"/>
  <c r="BZ94" i="20"/>
  <c r="BB94" i="20"/>
  <c r="AZ93" i="20"/>
  <c r="BF92" i="20"/>
  <c r="D92" i="20"/>
  <c r="BD91" i="20"/>
  <c r="BC91" i="20"/>
  <c r="BA91" i="20"/>
  <c r="F91" i="20" s="1"/>
  <c r="DR94" i="20" l="1"/>
  <c r="DI96" i="20"/>
  <c r="DJ95" i="20"/>
  <c r="DE95" i="20"/>
  <c r="DQ94" i="20"/>
  <c r="DF94" i="20"/>
  <c r="DH94" i="20" s="1"/>
  <c r="H94" i="20" s="1"/>
  <c r="BU94" i="20"/>
  <c r="G94" i="20" s="1"/>
  <c r="I93" i="20"/>
  <c r="D93" i="20"/>
  <c r="BA93" i="20" s="1"/>
  <c r="F93" i="20" s="1"/>
  <c r="BC92" i="20"/>
  <c r="BD92" i="20"/>
  <c r="BA92" i="20"/>
  <c r="F92" i="20" s="1"/>
  <c r="AG94" i="20"/>
  <c r="BF94" i="20" s="1"/>
  <c r="BQ94" i="20"/>
  <c r="AZ94" i="20"/>
  <c r="A96" i="20"/>
  <c r="DG95" i="20"/>
  <c r="AB95" i="20"/>
  <c r="BE95" i="20" s="1"/>
  <c r="BP95" i="20"/>
  <c r="BS95" i="20"/>
  <c r="DU95" i="20"/>
  <c r="B95" i="20"/>
  <c r="BV95" i="20"/>
  <c r="AC95" i="20"/>
  <c r="AD95" i="20" s="1"/>
  <c r="AE95" i="20" s="1"/>
  <c r="BZ95" i="20"/>
  <c r="AF95" i="20"/>
  <c r="BW95" i="20"/>
  <c r="BY95" i="20"/>
  <c r="BX95" i="20"/>
  <c r="BB95" i="20"/>
  <c r="R93" i="20"/>
  <c r="I94" i="20" l="1"/>
  <c r="DJ96" i="20"/>
  <c r="DI97" i="20"/>
  <c r="DE96" i="20"/>
  <c r="BT95" i="20"/>
  <c r="DF95" i="20"/>
  <c r="BU95" i="20"/>
  <c r="DH95" i="20"/>
  <c r="H95" i="20" s="1"/>
  <c r="BC93" i="20"/>
  <c r="R94" i="20"/>
  <c r="D94" i="20"/>
  <c r="BA94" i="20" s="1"/>
  <c r="F94" i="20" s="1"/>
  <c r="BD93" i="20"/>
  <c r="AZ95" i="20"/>
  <c r="A97" i="20"/>
  <c r="DG96" i="20"/>
  <c r="B96" i="20"/>
  <c r="BU96" i="20"/>
  <c r="BP96" i="20"/>
  <c r="BS96" i="20"/>
  <c r="AB96" i="20"/>
  <c r="BE96" i="20" s="1"/>
  <c r="DU96" i="20"/>
  <c r="BW96" i="20"/>
  <c r="BZ96" i="20"/>
  <c r="AF96" i="20"/>
  <c r="BV96" i="20"/>
  <c r="AC96" i="20"/>
  <c r="AD96" i="20" s="1"/>
  <c r="AE96" i="20" s="1"/>
  <c r="BX96" i="20"/>
  <c r="BY96" i="20"/>
  <c r="BB96" i="20"/>
  <c r="DR95" i="20"/>
  <c r="AG95" i="20"/>
  <c r="BQ95" i="20"/>
  <c r="DQ95" i="20"/>
  <c r="G95" i="20" l="1"/>
  <c r="I95" i="20" s="1"/>
  <c r="DJ97" i="20"/>
  <c r="DI98" i="20"/>
  <c r="DE97" i="20"/>
  <c r="DQ96" i="20"/>
  <c r="DF96" i="20"/>
  <c r="BC94" i="20"/>
  <c r="BT96" i="20"/>
  <c r="G96" i="20" s="1"/>
  <c r="BD94" i="20"/>
  <c r="DR96" i="20"/>
  <c r="DH96" i="20"/>
  <c r="H96" i="20" s="1"/>
  <c r="BF95" i="20"/>
  <c r="D95" i="20"/>
  <c r="R95" i="20"/>
  <c r="A98" i="20"/>
  <c r="DG97" i="20"/>
  <c r="BS97" i="20"/>
  <c r="BP97" i="20"/>
  <c r="B97" i="20"/>
  <c r="DU97" i="20"/>
  <c r="AB97" i="20"/>
  <c r="BE97" i="20" s="1"/>
  <c r="BY97" i="20"/>
  <c r="BW97" i="20"/>
  <c r="AF97" i="20"/>
  <c r="BZ97" i="20"/>
  <c r="BX97" i="20"/>
  <c r="BV97" i="20"/>
  <c r="AC97" i="20"/>
  <c r="AD97" i="20" s="1"/>
  <c r="AE97" i="20" s="1"/>
  <c r="BB97" i="20"/>
  <c r="BQ96" i="20"/>
  <c r="AG96" i="20"/>
  <c r="R96" i="20" s="1"/>
  <c r="AZ96" i="20"/>
  <c r="DI99" i="20" l="1"/>
  <c r="DJ98" i="20"/>
  <c r="DE98" i="20" s="1"/>
  <c r="DR97" i="20"/>
  <c r="DF97" i="20"/>
  <c r="I96" i="20"/>
  <c r="DQ97" i="20"/>
  <c r="BT97" i="20"/>
  <c r="G97" i="20" s="1"/>
  <c r="BU97" i="20"/>
  <c r="DH97" i="20"/>
  <c r="H97" i="20" s="1"/>
  <c r="BF96" i="20"/>
  <c r="D96" i="20"/>
  <c r="BQ97" i="20"/>
  <c r="AG97" i="20"/>
  <c r="R97" i="20" s="1"/>
  <c r="BD95" i="20"/>
  <c r="BC95" i="20"/>
  <c r="BA95" i="20"/>
  <c r="F95" i="20" s="1"/>
  <c r="A99" i="20"/>
  <c r="DG98" i="20"/>
  <c r="DH98" i="20" s="1"/>
  <c r="H98" i="20" s="1"/>
  <c r="BP98" i="20"/>
  <c r="BS98" i="20"/>
  <c r="DU98" i="20"/>
  <c r="AB98" i="20"/>
  <c r="BE98" i="20" s="1"/>
  <c r="B98" i="20"/>
  <c r="AF98" i="20"/>
  <c r="AC98" i="20"/>
  <c r="AD98" i="20" s="1"/>
  <c r="AE98" i="20" s="1"/>
  <c r="BX98" i="20"/>
  <c r="BW98" i="20"/>
  <c r="BZ98" i="20"/>
  <c r="BY98" i="20"/>
  <c r="BV98" i="20"/>
  <c r="BB98" i="20"/>
  <c r="AZ97" i="20"/>
  <c r="DI100" i="20" l="1"/>
  <c r="DJ99" i="20"/>
  <c r="DE99" i="20" s="1"/>
  <c r="DQ98" i="20"/>
  <c r="DF98" i="20"/>
  <c r="I97" i="20"/>
  <c r="BU98" i="20"/>
  <c r="DR98" i="20"/>
  <c r="BT98" i="20"/>
  <c r="BQ98" i="20"/>
  <c r="AG98" i="20"/>
  <c r="BD96" i="20"/>
  <c r="BC96" i="20"/>
  <c r="BA96" i="20"/>
  <c r="F96" i="20" s="1"/>
  <c r="AZ98" i="20"/>
  <c r="A100" i="20"/>
  <c r="DG99" i="20"/>
  <c r="AB99" i="20"/>
  <c r="BE99" i="20" s="1"/>
  <c r="B99" i="20"/>
  <c r="BT99" i="20"/>
  <c r="DU99" i="20"/>
  <c r="BS99" i="20"/>
  <c r="BP99" i="20"/>
  <c r="BV99" i="20"/>
  <c r="AC99" i="20"/>
  <c r="AD99" i="20" s="1"/>
  <c r="AE99" i="20" s="1"/>
  <c r="AF99" i="20"/>
  <c r="BW99" i="20"/>
  <c r="BX99" i="20"/>
  <c r="BZ99" i="20"/>
  <c r="BY99" i="20"/>
  <c r="BB99" i="20"/>
  <c r="BF97" i="20"/>
  <c r="D97" i="20"/>
  <c r="G98" i="20" l="1"/>
  <c r="I98" i="20" s="1"/>
  <c r="DI101" i="20"/>
  <c r="DJ100" i="20"/>
  <c r="DE100" i="20" s="1"/>
  <c r="BU99" i="20"/>
  <c r="DF99" i="20"/>
  <c r="DQ99" i="20"/>
  <c r="G99" i="20"/>
  <c r="DH99" i="20"/>
  <c r="H99" i="20" s="1"/>
  <c r="AZ99" i="20"/>
  <c r="BF98" i="20"/>
  <c r="D98" i="20"/>
  <c r="BD97" i="20"/>
  <c r="BC97" i="20"/>
  <c r="BA97" i="20"/>
  <c r="F97" i="20" s="1"/>
  <c r="DR99" i="20"/>
  <c r="BQ99" i="20"/>
  <c r="AG99" i="20"/>
  <c r="A101" i="20"/>
  <c r="DU100" i="20"/>
  <c r="DG100" i="20"/>
  <c r="AB100" i="20"/>
  <c r="BE100" i="20" s="1"/>
  <c r="BP100" i="20"/>
  <c r="BS100" i="20"/>
  <c r="B100" i="20"/>
  <c r="BU100" i="20"/>
  <c r="BW100" i="20"/>
  <c r="BZ100" i="20"/>
  <c r="AF100" i="20"/>
  <c r="BV100" i="20"/>
  <c r="BY100" i="20"/>
  <c r="AC100" i="20"/>
  <c r="AD100" i="20" s="1"/>
  <c r="AE100" i="20" s="1"/>
  <c r="BX100" i="20"/>
  <c r="BB100" i="20"/>
  <c r="R98" i="20"/>
  <c r="DH100" i="20" l="1"/>
  <c r="H100" i="20" s="1"/>
  <c r="DJ101" i="20"/>
  <c r="DI102" i="20"/>
  <c r="DE101" i="20"/>
  <c r="BT100" i="20"/>
  <c r="G100" i="20" s="1"/>
  <c r="DF100" i="20"/>
  <c r="I99" i="20"/>
  <c r="A102" i="20"/>
  <c r="DG101" i="20"/>
  <c r="DU101" i="20"/>
  <c r="BS101" i="20"/>
  <c r="B101" i="20"/>
  <c r="BP101" i="20"/>
  <c r="AB101" i="20"/>
  <c r="BE101" i="20" s="1"/>
  <c r="AF101" i="20"/>
  <c r="BZ101" i="20"/>
  <c r="BX101" i="20"/>
  <c r="BV101" i="20"/>
  <c r="BY101" i="20"/>
  <c r="AC101" i="20"/>
  <c r="AD101" i="20" s="1"/>
  <c r="AE101" i="20" s="1"/>
  <c r="BW101" i="20"/>
  <c r="BB101" i="20"/>
  <c r="BD98" i="20"/>
  <c r="BC98" i="20"/>
  <c r="BA98" i="20"/>
  <c r="F98" i="20" s="1"/>
  <c r="AZ100" i="20"/>
  <c r="BF99" i="20"/>
  <c r="D99" i="20"/>
  <c r="BQ100" i="20"/>
  <c r="AG100" i="20"/>
  <c r="R100" i="20" s="1"/>
  <c r="DR100" i="20"/>
  <c r="DQ100" i="20"/>
  <c r="R99" i="20"/>
  <c r="I100" i="20" l="1"/>
  <c r="DI103" i="20"/>
  <c r="DJ102" i="20"/>
  <c r="DE102" i="20" s="1"/>
  <c r="DQ101" i="20"/>
  <c r="DF101" i="20"/>
  <c r="DR101" i="20"/>
  <c r="BU101" i="20"/>
  <c r="BT101" i="20"/>
  <c r="DH101" i="20"/>
  <c r="H101" i="20" s="1"/>
  <c r="BC99" i="20"/>
  <c r="BD99" i="20"/>
  <c r="BA99" i="20"/>
  <c r="F99" i="20" s="1"/>
  <c r="BF100" i="20"/>
  <c r="D100" i="20"/>
  <c r="AG101" i="20"/>
  <c r="BQ101" i="20"/>
  <c r="AZ101" i="20"/>
  <c r="A103" i="20"/>
  <c r="DG102" i="20"/>
  <c r="BS102" i="20"/>
  <c r="DU102" i="20"/>
  <c r="BP102" i="20"/>
  <c r="AB102" i="20"/>
  <c r="BE102" i="20" s="1"/>
  <c r="B102" i="20"/>
  <c r="AF102" i="20"/>
  <c r="BW102" i="20"/>
  <c r="BZ102" i="20"/>
  <c r="AC102" i="20"/>
  <c r="AD102" i="20" s="1"/>
  <c r="AE102" i="20" s="1"/>
  <c r="BV102" i="20"/>
  <c r="BY102" i="20"/>
  <c r="BX102" i="20"/>
  <c r="BB102" i="20"/>
  <c r="G101" i="20" l="1"/>
  <c r="I101" i="20" s="1"/>
  <c r="DJ103" i="20"/>
  <c r="DE103" i="20" s="1"/>
  <c r="DI104" i="20"/>
  <c r="DR102" i="20"/>
  <c r="DF102" i="20"/>
  <c r="BT102" i="20"/>
  <c r="BU102" i="20"/>
  <c r="G102" i="20" s="1"/>
  <c r="DH102" i="20"/>
  <c r="H102" i="20" s="1"/>
  <c r="A104" i="20"/>
  <c r="DG103" i="20"/>
  <c r="DU103" i="20"/>
  <c r="BS103" i="20"/>
  <c r="BP103" i="20"/>
  <c r="B103" i="20"/>
  <c r="AB103" i="20"/>
  <c r="BE103" i="20" s="1"/>
  <c r="BB103" i="20"/>
  <c r="BY103" i="20"/>
  <c r="BX103" i="20"/>
  <c r="BV103" i="20"/>
  <c r="BZ103" i="20"/>
  <c r="AF103" i="20"/>
  <c r="BW103" i="20"/>
  <c r="AC103" i="20"/>
  <c r="AD103" i="20" s="1"/>
  <c r="AE103" i="20" s="1"/>
  <c r="BF101" i="20"/>
  <c r="D101" i="20"/>
  <c r="AZ102" i="20"/>
  <c r="R101" i="20"/>
  <c r="DQ102" i="20"/>
  <c r="BQ102" i="20"/>
  <c r="AG102" i="20"/>
  <c r="R102" i="20" s="1"/>
  <c r="BD100" i="20"/>
  <c r="BC100" i="20"/>
  <c r="BA100" i="20"/>
  <c r="F100" i="20" s="1"/>
  <c r="DH103" i="20" l="1"/>
  <c r="H103" i="20" s="1"/>
  <c r="DJ104" i="20"/>
  <c r="DE104" i="20" s="1"/>
  <c r="DI105" i="20"/>
  <c r="DQ103" i="20"/>
  <c r="DF103" i="20"/>
  <c r="I102" i="20"/>
  <c r="BT103" i="20"/>
  <c r="BU103" i="20"/>
  <c r="DR103" i="20"/>
  <c r="AZ103" i="20"/>
  <c r="BD101" i="20"/>
  <c r="BC101" i="20"/>
  <c r="BA101" i="20"/>
  <c r="F101" i="20" s="1"/>
  <c r="BQ103" i="20"/>
  <c r="AG103" i="20"/>
  <c r="BF102" i="20"/>
  <c r="D102" i="20"/>
  <c r="A105" i="20"/>
  <c r="DG104" i="20"/>
  <c r="B104" i="20"/>
  <c r="BP104" i="20"/>
  <c r="BS104" i="20"/>
  <c r="DU104" i="20"/>
  <c r="AB104" i="20"/>
  <c r="BE104" i="20" s="1"/>
  <c r="BV104" i="20"/>
  <c r="AF104" i="20"/>
  <c r="BX104" i="20"/>
  <c r="AC104" i="20"/>
  <c r="AD104" i="20" s="1"/>
  <c r="AE104" i="20" s="1"/>
  <c r="BW104" i="20"/>
  <c r="BZ104" i="20"/>
  <c r="BY104" i="20"/>
  <c r="BB104" i="20"/>
  <c r="G103" i="20" l="1"/>
  <c r="I103" i="20" s="1"/>
  <c r="DJ105" i="20"/>
  <c r="DI106" i="20"/>
  <c r="DE105" i="20"/>
  <c r="DR104" i="20"/>
  <c r="DF104" i="20"/>
  <c r="BT104" i="20"/>
  <c r="BU104" i="20"/>
  <c r="G104" i="20" s="1"/>
  <c r="DQ104" i="20"/>
  <c r="DH104" i="20"/>
  <c r="H104" i="20" s="1"/>
  <c r="BF103" i="20"/>
  <c r="D103" i="20"/>
  <c r="BC102" i="20"/>
  <c r="BD102" i="20"/>
  <c r="BA102" i="20"/>
  <c r="F102" i="20" s="1"/>
  <c r="R103" i="20"/>
  <c r="A106" i="20"/>
  <c r="DG105" i="20"/>
  <c r="DU105" i="20"/>
  <c r="B105" i="20"/>
  <c r="BP105" i="20"/>
  <c r="BS105" i="20"/>
  <c r="AB105" i="20"/>
  <c r="BE105" i="20" s="1"/>
  <c r="BT105" i="20"/>
  <c r="BZ105" i="20"/>
  <c r="BY105" i="20"/>
  <c r="AF105" i="20"/>
  <c r="BB105" i="20"/>
  <c r="BV105" i="20"/>
  <c r="BX105" i="20"/>
  <c r="AC105" i="20"/>
  <c r="AD105" i="20" s="1"/>
  <c r="AE105" i="20" s="1"/>
  <c r="BW105" i="20"/>
  <c r="AG104" i="20"/>
  <c r="R104" i="20" s="1"/>
  <c r="BQ104" i="20"/>
  <c r="AZ104" i="20"/>
  <c r="DJ106" i="20" l="1"/>
  <c r="DI107" i="20"/>
  <c r="DE106" i="20"/>
  <c r="DR105" i="20"/>
  <c r="DF105" i="20"/>
  <c r="DH105" i="20"/>
  <c r="H105" i="20" s="1"/>
  <c r="BU105" i="20"/>
  <c r="I104" i="20"/>
  <c r="DQ105" i="20"/>
  <c r="AG105" i="20"/>
  <c r="R105" i="20" s="1"/>
  <c r="BQ105" i="20"/>
  <c r="AZ105" i="20"/>
  <c r="BC103" i="20"/>
  <c r="BD103" i="20"/>
  <c r="BA103" i="20"/>
  <c r="F103" i="20" s="1"/>
  <c r="BF104" i="20"/>
  <c r="D104" i="20"/>
  <c r="A107" i="20"/>
  <c r="DG106" i="20"/>
  <c r="BS106" i="20"/>
  <c r="AB106" i="20"/>
  <c r="BE106" i="20" s="1"/>
  <c r="DU106" i="20"/>
  <c r="BP106" i="20"/>
  <c r="B106" i="20"/>
  <c r="AC106" i="20"/>
  <c r="AD106" i="20" s="1"/>
  <c r="AE106" i="20" s="1"/>
  <c r="BB106" i="20"/>
  <c r="BZ106" i="20"/>
  <c r="BY106" i="20"/>
  <c r="AF106" i="20"/>
  <c r="BV106" i="20"/>
  <c r="BW106" i="20"/>
  <c r="BX106" i="20"/>
  <c r="G105" i="20"/>
  <c r="DI108" i="20" l="1"/>
  <c r="DJ107" i="20"/>
  <c r="DE107" i="20"/>
  <c r="DQ106" i="20"/>
  <c r="DF106" i="20"/>
  <c r="I105" i="20"/>
  <c r="BT106" i="20"/>
  <c r="BU106" i="20"/>
  <c r="DR106" i="20"/>
  <c r="DH106" i="20"/>
  <c r="H106" i="20" s="1"/>
  <c r="BQ106" i="20"/>
  <c r="AG106" i="20"/>
  <c r="AZ106" i="20"/>
  <c r="A108" i="20"/>
  <c r="DG107" i="20"/>
  <c r="DH107" i="20" s="1"/>
  <c r="H107" i="20" s="1"/>
  <c r="B107" i="20"/>
  <c r="AB107" i="20"/>
  <c r="BE107" i="20" s="1"/>
  <c r="DU107" i="20"/>
  <c r="BS107" i="20"/>
  <c r="BP107" i="20"/>
  <c r="AC107" i="20"/>
  <c r="AD107" i="20" s="1"/>
  <c r="AE107" i="20" s="1"/>
  <c r="BW107" i="20"/>
  <c r="AF107" i="20"/>
  <c r="BX107" i="20"/>
  <c r="BV107" i="20"/>
  <c r="BZ107" i="20"/>
  <c r="BY107" i="20"/>
  <c r="BB107" i="20"/>
  <c r="BC104" i="20"/>
  <c r="BD104" i="20"/>
  <c r="BA104" i="20"/>
  <c r="F104" i="20" s="1"/>
  <c r="BF105" i="20"/>
  <c r="D105" i="20"/>
  <c r="G106" i="20" l="1"/>
  <c r="I106" i="20" s="1"/>
  <c r="DI109" i="20"/>
  <c r="DJ108" i="20"/>
  <c r="DE108" i="20" s="1"/>
  <c r="DR107" i="20"/>
  <c r="DF107" i="20"/>
  <c r="BT107" i="20"/>
  <c r="DQ107" i="20"/>
  <c r="BU107" i="20"/>
  <c r="G107" i="20" s="1"/>
  <c r="I107" i="20" s="1"/>
  <c r="BF106" i="20"/>
  <c r="D106" i="20"/>
  <c r="A109" i="20"/>
  <c r="BS108" i="20"/>
  <c r="DG108" i="20"/>
  <c r="BP108" i="20"/>
  <c r="B108" i="20"/>
  <c r="AB108" i="20"/>
  <c r="BE108" i="20" s="1"/>
  <c r="DU108" i="20"/>
  <c r="BT108" i="20"/>
  <c r="BV108" i="20"/>
  <c r="BW108" i="20"/>
  <c r="BY108" i="20"/>
  <c r="AC108" i="20"/>
  <c r="AD108" i="20" s="1"/>
  <c r="AE108" i="20" s="1"/>
  <c r="BZ108" i="20"/>
  <c r="BX108" i="20"/>
  <c r="AF108" i="20"/>
  <c r="BB108" i="20"/>
  <c r="AZ107" i="20"/>
  <c r="BD105" i="20"/>
  <c r="BC105" i="20"/>
  <c r="BA105" i="20"/>
  <c r="F105" i="20" s="1"/>
  <c r="BQ107" i="20"/>
  <c r="AG107" i="20"/>
  <c r="R106" i="20"/>
  <c r="DI110" i="20" l="1"/>
  <c r="DJ109" i="20"/>
  <c r="DE109" i="20"/>
  <c r="DR108" i="20"/>
  <c r="DF108" i="20"/>
  <c r="BU108" i="20"/>
  <c r="DH108" i="20"/>
  <c r="H108" i="20" s="1"/>
  <c r="AG108" i="20"/>
  <c r="BQ108" i="20"/>
  <c r="BD106" i="20"/>
  <c r="BC106" i="20"/>
  <c r="BA106" i="20"/>
  <c r="F106" i="20" s="1"/>
  <c r="BF107" i="20"/>
  <c r="D107" i="20"/>
  <c r="AZ108" i="20"/>
  <c r="A110" i="20"/>
  <c r="DG109" i="20"/>
  <c r="DU109" i="20"/>
  <c r="AB109" i="20"/>
  <c r="BE109" i="20" s="1"/>
  <c r="BP109" i="20"/>
  <c r="B109" i="20"/>
  <c r="BS109" i="20"/>
  <c r="BZ109" i="20"/>
  <c r="BY109" i="20"/>
  <c r="BV109" i="20"/>
  <c r="BX109" i="20"/>
  <c r="AC109" i="20"/>
  <c r="AD109" i="20" s="1"/>
  <c r="AE109" i="20" s="1"/>
  <c r="AF109" i="20"/>
  <c r="BW109" i="20"/>
  <c r="BB109" i="20"/>
  <c r="R107" i="20"/>
  <c r="DQ108" i="20"/>
  <c r="G108" i="20"/>
  <c r="DJ110" i="20" l="1"/>
  <c r="DE110" i="20" s="1"/>
  <c r="DI111" i="20"/>
  <c r="DR109" i="20"/>
  <c r="DF109" i="20"/>
  <c r="I108" i="20"/>
  <c r="BU109" i="20"/>
  <c r="BT109" i="20"/>
  <c r="DQ109" i="20"/>
  <c r="DH109" i="20"/>
  <c r="H109" i="20" s="1"/>
  <c r="AG109" i="20"/>
  <c r="BQ109" i="20"/>
  <c r="BC107" i="20"/>
  <c r="BD107" i="20"/>
  <c r="BA107" i="20"/>
  <c r="F107" i="20" s="1"/>
  <c r="BF108" i="20"/>
  <c r="D108" i="20"/>
  <c r="A111" i="20"/>
  <c r="DG110" i="20"/>
  <c r="B110" i="20"/>
  <c r="BS110" i="20"/>
  <c r="DU110" i="20"/>
  <c r="AB110" i="20"/>
  <c r="BE110" i="20" s="1"/>
  <c r="BP110" i="20"/>
  <c r="BZ110" i="20"/>
  <c r="BY110" i="20"/>
  <c r="AF110" i="20"/>
  <c r="BX110" i="20"/>
  <c r="BW110" i="20"/>
  <c r="BV110" i="20"/>
  <c r="AC110" i="20"/>
  <c r="AD110" i="20" s="1"/>
  <c r="AE110" i="20" s="1"/>
  <c r="BB110" i="20"/>
  <c r="AZ109" i="20"/>
  <c r="R108" i="20"/>
  <c r="G109" i="20" l="1"/>
  <c r="I109" i="20" s="1"/>
  <c r="DJ111" i="20"/>
  <c r="DI112" i="20"/>
  <c r="DE111" i="20"/>
  <c r="DQ110" i="20"/>
  <c r="DF110" i="20"/>
  <c r="DH110" i="20"/>
  <c r="H110" i="20" s="1"/>
  <c r="BU110" i="20"/>
  <c r="BT110" i="20"/>
  <c r="AZ110" i="20"/>
  <c r="AG110" i="20"/>
  <c r="BQ110" i="20"/>
  <c r="DR110" i="20"/>
  <c r="BF109" i="20"/>
  <c r="D109" i="20"/>
  <c r="BD108" i="20"/>
  <c r="BC108" i="20"/>
  <c r="BA108" i="20"/>
  <c r="F108" i="20" s="1"/>
  <c r="A112" i="20"/>
  <c r="DG111" i="20"/>
  <c r="BT111" i="20"/>
  <c r="BU111" i="20"/>
  <c r="B111" i="20"/>
  <c r="BS111" i="20"/>
  <c r="AB111" i="20"/>
  <c r="BE111" i="20" s="1"/>
  <c r="BP111" i="20"/>
  <c r="DU111" i="20"/>
  <c r="AC111" i="20"/>
  <c r="AD111" i="20" s="1"/>
  <c r="AE111" i="20" s="1"/>
  <c r="BB111" i="20"/>
  <c r="BX111" i="20"/>
  <c r="BW111" i="20"/>
  <c r="BZ111" i="20"/>
  <c r="BY111" i="20"/>
  <c r="AF111" i="20"/>
  <c r="BV111" i="20"/>
  <c r="R109" i="20"/>
  <c r="G110" i="20" l="1"/>
  <c r="I110" i="20" s="1"/>
  <c r="DJ112" i="20"/>
  <c r="DI113" i="20"/>
  <c r="DE112" i="20"/>
  <c r="DQ111" i="20"/>
  <c r="DF111" i="20"/>
  <c r="R110" i="20"/>
  <c r="DH111" i="20"/>
  <c r="H111" i="20" s="1"/>
  <c r="DR111" i="20"/>
  <c r="AG111" i="20"/>
  <c r="BF111" i="20" s="1"/>
  <c r="BQ111" i="20"/>
  <c r="G111" i="20"/>
  <c r="AZ111" i="20"/>
  <c r="A113" i="20"/>
  <c r="DG112" i="20"/>
  <c r="BP112" i="20"/>
  <c r="AB112" i="20"/>
  <c r="BE112" i="20" s="1"/>
  <c r="BS112" i="20"/>
  <c r="DU112" i="20"/>
  <c r="B112" i="20"/>
  <c r="AF112" i="20"/>
  <c r="BW112" i="20"/>
  <c r="BV112" i="20"/>
  <c r="DQ112" i="20"/>
  <c r="AC112" i="20"/>
  <c r="AD112" i="20" s="1"/>
  <c r="AE112" i="20" s="1"/>
  <c r="BY112" i="20"/>
  <c r="BX112" i="20"/>
  <c r="BZ112" i="20"/>
  <c r="BB112" i="20"/>
  <c r="BD109" i="20"/>
  <c r="BC109" i="20"/>
  <c r="BA109" i="20"/>
  <c r="F109" i="20" s="1"/>
  <c r="BF110" i="20"/>
  <c r="D110" i="20"/>
  <c r="DJ113" i="20" l="1"/>
  <c r="DI114" i="20"/>
  <c r="DE113" i="20"/>
  <c r="DR112" i="20"/>
  <c r="DF112" i="20"/>
  <c r="I111" i="20"/>
  <c r="BT112" i="20"/>
  <c r="BU112" i="20"/>
  <c r="DH112" i="20"/>
  <c r="H112" i="20" s="1"/>
  <c r="D111" i="20"/>
  <c r="BD111" i="20" s="1"/>
  <c r="AZ112" i="20"/>
  <c r="A114" i="20"/>
  <c r="DG113" i="20"/>
  <c r="DU113" i="20"/>
  <c r="AB113" i="20"/>
  <c r="BE113" i="20" s="1"/>
  <c r="B113" i="20"/>
  <c r="BP113" i="20"/>
  <c r="BS113" i="20"/>
  <c r="BU113" i="20"/>
  <c r="BZ113" i="20"/>
  <c r="BY113" i="20"/>
  <c r="BX113" i="20"/>
  <c r="BW113" i="20"/>
  <c r="AF113" i="20"/>
  <c r="BV113" i="20"/>
  <c r="AC113" i="20"/>
  <c r="AD113" i="20" s="1"/>
  <c r="AE113" i="20" s="1"/>
  <c r="BB113" i="20"/>
  <c r="BC110" i="20"/>
  <c r="BD110" i="20"/>
  <c r="BA110" i="20"/>
  <c r="F110" i="20" s="1"/>
  <c r="BQ112" i="20"/>
  <c r="AG112" i="20"/>
  <c r="R111" i="20"/>
  <c r="G112" i="20" l="1"/>
  <c r="DJ114" i="20"/>
  <c r="DE114" i="20" s="1"/>
  <c r="DI115" i="20"/>
  <c r="DQ113" i="20"/>
  <c r="DF113" i="20"/>
  <c r="BT113" i="20"/>
  <c r="I112" i="20"/>
  <c r="BA111" i="20"/>
  <c r="F111" i="20" s="1"/>
  <c r="BC111" i="20"/>
  <c r="G113" i="20"/>
  <c r="DR113" i="20"/>
  <c r="DH113" i="20"/>
  <c r="H113" i="20" s="1"/>
  <c r="BF112" i="20"/>
  <c r="D112" i="20"/>
  <c r="AZ113" i="20"/>
  <c r="A115" i="20"/>
  <c r="DG114" i="20"/>
  <c r="AB114" i="20"/>
  <c r="BE114" i="20" s="1"/>
  <c r="DU114" i="20"/>
  <c r="BS114" i="20"/>
  <c r="B114" i="20"/>
  <c r="BP114" i="20"/>
  <c r="BX114" i="20"/>
  <c r="BZ114" i="20"/>
  <c r="BY114" i="20"/>
  <c r="AF114" i="20"/>
  <c r="BW114" i="20"/>
  <c r="BV114" i="20"/>
  <c r="AC114" i="20"/>
  <c r="AD114" i="20" s="1"/>
  <c r="AE114" i="20" s="1"/>
  <c r="BB114" i="20"/>
  <c r="R112" i="20"/>
  <c r="BQ113" i="20"/>
  <c r="AG113" i="20"/>
  <c r="R113" i="20" s="1"/>
  <c r="DI116" i="20" l="1"/>
  <c r="DJ115" i="20"/>
  <c r="DE115" i="20" s="1"/>
  <c r="BU114" i="20"/>
  <c r="DF114" i="20"/>
  <c r="BT114" i="20"/>
  <c r="DH114" i="20"/>
  <c r="H114" i="20" s="1"/>
  <c r="I113" i="20"/>
  <c r="AZ114" i="20"/>
  <c r="DQ114" i="20"/>
  <c r="BC112" i="20"/>
  <c r="BD112" i="20"/>
  <c r="BA112" i="20"/>
  <c r="F112" i="20" s="1"/>
  <c r="BF113" i="20"/>
  <c r="D113" i="20"/>
  <c r="AG114" i="20"/>
  <c r="BQ114" i="20"/>
  <c r="DR114" i="20"/>
  <c r="A116" i="20"/>
  <c r="DG115" i="20"/>
  <c r="DH115" i="20" s="1"/>
  <c r="H115" i="20" s="1"/>
  <c r="BT115" i="20"/>
  <c r="BU115" i="20"/>
  <c r="BS115" i="20"/>
  <c r="DU115" i="20"/>
  <c r="BP115" i="20"/>
  <c r="AB115" i="20"/>
  <c r="BE115" i="20" s="1"/>
  <c r="B115" i="20"/>
  <c r="DF115" i="20" s="1"/>
  <c r="AC115" i="20"/>
  <c r="AD115" i="20" s="1"/>
  <c r="AE115" i="20" s="1"/>
  <c r="BV115" i="20"/>
  <c r="BX115" i="20"/>
  <c r="BW115" i="20"/>
  <c r="AF115" i="20"/>
  <c r="BZ115" i="20"/>
  <c r="BY115" i="20"/>
  <c r="BB115" i="20"/>
  <c r="DQ115" i="20" l="1"/>
  <c r="DR115" i="20"/>
  <c r="G114" i="20"/>
  <c r="I114" i="20" s="1"/>
  <c r="DJ116" i="20"/>
  <c r="DE116" i="20" s="1"/>
  <c r="DI117" i="20"/>
  <c r="BC113" i="20"/>
  <c r="BD113" i="20"/>
  <c r="BA113" i="20"/>
  <c r="F113" i="20" s="1"/>
  <c r="BF114" i="20"/>
  <c r="D114" i="20"/>
  <c r="AG115" i="20"/>
  <c r="BQ115" i="20"/>
  <c r="G115" i="20"/>
  <c r="I115" i="20" s="1"/>
  <c r="AZ115" i="20"/>
  <c r="A117" i="20"/>
  <c r="DG116" i="20"/>
  <c r="BP116" i="20"/>
  <c r="BS116" i="20"/>
  <c r="AB116" i="20"/>
  <c r="BE116" i="20" s="1"/>
  <c r="BT116" i="20"/>
  <c r="BU116" i="20"/>
  <c r="B116" i="20"/>
  <c r="DU116" i="20"/>
  <c r="AF116" i="20"/>
  <c r="BW116" i="20"/>
  <c r="BV116" i="20"/>
  <c r="BZ116" i="20"/>
  <c r="AC116" i="20"/>
  <c r="AD116" i="20" s="1"/>
  <c r="AE116" i="20" s="1"/>
  <c r="BX116" i="20"/>
  <c r="BY116" i="20"/>
  <c r="BB116" i="20"/>
  <c r="R114" i="20"/>
  <c r="DF116" i="20" l="1"/>
  <c r="DI118" i="20"/>
  <c r="DJ117" i="20"/>
  <c r="DE117" i="20" s="1"/>
  <c r="DH116" i="20"/>
  <c r="H116" i="20" s="1"/>
  <c r="G116" i="20"/>
  <c r="A118" i="20"/>
  <c r="DG117" i="20"/>
  <c r="AB117" i="20"/>
  <c r="BE117" i="20" s="1"/>
  <c r="BP117" i="20"/>
  <c r="BS117" i="20"/>
  <c r="B117" i="20"/>
  <c r="DU117" i="20"/>
  <c r="BZ117" i="20"/>
  <c r="BY117" i="20"/>
  <c r="BX117" i="20"/>
  <c r="AF117" i="20"/>
  <c r="BV117" i="20"/>
  <c r="AC117" i="20"/>
  <c r="AD117" i="20" s="1"/>
  <c r="AE117" i="20" s="1"/>
  <c r="BW117" i="20"/>
  <c r="BB117" i="20"/>
  <c r="AG116" i="20"/>
  <c r="BF116" i="20" s="1"/>
  <c r="BQ116" i="20"/>
  <c r="AZ116" i="20"/>
  <c r="BF115" i="20"/>
  <c r="D115" i="20"/>
  <c r="DR116" i="20"/>
  <c r="R115" i="20"/>
  <c r="DQ116" i="20"/>
  <c r="BD114" i="20"/>
  <c r="BC114" i="20"/>
  <c r="BA114" i="20"/>
  <c r="F114" i="20" s="1"/>
  <c r="DI119" i="20" l="1"/>
  <c r="DJ118" i="20"/>
  <c r="DE118" i="20"/>
  <c r="BT117" i="20"/>
  <c r="DF117" i="20"/>
  <c r="I116" i="20"/>
  <c r="DH117" i="20"/>
  <c r="H117" i="20" s="1"/>
  <c r="DR117" i="20"/>
  <c r="BU117" i="20"/>
  <c r="D116" i="20"/>
  <c r="BA116" i="20" s="1"/>
  <c r="F116" i="20" s="1"/>
  <c r="BD115" i="20"/>
  <c r="BC115" i="20"/>
  <c r="BA115" i="20"/>
  <c r="F115" i="20" s="1"/>
  <c r="BQ117" i="20"/>
  <c r="AG117" i="20"/>
  <c r="BF117" i="20" s="1"/>
  <c r="R116" i="20"/>
  <c r="AZ117" i="20"/>
  <c r="DQ117" i="20"/>
  <c r="A119" i="20"/>
  <c r="DG118" i="20"/>
  <c r="DU118" i="20"/>
  <c r="BS118" i="20"/>
  <c r="B118" i="20"/>
  <c r="AB118" i="20"/>
  <c r="BE118" i="20" s="1"/>
  <c r="BP118" i="20"/>
  <c r="BX118" i="20"/>
  <c r="AC118" i="20"/>
  <c r="AD118" i="20" s="1"/>
  <c r="AE118" i="20" s="1"/>
  <c r="BZ118" i="20"/>
  <c r="BY118" i="20"/>
  <c r="AF118" i="20"/>
  <c r="BW118" i="20"/>
  <c r="BV118" i="20"/>
  <c r="BB118" i="20"/>
  <c r="G117" i="20" l="1"/>
  <c r="I117" i="20" s="1"/>
  <c r="DJ119" i="20"/>
  <c r="DI120" i="20"/>
  <c r="DE119" i="20"/>
  <c r="DQ118" i="20"/>
  <c r="DF118" i="20"/>
  <c r="DH118" i="20"/>
  <c r="H118" i="20" s="1"/>
  <c r="BU118" i="20"/>
  <c r="G118" i="20" s="1"/>
  <c r="BT118" i="20"/>
  <c r="BC116" i="20"/>
  <c r="BD116" i="20"/>
  <c r="BQ118" i="20"/>
  <c r="AG118" i="20"/>
  <c r="AZ118" i="20"/>
  <c r="A120" i="20"/>
  <c r="DG119" i="20"/>
  <c r="DU119" i="20"/>
  <c r="B119" i="20"/>
  <c r="BP119" i="20"/>
  <c r="BS119" i="20"/>
  <c r="AB119" i="20"/>
  <c r="BE119" i="20" s="1"/>
  <c r="AC119" i="20"/>
  <c r="AD119" i="20" s="1"/>
  <c r="AE119" i="20" s="1"/>
  <c r="BV119" i="20"/>
  <c r="BX119" i="20"/>
  <c r="BW119" i="20"/>
  <c r="AF119" i="20"/>
  <c r="BZ119" i="20"/>
  <c r="BY119" i="20"/>
  <c r="BB119" i="20"/>
  <c r="D117" i="20"/>
  <c r="DR118" i="20"/>
  <c r="R117" i="20"/>
  <c r="I118" i="20" l="1"/>
  <c r="DI121" i="20"/>
  <c r="DJ120" i="20"/>
  <c r="DE120" i="20" s="1"/>
  <c r="DQ119" i="20"/>
  <c r="DF119" i="20"/>
  <c r="BT119" i="20"/>
  <c r="BU119" i="20"/>
  <c r="G119" i="20" s="1"/>
  <c r="DH119" i="20"/>
  <c r="H119" i="20" s="1"/>
  <c r="BD117" i="20"/>
  <c r="BC117" i="20"/>
  <c r="BA117" i="20"/>
  <c r="F117" i="20" s="1"/>
  <c r="BF118" i="20"/>
  <c r="D118" i="20"/>
  <c r="BQ119" i="20"/>
  <c r="AG119" i="20"/>
  <c r="AZ119" i="20"/>
  <c r="A121" i="20"/>
  <c r="DG120" i="20"/>
  <c r="BS120" i="20"/>
  <c r="BP120" i="20"/>
  <c r="B120" i="20"/>
  <c r="BT120" i="20"/>
  <c r="BU120" i="20"/>
  <c r="AB120" i="20"/>
  <c r="BE120" i="20" s="1"/>
  <c r="DU120" i="20"/>
  <c r="AF120" i="20"/>
  <c r="BW120" i="20"/>
  <c r="BV120" i="20"/>
  <c r="BZ120" i="20"/>
  <c r="BY120" i="20"/>
  <c r="AC120" i="20"/>
  <c r="AD120" i="20" s="1"/>
  <c r="AE120" i="20" s="1"/>
  <c r="BX120" i="20"/>
  <c r="BB120" i="20"/>
  <c r="DR119" i="20"/>
  <c r="R118" i="20"/>
  <c r="DI122" i="20" l="1"/>
  <c r="DJ121" i="20"/>
  <c r="DE121" i="20" s="1"/>
  <c r="DQ120" i="20"/>
  <c r="DF120" i="20"/>
  <c r="DH120" i="20"/>
  <c r="H120" i="20" s="1"/>
  <c r="I119" i="20"/>
  <c r="BF119" i="20"/>
  <c r="D119" i="20"/>
  <c r="G120" i="20"/>
  <c r="AZ120" i="20"/>
  <c r="A122" i="20"/>
  <c r="DG121" i="20"/>
  <c r="DU121" i="20"/>
  <c r="BS121" i="20"/>
  <c r="AB121" i="20"/>
  <c r="BE121" i="20" s="1"/>
  <c r="B121" i="20"/>
  <c r="BP121" i="20"/>
  <c r="BZ121" i="20"/>
  <c r="BY121" i="20"/>
  <c r="BX121" i="20"/>
  <c r="AF121" i="20"/>
  <c r="BV121" i="20"/>
  <c r="BW121" i="20"/>
  <c r="AC121" i="20"/>
  <c r="AD121" i="20" s="1"/>
  <c r="AE121" i="20" s="1"/>
  <c r="BB121" i="20"/>
  <c r="R119" i="20"/>
  <c r="DR120" i="20"/>
  <c r="BQ120" i="20"/>
  <c r="AG120" i="20"/>
  <c r="BD118" i="20"/>
  <c r="BC118" i="20"/>
  <c r="BA118" i="20"/>
  <c r="F118" i="20" s="1"/>
  <c r="DJ122" i="20" l="1"/>
  <c r="DI123" i="20"/>
  <c r="DE122" i="20"/>
  <c r="DQ121" i="20"/>
  <c r="DF121" i="20"/>
  <c r="I120" i="20"/>
  <c r="BU121" i="20"/>
  <c r="BT121" i="20"/>
  <c r="DH121" i="20"/>
  <c r="H121" i="20" s="1"/>
  <c r="BF120" i="20"/>
  <c r="D120" i="20"/>
  <c r="AZ121" i="20"/>
  <c r="DR121" i="20"/>
  <c r="AG121" i="20"/>
  <c r="BQ121" i="20"/>
  <c r="A123" i="20"/>
  <c r="DG122" i="20"/>
  <c r="BS122" i="20"/>
  <c r="AB122" i="20"/>
  <c r="BE122" i="20" s="1"/>
  <c r="BT122" i="20"/>
  <c r="DU122" i="20"/>
  <c r="B122" i="20"/>
  <c r="BP122" i="20"/>
  <c r="BX122" i="20"/>
  <c r="BZ122" i="20"/>
  <c r="BY122" i="20"/>
  <c r="AF122" i="20"/>
  <c r="BW122" i="20"/>
  <c r="BV122" i="20"/>
  <c r="AC122" i="20"/>
  <c r="AD122" i="20" s="1"/>
  <c r="AE122" i="20" s="1"/>
  <c r="BB122" i="20"/>
  <c r="BD119" i="20"/>
  <c r="BC119" i="20"/>
  <c r="BA119" i="20"/>
  <c r="F119" i="20" s="1"/>
  <c r="R120" i="20"/>
  <c r="DH122" i="20" l="1"/>
  <c r="H122" i="20" s="1"/>
  <c r="G121" i="20"/>
  <c r="I121" i="20" s="1"/>
  <c r="DI124" i="20"/>
  <c r="DJ123" i="20"/>
  <c r="DE123" i="20" s="1"/>
  <c r="DR122" i="20"/>
  <c r="DF122" i="20"/>
  <c r="BU122" i="20"/>
  <c r="G122" i="20" s="1"/>
  <c r="AG122" i="20"/>
  <c r="BF122" i="20" s="1"/>
  <c r="BQ122" i="20"/>
  <c r="AZ122" i="20"/>
  <c r="DQ122" i="20"/>
  <c r="BF121" i="20"/>
  <c r="D121" i="20"/>
  <c r="R121" i="20"/>
  <c r="BC120" i="20"/>
  <c r="BD120" i="20"/>
  <c r="BA120" i="20"/>
  <c r="F120" i="20" s="1"/>
  <c r="A124" i="20"/>
  <c r="DG123" i="20"/>
  <c r="BS123" i="20"/>
  <c r="BP123" i="20"/>
  <c r="DU123" i="20"/>
  <c r="AB123" i="20"/>
  <c r="BE123" i="20" s="1"/>
  <c r="B123" i="20"/>
  <c r="AC123" i="20"/>
  <c r="AD123" i="20" s="1"/>
  <c r="AE123" i="20" s="1"/>
  <c r="BV123" i="20"/>
  <c r="BX123" i="20"/>
  <c r="BW123" i="20"/>
  <c r="AF123" i="20"/>
  <c r="BZ123" i="20"/>
  <c r="BY123" i="20"/>
  <c r="BB123" i="20"/>
  <c r="I122" i="20" l="1"/>
  <c r="DJ124" i="20"/>
  <c r="DE124" i="20" s="1"/>
  <c r="DI125" i="20"/>
  <c r="DQ123" i="20"/>
  <c r="DF123" i="20"/>
  <c r="BU123" i="20"/>
  <c r="BT123" i="20"/>
  <c r="G123" i="20" s="1"/>
  <c r="DH123" i="20"/>
  <c r="H123" i="20" s="1"/>
  <c r="DR123" i="20"/>
  <c r="BC121" i="20"/>
  <c r="BD121" i="20"/>
  <c r="BA121" i="20"/>
  <c r="F121" i="20" s="1"/>
  <c r="BQ123" i="20"/>
  <c r="AG123" i="20"/>
  <c r="R123" i="20" s="1"/>
  <c r="AZ123" i="20"/>
  <c r="A125" i="20"/>
  <c r="DG124" i="20"/>
  <c r="DU124" i="20"/>
  <c r="BP124" i="20"/>
  <c r="BU124" i="20"/>
  <c r="AB124" i="20"/>
  <c r="BE124" i="20" s="1"/>
  <c r="BS124" i="20"/>
  <c r="B124" i="20"/>
  <c r="BT124" i="20"/>
  <c r="AF124" i="20"/>
  <c r="BW124" i="20"/>
  <c r="BV124" i="20"/>
  <c r="BY124" i="20"/>
  <c r="AC124" i="20"/>
  <c r="AD124" i="20" s="1"/>
  <c r="AE124" i="20" s="1"/>
  <c r="BX124" i="20"/>
  <c r="BZ124" i="20"/>
  <c r="BB124" i="20"/>
  <c r="D122" i="20"/>
  <c r="R122" i="20"/>
  <c r="DF124" i="20" l="1"/>
  <c r="DJ125" i="20"/>
  <c r="DI126" i="20"/>
  <c r="DE125" i="20"/>
  <c r="I123" i="20"/>
  <c r="G124" i="20"/>
  <c r="DH124" i="20"/>
  <c r="H124" i="20" s="1"/>
  <c r="AZ124" i="20"/>
  <c r="AG124" i="20"/>
  <c r="BF124" i="20" s="1"/>
  <c r="BQ124" i="20"/>
  <c r="BD122" i="20"/>
  <c r="BC122" i="20"/>
  <c r="BA122" i="20"/>
  <c r="F122" i="20" s="1"/>
  <c r="DQ124" i="20"/>
  <c r="DR124" i="20"/>
  <c r="BF123" i="20"/>
  <c r="D123" i="20"/>
  <c r="A126" i="20"/>
  <c r="DG125" i="20"/>
  <c r="AB125" i="20"/>
  <c r="BE125" i="20" s="1"/>
  <c r="BS125" i="20"/>
  <c r="DU125" i="20"/>
  <c r="BP125" i="20"/>
  <c r="B125" i="20"/>
  <c r="BZ125" i="20"/>
  <c r="BY125" i="20"/>
  <c r="BX125" i="20"/>
  <c r="BW125" i="20"/>
  <c r="AF125" i="20"/>
  <c r="BV125" i="20"/>
  <c r="AC125" i="20"/>
  <c r="AD125" i="20" s="1"/>
  <c r="AE125" i="20" s="1"/>
  <c r="BB125" i="20"/>
  <c r="DI127" i="20" l="1"/>
  <c r="DJ126" i="20"/>
  <c r="DE126" i="20" s="1"/>
  <c r="DQ125" i="20"/>
  <c r="DF125" i="20"/>
  <c r="DH125" i="20"/>
  <c r="H125" i="20" s="1"/>
  <c r="BU125" i="20"/>
  <c r="BT125" i="20"/>
  <c r="I124" i="20"/>
  <c r="AZ125" i="20"/>
  <c r="DR125" i="20"/>
  <c r="R124" i="20"/>
  <c r="A127" i="20"/>
  <c r="DG126" i="20"/>
  <c r="BS126" i="20"/>
  <c r="B126" i="20"/>
  <c r="BT126" i="20"/>
  <c r="AB126" i="20"/>
  <c r="BE126" i="20" s="1"/>
  <c r="DU126" i="20"/>
  <c r="BP126" i="20"/>
  <c r="BX126" i="20"/>
  <c r="BZ126" i="20"/>
  <c r="BY126" i="20"/>
  <c r="AF126" i="20"/>
  <c r="BW126" i="20"/>
  <c r="BV126" i="20"/>
  <c r="AC126" i="20"/>
  <c r="AD126" i="20" s="1"/>
  <c r="AE126" i="20" s="1"/>
  <c r="BB126" i="20"/>
  <c r="BQ125" i="20"/>
  <c r="AG125" i="20"/>
  <c r="BD123" i="20"/>
  <c r="BC123" i="20"/>
  <c r="BA123" i="20"/>
  <c r="F123" i="20" s="1"/>
  <c r="D124" i="20"/>
  <c r="G125" i="20" l="1"/>
  <c r="I125" i="20" s="1"/>
  <c r="DJ127" i="20"/>
  <c r="DE127" i="20" s="1"/>
  <c r="DI128" i="20"/>
  <c r="DR126" i="20"/>
  <c r="DF126" i="20"/>
  <c r="BU126" i="20"/>
  <c r="G126" i="20" s="1"/>
  <c r="DQ126" i="20"/>
  <c r="DH126" i="20"/>
  <c r="H126" i="20" s="1"/>
  <c r="BD124" i="20"/>
  <c r="BC124" i="20"/>
  <c r="BA124" i="20"/>
  <c r="F124" i="20" s="1"/>
  <c r="BF125" i="20"/>
  <c r="D125" i="20"/>
  <c r="AZ126" i="20"/>
  <c r="R125" i="20"/>
  <c r="BQ126" i="20"/>
  <c r="AG126" i="20"/>
  <c r="A128" i="20"/>
  <c r="DG127" i="20"/>
  <c r="B127" i="20"/>
  <c r="BS127" i="20"/>
  <c r="BP127" i="20"/>
  <c r="DU127" i="20"/>
  <c r="AB127" i="20"/>
  <c r="BE127" i="20" s="1"/>
  <c r="AC127" i="20"/>
  <c r="AD127" i="20" s="1"/>
  <c r="AE127" i="20" s="1"/>
  <c r="BX127" i="20"/>
  <c r="BW127" i="20"/>
  <c r="AF127" i="20"/>
  <c r="BV127" i="20"/>
  <c r="BZ127" i="20"/>
  <c r="BY127" i="20"/>
  <c r="BB127" i="20"/>
  <c r="DJ128" i="20" l="1"/>
  <c r="DI129" i="20"/>
  <c r="DE128" i="20"/>
  <c r="DQ127" i="20"/>
  <c r="DF127" i="20"/>
  <c r="BT127" i="20"/>
  <c r="BU127" i="20"/>
  <c r="G127" i="20" s="1"/>
  <c r="I126" i="20"/>
  <c r="DH127" i="20"/>
  <c r="H127" i="20" s="1"/>
  <c r="DR127" i="20"/>
  <c r="A129" i="20"/>
  <c r="DG128" i="20"/>
  <c r="DU128" i="20"/>
  <c r="B128" i="20"/>
  <c r="BP128" i="20"/>
  <c r="AB128" i="20"/>
  <c r="BE128" i="20" s="1"/>
  <c r="BT128" i="20"/>
  <c r="BU128" i="20"/>
  <c r="BS128" i="20"/>
  <c r="AF128" i="20"/>
  <c r="BW128" i="20"/>
  <c r="BV128" i="20"/>
  <c r="AC128" i="20"/>
  <c r="AD128" i="20" s="1"/>
  <c r="AE128" i="20" s="1"/>
  <c r="BZ128" i="20"/>
  <c r="BX128" i="20"/>
  <c r="BY128" i="20"/>
  <c r="BB128" i="20"/>
  <c r="AZ127" i="20"/>
  <c r="AG127" i="20"/>
  <c r="BF127" i="20" s="1"/>
  <c r="BQ127" i="20"/>
  <c r="BF126" i="20"/>
  <c r="D126" i="20"/>
  <c r="R126" i="20"/>
  <c r="BC125" i="20"/>
  <c r="BD125" i="20"/>
  <c r="BA125" i="20"/>
  <c r="F125" i="20" s="1"/>
  <c r="DJ129" i="20" l="1"/>
  <c r="DI130" i="20"/>
  <c r="DE129" i="20"/>
  <c r="DQ128" i="20"/>
  <c r="DF128" i="20"/>
  <c r="DH128" i="20"/>
  <c r="H128" i="20" s="1"/>
  <c r="D127" i="20"/>
  <c r="BA127" i="20" s="1"/>
  <c r="F127" i="20" s="1"/>
  <c r="I127" i="20"/>
  <c r="G128" i="20"/>
  <c r="R127" i="20"/>
  <c r="BD126" i="20"/>
  <c r="BC126" i="20"/>
  <c r="BA126" i="20"/>
  <c r="F126" i="20" s="1"/>
  <c r="DR128" i="20"/>
  <c r="BQ128" i="20"/>
  <c r="AG128" i="20"/>
  <c r="AZ128" i="20"/>
  <c r="A130" i="20"/>
  <c r="DU129" i="20"/>
  <c r="DG129" i="20"/>
  <c r="AB129" i="20"/>
  <c r="BE129" i="20" s="1"/>
  <c r="BP129" i="20"/>
  <c r="B129" i="20"/>
  <c r="BS129" i="20"/>
  <c r="BT129" i="20"/>
  <c r="BZ129" i="20"/>
  <c r="BY129" i="20"/>
  <c r="BX129" i="20"/>
  <c r="AF129" i="20"/>
  <c r="BV129" i="20"/>
  <c r="AC129" i="20"/>
  <c r="AD129" i="20" s="1"/>
  <c r="AE129" i="20" s="1"/>
  <c r="BW129" i="20"/>
  <c r="BB129" i="20"/>
  <c r="DJ130" i="20" l="1"/>
  <c r="DI131" i="20"/>
  <c r="DE130" i="20"/>
  <c r="DR129" i="20"/>
  <c r="DF129" i="20"/>
  <c r="DH129" i="20"/>
  <c r="H129" i="20" s="1"/>
  <c r="I128" i="20"/>
  <c r="BD127" i="20"/>
  <c r="DQ129" i="20"/>
  <c r="BC127" i="20"/>
  <c r="BU129" i="20"/>
  <c r="G129" i="20" s="1"/>
  <c r="A131" i="20"/>
  <c r="DG130" i="20"/>
  <c r="BS130" i="20"/>
  <c r="B130" i="20"/>
  <c r="DF130" i="20" s="1"/>
  <c r="BU130" i="20"/>
  <c r="AB130" i="20"/>
  <c r="BE130" i="20" s="1"/>
  <c r="DU130" i="20"/>
  <c r="BT130" i="20"/>
  <c r="BP130" i="20"/>
  <c r="BX130" i="20"/>
  <c r="BZ130" i="20"/>
  <c r="BY130" i="20"/>
  <c r="AF130" i="20"/>
  <c r="BW130" i="20"/>
  <c r="BV130" i="20"/>
  <c r="AC130" i="20"/>
  <c r="AD130" i="20" s="1"/>
  <c r="AE130" i="20" s="1"/>
  <c r="BB130" i="20"/>
  <c r="AG129" i="20"/>
  <c r="BQ129" i="20"/>
  <c r="BF128" i="20"/>
  <c r="D128" i="20"/>
  <c r="AZ129" i="20"/>
  <c r="R128" i="20"/>
  <c r="DI132" i="20" l="1"/>
  <c r="DJ131" i="20"/>
  <c r="DE131" i="20"/>
  <c r="I129" i="20"/>
  <c r="DH130" i="20"/>
  <c r="H130" i="20" s="1"/>
  <c r="AZ130" i="20"/>
  <c r="BF129" i="20"/>
  <c r="D129" i="20"/>
  <c r="G130" i="20"/>
  <c r="BD128" i="20"/>
  <c r="BC128" i="20"/>
  <c r="BA128" i="20"/>
  <c r="F128" i="20" s="1"/>
  <c r="R129" i="20"/>
  <c r="DQ130" i="20"/>
  <c r="AG130" i="20"/>
  <c r="BQ130" i="20"/>
  <c r="DR130" i="20"/>
  <c r="A132" i="20"/>
  <c r="DG131" i="20"/>
  <c r="BS131" i="20"/>
  <c r="BT131" i="20"/>
  <c r="DU131" i="20"/>
  <c r="BP131" i="20"/>
  <c r="AB131" i="20"/>
  <c r="BE131" i="20" s="1"/>
  <c r="B131" i="20"/>
  <c r="AC131" i="20"/>
  <c r="AD131" i="20" s="1"/>
  <c r="AE131" i="20" s="1"/>
  <c r="BX131" i="20"/>
  <c r="BW131" i="20"/>
  <c r="AF131" i="20"/>
  <c r="BV131" i="20"/>
  <c r="BZ131" i="20"/>
  <c r="BY131" i="20"/>
  <c r="BB131" i="20"/>
  <c r="DI133" i="20" l="1"/>
  <c r="DJ132" i="20"/>
  <c r="DE132" i="20" s="1"/>
  <c r="DR131" i="20"/>
  <c r="DF131" i="20"/>
  <c r="I130" i="20"/>
  <c r="BU131" i="20"/>
  <c r="G131" i="20" s="1"/>
  <c r="DH131" i="20"/>
  <c r="H131" i="20" s="1"/>
  <c r="DQ131" i="20"/>
  <c r="BF130" i="20"/>
  <c r="D130" i="20"/>
  <c r="BC129" i="20"/>
  <c r="BD129" i="20"/>
  <c r="BA129" i="20"/>
  <c r="F129" i="20" s="1"/>
  <c r="AZ131" i="20"/>
  <c r="A133" i="20"/>
  <c r="DG132" i="20"/>
  <c r="B132" i="20"/>
  <c r="BP132" i="20"/>
  <c r="DU132" i="20"/>
  <c r="BS132" i="20"/>
  <c r="AB132" i="20"/>
  <c r="BE132" i="20" s="1"/>
  <c r="AF132" i="20"/>
  <c r="BW132" i="20"/>
  <c r="BV132" i="20"/>
  <c r="AC132" i="20"/>
  <c r="AD132" i="20" s="1"/>
  <c r="AE132" i="20" s="1"/>
  <c r="BZ132" i="20"/>
  <c r="BX132" i="20"/>
  <c r="BY132" i="20"/>
  <c r="BB132" i="20"/>
  <c r="R130" i="20"/>
  <c r="BQ131" i="20"/>
  <c r="AG131" i="20"/>
  <c r="R131" i="20" s="1"/>
  <c r="I131" i="20" l="1"/>
  <c r="DI134" i="20"/>
  <c r="DJ133" i="20"/>
  <c r="DE133" i="20"/>
  <c r="DQ132" i="20"/>
  <c r="DF132" i="20"/>
  <c r="DH132" i="20"/>
  <c r="H132" i="20" s="1"/>
  <c r="BU132" i="20"/>
  <c r="G132" i="20" s="1"/>
  <c r="BT132" i="20"/>
  <c r="DR132" i="20"/>
  <c r="AZ132" i="20"/>
  <c r="BD130" i="20"/>
  <c r="BC130" i="20"/>
  <c r="BA130" i="20"/>
  <c r="F130" i="20" s="1"/>
  <c r="BF131" i="20"/>
  <c r="D131" i="20"/>
  <c r="A134" i="20"/>
  <c r="DG133" i="20"/>
  <c r="DU133" i="20"/>
  <c r="AB133" i="20"/>
  <c r="BE133" i="20" s="1"/>
  <c r="B133" i="20"/>
  <c r="BS133" i="20"/>
  <c r="BP133" i="20"/>
  <c r="BU133" i="20"/>
  <c r="BZ133" i="20"/>
  <c r="BY133" i="20"/>
  <c r="BX133" i="20"/>
  <c r="BW133" i="20"/>
  <c r="AF133" i="20"/>
  <c r="BV133" i="20"/>
  <c r="AC133" i="20"/>
  <c r="AD133" i="20" s="1"/>
  <c r="AE133" i="20" s="1"/>
  <c r="BB133" i="20"/>
  <c r="AG132" i="20"/>
  <c r="BF132" i="20" s="1"/>
  <c r="BQ132" i="20"/>
  <c r="DJ134" i="20" l="1"/>
  <c r="DI135" i="20"/>
  <c r="DE134" i="20"/>
  <c r="BT133" i="20"/>
  <c r="DF133" i="20"/>
  <c r="I132" i="20"/>
  <c r="DH133" i="20"/>
  <c r="H133" i="20" s="1"/>
  <c r="G133" i="20"/>
  <c r="D132" i="20"/>
  <c r="BC132" i="20" s="1"/>
  <c r="R132" i="20"/>
  <c r="AZ133" i="20"/>
  <c r="A135" i="20"/>
  <c r="DG134" i="20"/>
  <c r="DU134" i="20"/>
  <c r="AB134" i="20"/>
  <c r="BE134" i="20" s="1"/>
  <c r="BS134" i="20"/>
  <c r="B134" i="20"/>
  <c r="DQ134" i="20" s="1"/>
  <c r="BT134" i="20"/>
  <c r="BU134" i="20"/>
  <c r="BP134" i="20"/>
  <c r="BX134" i="20"/>
  <c r="BZ134" i="20"/>
  <c r="BY134" i="20"/>
  <c r="AF134" i="20"/>
  <c r="BW134" i="20"/>
  <c r="BV134" i="20"/>
  <c r="AC134" i="20"/>
  <c r="AD134" i="20" s="1"/>
  <c r="AE134" i="20" s="1"/>
  <c r="BB134" i="20"/>
  <c r="DQ133" i="20"/>
  <c r="BD131" i="20"/>
  <c r="BC131" i="20"/>
  <c r="BA131" i="20"/>
  <c r="F131" i="20" s="1"/>
  <c r="AG133" i="20"/>
  <c r="BQ133" i="20"/>
  <c r="DR133" i="20"/>
  <c r="DI136" i="20" l="1"/>
  <c r="DJ135" i="20"/>
  <c r="DE135" i="20"/>
  <c r="DR134" i="20"/>
  <c r="DF134" i="20"/>
  <c r="I133" i="20"/>
  <c r="BA132" i="20"/>
  <c r="F132" i="20" s="1"/>
  <c r="BD132" i="20"/>
  <c r="DH134" i="20"/>
  <c r="H134" i="20" s="1"/>
  <c r="AG134" i="20"/>
  <c r="BF134" i="20" s="1"/>
  <c r="BQ134" i="20"/>
  <c r="BF133" i="20"/>
  <c r="D133" i="20"/>
  <c r="R133" i="20"/>
  <c r="G134" i="20"/>
  <c r="AZ134" i="20"/>
  <c r="A136" i="20"/>
  <c r="DG135" i="20"/>
  <c r="DU135" i="20"/>
  <c r="BT135" i="20"/>
  <c r="B135" i="20"/>
  <c r="BU135" i="20"/>
  <c r="BP135" i="20"/>
  <c r="BS135" i="20"/>
  <c r="AB135" i="20"/>
  <c r="BE135" i="20" s="1"/>
  <c r="AC135" i="20"/>
  <c r="AD135" i="20" s="1"/>
  <c r="AE135" i="20" s="1"/>
  <c r="BV135" i="20"/>
  <c r="BX135" i="20"/>
  <c r="BW135" i="20"/>
  <c r="BZ135" i="20"/>
  <c r="BY135" i="20"/>
  <c r="AF135" i="20"/>
  <c r="BB135" i="20"/>
  <c r="DI137" i="20" l="1"/>
  <c r="DJ136" i="20"/>
  <c r="DE136" i="20"/>
  <c r="DQ135" i="20"/>
  <c r="DF135" i="20"/>
  <c r="I134" i="20"/>
  <c r="D134" i="20"/>
  <c r="BC134" i="20" s="1"/>
  <c r="DH135" i="20"/>
  <c r="H135" i="20" s="1"/>
  <c r="G135" i="20"/>
  <c r="AZ135" i="20"/>
  <c r="AG135" i="20"/>
  <c r="BQ135" i="20"/>
  <c r="A137" i="20"/>
  <c r="DG136" i="20"/>
  <c r="DH136" i="20" s="1"/>
  <c r="H136" i="20" s="1"/>
  <c r="BS136" i="20"/>
  <c r="BP136" i="20"/>
  <c r="BU136" i="20"/>
  <c r="DU136" i="20"/>
  <c r="B136" i="20"/>
  <c r="DF136" i="20" s="1"/>
  <c r="AB136" i="20"/>
  <c r="BE136" i="20" s="1"/>
  <c r="BT136" i="20"/>
  <c r="AF136" i="20"/>
  <c r="BW136" i="20"/>
  <c r="BV136" i="20"/>
  <c r="AC136" i="20"/>
  <c r="AD136" i="20" s="1"/>
  <c r="AE136" i="20" s="1"/>
  <c r="DQ136" i="20"/>
  <c r="BZ136" i="20"/>
  <c r="BX136" i="20"/>
  <c r="BY136" i="20"/>
  <c r="BB136" i="20"/>
  <c r="DR135" i="20"/>
  <c r="BD133" i="20"/>
  <c r="BC133" i="20"/>
  <c r="BA133" i="20"/>
  <c r="F133" i="20" s="1"/>
  <c r="R134" i="20"/>
  <c r="BD134" i="20" l="1"/>
  <c r="G136" i="20"/>
  <c r="I136" i="20" s="1"/>
  <c r="DJ137" i="20"/>
  <c r="DE137" i="20" s="1"/>
  <c r="BA134" i="20"/>
  <c r="F134" i="20" s="1"/>
  <c r="I135" i="20"/>
  <c r="BQ136" i="20"/>
  <c r="AG136" i="20"/>
  <c r="BF136" i="20" s="1"/>
  <c r="AZ136" i="20"/>
  <c r="DR136" i="20"/>
  <c r="BF135" i="20"/>
  <c r="D135" i="20"/>
  <c r="DG137" i="20"/>
  <c r="BS137" i="20"/>
  <c r="AB137" i="20"/>
  <c r="B137" i="20"/>
  <c r="DU137" i="20"/>
  <c r="BP137" i="20"/>
  <c r="BT137" i="20"/>
  <c r="BU137" i="20"/>
  <c r="BZ137" i="20"/>
  <c r="BY137" i="20"/>
  <c r="AF137" i="20"/>
  <c r="BV137" i="20"/>
  <c r="BW137" i="20"/>
  <c r="AC137" i="20"/>
  <c r="AD137" i="20" s="1"/>
  <c r="AE137" i="20" s="1"/>
  <c r="BX137" i="20"/>
  <c r="BB137" i="20"/>
  <c r="P5" i="45"/>
  <c r="Q5" i="45" s="1"/>
  <c r="U5" i="45"/>
  <c r="V5" i="45" s="1"/>
  <c r="R135" i="20"/>
  <c r="DH137" i="20" l="1"/>
  <c r="H137" i="20" s="1"/>
  <c r="DR137" i="20"/>
  <c r="DF137" i="20"/>
  <c r="H357" i="45"/>
  <c r="H345" i="45"/>
  <c r="H321" i="45"/>
  <c r="H333" i="45"/>
  <c r="DQ137" i="20"/>
  <c r="I1267" i="45"/>
  <c r="I822" i="45"/>
  <c r="I735" i="45"/>
  <c r="I767" i="45"/>
  <c r="I831" i="45"/>
  <c r="I706" i="45"/>
  <c r="I854" i="45"/>
  <c r="I1128" i="45"/>
  <c r="I863" i="45"/>
  <c r="I1111" i="45"/>
  <c r="I726" i="45"/>
  <c r="I1278" i="45"/>
  <c r="I1149" i="45"/>
  <c r="I1285" i="45"/>
  <c r="I894" i="45"/>
  <c r="I1165" i="45"/>
  <c r="I1170" i="45"/>
  <c r="I1326" i="45"/>
  <c r="I1294" i="45"/>
  <c r="I1088" i="45"/>
  <c r="I1037" i="45"/>
  <c r="I1103" i="45"/>
  <c r="I1213" i="45"/>
  <c r="I981" i="45"/>
  <c r="I1237" i="45"/>
  <c r="I857" i="45"/>
  <c r="I793" i="45"/>
  <c r="I862" i="45"/>
  <c r="I684" i="45"/>
  <c r="I1262" i="45"/>
  <c r="I1293" i="45"/>
  <c r="I715" i="45"/>
  <c r="I1013" i="45"/>
  <c r="I1310" i="45"/>
  <c r="I1270" i="45"/>
  <c r="I1045" i="45"/>
  <c r="I713" i="45"/>
  <c r="I846" i="45"/>
  <c r="I821" i="45"/>
  <c r="I1197" i="45"/>
  <c r="I992" i="45"/>
  <c r="I1250" i="45"/>
  <c r="I1016" i="45"/>
  <c r="I1056" i="45"/>
  <c r="I1005" i="45"/>
  <c r="I1040" i="45"/>
  <c r="I989" i="45"/>
  <c r="I1124" i="45"/>
  <c r="I1032" i="45"/>
  <c r="I1302" i="45"/>
  <c r="I1186" i="45"/>
  <c r="I774" i="45"/>
  <c r="I1242" i="45"/>
  <c r="I1234" i="45"/>
  <c r="I742" i="45"/>
  <c r="I799" i="45"/>
  <c r="I1077" i="45"/>
  <c r="I723" i="45"/>
  <c r="I819" i="45"/>
  <c r="I1271" i="45"/>
  <c r="I1144" i="45"/>
  <c r="I1145" i="45"/>
  <c r="I689" i="45"/>
  <c r="I1334" i="45"/>
  <c r="I1129" i="45"/>
  <c r="I928" i="45"/>
  <c r="I1135" i="45"/>
  <c r="I933" i="45"/>
  <c r="I1112" i="45"/>
  <c r="I782" i="45"/>
  <c r="I814" i="45"/>
  <c r="I949" i="45"/>
  <c r="I968" i="45"/>
  <c r="I1048" i="45"/>
  <c r="I1317" i="45"/>
  <c r="I960" i="45"/>
  <c r="I885" i="45"/>
  <c r="I1053" i="45"/>
  <c r="I1061" i="45"/>
  <c r="I1229" i="45"/>
  <c r="I1318" i="45"/>
  <c r="I1024" i="45"/>
  <c r="I973" i="45"/>
  <c r="I806" i="45"/>
  <c r="I1173" i="45"/>
  <c r="I795" i="45"/>
  <c r="I1080" i="45"/>
  <c r="I1205" i="45"/>
  <c r="I737" i="45"/>
  <c r="I1226" i="45"/>
  <c r="I1325" i="45"/>
  <c r="I725" i="45"/>
  <c r="I1221" i="45"/>
  <c r="I1309" i="45"/>
  <c r="I889" i="45"/>
  <c r="I718" i="45"/>
  <c r="I1210" i="45"/>
  <c r="I826" i="45"/>
  <c r="I1218" i="45"/>
  <c r="I997" i="45"/>
  <c r="I925" i="45"/>
  <c r="I843" i="45"/>
  <c r="I936" i="45"/>
  <c r="I692" i="45"/>
  <c r="I1178" i="45"/>
  <c r="I1162" i="45"/>
  <c r="I917" i="45"/>
  <c r="I899" i="45"/>
  <c r="I984" i="45"/>
  <c r="I1141" i="45"/>
  <c r="I941" i="45"/>
  <c r="I976" i="45"/>
  <c r="I952" i="45"/>
  <c r="I1069" i="45"/>
  <c r="I1273" i="45"/>
  <c r="I734" i="45"/>
  <c r="I878" i="45"/>
  <c r="I912" i="45"/>
  <c r="I710" i="45"/>
  <c r="I940" i="45"/>
  <c r="I800" i="45"/>
  <c r="I1039" i="45"/>
  <c r="I1331" i="45"/>
  <c r="I1289" i="45"/>
  <c r="I840" i="45"/>
  <c r="I969" i="45"/>
  <c r="I1151" i="45"/>
  <c r="I964" i="45"/>
  <c r="I845" i="45"/>
  <c r="I1059" i="45"/>
  <c r="I842" i="45"/>
  <c r="I1300" i="45"/>
  <c r="I880" i="45"/>
  <c r="I1335" i="45"/>
  <c r="I1292" i="45"/>
  <c r="I746" i="45"/>
  <c r="I1275" i="45"/>
  <c r="I1212" i="45"/>
  <c r="I967" i="45"/>
  <c r="I1017" i="45"/>
  <c r="I1269" i="45"/>
  <c r="I1092" i="45"/>
  <c r="I904" i="45"/>
  <c r="I985" i="45"/>
  <c r="I724" i="45"/>
  <c r="I1009" i="45"/>
  <c r="I924" i="45"/>
  <c r="I756" i="45"/>
  <c r="I776" i="45"/>
  <c r="I953" i="45"/>
  <c r="I859" i="45"/>
  <c r="I807" i="45"/>
  <c r="I1276" i="45"/>
  <c r="I784" i="45"/>
  <c r="I739" i="45"/>
  <c r="I1041" i="45"/>
  <c r="I956" i="45"/>
  <c r="I1062" i="45"/>
  <c r="I714" i="45"/>
  <c r="I955" i="45"/>
  <c r="I727" i="45"/>
  <c r="I947" i="45"/>
  <c r="I1063" i="45"/>
  <c r="I1008" i="45"/>
  <c r="I825" i="45"/>
  <c r="I1286" i="45"/>
  <c r="I870" i="45"/>
  <c r="I858" i="45"/>
  <c r="I757" i="45"/>
  <c r="I1301" i="45"/>
  <c r="I699" i="45"/>
  <c r="I1175" i="45"/>
  <c r="I1274" i="45"/>
  <c r="I1134" i="45"/>
  <c r="I860" i="45"/>
  <c r="I1268" i="45"/>
  <c r="I868" i="45"/>
  <c r="I805" i="45"/>
  <c r="I769" i="45"/>
  <c r="I719" i="45"/>
  <c r="I1114" i="45"/>
  <c r="I1046" i="45"/>
  <c r="I909" i="45"/>
  <c r="I873" i="45"/>
  <c r="I1119" i="45"/>
  <c r="I905" i="45"/>
  <c r="I979" i="45"/>
  <c r="I887" i="45"/>
  <c r="I962" i="45"/>
  <c r="I696" i="45"/>
  <c r="I1033" i="45"/>
  <c r="I716" i="45"/>
  <c r="I1023" i="45"/>
  <c r="I812" i="45"/>
  <c r="I879" i="45"/>
  <c r="I950" i="45"/>
  <c r="I1179" i="45"/>
  <c r="I1107" i="45"/>
  <c r="I1225" i="45"/>
  <c r="I1139" i="45"/>
  <c r="I1087" i="45"/>
  <c r="I1297" i="45"/>
  <c r="I1136" i="45"/>
  <c r="I872" i="45"/>
  <c r="I926" i="45"/>
  <c r="I1118" i="45"/>
  <c r="I1125" i="45"/>
  <c r="I789" i="45"/>
  <c r="I1333" i="45"/>
  <c r="I1072" i="45"/>
  <c r="I1181" i="45"/>
  <c r="I1247" i="45"/>
  <c r="I1232" i="45"/>
  <c r="I852" i="45"/>
  <c r="I828" i="45"/>
  <c r="I751" i="45"/>
  <c r="I918" i="45"/>
  <c r="I1065" i="45"/>
  <c r="I1244" i="45"/>
  <c r="I697" i="45"/>
  <c r="I1246" i="45"/>
  <c r="I1193" i="45"/>
  <c r="I1052" i="45"/>
  <c r="I1311" i="45"/>
  <c r="I1015" i="45"/>
  <c r="I701" i="45"/>
  <c r="I1081" i="45"/>
  <c r="I990" i="45"/>
  <c r="I1238" i="45"/>
  <c r="I851" i="45"/>
  <c r="I775" i="45"/>
  <c r="I785" i="45"/>
  <c r="I954" i="45"/>
  <c r="I1261" i="45"/>
  <c r="I1319" i="45"/>
  <c r="I1277" i="45"/>
  <c r="I901" i="45"/>
  <c r="I865" i="45"/>
  <c r="I760" i="45"/>
  <c r="I893" i="45"/>
  <c r="I849" i="45"/>
  <c r="I1305" i="45"/>
  <c r="I1031" i="45"/>
  <c r="I1142" i="45"/>
  <c r="I1026" i="45"/>
  <c r="I867" i="45"/>
  <c r="I839" i="45"/>
  <c r="I891" i="45"/>
  <c r="I930" i="45"/>
  <c r="I1282" i="45"/>
  <c r="I836" i="45"/>
  <c r="I1068" i="45"/>
  <c r="I1339" i="45"/>
  <c r="I820" i="45"/>
  <c r="I827" i="45"/>
  <c r="I711" i="45"/>
  <c r="I707" i="45"/>
  <c r="I1166" i="45"/>
  <c r="I1324" i="45"/>
  <c r="I911" i="45"/>
  <c r="I900" i="45"/>
  <c r="I970" i="45"/>
  <c r="I768" i="45"/>
  <c r="I931" i="45"/>
  <c r="I935" i="45"/>
  <c r="I1265" i="45"/>
  <c r="I1176" i="45"/>
  <c r="I1117" i="45"/>
  <c r="I1257" i="45"/>
  <c r="I1168" i="45"/>
  <c r="I1122" i="45"/>
  <c r="I920" i="45"/>
  <c r="I853" i="45"/>
  <c r="I687" i="45"/>
  <c r="I1029" i="45"/>
  <c r="I902" i="45"/>
  <c r="I1214" i="45"/>
  <c r="I817" i="45"/>
  <c r="I848" i="45"/>
  <c r="I1340" i="45"/>
  <c r="I975" i="45"/>
  <c r="I731" i="45"/>
  <c r="I919" i="45"/>
  <c r="I1101" i="45"/>
  <c r="I1155" i="45"/>
  <c r="I927" i="45"/>
  <c r="I1215" i="45"/>
  <c r="I856" i="45"/>
  <c r="I1239" i="45"/>
  <c r="I740" i="45"/>
  <c r="I1296" i="45"/>
  <c r="I1200" i="45"/>
  <c r="I1222" i="45"/>
  <c r="I855" i="45"/>
  <c r="I1241" i="45"/>
  <c r="I1066" i="45"/>
  <c r="I1260" i="45"/>
  <c r="I1264" i="45"/>
  <c r="I780" i="45"/>
  <c r="I783" i="45"/>
  <c r="I732" i="45"/>
  <c r="I1233" i="45"/>
  <c r="I884" i="45"/>
  <c r="I693" i="45"/>
  <c r="I1073" i="45"/>
  <c r="I1266" i="45"/>
  <c r="I1182" i="45"/>
  <c r="I998" i="45"/>
  <c r="I903" i="45"/>
  <c r="I1341" i="45"/>
  <c r="I938" i="45"/>
  <c r="I1161" i="45"/>
  <c r="I906" i="45"/>
  <c r="I1183" i="45"/>
  <c r="I1083" i="45"/>
  <c r="I1075" i="45"/>
  <c r="I722" i="45"/>
  <c r="I1099" i="45"/>
  <c r="I1177" i="45"/>
  <c r="I1060" i="45"/>
  <c r="I1299" i="45"/>
  <c r="I922" i="45"/>
  <c r="I1004" i="45"/>
  <c r="I709" i="45"/>
  <c r="I764" i="45"/>
  <c r="I886" i="45"/>
  <c r="I1253" i="45"/>
  <c r="I766" i="45"/>
  <c r="I771" i="45"/>
  <c r="I750" i="45"/>
  <c r="I772" i="45"/>
  <c r="I932" i="45"/>
  <c r="I796" i="45"/>
  <c r="I943" i="45"/>
  <c r="I934" i="45"/>
  <c r="I958" i="45"/>
  <c r="I685" i="45"/>
  <c r="I1058" i="45"/>
  <c r="I1188" i="45"/>
  <c r="I1121" i="45"/>
  <c r="I1001" i="45"/>
  <c r="I1315" i="45"/>
  <c r="I1051" i="45"/>
  <c r="I966" i="45"/>
  <c r="I1243" i="45"/>
  <c r="I810" i="45"/>
  <c r="I1235" i="45"/>
  <c r="I744" i="45"/>
  <c r="I1290" i="45"/>
  <c r="I869" i="45"/>
  <c r="I833" i="45"/>
  <c r="I700" i="45"/>
  <c r="I1207" i="45"/>
  <c r="I824" i="45"/>
  <c r="I1199" i="45"/>
  <c r="I792" i="45"/>
  <c r="I923" i="45"/>
  <c r="I1105" i="45"/>
  <c r="I1022" i="45"/>
  <c r="I1313" i="45"/>
  <c r="I762" i="45"/>
  <c r="I1198" i="45"/>
  <c r="I832" i="45"/>
  <c r="I1330" i="45"/>
  <c r="I703" i="45"/>
  <c r="I1147" i="45"/>
  <c r="I1047" i="45"/>
  <c r="I1084" i="45"/>
  <c r="I688" i="45"/>
  <c r="I1171" i="45"/>
  <c r="I1169" i="45"/>
  <c r="I1028" i="45"/>
  <c r="I758" i="45"/>
  <c r="I1098" i="45"/>
  <c r="I897" i="45"/>
  <c r="I890" i="45"/>
  <c r="I1252" i="45"/>
  <c r="I978" i="45"/>
  <c r="I733" i="45"/>
  <c r="I1158" i="45"/>
  <c r="I717" i="45"/>
  <c r="I1150" i="45"/>
  <c r="I1085" i="45"/>
  <c r="I798" i="45"/>
  <c r="I1154" i="45"/>
  <c r="I1202" i="45"/>
  <c r="I1194" i="45"/>
  <c r="I1245" i="45"/>
  <c r="I910" i="45"/>
  <c r="I944" i="45"/>
  <c r="I1189" i="45"/>
  <c r="I838" i="45"/>
  <c r="I1113" i="45"/>
  <c r="I965" i="45"/>
  <c r="I1000" i="45"/>
  <c r="I830" i="45"/>
  <c r="I895" i="45"/>
  <c r="I720" i="45"/>
  <c r="I1130" i="45"/>
  <c r="I1100" i="45"/>
  <c r="I1307" i="45"/>
  <c r="I1071" i="45"/>
  <c r="I1011" i="45"/>
  <c r="I1030" i="45"/>
  <c r="I1097" i="45"/>
  <c r="I1091" i="45"/>
  <c r="I702" i="45"/>
  <c r="I1115" i="45"/>
  <c r="I765" i="45"/>
  <c r="I729" i="45"/>
  <c r="I1209" i="45"/>
  <c r="I1049" i="45"/>
  <c r="I883" i="45"/>
  <c r="I1195" i="45"/>
  <c r="I844" i="45"/>
  <c r="I1180" i="45"/>
  <c r="I730" i="45"/>
  <c r="I1020" i="45"/>
  <c r="I1279" i="45"/>
  <c r="I786" i="45"/>
  <c r="I874" i="45"/>
  <c r="I755" i="45"/>
  <c r="I691" i="45"/>
  <c r="I907" i="45"/>
  <c r="I1036" i="45"/>
  <c r="I1201" i="45"/>
  <c r="I977" i="45"/>
  <c r="I1231" i="45"/>
  <c r="I1263" i="45"/>
  <c r="I1086" i="45"/>
  <c r="I1078" i="45"/>
  <c r="I1064" i="45"/>
  <c r="I1021" i="45"/>
  <c r="I957" i="45"/>
  <c r="I1220" i="45"/>
  <c r="I1328" i="45"/>
  <c r="I1308" i="45"/>
  <c r="I1332" i="45"/>
  <c r="I1127" i="45"/>
  <c r="I864" i="45"/>
  <c r="I1090" i="45"/>
  <c r="I1211" i="45"/>
  <c r="I803" i="45"/>
  <c r="I811" i="45"/>
  <c r="I690" i="45"/>
  <c r="I1208" i="45"/>
  <c r="I791" i="45"/>
  <c r="I1050" i="45"/>
  <c r="I1082" i="45"/>
  <c r="I986" i="45"/>
  <c r="I704" i="45"/>
  <c r="I1254" i="45"/>
  <c r="I959" i="45"/>
  <c r="I1338" i="45"/>
  <c r="I777" i="45"/>
  <c r="I1259" i="45"/>
  <c r="I1312" i="45"/>
  <c r="I809" i="45"/>
  <c r="I763" i="45"/>
  <c r="I738" i="45"/>
  <c r="I1104" i="45"/>
  <c r="I987" i="45"/>
  <c r="I1336" i="45"/>
  <c r="I781" i="45"/>
  <c r="I983" i="45"/>
  <c r="I705" i="45"/>
  <c r="I1255" i="45"/>
  <c r="I1191" i="45"/>
  <c r="I882" i="45"/>
  <c r="I888" i="45"/>
  <c r="I980" i="45"/>
  <c r="I1230" i="45"/>
  <c r="I747" i="45"/>
  <c r="I682" i="45"/>
  <c r="I1223" i="45"/>
  <c r="I1228" i="45"/>
  <c r="I797" i="45"/>
  <c r="I802" i="45"/>
  <c r="I1283" i="45"/>
  <c r="I1196" i="45"/>
  <c r="I896" i="45"/>
  <c r="I1159" i="45"/>
  <c r="I1126" i="45"/>
  <c r="I1322" i="45"/>
  <c r="I939" i="45"/>
  <c r="I1018" i="45"/>
  <c r="I994" i="45"/>
  <c r="I1038" i="45"/>
  <c r="I1164" i="45"/>
  <c r="I749" i="45"/>
  <c r="I1006" i="45"/>
  <c r="I1337" i="45"/>
  <c r="I945" i="45"/>
  <c r="I915" i="45"/>
  <c r="I946" i="45"/>
  <c r="I1109" i="45"/>
  <c r="I991" i="45"/>
  <c r="I913" i="45"/>
  <c r="I1256" i="45"/>
  <c r="I1323" i="45"/>
  <c r="I871" i="45"/>
  <c r="I971" i="45"/>
  <c r="I778" i="45"/>
  <c r="I773" i="45"/>
  <c r="I1184" i="45"/>
  <c r="I1043" i="45"/>
  <c r="I988" i="45"/>
  <c r="I996" i="45"/>
  <c r="I972" i="45"/>
  <c r="I1236" i="45"/>
  <c r="I1123" i="45"/>
  <c r="I745" i="45"/>
  <c r="I963" i="45"/>
  <c r="I1321" i="45"/>
  <c r="I728" i="45"/>
  <c r="I1019" i="45"/>
  <c r="I1002" i="45"/>
  <c r="I1248" i="45"/>
  <c r="I1093" i="45"/>
  <c r="I698" i="45"/>
  <c r="I1206" i="45"/>
  <c r="I1304" i="45"/>
  <c r="I1095" i="45"/>
  <c r="I1027" i="45"/>
  <c r="I1014" i="45"/>
  <c r="I1096" i="45"/>
  <c r="I1010" i="45"/>
  <c r="I951" i="45"/>
  <c r="I752" i="45"/>
  <c r="I1291" i="45"/>
  <c r="I916" i="45"/>
  <c r="I1185" i="45"/>
  <c r="I1007" i="45"/>
  <c r="I1067" i="45"/>
  <c r="I1316" i="45"/>
  <c r="I787" i="45"/>
  <c r="I1295" i="45"/>
  <c r="I1284" i="45"/>
  <c r="I686" i="45"/>
  <c r="I1035" i="45"/>
  <c r="I1190" i="45"/>
  <c r="I834" i="45"/>
  <c r="I1272" i="45"/>
  <c r="I816" i="45"/>
  <c r="I841" i="45"/>
  <c r="I694" i="45"/>
  <c r="I695" i="45"/>
  <c r="I1131" i="45"/>
  <c r="I1140" i="45"/>
  <c r="I1116" i="45"/>
  <c r="I850" i="45"/>
  <c r="I1172" i="45"/>
  <c r="I1163" i="45"/>
  <c r="I1298" i="45"/>
  <c r="I995" i="45"/>
  <c r="I1167" i="45"/>
  <c r="I1227" i="45"/>
  <c r="I1174" i="45"/>
  <c r="I1070" i="45"/>
  <c r="I804" i="45"/>
  <c r="I1249" i="45"/>
  <c r="I759" i="45"/>
  <c r="I1160" i="45"/>
  <c r="I1079" i="45"/>
  <c r="I1219" i="45"/>
  <c r="I741" i="45"/>
  <c r="I914" i="45"/>
  <c r="I770" i="45"/>
  <c r="I898" i="45"/>
  <c r="I779" i="45"/>
  <c r="I1157" i="45"/>
  <c r="I982" i="45"/>
  <c r="I1138" i="45"/>
  <c r="I1281" i="45"/>
  <c r="I1287" i="45"/>
  <c r="I683" i="45"/>
  <c r="I1329" i="45"/>
  <c r="I813" i="45"/>
  <c r="I1216" i="45"/>
  <c r="I1156" i="45"/>
  <c r="I921" i="45"/>
  <c r="I861" i="45"/>
  <c r="I908" i="45"/>
  <c r="I1303" i="45"/>
  <c r="I1204" i="45"/>
  <c r="I1240" i="45"/>
  <c r="I753" i="45"/>
  <c r="I754" i="45"/>
  <c r="I829" i="45"/>
  <c r="I929" i="45"/>
  <c r="I1288" i="45"/>
  <c r="I1132" i="45"/>
  <c r="I1187" i="45"/>
  <c r="I866" i="45"/>
  <c r="I794" i="45"/>
  <c r="I1055" i="45"/>
  <c r="I837" i="45"/>
  <c r="I1280" i="45"/>
  <c r="I1034" i="45"/>
  <c r="I761" i="45"/>
  <c r="I1143" i="45"/>
  <c r="I790" i="45"/>
  <c r="I999" i="45"/>
  <c r="I815" i="45"/>
  <c r="I1152" i="45"/>
  <c r="I818" i="45"/>
  <c r="I974" i="45"/>
  <c r="I708" i="45"/>
  <c r="I1314" i="45"/>
  <c r="I1106" i="45"/>
  <c r="I1102" i="45"/>
  <c r="I1251" i="45"/>
  <c r="I937" i="45"/>
  <c r="I847" i="45"/>
  <c r="I1054" i="45"/>
  <c r="I1133" i="45"/>
  <c r="I1120" i="45"/>
  <c r="I948" i="45"/>
  <c r="I1137" i="45"/>
  <c r="I876" i="45"/>
  <c r="I1224" i="45"/>
  <c r="I1074" i="45"/>
  <c r="I1003" i="45"/>
  <c r="I875" i="45"/>
  <c r="I881" i="45"/>
  <c r="I1306" i="45"/>
  <c r="I1089" i="45"/>
  <c r="I721" i="45"/>
  <c r="I1108" i="45"/>
  <c r="I1042" i="45"/>
  <c r="I1192" i="45"/>
  <c r="I736" i="45"/>
  <c r="I1110" i="45"/>
  <c r="I1094" i="45"/>
  <c r="I892" i="45"/>
  <c r="I743" i="45"/>
  <c r="I942" i="45"/>
  <c r="I1057" i="45"/>
  <c r="I835" i="45"/>
  <c r="I748" i="45"/>
  <c r="I1012" i="45"/>
  <c r="I1327" i="45"/>
  <c r="I1258" i="45"/>
  <c r="I823" i="45"/>
  <c r="I1146" i="45"/>
  <c r="I1025" i="45"/>
  <c r="I1217" i="45"/>
  <c r="I788" i="45"/>
  <c r="I712" i="45"/>
  <c r="I1044" i="45"/>
  <c r="I808" i="45"/>
  <c r="I961" i="45"/>
  <c r="I1076" i="45"/>
  <c r="I1153" i="45"/>
  <c r="I1148" i="45"/>
  <c r="I877" i="45"/>
  <c r="I801" i="45"/>
  <c r="I993" i="45"/>
  <c r="I1203" i="45"/>
  <c r="I1320" i="45"/>
  <c r="I528" i="45"/>
  <c r="I607" i="45"/>
  <c r="I437" i="45"/>
  <c r="I600" i="45"/>
  <c r="I201" i="45"/>
  <c r="I288" i="45"/>
  <c r="I264" i="45"/>
  <c r="I191" i="45"/>
  <c r="I534" i="45"/>
  <c r="I263" i="45"/>
  <c r="I503" i="45"/>
  <c r="I417" i="45"/>
  <c r="I200" i="45"/>
  <c r="I440" i="45"/>
  <c r="I360" i="45"/>
  <c r="I602" i="45"/>
  <c r="I363" i="45"/>
  <c r="I507" i="45"/>
  <c r="I368" i="45"/>
  <c r="I293" i="45"/>
  <c r="I297" i="45"/>
  <c r="I358" i="45"/>
  <c r="I435" i="45"/>
  <c r="I531" i="45"/>
  <c r="I286" i="45"/>
  <c r="I359" i="45"/>
  <c r="I296" i="45"/>
  <c r="I270" i="45"/>
  <c r="BQ137" i="20"/>
  <c r="I362" i="45"/>
  <c r="I604" i="45"/>
  <c r="I533" i="45"/>
  <c r="I432" i="45"/>
  <c r="I413" i="45"/>
  <c r="I505" i="45"/>
  <c r="I526" i="45"/>
  <c r="I365" i="45"/>
  <c r="I366" i="45"/>
  <c r="I290" i="45"/>
  <c r="I410" i="45"/>
  <c r="I408" i="45"/>
  <c r="I407" i="45"/>
  <c r="I195" i="45"/>
  <c r="I272" i="45"/>
  <c r="I506" i="45"/>
  <c r="I269" i="45"/>
  <c r="I511" i="45"/>
  <c r="I601" i="45"/>
  <c r="I434" i="45"/>
  <c r="I606" i="45"/>
  <c r="I262" i="45"/>
  <c r="I287" i="45"/>
  <c r="I197" i="45"/>
  <c r="I513" i="45"/>
  <c r="I441" i="45"/>
  <c r="I291" i="45"/>
  <c r="I542" i="45"/>
  <c r="I553" i="45"/>
  <c r="I547" i="45"/>
  <c r="I326" i="45"/>
  <c r="I321" i="45"/>
  <c r="I522" i="45"/>
  <c r="I630" i="45"/>
  <c r="I323" i="45"/>
  <c r="I299" i="45"/>
  <c r="I361" i="45"/>
  <c r="I214" i="45"/>
  <c r="I677" i="45"/>
  <c r="I266" i="45"/>
  <c r="I681" i="45"/>
  <c r="I524" i="45"/>
  <c r="I247" i="45"/>
  <c r="I349" i="45"/>
  <c r="I309" i="45"/>
  <c r="I438" i="45"/>
  <c r="I294" i="45"/>
  <c r="I625" i="45"/>
  <c r="I595" i="45"/>
  <c r="I641" i="45"/>
  <c r="I442" i="45"/>
  <c r="I462" i="45"/>
  <c r="I568" i="45"/>
  <c r="I589" i="45"/>
  <c r="I312" i="45"/>
  <c r="I226" i="45"/>
  <c r="I256" i="45"/>
  <c r="I549" i="45"/>
  <c r="I238" i="45"/>
  <c r="I446" i="45"/>
  <c r="I646" i="45"/>
  <c r="I221" i="45"/>
  <c r="I636" i="45"/>
  <c r="I548" i="45"/>
  <c r="I369" i="45"/>
  <c r="I207" i="45"/>
  <c r="I643" i="45"/>
  <c r="I477" i="45"/>
  <c r="I671" i="45"/>
  <c r="I634" i="45"/>
  <c r="I485" i="45"/>
  <c r="I243" i="45"/>
  <c r="I510" i="45"/>
  <c r="I481" i="45"/>
  <c r="I333" i="45"/>
  <c r="I614" i="45"/>
  <c r="I374" i="45"/>
  <c r="I666" i="45"/>
  <c r="I411" i="45"/>
  <c r="I364" i="45"/>
  <c r="I225" i="45"/>
  <c r="I592" i="45"/>
  <c r="I257" i="45"/>
  <c r="I277" i="45"/>
  <c r="I357" i="45"/>
  <c r="I220" i="45"/>
  <c r="I219" i="45"/>
  <c r="I218" i="45"/>
  <c r="I583" i="45"/>
  <c r="I519" i="45"/>
  <c r="AG137" i="20"/>
  <c r="BF137" i="20" s="1"/>
  <c r="I313" i="45"/>
  <c r="I338" i="45"/>
  <c r="I412" i="45"/>
  <c r="I455" i="45"/>
  <c r="I665" i="45"/>
  <c r="I202" i="45"/>
  <c r="I546" i="45"/>
  <c r="I493" i="45"/>
  <c r="I617" i="45"/>
  <c r="I275" i="45"/>
  <c r="I610" i="45"/>
  <c r="I622" i="45"/>
  <c r="I418" i="45"/>
  <c r="I232" i="45"/>
  <c r="I535" i="45"/>
  <c r="I376" i="45"/>
  <c r="I463" i="45"/>
  <c r="I570" i="45"/>
  <c r="I198" i="45"/>
  <c r="I593" i="45"/>
  <c r="I239" i="45"/>
  <c r="I598" i="45"/>
  <c r="I228" i="45"/>
  <c r="I350" i="45"/>
  <c r="I675" i="45"/>
  <c r="I246" i="45"/>
  <c r="I647" i="45"/>
  <c r="I459" i="45"/>
  <c r="I304" i="45"/>
  <c r="I190" i="45"/>
  <c r="I491" i="45"/>
  <c r="I563" i="45"/>
  <c r="I469" i="45"/>
  <c r="I578" i="45"/>
  <c r="I337" i="45"/>
  <c r="I216" i="45"/>
  <c r="I628" i="45"/>
  <c r="I447" i="45"/>
  <c r="I559" i="45"/>
  <c r="I194" i="45"/>
  <c r="I392" i="45"/>
  <c r="I457" i="45"/>
  <c r="I234" i="45"/>
  <c r="I284" i="45"/>
  <c r="I557" i="45"/>
  <c r="I576" i="45"/>
  <c r="I525" i="45"/>
  <c r="I425" i="45"/>
  <c r="I504" i="45"/>
  <c r="I317" i="45"/>
  <c r="I386" i="45"/>
  <c r="I573" i="45"/>
  <c r="I259" i="45"/>
  <c r="I229" i="45"/>
  <c r="I204" i="45"/>
  <c r="I480" i="45"/>
  <c r="I382" i="45"/>
  <c r="I587" i="45"/>
  <c r="I203" i="45"/>
  <c r="I645" i="45"/>
  <c r="I237" i="45"/>
  <c r="I253" i="45"/>
  <c r="I375" i="45"/>
  <c r="I319" i="45"/>
  <c r="I554" i="45"/>
  <c r="I377" i="45"/>
  <c r="I585" i="45"/>
  <c r="I468" i="45"/>
  <c r="I222" i="45"/>
  <c r="I303" i="45"/>
  <c r="I541" i="45"/>
  <c r="I516" i="45"/>
  <c r="I532" i="45"/>
  <c r="I659" i="45"/>
  <c r="I655" i="45"/>
  <c r="I283" i="45"/>
  <c r="I653" i="45"/>
  <c r="I461" i="45"/>
  <c r="I331" i="45"/>
  <c r="I426" i="45"/>
  <c r="I355" i="45"/>
  <c r="I430" i="45"/>
  <c r="I605" i="45"/>
  <c r="I608" i="45"/>
  <c r="I230" i="45"/>
  <c r="I305" i="45"/>
  <c r="I393" i="45"/>
  <c r="I206" i="45"/>
  <c r="I496" i="45"/>
  <c r="I199" i="45"/>
  <c r="I385" i="45"/>
  <c r="I581" i="45"/>
  <c r="I415" i="45"/>
  <c r="I268" i="45"/>
  <c r="I514" i="45"/>
  <c r="I335" i="45"/>
  <c r="I282" i="45"/>
  <c r="I387" i="45"/>
  <c r="I399" i="45"/>
  <c r="I482" i="45"/>
  <c r="I599" i="45"/>
  <c r="I612" i="45"/>
  <c r="I538" i="45"/>
  <c r="I508" i="45"/>
  <c r="I654" i="45"/>
  <c r="I498" i="45"/>
  <c r="I302" i="45"/>
  <c r="I451" i="45"/>
  <c r="I644" i="45"/>
  <c r="I661" i="45"/>
  <c r="I439" i="45"/>
  <c r="I223" i="45"/>
  <c r="I379" i="45"/>
  <c r="I208" i="45"/>
  <c r="I624" i="45"/>
  <c r="I472" i="45"/>
  <c r="I227" i="45"/>
  <c r="I484" i="45"/>
  <c r="I569" i="45"/>
  <c r="I471" i="45"/>
  <c r="I566" i="45"/>
  <c r="I640" i="45"/>
  <c r="I540" i="45"/>
  <c r="I422" i="45"/>
  <c r="I449" i="45"/>
  <c r="I279" i="45"/>
  <c r="I486" i="45"/>
  <c r="I324" i="45"/>
  <c r="I545" i="45"/>
  <c r="I529" i="45"/>
  <c r="I431" i="45"/>
  <c r="I401" i="45"/>
  <c r="I679" i="45"/>
  <c r="I616" i="45"/>
  <c r="I351" i="45"/>
  <c r="I332" i="45"/>
  <c r="I565" i="45"/>
  <c r="I254" i="45"/>
  <c r="I512" i="45"/>
  <c r="I409" i="45"/>
  <c r="I623" i="45"/>
  <c r="I499" i="45"/>
  <c r="I212" i="45"/>
  <c r="I265" i="45"/>
  <c r="I406" i="45"/>
  <c r="I267" i="45"/>
  <c r="I380" i="45"/>
  <c r="I555" i="45"/>
  <c r="I556" i="45"/>
  <c r="I416" i="45"/>
  <c r="I560" i="45"/>
  <c r="I301" i="45"/>
  <c r="I673" i="45"/>
  <c r="I231" i="45"/>
  <c r="I674" i="45"/>
  <c r="I543" i="45"/>
  <c r="I527" i="45"/>
  <c r="I353" i="45"/>
  <c r="I536" i="45"/>
  <c r="I248" i="45"/>
  <c r="I456" i="45"/>
  <c r="I509" i="45"/>
  <c r="I236" i="45"/>
  <c r="I276" i="45"/>
  <c r="I316" i="45"/>
  <c r="I373" i="45"/>
  <c r="I642" i="45"/>
  <c r="I339" i="45"/>
  <c r="I394" i="45"/>
  <c r="I515" i="45"/>
  <c r="I633" i="45"/>
  <c r="I278" i="45"/>
  <c r="I336" i="45"/>
  <c r="I371" i="45"/>
  <c r="I460" i="45"/>
  <c r="I354" i="45"/>
  <c r="I537" i="45"/>
  <c r="I609" i="45"/>
  <c r="I258" i="45"/>
  <c r="I530" i="45"/>
  <c r="I497" i="45"/>
  <c r="I575" i="45"/>
  <c r="I668" i="45"/>
  <c r="I322" i="45"/>
  <c r="I521" i="45"/>
  <c r="I490" i="45"/>
  <c r="I384" i="45"/>
  <c r="I388" i="45"/>
  <c r="I347" i="45"/>
  <c r="I574" i="45"/>
  <c r="I561" i="45"/>
  <c r="I579" i="45"/>
  <c r="I492" i="45"/>
  <c r="I627" i="45"/>
  <c r="I429" i="45"/>
  <c r="I445" i="45"/>
  <c r="I414" i="45"/>
  <c r="I596" i="45"/>
  <c r="I652" i="45"/>
  <c r="I619" i="45"/>
  <c r="I453" i="45"/>
  <c r="I378" i="45"/>
  <c r="I251" i="45"/>
  <c r="I488" i="45"/>
  <c r="I395" i="45"/>
  <c r="I260" i="45"/>
  <c r="I572" i="45"/>
  <c r="I345" i="45"/>
  <c r="I342" i="45"/>
  <c r="I250" i="45"/>
  <c r="I475" i="45"/>
  <c r="I495" i="45"/>
  <c r="I381" i="45"/>
  <c r="I479" i="45"/>
  <c r="I603" i="45"/>
  <c r="I224" i="45"/>
  <c r="I615" i="45"/>
  <c r="I330" i="45"/>
  <c r="I252" i="45"/>
  <c r="I273" i="45"/>
  <c r="I193" i="45"/>
  <c r="I192" i="45"/>
  <c r="I476" i="45"/>
  <c r="I367" i="45"/>
  <c r="I311" i="45"/>
  <c r="I396" i="45"/>
  <c r="I467" i="45"/>
  <c r="I209" i="45"/>
  <c r="I518" i="45"/>
  <c r="I310" i="45"/>
  <c r="I632" i="45"/>
  <c r="I245" i="45"/>
  <c r="I470" i="45"/>
  <c r="I325" i="45"/>
  <c r="I391" i="45"/>
  <c r="I328" i="45"/>
  <c r="I670" i="45"/>
  <c r="I404" i="45"/>
  <c r="I552" i="45"/>
  <c r="I280" i="45"/>
  <c r="I289" i="45"/>
  <c r="I405" i="45"/>
  <c r="I500" i="45"/>
  <c r="I474" i="45"/>
  <c r="I356" i="45"/>
  <c r="I664" i="45"/>
  <c r="I487" i="45"/>
  <c r="I648" i="45"/>
  <c r="I249" i="45"/>
  <c r="I292" i="45"/>
  <c r="I676" i="45"/>
  <c r="I613" i="45"/>
  <c r="I344" i="45"/>
  <c r="I213" i="45"/>
  <c r="I667" i="45"/>
  <c r="I423" i="45"/>
  <c r="I306" i="45"/>
  <c r="I544" i="45"/>
  <c r="I466" i="45"/>
  <c r="I298" i="45"/>
  <c r="I318" i="45"/>
  <c r="I539" i="45"/>
  <c r="I295" i="45"/>
  <c r="I334" i="45"/>
  <c r="I637" i="45"/>
  <c r="I419" i="45"/>
  <c r="I436" i="45"/>
  <c r="I663" i="45"/>
  <c r="I240" i="45"/>
  <c r="I483" i="45"/>
  <c r="I402" i="45"/>
  <c r="I649" i="45"/>
  <c r="I631" i="45"/>
  <c r="I370" i="45"/>
  <c r="I261" i="45"/>
  <c r="I308" i="45"/>
  <c r="I662" i="45"/>
  <c r="I473" i="45"/>
  <c r="I433" i="45"/>
  <c r="I352" i="45"/>
  <c r="I618" i="45"/>
  <c r="I389" i="45"/>
  <c r="I520" i="45"/>
  <c r="I210" i="45"/>
  <c r="I196" i="45"/>
  <c r="I241" i="45"/>
  <c r="I320" i="45"/>
  <c r="I452" i="45"/>
  <c r="I215" i="45"/>
  <c r="I577" i="45"/>
  <c r="I454" i="45"/>
  <c r="I465" i="45"/>
  <c r="I205" i="45"/>
  <c r="I443" i="45"/>
  <c r="I300" i="45"/>
  <c r="I672" i="45"/>
  <c r="I397" i="45"/>
  <c r="I398" i="45"/>
  <c r="I329" i="45"/>
  <c r="I271" i="45"/>
  <c r="I478" i="45"/>
  <c r="I620" i="45"/>
  <c r="I448" i="45"/>
  <c r="I558" i="45"/>
  <c r="I651" i="45"/>
  <c r="I281" i="45"/>
  <c r="I348" i="45"/>
  <c r="I621" i="45"/>
  <c r="I678" i="45"/>
  <c r="I656" i="45"/>
  <c r="I562" i="45"/>
  <c r="I584" i="45"/>
  <c r="I444" i="45"/>
  <c r="I517" i="45"/>
  <c r="I567" i="45"/>
  <c r="I580" i="45"/>
  <c r="I274" i="45"/>
  <c r="I372" i="45"/>
  <c r="I639" i="45"/>
  <c r="I594" i="45"/>
  <c r="I315" i="45"/>
  <c r="I255" i="45"/>
  <c r="I669" i="45"/>
  <c r="I346" i="45"/>
  <c r="I314" i="45"/>
  <c r="I591" i="45"/>
  <c r="I489" i="45"/>
  <c r="I235" i="45"/>
  <c r="I400" i="45"/>
  <c r="I551" i="45"/>
  <c r="I428" i="45"/>
  <c r="I343" i="45"/>
  <c r="I657" i="45"/>
  <c r="I660" i="45"/>
  <c r="I390" i="45"/>
  <c r="I658" i="45"/>
  <c r="I421" i="45"/>
  <c r="I626" i="45"/>
  <c r="I424" i="45"/>
  <c r="I307" i="45"/>
  <c r="I340" i="45"/>
  <c r="I502" i="45"/>
  <c r="I629" i="45"/>
  <c r="I650" i="45"/>
  <c r="I450" i="45"/>
  <c r="I285" i="45"/>
  <c r="I597" i="45"/>
  <c r="I550" i="45"/>
  <c r="I586" i="45"/>
  <c r="I501" i="45"/>
  <c r="I427" i="45"/>
  <c r="I611" i="45"/>
  <c r="I638" i="45"/>
  <c r="I242" i="45"/>
  <c r="I494" i="45"/>
  <c r="I571" i="45"/>
  <c r="I590" i="45"/>
  <c r="I464" i="45"/>
  <c r="I588" i="45"/>
  <c r="I635" i="45"/>
  <c r="I458" i="45"/>
  <c r="I211" i="45"/>
  <c r="I233" i="45"/>
  <c r="I523" i="45"/>
  <c r="I420" i="45"/>
  <c r="I680" i="45"/>
  <c r="I327" i="45"/>
  <c r="I217" i="45"/>
  <c r="I244" i="45"/>
  <c r="I383" i="45"/>
  <c r="I403" i="45"/>
  <c r="I564" i="45"/>
  <c r="I582" i="45"/>
  <c r="I341" i="45"/>
  <c r="G698" i="45"/>
  <c r="Y698" i="45" s="1"/>
  <c r="G1047" i="45"/>
  <c r="Y1047" i="45" s="1"/>
  <c r="G972" i="45"/>
  <c r="Y972" i="45" s="1"/>
  <c r="G958" i="45"/>
  <c r="Y958" i="45" s="1"/>
  <c r="G1115" i="45"/>
  <c r="Y1115" i="45" s="1"/>
  <c r="G1009" i="45"/>
  <c r="Y1009" i="45" s="1"/>
  <c r="G1184" i="45"/>
  <c r="Y1184" i="45" s="1"/>
  <c r="G916" i="45"/>
  <c r="Y916" i="45" s="1"/>
  <c r="G849" i="45"/>
  <c r="Y849" i="45" s="1"/>
  <c r="G904" i="45"/>
  <c r="Y904" i="45" s="1"/>
  <c r="G1319" i="45"/>
  <c r="Y1319" i="45" s="1"/>
  <c r="G926" i="45"/>
  <c r="Y926" i="45" s="1"/>
  <c r="G1071" i="45"/>
  <c r="Y1071" i="45" s="1"/>
  <c r="G913" i="45"/>
  <c r="Y913" i="45" s="1"/>
  <c r="G1152" i="45"/>
  <c r="Y1152" i="45" s="1"/>
  <c r="G1109" i="45"/>
  <c r="Y1109" i="45" s="1"/>
  <c r="G1267" i="45"/>
  <c r="Y1267" i="45" s="1"/>
  <c r="G1209" i="45"/>
  <c r="Y1209" i="45" s="1"/>
  <c r="G1042" i="45"/>
  <c r="Y1042" i="45" s="1"/>
  <c r="G1258" i="45"/>
  <c r="Y1258" i="45" s="1"/>
  <c r="G1127" i="45"/>
  <c r="Y1127" i="45" s="1"/>
  <c r="G1147" i="45"/>
  <c r="Y1147" i="45" s="1"/>
  <c r="G756" i="45"/>
  <c r="Y756" i="45" s="1"/>
  <c r="G1239" i="45"/>
  <c r="Y1239" i="45" s="1"/>
  <c r="G1030" i="45"/>
  <c r="Y1030" i="45" s="1"/>
  <c r="G1265" i="45"/>
  <c r="Y1265" i="45" s="1"/>
  <c r="G1228" i="45"/>
  <c r="Y1228" i="45" s="1"/>
  <c r="G820" i="45"/>
  <c r="Y820" i="45" s="1"/>
  <c r="G738" i="45"/>
  <c r="Y738" i="45" s="1"/>
  <c r="G1168" i="45"/>
  <c r="Y1168" i="45" s="1"/>
  <c r="G731" i="45"/>
  <c r="Y731" i="45" s="1"/>
  <c r="G884" i="45"/>
  <c r="Y884" i="45" s="1"/>
  <c r="G1230" i="45"/>
  <c r="Y1230" i="45" s="1"/>
  <c r="G1251" i="45"/>
  <c r="Y1251" i="45" s="1"/>
  <c r="G1060" i="45"/>
  <c r="Y1060" i="45" s="1"/>
  <c r="G1299" i="45"/>
  <c r="Y1299" i="45" s="1"/>
  <c r="G1151" i="45"/>
  <c r="Y1151" i="45" s="1"/>
  <c r="G1257" i="45"/>
  <c r="Y1257" i="45" s="1"/>
  <c r="G1090" i="45"/>
  <c r="Y1090" i="45" s="1"/>
  <c r="G955" i="45"/>
  <c r="Y955" i="45" s="1"/>
  <c r="G969" i="45"/>
  <c r="Y969" i="45" s="1"/>
  <c r="G753" i="45"/>
  <c r="Y753" i="45" s="1"/>
  <c r="G1268" i="45"/>
  <c r="Y1268" i="45" s="1"/>
  <c r="G1084" i="45"/>
  <c r="Y1084" i="45" s="1"/>
  <c r="G850" i="45"/>
  <c r="Y850" i="45" s="1"/>
  <c r="G1337" i="45"/>
  <c r="Y1337" i="45" s="1"/>
  <c r="G1307" i="45"/>
  <c r="Y1307" i="45" s="1"/>
  <c r="G1159" i="45"/>
  <c r="Y1159" i="45" s="1"/>
  <c r="G1308" i="45"/>
  <c r="Y1308" i="45" s="1"/>
  <c r="G762" i="45"/>
  <c r="Y762" i="45" s="1"/>
  <c r="G1313" i="45"/>
  <c r="Y1313" i="45" s="1"/>
  <c r="G736" i="45"/>
  <c r="Y736" i="45" s="1"/>
  <c r="G1155" i="45"/>
  <c r="Y1155" i="45" s="1"/>
  <c r="G827" i="45"/>
  <c r="Y827" i="45" s="1"/>
  <c r="G1172" i="45"/>
  <c r="Y1172" i="45" s="1"/>
  <c r="G929" i="45"/>
  <c r="Y929" i="45" s="1"/>
  <c r="G1203" i="45"/>
  <c r="Y1203" i="45" s="1"/>
  <c r="G1222" i="45"/>
  <c r="Y1222" i="45" s="1"/>
  <c r="G1110" i="45"/>
  <c r="Y1110" i="45" s="1"/>
  <c r="G888" i="45"/>
  <c r="Y888" i="45" s="1"/>
  <c r="G1183" i="45"/>
  <c r="Y1183" i="45" s="1"/>
  <c r="G1260" i="45"/>
  <c r="Y1260" i="45" s="1"/>
  <c r="G784" i="45"/>
  <c r="Y784" i="45" s="1"/>
  <c r="G740" i="45"/>
  <c r="Y740" i="45" s="1"/>
  <c r="G1191" i="45"/>
  <c r="Y1191" i="45" s="1"/>
  <c r="G1087" i="45"/>
  <c r="Y1087" i="45" s="1"/>
  <c r="G708" i="45"/>
  <c r="Y708" i="45" s="1"/>
  <c r="G864" i="45"/>
  <c r="Y864" i="45" s="1"/>
  <c r="G845" i="45"/>
  <c r="Y845" i="45" s="1"/>
  <c r="G1031" i="45"/>
  <c r="Y1031" i="45" s="1"/>
  <c r="G886" i="45"/>
  <c r="Y886" i="45" s="1"/>
  <c r="G1038" i="45"/>
  <c r="Y1038" i="45" s="1"/>
  <c r="G1075" i="45"/>
  <c r="Y1075" i="45" s="1"/>
  <c r="G719" i="45"/>
  <c r="Y719" i="45" s="1"/>
  <c r="G1163" i="45"/>
  <c r="Y1163" i="45" s="1"/>
  <c r="G1256" i="45"/>
  <c r="Y1256" i="45" s="1"/>
  <c r="G956" i="45"/>
  <c r="Y956" i="45" s="1"/>
  <c r="G867" i="45"/>
  <c r="Y867" i="45" s="1"/>
  <c r="G1291" i="45"/>
  <c r="Y1291" i="45" s="1"/>
  <c r="G722" i="45"/>
  <c r="Y722" i="45" s="1"/>
  <c r="G959" i="45"/>
  <c r="Y959" i="45" s="1"/>
  <c r="G804" i="45"/>
  <c r="Y804" i="45" s="1"/>
  <c r="G1255" i="45"/>
  <c r="Y1255" i="45" s="1"/>
  <c r="G1198" i="45"/>
  <c r="Y1198" i="45" s="1"/>
  <c r="G860" i="45"/>
  <c r="Y860" i="45" s="1"/>
  <c r="G1303" i="45"/>
  <c r="Y1303" i="45" s="1"/>
  <c r="G974" i="45"/>
  <c r="Y974" i="45" s="1"/>
  <c r="G1332" i="45"/>
  <c r="Y1332" i="45" s="1"/>
  <c r="G818" i="45"/>
  <c r="Y818" i="45" s="1"/>
  <c r="G861" i="45"/>
  <c r="Y861" i="45" s="1"/>
  <c r="G1116" i="45"/>
  <c r="Y1116" i="45" s="1"/>
  <c r="G837" i="45"/>
  <c r="Y837" i="45" s="1"/>
  <c r="G1217" i="45"/>
  <c r="Y1217" i="45" s="1"/>
  <c r="G811" i="45"/>
  <c r="Y811" i="45" s="1"/>
  <c r="G859" i="45"/>
  <c r="Y859" i="45" s="1"/>
  <c r="G739" i="45"/>
  <c r="Y739" i="45" s="1"/>
  <c r="G1284" i="45"/>
  <c r="Y1284" i="45" s="1"/>
  <c r="G1012" i="45"/>
  <c r="Y1012" i="45" s="1"/>
  <c r="G922" i="45"/>
  <c r="Y922" i="45" s="1"/>
  <c r="G1328" i="45"/>
  <c r="Y1328" i="45" s="1"/>
  <c r="G777" i="45"/>
  <c r="Y777" i="45" s="1"/>
  <c r="G836" i="45"/>
  <c r="Y836" i="45" s="1"/>
  <c r="G1138" i="45"/>
  <c r="Y1138" i="45" s="1"/>
  <c r="G907" i="45"/>
  <c r="Y907" i="45" s="1"/>
  <c r="G841" i="45"/>
  <c r="Y841" i="45" s="1"/>
  <c r="G751" i="45"/>
  <c r="Y751" i="45" s="1"/>
  <c r="G1164" i="45"/>
  <c r="Y1164" i="45" s="1"/>
  <c r="G1248" i="45"/>
  <c r="Y1248" i="45" s="1"/>
  <c r="G1341" i="45"/>
  <c r="G1321" i="45"/>
  <c r="Y1321" i="45" s="1"/>
  <c r="G901" i="45"/>
  <c r="Y901" i="45" s="1"/>
  <c r="G1117" i="45"/>
  <c r="Y1117" i="45" s="1"/>
  <c r="G752" i="45"/>
  <c r="Y752" i="45" s="1"/>
  <c r="G1315" i="45"/>
  <c r="Y1315" i="45" s="1"/>
  <c r="G1105" i="45"/>
  <c r="Y1105" i="45" s="1"/>
  <c r="G1156" i="45"/>
  <c r="Y1156" i="45" s="1"/>
  <c r="G1275" i="45"/>
  <c r="Y1275" i="45" s="1"/>
  <c r="G686" i="45"/>
  <c r="Y686" i="45" s="1"/>
  <c r="G1058" i="45"/>
  <c r="Y1058" i="45" s="1"/>
  <c r="G1190" i="45"/>
  <c r="Y1190" i="45" s="1"/>
  <c r="G1220" i="45"/>
  <c r="Y1220" i="45" s="1"/>
  <c r="G908" i="45"/>
  <c r="Y908" i="45" s="1"/>
  <c r="G1254" i="45"/>
  <c r="Y1254" i="45" s="1"/>
  <c r="G978" i="45"/>
  <c r="Y978" i="45" s="1"/>
  <c r="G769" i="45"/>
  <c r="Y769" i="45" s="1"/>
  <c r="G1201" i="45"/>
  <c r="Y1201" i="45" s="1"/>
  <c r="G1034" i="45"/>
  <c r="Y1034" i="45" s="1"/>
  <c r="G927" i="45"/>
  <c r="Y927" i="45" s="1"/>
  <c r="G1132" i="45"/>
  <c r="Y1132" i="45" s="1"/>
  <c r="G1175" i="45"/>
  <c r="Y1175" i="45" s="1"/>
  <c r="G1227" i="45"/>
  <c r="Y1227" i="45" s="1"/>
  <c r="G1111" i="45"/>
  <c r="Y1111" i="45" s="1"/>
  <c r="G1104" i="45"/>
  <c r="Y1104" i="45" s="1"/>
  <c r="G903" i="45"/>
  <c r="Y903" i="45" s="1"/>
  <c r="G1169" i="45"/>
  <c r="Y1169" i="45" s="1"/>
  <c r="G1002" i="45"/>
  <c r="Y1002" i="45" s="1"/>
  <c r="G848" i="45"/>
  <c r="Y848" i="45" s="1"/>
  <c r="G1078" i="45"/>
  <c r="Y1078" i="45" s="1"/>
  <c r="G1252" i="45"/>
  <c r="Y1252" i="45" s="1"/>
  <c r="G834" i="45"/>
  <c r="Y834" i="45" s="1"/>
  <c r="G699" i="45"/>
  <c r="Y699" i="45" s="1"/>
  <c r="G856" i="45"/>
  <c r="Y856" i="45" s="1"/>
  <c r="G945" i="45"/>
  <c r="Y945" i="45" s="1"/>
  <c r="G1136" i="45"/>
  <c r="Y1136" i="45" s="1"/>
  <c r="G946" i="45"/>
  <c r="Y946" i="45" s="1"/>
  <c r="G1289" i="45"/>
  <c r="Y1289" i="45" s="1"/>
  <c r="G1329" i="45"/>
  <c r="Y1329" i="45" s="1"/>
  <c r="G778" i="45"/>
  <c r="Y778" i="45" s="1"/>
  <c r="G1174" i="45"/>
  <c r="Y1174" i="45" s="1"/>
  <c r="G1150" i="45"/>
  <c r="Y1150" i="45" s="1"/>
  <c r="G868" i="45"/>
  <c r="Y868" i="45" s="1"/>
  <c r="G1311" i="45"/>
  <c r="Y1311" i="45" s="1"/>
  <c r="G1006" i="45"/>
  <c r="Y1006" i="45" s="1"/>
  <c r="G1146" i="45"/>
  <c r="Y1146" i="45" s="1"/>
  <c r="G1312" i="45"/>
  <c r="Y1312" i="45" s="1"/>
  <c r="G748" i="45"/>
  <c r="Y748" i="45" s="1"/>
  <c r="G882" i="45"/>
  <c r="Y882" i="45" s="1"/>
  <c r="G810" i="45"/>
  <c r="Y810" i="45" s="1"/>
  <c r="G1200" i="45"/>
  <c r="Y1200" i="45" s="1"/>
  <c r="G696" i="45"/>
  <c r="Y696" i="45" s="1"/>
  <c r="G1185" i="45"/>
  <c r="Y1185" i="45" s="1"/>
  <c r="G892" i="45"/>
  <c r="Y892" i="45" s="1"/>
  <c r="G1335" i="45"/>
  <c r="Y1335" i="45" s="1"/>
  <c r="G1096" i="45"/>
  <c r="Y1096" i="45" s="1"/>
  <c r="G1070" i="45"/>
  <c r="Y1070" i="45" s="1"/>
  <c r="G1027" i="45"/>
  <c r="Y1027" i="45" s="1"/>
  <c r="G873" i="45"/>
  <c r="Y873" i="45" s="1"/>
  <c r="G1231" i="45"/>
  <c r="Y1231" i="45" s="1"/>
  <c r="G915" i="45"/>
  <c r="Y915" i="45" s="1"/>
  <c r="G1320" i="45"/>
  <c r="Y1320" i="45" s="1"/>
  <c r="G881" i="45"/>
  <c r="Y881" i="45" s="1"/>
  <c r="G971" i="45"/>
  <c r="Y971" i="45" s="1"/>
  <c r="G755" i="45"/>
  <c r="Y755" i="45" s="1"/>
  <c r="G923" i="45"/>
  <c r="Y923" i="45" s="1"/>
  <c r="G921" i="45"/>
  <c r="Y921" i="45" s="1"/>
  <c r="G735" i="45"/>
  <c r="Y735" i="45" s="1"/>
  <c r="G785" i="45"/>
  <c r="Y785" i="45" s="1"/>
  <c r="G1015" i="45"/>
  <c r="Y1015" i="45" s="1"/>
  <c r="G1101" i="45"/>
  <c r="Y1101" i="45" s="1"/>
  <c r="G1269" i="45"/>
  <c r="Y1269" i="45" s="1"/>
  <c r="G1095" i="45"/>
  <c r="Y1095" i="45" s="1"/>
  <c r="G1176" i="45"/>
  <c r="Y1176" i="45" s="1"/>
  <c r="G823" i="45"/>
  <c r="Y823" i="45" s="1"/>
  <c r="G1338" i="45"/>
  <c r="Y1338" i="45" s="1"/>
  <c r="G808" i="45"/>
  <c r="Y808" i="45" s="1"/>
  <c r="G1057" i="45"/>
  <c r="Y1057" i="45" s="1"/>
  <c r="G743" i="45"/>
  <c r="Y743" i="45" s="1"/>
  <c r="G1238" i="45"/>
  <c r="Y1238" i="45" s="1"/>
  <c r="G962" i="45"/>
  <c r="Y962" i="45" s="1"/>
  <c r="G773" i="45"/>
  <c r="Y773" i="45" s="1"/>
  <c r="G998" i="45"/>
  <c r="Y998" i="45" s="1"/>
  <c r="G1134" i="45"/>
  <c r="Y1134" i="45" s="1"/>
  <c r="G874" i="45"/>
  <c r="Y874" i="45" s="1"/>
  <c r="G764" i="45"/>
  <c r="Y764" i="45" s="1"/>
  <c r="G1215" i="45"/>
  <c r="Y1215" i="45" s="1"/>
  <c r="G795" i="45"/>
  <c r="Y795" i="45" s="1"/>
  <c r="G1114" i="45"/>
  <c r="Y1114" i="45" s="1"/>
  <c r="G1336" i="45"/>
  <c r="Y1336" i="45" s="1"/>
  <c r="G763" i="45"/>
  <c r="Y763" i="45" s="1"/>
  <c r="G872" i="45"/>
  <c r="Y872" i="45" s="1"/>
  <c r="G1098" i="45"/>
  <c r="Y1098" i="45" s="1"/>
  <c r="G727" i="45"/>
  <c r="Y727" i="45" s="1"/>
  <c r="G911" i="45"/>
  <c r="Y911" i="45" s="1"/>
  <c r="G704" i="45"/>
  <c r="Y704" i="45" s="1"/>
  <c r="G995" i="45"/>
  <c r="Y995" i="45" s="1"/>
  <c r="G835" i="45"/>
  <c r="Y835" i="45" s="1"/>
  <c r="G1123" i="45"/>
  <c r="Y1123" i="45" s="1"/>
  <c r="G744" i="45"/>
  <c r="Y744" i="45" s="1"/>
  <c r="G1287" i="45"/>
  <c r="Y1287" i="45" s="1"/>
  <c r="G1054" i="45"/>
  <c r="Y1054" i="45" s="1"/>
  <c r="G1180" i="45"/>
  <c r="Y1180" i="45" s="1"/>
  <c r="G839" i="45"/>
  <c r="Y839" i="45" s="1"/>
  <c r="G937" i="45"/>
  <c r="Y937" i="45" s="1"/>
  <c r="G1224" i="45"/>
  <c r="Y1224" i="45" s="1"/>
  <c r="G897" i="45"/>
  <c r="Y897" i="45" s="1"/>
  <c r="G1241" i="45"/>
  <c r="Y1241" i="45" s="1"/>
  <c r="G1074" i="45"/>
  <c r="Y1074" i="45" s="1"/>
  <c r="G1050" i="45"/>
  <c r="Y1050" i="45" s="1"/>
  <c r="G787" i="45"/>
  <c r="Y787" i="45" s="1"/>
  <c r="G832" i="45"/>
  <c r="Y832" i="45" s="1"/>
  <c r="G717" i="45"/>
  <c r="Y717" i="45" s="1"/>
  <c r="G999" i="45"/>
  <c r="Y999" i="45" s="1"/>
  <c r="G1240" i="45"/>
  <c r="Y1240" i="45" s="1"/>
  <c r="G1065" i="45"/>
  <c r="Y1065" i="45" s="1"/>
  <c r="G775" i="45"/>
  <c r="Y775" i="45" s="1"/>
  <c r="G1261" i="45"/>
  <c r="Y1261" i="45" s="1"/>
  <c r="G918" i="45"/>
  <c r="Y918" i="45" s="1"/>
  <c r="G728" i="45"/>
  <c r="Y728" i="45" s="1"/>
  <c r="G1339" i="45"/>
  <c r="Y1339" i="45" s="1"/>
  <c r="G1196" i="45"/>
  <c r="Y1196" i="45" s="1"/>
  <c r="G714" i="45"/>
  <c r="Y714" i="45" s="1"/>
  <c r="G993" i="45"/>
  <c r="Y993" i="45" s="1"/>
  <c r="G979" i="45"/>
  <c r="Y979" i="45" s="1"/>
  <c r="G987" i="45"/>
  <c r="Y987" i="45" s="1"/>
  <c r="G1139" i="45"/>
  <c r="Y1139" i="45" s="1"/>
  <c r="G985" i="45"/>
  <c r="Y985" i="45" s="1"/>
  <c r="G1019" i="45"/>
  <c r="Y1019" i="45" s="1"/>
  <c r="G953" i="45"/>
  <c r="Y953" i="45" s="1"/>
  <c r="G1131" i="45"/>
  <c r="Y1131" i="45" s="1"/>
  <c r="G1022" i="45"/>
  <c r="Y1022" i="45" s="1"/>
  <c r="G1166" i="45"/>
  <c r="Y1166" i="45" s="1"/>
  <c r="G924" i="45"/>
  <c r="Y924" i="45" s="1"/>
  <c r="G829" i="45"/>
  <c r="Y829" i="45" s="1"/>
  <c r="G702" i="45"/>
  <c r="Y702" i="45" s="1"/>
  <c r="G982" i="45"/>
  <c r="Y982" i="45" s="1"/>
  <c r="G1306" i="45"/>
  <c r="Y1306" i="45" s="1"/>
  <c r="G1143" i="45"/>
  <c r="Y1143" i="45" s="1"/>
  <c r="G1225" i="45"/>
  <c r="Y1225" i="45" s="1"/>
  <c r="G914" i="45"/>
  <c r="Y914" i="45" s="1"/>
  <c r="G1246" i="45"/>
  <c r="Y1246" i="45" s="1"/>
  <c r="G1167" i="45"/>
  <c r="Y1167" i="45" s="1"/>
  <c r="G947" i="45"/>
  <c r="Y947" i="45" s="1"/>
  <c r="G1296" i="45"/>
  <c r="Y1296" i="45" s="1"/>
  <c r="G898" i="45"/>
  <c r="Y898" i="45" s="1"/>
  <c r="G1232" i="45"/>
  <c r="Y1232" i="45" s="1"/>
  <c r="G796" i="45"/>
  <c r="Y796" i="45" s="1"/>
  <c r="G691" i="45"/>
  <c r="Y691" i="45" s="1"/>
  <c r="G866" i="45"/>
  <c r="Y866" i="45" s="1"/>
  <c r="G706" i="45"/>
  <c r="Y706" i="45" s="1"/>
  <c r="G1025" i="45"/>
  <c r="Y1025" i="45" s="1"/>
  <c r="G833" i="45"/>
  <c r="Y833" i="45" s="1"/>
  <c r="G930" i="45"/>
  <c r="Y930" i="45" s="1"/>
  <c r="G1187" i="45"/>
  <c r="Y1187" i="45" s="1"/>
  <c r="G1052" i="45"/>
  <c r="Y1052" i="45" s="1"/>
  <c r="G1026" i="45"/>
  <c r="Y1026" i="45" s="1"/>
  <c r="G716" i="45"/>
  <c r="Y716" i="45" s="1"/>
  <c r="G1086" i="45"/>
  <c r="Y1086" i="45" s="1"/>
  <c r="G765" i="45"/>
  <c r="Y765" i="45" s="1"/>
  <c r="G909" i="45"/>
  <c r="Y909" i="45" s="1"/>
  <c r="G788" i="45"/>
  <c r="Y788" i="45" s="1"/>
  <c r="G895" i="45"/>
  <c r="Y895" i="45" s="1"/>
  <c r="G1018" i="45"/>
  <c r="Y1018" i="45" s="1"/>
  <c r="G800" i="45"/>
  <c r="Y800" i="45" s="1"/>
  <c r="G694" i="45"/>
  <c r="Y694" i="45" s="1"/>
  <c r="G791" i="45"/>
  <c r="Y791" i="45" s="1"/>
  <c r="G1316" i="45"/>
  <c r="Y1316" i="45" s="1"/>
  <c r="G770" i="45"/>
  <c r="Y770" i="45" s="1"/>
  <c r="G826" i="45"/>
  <c r="Y826" i="45" s="1"/>
  <c r="G1097" i="45"/>
  <c r="Y1097" i="45" s="1"/>
  <c r="G1322" i="45"/>
  <c r="Y1322" i="45" s="1"/>
  <c r="G792" i="45"/>
  <c r="Y792" i="45" s="1"/>
  <c r="G1121" i="45"/>
  <c r="Y1121" i="45" s="1"/>
  <c r="G1219" i="45"/>
  <c r="Y1219" i="45" s="1"/>
  <c r="G1028" i="45"/>
  <c r="Y1028" i="45" s="1"/>
  <c r="G687" i="45"/>
  <c r="Y687" i="45" s="1"/>
  <c r="G1340" i="45"/>
  <c r="Y1340" i="45" s="1"/>
  <c r="G794" i="45"/>
  <c r="Y794" i="45" s="1"/>
  <c r="G1290" i="45"/>
  <c r="Y1290" i="45" s="1"/>
  <c r="G891" i="45"/>
  <c r="Y891" i="45" s="1"/>
  <c r="G942" i="45"/>
  <c r="Y942" i="45" s="1"/>
  <c r="G1043" i="45"/>
  <c r="Y1043" i="45" s="1"/>
  <c r="G809" i="45"/>
  <c r="Y809" i="45" s="1"/>
  <c r="G780" i="45"/>
  <c r="Y780" i="45" s="1"/>
  <c r="G1107" i="45"/>
  <c r="Y1107" i="45" s="1"/>
  <c r="G815" i="45"/>
  <c r="Y815" i="45" s="1"/>
  <c r="G1195" i="45"/>
  <c r="Y1195" i="45" s="1"/>
  <c r="G1049" i="45"/>
  <c r="Y1049" i="45" s="1"/>
  <c r="G711" i="45"/>
  <c r="Y711" i="45" s="1"/>
  <c r="G761" i="45"/>
  <c r="Y761" i="45" s="1"/>
  <c r="G940" i="45"/>
  <c r="Y940" i="45" s="1"/>
  <c r="G1160" i="45"/>
  <c r="Y1160" i="45" s="1"/>
  <c r="G1324" i="45"/>
  <c r="Y1324" i="45" s="1"/>
  <c r="G1130" i="45"/>
  <c r="Y1130" i="45" s="1"/>
  <c r="G707" i="45"/>
  <c r="Y707" i="45" s="1"/>
  <c r="G1081" i="45"/>
  <c r="Y1081" i="45" s="1"/>
  <c r="G876" i="45"/>
  <c r="Y876" i="45" s="1"/>
  <c r="G869" i="45"/>
  <c r="Y869" i="45" s="1"/>
  <c r="G732" i="45"/>
  <c r="Y732" i="45" s="1"/>
  <c r="G967" i="45"/>
  <c r="Y967" i="45" s="1"/>
  <c r="G759" i="45"/>
  <c r="Y759" i="45" s="1"/>
  <c r="G919" i="45"/>
  <c r="Y919" i="45" s="1"/>
  <c r="G822" i="45"/>
  <c r="Y822" i="45" s="1"/>
  <c r="G693" i="45"/>
  <c r="Y693" i="45" s="1"/>
  <c r="G749" i="45"/>
  <c r="Y749" i="45" s="1"/>
  <c r="G975" i="45"/>
  <c r="Y975" i="45" s="1"/>
  <c r="G854" i="45"/>
  <c r="Y854" i="45" s="1"/>
  <c r="G1068" i="45"/>
  <c r="Y1068" i="45" s="1"/>
  <c r="G1059" i="45"/>
  <c r="Y1059" i="45" s="1"/>
  <c r="G783" i="45"/>
  <c r="Y783" i="45" s="1"/>
  <c r="G1148" i="45"/>
  <c r="Y1148" i="45" s="1"/>
  <c r="G1259" i="45"/>
  <c r="Y1259" i="45" s="1"/>
  <c r="G1279" i="45"/>
  <c r="Y1279" i="45" s="1"/>
  <c r="G991" i="45"/>
  <c r="Y991" i="45" s="1"/>
  <c r="G855" i="45"/>
  <c r="Y855" i="45" s="1"/>
  <c r="G943" i="45"/>
  <c r="Y943" i="45" s="1"/>
  <c r="G1004" i="45"/>
  <c r="Y1004" i="45" s="1"/>
  <c r="G950" i="45"/>
  <c r="Y950" i="45" s="1"/>
  <c r="G1102" i="45"/>
  <c r="Y1102" i="45" s="1"/>
  <c r="G781" i="45"/>
  <c r="Y781" i="45" s="1"/>
  <c r="G983" i="45"/>
  <c r="Y983" i="45" s="1"/>
  <c r="G1199" i="45"/>
  <c r="Y1199" i="45" s="1"/>
  <c r="G690" i="45"/>
  <c r="Y690" i="45" s="1"/>
  <c r="G1039" i="45"/>
  <c r="Y1039" i="45" s="1"/>
  <c r="G842" i="45"/>
  <c r="Y842" i="45" s="1"/>
  <c r="G1094" i="45"/>
  <c r="Y1094" i="45" s="1"/>
  <c r="G805" i="45"/>
  <c r="Y805" i="45" s="1"/>
  <c r="G831" i="45"/>
  <c r="Y831" i="45" s="1"/>
  <c r="G1295" i="45"/>
  <c r="Y1295" i="45" s="1"/>
  <c r="G712" i="45"/>
  <c r="Y712" i="45" s="1"/>
  <c r="G1236" i="45"/>
  <c r="Y1236" i="45" s="1"/>
  <c r="G1304" i="45"/>
  <c r="Y1304" i="45" s="1"/>
  <c r="G1051" i="45"/>
  <c r="Y1051" i="45" s="1"/>
  <c r="G863" i="45"/>
  <c r="Y863" i="45" s="1"/>
  <c r="G1001" i="45"/>
  <c r="Y1001" i="45" s="1"/>
  <c r="G803" i="45"/>
  <c r="Y803" i="45" s="1"/>
  <c r="G1179" i="45"/>
  <c r="Y1179" i="45" s="1"/>
  <c r="G988" i="45"/>
  <c r="Y988" i="45" s="1"/>
  <c r="G1140" i="45"/>
  <c r="Y1140" i="45" s="1"/>
  <c r="G1323" i="45"/>
  <c r="Y1323" i="45" s="1"/>
  <c r="G754" i="45"/>
  <c r="Y754" i="45" s="1"/>
  <c r="G797" i="45"/>
  <c r="Y797" i="45" s="1"/>
  <c r="G807" i="45"/>
  <c r="Y807" i="45" s="1"/>
  <c r="G1099" i="45"/>
  <c r="Y1099" i="45" s="1"/>
  <c r="G1149" i="45"/>
  <c r="Y1149" i="45" s="1"/>
  <c r="G1266" i="45"/>
  <c r="Y1266" i="45" s="1"/>
  <c r="G1044" i="45"/>
  <c r="Y1044" i="45" s="1"/>
  <c r="G1171" i="45"/>
  <c r="Y1171" i="45" s="1"/>
  <c r="G683" i="45"/>
  <c r="Y683" i="45" s="1"/>
  <c r="G1119" i="45"/>
  <c r="Y1119" i="45" s="1"/>
  <c r="G883" i="45"/>
  <c r="Y883" i="45" s="1"/>
  <c r="G1035" i="45"/>
  <c r="Y1035" i="45" s="1"/>
  <c r="G695" i="45"/>
  <c r="Y695" i="45" s="1"/>
  <c r="G1055" i="45"/>
  <c r="Y1055" i="45" s="1"/>
  <c r="G1280" i="45"/>
  <c r="Y1280" i="45" s="1"/>
  <c r="G1003" i="45"/>
  <c r="Y1003" i="45" s="1"/>
  <c r="G851" i="45"/>
  <c r="Y851" i="45" s="1"/>
  <c r="G966" i="45"/>
  <c r="Y966" i="45" s="1"/>
  <c r="G980" i="45"/>
  <c r="Y980" i="45" s="1"/>
  <c r="G1264" i="45"/>
  <c r="Y1264" i="45" s="1"/>
  <c r="G1128" i="45"/>
  <c r="Y1128" i="45" s="1"/>
  <c r="G1182" i="45"/>
  <c r="Y1182" i="45" s="1"/>
  <c r="G986" i="45"/>
  <c r="Y986" i="45" s="1"/>
  <c r="G776" i="45"/>
  <c r="Y776" i="45" s="1"/>
  <c r="G970" i="45"/>
  <c r="Y970" i="45" s="1"/>
  <c r="G1046" i="45"/>
  <c r="Y1046" i="45" s="1"/>
  <c r="G1108" i="45"/>
  <c r="Y1108" i="45" s="1"/>
  <c r="G1330" i="45"/>
  <c r="Y1330" i="45" s="1"/>
  <c r="G932" i="45"/>
  <c r="Y932" i="45" s="1"/>
  <c r="G1274" i="45"/>
  <c r="Y1274" i="45" s="1"/>
  <c r="G1247" i="45"/>
  <c r="Y1247" i="45" s="1"/>
  <c r="G931" i="45"/>
  <c r="Y931" i="45" s="1"/>
  <c r="G1206" i="45"/>
  <c r="Y1206" i="45" s="1"/>
  <c r="G1073" i="45"/>
  <c r="Y1073" i="45" s="1"/>
  <c r="G996" i="45"/>
  <c r="Y996" i="45" s="1"/>
  <c r="G1243" i="45"/>
  <c r="Y1243" i="45" s="1"/>
  <c r="G1193" i="45"/>
  <c r="Y1193" i="45" s="1"/>
  <c r="G847" i="45"/>
  <c r="Y847" i="45" s="1"/>
  <c r="G700" i="45"/>
  <c r="Y700" i="45" s="1"/>
  <c r="G846" i="45"/>
  <c r="Y846" i="45" s="1"/>
  <c r="G944" i="45"/>
  <c r="Y944" i="45" s="1"/>
  <c r="G1197" i="45"/>
  <c r="Y1197" i="45" s="1"/>
  <c r="G838" i="45"/>
  <c r="Y838" i="45" s="1"/>
  <c r="G1210" i="45"/>
  <c r="Y1210" i="45" s="1"/>
  <c r="G1301" i="45"/>
  <c r="Y1301" i="45" s="1"/>
  <c r="G1178" i="45"/>
  <c r="Y1178" i="45" s="1"/>
  <c r="G1113" i="45"/>
  <c r="Y1113" i="45" s="1"/>
  <c r="G1024" i="45"/>
  <c r="Y1024" i="45" s="1"/>
  <c r="G1218" i="45"/>
  <c r="Y1218" i="45" s="1"/>
  <c r="G890" i="45"/>
  <c r="Y890" i="45" s="1"/>
  <c r="G852" i="45"/>
  <c r="Y852" i="45" s="1"/>
  <c r="G817" i="45"/>
  <c r="Y817" i="45" s="1"/>
  <c r="G1177" i="45"/>
  <c r="Y1177" i="45" s="1"/>
  <c r="G900" i="45"/>
  <c r="Y900" i="45" s="1"/>
  <c r="G1157" i="45"/>
  <c r="Y1157" i="45" s="1"/>
  <c r="G865" i="45"/>
  <c r="Y865" i="45" s="1"/>
  <c r="G948" i="45"/>
  <c r="Y948" i="45" s="1"/>
  <c r="G977" i="45"/>
  <c r="Y977" i="45" s="1"/>
  <c r="G935" i="45"/>
  <c r="Y935" i="45" s="1"/>
  <c r="G1331" i="45"/>
  <c r="Y1331" i="45" s="1"/>
  <c r="G1263" i="45"/>
  <c r="Y1263" i="45" s="1"/>
  <c r="G1235" i="45"/>
  <c r="Y1235" i="45" s="1"/>
  <c r="G828" i="45"/>
  <c r="Y828" i="45" s="1"/>
  <c r="G934" i="45"/>
  <c r="Y934" i="45" s="1"/>
  <c r="G1188" i="45"/>
  <c r="Y1188" i="45" s="1"/>
  <c r="G1066" i="45"/>
  <c r="Y1066" i="45" s="1"/>
  <c r="G840" i="45"/>
  <c r="Y840" i="45" s="1"/>
  <c r="G1298" i="45"/>
  <c r="Y1298" i="45" s="1"/>
  <c r="G939" i="45"/>
  <c r="Y939" i="45" s="1"/>
  <c r="G1062" i="45"/>
  <c r="Y1062" i="45" s="1"/>
  <c r="G1120" i="45"/>
  <c r="Y1120" i="45" s="1"/>
  <c r="G1314" i="45"/>
  <c r="Y1314" i="45" s="1"/>
  <c r="G954" i="45"/>
  <c r="Y954" i="45" s="1"/>
  <c r="G1100" i="45"/>
  <c r="Y1100" i="45" s="1"/>
  <c r="G767" i="45"/>
  <c r="Y767" i="45" s="1"/>
  <c r="G1126" i="45"/>
  <c r="Y1126" i="45" s="1"/>
  <c r="G1208" i="45"/>
  <c r="Y1208" i="45" s="1"/>
  <c r="G1077" i="45"/>
  <c r="Y1077" i="45" s="1"/>
  <c r="G1189" i="45"/>
  <c r="Y1189" i="45" s="1"/>
  <c r="G782" i="45"/>
  <c r="Y782" i="45" s="1"/>
  <c r="G1021" i="45"/>
  <c r="Y1021" i="45" s="1"/>
  <c r="G1286" i="45"/>
  <c r="Y1286" i="45" s="1"/>
  <c r="G789" i="45"/>
  <c r="Y789" i="45" s="1"/>
  <c r="G1310" i="45"/>
  <c r="Y1310" i="45" s="1"/>
  <c r="G1186" i="45"/>
  <c r="Y1186" i="45" s="1"/>
  <c r="G793" i="45"/>
  <c r="Y793" i="45" s="1"/>
  <c r="G1173" i="45"/>
  <c r="Y1173" i="45" s="1"/>
  <c r="G1144" i="45"/>
  <c r="Y1144" i="45" s="1"/>
  <c r="G952" i="45"/>
  <c r="Y952" i="45" s="1"/>
  <c r="G896" i="45"/>
  <c r="Y896" i="45" s="1"/>
  <c r="G1082" i="45"/>
  <c r="Y1082" i="45" s="1"/>
  <c r="G1106" i="45"/>
  <c r="Y1106" i="45" s="1"/>
  <c r="G1076" i="45"/>
  <c r="Y1076" i="45" s="1"/>
  <c r="G1079" i="45"/>
  <c r="Y1079" i="45" s="1"/>
  <c r="G730" i="45"/>
  <c r="Y730" i="45" s="1"/>
  <c r="G1083" i="45"/>
  <c r="Y1083" i="45" s="1"/>
  <c r="G685" i="45"/>
  <c r="Y685" i="45" s="1"/>
  <c r="G726" i="45"/>
  <c r="Y726" i="45" s="1"/>
  <c r="G990" i="45"/>
  <c r="Y990" i="45" s="1"/>
  <c r="G1292" i="45"/>
  <c r="Y1292" i="45" s="1"/>
  <c r="G1141" i="45"/>
  <c r="Y1141" i="45" s="1"/>
  <c r="G806" i="45"/>
  <c r="Y806" i="45" s="1"/>
  <c r="G889" i="45"/>
  <c r="Y889" i="45" s="1"/>
  <c r="G1129" i="45"/>
  <c r="Y1129" i="45" s="1"/>
  <c r="G1242" i="45"/>
  <c r="Y1242" i="45" s="1"/>
  <c r="G928" i="45"/>
  <c r="Y928" i="45" s="1"/>
  <c r="G742" i="45"/>
  <c r="Y742" i="45" s="1"/>
  <c r="G870" i="45"/>
  <c r="Y870" i="45" s="1"/>
  <c r="G1029" i="45"/>
  <c r="Y1029" i="45" s="1"/>
  <c r="G750" i="45"/>
  <c r="Y750" i="45" s="1"/>
  <c r="G821" i="45"/>
  <c r="Y821" i="45" s="1"/>
  <c r="G879" i="45"/>
  <c r="Y879" i="45" s="1"/>
  <c r="G733" i="45"/>
  <c r="Y733" i="45" s="1"/>
  <c r="G724" i="45"/>
  <c r="Y724" i="45" s="1"/>
  <c r="G779" i="45"/>
  <c r="Y779" i="45" s="1"/>
  <c r="G938" i="45"/>
  <c r="Y938" i="45" s="1"/>
  <c r="G1282" i="45"/>
  <c r="Y1282" i="45" s="1"/>
  <c r="G858" i="45"/>
  <c r="Y858" i="45" s="1"/>
  <c r="G1033" i="45"/>
  <c r="Y1033" i="45" s="1"/>
  <c r="G875" i="45"/>
  <c r="Y875" i="45" s="1"/>
  <c r="G1249" i="45"/>
  <c r="Y1249" i="45" s="1"/>
  <c r="G741" i="45"/>
  <c r="Y741" i="45" s="1"/>
  <c r="G906" i="45"/>
  <c r="Y906" i="45" s="1"/>
  <c r="G709" i="45"/>
  <c r="Y709" i="45" s="1"/>
  <c r="G1277" i="45"/>
  <c r="Y1277" i="45" s="1"/>
  <c r="G1216" i="45"/>
  <c r="Y1216" i="45" s="1"/>
  <c r="G786" i="45"/>
  <c r="Y786" i="45" s="1"/>
  <c r="G1007" i="45"/>
  <c r="Y1007" i="45" s="1"/>
  <c r="G720" i="45"/>
  <c r="Y720" i="45" s="1"/>
  <c r="G1014" i="45"/>
  <c r="Y1014" i="45" s="1"/>
  <c r="G1233" i="45"/>
  <c r="Y1233" i="45" s="1"/>
  <c r="G721" i="45"/>
  <c r="Y721" i="45" s="1"/>
  <c r="G1093" i="45"/>
  <c r="Y1093" i="45" s="1"/>
  <c r="G1063" i="45"/>
  <c r="Y1063" i="45" s="1"/>
  <c r="G1067" i="45"/>
  <c r="Y1067" i="45" s="1"/>
  <c r="G824" i="45"/>
  <c r="Y824" i="45" s="1"/>
  <c r="G893" i="45"/>
  <c r="Y893" i="45" s="1"/>
  <c r="G1020" i="45"/>
  <c r="Y1020" i="45" s="1"/>
  <c r="G703" i="45"/>
  <c r="Y703" i="45" s="1"/>
  <c r="G951" i="45"/>
  <c r="Y951" i="45" s="1"/>
  <c r="G844" i="45"/>
  <c r="Y844" i="45" s="1"/>
  <c r="G1041" i="45"/>
  <c r="Y1041" i="45" s="1"/>
  <c r="G747" i="45"/>
  <c r="Y747" i="45" s="1"/>
  <c r="G1276" i="45"/>
  <c r="Y1276" i="45" s="1"/>
  <c r="G801" i="45"/>
  <c r="Y801" i="45" s="1"/>
  <c r="G887" i="45"/>
  <c r="Y887" i="45" s="1"/>
  <c r="G729" i="45"/>
  <c r="Y729" i="45" s="1"/>
  <c r="G697" i="45"/>
  <c r="Y697" i="45" s="1"/>
  <c r="G905" i="45"/>
  <c r="Y905" i="45" s="1"/>
  <c r="G1202" i="45"/>
  <c r="Y1202" i="45" s="1"/>
  <c r="G757" i="45"/>
  <c r="Y757" i="45" s="1"/>
  <c r="G713" i="45"/>
  <c r="Y713" i="45" s="1"/>
  <c r="G857" i="45"/>
  <c r="Y857" i="45" s="1"/>
  <c r="G1262" i="45"/>
  <c r="Y1262" i="45" s="1"/>
  <c r="G992" i="45"/>
  <c r="Y992" i="45" s="1"/>
  <c r="G718" i="45"/>
  <c r="Y718" i="45" s="1"/>
  <c r="G1088" i="45"/>
  <c r="Y1088" i="45" s="1"/>
  <c r="G1064" i="45"/>
  <c r="Y1064" i="45" s="1"/>
  <c r="G910" i="45"/>
  <c r="Y910" i="45" s="1"/>
  <c r="G862" i="45"/>
  <c r="Y862" i="45" s="1"/>
  <c r="G1194" i="45"/>
  <c r="Y1194" i="45" s="1"/>
  <c r="G843" i="45"/>
  <c r="Y843" i="45" s="1"/>
  <c r="G1327" i="45"/>
  <c r="Y1327" i="45" s="1"/>
  <c r="G812" i="45"/>
  <c r="Y812" i="45" s="1"/>
  <c r="G1278" i="45"/>
  <c r="Y1278" i="45" s="1"/>
  <c r="G961" i="45"/>
  <c r="Y961" i="45" s="1"/>
  <c r="G1272" i="45"/>
  <c r="Y1272" i="45" s="1"/>
  <c r="G816" i="45"/>
  <c r="Y816" i="45" s="1"/>
  <c r="G1092" i="45"/>
  <c r="Y1092" i="45" s="1"/>
  <c r="G1288" i="45"/>
  <c r="Y1288" i="45" s="1"/>
  <c r="G768" i="45"/>
  <c r="Y768" i="45" s="1"/>
  <c r="G1281" i="45"/>
  <c r="Y1281" i="45" s="1"/>
  <c r="G925" i="45"/>
  <c r="Y925" i="45" s="1"/>
  <c r="G981" i="45"/>
  <c r="Y981" i="45" s="1"/>
  <c r="G936" i="45"/>
  <c r="Y936" i="45" s="1"/>
  <c r="G1293" i="45"/>
  <c r="Y1293" i="45" s="1"/>
  <c r="G1245" i="45"/>
  <c r="Y1245" i="45" s="1"/>
  <c r="G894" i="45"/>
  <c r="Y894" i="45" s="1"/>
  <c r="G1016" i="45"/>
  <c r="Y1016" i="45" s="1"/>
  <c r="G1069" i="45"/>
  <c r="Y1069" i="45" s="1"/>
  <c r="G774" i="45"/>
  <c r="Y774" i="45" s="1"/>
  <c r="G1037" i="45"/>
  <c r="Y1037" i="45" s="1"/>
  <c r="G766" i="45"/>
  <c r="Y766" i="45" s="1"/>
  <c r="G1285" i="45"/>
  <c r="Y1285" i="45" s="1"/>
  <c r="G960" i="45"/>
  <c r="Y960" i="45" s="1"/>
  <c r="G1005" i="45"/>
  <c r="Y1005" i="45" s="1"/>
  <c r="G1302" i="45"/>
  <c r="Y1302" i="45" s="1"/>
  <c r="G1333" i="45"/>
  <c r="Y1333" i="45" s="1"/>
  <c r="G1213" i="45"/>
  <c r="Y1213" i="45" s="1"/>
  <c r="G1032" i="45"/>
  <c r="Y1032" i="45" s="1"/>
  <c r="G745" i="45"/>
  <c r="Y745" i="45" s="1"/>
  <c r="G963" i="45"/>
  <c r="Y963" i="45" s="1"/>
  <c r="G1214" i="45"/>
  <c r="Y1214" i="45" s="1"/>
  <c r="G1133" i="45"/>
  <c r="Y1133" i="45" s="1"/>
  <c r="G688" i="45"/>
  <c r="Y688" i="45" s="1"/>
  <c r="G799" i="45"/>
  <c r="Y799" i="45" s="1"/>
  <c r="G1192" i="45"/>
  <c r="Y1192" i="45" s="1"/>
  <c r="G871" i="45"/>
  <c r="Y871" i="45" s="1"/>
  <c r="G682" i="45"/>
  <c r="Y682" i="45" s="1"/>
  <c r="G813" i="45"/>
  <c r="Y813" i="45" s="1"/>
  <c r="G758" i="45"/>
  <c r="Y758" i="45" s="1"/>
  <c r="G1283" i="45"/>
  <c r="Y1283" i="45" s="1"/>
  <c r="G1300" i="45"/>
  <c r="Y1300" i="45" s="1"/>
  <c r="G877" i="45"/>
  <c r="Y877" i="45" s="1"/>
  <c r="G1297" i="45"/>
  <c r="Y1297" i="45" s="1"/>
  <c r="G1153" i="45"/>
  <c r="Y1153" i="45" s="1"/>
  <c r="G1023" i="45"/>
  <c r="Y1023" i="45" s="1"/>
  <c r="G1212" i="45"/>
  <c r="Y1212" i="45" s="1"/>
  <c r="G705" i="45"/>
  <c r="Y705" i="45" s="1"/>
  <c r="G880" i="45"/>
  <c r="Y880" i="45" s="1"/>
  <c r="G701" i="45"/>
  <c r="Y701" i="45" s="1"/>
  <c r="G1137" i="45"/>
  <c r="Y1137" i="45" s="1"/>
  <c r="G1211" i="45"/>
  <c r="Y1211" i="45" s="1"/>
  <c r="G1011" i="45"/>
  <c r="Y1011" i="45" s="1"/>
  <c r="G1207" i="45"/>
  <c r="Y1207" i="45" s="1"/>
  <c r="G1142" i="45"/>
  <c r="Y1142" i="45" s="1"/>
  <c r="G994" i="45"/>
  <c r="Y994" i="45" s="1"/>
  <c r="G1122" i="45"/>
  <c r="Y1122" i="45" s="1"/>
  <c r="G1118" i="45"/>
  <c r="Y1118" i="45" s="1"/>
  <c r="G1223" i="45"/>
  <c r="Y1223" i="45" s="1"/>
  <c r="G1017" i="45"/>
  <c r="Y1017" i="45" s="1"/>
  <c r="G1013" i="45"/>
  <c r="Y1013" i="45" s="1"/>
  <c r="G814" i="45"/>
  <c r="Y814" i="45" s="1"/>
  <c r="G1125" i="45"/>
  <c r="Y1125" i="45" s="1"/>
  <c r="G825" i="45"/>
  <c r="Y825" i="45" s="1"/>
  <c r="G1253" i="45"/>
  <c r="Y1253" i="45" s="1"/>
  <c r="G878" i="45"/>
  <c r="Y878" i="45" s="1"/>
  <c r="G1205" i="45"/>
  <c r="Y1205" i="45" s="1"/>
  <c r="G819" i="45"/>
  <c r="Y819" i="45" s="1"/>
  <c r="G1080" i="45"/>
  <c r="Y1080" i="45" s="1"/>
  <c r="G798" i="45"/>
  <c r="Y798" i="45" s="1"/>
  <c r="G1334" i="45"/>
  <c r="Y1334" i="45" s="1"/>
  <c r="G1010" i="45"/>
  <c r="Y1010" i="45" s="1"/>
  <c r="G790" i="45"/>
  <c r="Y790" i="45" s="1"/>
  <c r="G1158" i="45"/>
  <c r="Y1158" i="45" s="1"/>
  <c r="G964" i="45"/>
  <c r="Y964" i="45" s="1"/>
  <c r="G746" i="45"/>
  <c r="Y746" i="45" s="1"/>
  <c r="G802" i="45"/>
  <c r="Y802" i="45" s="1"/>
  <c r="G1036" i="45"/>
  <c r="Y1036" i="45" s="1"/>
  <c r="G1244" i="45"/>
  <c r="Y1244" i="45" s="1"/>
  <c r="G1161" i="45"/>
  <c r="Y1161" i="45" s="1"/>
  <c r="G1204" i="45"/>
  <c r="Y1204" i="45" s="1"/>
  <c r="G1091" i="45"/>
  <c r="Y1091" i="45" s="1"/>
  <c r="G772" i="45"/>
  <c r="Y772" i="45" s="1"/>
  <c r="G1089" i="45"/>
  <c r="Y1089" i="45" s="1"/>
  <c r="G1305" i="45"/>
  <c r="Y1305" i="45" s="1"/>
  <c r="G1325" i="45"/>
  <c r="Y1325" i="45" s="1"/>
  <c r="G715" i="45"/>
  <c r="Y715" i="45" s="1"/>
  <c r="G917" i="45"/>
  <c r="Y917" i="45" s="1"/>
  <c r="G1154" i="45"/>
  <c r="Y1154" i="45" s="1"/>
  <c r="G1124" i="45"/>
  <c r="Y1124" i="45" s="1"/>
  <c r="G941" i="45"/>
  <c r="Y941" i="45" s="1"/>
  <c r="G1181" i="45"/>
  <c r="Y1181" i="45" s="1"/>
  <c r="G968" i="45"/>
  <c r="Y968" i="45" s="1"/>
  <c r="G957" i="45"/>
  <c r="Y957" i="45" s="1"/>
  <c r="G1250" i="45"/>
  <c r="Y1250" i="45" s="1"/>
  <c r="G1008" i="45"/>
  <c r="Y1008" i="45" s="1"/>
  <c r="G1056" i="45"/>
  <c r="Y1056" i="45" s="1"/>
  <c r="G118" i="45"/>
  <c r="G1040" i="45"/>
  <c r="Y1040" i="45" s="1"/>
  <c r="G997" i="45"/>
  <c r="Y997" i="45" s="1"/>
  <c r="G1326" i="45"/>
  <c r="Y1326" i="45" s="1"/>
  <c r="G684" i="45"/>
  <c r="Y684" i="45" s="1"/>
  <c r="G976" i="45"/>
  <c r="Y976" i="45" s="1"/>
  <c r="G1053" i="45"/>
  <c r="Y1053" i="45" s="1"/>
  <c r="G1162" i="45"/>
  <c r="Y1162" i="45" s="1"/>
  <c r="G1170" i="45"/>
  <c r="Y1170" i="45" s="1"/>
  <c r="G1226" i="45"/>
  <c r="Y1226" i="45" s="1"/>
  <c r="G771" i="45"/>
  <c r="Y771" i="45" s="1"/>
  <c r="G1273" i="45"/>
  <c r="Y1273" i="45" s="1"/>
  <c r="G949" i="45"/>
  <c r="Y949" i="45" s="1"/>
  <c r="G1085" i="45"/>
  <c r="Y1085" i="45" s="1"/>
  <c r="G723" i="45"/>
  <c r="Y723" i="45" s="1"/>
  <c r="G710" i="45"/>
  <c r="Y710" i="45" s="1"/>
  <c r="G1271" i="45"/>
  <c r="Y1271" i="45" s="1"/>
  <c r="G1165" i="45"/>
  <c r="Y1165" i="45" s="1"/>
  <c r="G912" i="45"/>
  <c r="Y912" i="45" s="1"/>
  <c r="G1234" i="45"/>
  <c r="Y1234" i="45" s="1"/>
  <c r="G760" i="45"/>
  <c r="Y760" i="45" s="1"/>
  <c r="G1270" i="45"/>
  <c r="Y1270" i="45" s="1"/>
  <c r="G830" i="45"/>
  <c r="Y830" i="45" s="1"/>
  <c r="G885" i="45"/>
  <c r="Y885" i="45" s="1"/>
  <c r="G1221" i="45"/>
  <c r="Y1221" i="45" s="1"/>
  <c r="G1317" i="45"/>
  <c r="Y1317" i="45" s="1"/>
  <c r="G692" i="45"/>
  <c r="Y692" i="45" s="1"/>
  <c r="G853" i="45"/>
  <c r="Y853" i="45" s="1"/>
  <c r="G899" i="45"/>
  <c r="Y899" i="45" s="1"/>
  <c r="G734" i="45"/>
  <c r="Y734" i="45" s="1"/>
  <c r="G965" i="45"/>
  <c r="Y965" i="45" s="1"/>
  <c r="G1045" i="45"/>
  <c r="Y1045" i="45" s="1"/>
  <c r="G689" i="45"/>
  <c r="Y689" i="45" s="1"/>
  <c r="G1072" i="45"/>
  <c r="Y1072" i="45" s="1"/>
  <c r="G1000" i="45"/>
  <c r="Y1000" i="45" s="1"/>
  <c r="G1145" i="45"/>
  <c r="Y1145" i="45" s="1"/>
  <c r="G1237" i="45"/>
  <c r="Y1237" i="45" s="1"/>
  <c r="G973" i="45"/>
  <c r="Y973" i="45" s="1"/>
  <c r="G737" i="45"/>
  <c r="Y737" i="45" s="1"/>
  <c r="G1048" i="45"/>
  <c r="Y1048" i="45" s="1"/>
  <c r="G933" i="45"/>
  <c r="Y933" i="45" s="1"/>
  <c r="G1135" i="45"/>
  <c r="Y1135" i="45" s="1"/>
  <c r="G1294" i="45"/>
  <c r="Y1294" i="45" s="1"/>
  <c r="G902" i="45"/>
  <c r="Y902" i="45" s="1"/>
  <c r="G1061" i="45"/>
  <c r="Y1061" i="45" s="1"/>
  <c r="G1309" i="45"/>
  <c r="Y1309" i="45" s="1"/>
  <c r="G1229" i="45"/>
  <c r="Y1229" i="45" s="1"/>
  <c r="G1318" i="45"/>
  <c r="Y1318" i="45" s="1"/>
  <c r="G1103" i="45"/>
  <c r="Y1103" i="45" s="1"/>
  <c r="G725" i="45"/>
  <c r="Y725" i="45" s="1"/>
  <c r="G989" i="45"/>
  <c r="Y989" i="45" s="1"/>
  <c r="G1112" i="45"/>
  <c r="Y1112" i="45" s="1"/>
  <c r="G920" i="45"/>
  <c r="Y920" i="45" s="1"/>
  <c r="G984" i="45"/>
  <c r="Y984" i="45" s="1"/>
  <c r="G492" i="45"/>
  <c r="Y492" i="45" s="1"/>
  <c r="G384" i="45"/>
  <c r="Y384" i="45" s="1"/>
  <c r="G483" i="45"/>
  <c r="Y483" i="45" s="1"/>
  <c r="G587" i="45"/>
  <c r="Y587" i="45" s="1"/>
  <c r="G358" i="45"/>
  <c r="Y358" i="45" s="1"/>
  <c r="G432" i="45"/>
  <c r="Y432" i="45" s="1"/>
  <c r="G206" i="45"/>
  <c r="Y206" i="45" s="1"/>
  <c r="G351" i="45"/>
  <c r="Y351" i="45" s="1"/>
  <c r="G143" i="45"/>
  <c r="Y143" i="45" s="1"/>
  <c r="G571" i="45"/>
  <c r="Y571" i="45" s="1"/>
  <c r="G373" i="45"/>
  <c r="Y373" i="45" s="1"/>
  <c r="G412" i="45"/>
  <c r="Y412" i="45" s="1"/>
  <c r="G212" i="45"/>
  <c r="G168" i="45"/>
  <c r="Y168" i="45" s="1"/>
  <c r="G209" i="45"/>
  <c r="Y209" i="45" s="1"/>
  <c r="G598" i="45"/>
  <c r="Y598" i="45" s="1"/>
  <c r="G151" i="45"/>
  <c r="Y151" i="45" s="1"/>
  <c r="G264" i="45"/>
  <c r="Y264" i="45" s="1"/>
  <c r="G230" i="45"/>
  <c r="Y230" i="45" s="1"/>
  <c r="G539" i="45"/>
  <c r="Y539" i="45" s="1"/>
  <c r="G585" i="45"/>
  <c r="Y585" i="45" s="1"/>
  <c r="G610" i="45"/>
  <c r="Y610" i="45" s="1"/>
  <c r="G486" i="45"/>
  <c r="Y486" i="45" s="1"/>
  <c r="G499" i="45"/>
  <c r="Y499" i="45" s="1"/>
  <c r="G482" i="45"/>
  <c r="Y482" i="45" s="1"/>
  <c r="G256" i="45"/>
  <c r="Y256" i="45" s="1"/>
  <c r="G253" i="45"/>
  <c r="Y253" i="45" s="1"/>
  <c r="G549" i="45"/>
  <c r="Y549" i="45" s="1"/>
  <c r="G232" i="45"/>
  <c r="Y232" i="45" s="1"/>
  <c r="G338" i="45"/>
  <c r="Y338" i="45" s="1"/>
  <c r="G462" i="45"/>
  <c r="Y462" i="45" s="1"/>
  <c r="G187" i="45"/>
  <c r="Y187" i="45" s="1"/>
  <c r="G508" i="45"/>
  <c r="Y508" i="45" s="1"/>
  <c r="G461" i="45"/>
  <c r="Y461" i="45" s="1"/>
  <c r="G647" i="45"/>
  <c r="Y647" i="45" s="1"/>
  <c r="G557" i="45"/>
  <c r="Y557" i="45" s="1"/>
  <c r="G238" i="45"/>
  <c r="Y238" i="45" s="1"/>
  <c r="G204" i="45"/>
  <c r="Y204" i="45" s="1"/>
  <c r="G534" i="45"/>
  <c r="Y534" i="45" s="1"/>
  <c r="G464" i="45"/>
  <c r="G127" i="45"/>
  <c r="G593" i="45"/>
  <c r="Y593" i="45" s="1"/>
  <c r="G347" i="45"/>
  <c r="Y347" i="45" s="1"/>
  <c r="G611" i="45"/>
  <c r="Y611" i="45" s="1"/>
  <c r="G325" i="45"/>
  <c r="Y325" i="45" s="1"/>
  <c r="G298" i="45"/>
  <c r="Y298" i="45" s="1"/>
  <c r="G399" i="45"/>
  <c r="Y399" i="45" s="1"/>
  <c r="G622" i="45"/>
  <c r="Y622" i="45" s="1"/>
  <c r="G513" i="45"/>
  <c r="Y513" i="45" s="1"/>
  <c r="G668" i="45"/>
  <c r="G564" i="45"/>
  <c r="Y564" i="45" s="1"/>
  <c r="G160" i="45"/>
  <c r="Y160" i="45" s="1"/>
  <c r="G579" i="45"/>
  <c r="Y579" i="45" s="1"/>
  <c r="G644" i="45"/>
  <c r="G320" i="45"/>
  <c r="G469" i="45"/>
  <c r="Y469" i="45" s="1"/>
  <c r="G676" i="45"/>
  <c r="Y676" i="45" s="1"/>
  <c r="G275" i="45"/>
  <c r="Y275" i="45" s="1"/>
  <c r="G302" i="45"/>
  <c r="Y302" i="45" s="1"/>
  <c r="G371" i="45"/>
  <c r="Y371" i="45" s="1"/>
  <c r="G450" i="45"/>
  <c r="Y450" i="45" s="1"/>
  <c r="G337" i="45"/>
  <c r="Y337" i="45" s="1"/>
  <c r="G181" i="45"/>
  <c r="Y181" i="45" s="1"/>
  <c r="G588" i="45"/>
  <c r="Y588" i="45" s="1"/>
  <c r="G505" i="45"/>
  <c r="Y505" i="45" s="1"/>
  <c r="G309" i="45"/>
  <c r="Y309" i="45" s="1"/>
  <c r="G631" i="45"/>
  <c r="Y631" i="45" s="1"/>
  <c r="G129" i="45"/>
  <c r="G522" i="45"/>
  <c r="Y522" i="45" s="1"/>
  <c r="G218" i="45"/>
  <c r="Y218" i="45" s="1"/>
  <c r="G679" i="45"/>
  <c r="Y679" i="45" s="1"/>
  <c r="G654" i="45"/>
  <c r="Y654" i="45" s="1"/>
  <c r="G147" i="45"/>
  <c r="Y147" i="45" s="1"/>
  <c r="G417" i="45"/>
  <c r="Y417" i="45" s="1"/>
  <c r="G319" i="45"/>
  <c r="Y319" i="45" s="1"/>
  <c r="G261" i="45"/>
  <c r="Y261" i="45" s="1"/>
  <c r="G563" i="45"/>
  <c r="Y563" i="45" s="1"/>
  <c r="G326" i="45"/>
  <c r="Y326" i="45" s="1"/>
  <c r="G345" i="45"/>
  <c r="Y345" i="45" s="1"/>
  <c r="G312" i="45"/>
  <c r="Y312" i="45" s="1"/>
  <c r="G569" i="45"/>
  <c r="Y569" i="45" s="1"/>
  <c r="G561" i="45"/>
  <c r="Y561" i="45" s="1"/>
  <c r="G556" i="45"/>
  <c r="Y556" i="45" s="1"/>
  <c r="G407" i="45"/>
  <c r="Y407" i="45" s="1"/>
  <c r="G454" i="45"/>
  <c r="Y454" i="45" s="1"/>
  <c r="G480" i="45"/>
  <c r="Y480" i="45" s="1"/>
  <c r="G455" i="45"/>
  <c r="Y455" i="45" s="1"/>
  <c r="G239" i="45"/>
  <c r="Y239" i="45" s="1"/>
  <c r="G527" i="45"/>
  <c r="Y527" i="45" s="1"/>
  <c r="G297" i="45"/>
  <c r="Y297" i="45" s="1"/>
  <c r="G473" i="45"/>
  <c r="Y473" i="45" s="1"/>
  <c r="G176" i="45"/>
  <c r="G304" i="45"/>
  <c r="Y304" i="45" s="1"/>
  <c r="G479" i="45"/>
  <c r="Y479" i="45" s="1"/>
  <c r="G576" i="45"/>
  <c r="Y576" i="45" s="1"/>
  <c r="G184" i="45"/>
  <c r="Y184" i="45" s="1"/>
  <c r="G666" i="45"/>
  <c r="Y666" i="45" s="1"/>
  <c r="G633" i="45"/>
  <c r="Y633" i="45" s="1"/>
  <c r="G543" i="45"/>
  <c r="Y543" i="45" s="1"/>
  <c r="G222" i="45"/>
  <c r="Y222" i="45" s="1"/>
  <c r="G131" i="45"/>
  <c r="G420" i="45"/>
  <c r="Y420" i="45" s="1"/>
  <c r="G496" i="45"/>
  <c r="Y496" i="45" s="1"/>
  <c r="G621" i="45"/>
  <c r="Y621" i="45" s="1"/>
  <c r="G389" i="45"/>
  <c r="Y389" i="45" s="1"/>
  <c r="G661" i="45"/>
  <c r="Y661" i="45" s="1"/>
  <c r="G607" i="45"/>
  <c r="Y607" i="45" s="1"/>
  <c r="G421" i="45"/>
  <c r="Y421" i="45" s="1"/>
  <c r="G550" i="45"/>
  <c r="Y550" i="45" s="1"/>
  <c r="G258" i="45"/>
  <c r="Y258" i="45" s="1"/>
  <c r="G221" i="45"/>
  <c r="Y221" i="45" s="1"/>
  <c r="G106" i="45"/>
  <c r="G171" i="45"/>
  <c r="Y171" i="45" s="1"/>
  <c r="G544" i="45"/>
  <c r="Y544" i="45" s="1"/>
  <c r="G466" i="45"/>
  <c r="Y466" i="45" s="1"/>
  <c r="G196" i="45"/>
  <c r="Y196" i="45" s="1"/>
  <c r="G578" i="45"/>
  <c r="Y578" i="45" s="1"/>
  <c r="G612" i="45"/>
  <c r="Y612" i="45" s="1"/>
  <c r="G410" i="45"/>
  <c r="Y410" i="45" s="1"/>
  <c r="G643" i="45"/>
  <c r="Y643" i="45" s="1"/>
  <c r="G141" i="45"/>
  <c r="Y141" i="45" s="1"/>
  <c r="G155" i="45"/>
  <c r="Y155" i="45" s="1"/>
  <c r="G453" i="45"/>
  <c r="Y453" i="45" s="1"/>
  <c r="G263" i="45"/>
  <c r="Y263" i="45" s="1"/>
  <c r="G535" i="45"/>
  <c r="Y535" i="45" s="1"/>
  <c r="G161" i="45"/>
  <c r="Y161" i="45" s="1"/>
  <c r="G191" i="45"/>
  <c r="Y191" i="45" s="1"/>
  <c r="G512" i="45"/>
  <c r="G350" i="45"/>
  <c r="Y350" i="45" s="1"/>
  <c r="G560" i="45"/>
  <c r="G172" i="45"/>
  <c r="Y172" i="45" s="1"/>
  <c r="G197" i="45"/>
  <c r="Y197" i="45" s="1"/>
  <c r="G195" i="45"/>
  <c r="Y195" i="45" s="1"/>
  <c r="G246" i="45"/>
  <c r="Y246" i="45" s="1"/>
  <c r="G435" i="45"/>
  <c r="Y435" i="45" s="1"/>
  <c r="G526" i="45"/>
  <c r="Y526" i="45" s="1"/>
  <c r="G431" i="45"/>
  <c r="Y431" i="45" s="1"/>
  <c r="G388" i="45"/>
  <c r="Y388" i="45" s="1"/>
  <c r="G343" i="45"/>
  <c r="Y343" i="45" s="1"/>
  <c r="G254" i="45"/>
  <c r="Y254" i="45" s="1"/>
  <c r="G488" i="45"/>
  <c r="G394" i="45"/>
  <c r="Y394" i="45" s="1"/>
  <c r="G334" i="45"/>
  <c r="Y334" i="45" s="1"/>
  <c r="G594" i="45"/>
  <c r="Y594" i="45" s="1"/>
  <c r="G568" i="45"/>
  <c r="Y568" i="45" s="1"/>
  <c r="G217" i="45"/>
  <c r="Y217" i="45" s="1"/>
  <c r="G615" i="45"/>
  <c r="Y615" i="45" s="1"/>
  <c r="G652" i="45"/>
  <c r="Y652" i="45" s="1"/>
  <c r="G671" i="45"/>
  <c r="Y671" i="45" s="1"/>
  <c r="G546" i="45"/>
  <c r="Y546" i="45" s="1"/>
  <c r="G660" i="45"/>
  <c r="Y660" i="45" s="1"/>
  <c r="G596" i="45"/>
  <c r="G509" i="45"/>
  <c r="Y509" i="45" s="1"/>
  <c r="G533" i="45"/>
  <c r="Y533" i="45" s="1"/>
  <c r="G137" i="45"/>
  <c r="Y137" i="45" s="1"/>
  <c r="G530" i="45"/>
  <c r="Y530" i="45" s="1"/>
  <c r="G623" i="45"/>
  <c r="Y623" i="45" s="1"/>
  <c r="G416" i="45"/>
  <c r="G259" i="45"/>
  <c r="Y259" i="45" s="1"/>
  <c r="G122" i="45"/>
  <c r="G300" i="45"/>
  <c r="Y300" i="45" s="1"/>
  <c r="G493" i="45"/>
  <c r="Y493" i="45" s="1"/>
  <c r="G426" i="45"/>
  <c r="Y426" i="45" s="1"/>
  <c r="G224" i="45"/>
  <c r="G658" i="45"/>
  <c r="Y658" i="45" s="1"/>
  <c r="G194" i="45"/>
  <c r="Y194" i="45" s="1"/>
  <c r="G174" i="45"/>
  <c r="Y174" i="45" s="1"/>
  <c r="G674" i="45"/>
  <c r="Y674" i="45" s="1"/>
  <c r="G438" i="45"/>
  <c r="Y438" i="45" s="1"/>
  <c r="G372" i="45"/>
  <c r="Y372" i="45" s="1"/>
  <c r="G262" i="45"/>
  <c r="Y262" i="45" s="1"/>
  <c r="G163" i="45"/>
  <c r="Y163" i="45" s="1"/>
  <c r="G592" i="45"/>
  <c r="Y592" i="45" s="1"/>
  <c r="G441" i="45"/>
  <c r="Y441" i="45" s="1"/>
  <c r="G445" i="45"/>
  <c r="Y445" i="45" s="1"/>
  <c r="G570" i="45"/>
  <c r="Y570" i="45" s="1"/>
  <c r="G150" i="45"/>
  <c r="Y150" i="45" s="1"/>
  <c r="G659" i="45"/>
  <c r="Y659" i="45" s="1"/>
  <c r="G642" i="45"/>
  <c r="Y642" i="45" s="1"/>
  <c r="G202" i="45"/>
  <c r="Y202" i="45" s="1"/>
  <c r="G517" i="45"/>
  <c r="Y517" i="45" s="1"/>
  <c r="G471" i="45"/>
  <c r="Y471" i="45" s="1"/>
  <c r="G537" i="45"/>
  <c r="Y537" i="45" s="1"/>
  <c r="G436" i="45"/>
  <c r="Y436" i="45" s="1"/>
  <c r="G567" i="45"/>
  <c r="Y567" i="45" s="1"/>
  <c r="G449" i="45"/>
  <c r="Y449" i="45" s="1"/>
  <c r="G324" i="45"/>
  <c r="Y324" i="45" s="1"/>
  <c r="G178" i="45"/>
  <c r="Y178" i="45" s="1"/>
  <c r="G276" i="45"/>
  <c r="Y276" i="45" s="1"/>
  <c r="G182" i="45"/>
  <c r="Y182" i="45" s="1"/>
  <c r="G164" i="45"/>
  <c r="G681" i="45"/>
  <c r="G510" i="45"/>
  <c r="Y510" i="45" s="1"/>
  <c r="G600" i="45"/>
  <c r="Y600" i="45" s="1"/>
  <c r="G653" i="45"/>
  <c r="Y653" i="45" s="1"/>
  <c r="G327" i="45"/>
  <c r="Y327" i="45" s="1"/>
  <c r="G289" i="45"/>
  <c r="Y289" i="45" s="1"/>
  <c r="G250" i="45"/>
  <c r="Y250" i="45" s="1"/>
  <c r="G284" i="45"/>
  <c r="G313" i="45"/>
  <c r="Y313" i="45" s="1"/>
  <c r="G149" i="45"/>
  <c r="Y149" i="45" s="1"/>
  <c r="G538" i="45"/>
  <c r="Y538" i="45" s="1"/>
  <c r="G159" i="45"/>
  <c r="Y159" i="45" s="1"/>
  <c r="G366" i="45"/>
  <c r="Y366" i="45" s="1"/>
  <c r="G360" i="45"/>
  <c r="Y360" i="45" s="1"/>
  <c r="G307" i="45"/>
  <c r="Y307" i="45" s="1"/>
  <c r="G156" i="45"/>
  <c r="Y156" i="45" s="1"/>
  <c r="G625" i="45"/>
  <c r="Y625" i="45" s="1"/>
  <c r="G656" i="45"/>
  <c r="G575" i="45"/>
  <c r="Y575" i="45" s="1"/>
  <c r="G318" i="45"/>
  <c r="Y318" i="45" s="1"/>
  <c r="G332" i="45"/>
  <c r="G382" i="45"/>
  <c r="Y382" i="45" s="1"/>
  <c r="G291" i="45"/>
  <c r="Y291" i="45" s="1"/>
  <c r="G162" i="45"/>
  <c r="Y162" i="45" s="1"/>
  <c r="G377" i="45"/>
  <c r="Y377" i="45" s="1"/>
  <c r="G379" i="45"/>
  <c r="Y379" i="45" s="1"/>
  <c r="G328" i="45"/>
  <c r="Y328" i="45" s="1"/>
  <c r="G474" i="45"/>
  <c r="Y474" i="45" s="1"/>
  <c r="G637" i="45"/>
  <c r="Y637" i="45" s="1"/>
  <c r="G200" i="45"/>
  <c r="G548" i="45"/>
  <c r="G422" i="45"/>
  <c r="Y422" i="45" s="1"/>
  <c r="G408" i="45"/>
  <c r="Y408" i="45" s="1"/>
  <c r="G627" i="45"/>
  <c r="Y627" i="45" s="1"/>
  <c r="G142" i="45"/>
  <c r="Y142" i="45" s="1"/>
  <c r="G552" i="45"/>
  <c r="Y552" i="45" s="1"/>
  <c r="G260" i="45"/>
  <c r="G227" i="45"/>
  <c r="Y227" i="45" s="1"/>
  <c r="G584" i="45"/>
  <c r="G515" i="45"/>
  <c r="Y515" i="45" s="1"/>
  <c r="G237" i="45"/>
  <c r="Y237" i="45" s="1"/>
  <c r="G370" i="45"/>
  <c r="Y370" i="45" s="1"/>
  <c r="G229" i="45"/>
  <c r="Y229" i="45" s="1"/>
  <c r="G201" i="45"/>
  <c r="Y201" i="45" s="1"/>
  <c r="G630" i="45"/>
  <c r="Y630" i="45" s="1"/>
  <c r="G125" i="45"/>
  <c r="G139" i="45"/>
  <c r="Y139" i="45" s="1"/>
  <c r="G586" i="45"/>
  <c r="Y586" i="45" s="1"/>
  <c r="G268" i="45"/>
  <c r="Y268" i="45" s="1"/>
  <c r="G220" i="45"/>
  <c r="Y220" i="45" s="1"/>
  <c r="G636" i="45"/>
  <c r="Y636" i="45" s="1"/>
  <c r="G344" i="45"/>
  <c r="G514" i="45"/>
  <c r="Y514" i="45" s="1"/>
  <c r="G562" i="45"/>
  <c r="Y562" i="45" s="1"/>
  <c r="G500" i="45"/>
  <c r="G335" i="45"/>
  <c r="Y335" i="45" s="1"/>
  <c r="G295" i="45"/>
  <c r="Y295" i="45" s="1"/>
  <c r="G283" i="45"/>
  <c r="Y283" i="45" s="1"/>
  <c r="G146" i="45"/>
  <c r="Y146" i="45" s="1"/>
  <c r="G154" i="45"/>
  <c r="Y154" i="45" s="1"/>
  <c r="G223" i="45"/>
  <c r="Y223" i="45" s="1"/>
  <c r="G447" i="45"/>
  <c r="Y447" i="45" s="1"/>
  <c r="G286" i="45"/>
  <c r="Y286" i="45" s="1"/>
  <c r="G406" i="45"/>
  <c r="Y406" i="45" s="1"/>
  <c r="G411" i="45"/>
  <c r="Y411" i="45" s="1"/>
  <c r="G348" i="45"/>
  <c r="Y348" i="45" s="1"/>
  <c r="G491" i="45"/>
  <c r="Y491" i="45" s="1"/>
  <c r="G281" i="45"/>
  <c r="Y281" i="45" s="1"/>
  <c r="G680" i="45"/>
  <c r="G285" i="45"/>
  <c r="Y285" i="45" s="1"/>
  <c r="G216" i="45"/>
  <c r="Y216" i="45" s="1"/>
  <c r="G215" i="45"/>
  <c r="Y215" i="45" s="1"/>
  <c r="G458" i="45"/>
  <c r="Y458" i="45" s="1"/>
  <c r="G418" i="45"/>
  <c r="Y418" i="45" s="1"/>
  <c r="G529" i="45"/>
  <c r="Y529" i="45" s="1"/>
  <c r="G542" i="45"/>
  <c r="Y542" i="45" s="1"/>
  <c r="G305" i="45"/>
  <c r="Y305" i="45" s="1"/>
  <c r="G620" i="45"/>
  <c r="G177" i="45"/>
  <c r="Y177" i="45" s="1"/>
  <c r="G359" i="45"/>
  <c r="Y359" i="45" s="1"/>
  <c r="G331" i="45"/>
  <c r="Y331" i="45" s="1"/>
  <c r="G409" i="45"/>
  <c r="Y409" i="45" s="1"/>
  <c r="G267" i="45"/>
  <c r="Y267" i="45" s="1"/>
  <c r="G413" i="45"/>
  <c r="Y413" i="45" s="1"/>
  <c r="G242" i="45"/>
  <c r="Y242" i="45" s="1"/>
  <c r="G153" i="45"/>
  <c r="Y153" i="45" s="1"/>
  <c r="G424" i="45"/>
  <c r="Y424" i="45" s="1"/>
  <c r="G185" i="45"/>
  <c r="Y185" i="45" s="1"/>
  <c r="G208" i="45"/>
  <c r="Y208" i="45" s="1"/>
  <c r="G573" i="45"/>
  <c r="Y573" i="45" s="1"/>
  <c r="G589" i="45"/>
  <c r="Y589" i="45" s="1"/>
  <c r="G504" i="45"/>
  <c r="Y504" i="45" s="1"/>
  <c r="G442" i="45"/>
  <c r="Y442" i="45" s="1"/>
  <c r="G112" i="45"/>
  <c r="G144" i="45"/>
  <c r="Y144" i="45" s="1"/>
  <c r="G203" i="45"/>
  <c r="Y203" i="45" s="1"/>
  <c r="G132" i="45"/>
  <c r="G179" i="45"/>
  <c r="Y179" i="45" s="1"/>
  <c r="G503" i="45"/>
  <c r="Y503" i="45" s="1"/>
  <c r="G481" i="45"/>
  <c r="Y481" i="45" s="1"/>
  <c r="G115" i="45"/>
  <c r="G555" i="45"/>
  <c r="Y555" i="45" s="1"/>
  <c r="G460" i="45"/>
  <c r="Y460" i="45" s="1"/>
  <c r="G468" i="45"/>
  <c r="Y468" i="45" s="1"/>
  <c r="G608" i="45"/>
  <c r="G669" i="45"/>
  <c r="Y669" i="45" s="1"/>
  <c r="G183" i="45"/>
  <c r="Y183" i="45" s="1"/>
  <c r="G134" i="45"/>
  <c r="G428" i="45"/>
  <c r="G437" i="45"/>
  <c r="Y437" i="45" s="1"/>
  <c r="G565" i="45"/>
  <c r="Y565" i="45" s="1"/>
  <c r="G383" i="45"/>
  <c r="Y383" i="45" s="1"/>
  <c r="G306" i="45"/>
  <c r="Y306" i="45" s="1"/>
  <c r="G662" i="45"/>
  <c r="Y662" i="45" s="1"/>
  <c r="G632" i="45"/>
  <c r="G280" i="45"/>
  <c r="Y280" i="45" s="1"/>
  <c r="G321" i="45"/>
  <c r="Y321" i="45" s="1"/>
  <c r="G583" i="45"/>
  <c r="Y583" i="45" s="1"/>
  <c r="G355" i="45"/>
  <c r="Y355" i="45" s="1"/>
  <c r="G452" i="45"/>
  <c r="G617" i="45"/>
  <c r="Y617" i="45" s="1"/>
  <c r="G126" i="45"/>
  <c r="G574" i="45"/>
  <c r="Y574" i="45" s="1"/>
  <c r="G188" i="45"/>
  <c r="G655" i="45"/>
  <c r="Y655" i="45" s="1"/>
  <c r="G257" i="45"/>
  <c r="Y257" i="45" s="1"/>
  <c r="G251" i="45"/>
  <c r="Y251" i="45" s="1"/>
  <c r="G240" i="45"/>
  <c r="Y240" i="45" s="1"/>
  <c r="G677" i="45"/>
  <c r="Y677" i="45" s="1"/>
  <c r="G158" i="45"/>
  <c r="Y158" i="45" s="1"/>
  <c r="G231" i="45"/>
  <c r="Y231" i="45" s="1"/>
  <c r="G506" i="45"/>
  <c r="Y506" i="45" s="1"/>
  <c r="G213" i="45"/>
  <c r="Y213" i="45" s="1"/>
  <c r="G375" i="45"/>
  <c r="Y375" i="45" s="1"/>
  <c r="G288" i="45"/>
  <c r="Y288" i="45" s="1"/>
  <c r="G114" i="45"/>
  <c r="G247" i="45"/>
  <c r="Y247" i="45" s="1"/>
  <c r="G439" i="45"/>
  <c r="Y439" i="45" s="1"/>
  <c r="G364" i="45"/>
  <c r="Y364" i="45" s="1"/>
  <c r="G577" i="45"/>
  <c r="Y577" i="45" s="1"/>
  <c r="G597" i="45"/>
  <c r="Y597" i="45" s="1"/>
  <c r="G376" i="45"/>
  <c r="Y376" i="45" s="1"/>
  <c r="G293" i="45"/>
  <c r="Y293" i="45" s="1"/>
  <c r="G385" i="45"/>
  <c r="Y385" i="45" s="1"/>
  <c r="G210" i="45"/>
  <c r="Y210" i="45" s="1"/>
  <c r="G234" i="45"/>
  <c r="Y234" i="45" s="1"/>
  <c r="G582" i="45"/>
  <c r="Y582" i="45" s="1"/>
  <c r="G361" i="45"/>
  <c r="Y361" i="45" s="1"/>
  <c r="G485" i="45"/>
  <c r="Y485" i="45" s="1"/>
  <c r="G228" i="45"/>
  <c r="Y228" i="45" s="1"/>
  <c r="G501" i="45"/>
  <c r="Y501" i="45" s="1"/>
  <c r="G434" i="45"/>
  <c r="Y434" i="45" s="1"/>
  <c r="G245" i="45"/>
  <c r="Y245" i="45" s="1"/>
  <c r="G425" i="45"/>
  <c r="Y425" i="45" s="1"/>
  <c r="G349" i="45"/>
  <c r="Y349" i="45" s="1"/>
  <c r="G354" i="45"/>
  <c r="Y354" i="45" s="1"/>
  <c r="G135" i="45"/>
  <c r="G205" i="45"/>
  <c r="Y205" i="45" s="1"/>
  <c r="G167" i="45"/>
  <c r="Y167" i="45" s="1"/>
  <c r="G273" i="45"/>
  <c r="Y273" i="45" s="1"/>
  <c r="G457" i="45"/>
  <c r="Y457" i="45" s="1"/>
  <c r="G396" i="45"/>
  <c r="Y396" i="45" s="1"/>
  <c r="G404" i="45"/>
  <c r="G558" i="45"/>
  <c r="Y558" i="45" s="1"/>
  <c r="G645" i="45"/>
  <c r="Y645" i="45" s="1"/>
  <c r="G173" i="45"/>
  <c r="Y173" i="45" s="1"/>
  <c r="G403" i="45"/>
  <c r="Y403" i="45" s="1"/>
  <c r="G192" i="45"/>
  <c r="Y192" i="45" s="1"/>
  <c r="G650" i="45"/>
  <c r="Y650" i="45" s="1"/>
  <c r="G673" i="45"/>
  <c r="Y673" i="45" s="1"/>
  <c r="G330" i="45"/>
  <c r="Y330" i="45" s="1"/>
  <c r="G322" i="45"/>
  <c r="Y322" i="45" s="1"/>
  <c r="G540" i="45"/>
  <c r="Y540" i="45" s="1"/>
  <c r="G638" i="45"/>
  <c r="Y638" i="45" s="1"/>
  <c r="G207" i="45"/>
  <c r="Y207" i="45" s="1"/>
  <c r="G287" i="45"/>
  <c r="Y287" i="45" s="1"/>
  <c r="G414" i="45"/>
  <c r="Y414" i="45" s="1"/>
  <c r="G465" i="45"/>
  <c r="Y465" i="45" s="1"/>
  <c r="G315" i="45"/>
  <c r="Y315" i="45" s="1"/>
  <c r="G266" i="45"/>
  <c r="Y266" i="45" s="1"/>
  <c r="G490" i="45"/>
  <c r="Y490" i="45" s="1"/>
  <c r="G554" i="45"/>
  <c r="Y554" i="45" s="1"/>
  <c r="G430" i="45"/>
  <c r="Y430" i="45" s="1"/>
  <c r="G299" i="45"/>
  <c r="Y299" i="45" s="1"/>
  <c r="G323" i="45"/>
  <c r="Y323" i="45" s="1"/>
  <c r="G601" i="45"/>
  <c r="Y601" i="45" s="1"/>
  <c r="G226" i="45"/>
  <c r="Y226" i="45" s="1"/>
  <c r="G387" i="45"/>
  <c r="Y387" i="45" s="1"/>
  <c r="G190" i="45"/>
  <c r="Y190" i="45" s="1"/>
  <c r="G443" i="45"/>
  <c r="Y443" i="45" s="1"/>
  <c r="G170" i="45"/>
  <c r="Y170" i="45" s="1"/>
  <c r="G133" i="45"/>
  <c r="G541" i="45"/>
  <c r="Y541" i="45" s="1"/>
  <c r="G648" i="45"/>
  <c r="Y648" i="45" s="1"/>
  <c r="G241" i="45"/>
  <c r="Y241" i="45" s="1"/>
  <c r="G532" i="45"/>
  <c r="Y532" i="45" s="1"/>
  <c r="G316" i="45"/>
  <c r="Y316" i="45" s="1"/>
  <c r="G123" i="45"/>
  <c r="G391" i="45"/>
  <c r="Y391" i="45" s="1"/>
  <c r="G333" i="45"/>
  <c r="Y333" i="45" s="1"/>
  <c r="G340" i="45"/>
  <c r="Y340" i="45" s="1"/>
  <c r="G591" i="45"/>
  <c r="Y591" i="45" s="1"/>
  <c r="G128" i="45"/>
  <c r="G459" i="45"/>
  <c r="Y459" i="45" s="1"/>
  <c r="G130" i="45"/>
  <c r="G649" i="45"/>
  <c r="Y649" i="45" s="1"/>
  <c r="G397" i="45"/>
  <c r="Y397" i="45" s="1"/>
  <c r="G269" i="45"/>
  <c r="Y269" i="45" s="1"/>
  <c r="G292" i="45"/>
  <c r="Y292" i="45" s="1"/>
  <c r="G290" i="45"/>
  <c r="Y290" i="45" s="1"/>
  <c r="G233" i="45"/>
  <c r="Y233" i="45" s="1"/>
  <c r="G664" i="45"/>
  <c r="Y664" i="45" s="1"/>
  <c r="G423" i="45"/>
  <c r="Y423" i="45" s="1"/>
  <c r="G646" i="45"/>
  <c r="Y646" i="45" s="1"/>
  <c r="G402" i="45"/>
  <c r="Y402" i="45" s="1"/>
  <c r="G613" i="45"/>
  <c r="Y613" i="45" s="1"/>
  <c r="G580" i="45"/>
  <c r="Y580" i="45" s="1"/>
  <c r="G301" i="45"/>
  <c r="Y301" i="45" s="1"/>
  <c r="G497" i="45"/>
  <c r="Y497" i="45" s="1"/>
  <c r="G606" i="45"/>
  <c r="Y606" i="45" s="1"/>
  <c r="G626" i="45"/>
  <c r="Y626" i="45" s="1"/>
  <c r="G547" i="45"/>
  <c r="Y547" i="45" s="1"/>
  <c r="G369" i="45"/>
  <c r="Y369" i="45" s="1"/>
  <c r="G219" i="45"/>
  <c r="Y219" i="45" s="1"/>
  <c r="G634" i="45"/>
  <c r="Y634" i="45" s="1"/>
  <c r="G635" i="45"/>
  <c r="Y635" i="45" s="1"/>
  <c r="G429" i="45"/>
  <c r="Y429" i="45" s="1"/>
  <c r="G180" i="45"/>
  <c r="Y180" i="45" s="1"/>
  <c r="G551" i="45"/>
  <c r="Y551" i="45" s="1"/>
  <c r="G140" i="45"/>
  <c r="G244" i="45"/>
  <c r="Y244" i="45" s="1"/>
  <c r="G440" i="45"/>
  <c r="G199" i="45"/>
  <c r="Y199" i="45" s="1"/>
  <c r="G311" i="45"/>
  <c r="Y311" i="45" s="1"/>
  <c r="G317" i="45"/>
  <c r="Y317" i="45" s="1"/>
  <c r="G559" i="45"/>
  <c r="Y559" i="45" s="1"/>
  <c r="G602" i="45"/>
  <c r="Y602" i="45" s="1"/>
  <c r="G665" i="45"/>
  <c r="Y665" i="45" s="1"/>
  <c r="G393" i="45"/>
  <c r="Y393" i="45" s="1"/>
  <c r="G166" i="45"/>
  <c r="Y166" i="45" s="1"/>
  <c r="G279" i="45"/>
  <c r="Y279" i="45" s="1"/>
  <c r="G278" i="45"/>
  <c r="Y278" i="45" s="1"/>
  <c r="G356" i="45"/>
  <c r="G595" i="45"/>
  <c r="Y595" i="45" s="1"/>
  <c r="G136" i="45"/>
  <c r="G308" i="45"/>
  <c r="G472" i="45"/>
  <c r="Y472" i="45" s="1"/>
  <c r="G511" i="45"/>
  <c r="Y511" i="45" s="1"/>
  <c r="G641" i="45"/>
  <c r="Y641" i="45" s="1"/>
  <c r="G211" i="45"/>
  <c r="Y211" i="45" s="1"/>
  <c r="G357" i="45"/>
  <c r="Y357" i="45" s="1"/>
  <c r="G572" i="45"/>
  <c r="G519" i="45"/>
  <c r="Y519" i="45" s="1"/>
  <c r="G605" i="45"/>
  <c r="Y605" i="45" s="1"/>
  <c r="G277" i="45"/>
  <c r="Y277" i="45" s="1"/>
  <c r="G521" i="45"/>
  <c r="Y521" i="45" s="1"/>
  <c r="G274" i="45"/>
  <c r="Y274" i="45" s="1"/>
  <c r="G225" i="45"/>
  <c r="Y225" i="45" s="1"/>
  <c r="G657" i="45"/>
  <c r="Y657" i="45" s="1"/>
  <c r="G467" i="45"/>
  <c r="Y467" i="45" s="1"/>
  <c r="G433" i="45"/>
  <c r="Y433" i="45" s="1"/>
  <c r="G346" i="45"/>
  <c r="Y346" i="45" s="1"/>
  <c r="G353" i="45"/>
  <c r="Y353" i="45" s="1"/>
  <c r="G672" i="45"/>
  <c r="Y672" i="45" s="1"/>
  <c r="G525" i="45"/>
  <c r="Y525" i="45" s="1"/>
  <c r="G553" i="45"/>
  <c r="Y553" i="45" s="1"/>
  <c r="G249" i="45"/>
  <c r="Y249" i="45" s="1"/>
  <c r="G603" i="45"/>
  <c r="Y603" i="45" s="1"/>
  <c r="G498" i="45"/>
  <c r="Y498" i="45" s="1"/>
  <c r="G175" i="45"/>
  <c r="Y175" i="45" s="1"/>
  <c r="G640" i="45"/>
  <c r="Y640" i="45" s="1"/>
  <c r="G186" i="45"/>
  <c r="Y186" i="45" s="1"/>
  <c r="G296" i="45"/>
  <c r="G502" i="45"/>
  <c r="Y502" i="45" s="1"/>
  <c r="G507" i="45"/>
  <c r="Y507" i="45" s="1"/>
  <c r="G148" i="45"/>
  <c r="Y148" i="45" s="1"/>
  <c r="G405" i="45"/>
  <c r="Y405" i="45" s="1"/>
  <c r="G523" i="45"/>
  <c r="Y523" i="45" s="1"/>
  <c r="G390" i="45"/>
  <c r="Y390" i="45" s="1"/>
  <c r="G518" i="45"/>
  <c r="Y518" i="45" s="1"/>
  <c r="G675" i="45"/>
  <c r="Y675" i="45" s="1"/>
  <c r="G415" i="45"/>
  <c r="Y415" i="45" s="1"/>
  <c r="G670" i="45"/>
  <c r="Y670" i="45" s="1"/>
  <c r="G374" i="45"/>
  <c r="Y374" i="45" s="1"/>
  <c r="G456" i="45"/>
  <c r="Y456" i="45" s="1"/>
  <c r="G365" i="45"/>
  <c r="Y365" i="45" s="1"/>
  <c r="G314" i="45"/>
  <c r="Y314" i="45" s="1"/>
  <c r="G624" i="45"/>
  <c r="Y624" i="45" s="1"/>
  <c r="G198" i="45"/>
  <c r="Y198" i="45" s="1"/>
  <c r="G120" i="45"/>
  <c r="G451" i="45"/>
  <c r="Y451" i="45" s="1"/>
  <c r="G446" i="45"/>
  <c r="Y446" i="45" s="1"/>
  <c r="G398" i="45"/>
  <c r="Y398" i="45" s="1"/>
  <c r="G520" i="45"/>
  <c r="Y520" i="45" s="1"/>
  <c r="G566" i="45"/>
  <c r="Y566" i="45" s="1"/>
  <c r="G599" i="45"/>
  <c r="Y599" i="45" s="1"/>
  <c r="G189" i="45"/>
  <c r="Y189" i="45" s="1"/>
  <c r="G463" i="45"/>
  <c r="Y463" i="45" s="1"/>
  <c r="G401" i="45"/>
  <c r="Y401" i="45" s="1"/>
  <c r="G667" i="45"/>
  <c r="Y667" i="45" s="1"/>
  <c r="G248" i="45"/>
  <c r="G476" i="45"/>
  <c r="G271" i="45"/>
  <c r="Y271" i="45" s="1"/>
  <c r="G214" i="45"/>
  <c r="Y214" i="45" s="1"/>
  <c r="G329" i="45"/>
  <c r="Y329" i="45" s="1"/>
  <c r="G236" i="45"/>
  <c r="G363" i="45"/>
  <c r="Y363" i="45" s="1"/>
  <c r="G352" i="45"/>
  <c r="Y352" i="45" s="1"/>
  <c r="G495" i="45"/>
  <c r="Y495" i="45" s="1"/>
  <c r="G381" i="45"/>
  <c r="Y381" i="45" s="1"/>
  <c r="G536" i="45"/>
  <c r="G489" i="45"/>
  <c r="Y489" i="45" s="1"/>
  <c r="G528" i="45"/>
  <c r="Y528" i="45" s="1"/>
  <c r="G341" i="45"/>
  <c r="Y341" i="45" s="1"/>
  <c r="G270" i="45"/>
  <c r="Y270" i="45" s="1"/>
  <c r="G386" i="45"/>
  <c r="Y386" i="45" s="1"/>
  <c r="G310" i="45"/>
  <c r="Y310" i="45" s="1"/>
  <c r="G628" i="45"/>
  <c r="Y628" i="45" s="1"/>
  <c r="G531" i="45"/>
  <c r="Y531" i="45" s="1"/>
  <c r="G362" i="45"/>
  <c r="Y362" i="45" s="1"/>
  <c r="G265" i="45"/>
  <c r="Y265" i="45" s="1"/>
  <c r="G484" i="45"/>
  <c r="Y484" i="45" s="1"/>
  <c r="G400" i="45"/>
  <c r="Y400" i="45" s="1"/>
  <c r="G235" i="45"/>
  <c r="Y235" i="45" s="1"/>
  <c r="G651" i="45"/>
  <c r="Y651" i="45" s="1"/>
  <c r="G368" i="45"/>
  <c r="G619" i="45"/>
  <c r="Y619" i="45" s="1"/>
  <c r="G614" i="45"/>
  <c r="Y614" i="45" s="1"/>
  <c r="G272" i="45"/>
  <c r="G444" i="45"/>
  <c r="Y444" i="45" s="1"/>
  <c r="G336" i="45"/>
  <c r="Y336" i="45" s="1"/>
  <c r="G581" i="45"/>
  <c r="Y581" i="45" s="1"/>
  <c r="G516" i="45"/>
  <c r="Y516" i="45" s="1"/>
  <c r="G616" i="45"/>
  <c r="Y616" i="45" s="1"/>
  <c r="G618" i="45"/>
  <c r="Y618" i="45" s="1"/>
  <c r="G678" i="45"/>
  <c r="Y678" i="45" s="1"/>
  <c r="G145" i="45"/>
  <c r="Y145" i="45" s="1"/>
  <c r="G487" i="45"/>
  <c r="Y487" i="45" s="1"/>
  <c r="G392" i="45"/>
  <c r="G303" i="45"/>
  <c r="Y303" i="45" s="1"/>
  <c r="G524" i="45"/>
  <c r="G663" i="45"/>
  <c r="Y663" i="45" s="1"/>
  <c r="G395" i="45"/>
  <c r="Y395" i="45" s="1"/>
  <c r="G477" i="45"/>
  <c r="Y477" i="45" s="1"/>
  <c r="G427" i="45"/>
  <c r="Y427" i="45" s="1"/>
  <c r="G494" i="45"/>
  <c r="Y494" i="45" s="1"/>
  <c r="G193" i="45"/>
  <c r="Y193" i="45" s="1"/>
  <c r="G448" i="45"/>
  <c r="Y448" i="45" s="1"/>
  <c r="G378" i="45"/>
  <c r="Y378" i="45" s="1"/>
  <c r="G639" i="45"/>
  <c r="Y639" i="45" s="1"/>
  <c r="G243" i="45"/>
  <c r="Y243" i="45" s="1"/>
  <c r="G419" i="45"/>
  <c r="Y419" i="45" s="1"/>
  <c r="G138" i="45"/>
  <c r="Y138" i="45" s="1"/>
  <c r="G470" i="45"/>
  <c r="Y470" i="45" s="1"/>
  <c r="G604" i="45"/>
  <c r="Y604" i="45" s="1"/>
  <c r="G169" i="45"/>
  <c r="Y169" i="45" s="1"/>
  <c r="G342" i="45"/>
  <c r="Y342" i="45" s="1"/>
  <c r="G152" i="45"/>
  <c r="G165" i="45"/>
  <c r="Y165" i="45" s="1"/>
  <c r="G157" i="45"/>
  <c r="Y157" i="45" s="1"/>
  <c r="G367" i="45"/>
  <c r="Y367" i="45" s="1"/>
  <c r="G380" i="45"/>
  <c r="G294" i="45"/>
  <c r="Y294" i="45" s="1"/>
  <c r="G255" i="45"/>
  <c r="Y255" i="45" s="1"/>
  <c r="G252" i="45"/>
  <c r="Y252" i="45" s="1"/>
  <c r="G282" i="45"/>
  <c r="Y282" i="45" s="1"/>
  <c r="G478" i="45"/>
  <c r="Y478" i="45" s="1"/>
  <c r="G339" i="45"/>
  <c r="Y339" i="45" s="1"/>
  <c r="G545" i="45"/>
  <c r="Y545" i="45" s="1"/>
  <c r="G629" i="45"/>
  <c r="Y629" i="45" s="1"/>
  <c r="G609" i="45"/>
  <c r="Y609" i="45" s="1"/>
  <c r="G590" i="45"/>
  <c r="Y590" i="45" s="1"/>
  <c r="G475" i="45"/>
  <c r="Y475" i="45" s="1"/>
  <c r="D137" i="20"/>
  <c r="BE137" i="20"/>
  <c r="D136" i="20"/>
  <c r="H741" i="45"/>
  <c r="H1293" i="45"/>
  <c r="H921" i="45"/>
  <c r="H729" i="45"/>
  <c r="H717" i="45"/>
  <c r="H1317" i="45"/>
  <c r="H1089" i="45"/>
  <c r="H1257" i="45"/>
  <c r="H1029" i="45"/>
  <c r="H933" i="45"/>
  <c r="H957" i="45"/>
  <c r="H753" i="45"/>
  <c r="H1137" i="45"/>
  <c r="H825" i="45"/>
  <c r="H813" i="45"/>
  <c r="H885" i="45"/>
  <c r="H1125" i="45"/>
  <c r="H1281" i="45"/>
  <c r="H1209" i="45"/>
  <c r="H993" i="45"/>
  <c r="H1017" i="45"/>
  <c r="H897" i="45"/>
  <c r="H837" i="45"/>
  <c r="H1245" i="45"/>
  <c r="H693" i="45"/>
  <c r="H1269" i="45"/>
  <c r="H1173" i="45"/>
  <c r="H1329" i="45"/>
  <c r="H1101" i="45"/>
  <c r="H1005" i="45"/>
  <c r="H1113" i="45"/>
  <c r="H705" i="45"/>
  <c r="H849" i="45"/>
  <c r="H1221" i="45"/>
  <c r="H789" i="45"/>
  <c r="H981" i="45"/>
  <c r="H873" i="45"/>
  <c r="H777" i="45"/>
  <c r="H1185" i="45"/>
  <c r="H909" i="45"/>
  <c r="H1341" i="45"/>
  <c r="P1340" i="45" s="1"/>
  <c r="P1339" i="45" s="1"/>
  <c r="P1338" i="45" s="1"/>
  <c r="P1337" i="45" s="1"/>
  <c r="P1336" i="45" s="1"/>
  <c r="P1335" i="45" s="1"/>
  <c r="P1334" i="45" s="1"/>
  <c r="P1333" i="45" s="1"/>
  <c r="P1332" i="45" s="1"/>
  <c r="P1331" i="45" s="1"/>
  <c r="P1330" i="45" s="1"/>
  <c r="P1329" i="45" s="1"/>
  <c r="H1065" i="45"/>
  <c r="H1077" i="45"/>
  <c r="H765" i="45"/>
  <c r="H861" i="45"/>
  <c r="H801" i="45"/>
  <c r="H945" i="45"/>
  <c r="H1197" i="45"/>
  <c r="H1161" i="45"/>
  <c r="H969" i="45"/>
  <c r="H1053" i="45"/>
  <c r="H1149" i="45"/>
  <c r="H1305" i="45"/>
  <c r="H1041" i="45"/>
  <c r="H1233" i="45"/>
  <c r="H573" i="45"/>
  <c r="H645" i="45"/>
  <c r="H429" i="45"/>
  <c r="H417" i="45"/>
  <c r="H597" i="45"/>
  <c r="H669" i="45"/>
  <c r="H537" i="45"/>
  <c r="H525" i="45"/>
  <c r="H609" i="45"/>
  <c r="H513" i="45"/>
  <c r="H393" i="45"/>
  <c r="H405" i="45"/>
  <c r="H501" i="45"/>
  <c r="H681" i="45"/>
  <c r="H465" i="45"/>
  <c r="H561" i="45"/>
  <c r="H633" i="45"/>
  <c r="H549" i="45"/>
  <c r="H657" i="45"/>
  <c r="H585" i="45"/>
  <c r="H489" i="45"/>
  <c r="H369" i="45"/>
  <c r="H441" i="45"/>
  <c r="H453" i="45"/>
  <c r="H477" i="45"/>
  <c r="H621" i="45"/>
  <c r="H381" i="45"/>
  <c r="G137" i="20"/>
  <c r="I137" i="20" s="1"/>
  <c r="AZ137" i="20"/>
  <c r="BD135" i="20"/>
  <c r="BC135" i="20"/>
  <c r="BA135" i="20"/>
  <c r="F135" i="20" s="1"/>
  <c r="R136" i="20"/>
  <c r="Y272" i="45" l="1"/>
  <c r="Y248" i="45"/>
  <c r="Y296" i="45"/>
  <c r="Y136" i="45"/>
  <c r="Y608" i="45"/>
  <c r="Y260" i="45"/>
  <c r="Y681" i="45"/>
  <c r="Y224" i="45"/>
  <c r="Y596" i="45"/>
  <c r="Y512" i="45"/>
  <c r="Y176" i="45"/>
  <c r="Y464" i="45"/>
  <c r="Y1341" i="45"/>
  <c r="L1340" i="45"/>
  <c r="J1341" i="45"/>
  <c r="J1340" i="45" s="1"/>
  <c r="J1339" i="45" s="1"/>
  <c r="J1338" i="45" s="1"/>
  <c r="J1337" i="45" s="1"/>
  <c r="J1336" i="45" s="1"/>
  <c r="J1335" i="45" s="1"/>
  <c r="J1334" i="45" s="1"/>
  <c r="J1333" i="45" s="1"/>
  <c r="J1332" i="45" s="1"/>
  <c r="J1331" i="45" s="1"/>
  <c r="J1330" i="45" s="1"/>
  <c r="J1329" i="45" s="1"/>
  <c r="J1328" i="45" s="1"/>
  <c r="J1327" i="45" s="1"/>
  <c r="J1326" i="45" s="1"/>
  <c r="J1325" i="45" s="1"/>
  <c r="J1324" i="45" s="1"/>
  <c r="J1323" i="45" s="1"/>
  <c r="J1322" i="45" s="1"/>
  <c r="J1321" i="45" s="1"/>
  <c r="J1320" i="45" s="1"/>
  <c r="J1319" i="45" s="1"/>
  <c r="J1318" i="45" s="1"/>
  <c r="J1317" i="45" s="1"/>
  <c r="J1316" i="45" s="1"/>
  <c r="J1315" i="45" s="1"/>
  <c r="J1314" i="45" s="1"/>
  <c r="J1313" i="45" s="1"/>
  <c r="J1312" i="45" s="1"/>
  <c r="J1311" i="45" s="1"/>
  <c r="J1310" i="45" s="1"/>
  <c r="J1309" i="45" s="1"/>
  <c r="J1308" i="45" s="1"/>
  <c r="J1307" i="45" s="1"/>
  <c r="J1306" i="45" s="1"/>
  <c r="J1305" i="45" s="1"/>
  <c r="J1304" i="45" s="1"/>
  <c r="J1303" i="45" s="1"/>
  <c r="J1302" i="45" s="1"/>
  <c r="J1301" i="45" s="1"/>
  <c r="J1300" i="45" s="1"/>
  <c r="J1299" i="45" s="1"/>
  <c r="J1298" i="45" s="1"/>
  <c r="J1297" i="45" s="1"/>
  <c r="J1296" i="45" s="1"/>
  <c r="J1295" i="45" s="1"/>
  <c r="J1294" i="45" s="1"/>
  <c r="J1293" i="45" s="1"/>
  <c r="J1292" i="45" s="1"/>
  <c r="J1291" i="45" s="1"/>
  <c r="J1290" i="45" s="1"/>
  <c r="J1289" i="45" s="1"/>
  <c r="J1288" i="45" s="1"/>
  <c r="J1287" i="45" s="1"/>
  <c r="J1286" i="45" s="1"/>
  <c r="J1285" i="45" s="1"/>
  <c r="J1284" i="45" s="1"/>
  <c r="J1283" i="45" s="1"/>
  <c r="J1282" i="45" s="1"/>
  <c r="J1281" i="45" s="1"/>
  <c r="J1280" i="45" s="1"/>
  <c r="J1279" i="45" s="1"/>
  <c r="J1278" i="45" s="1"/>
  <c r="J1277" i="45" s="1"/>
  <c r="J1276" i="45" s="1"/>
  <c r="J1275" i="45" s="1"/>
  <c r="J1274" i="45" s="1"/>
  <c r="J1273" i="45" s="1"/>
  <c r="J1272" i="45" s="1"/>
  <c r="J1271" i="45" s="1"/>
  <c r="J1270" i="45" s="1"/>
  <c r="J1269" i="45" s="1"/>
  <c r="J1268" i="45" s="1"/>
  <c r="J1267" i="45" s="1"/>
  <c r="J1266" i="45" s="1"/>
  <c r="J1265" i="45" s="1"/>
  <c r="J1264" i="45" s="1"/>
  <c r="J1263" i="45" s="1"/>
  <c r="J1262" i="45" s="1"/>
  <c r="J1261" i="45" s="1"/>
  <c r="J1260" i="45" s="1"/>
  <c r="J1259" i="45" s="1"/>
  <c r="J1258" i="45" s="1"/>
  <c r="J1257" i="45" s="1"/>
  <c r="J1256" i="45" s="1"/>
  <c r="J1255" i="45" s="1"/>
  <c r="J1254" i="45" s="1"/>
  <c r="J1253" i="45" s="1"/>
  <c r="J1252" i="45" s="1"/>
  <c r="J1251" i="45" s="1"/>
  <c r="J1250" i="45" s="1"/>
  <c r="J1249" i="45" s="1"/>
  <c r="J1248" i="45" s="1"/>
  <c r="J1247" i="45" s="1"/>
  <c r="J1246" i="45" s="1"/>
  <c r="J1245" i="45" s="1"/>
  <c r="J1244" i="45" s="1"/>
  <c r="J1243" i="45" s="1"/>
  <c r="J1242" i="45" s="1"/>
  <c r="J1241" i="45" s="1"/>
  <c r="J1240" i="45" s="1"/>
  <c r="J1239" i="45" s="1"/>
  <c r="J1238" i="45" s="1"/>
  <c r="J1237" i="45" s="1"/>
  <c r="J1236" i="45" s="1"/>
  <c r="J1235" i="45" s="1"/>
  <c r="J1234" i="45" s="1"/>
  <c r="J1233" i="45" s="1"/>
  <c r="J1232" i="45" s="1"/>
  <c r="J1231" i="45" s="1"/>
  <c r="J1230" i="45" s="1"/>
  <c r="J1229" i="45" s="1"/>
  <c r="J1228" i="45" s="1"/>
  <c r="J1227" i="45" s="1"/>
  <c r="J1226" i="45" s="1"/>
  <c r="J1225" i="45" s="1"/>
  <c r="J1224" i="45" s="1"/>
  <c r="J1223" i="45" s="1"/>
  <c r="J1222" i="45" s="1"/>
  <c r="J1221" i="45" s="1"/>
  <c r="J1220" i="45" s="1"/>
  <c r="J1219" i="45" s="1"/>
  <c r="J1218" i="45" s="1"/>
  <c r="J1217" i="45" s="1"/>
  <c r="J1216" i="45" s="1"/>
  <c r="J1215" i="45" s="1"/>
  <c r="J1214" i="45" s="1"/>
  <c r="J1213" i="45" s="1"/>
  <c r="J1212" i="45" s="1"/>
  <c r="J1211" i="45" s="1"/>
  <c r="J1210" i="45" s="1"/>
  <c r="J1209" i="45" s="1"/>
  <c r="J1208" i="45" s="1"/>
  <c r="J1207" i="45" s="1"/>
  <c r="J1206" i="45" s="1"/>
  <c r="J1205" i="45" s="1"/>
  <c r="J1204" i="45" s="1"/>
  <c r="J1203" i="45" s="1"/>
  <c r="J1202" i="45" s="1"/>
  <c r="J1201" i="45" s="1"/>
  <c r="J1200" i="45" s="1"/>
  <c r="J1199" i="45" s="1"/>
  <c r="J1198" i="45" s="1"/>
  <c r="J1197" i="45" s="1"/>
  <c r="J1196" i="45" s="1"/>
  <c r="J1195" i="45" s="1"/>
  <c r="J1194" i="45" s="1"/>
  <c r="J1193" i="45" s="1"/>
  <c r="J1192" i="45" s="1"/>
  <c r="J1191" i="45" s="1"/>
  <c r="J1190" i="45" s="1"/>
  <c r="J1189" i="45" s="1"/>
  <c r="J1188" i="45" s="1"/>
  <c r="J1187" i="45" s="1"/>
  <c r="J1186" i="45" s="1"/>
  <c r="J1185" i="45" s="1"/>
  <c r="J1184" i="45" s="1"/>
  <c r="J1183" i="45" s="1"/>
  <c r="J1182" i="45" s="1"/>
  <c r="J1181" i="45" s="1"/>
  <c r="J1180" i="45" s="1"/>
  <c r="J1179" i="45" s="1"/>
  <c r="J1178" i="45" s="1"/>
  <c r="J1177" i="45" s="1"/>
  <c r="J1176" i="45" s="1"/>
  <c r="J1175" i="45" s="1"/>
  <c r="J1174" i="45" s="1"/>
  <c r="J1173" i="45" s="1"/>
  <c r="J1172" i="45" s="1"/>
  <c r="J1171" i="45" s="1"/>
  <c r="J1170" i="45" s="1"/>
  <c r="J1169" i="45" s="1"/>
  <c r="J1168" i="45" s="1"/>
  <c r="J1167" i="45" s="1"/>
  <c r="J1166" i="45" s="1"/>
  <c r="J1165" i="45" s="1"/>
  <c r="J1164" i="45" s="1"/>
  <c r="J1163" i="45" s="1"/>
  <c r="J1162" i="45" s="1"/>
  <c r="J1161" i="45" s="1"/>
  <c r="J1160" i="45" s="1"/>
  <c r="J1159" i="45" s="1"/>
  <c r="J1158" i="45" s="1"/>
  <c r="J1157" i="45" s="1"/>
  <c r="J1156" i="45" s="1"/>
  <c r="J1155" i="45" s="1"/>
  <c r="J1154" i="45" s="1"/>
  <c r="J1153" i="45" s="1"/>
  <c r="J1152" i="45" s="1"/>
  <c r="J1151" i="45" s="1"/>
  <c r="J1150" i="45" s="1"/>
  <c r="J1149" i="45" s="1"/>
  <c r="J1148" i="45" s="1"/>
  <c r="J1147" i="45" s="1"/>
  <c r="J1146" i="45" s="1"/>
  <c r="J1145" i="45" s="1"/>
  <c r="J1144" i="45" s="1"/>
  <c r="J1143" i="45" s="1"/>
  <c r="J1142" i="45" s="1"/>
  <c r="J1141" i="45" s="1"/>
  <c r="J1140" i="45" s="1"/>
  <c r="J1139" i="45" s="1"/>
  <c r="J1138" i="45" s="1"/>
  <c r="J1137" i="45" s="1"/>
  <c r="J1136" i="45" s="1"/>
  <c r="J1135" i="45" s="1"/>
  <c r="J1134" i="45" s="1"/>
  <c r="J1133" i="45" s="1"/>
  <c r="J1132" i="45" s="1"/>
  <c r="J1131" i="45" s="1"/>
  <c r="J1130" i="45" s="1"/>
  <c r="J1129" i="45" s="1"/>
  <c r="J1128" i="45" s="1"/>
  <c r="J1127" i="45" s="1"/>
  <c r="J1126" i="45" s="1"/>
  <c r="J1125" i="45" s="1"/>
  <c r="J1124" i="45" s="1"/>
  <c r="J1123" i="45" s="1"/>
  <c r="J1122" i="45" s="1"/>
  <c r="J1121" i="45" s="1"/>
  <c r="J1120" i="45" s="1"/>
  <c r="J1119" i="45" s="1"/>
  <c r="J1118" i="45" s="1"/>
  <c r="J1117" i="45" s="1"/>
  <c r="J1116" i="45" s="1"/>
  <c r="J1115" i="45" s="1"/>
  <c r="J1114" i="45" s="1"/>
  <c r="J1113" i="45" s="1"/>
  <c r="J1112" i="45" s="1"/>
  <c r="J1111" i="45" s="1"/>
  <c r="J1110" i="45" s="1"/>
  <c r="J1109" i="45" s="1"/>
  <c r="J1108" i="45" s="1"/>
  <c r="J1107" i="45" s="1"/>
  <c r="J1106" i="45" s="1"/>
  <c r="J1105" i="45" s="1"/>
  <c r="J1104" i="45" s="1"/>
  <c r="J1103" i="45" s="1"/>
  <c r="J1102" i="45" s="1"/>
  <c r="J1101" i="45" s="1"/>
  <c r="J1100" i="45" s="1"/>
  <c r="J1099" i="45" s="1"/>
  <c r="J1098" i="45" s="1"/>
  <c r="J1097" i="45" s="1"/>
  <c r="J1096" i="45" s="1"/>
  <c r="J1095" i="45" s="1"/>
  <c r="J1094" i="45" s="1"/>
  <c r="J1093" i="45" s="1"/>
  <c r="J1092" i="45" s="1"/>
  <c r="J1091" i="45" s="1"/>
  <c r="J1090" i="45" s="1"/>
  <c r="J1089" i="45" s="1"/>
  <c r="J1088" i="45" s="1"/>
  <c r="J1087" i="45" s="1"/>
  <c r="J1086" i="45" s="1"/>
  <c r="J1085" i="45" s="1"/>
  <c r="J1084" i="45" s="1"/>
  <c r="J1083" i="45" s="1"/>
  <c r="J1082" i="45" s="1"/>
  <c r="J1081" i="45" s="1"/>
  <c r="J1080" i="45" s="1"/>
  <c r="J1079" i="45" s="1"/>
  <c r="J1078" i="45" s="1"/>
  <c r="J1077" i="45" s="1"/>
  <c r="J1076" i="45" s="1"/>
  <c r="J1075" i="45" s="1"/>
  <c r="J1074" i="45" s="1"/>
  <c r="J1073" i="45" s="1"/>
  <c r="J1072" i="45" s="1"/>
  <c r="J1071" i="45" s="1"/>
  <c r="J1070" i="45" s="1"/>
  <c r="J1069" i="45" s="1"/>
  <c r="J1068" i="45" s="1"/>
  <c r="J1067" i="45" s="1"/>
  <c r="J1066" i="45" s="1"/>
  <c r="J1065" i="45" s="1"/>
  <c r="J1064" i="45" s="1"/>
  <c r="J1063" i="45" s="1"/>
  <c r="J1062" i="45" s="1"/>
  <c r="J1061" i="45" s="1"/>
  <c r="J1060" i="45" s="1"/>
  <c r="J1059" i="45" s="1"/>
  <c r="J1058" i="45" s="1"/>
  <c r="J1057" i="45" s="1"/>
  <c r="J1056" i="45" s="1"/>
  <c r="J1055" i="45" s="1"/>
  <c r="J1054" i="45" s="1"/>
  <c r="J1053" i="45" s="1"/>
  <c r="J1052" i="45" s="1"/>
  <c r="J1051" i="45" s="1"/>
  <c r="J1050" i="45" s="1"/>
  <c r="J1049" i="45" s="1"/>
  <c r="J1048" i="45" s="1"/>
  <c r="J1047" i="45" s="1"/>
  <c r="J1046" i="45" s="1"/>
  <c r="J1045" i="45" s="1"/>
  <c r="J1044" i="45" s="1"/>
  <c r="J1043" i="45" s="1"/>
  <c r="J1042" i="45" s="1"/>
  <c r="J1041" i="45" s="1"/>
  <c r="J1040" i="45" s="1"/>
  <c r="J1039" i="45" s="1"/>
  <c r="J1038" i="45" s="1"/>
  <c r="J1037" i="45" s="1"/>
  <c r="J1036" i="45" s="1"/>
  <c r="J1035" i="45" s="1"/>
  <c r="J1034" i="45" s="1"/>
  <c r="J1033" i="45" s="1"/>
  <c r="J1032" i="45" s="1"/>
  <c r="J1031" i="45" s="1"/>
  <c r="J1030" i="45" s="1"/>
  <c r="J1029" i="45" s="1"/>
  <c r="J1028" i="45" s="1"/>
  <c r="J1027" i="45" s="1"/>
  <c r="J1026" i="45" s="1"/>
  <c r="J1025" i="45" s="1"/>
  <c r="J1024" i="45" s="1"/>
  <c r="J1023" i="45" s="1"/>
  <c r="J1022" i="45" s="1"/>
  <c r="J1021" i="45" s="1"/>
  <c r="J1020" i="45" s="1"/>
  <c r="J1019" i="45" s="1"/>
  <c r="J1018" i="45" s="1"/>
  <c r="J1017" i="45" s="1"/>
  <c r="J1016" i="45" s="1"/>
  <c r="J1015" i="45" s="1"/>
  <c r="J1014" i="45" s="1"/>
  <c r="J1013" i="45" s="1"/>
  <c r="J1012" i="45" s="1"/>
  <c r="J1011" i="45" s="1"/>
  <c r="J1010" i="45" s="1"/>
  <c r="J1009" i="45" s="1"/>
  <c r="J1008" i="45" s="1"/>
  <c r="J1007" i="45" s="1"/>
  <c r="J1006" i="45" s="1"/>
  <c r="J1005" i="45" s="1"/>
  <c r="J1004" i="45" s="1"/>
  <c r="J1003" i="45" s="1"/>
  <c r="J1002" i="45" s="1"/>
  <c r="J1001" i="45" s="1"/>
  <c r="J1000" i="45" s="1"/>
  <c r="J999" i="45" s="1"/>
  <c r="J998" i="45" s="1"/>
  <c r="J997" i="45" s="1"/>
  <c r="J996" i="45" s="1"/>
  <c r="J995" i="45" s="1"/>
  <c r="J994" i="45" s="1"/>
  <c r="J993" i="45" s="1"/>
  <c r="J992" i="45" s="1"/>
  <c r="J991" i="45" s="1"/>
  <c r="J990" i="45" s="1"/>
  <c r="J989" i="45" s="1"/>
  <c r="J988" i="45" s="1"/>
  <c r="J987" i="45" s="1"/>
  <c r="J986" i="45" s="1"/>
  <c r="J985" i="45" s="1"/>
  <c r="J984" i="45" s="1"/>
  <c r="J983" i="45" s="1"/>
  <c r="J982" i="45" s="1"/>
  <c r="J981" i="45" s="1"/>
  <c r="J980" i="45" s="1"/>
  <c r="J979" i="45" s="1"/>
  <c r="J978" i="45" s="1"/>
  <c r="J977" i="45" s="1"/>
  <c r="J976" i="45" s="1"/>
  <c r="J975" i="45" s="1"/>
  <c r="J974" i="45" s="1"/>
  <c r="J973" i="45" s="1"/>
  <c r="J972" i="45" s="1"/>
  <c r="J971" i="45" s="1"/>
  <c r="J970" i="45" s="1"/>
  <c r="J969" i="45" s="1"/>
  <c r="J968" i="45" s="1"/>
  <c r="J967" i="45" s="1"/>
  <c r="J966" i="45" s="1"/>
  <c r="J965" i="45" s="1"/>
  <c r="J964" i="45" s="1"/>
  <c r="J963" i="45" s="1"/>
  <c r="J962" i="45" s="1"/>
  <c r="J961" i="45" s="1"/>
  <c r="J960" i="45" s="1"/>
  <c r="J959" i="45" s="1"/>
  <c r="J958" i="45" s="1"/>
  <c r="J957" i="45" s="1"/>
  <c r="J956" i="45" s="1"/>
  <c r="J955" i="45" s="1"/>
  <c r="J954" i="45" s="1"/>
  <c r="J953" i="45" s="1"/>
  <c r="J952" i="45" s="1"/>
  <c r="J951" i="45" s="1"/>
  <c r="J950" i="45" s="1"/>
  <c r="J949" i="45" s="1"/>
  <c r="J948" i="45" s="1"/>
  <c r="J947" i="45" s="1"/>
  <c r="J946" i="45" s="1"/>
  <c r="J945" i="45" s="1"/>
  <c r="J944" i="45" s="1"/>
  <c r="J943" i="45" s="1"/>
  <c r="J942" i="45" s="1"/>
  <c r="J941" i="45" s="1"/>
  <c r="J940" i="45" s="1"/>
  <c r="J939" i="45" s="1"/>
  <c r="J938" i="45" s="1"/>
  <c r="J937" i="45" s="1"/>
  <c r="J936" i="45" s="1"/>
  <c r="J935" i="45" s="1"/>
  <c r="J934" i="45" s="1"/>
  <c r="J933" i="45" s="1"/>
  <c r="J932" i="45" s="1"/>
  <c r="J931" i="45" s="1"/>
  <c r="J930" i="45" s="1"/>
  <c r="J929" i="45" s="1"/>
  <c r="J928" i="45" s="1"/>
  <c r="J927" i="45" s="1"/>
  <c r="J926" i="45" s="1"/>
  <c r="J925" i="45" s="1"/>
  <c r="J924" i="45" s="1"/>
  <c r="J923" i="45" s="1"/>
  <c r="J922" i="45" s="1"/>
  <c r="J921" i="45" s="1"/>
  <c r="J920" i="45" s="1"/>
  <c r="J919" i="45" s="1"/>
  <c r="J918" i="45" s="1"/>
  <c r="J917" i="45" s="1"/>
  <c r="J916" i="45" s="1"/>
  <c r="J915" i="45" s="1"/>
  <c r="J914" i="45" s="1"/>
  <c r="J913" i="45" s="1"/>
  <c r="J912" i="45" s="1"/>
  <c r="J911" i="45" s="1"/>
  <c r="J910" i="45" s="1"/>
  <c r="J909" i="45" s="1"/>
  <c r="J908" i="45" s="1"/>
  <c r="J907" i="45" s="1"/>
  <c r="J906" i="45" s="1"/>
  <c r="J905" i="45" s="1"/>
  <c r="J904" i="45" s="1"/>
  <c r="J903" i="45" s="1"/>
  <c r="J902" i="45" s="1"/>
  <c r="J901" i="45" s="1"/>
  <c r="J900" i="45" s="1"/>
  <c r="J899" i="45" s="1"/>
  <c r="J898" i="45" s="1"/>
  <c r="J897" i="45" s="1"/>
  <c r="J896" i="45" s="1"/>
  <c r="J895" i="45" s="1"/>
  <c r="J894" i="45" s="1"/>
  <c r="J893" i="45" s="1"/>
  <c r="J892" i="45" s="1"/>
  <c r="J891" i="45" s="1"/>
  <c r="J890" i="45" s="1"/>
  <c r="J889" i="45" s="1"/>
  <c r="J888" i="45" s="1"/>
  <c r="J887" i="45" s="1"/>
  <c r="J886" i="45" s="1"/>
  <c r="J885" i="45" s="1"/>
  <c r="J884" i="45" s="1"/>
  <c r="J883" i="45" s="1"/>
  <c r="J882" i="45" s="1"/>
  <c r="J881" i="45" s="1"/>
  <c r="J880" i="45" s="1"/>
  <c r="J879" i="45" s="1"/>
  <c r="J878" i="45" s="1"/>
  <c r="J877" i="45" s="1"/>
  <c r="J876" i="45" s="1"/>
  <c r="J875" i="45" s="1"/>
  <c r="J874" i="45" s="1"/>
  <c r="J873" i="45" s="1"/>
  <c r="J872" i="45" s="1"/>
  <c r="J871" i="45" s="1"/>
  <c r="J870" i="45" s="1"/>
  <c r="J869" i="45" s="1"/>
  <c r="J868" i="45" s="1"/>
  <c r="J867" i="45" s="1"/>
  <c r="J866" i="45" s="1"/>
  <c r="J865" i="45" s="1"/>
  <c r="J864" i="45" s="1"/>
  <c r="J863" i="45" s="1"/>
  <c r="J862" i="45" s="1"/>
  <c r="J861" i="45" s="1"/>
  <c r="J860" i="45" s="1"/>
  <c r="J859" i="45" s="1"/>
  <c r="J858" i="45" s="1"/>
  <c r="J857" i="45" s="1"/>
  <c r="J856" i="45" s="1"/>
  <c r="J855" i="45" s="1"/>
  <c r="J854" i="45" s="1"/>
  <c r="J853" i="45" s="1"/>
  <c r="J852" i="45" s="1"/>
  <c r="J851" i="45" s="1"/>
  <c r="J850" i="45" s="1"/>
  <c r="J849" i="45" s="1"/>
  <c r="J848" i="45" s="1"/>
  <c r="J847" i="45" s="1"/>
  <c r="J846" i="45" s="1"/>
  <c r="J845" i="45" s="1"/>
  <c r="J844" i="45" s="1"/>
  <c r="J843" i="45" s="1"/>
  <c r="J842" i="45" s="1"/>
  <c r="J841" i="45" s="1"/>
  <c r="J840" i="45" s="1"/>
  <c r="J839" i="45" s="1"/>
  <c r="J838" i="45" s="1"/>
  <c r="J837" i="45" s="1"/>
  <c r="J836" i="45" s="1"/>
  <c r="J835" i="45" s="1"/>
  <c r="J834" i="45" s="1"/>
  <c r="J833" i="45" s="1"/>
  <c r="J832" i="45" s="1"/>
  <c r="J831" i="45" s="1"/>
  <c r="J830" i="45" s="1"/>
  <c r="J829" i="45" s="1"/>
  <c r="J828" i="45" s="1"/>
  <c r="J827" i="45" s="1"/>
  <c r="J826" i="45" s="1"/>
  <c r="J825" i="45" s="1"/>
  <c r="J824" i="45" s="1"/>
  <c r="J823" i="45" s="1"/>
  <c r="J822" i="45" s="1"/>
  <c r="J821" i="45" s="1"/>
  <c r="J820" i="45" s="1"/>
  <c r="J819" i="45" s="1"/>
  <c r="J818" i="45" s="1"/>
  <c r="J817" i="45" s="1"/>
  <c r="J816" i="45" s="1"/>
  <c r="J815" i="45" s="1"/>
  <c r="J814" i="45" s="1"/>
  <c r="J813" i="45" s="1"/>
  <c r="J812" i="45" s="1"/>
  <c r="J811" i="45" s="1"/>
  <c r="J810" i="45" s="1"/>
  <c r="J809" i="45" s="1"/>
  <c r="J808" i="45" s="1"/>
  <c r="J807" i="45" s="1"/>
  <c r="J806" i="45" s="1"/>
  <c r="J805" i="45" s="1"/>
  <c r="J804" i="45" s="1"/>
  <c r="J803" i="45" s="1"/>
  <c r="J802" i="45" s="1"/>
  <c r="J801" i="45" s="1"/>
  <c r="J800" i="45" s="1"/>
  <c r="J799" i="45" s="1"/>
  <c r="J798" i="45" s="1"/>
  <c r="J797" i="45" s="1"/>
  <c r="J796" i="45" s="1"/>
  <c r="J795" i="45" s="1"/>
  <c r="J794" i="45" s="1"/>
  <c r="J793" i="45" s="1"/>
  <c r="J792" i="45" s="1"/>
  <c r="J791" i="45" s="1"/>
  <c r="J790" i="45" s="1"/>
  <c r="J789" i="45" s="1"/>
  <c r="J788" i="45" s="1"/>
  <c r="J787" i="45" s="1"/>
  <c r="J786" i="45" s="1"/>
  <c r="J785" i="45" s="1"/>
  <c r="J784" i="45" s="1"/>
  <c r="J783" i="45" s="1"/>
  <c r="J782" i="45" s="1"/>
  <c r="J781" i="45" s="1"/>
  <c r="J780" i="45" s="1"/>
  <c r="J779" i="45" s="1"/>
  <c r="J778" i="45" s="1"/>
  <c r="J777" i="45" s="1"/>
  <c r="J776" i="45" s="1"/>
  <c r="J775" i="45" s="1"/>
  <c r="J774" i="45" s="1"/>
  <c r="J773" i="45" s="1"/>
  <c r="J772" i="45" s="1"/>
  <c r="J771" i="45" s="1"/>
  <c r="J770" i="45" s="1"/>
  <c r="J769" i="45" s="1"/>
  <c r="J768" i="45" s="1"/>
  <c r="J767" i="45" s="1"/>
  <c r="J766" i="45" s="1"/>
  <c r="J765" i="45" s="1"/>
  <c r="J764" i="45" s="1"/>
  <c r="J763" i="45" s="1"/>
  <c r="J762" i="45" s="1"/>
  <c r="J761" i="45" s="1"/>
  <c r="J760" i="45" s="1"/>
  <c r="J759" i="45" s="1"/>
  <c r="J758" i="45" s="1"/>
  <c r="J757" i="45" s="1"/>
  <c r="J756" i="45" s="1"/>
  <c r="J755" i="45" s="1"/>
  <c r="J754" i="45" s="1"/>
  <c r="J753" i="45" s="1"/>
  <c r="J752" i="45" s="1"/>
  <c r="J751" i="45" s="1"/>
  <c r="J750" i="45" s="1"/>
  <c r="J749" i="45" s="1"/>
  <c r="J748" i="45" s="1"/>
  <c r="J747" i="45" s="1"/>
  <c r="J746" i="45" s="1"/>
  <c r="J745" i="45" s="1"/>
  <c r="J744" i="45" s="1"/>
  <c r="J743" i="45" s="1"/>
  <c r="J742" i="45" s="1"/>
  <c r="J741" i="45" s="1"/>
  <c r="J740" i="45" s="1"/>
  <c r="J739" i="45" s="1"/>
  <c r="J738" i="45" s="1"/>
  <c r="J737" i="45" s="1"/>
  <c r="J736" i="45" s="1"/>
  <c r="J735" i="45" s="1"/>
  <c r="J734" i="45" s="1"/>
  <c r="J733" i="45" s="1"/>
  <c r="J732" i="45" s="1"/>
  <c r="J731" i="45" s="1"/>
  <c r="J730" i="45" s="1"/>
  <c r="J729" i="45" s="1"/>
  <c r="J728" i="45" s="1"/>
  <c r="J727" i="45" s="1"/>
  <c r="J726" i="45" s="1"/>
  <c r="J725" i="45" s="1"/>
  <c r="J724" i="45" s="1"/>
  <c r="J723" i="45" s="1"/>
  <c r="J722" i="45" s="1"/>
  <c r="J721" i="45" s="1"/>
  <c r="J720" i="45" s="1"/>
  <c r="J719" i="45" s="1"/>
  <c r="J718" i="45" s="1"/>
  <c r="J717" i="45" s="1"/>
  <c r="J716" i="45" s="1"/>
  <c r="J715" i="45" s="1"/>
  <c r="J714" i="45" s="1"/>
  <c r="J713" i="45" s="1"/>
  <c r="J712" i="45" s="1"/>
  <c r="J711" i="45" s="1"/>
  <c r="J710" i="45" s="1"/>
  <c r="J709" i="45" s="1"/>
  <c r="J708" i="45" s="1"/>
  <c r="J707" i="45" s="1"/>
  <c r="J706" i="45" s="1"/>
  <c r="J705" i="45" s="1"/>
  <c r="J704" i="45" s="1"/>
  <c r="J703" i="45" s="1"/>
  <c r="J702" i="45" s="1"/>
  <c r="J701" i="45" s="1"/>
  <c r="J700" i="45" s="1"/>
  <c r="J699" i="45" s="1"/>
  <c r="J698" i="45" s="1"/>
  <c r="J697" i="45" s="1"/>
  <c r="J696" i="45" s="1"/>
  <c r="J695" i="45" s="1"/>
  <c r="J694" i="45" s="1"/>
  <c r="J693" i="45" s="1"/>
  <c r="J692" i="45" s="1"/>
  <c r="J691" i="45" s="1"/>
  <c r="J690" i="45" s="1"/>
  <c r="J689" i="45" s="1"/>
  <c r="J688" i="45" s="1"/>
  <c r="J687" i="45" s="1"/>
  <c r="J686" i="45" s="1"/>
  <c r="J685" i="45" s="1"/>
  <c r="J684" i="45" s="1"/>
  <c r="J683" i="45" s="1"/>
  <c r="J682" i="45" s="1"/>
  <c r="J681" i="45" s="1"/>
  <c r="Y572" i="45"/>
  <c r="Y320" i="45"/>
  <c r="Y118" i="45"/>
  <c r="Y416" i="45"/>
  <c r="Y560" i="45"/>
  <c r="Y644" i="45"/>
  <c r="Y668" i="45"/>
  <c r="R137" i="20"/>
  <c r="W5" i="45" s="1"/>
  <c r="Q1341" i="45" s="1"/>
  <c r="Q1340" i="45" s="1"/>
  <c r="Q1339" i="45" s="1"/>
  <c r="Q1338" i="45" s="1"/>
  <c r="Q1337" i="45" s="1"/>
  <c r="Q1336" i="45" s="1"/>
  <c r="Q1335" i="45" s="1"/>
  <c r="Q1334" i="45" s="1"/>
  <c r="Q1333" i="45" s="1"/>
  <c r="Q1332" i="45" s="1"/>
  <c r="Q1331" i="45" s="1"/>
  <c r="Q1330" i="45" s="1"/>
  <c r="Q1329" i="45" s="1"/>
  <c r="Q1328" i="45" s="1"/>
  <c r="Q1327" i="45" s="1"/>
  <c r="Q1326" i="45" s="1"/>
  <c r="Q1325" i="45" s="1"/>
  <c r="Q1324" i="45" s="1"/>
  <c r="Q1323" i="45" s="1"/>
  <c r="Q1322" i="45" s="1"/>
  <c r="Q1321" i="45" s="1"/>
  <c r="Q1320" i="45" s="1"/>
  <c r="Q1319" i="45" s="1"/>
  <c r="Q1318" i="45" s="1"/>
  <c r="Q1317" i="45" s="1"/>
  <c r="Q1316" i="45" s="1"/>
  <c r="Q1315" i="45" s="1"/>
  <c r="Q1314" i="45" s="1"/>
  <c r="Q1313" i="45" s="1"/>
  <c r="Q1312" i="45" s="1"/>
  <c r="Q1311" i="45" s="1"/>
  <c r="Q1310" i="45" s="1"/>
  <c r="Q1309" i="45" s="1"/>
  <c r="Q1308" i="45" s="1"/>
  <c r="Q1307" i="45" s="1"/>
  <c r="Q1306" i="45" s="1"/>
  <c r="Q1305" i="45" s="1"/>
  <c r="Q1304" i="45" s="1"/>
  <c r="Q1303" i="45" s="1"/>
  <c r="Q1302" i="45" s="1"/>
  <c r="Q1301" i="45" s="1"/>
  <c r="Q1300" i="45" s="1"/>
  <c r="Q1299" i="45" s="1"/>
  <c r="Q1298" i="45" s="1"/>
  <c r="Q1297" i="45" s="1"/>
  <c r="Q1296" i="45" s="1"/>
  <c r="Q1295" i="45" s="1"/>
  <c r="Q1294" i="45" s="1"/>
  <c r="Q1293" i="45" s="1"/>
  <c r="Q1292" i="45" s="1"/>
  <c r="Q1291" i="45" s="1"/>
  <c r="Q1290" i="45" s="1"/>
  <c r="Q1289" i="45" s="1"/>
  <c r="Q1288" i="45" s="1"/>
  <c r="Q1287" i="45" s="1"/>
  <c r="Q1286" i="45" s="1"/>
  <c r="Q1285" i="45" s="1"/>
  <c r="Q1284" i="45" s="1"/>
  <c r="Q1283" i="45" s="1"/>
  <c r="Q1282" i="45" s="1"/>
  <c r="Q1281" i="45" s="1"/>
  <c r="Q1280" i="45" s="1"/>
  <c r="Q1279" i="45" s="1"/>
  <c r="Q1278" i="45" s="1"/>
  <c r="Q1277" i="45" s="1"/>
  <c r="Q1276" i="45" s="1"/>
  <c r="Q1275" i="45" s="1"/>
  <c r="Q1274" i="45" s="1"/>
  <c r="Q1273" i="45" s="1"/>
  <c r="Q1272" i="45" s="1"/>
  <c r="Q1271" i="45" s="1"/>
  <c r="Q1270" i="45" s="1"/>
  <c r="Q1269" i="45" s="1"/>
  <c r="Q1268" i="45" s="1"/>
  <c r="Q1267" i="45" s="1"/>
  <c r="Q1266" i="45" s="1"/>
  <c r="Q1265" i="45" s="1"/>
  <c r="Q1264" i="45" s="1"/>
  <c r="Q1263" i="45" s="1"/>
  <c r="Q1262" i="45" s="1"/>
  <c r="Q1261" i="45" s="1"/>
  <c r="Q1260" i="45" s="1"/>
  <c r="Q1259" i="45" s="1"/>
  <c r="Q1258" i="45" s="1"/>
  <c r="Q1257" i="45" s="1"/>
  <c r="Q1256" i="45" s="1"/>
  <c r="Q1255" i="45" s="1"/>
  <c r="Q1254" i="45" s="1"/>
  <c r="Q1253" i="45" s="1"/>
  <c r="Q1252" i="45" s="1"/>
  <c r="Q1251" i="45" s="1"/>
  <c r="Q1250" i="45" s="1"/>
  <c r="Q1249" i="45" s="1"/>
  <c r="Q1248" i="45" s="1"/>
  <c r="Q1247" i="45" s="1"/>
  <c r="Q1246" i="45" s="1"/>
  <c r="Q1245" i="45" s="1"/>
  <c r="Q1244" i="45" s="1"/>
  <c r="Q1243" i="45" s="1"/>
  <c r="Q1242" i="45" s="1"/>
  <c r="Q1241" i="45" s="1"/>
  <c r="Q1240" i="45" s="1"/>
  <c r="Q1239" i="45" s="1"/>
  <c r="Q1238" i="45" s="1"/>
  <c r="Q1237" i="45" s="1"/>
  <c r="Q1236" i="45" s="1"/>
  <c r="Q1235" i="45" s="1"/>
  <c r="Q1234" i="45" s="1"/>
  <c r="Q1233" i="45" s="1"/>
  <c r="Q1232" i="45" s="1"/>
  <c r="Q1231" i="45" s="1"/>
  <c r="Q1230" i="45" s="1"/>
  <c r="Q1229" i="45" s="1"/>
  <c r="Q1228" i="45" s="1"/>
  <c r="Q1227" i="45" s="1"/>
  <c r="Q1226" i="45" s="1"/>
  <c r="Q1225" i="45" s="1"/>
  <c r="Q1224" i="45" s="1"/>
  <c r="Q1223" i="45" s="1"/>
  <c r="Q1222" i="45" s="1"/>
  <c r="Q1221" i="45" s="1"/>
  <c r="Q1220" i="45" s="1"/>
  <c r="Q1219" i="45" s="1"/>
  <c r="Q1218" i="45" s="1"/>
  <c r="Q1217" i="45" s="1"/>
  <c r="Q1216" i="45" s="1"/>
  <c r="Q1215" i="45" s="1"/>
  <c r="Q1214" i="45" s="1"/>
  <c r="Q1213" i="45" s="1"/>
  <c r="Q1212" i="45" s="1"/>
  <c r="Q1211" i="45" s="1"/>
  <c r="Q1210" i="45" s="1"/>
  <c r="Q1209" i="45" s="1"/>
  <c r="Q1208" i="45" s="1"/>
  <c r="Q1207" i="45" s="1"/>
  <c r="Q1206" i="45" s="1"/>
  <c r="Q1205" i="45" s="1"/>
  <c r="Q1204" i="45" s="1"/>
  <c r="Q1203" i="45" s="1"/>
  <c r="Q1202" i="45" s="1"/>
  <c r="Q1201" i="45" s="1"/>
  <c r="Q1200" i="45" s="1"/>
  <c r="Q1199" i="45" s="1"/>
  <c r="Q1198" i="45" s="1"/>
  <c r="Q1197" i="45" s="1"/>
  <c r="Q1196" i="45" s="1"/>
  <c r="Q1195" i="45" s="1"/>
  <c r="Q1194" i="45" s="1"/>
  <c r="Q1193" i="45" s="1"/>
  <c r="Q1192" i="45" s="1"/>
  <c r="Q1191" i="45" s="1"/>
  <c r="Q1190" i="45" s="1"/>
  <c r="Q1189" i="45" s="1"/>
  <c r="Q1188" i="45" s="1"/>
  <c r="Q1187" i="45" s="1"/>
  <c r="Q1186" i="45" s="1"/>
  <c r="Q1185" i="45" s="1"/>
  <c r="Q1184" i="45" s="1"/>
  <c r="Q1183" i="45" s="1"/>
  <c r="Q1182" i="45" s="1"/>
  <c r="Q1181" i="45" s="1"/>
  <c r="Q1180" i="45" s="1"/>
  <c r="Q1179" i="45" s="1"/>
  <c r="Q1178" i="45" s="1"/>
  <c r="Q1177" i="45" s="1"/>
  <c r="Q1176" i="45" s="1"/>
  <c r="Q1175" i="45" s="1"/>
  <c r="Q1174" i="45" s="1"/>
  <c r="Q1173" i="45" s="1"/>
  <c r="Q1172" i="45" s="1"/>
  <c r="Q1171" i="45" s="1"/>
  <c r="Q1170" i="45" s="1"/>
  <c r="Q1169" i="45" s="1"/>
  <c r="Q1168" i="45" s="1"/>
  <c r="Q1167" i="45" s="1"/>
  <c r="Q1166" i="45" s="1"/>
  <c r="Q1165" i="45" s="1"/>
  <c r="Q1164" i="45" s="1"/>
  <c r="Q1163" i="45" s="1"/>
  <c r="Q1162" i="45" s="1"/>
  <c r="Q1161" i="45" s="1"/>
  <c r="Q1160" i="45" s="1"/>
  <c r="Q1159" i="45" s="1"/>
  <c r="Q1158" i="45" s="1"/>
  <c r="Q1157" i="45" s="1"/>
  <c r="Q1156" i="45" s="1"/>
  <c r="Q1155" i="45" s="1"/>
  <c r="Q1154" i="45" s="1"/>
  <c r="Q1153" i="45" s="1"/>
  <c r="Q1152" i="45" s="1"/>
  <c r="Q1151" i="45" s="1"/>
  <c r="Q1150" i="45" s="1"/>
  <c r="Q1149" i="45" s="1"/>
  <c r="Q1148" i="45" s="1"/>
  <c r="Q1147" i="45" s="1"/>
  <c r="Q1146" i="45" s="1"/>
  <c r="Q1145" i="45" s="1"/>
  <c r="Q1144" i="45" s="1"/>
  <c r="Q1143" i="45" s="1"/>
  <c r="Q1142" i="45" s="1"/>
  <c r="Q1141" i="45" s="1"/>
  <c r="Q1140" i="45" s="1"/>
  <c r="Q1139" i="45" s="1"/>
  <c r="Q1138" i="45" s="1"/>
  <c r="Q1137" i="45" s="1"/>
  <c r="Q1136" i="45" s="1"/>
  <c r="Q1135" i="45" s="1"/>
  <c r="Q1134" i="45" s="1"/>
  <c r="Q1133" i="45" s="1"/>
  <c r="Q1132" i="45" s="1"/>
  <c r="Q1131" i="45" s="1"/>
  <c r="Q1130" i="45" s="1"/>
  <c r="Q1129" i="45" s="1"/>
  <c r="Q1128" i="45" s="1"/>
  <c r="Q1127" i="45" s="1"/>
  <c r="Q1126" i="45" s="1"/>
  <c r="Q1125" i="45" s="1"/>
  <c r="Q1124" i="45" s="1"/>
  <c r="Q1123" i="45" s="1"/>
  <c r="Q1122" i="45" s="1"/>
  <c r="Q1121" i="45" s="1"/>
  <c r="Q1120" i="45" s="1"/>
  <c r="Q1119" i="45" s="1"/>
  <c r="Q1118" i="45" s="1"/>
  <c r="Q1117" i="45" s="1"/>
  <c r="Q1116" i="45" s="1"/>
  <c r="Q1115" i="45" s="1"/>
  <c r="Q1114" i="45" s="1"/>
  <c r="Q1113" i="45" s="1"/>
  <c r="Q1112" i="45" s="1"/>
  <c r="Q1111" i="45" s="1"/>
  <c r="Q1110" i="45" s="1"/>
  <c r="Q1109" i="45" s="1"/>
  <c r="Q1108" i="45" s="1"/>
  <c r="Q1107" i="45" s="1"/>
  <c r="Q1106" i="45" s="1"/>
  <c r="Q1105" i="45" s="1"/>
  <c r="Q1104" i="45" s="1"/>
  <c r="Q1103" i="45" s="1"/>
  <c r="Q1102" i="45" s="1"/>
  <c r="Q1101" i="45" s="1"/>
  <c r="Q1100" i="45" s="1"/>
  <c r="Q1099" i="45" s="1"/>
  <c r="Q1098" i="45" s="1"/>
  <c r="Q1097" i="45" s="1"/>
  <c r="Q1096" i="45" s="1"/>
  <c r="Q1095" i="45" s="1"/>
  <c r="Q1094" i="45" s="1"/>
  <c r="Q1093" i="45" s="1"/>
  <c r="Q1092" i="45" s="1"/>
  <c r="Q1091" i="45" s="1"/>
  <c r="Q1090" i="45" s="1"/>
  <c r="Q1089" i="45" s="1"/>
  <c r="Q1088" i="45" s="1"/>
  <c r="Q1087" i="45" s="1"/>
  <c r="Q1086" i="45" s="1"/>
  <c r="Q1085" i="45" s="1"/>
  <c r="Q1084" i="45" s="1"/>
  <c r="Q1083" i="45" s="1"/>
  <c r="Q1082" i="45" s="1"/>
  <c r="Q1081" i="45" s="1"/>
  <c r="Q1080" i="45" s="1"/>
  <c r="Q1079" i="45" s="1"/>
  <c r="Q1078" i="45" s="1"/>
  <c r="Q1077" i="45" s="1"/>
  <c r="Q1076" i="45" s="1"/>
  <c r="Q1075" i="45" s="1"/>
  <c r="Q1074" i="45" s="1"/>
  <c r="Q1073" i="45" s="1"/>
  <c r="Q1072" i="45" s="1"/>
  <c r="Q1071" i="45" s="1"/>
  <c r="Q1070" i="45" s="1"/>
  <c r="Q1069" i="45" s="1"/>
  <c r="Q1068" i="45" s="1"/>
  <c r="Q1067" i="45" s="1"/>
  <c r="Q1066" i="45" s="1"/>
  <c r="Q1065" i="45" s="1"/>
  <c r="Q1064" i="45" s="1"/>
  <c r="Q1063" i="45" s="1"/>
  <c r="Q1062" i="45" s="1"/>
  <c r="Q1061" i="45" s="1"/>
  <c r="Q1060" i="45" s="1"/>
  <c r="Q1059" i="45" s="1"/>
  <c r="Q1058" i="45" s="1"/>
  <c r="Q1057" i="45" s="1"/>
  <c r="Q1056" i="45" s="1"/>
  <c r="Q1055" i="45" s="1"/>
  <c r="Q1054" i="45" s="1"/>
  <c r="Q1053" i="45" s="1"/>
  <c r="Q1052" i="45" s="1"/>
  <c r="Q1051" i="45" s="1"/>
  <c r="Q1050" i="45" s="1"/>
  <c r="Q1049" i="45" s="1"/>
  <c r="Q1048" i="45" s="1"/>
  <c r="Q1047" i="45" s="1"/>
  <c r="Q1046" i="45" s="1"/>
  <c r="Q1045" i="45" s="1"/>
  <c r="Q1044" i="45" s="1"/>
  <c r="Q1043" i="45" s="1"/>
  <c r="Q1042" i="45" s="1"/>
  <c r="Q1041" i="45" s="1"/>
  <c r="Q1040" i="45" s="1"/>
  <c r="Q1039" i="45" s="1"/>
  <c r="Q1038" i="45" s="1"/>
  <c r="Q1037" i="45" s="1"/>
  <c r="Q1036" i="45" s="1"/>
  <c r="Q1035" i="45" s="1"/>
  <c r="Q1034" i="45" s="1"/>
  <c r="Q1033" i="45" s="1"/>
  <c r="Q1032" i="45" s="1"/>
  <c r="Q1031" i="45" s="1"/>
  <c r="Q1030" i="45" s="1"/>
  <c r="Q1029" i="45" s="1"/>
  <c r="Q1028" i="45" s="1"/>
  <c r="Q1027" i="45" s="1"/>
  <c r="Q1026" i="45" s="1"/>
  <c r="Q1025" i="45" s="1"/>
  <c r="Q1024" i="45" s="1"/>
  <c r="Q1023" i="45" s="1"/>
  <c r="Q1022" i="45" s="1"/>
  <c r="Q1021" i="45" s="1"/>
  <c r="Q1020" i="45" s="1"/>
  <c r="Q1019" i="45" s="1"/>
  <c r="Q1018" i="45" s="1"/>
  <c r="Q1017" i="45" s="1"/>
  <c r="Q1016" i="45" s="1"/>
  <c r="Q1015" i="45" s="1"/>
  <c r="Q1014" i="45" s="1"/>
  <c r="Q1013" i="45" s="1"/>
  <c r="Q1012" i="45" s="1"/>
  <c r="Q1011" i="45" s="1"/>
  <c r="Q1010" i="45" s="1"/>
  <c r="Q1009" i="45" s="1"/>
  <c r="Q1008" i="45" s="1"/>
  <c r="Q1007" i="45" s="1"/>
  <c r="Q1006" i="45" s="1"/>
  <c r="Q1005" i="45" s="1"/>
  <c r="Q1004" i="45" s="1"/>
  <c r="Q1003" i="45" s="1"/>
  <c r="Q1002" i="45" s="1"/>
  <c r="Q1001" i="45" s="1"/>
  <c r="Q1000" i="45" s="1"/>
  <c r="Q999" i="45" s="1"/>
  <c r="Q998" i="45" s="1"/>
  <c r="Q997" i="45" s="1"/>
  <c r="Q996" i="45" s="1"/>
  <c r="Q995" i="45" s="1"/>
  <c r="Q994" i="45" s="1"/>
  <c r="Q993" i="45" s="1"/>
  <c r="Q992" i="45" s="1"/>
  <c r="Q991" i="45" s="1"/>
  <c r="Q990" i="45" s="1"/>
  <c r="Q989" i="45" s="1"/>
  <c r="Q988" i="45" s="1"/>
  <c r="Q987" i="45" s="1"/>
  <c r="Q986" i="45" s="1"/>
  <c r="Q985" i="45" s="1"/>
  <c r="Q984" i="45" s="1"/>
  <c r="Q983" i="45" s="1"/>
  <c r="Q982" i="45" s="1"/>
  <c r="Q981" i="45" s="1"/>
  <c r="Q980" i="45" s="1"/>
  <c r="Q979" i="45" s="1"/>
  <c r="Q978" i="45" s="1"/>
  <c r="Q977" i="45" s="1"/>
  <c r="Q976" i="45" s="1"/>
  <c r="Q975" i="45" s="1"/>
  <c r="Q974" i="45" s="1"/>
  <c r="Q973" i="45" s="1"/>
  <c r="Q972" i="45" s="1"/>
  <c r="Q971" i="45" s="1"/>
  <c r="Q970" i="45" s="1"/>
  <c r="Q969" i="45" s="1"/>
  <c r="Q968" i="45" s="1"/>
  <c r="Q967" i="45" s="1"/>
  <c r="Q966" i="45" s="1"/>
  <c r="Q965" i="45" s="1"/>
  <c r="Q964" i="45" s="1"/>
  <c r="Q963" i="45" s="1"/>
  <c r="Q962" i="45" s="1"/>
  <c r="Q961" i="45" s="1"/>
  <c r="Q960" i="45" s="1"/>
  <c r="Q959" i="45" s="1"/>
  <c r="Q958" i="45" s="1"/>
  <c r="Q957" i="45" s="1"/>
  <c r="Q956" i="45" s="1"/>
  <c r="Q955" i="45" s="1"/>
  <c r="Q954" i="45" s="1"/>
  <c r="Q953" i="45" s="1"/>
  <c r="Q952" i="45" s="1"/>
  <c r="Q951" i="45" s="1"/>
  <c r="Q950" i="45" s="1"/>
  <c r="Q949" i="45" s="1"/>
  <c r="Q948" i="45" s="1"/>
  <c r="Q947" i="45" s="1"/>
  <c r="Q946" i="45" s="1"/>
  <c r="Q945" i="45" s="1"/>
  <c r="Q944" i="45" s="1"/>
  <c r="Q943" i="45" s="1"/>
  <c r="Q942" i="45" s="1"/>
  <c r="Q941" i="45" s="1"/>
  <c r="Q940" i="45" s="1"/>
  <c r="Q939" i="45" s="1"/>
  <c r="Q938" i="45" s="1"/>
  <c r="Q937" i="45" s="1"/>
  <c r="Q936" i="45" s="1"/>
  <c r="Q935" i="45" s="1"/>
  <c r="Q934" i="45" s="1"/>
  <c r="Q933" i="45" s="1"/>
  <c r="Q932" i="45" s="1"/>
  <c r="Q931" i="45" s="1"/>
  <c r="Q930" i="45" s="1"/>
  <c r="Q929" i="45" s="1"/>
  <c r="Q928" i="45" s="1"/>
  <c r="Q927" i="45" s="1"/>
  <c r="Q926" i="45" s="1"/>
  <c r="Q925" i="45" s="1"/>
  <c r="Q924" i="45" s="1"/>
  <c r="Q923" i="45" s="1"/>
  <c r="Q922" i="45" s="1"/>
  <c r="Q921" i="45" s="1"/>
  <c r="Q920" i="45" s="1"/>
  <c r="Q919" i="45" s="1"/>
  <c r="Q918" i="45" s="1"/>
  <c r="Q917" i="45" s="1"/>
  <c r="Q916" i="45" s="1"/>
  <c r="Q915" i="45" s="1"/>
  <c r="Q914" i="45" s="1"/>
  <c r="Q913" i="45" s="1"/>
  <c r="Q912" i="45" s="1"/>
  <c r="Q911" i="45" s="1"/>
  <c r="Q910" i="45" s="1"/>
  <c r="Q909" i="45" s="1"/>
  <c r="Q908" i="45" s="1"/>
  <c r="Q907" i="45" s="1"/>
  <c r="Q906" i="45" s="1"/>
  <c r="Q905" i="45" s="1"/>
  <c r="Q904" i="45" s="1"/>
  <c r="Q903" i="45" s="1"/>
  <c r="Q902" i="45" s="1"/>
  <c r="Q901" i="45" s="1"/>
  <c r="Q900" i="45" s="1"/>
  <c r="Q899" i="45" s="1"/>
  <c r="Q898" i="45" s="1"/>
  <c r="Q897" i="45" s="1"/>
  <c r="Q896" i="45" s="1"/>
  <c r="Q895" i="45" s="1"/>
  <c r="Q894" i="45" s="1"/>
  <c r="Q893" i="45" s="1"/>
  <c r="Q892" i="45" s="1"/>
  <c r="Q891" i="45" s="1"/>
  <c r="Q890" i="45" s="1"/>
  <c r="Q889" i="45" s="1"/>
  <c r="Q888" i="45" s="1"/>
  <c r="Q887" i="45" s="1"/>
  <c r="Q886" i="45" s="1"/>
  <c r="Q885" i="45" s="1"/>
  <c r="Q884" i="45" s="1"/>
  <c r="Q883" i="45" s="1"/>
  <c r="Q882" i="45" s="1"/>
  <c r="Q881" i="45" s="1"/>
  <c r="Q880" i="45" s="1"/>
  <c r="Q879" i="45" s="1"/>
  <c r="Q878" i="45" s="1"/>
  <c r="Q877" i="45" s="1"/>
  <c r="Q876" i="45" s="1"/>
  <c r="Q875" i="45" s="1"/>
  <c r="Q874" i="45" s="1"/>
  <c r="Q873" i="45" s="1"/>
  <c r="Q872" i="45" s="1"/>
  <c r="Q871" i="45" s="1"/>
  <c r="Q870" i="45" s="1"/>
  <c r="Q869" i="45" s="1"/>
  <c r="Q868" i="45" s="1"/>
  <c r="Q867" i="45" s="1"/>
  <c r="Q866" i="45" s="1"/>
  <c r="Q865" i="45" s="1"/>
  <c r="Q864" i="45" s="1"/>
  <c r="Q863" i="45" s="1"/>
  <c r="Q862" i="45" s="1"/>
  <c r="Q861" i="45" s="1"/>
  <c r="Q860" i="45" s="1"/>
  <c r="Q859" i="45" s="1"/>
  <c r="Q858" i="45" s="1"/>
  <c r="Q857" i="45" s="1"/>
  <c r="Q856" i="45" s="1"/>
  <c r="Q855" i="45" s="1"/>
  <c r="Q854" i="45" s="1"/>
  <c r="Q853" i="45" s="1"/>
  <c r="Q852" i="45" s="1"/>
  <c r="Q851" i="45" s="1"/>
  <c r="Q850" i="45" s="1"/>
  <c r="Q849" i="45" s="1"/>
  <c r="Q848" i="45" s="1"/>
  <c r="Q847" i="45" s="1"/>
  <c r="Q846" i="45" s="1"/>
  <c r="Q845" i="45" s="1"/>
  <c r="Q844" i="45" s="1"/>
  <c r="Q843" i="45" s="1"/>
  <c r="Q842" i="45" s="1"/>
  <c r="Q841" i="45" s="1"/>
  <c r="Q840" i="45" s="1"/>
  <c r="Q839" i="45" s="1"/>
  <c r="Q838" i="45" s="1"/>
  <c r="Q837" i="45" s="1"/>
  <c r="Q836" i="45" s="1"/>
  <c r="Q835" i="45" s="1"/>
  <c r="Q834" i="45" s="1"/>
  <c r="Q833" i="45" s="1"/>
  <c r="Q832" i="45" s="1"/>
  <c r="Q831" i="45" s="1"/>
  <c r="Q830" i="45" s="1"/>
  <c r="Q829" i="45" s="1"/>
  <c r="Q828" i="45" s="1"/>
  <c r="Q827" i="45" s="1"/>
  <c r="Q826" i="45" s="1"/>
  <c r="Q825" i="45" s="1"/>
  <c r="Q824" i="45" s="1"/>
  <c r="Q823" i="45" s="1"/>
  <c r="Q822" i="45" s="1"/>
  <c r="Q821" i="45" s="1"/>
  <c r="Q820" i="45" s="1"/>
  <c r="Q819" i="45" s="1"/>
  <c r="Q818" i="45" s="1"/>
  <c r="Q817" i="45" s="1"/>
  <c r="Q816" i="45" s="1"/>
  <c r="Q815" i="45" s="1"/>
  <c r="Q814" i="45" s="1"/>
  <c r="Q813" i="45" s="1"/>
  <c r="Q812" i="45" s="1"/>
  <c r="Q811" i="45" s="1"/>
  <c r="Q810" i="45" s="1"/>
  <c r="Q809" i="45" s="1"/>
  <c r="Q808" i="45" s="1"/>
  <c r="Q807" i="45" s="1"/>
  <c r="Q806" i="45" s="1"/>
  <c r="Q805" i="45" s="1"/>
  <c r="Q804" i="45" s="1"/>
  <c r="Q803" i="45" s="1"/>
  <c r="Q802" i="45" s="1"/>
  <c r="Q801" i="45" s="1"/>
  <c r="Q800" i="45" s="1"/>
  <c r="Q799" i="45" s="1"/>
  <c r="Q798" i="45" s="1"/>
  <c r="Q797" i="45" s="1"/>
  <c r="Q796" i="45" s="1"/>
  <c r="Q795" i="45" s="1"/>
  <c r="Q794" i="45" s="1"/>
  <c r="Q793" i="45" s="1"/>
  <c r="Q792" i="45" s="1"/>
  <c r="Q791" i="45" s="1"/>
  <c r="Q790" i="45" s="1"/>
  <c r="Q789" i="45" s="1"/>
  <c r="Q788" i="45" s="1"/>
  <c r="Q787" i="45" s="1"/>
  <c r="Q786" i="45" s="1"/>
  <c r="Q785" i="45" s="1"/>
  <c r="Q784" i="45" s="1"/>
  <c r="Q783" i="45" s="1"/>
  <c r="Q782" i="45" s="1"/>
  <c r="Q781" i="45" s="1"/>
  <c r="Q780" i="45" s="1"/>
  <c r="Q779" i="45" s="1"/>
  <c r="Q778" i="45" s="1"/>
  <c r="Q777" i="45" s="1"/>
  <c r="Q776" i="45" s="1"/>
  <c r="Q775" i="45" s="1"/>
  <c r="Q774" i="45" s="1"/>
  <c r="Q773" i="45" s="1"/>
  <c r="Q772" i="45" s="1"/>
  <c r="Q771" i="45" s="1"/>
  <c r="Q770" i="45" s="1"/>
  <c r="Q769" i="45" s="1"/>
  <c r="Q768" i="45" s="1"/>
  <c r="Q767" i="45" s="1"/>
  <c r="Q766" i="45" s="1"/>
  <c r="Q765" i="45" s="1"/>
  <c r="Q764" i="45" s="1"/>
  <c r="Q763" i="45" s="1"/>
  <c r="Q762" i="45" s="1"/>
  <c r="Q761" i="45" s="1"/>
  <c r="Q760" i="45" s="1"/>
  <c r="Q759" i="45" s="1"/>
  <c r="Q758" i="45" s="1"/>
  <c r="Q757" i="45" s="1"/>
  <c r="Q756" i="45" s="1"/>
  <c r="Q755" i="45" s="1"/>
  <c r="Q754" i="45" s="1"/>
  <c r="Q753" i="45" s="1"/>
  <c r="Q752" i="45" s="1"/>
  <c r="Q751" i="45" s="1"/>
  <c r="Q750" i="45" s="1"/>
  <c r="Q749" i="45" s="1"/>
  <c r="Q748" i="45" s="1"/>
  <c r="Q747" i="45" s="1"/>
  <c r="Q746" i="45" s="1"/>
  <c r="Q745" i="45" s="1"/>
  <c r="Q744" i="45" s="1"/>
  <c r="Q743" i="45" s="1"/>
  <c r="Q742" i="45" s="1"/>
  <c r="Q741" i="45" s="1"/>
  <c r="Q740" i="45" s="1"/>
  <c r="Q739" i="45" s="1"/>
  <c r="Q738" i="45" s="1"/>
  <c r="Q737" i="45" s="1"/>
  <c r="Q736" i="45" s="1"/>
  <c r="Q735" i="45" s="1"/>
  <c r="Q734" i="45" s="1"/>
  <c r="Q733" i="45" s="1"/>
  <c r="Q732" i="45" s="1"/>
  <c r="Q731" i="45" s="1"/>
  <c r="Q730" i="45" s="1"/>
  <c r="Q729" i="45" s="1"/>
  <c r="Q728" i="45" s="1"/>
  <c r="Q727" i="45" s="1"/>
  <c r="Q726" i="45" s="1"/>
  <c r="Q725" i="45" s="1"/>
  <c r="Q724" i="45" s="1"/>
  <c r="Q723" i="45" s="1"/>
  <c r="Q722" i="45" s="1"/>
  <c r="Q721" i="45" s="1"/>
  <c r="Q720" i="45" s="1"/>
  <c r="Q719" i="45" s="1"/>
  <c r="Q718" i="45" s="1"/>
  <c r="Q717" i="45" s="1"/>
  <c r="Q716" i="45" s="1"/>
  <c r="Q715" i="45" s="1"/>
  <c r="Q714" i="45" s="1"/>
  <c r="Q713" i="45" s="1"/>
  <c r="Q712" i="45" s="1"/>
  <c r="Q711" i="45" s="1"/>
  <c r="Q710" i="45" s="1"/>
  <c r="Q709" i="45" s="1"/>
  <c r="Q708" i="45" s="1"/>
  <c r="Q707" i="45" s="1"/>
  <c r="Q706" i="45" s="1"/>
  <c r="Q705" i="45" s="1"/>
  <c r="Q704" i="45" s="1"/>
  <c r="Q703" i="45" s="1"/>
  <c r="Q702" i="45" s="1"/>
  <c r="Q701" i="45" s="1"/>
  <c r="Q700" i="45" s="1"/>
  <c r="Q699" i="45" s="1"/>
  <c r="Q698" i="45" s="1"/>
  <c r="Q697" i="45" s="1"/>
  <c r="Q696" i="45" s="1"/>
  <c r="Q695" i="45" s="1"/>
  <c r="Q694" i="45" s="1"/>
  <c r="Q693" i="45" s="1"/>
  <c r="Q692" i="45" s="1"/>
  <c r="Q691" i="45" s="1"/>
  <c r="Q690" i="45" s="1"/>
  <c r="Q689" i="45" s="1"/>
  <c r="Q688" i="45" s="1"/>
  <c r="Q687" i="45" s="1"/>
  <c r="Q686" i="45" s="1"/>
  <c r="Q685" i="45" s="1"/>
  <c r="Q684" i="45" s="1"/>
  <c r="Q683" i="45" s="1"/>
  <c r="Q682" i="45" s="1"/>
  <c r="Q681" i="45" s="1"/>
  <c r="BD136" i="20"/>
  <c r="BC136" i="20"/>
  <c r="BA136" i="20"/>
  <c r="F136" i="20" s="1"/>
  <c r="Y524" i="45"/>
  <c r="Y130" i="45"/>
  <c r="Y135" i="45"/>
  <c r="Y428" i="45"/>
  <c r="Y115" i="45"/>
  <c r="Y132" i="45"/>
  <c r="Y680" i="45"/>
  <c r="Y332" i="45"/>
  <c r="Y122" i="45"/>
  <c r="Y106" i="45"/>
  <c r="Y129" i="45"/>
  <c r="Y440" i="45"/>
  <c r="Y133" i="45"/>
  <c r="Y114" i="45"/>
  <c r="Y188" i="45"/>
  <c r="Y452" i="45"/>
  <c r="Y134" i="45"/>
  <c r="Y344" i="45"/>
  <c r="Y284" i="45"/>
  <c r="Y164" i="45"/>
  <c r="BD137" i="20"/>
  <c r="BC137" i="20"/>
  <c r="Y392" i="45"/>
  <c r="Y536" i="45"/>
  <c r="Y356" i="45"/>
  <c r="Y128" i="45"/>
  <c r="Y404" i="45"/>
  <c r="Y632" i="45"/>
  <c r="Y500" i="45"/>
  <c r="Y584" i="45"/>
  <c r="Y548" i="45"/>
  <c r="BA137" i="20"/>
  <c r="F137" i="20" s="1"/>
  <c r="O10" i="45"/>
  <c r="O50" i="45"/>
  <c r="O1322" i="45"/>
  <c r="O1299" i="45"/>
  <c r="O1297" i="45"/>
  <c r="O1283" i="45"/>
  <c r="O1281" i="45"/>
  <c r="O1252" i="45"/>
  <c r="O1250" i="45"/>
  <c r="O1181" i="45"/>
  <c r="O1190" i="45"/>
  <c r="O1191" i="45"/>
  <c r="O1196" i="45"/>
  <c r="O1132" i="45"/>
  <c r="O1145" i="45"/>
  <c r="O1134" i="45"/>
  <c r="O1143" i="45"/>
  <c r="O1081" i="45"/>
  <c r="O1070" i="45"/>
  <c r="O1079" i="45"/>
  <c r="O1101" i="45"/>
  <c r="O1028" i="45"/>
  <c r="O973" i="45"/>
  <c r="O978" i="45"/>
  <c r="O963" i="45"/>
  <c r="O962" i="45"/>
  <c r="O894" i="45"/>
  <c r="O943" i="45"/>
  <c r="O879" i="45"/>
  <c r="O966" i="45"/>
  <c r="O900" i="45"/>
  <c r="O964" i="45"/>
  <c r="O893" i="45"/>
  <c r="O829" i="45"/>
  <c r="O783" i="45"/>
  <c r="O719" i="45"/>
  <c r="O804" i="45"/>
  <c r="O740" i="45"/>
  <c r="O766" i="45"/>
  <c r="O725" i="45"/>
  <c r="O651" i="45"/>
  <c r="O729" i="45"/>
  <c r="O652" i="45"/>
  <c r="O700" i="45"/>
  <c r="O602" i="45"/>
  <c r="O677" i="45"/>
  <c r="O591" i="45"/>
  <c r="O690" i="45"/>
  <c r="O596" i="45"/>
  <c r="O673" i="45"/>
  <c r="O517" i="45"/>
  <c r="O453" i="45"/>
  <c r="O389" i="45"/>
  <c r="O585" i="45"/>
  <c r="O502" i="45"/>
  <c r="O438" i="45"/>
  <c r="O374" i="45"/>
  <c r="O551" i="45"/>
  <c r="O487" i="45"/>
  <c r="O423" i="45"/>
  <c r="O359" i="45"/>
  <c r="O536" i="45"/>
  <c r="O472" i="45"/>
  <c r="O408" i="45"/>
  <c r="O344" i="45"/>
  <c r="O285" i="45"/>
  <c r="O221" i="45"/>
  <c r="O157" i="45"/>
  <c r="O93" i="45"/>
  <c r="O286" i="45"/>
  <c r="O222" i="45"/>
  <c r="O158" i="45"/>
  <c r="O94" i="45"/>
  <c r="O279" i="45"/>
  <c r="O215" i="45"/>
  <c r="O292" i="45"/>
  <c r="O228" i="45"/>
  <c r="O164" i="45"/>
  <c r="O100" i="45"/>
  <c r="O65" i="45"/>
  <c r="O60" i="45"/>
  <c r="O35" i="45"/>
  <c r="O85" i="45"/>
  <c r="O319" i="45"/>
  <c r="O204" i="45"/>
  <c r="O191" i="45"/>
  <c r="O38" i="45"/>
  <c r="O1341" i="45"/>
  <c r="O1331" i="45"/>
  <c r="O1312" i="45"/>
  <c r="O1306" i="45"/>
  <c r="O1263" i="45"/>
  <c r="O1259" i="45"/>
  <c r="O1232" i="45"/>
  <c r="O1225" i="45"/>
  <c r="O1161" i="45"/>
  <c r="O1170" i="45"/>
  <c r="O1171" i="45"/>
  <c r="O1176" i="45"/>
  <c r="O1112" i="45"/>
  <c r="O1125" i="45"/>
  <c r="O1114" i="45"/>
  <c r="O1123" i="45"/>
  <c r="O1061" i="45"/>
  <c r="O1050" i="45"/>
  <c r="O1059" i="45"/>
  <c r="O1072" i="45"/>
  <c r="O1017" i="45"/>
  <c r="O953" i="45"/>
  <c r="O1007" i="45"/>
  <c r="O1012" i="45"/>
  <c r="O938" i="45"/>
  <c r="O874" i="45"/>
  <c r="O923" i="45"/>
  <c r="O859" i="45"/>
  <c r="O944" i="45"/>
  <c r="O880" i="45"/>
  <c r="O937" i="45"/>
  <c r="O873" i="45"/>
  <c r="O842" i="45"/>
  <c r="O763" i="45"/>
  <c r="O699" i="45"/>
  <c r="O784" i="45"/>
  <c r="O810" i="45"/>
  <c r="O746" i="45"/>
  <c r="O694" i="45"/>
  <c r="O631" i="45"/>
  <c r="O698" i="45"/>
  <c r="O632" i="45"/>
  <c r="O661" i="45"/>
  <c r="O582" i="45"/>
  <c r="O638" i="45"/>
  <c r="O571" i="45"/>
  <c r="O657" i="45"/>
  <c r="O576" i="45"/>
  <c r="O634" i="45"/>
  <c r="O497" i="45"/>
  <c r="O433" i="45"/>
  <c r="O369" i="45"/>
  <c r="O546" i="45"/>
  <c r="O482" i="45"/>
  <c r="O418" i="45"/>
  <c r="O354" i="45"/>
  <c r="O531" i="45"/>
  <c r="O467" i="45"/>
  <c r="O403" i="45"/>
  <c r="O339" i="45"/>
  <c r="O516" i="45"/>
  <c r="O452" i="45"/>
  <c r="O388" i="45"/>
  <c r="O329" i="45"/>
  <c r="O265" i="45"/>
  <c r="O201" i="45"/>
  <c r="O137" i="45"/>
  <c r="O330" i="45"/>
  <c r="O266" i="45"/>
  <c r="O202" i="45"/>
  <c r="O138" i="45"/>
  <c r="O323" i="45"/>
  <c r="O259" i="45"/>
  <c r="O195" i="45"/>
  <c r="O272" i="45"/>
  <c r="O208" i="45"/>
  <c r="O144" i="45"/>
  <c r="O20" i="45"/>
  <c r="O15" i="45"/>
  <c r="O78" i="45"/>
  <c r="O115" i="45"/>
  <c r="O147" i="45"/>
  <c r="O179" i="45"/>
  <c r="O55" i="45"/>
  <c r="O149" i="45"/>
  <c r="O166" i="45"/>
  <c r="O300" i="45"/>
  <c r="O57" i="45"/>
  <c r="O29" i="45"/>
  <c r="O95" i="45"/>
  <c r="O127" i="45"/>
  <c r="O159" i="45"/>
  <c r="O1321" i="45"/>
  <c r="O1332" i="45"/>
  <c r="O1292" i="45"/>
  <c r="O1278" i="45"/>
  <c r="O1276" i="45"/>
  <c r="O1239" i="45"/>
  <c r="O1241" i="45"/>
  <c r="O1205" i="45"/>
  <c r="O1214" i="45"/>
  <c r="O1215" i="45"/>
  <c r="O1220" i="45"/>
  <c r="O1156" i="45"/>
  <c r="O1092" i="45"/>
  <c r="O1158" i="45"/>
  <c r="O1094" i="45"/>
  <c r="O1103" i="45"/>
  <c r="O1041" i="45"/>
  <c r="O1030" i="45"/>
  <c r="O1039" i="45"/>
  <c r="O1052" i="45"/>
  <c r="O997" i="45"/>
  <c r="O1002" i="45"/>
  <c r="O987" i="45"/>
  <c r="O992" i="45"/>
  <c r="O918" i="45"/>
  <c r="O854" i="45"/>
  <c r="O903" i="45"/>
  <c r="O839" i="45"/>
  <c r="O924" i="45"/>
  <c r="O860" i="45"/>
  <c r="O917" i="45"/>
  <c r="O853" i="45"/>
  <c r="O807" i="45"/>
  <c r="O743" i="45"/>
  <c r="O832" i="45"/>
  <c r="O764" i="45"/>
  <c r="O790" i="45"/>
  <c r="O838" i="45"/>
  <c r="O675" i="45"/>
  <c r="O797" i="45"/>
  <c r="O676" i="45"/>
  <c r="O777" i="45"/>
  <c r="O625" i="45"/>
  <c r="O562" i="45"/>
  <c r="O615" i="45"/>
  <c r="O741" i="45"/>
  <c r="O620" i="45"/>
  <c r="O805" i="45"/>
  <c r="O541" i="45"/>
  <c r="O477" i="45"/>
  <c r="O413" i="45"/>
  <c r="O349" i="45"/>
  <c r="O526" i="45"/>
  <c r="O462" i="45"/>
  <c r="O398" i="45"/>
  <c r="O613" i="45"/>
  <c r="O511" i="45"/>
  <c r="O447" i="45"/>
  <c r="O383" i="45"/>
  <c r="O569" i="45"/>
  <c r="O496" i="45"/>
  <c r="O432" i="45"/>
  <c r="O368" i="45"/>
  <c r="O293" i="45"/>
  <c r="O197" i="45"/>
  <c r="O246" i="45"/>
  <c r="O239" i="45"/>
  <c r="O124" i="45"/>
  <c r="O17" i="45"/>
  <c r="O82" i="45"/>
  <c r="O1326" i="45"/>
  <c r="O1303" i="45"/>
  <c r="O1301" i="45"/>
  <c r="O1302" i="45"/>
  <c r="O1294" i="45"/>
  <c r="O1256" i="45"/>
  <c r="O1254" i="45"/>
  <c r="O1185" i="45"/>
  <c r="O1194" i="45"/>
  <c r="O1195" i="45"/>
  <c r="O1200" i="45"/>
  <c r="O1136" i="45"/>
  <c r="O1149" i="45"/>
  <c r="O1138" i="45"/>
  <c r="O1147" i="45"/>
  <c r="O1085" i="45"/>
  <c r="O1074" i="45"/>
  <c r="O1083" i="45"/>
  <c r="O1019" i="45"/>
  <c r="O1032" i="45"/>
  <c r="O977" i="45"/>
  <c r="O982" i="45"/>
  <c r="O967" i="45"/>
  <c r="O970" i="45"/>
  <c r="O898" i="45"/>
  <c r="O947" i="45"/>
  <c r="O883" i="45"/>
  <c r="O819" i="45"/>
  <c r="O904" i="45"/>
  <c r="O972" i="45"/>
  <c r="O897" i="45"/>
  <c r="O833" i="45"/>
  <c r="O787" i="45"/>
  <c r="O723" i="45"/>
  <c r="O808" i="45"/>
  <c r="O744" i="45"/>
  <c r="O770" i="45"/>
  <c r="O726" i="45"/>
  <c r="O655" i="45"/>
  <c r="O732" i="45"/>
  <c r="O656" i="45"/>
  <c r="O706" i="45"/>
  <c r="O606" i="45"/>
  <c r="O702" i="45"/>
  <c r="O595" i="45"/>
  <c r="O696" i="45"/>
  <c r="O600" i="45"/>
  <c r="O689" i="45"/>
  <c r="O521" i="45"/>
  <c r="O457" i="45"/>
  <c r="O393" i="45"/>
  <c r="O597" i="45"/>
  <c r="O506" i="45"/>
  <c r="O442" i="45"/>
  <c r="O378" i="45"/>
  <c r="O555" i="45"/>
  <c r="O491" i="45"/>
  <c r="O427" i="45"/>
  <c r="O363" i="45"/>
  <c r="O540" i="45"/>
  <c r="O476" i="45"/>
  <c r="O412" i="45"/>
  <c r="O348" i="45"/>
  <c r="O289" i="45"/>
  <c r="O225" i="45"/>
  <c r="O161" i="45"/>
  <c r="O97" i="45"/>
  <c r="O290" i="45"/>
  <c r="O226" i="45"/>
  <c r="O162" i="45"/>
  <c r="O98" i="45"/>
  <c r="O283" i="45"/>
  <c r="O219" i="45"/>
  <c r="O296" i="45"/>
  <c r="O232" i="45"/>
  <c r="O168" i="45"/>
  <c r="O104" i="45"/>
  <c r="O61" i="45"/>
  <c r="O56" i="45"/>
  <c r="O30" i="45"/>
  <c r="O245" i="45"/>
  <c r="O214" i="45"/>
  <c r="O207" i="45"/>
  <c r="O92" i="45"/>
  <c r="O362" i="45"/>
  <c r="O539" i="45"/>
  <c r="O475" i="45"/>
  <c r="O411" i="45"/>
  <c r="O347" i="45"/>
  <c r="O524" i="45"/>
  <c r="O396" i="45"/>
  <c r="O273" i="45"/>
  <c r="O145" i="45"/>
  <c r="O274" i="45"/>
  <c r="O146" i="45"/>
  <c r="O267" i="45"/>
  <c r="O280" i="45"/>
  <c r="O152" i="45"/>
  <c r="O77" i="45"/>
  <c r="O47" i="45"/>
  <c r="O150" i="45"/>
  <c r="O73" i="45"/>
  <c r="O949" i="45"/>
  <c r="O828" i="45"/>
  <c r="O643" i="45"/>
  <c r="O594" i="45"/>
  <c r="O682" i="45"/>
  <c r="O509" i="45"/>
  <c r="O561" i="45"/>
  <c r="O366" i="45"/>
  <c r="O415" i="45"/>
  <c r="O464" i="45"/>
  <c r="O261" i="45"/>
  <c r="O252" i="45"/>
  <c r="O46" i="45"/>
  <c r="O1323" i="45"/>
  <c r="O1287" i="45"/>
  <c r="O1117" i="45"/>
  <c r="O1053" i="45"/>
  <c r="O1064" i="45"/>
  <c r="O999" i="45"/>
  <c r="O866" i="45"/>
  <c r="O936" i="45"/>
  <c r="O865" i="45"/>
  <c r="O691" i="45"/>
  <c r="O738" i="45"/>
  <c r="O692" i="45"/>
  <c r="O574" i="45"/>
  <c r="O568" i="45"/>
  <c r="O425" i="45"/>
  <c r="O474" i="45"/>
  <c r="O523" i="45"/>
  <c r="O605" i="45"/>
  <c r="O380" i="45"/>
  <c r="O193" i="45"/>
  <c r="O258" i="45"/>
  <c r="O315" i="45"/>
  <c r="O264" i="45"/>
  <c r="O28" i="45"/>
  <c r="O67" i="45"/>
  <c r="O220" i="45"/>
  <c r="O1313" i="45"/>
  <c r="O1268" i="45"/>
  <c r="O1197" i="45"/>
  <c r="O1212" i="45"/>
  <c r="O1150" i="45"/>
  <c r="O1086" i="45"/>
  <c r="O1044" i="45"/>
  <c r="O979" i="45"/>
  <c r="O910" i="45"/>
  <c r="O831" i="45"/>
  <c r="O845" i="45"/>
  <c r="O816" i="45"/>
  <c r="O785" i="45"/>
  <c r="O668" i="45"/>
  <c r="O607" i="45"/>
  <c r="O728" i="45"/>
  <c r="O405" i="45"/>
  <c r="O454" i="45"/>
  <c r="O589" i="45"/>
  <c r="O375" i="45"/>
  <c r="O360" i="45"/>
  <c r="O173" i="45"/>
  <c r="O238" i="45"/>
  <c r="O110" i="45"/>
  <c r="O231" i="45"/>
  <c r="O244" i="45"/>
  <c r="O116" i="45"/>
  <c r="O44" i="45"/>
  <c r="O229" i="45"/>
  <c r="O268" i="45"/>
  <c r="O25" i="45"/>
  <c r="O1318" i="45"/>
  <c r="O1293" i="45"/>
  <c r="O1246" i="45"/>
  <c r="O1186" i="45"/>
  <c r="O1128" i="45"/>
  <c r="O1139" i="45"/>
  <c r="O1075" i="45"/>
  <c r="O969" i="45"/>
  <c r="O954" i="45"/>
  <c r="O875" i="45"/>
  <c r="O956" i="45"/>
  <c r="O779" i="45"/>
  <c r="O836" i="45"/>
  <c r="O647" i="45"/>
  <c r="O686" i="45"/>
  <c r="O587" i="45"/>
  <c r="O662" i="45"/>
  <c r="O385" i="45"/>
  <c r="O434" i="45"/>
  <c r="O483" i="45"/>
  <c r="O468" i="45"/>
  <c r="O281" i="45"/>
  <c r="O89" i="45"/>
  <c r="O154" i="45"/>
  <c r="O211" i="45"/>
  <c r="O160" i="45"/>
  <c r="O64" i="45"/>
  <c r="O171" i="45"/>
  <c r="O1046" i="45"/>
  <c r="O1013" i="45"/>
  <c r="O1008" i="45"/>
  <c r="O919" i="45"/>
  <c r="O933" i="45"/>
  <c r="O759" i="45"/>
  <c r="O806" i="45"/>
  <c r="O627" i="45"/>
  <c r="O650" i="45"/>
  <c r="O567" i="45"/>
  <c r="O557" i="45"/>
  <c r="O365" i="45"/>
  <c r="O414" i="45"/>
  <c r="O463" i="45"/>
  <c r="O512" i="45"/>
  <c r="O325" i="45"/>
  <c r="O188" i="45"/>
  <c r="O1317" i="45"/>
  <c r="O1274" i="45"/>
  <c r="O1237" i="45"/>
  <c r="O1211" i="45"/>
  <c r="O1088" i="45"/>
  <c r="O1099" i="45"/>
  <c r="O1035" i="45"/>
  <c r="O998" i="45"/>
  <c r="O914" i="45"/>
  <c r="O899" i="45"/>
  <c r="O920" i="45"/>
  <c r="O913" i="45"/>
  <c r="O803" i="45"/>
  <c r="O824" i="45"/>
  <c r="O786" i="45"/>
  <c r="O671" i="45"/>
  <c r="O672" i="45"/>
  <c r="O616" i="45"/>
  <c r="O473" i="45"/>
  <c r="O345" i="45"/>
  <c r="O394" i="45"/>
  <c r="O443" i="45"/>
  <c r="O492" i="45"/>
  <c r="O305" i="45"/>
  <c r="O113" i="45"/>
  <c r="O178" i="45"/>
  <c r="O312" i="45"/>
  <c r="O120" i="45"/>
  <c r="O80" i="45"/>
  <c r="O156" i="45"/>
  <c r="O63" i="45"/>
  <c r="O66" i="45"/>
  <c r="O1335" i="45"/>
  <c r="O1328" i="45"/>
  <c r="O1336" i="45"/>
  <c r="O1267" i="45"/>
  <c r="O1265" i="45"/>
  <c r="O1236" i="45"/>
  <c r="O1234" i="45"/>
  <c r="O1165" i="45"/>
  <c r="O1174" i="45"/>
  <c r="O1175" i="45"/>
  <c r="O1180" i="45"/>
  <c r="O1116" i="45"/>
  <c r="O1129" i="45"/>
  <c r="O1118" i="45"/>
  <c r="O1127" i="45"/>
  <c r="O1065" i="45"/>
  <c r="O1054" i="45"/>
  <c r="O1063" i="45"/>
  <c r="O1076" i="45"/>
  <c r="O1029" i="45"/>
  <c r="O957" i="45"/>
  <c r="O1011" i="45"/>
  <c r="O1018" i="45"/>
  <c r="O942" i="45"/>
  <c r="O878" i="45"/>
  <c r="O927" i="45"/>
  <c r="O863" i="45"/>
  <c r="O948" i="45"/>
  <c r="O884" i="45"/>
  <c r="O941" i="45"/>
  <c r="O877" i="45"/>
  <c r="O844" i="45"/>
  <c r="O767" i="45"/>
  <c r="O703" i="45"/>
  <c r="O788" i="45"/>
  <c r="O814" i="45"/>
  <c r="O750" i="45"/>
  <c r="O704" i="45"/>
  <c r="O635" i="45"/>
  <c r="O708" i="45"/>
  <c r="O636" i="45"/>
  <c r="O670" i="45"/>
  <c r="O586" i="45"/>
  <c r="O649" i="45"/>
  <c r="O575" i="45"/>
  <c r="O665" i="45"/>
  <c r="O580" i="45"/>
  <c r="O642" i="45"/>
  <c r="O501" i="45"/>
  <c r="O437" i="45"/>
  <c r="O373" i="45"/>
  <c r="O550" i="45"/>
  <c r="O486" i="45"/>
  <c r="O422" i="45"/>
  <c r="O358" i="45"/>
  <c r="O535" i="45"/>
  <c r="O471" i="45"/>
  <c r="O407" i="45"/>
  <c r="O343" i="45"/>
  <c r="O520" i="45"/>
  <c r="O456" i="45"/>
  <c r="O392" i="45"/>
  <c r="O333" i="45"/>
  <c r="O269" i="45"/>
  <c r="O205" i="45"/>
  <c r="O141" i="45"/>
  <c r="O334" i="45"/>
  <c r="O270" i="45"/>
  <c r="O206" i="45"/>
  <c r="O142" i="45"/>
  <c r="O327" i="45"/>
  <c r="O263" i="45"/>
  <c r="O199" i="45"/>
  <c r="O276" i="45"/>
  <c r="O212" i="45"/>
  <c r="O148" i="45"/>
  <c r="O16" i="45"/>
  <c r="O11" i="45"/>
  <c r="O76" i="45"/>
  <c r="O51" i="45"/>
  <c r="O262" i="45"/>
  <c r="O255" i="45"/>
  <c r="O140" i="45"/>
  <c r="O79" i="45"/>
  <c r="O54" i="45"/>
  <c r="O1325" i="45"/>
  <c r="O1315" i="45"/>
  <c r="O1296" i="45"/>
  <c r="O1282" i="45"/>
  <c r="O1280" i="45"/>
  <c r="O1243" i="45"/>
  <c r="O1245" i="45"/>
  <c r="O1209" i="45"/>
  <c r="O1218" i="45"/>
  <c r="O1219" i="45"/>
  <c r="O1224" i="45"/>
  <c r="O1162" i="45"/>
  <c r="O1096" i="45"/>
  <c r="O1109" i="45"/>
  <c r="O1098" i="45"/>
  <c r="O1107" i="45"/>
  <c r="O1045" i="45"/>
  <c r="O1034" i="45"/>
  <c r="O1043" i="45"/>
  <c r="O1056" i="45"/>
  <c r="O1001" i="45"/>
  <c r="O1006" i="45"/>
  <c r="O991" i="45"/>
  <c r="O996" i="45"/>
  <c r="O922" i="45"/>
  <c r="O858" i="45"/>
  <c r="O907" i="45"/>
  <c r="O843" i="45"/>
  <c r="O928" i="45"/>
  <c r="O864" i="45"/>
  <c r="O921" i="45"/>
  <c r="O857" i="45"/>
  <c r="O811" i="45"/>
  <c r="O747" i="45"/>
  <c r="O840" i="45"/>
  <c r="O768" i="45"/>
  <c r="O794" i="45"/>
  <c r="O730" i="45"/>
  <c r="O679" i="45"/>
  <c r="O813" i="45"/>
  <c r="O680" i="45"/>
  <c r="O793" i="45"/>
  <c r="O630" i="45"/>
  <c r="O566" i="45"/>
  <c r="O619" i="45"/>
  <c r="O757" i="45"/>
  <c r="O626" i="45"/>
  <c r="O560" i="45"/>
  <c r="O545" i="45"/>
  <c r="O481" i="45"/>
  <c r="O417" i="45"/>
  <c r="O353" i="45"/>
  <c r="O530" i="45"/>
  <c r="O466" i="45"/>
  <c r="O402" i="45"/>
  <c r="O338" i="45"/>
  <c r="O515" i="45"/>
  <c r="O451" i="45"/>
  <c r="O387" i="45"/>
  <c r="O581" i="45"/>
  <c r="O500" i="45"/>
  <c r="O436" i="45"/>
  <c r="O372" i="45"/>
  <c r="O313" i="45"/>
  <c r="O249" i="45"/>
  <c r="O185" i="45"/>
  <c r="O121" i="45"/>
  <c r="O314" i="45"/>
  <c r="O250" i="45"/>
  <c r="O186" i="45"/>
  <c r="O122" i="45"/>
  <c r="O307" i="45"/>
  <c r="O243" i="45"/>
  <c r="O320" i="45"/>
  <c r="O256" i="45"/>
  <c r="O192" i="45"/>
  <c r="O128" i="45"/>
  <c r="O37" i="45"/>
  <c r="O31" i="45"/>
  <c r="O91" i="45"/>
  <c r="O123" i="45"/>
  <c r="O155" i="45"/>
  <c r="O187" i="45"/>
  <c r="O75" i="45"/>
  <c r="O101" i="45"/>
  <c r="O102" i="45"/>
  <c r="O236" i="45"/>
  <c r="O52" i="45"/>
  <c r="O42" i="45"/>
  <c r="O103" i="45"/>
  <c r="O135" i="45"/>
  <c r="O167" i="45"/>
  <c r="O1330" i="45"/>
  <c r="O1307" i="45"/>
  <c r="O1305" i="45"/>
  <c r="O1262" i="45"/>
  <c r="O1310" i="45"/>
  <c r="O1260" i="45"/>
  <c r="O1258" i="45"/>
  <c r="O1189" i="45"/>
  <c r="O1198" i="45"/>
  <c r="O1199" i="45"/>
  <c r="O1204" i="45"/>
  <c r="O1140" i="45"/>
  <c r="O1153" i="45"/>
  <c r="O1142" i="45"/>
  <c r="O1151" i="45"/>
  <c r="O1087" i="45"/>
  <c r="O1078" i="45"/>
  <c r="O1091" i="45"/>
  <c r="O1023" i="45"/>
  <c r="O1036" i="45"/>
  <c r="O981" i="45"/>
  <c r="O986" i="45"/>
  <c r="O971" i="45"/>
  <c r="O976" i="45"/>
  <c r="O902" i="45"/>
  <c r="O960" i="45"/>
  <c r="O887" i="45"/>
  <c r="O823" i="45"/>
  <c r="O908" i="45"/>
  <c r="O974" i="45"/>
  <c r="O901" i="45"/>
  <c r="O837" i="45"/>
  <c r="O791" i="45"/>
  <c r="O727" i="45"/>
  <c r="O812" i="45"/>
  <c r="O748" i="45"/>
  <c r="O774" i="45"/>
  <c r="O753" i="45"/>
  <c r="O659" i="45"/>
  <c r="O737" i="45"/>
  <c r="O660" i="45"/>
  <c r="O712" i="45"/>
  <c r="O610" i="45"/>
  <c r="O705" i="45"/>
  <c r="O599" i="45"/>
  <c r="O701" i="45"/>
  <c r="O604" i="45"/>
  <c r="O718" i="45"/>
  <c r="O525" i="45"/>
  <c r="O461" i="45"/>
  <c r="O397" i="45"/>
  <c r="O609" i="45"/>
  <c r="O510" i="45"/>
  <c r="O446" i="45"/>
  <c r="O382" i="45"/>
  <c r="O565" i="45"/>
  <c r="O495" i="45"/>
  <c r="O431" i="45"/>
  <c r="O367" i="45"/>
  <c r="O544" i="45"/>
  <c r="O480" i="45"/>
  <c r="O416" i="45"/>
  <c r="O352" i="45"/>
  <c r="O277" i="45"/>
  <c r="O165" i="45"/>
  <c r="O182" i="45"/>
  <c r="O316" i="45"/>
  <c r="O41" i="45"/>
  <c r="O33" i="45"/>
  <c r="O87" i="45"/>
  <c r="O1339" i="45"/>
  <c r="O1340" i="45"/>
  <c r="O1285" i="45"/>
  <c r="O1271" i="45"/>
  <c r="O1269" i="45"/>
  <c r="O1240" i="45"/>
  <c r="O1238" i="45"/>
  <c r="O1169" i="45"/>
  <c r="O1178" i="45"/>
  <c r="O1179" i="45"/>
  <c r="O1184" i="45"/>
  <c r="O1120" i="45"/>
  <c r="O1133" i="45"/>
  <c r="O1122" i="45"/>
  <c r="O1131" i="45"/>
  <c r="O1069" i="45"/>
  <c r="O1058" i="45"/>
  <c r="O1067" i="45"/>
  <c r="O1080" i="45"/>
  <c r="O1016" i="45"/>
  <c r="O961" i="45"/>
  <c r="O1015" i="45"/>
  <c r="O1033" i="45"/>
  <c r="O946" i="45"/>
  <c r="O882" i="45"/>
  <c r="O931" i="45"/>
  <c r="O867" i="45"/>
  <c r="O951" i="45"/>
  <c r="O888" i="45"/>
  <c r="O945" i="45"/>
  <c r="O881" i="45"/>
  <c r="O817" i="45"/>
  <c r="O771" i="45"/>
  <c r="O707" i="45"/>
  <c r="O792" i="45"/>
  <c r="O820" i="45"/>
  <c r="O754" i="45"/>
  <c r="O709" i="45"/>
  <c r="O639" i="45"/>
  <c r="O713" i="45"/>
  <c r="O640" i="45"/>
  <c r="O678" i="45"/>
  <c r="O590" i="45"/>
  <c r="O658" i="45"/>
  <c r="O579" i="45"/>
  <c r="O674" i="45"/>
  <c r="O584" i="45"/>
  <c r="O645" i="45"/>
  <c r="O505" i="45"/>
  <c r="O441" i="45"/>
  <c r="O377" i="45"/>
  <c r="O554" i="45"/>
  <c r="O490" i="45"/>
  <c r="O426" i="45"/>
  <c r="O460" i="45"/>
  <c r="O335" i="45"/>
  <c r="O209" i="45"/>
  <c r="O81" i="45"/>
  <c r="O210" i="45"/>
  <c r="O331" i="45"/>
  <c r="O203" i="45"/>
  <c r="O216" i="45"/>
  <c r="O12" i="45"/>
  <c r="O72" i="45"/>
  <c r="O133" i="45"/>
  <c r="O284" i="45"/>
  <c r="O821" i="45"/>
  <c r="O758" i="45"/>
  <c r="O714" i="45"/>
  <c r="O681" i="45"/>
  <c r="O583" i="45"/>
  <c r="O653" i="45"/>
  <c r="O381" i="45"/>
  <c r="O430" i="45"/>
  <c r="O479" i="45"/>
  <c r="O528" i="45"/>
  <c r="O336" i="45"/>
  <c r="O118" i="45"/>
  <c r="O1227" i="45"/>
  <c r="O1115" i="45"/>
  <c r="O1051" i="45"/>
  <c r="O1014" i="45"/>
  <c r="O930" i="45"/>
  <c r="O851" i="45"/>
  <c r="O929" i="45"/>
  <c r="O755" i="45"/>
  <c r="O802" i="45"/>
  <c r="O623" i="45"/>
  <c r="O641" i="45"/>
  <c r="O563" i="45"/>
  <c r="O553" i="45"/>
  <c r="O361" i="45"/>
  <c r="O346" i="45"/>
  <c r="O395" i="45"/>
  <c r="O444" i="45"/>
  <c r="O257" i="45"/>
  <c r="O322" i="45"/>
  <c r="O130" i="45"/>
  <c r="O328" i="45"/>
  <c r="O136" i="45"/>
  <c r="O84" i="45"/>
  <c r="O86" i="45"/>
  <c r="O1338" i="45"/>
  <c r="O1270" i="45"/>
  <c r="O1233" i="45"/>
  <c r="O1207" i="45"/>
  <c r="O1160" i="45"/>
  <c r="O1097" i="45"/>
  <c r="O1031" i="45"/>
  <c r="O994" i="45"/>
  <c r="O846" i="45"/>
  <c r="O916" i="45"/>
  <c r="O909" i="45"/>
  <c r="O735" i="45"/>
  <c r="O782" i="45"/>
  <c r="O765" i="45"/>
  <c r="O789" i="45"/>
  <c r="O612" i="45"/>
  <c r="O469" i="45"/>
  <c r="O518" i="45"/>
  <c r="O503" i="45"/>
  <c r="O552" i="45"/>
  <c r="O424" i="45"/>
  <c r="O237" i="45"/>
  <c r="O302" i="45"/>
  <c r="O1141" i="45"/>
  <c r="O1077" i="45"/>
  <c r="O1089" i="45"/>
  <c r="O1037" i="45"/>
  <c r="O890" i="45"/>
  <c r="O958" i="45"/>
  <c r="O825" i="45"/>
  <c r="O800" i="45"/>
  <c r="O720" i="45"/>
  <c r="O648" i="45"/>
  <c r="O669" i="45"/>
  <c r="O592" i="45"/>
  <c r="O449" i="45"/>
  <c r="O498" i="45"/>
  <c r="O547" i="45"/>
  <c r="O355" i="45"/>
  <c r="O404" i="45"/>
  <c r="O217" i="45"/>
  <c r="O282" i="45"/>
  <c r="O90" i="45"/>
  <c r="O288" i="45"/>
  <c r="O96" i="45"/>
  <c r="O139" i="45"/>
  <c r="O181" i="45"/>
  <c r="O223" i="45"/>
  <c r="O108" i="45"/>
  <c r="O74" i="45"/>
  <c r="O151" i="45"/>
  <c r="O1327" i="45"/>
  <c r="O1290" i="45"/>
  <c r="O1255" i="45"/>
  <c r="O1221" i="45"/>
  <c r="O1166" i="45"/>
  <c r="O1121" i="45"/>
  <c r="O1057" i="45"/>
  <c r="O1068" i="45"/>
  <c r="O1003" i="45"/>
  <c r="O870" i="45"/>
  <c r="O940" i="45"/>
  <c r="O869" i="45"/>
  <c r="O695" i="45"/>
  <c r="O742" i="45"/>
  <c r="O697" i="45"/>
  <c r="O578" i="45"/>
  <c r="O654" i="45"/>
  <c r="O493" i="45"/>
  <c r="O542" i="45"/>
  <c r="O527" i="45"/>
  <c r="O617" i="45"/>
  <c r="O384" i="45"/>
  <c r="O310" i="45"/>
  <c r="O26" i="45"/>
  <c r="O1316" i="45"/>
  <c r="O1272" i="45"/>
  <c r="O1201" i="45"/>
  <c r="O1216" i="45"/>
  <c r="O1154" i="45"/>
  <c r="O1093" i="45"/>
  <c r="O1048" i="45"/>
  <c r="O983" i="45"/>
  <c r="O537" i="45"/>
  <c r="O522" i="45"/>
  <c r="O601" i="45"/>
  <c r="O379" i="45"/>
  <c r="O428" i="45"/>
  <c r="O241" i="45"/>
  <c r="O306" i="45"/>
  <c r="O114" i="45"/>
  <c r="O248" i="45"/>
  <c r="O45" i="45"/>
  <c r="O14" i="45"/>
  <c r="O271" i="45"/>
  <c r="O21" i="45"/>
  <c r="O1329" i="45"/>
  <c r="O1319" i="45"/>
  <c r="O1300" i="45"/>
  <c r="O1286" i="45"/>
  <c r="O1284" i="45"/>
  <c r="O1247" i="45"/>
  <c r="O1249" i="45"/>
  <c r="O1213" i="45"/>
  <c r="O1222" i="45"/>
  <c r="O1223" i="45"/>
  <c r="O1228" i="45"/>
  <c r="O1164" i="45"/>
  <c r="O1100" i="45"/>
  <c r="O1113" i="45"/>
  <c r="O1102" i="45"/>
  <c r="O1111" i="45"/>
  <c r="O1049" i="45"/>
  <c r="O1038" i="45"/>
  <c r="O1047" i="45"/>
  <c r="O1060" i="45"/>
  <c r="O1005" i="45"/>
  <c r="O1010" i="45"/>
  <c r="O995" i="45"/>
  <c r="O1000" i="45"/>
  <c r="O926" i="45"/>
  <c r="O862" i="45"/>
  <c r="O911" i="45"/>
  <c r="O847" i="45"/>
  <c r="O932" i="45"/>
  <c r="O868" i="45"/>
  <c r="O925" i="45"/>
  <c r="O861" i="45"/>
  <c r="O818" i="45"/>
  <c r="O751" i="45"/>
  <c r="O687" i="45"/>
  <c r="O772" i="45"/>
  <c r="O798" i="45"/>
  <c r="O734" i="45"/>
  <c r="O683" i="45"/>
  <c r="O830" i="45"/>
  <c r="O684" i="45"/>
  <c r="O809" i="45"/>
  <c r="O633" i="45"/>
  <c r="O570" i="45"/>
  <c r="O621" i="45"/>
  <c r="O559" i="45"/>
  <c r="O637" i="45"/>
  <c r="O564" i="45"/>
  <c r="O549" i="45"/>
  <c r="O485" i="45"/>
  <c r="O421" i="45"/>
  <c r="O357" i="45"/>
  <c r="O534" i="45"/>
  <c r="O470" i="45"/>
  <c r="O406" i="45"/>
  <c r="O342" i="45"/>
  <c r="O519" i="45"/>
  <c r="O455" i="45"/>
  <c r="O391" i="45"/>
  <c r="O593" i="45"/>
  <c r="O504" i="45"/>
  <c r="O440" i="45"/>
  <c r="O376" i="45"/>
  <c r="O317" i="45"/>
  <c r="O253" i="45"/>
  <c r="O189" i="45"/>
  <c r="O125" i="45"/>
  <c r="O318" i="45"/>
  <c r="O254" i="45"/>
  <c r="O190" i="45"/>
  <c r="O126" i="45"/>
  <c r="O311" i="45"/>
  <c r="O247" i="45"/>
  <c r="O324" i="45"/>
  <c r="O260" i="45"/>
  <c r="O196" i="45"/>
  <c r="O132" i="45"/>
  <c r="O32" i="45"/>
  <c r="O27" i="45"/>
  <c r="O88" i="45"/>
  <c r="O71" i="45"/>
  <c r="O198" i="45"/>
  <c r="O332" i="45"/>
  <c r="O24" i="45"/>
  <c r="O183" i="45"/>
  <c r="O70" i="45"/>
  <c r="O1334" i="45"/>
  <c r="O1311" i="45"/>
  <c r="O1309" i="45"/>
  <c r="O1266" i="45"/>
  <c r="O1264" i="45"/>
  <c r="O1261" i="45"/>
  <c r="O1229" i="45"/>
  <c r="O1193" i="45"/>
  <c r="O1202" i="45"/>
  <c r="O1203" i="45"/>
  <c r="O1208" i="45"/>
  <c r="O1144" i="45"/>
  <c r="O1157" i="45"/>
  <c r="O1146" i="45"/>
  <c r="O1155" i="45"/>
  <c r="O1095" i="45"/>
  <c r="O1082" i="45"/>
  <c r="O1105" i="45"/>
  <c r="O1027" i="45"/>
  <c r="O1040" i="45"/>
  <c r="O985" i="45"/>
  <c r="O990" i="45"/>
  <c r="O975" i="45"/>
  <c r="O980" i="45"/>
  <c r="O906" i="45"/>
  <c r="O968" i="45"/>
  <c r="O891" i="45"/>
  <c r="O827" i="45"/>
  <c r="O912" i="45"/>
  <c r="O848" i="45"/>
  <c r="O905" i="45"/>
  <c r="O841" i="45"/>
  <c r="O795" i="45"/>
  <c r="O731" i="45"/>
  <c r="O815" i="45"/>
  <c r="O752" i="45"/>
  <c r="O778" i="45"/>
  <c r="O769" i="45"/>
  <c r="O663" i="45"/>
  <c r="O749" i="45"/>
  <c r="O664" i="45"/>
  <c r="O717" i="45"/>
  <c r="O614" i="45"/>
  <c r="O736" i="45"/>
  <c r="O603" i="45"/>
  <c r="O716" i="45"/>
  <c r="O608" i="45"/>
  <c r="O721" i="45"/>
  <c r="O529" i="45"/>
  <c r="O465" i="45"/>
  <c r="O401" i="45"/>
  <c r="O337" i="45"/>
  <c r="O514" i="45"/>
  <c r="O450" i="45"/>
  <c r="O386" i="45"/>
  <c r="O577" i="45"/>
  <c r="O499" i="45"/>
  <c r="O435" i="45"/>
  <c r="O371" i="45"/>
  <c r="O548" i="45"/>
  <c r="O484" i="45"/>
  <c r="O420" i="45"/>
  <c r="O356" i="45"/>
  <c r="O297" i="45"/>
  <c r="O233" i="45"/>
  <c r="O169" i="45"/>
  <c r="O105" i="45"/>
  <c r="O298" i="45"/>
  <c r="O234" i="45"/>
  <c r="O170" i="45"/>
  <c r="O106" i="45"/>
  <c r="O291" i="45"/>
  <c r="O227" i="45"/>
  <c r="O304" i="45"/>
  <c r="O240" i="45"/>
  <c r="O176" i="45"/>
  <c r="O112" i="45"/>
  <c r="O53" i="45"/>
  <c r="O48" i="45"/>
  <c r="O99" i="45"/>
  <c r="O131" i="45"/>
  <c r="O163" i="45"/>
  <c r="O22" i="45"/>
  <c r="O309" i="45"/>
  <c r="O294" i="45"/>
  <c r="O287" i="45"/>
  <c r="O172" i="45"/>
  <c r="O43" i="45"/>
  <c r="O58" i="45"/>
  <c r="O111" i="45"/>
  <c r="O143" i="45"/>
  <c r="O175" i="45"/>
  <c r="O1314" i="45"/>
  <c r="O1291" i="45"/>
  <c r="O1289" i="45"/>
  <c r="O1275" i="45"/>
  <c r="O1273" i="45"/>
  <c r="O1244" i="45"/>
  <c r="O1242" i="45"/>
  <c r="O1173" i="45"/>
  <c r="O1182" i="45"/>
  <c r="O1183" i="45"/>
  <c r="O1188" i="45"/>
  <c r="O1124" i="45"/>
  <c r="O1137" i="45"/>
  <c r="O1126" i="45"/>
  <c r="O1135" i="45"/>
  <c r="O1073" i="45"/>
  <c r="O1062" i="45"/>
  <c r="O1071" i="45"/>
  <c r="O1084" i="45"/>
  <c r="O1020" i="45"/>
  <c r="O965" i="45"/>
  <c r="O1021" i="45"/>
  <c r="O955" i="45"/>
  <c r="O950" i="45"/>
  <c r="O886" i="45"/>
  <c r="O935" i="45"/>
  <c r="O871" i="45"/>
  <c r="O952" i="45"/>
  <c r="O892" i="45"/>
  <c r="O885" i="45"/>
  <c r="O775" i="45"/>
  <c r="O711" i="45"/>
  <c r="O796" i="45"/>
  <c r="O710" i="45"/>
  <c r="O644" i="45"/>
  <c r="O666" i="45"/>
  <c r="O588" i="45"/>
  <c r="O445" i="45"/>
  <c r="O494" i="45"/>
  <c r="O543" i="45"/>
  <c r="O351" i="45"/>
  <c r="O400" i="45"/>
  <c r="O117" i="45"/>
  <c r="O36" i="45"/>
  <c r="O1333" i="45"/>
  <c r="O1304" i="45"/>
  <c r="O1298" i="45"/>
  <c r="O1251" i="45"/>
  <c r="O1253" i="45"/>
  <c r="O1217" i="45"/>
  <c r="O1226" i="45"/>
  <c r="O1163" i="45"/>
  <c r="O1168" i="45"/>
  <c r="O1104" i="45"/>
  <c r="O1106" i="45"/>
  <c r="O1042" i="45"/>
  <c r="O1009" i="45"/>
  <c r="O1004" i="45"/>
  <c r="O915" i="45"/>
  <c r="O872" i="45"/>
  <c r="O826" i="45"/>
  <c r="O776" i="45"/>
  <c r="O688" i="45"/>
  <c r="O822" i="45"/>
  <c r="O622" i="45"/>
  <c r="O646" i="45"/>
  <c r="O489" i="45"/>
  <c r="O538" i="45"/>
  <c r="O410" i="45"/>
  <c r="O459" i="45"/>
  <c r="O508" i="45"/>
  <c r="O321" i="45"/>
  <c r="O129" i="45"/>
  <c r="O194" i="45"/>
  <c r="O251" i="45"/>
  <c r="O200" i="45"/>
  <c r="O23" i="45"/>
  <c r="O326" i="45"/>
  <c r="O68" i="45"/>
  <c r="O34" i="45"/>
  <c r="O1324" i="45"/>
  <c r="O1231" i="45"/>
  <c r="O1206" i="45"/>
  <c r="O1148" i="45"/>
  <c r="O1159" i="45"/>
  <c r="O1022" i="45"/>
  <c r="O989" i="45"/>
  <c r="O984" i="45"/>
  <c r="O895" i="45"/>
  <c r="O852" i="45"/>
  <c r="O799" i="45"/>
  <c r="O756" i="45"/>
  <c r="O667" i="45"/>
  <c r="O745" i="45"/>
  <c r="O618" i="45"/>
  <c r="O722" i="45"/>
  <c r="O533" i="45"/>
  <c r="O341" i="45"/>
  <c r="O390" i="45"/>
  <c r="O439" i="45"/>
  <c r="O488" i="45"/>
  <c r="O301" i="45"/>
  <c r="O109" i="45"/>
  <c r="O174" i="45"/>
  <c r="O295" i="45"/>
  <c r="O308" i="45"/>
  <c r="O180" i="45"/>
  <c r="O49" i="45"/>
  <c r="O18" i="45"/>
  <c r="O134" i="45"/>
  <c r="O19" i="45"/>
  <c r="O83" i="45"/>
  <c r="O1295" i="45"/>
  <c r="O1279" i="45"/>
  <c r="O1277" i="45"/>
  <c r="O1248" i="45"/>
  <c r="O1177" i="45"/>
  <c r="O1187" i="45"/>
  <c r="O1192" i="45"/>
  <c r="O1130" i="45"/>
  <c r="O1066" i="45"/>
  <c r="O1024" i="45"/>
  <c r="O959" i="45"/>
  <c r="O939" i="45"/>
  <c r="O896" i="45"/>
  <c r="O889" i="45"/>
  <c r="O715" i="45"/>
  <c r="O762" i="45"/>
  <c r="O724" i="45"/>
  <c r="O598" i="45"/>
  <c r="O685" i="45"/>
  <c r="O513" i="45"/>
  <c r="O573" i="45"/>
  <c r="O370" i="45"/>
  <c r="O419" i="45"/>
  <c r="O532" i="45"/>
  <c r="O340" i="45"/>
  <c r="O153" i="45"/>
  <c r="O218" i="45"/>
  <c r="O275" i="45"/>
  <c r="O224" i="45"/>
  <c r="O69" i="45"/>
  <c r="O107" i="45"/>
  <c r="O39" i="45"/>
  <c r="O230" i="45"/>
  <c r="O13" i="45"/>
  <c r="O119" i="45"/>
  <c r="O1337" i="45"/>
  <c r="O1308" i="45"/>
  <c r="O1320" i="45"/>
  <c r="O1257" i="45"/>
  <c r="O1230" i="45"/>
  <c r="O1167" i="45"/>
  <c r="O1172" i="45"/>
  <c r="O1108" i="45"/>
  <c r="O1110" i="45"/>
  <c r="O1119" i="45"/>
  <c r="O1055" i="45"/>
  <c r="O1025" i="45"/>
  <c r="O934" i="45"/>
  <c r="O855" i="45"/>
  <c r="O876" i="45"/>
  <c r="O834" i="45"/>
  <c r="O780" i="45"/>
  <c r="O693" i="45"/>
  <c r="O628" i="45"/>
  <c r="O629" i="45"/>
  <c r="O572" i="45"/>
  <c r="O429" i="45"/>
  <c r="O478" i="45"/>
  <c r="O350" i="45"/>
  <c r="O399" i="45"/>
  <c r="O448" i="45"/>
  <c r="O213" i="45"/>
  <c r="O303" i="45"/>
  <c r="O62" i="45"/>
  <c r="O1288" i="45"/>
  <c r="O1235" i="45"/>
  <c r="O1210" i="45"/>
  <c r="O1152" i="45"/>
  <c r="O1090" i="45"/>
  <c r="O1026" i="45"/>
  <c r="O993" i="45"/>
  <c r="O988" i="45"/>
  <c r="O850" i="45"/>
  <c r="O835" i="45"/>
  <c r="O856" i="45"/>
  <c r="O849" i="45"/>
  <c r="O739" i="45"/>
  <c r="O760" i="45"/>
  <c r="O801" i="45"/>
  <c r="O781" i="45"/>
  <c r="O761" i="45"/>
  <c r="O624" i="45"/>
  <c r="O558" i="45"/>
  <c r="O611" i="45"/>
  <c r="O733" i="45"/>
  <c r="O773" i="45"/>
  <c r="O409" i="45"/>
  <c r="O458" i="45"/>
  <c r="O507" i="45"/>
  <c r="O556" i="45"/>
  <c r="O364" i="45"/>
  <c r="O177" i="45"/>
  <c r="O242" i="45"/>
  <c r="O299" i="45"/>
  <c r="O235" i="45"/>
  <c r="O184" i="45"/>
  <c r="O40" i="45"/>
  <c r="O278" i="45"/>
  <c r="O59" i="45"/>
  <c r="P1328" i="45"/>
  <c r="P1327" i="45" s="1"/>
  <c r="P1326" i="45" s="1"/>
  <c r="P1325" i="45" s="1"/>
  <c r="P1324" i="45" s="1"/>
  <c r="P1323" i="45" s="1"/>
  <c r="P1322" i="45" s="1"/>
  <c r="P1321" i="45" s="1"/>
  <c r="P1320" i="45" s="1"/>
  <c r="P1319" i="45" s="1"/>
  <c r="P1318" i="45" s="1"/>
  <c r="P1317" i="45" s="1"/>
  <c r="P1316" i="45" s="1"/>
  <c r="P1315" i="45" s="1"/>
  <c r="P1314" i="45" s="1"/>
  <c r="P1313" i="45" s="1"/>
  <c r="P1312" i="45" s="1"/>
  <c r="P1311" i="45" s="1"/>
  <c r="P1310" i="45" s="1"/>
  <c r="P1309" i="45" s="1"/>
  <c r="P1308" i="45" s="1"/>
  <c r="P1307" i="45" s="1"/>
  <c r="P1306" i="45" s="1"/>
  <c r="P1305" i="45" s="1"/>
  <c r="P1304" i="45" s="1"/>
  <c r="P1303" i="45" s="1"/>
  <c r="P1302" i="45" s="1"/>
  <c r="P1301" i="45" s="1"/>
  <c r="P1300" i="45" s="1"/>
  <c r="P1299" i="45" s="1"/>
  <c r="P1298" i="45" s="1"/>
  <c r="P1297" i="45" s="1"/>
  <c r="P1296" i="45" s="1"/>
  <c r="P1295" i="45" s="1"/>
  <c r="P1294" i="45" s="1"/>
  <c r="P1293" i="45" s="1"/>
  <c r="P1292" i="45" s="1"/>
  <c r="P1291" i="45" s="1"/>
  <c r="P1290" i="45" s="1"/>
  <c r="P1289" i="45" s="1"/>
  <c r="P1288" i="45" s="1"/>
  <c r="P1287" i="45" s="1"/>
  <c r="P1286" i="45" s="1"/>
  <c r="P1285" i="45" s="1"/>
  <c r="P1284" i="45" s="1"/>
  <c r="P1283" i="45" s="1"/>
  <c r="P1282" i="45" s="1"/>
  <c r="P1281" i="45" s="1"/>
  <c r="P1280" i="45" s="1"/>
  <c r="P1279" i="45" s="1"/>
  <c r="P1278" i="45" s="1"/>
  <c r="P1277" i="45" s="1"/>
  <c r="P1276" i="45" s="1"/>
  <c r="P1275" i="45" s="1"/>
  <c r="P1274" i="45" s="1"/>
  <c r="P1273" i="45" s="1"/>
  <c r="P1272" i="45" s="1"/>
  <c r="P1271" i="45" s="1"/>
  <c r="P1270" i="45" s="1"/>
  <c r="P1269" i="45" s="1"/>
  <c r="P1268" i="45" s="1"/>
  <c r="P1267" i="45" s="1"/>
  <c r="P1266" i="45" s="1"/>
  <c r="P1265" i="45" s="1"/>
  <c r="P1264" i="45" s="1"/>
  <c r="P1263" i="45" s="1"/>
  <c r="P1262" i="45" s="1"/>
  <c r="P1261" i="45" s="1"/>
  <c r="P1260" i="45" s="1"/>
  <c r="P1259" i="45" s="1"/>
  <c r="P1258" i="45" s="1"/>
  <c r="P1257" i="45" s="1"/>
  <c r="P1256" i="45" s="1"/>
  <c r="P1255" i="45" s="1"/>
  <c r="P1254" i="45" s="1"/>
  <c r="P1253" i="45" s="1"/>
  <c r="P1252" i="45" s="1"/>
  <c r="P1251" i="45" s="1"/>
  <c r="P1250" i="45" s="1"/>
  <c r="P1249" i="45" s="1"/>
  <c r="P1248" i="45" s="1"/>
  <c r="P1247" i="45" s="1"/>
  <c r="P1246" i="45" s="1"/>
  <c r="P1245" i="45" s="1"/>
  <c r="P1244" i="45" s="1"/>
  <c r="P1243" i="45" s="1"/>
  <c r="P1242" i="45" s="1"/>
  <c r="P1241" i="45" s="1"/>
  <c r="P1240" i="45" s="1"/>
  <c r="P1239" i="45" s="1"/>
  <c r="P1238" i="45" s="1"/>
  <c r="P1237" i="45" s="1"/>
  <c r="P1236" i="45" s="1"/>
  <c r="P1235" i="45" s="1"/>
  <c r="P1234" i="45" s="1"/>
  <c r="P1233" i="45" s="1"/>
  <c r="P1232" i="45" s="1"/>
  <c r="P1231" i="45" s="1"/>
  <c r="P1230" i="45" s="1"/>
  <c r="P1229" i="45" s="1"/>
  <c r="P1228" i="45" s="1"/>
  <c r="P1227" i="45" s="1"/>
  <c r="P1226" i="45" s="1"/>
  <c r="P1225" i="45" s="1"/>
  <c r="P1224" i="45" s="1"/>
  <c r="P1223" i="45" s="1"/>
  <c r="P1222" i="45" s="1"/>
  <c r="P1221" i="45" s="1"/>
  <c r="P1220" i="45" s="1"/>
  <c r="P1219" i="45" s="1"/>
  <c r="P1218" i="45" s="1"/>
  <c r="P1217" i="45" s="1"/>
  <c r="P1216" i="45" s="1"/>
  <c r="P1215" i="45" s="1"/>
  <c r="P1214" i="45" s="1"/>
  <c r="P1213" i="45" s="1"/>
  <c r="P1212" i="45" s="1"/>
  <c r="P1211" i="45" s="1"/>
  <c r="P1210" i="45" s="1"/>
  <c r="P1209" i="45" s="1"/>
  <c r="P1208" i="45" s="1"/>
  <c r="P1207" i="45" s="1"/>
  <c r="P1206" i="45" s="1"/>
  <c r="P1205" i="45" s="1"/>
  <c r="P1204" i="45" s="1"/>
  <c r="P1203" i="45" s="1"/>
  <c r="P1202" i="45" s="1"/>
  <c r="P1201" i="45" s="1"/>
  <c r="P1200" i="45" s="1"/>
  <c r="P1199" i="45" s="1"/>
  <c r="P1198" i="45" s="1"/>
  <c r="P1197" i="45" s="1"/>
  <c r="P1196" i="45" s="1"/>
  <c r="P1195" i="45" s="1"/>
  <c r="P1194" i="45" s="1"/>
  <c r="P1193" i="45" s="1"/>
  <c r="P1192" i="45" s="1"/>
  <c r="P1191" i="45" s="1"/>
  <c r="P1190" i="45" s="1"/>
  <c r="P1189" i="45" s="1"/>
  <c r="P1188" i="45" s="1"/>
  <c r="P1187" i="45" s="1"/>
  <c r="P1186" i="45" s="1"/>
  <c r="P1185" i="45" s="1"/>
  <c r="P1184" i="45" s="1"/>
  <c r="P1183" i="45" s="1"/>
  <c r="P1182" i="45" s="1"/>
  <c r="P1181" i="45" s="1"/>
  <c r="P1180" i="45" s="1"/>
  <c r="P1179" i="45" s="1"/>
  <c r="P1178" i="45" s="1"/>
  <c r="P1177" i="45" s="1"/>
  <c r="P1176" i="45" s="1"/>
  <c r="P1175" i="45" s="1"/>
  <c r="P1174" i="45" s="1"/>
  <c r="P1173" i="45" s="1"/>
  <c r="P1172" i="45" s="1"/>
  <c r="P1171" i="45" s="1"/>
  <c r="P1170" i="45" s="1"/>
  <c r="P1169" i="45" s="1"/>
  <c r="P1168" i="45" s="1"/>
  <c r="P1167" i="45" s="1"/>
  <c r="P1166" i="45" s="1"/>
  <c r="P1165" i="45" s="1"/>
  <c r="P1164" i="45" s="1"/>
  <c r="P1163" i="45" s="1"/>
  <c r="P1162" i="45" s="1"/>
  <c r="P1161" i="45" s="1"/>
  <c r="P1160" i="45" s="1"/>
  <c r="P1159" i="45" s="1"/>
  <c r="P1158" i="45" s="1"/>
  <c r="P1157" i="45" s="1"/>
  <c r="P1156" i="45" s="1"/>
  <c r="P1155" i="45" s="1"/>
  <c r="P1154" i="45" s="1"/>
  <c r="P1153" i="45" s="1"/>
  <c r="P1152" i="45" s="1"/>
  <c r="P1151" i="45" s="1"/>
  <c r="P1150" i="45" s="1"/>
  <c r="P1149" i="45" s="1"/>
  <c r="P1148" i="45" s="1"/>
  <c r="P1147" i="45" s="1"/>
  <c r="P1146" i="45" s="1"/>
  <c r="P1145" i="45" s="1"/>
  <c r="P1144" i="45" s="1"/>
  <c r="P1143" i="45" s="1"/>
  <c r="P1142" i="45" s="1"/>
  <c r="P1141" i="45" s="1"/>
  <c r="P1140" i="45" s="1"/>
  <c r="P1139" i="45" s="1"/>
  <c r="P1138" i="45" s="1"/>
  <c r="P1137" i="45" s="1"/>
  <c r="P1136" i="45" s="1"/>
  <c r="P1135" i="45" s="1"/>
  <c r="P1134" i="45" s="1"/>
  <c r="P1133" i="45" s="1"/>
  <c r="P1132" i="45" s="1"/>
  <c r="P1131" i="45" s="1"/>
  <c r="P1130" i="45" s="1"/>
  <c r="P1129" i="45" s="1"/>
  <c r="P1128" i="45" s="1"/>
  <c r="P1127" i="45" s="1"/>
  <c r="P1126" i="45" s="1"/>
  <c r="P1125" i="45" s="1"/>
  <c r="P1124" i="45" s="1"/>
  <c r="P1123" i="45" s="1"/>
  <c r="P1122" i="45" s="1"/>
  <c r="P1121" i="45" s="1"/>
  <c r="P1120" i="45" s="1"/>
  <c r="P1119" i="45" s="1"/>
  <c r="P1118" i="45" s="1"/>
  <c r="P1117" i="45" s="1"/>
  <c r="P1116" i="45" s="1"/>
  <c r="P1115" i="45" s="1"/>
  <c r="P1114" i="45" s="1"/>
  <c r="P1113" i="45" s="1"/>
  <c r="P1112" i="45" s="1"/>
  <c r="P1111" i="45" s="1"/>
  <c r="P1110" i="45" s="1"/>
  <c r="P1109" i="45" s="1"/>
  <c r="P1108" i="45" s="1"/>
  <c r="P1107" i="45" s="1"/>
  <c r="P1106" i="45" s="1"/>
  <c r="P1105" i="45" s="1"/>
  <c r="P1104" i="45" s="1"/>
  <c r="P1103" i="45" s="1"/>
  <c r="P1102" i="45" s="1"/>
  <c r="P1101" i="45" s="1"/>
  <c r="P1100" i="45" s="1"/>
  <c r="P1099" i="45" s="1"/>
  <c r="P1098" i="45" s="1"/>
  <c r="P1097" i="45" s="1"/>
  <c r="P1096" i="45" s="1"/>
  <c r="P1095" i="45" s="1"/>
  <c r="P1094" i="45" s="1"/>
  <c r="P1093" i="45" s="1"/>
  <c r="P1092" i="45" s="1"/>
  <c r="P1091" i="45" s="1"/>
  <c r="P1090" i="45" s="1"/>
  <c r="P1089" i="45" s="1"/>
  <c r="P1088" i="45" s="1"/>
  <c r="P1087" i="45" s="1"/>
  <c r="P1086" i="45" s="1"/>
  <c r="P1085" i="45" s="1"/>
  <c r="P1084" i="45" s="1"/>
  <c r="P1083" i="45" s="1"/>
  <c r="P1082" i="45" s="1"/>
  <c r="P1081" i="45" s="1"/>
  <c r="P1080" i="45" s="1"/>
  <c r="P1079" i="45" s="1"/>
  <c r="P1078" i="45" s="1"/>
  <c r="P1077" i="45" s="1"/>
  <c r="P1076" i="45" s="1"/>
  <c r="P1075" i="45" s="1"/>
  <c r="P1074" i="45" s="1"/>
  <c r="P1073" i="45" s="1"/>
  <c r="P1072" i="45" s="1"/>
  <c r="P1071" i="45" s="1"/>
  <c r="P1070" i="45" s="1"/>
  <c r="P1069" i="45" s="1"/>
  <c r="P1068" i="45" s="1"/>
  <c r="P1067" i="45" s="1"/>
  <c r="P1066" i="45" s="1"/>
  <c r="P1065" i="45" s="1"/>
  <c r="P1064" i="45" s="1"/>
  <c r="P1063" i="45" s="1"/>
  <c r="P1062" i="45" s="1"/>
  <c r="P1061" i="45" s="1"/>
  <c r="P1060" i="45" s="1"/>
  <c r="P1059" i="45" s="1"/>
  <c r="P1058" i="45" s="1"/>
  <c r="P1057" i="45" s="1"/>
  <c r="P1056" i="45" s="1"/>
  <c r="P1055" i="45" s="1"/>
  <c r="P1054" i="45" s="1"/>
  <c r="P1053" i="45" s="1"/>
  <c r="P1052" i="45" s="1"/>
  <c r="P1051" i="45" s="1"/>
  <c r="P1050" i="45" s="1"/>
  <c r="P1049" i="45" s="1"/>
  <c r="P1048" i="45" s="1"/>
  <c r="P1047" i="45" s="1"/>
  <c r="P1046" i="45" s="1"/>
  <c r="P1045" i="45" s="1"/>
  <c r="P1044" i="45" s="1"/>
  <c r="P1043" i="45" s="1"/>
  <c r="P1042" i="45" s="1"/>
  <c r="P1041" i="45" s="1"/>
  <c r="P1040" i="45" s="1"/>
  <c r="P1039" i="45" s="1"/>
  <c r="P1038" i="45" s="1"/>
  <c r="P1037" i="45" s="1"/>
  <c r="P1036" i="45" s="1"/>
  <c r="P1035" i="45" s="1"/>
  <c r="P1034" i="45" s="1"/>
  <c r="P1033" i="45" s="1"/>
  <c r="P1032" i="45" s="1"/>
  <c r="P1031" i="45" s="1"/>
  <c r="P1030" i="45" s="1"/>
  <c r="P1029" i="45" s="1"/>
  <c r="P1028" i="45" s="1"/>
  <c r="P1027" i="45" s="1"/>
  <c r="P1026" i="45" s="1"/>
  <c r="P1025" i="45" s="1"/>
  <c r="P1024" i="45" s="1"/>
  <c r="P1023" i="45" s="1"/>
  <c r="P1022" i="45" s="1"/>
  <c r="P1021" i="45" s="1"/>
  <c r="P1020" i="45" s="1"/>
  <c r="P1019" i="45" s="1"/>
  <c r="P1018" i="45" s="1"/>
  <c r="P1017" i="45" s="1"/>
  <c r="P1016" i="45" s="1"/>
  <c r="P1015" i="45" s="1"/>
  <c r="P1014" i="45" s="1"/>
  <c r="P1013" i="45" s="1"/>
  <c r="P1012" i="45" s="1"/>
  <c r="P1011" i="45" s="1"/>
  <c r="P1010" i="45" s="1"/>
  <c r="P1009" i="45" s="1"/>
  <c r="P1008" i="45" s="1"/>
  <c r="P1007" i="45" s="1"/>
  <c r="P1006" i="45" s="1"/>
  <c r="P1005" i="45" s="1"/>
  <c r="P1004" i="45" s="1"/>
  <c r="P1003" i="45" s="1"/>
  <c r="P1002" i="45" s="1"/>
  <c r="P1001" i="45" s="1"/>
  <c r="P1000" i="45" s="1"/>
  <c r="P999" i="45" s="1"/>
  <c r="P998" i="45" s="1"/>
  <c r="P997" i="45" s="1"/>
  <c r="P996" i="45" s="1"/>
  <c r="P995" i="45" s="1"/>
  <c r="P994" i="45" s="1"/>
  <c r="P993" i="45" s="1"/>
  <c r="P992" i="45" s="1"/>
  <c r="P991" i="45" s="1"/>
  <c r="P990" i="45" s="1"/>
  <c r="P989" i="45" s="1"/>
  <c r="P988" i="45" s="1"/>
  <c r="P987" i="45" s="1"/>
  <c r="P986" i="45" s="1"/>
  <c r="P985" i="45" s="1"/>
  <c r="P984" i="45" s="1"/>
  <c r="P983" i="45" s="1"/>
  <c r="P982" i="45" s="1"/>
  <c r="P981" i="45" s="1"/>
  <c r="P980" i="45" s="1"/>
  <c r="P979" i="45" s="1"/>
  <c r="P978" i="45" s="1"/>
  <c r="P977" i="45" s="1"/>
  <c r="P976" i="45" s="1"/>
  <c r="P975" i="45" s="1"/>
  <c r="P974" i="45" s="1"/>
  <c r="P973" i="45" s="1"/>
  <c r="P972" i="45" s="1"/>
  <c r="P971" i="45" s="1"/>
  <c r="P970" i="45" s="1"/>
  <c r="P969" i="45" s="1"/>
  <c r="P968" i="45" s="1"/>
  <c r="P967" i="45" s="1"/>
  <c r="P966" i="45" s="1"/>
  <c r="P965" i="45" s="1"/>
  <c r="P964" i="45" s="1"/>
  <c r="P963" i="45" s="1"/>
  <c r="P962" i="45" s="1"/>
  <c r="P961" i="45" s="1"/>
  <c r="P960" i="45" s="1"/>
  <c r="P959" i="45" s="1"/>
  <c r="P958" i="45" s="1"/>
  <c r="P957" i="45" s="1"/>
  <c r="P956" i="45" s="1"/>
  <c r="P955" i="45" s="1"/>
  <c r="P954" i="45" s="1"/>
  <c r="P953" i="45" s="1"/>
  <c r="P952" i="45" s="1"/>
  <c r="P951" i="45" s="1"/>
  <c r="P950" i="45" s="1"/>
  <c r="P949" i="45" s="1"/>
  <c r="P948" i="45" s="1"/>
  <c r="P947" i="45" s="1"/>
  <c r="P946" i="45" s="1"/>
  <c r="P945" i="45" s="1"/>
  <c r="P944" i="45" s="1"/>
  <c r="P943" i="45" s="1"/>
  <c r="P942" i="45" s="1"/>
  <c r="P941" i="45" s="1"/>
  <c r="P940" i="45" s="1"/>
  <c r="P939" i="45" s="1"/>
  <c r="P938" i="45" s="1"/>
  <c r="P937" i="45" s="1"/>
  <c r="P936" i="45" s="1"/>
  <c r="P935" i="45" s="1"/>
  <c r="P934" i="45" s="1"/>
  <c r="P933" i="45" s="1"/>
  <c r="P932" i="45" s="1"/>
  <c r="P931" i="45" s="1"/>
  <c r="P930" i="45" s="1"/>
  <c r="P929" i="45" s="1"/>
  <c r="P928" i="45" s="1"/>
  <c r="P927" i="45" s="1"/>
  <c r="P926" i="45" s="1"/>
  <c r="P925" i="45" s="1"/>
  <c r="P924" i="45" s="1"/>
  <c r="P923" i="45" s="1"/>
  <c r="P922" i="45" s="1"/>
  <c r="P921" i="45" s="1"/>
  <c r="P920" i="45" s="1"/>
  <c r="P919" i="45" s="1"/>
  <c r="P918" i="45" s="1"/>
  <c r="P917" i="45" s="1"/>
  <c r="P916" i="45" s="1"/>
  <c r="P915" i="45" s="1"/>
  <c r="P914" i="45" s="1"/>
  <c r="P913" i="45" s="1"/>
  <c r="P912" i="45" s="1"/>
  <c r="P911" i="45" s="1"/>
  <c r="P910" i="45" s="1"/>
  <c r="P909" i="45" s="1"/>
  <c r="P908" i="45" s="1"/>
  <c r="P907" i="45" s="1"/>
  <c r="P906" i="45" s="1"/>
  <c r="P905" i="45" s="1"/>
  <c r="P904" i="45" s="1"/>
  <c r="P903" i="45" s="1"/>
  <c r="P902" i="45" s="1"/>
  <c r="P901" i="45" s="1"/>
  <c r="P900" i="45" s="1"/>
  <c r="P899" i="45" s="1"/>
  <c r="P898" i="45" s="1"/>
  <c r="P897" i="45" s="1"/>
  <c r="P896" i="45" s="1"/>
  <c r="P895" i="45" s="1"/>
  <c r="P894" i="45" s="1"/>
  <c r="P893" i="45" s="1"/>
  <c r="P892" i="45" s="1"/>
  <c r="P891" i="45" s="1"/>
  <c r="P890" i="45" s="1"/>
  <c r="P889" i="45" s="1"/>
  <c r="P888" i="45" s="1"/>
  <c r="P887" i="45" s="1"/>
  <c r="P886" i="45" s="1"/>
  <c r="P885" i="45" s="1"/>
  <c r="P884" i="45" s="1"/>
  <c r="P883" i="45" s="1"/>
  <c r="P882" i="45" s="1"/>
  <c r="P881" i="45" s="1"/>
  <c r="P880" i="45" s="1"/>
  <c r="P879" i="45" s="1"/>
  <c r="P878" i="45" s="1"/>
  <c r="P877" i="45" s="1"/>
  <c r="P876" i="45" s="1"/>
  <c r="P875" i="45" s="1"/>
  <c r="P874" i="45" s="1"/>
  <c r="P873" i="45" s="1"/>
  <c r="P872" i="45" s="1"/>
  <c r="P871" i="45" s="1"/>
  <c r="P870" i="45" s="1"/>
  <c r="P869" i="45" s="1"/>
  <c r="P868" i="45" s="1"/>
  <c r="P867" i="45" s="1"/>
  <c r="P866" i="45" s="1"/>
  <c r="P865" i="45" s="1"/>
  <c r="P864" i="45" s="1"/>
  <c r="P863" i="45" s="1"/>
  <c r="P862" i="45" s="1"/>
  <c r="P861" i="45" s="1"/>
  <c r="P860" i="45" s="1"/>
  <c r="P859" i="45" s="1"/>
  <c r="P858" i="45" s="1"/>
  <c r="P857" i="45" s="1"/>
  <c r="P856" i="45" s="1"/>
  <c r="P855" i="45" s="1"/>
  <c r="P854" i="45" s="1"/>
  <c r="P853" i="45" s="1"/>
  <c r="P852" i="45" s="1"/>
  <c r="P851" i="45" s="1"/>
  <c r="P850" i="45" s="1"/>
  <c r="P849" i="45" s="1"/>
  <c r="P848" i="45" s="1"/>
  <c r="P847" i="45" s="1"/>
  <c r="P846" i="45" s="1"/>
  <c r="P845" i="45" s="1"/>
  <c r="P844" i="45" s="1"/>
  <c r="P843" i="45" s="1"/>
  <c r="P842" i="45" s="1"/>
  <c r="P841" i="45" s="1"/>
  <c r="P840" i="45" s="1"/>
  <c r="P839" i="45" s="1"/>
  <c r="P838" i="45" s="1"/>
  <c r="P837" i="45" s="1"/>
  <c r="P836" i="45" s="1"/>
  <c r="P835" i="45" s="1"/>
  <c r="P834" i="45" s="1"/>
  <c r="P833" i="45" s="1"/>
  <c r="P832" i="45" s="1"/>
  <c r="P831" i="45" s="1"/>
  <c r="P830" i="45" s="1"/>
  <c r="P829" i="45" s="1"/>
  <c r="P828" i="45" s="1"/>
  <c r="P827" i="45" s="1"/>
  <c r="P826" i="45" s="1"/>
  <c r="P825" i="45" s="1"/>
  <c r="P824" i="45" s="1"/>
  <c r="P823" i="45" s="1"/>
  <c r="P822" i="45" s="1"/>
  <c r="P821" i="45" s="1"/>
  <c r="P820" i="45" s="1"/>
  <c r="P819" i="45" s="1"/>
  <c r="P818" i="45" s="1"/>
  <c r="P817" i="45" s="1"/>
  <c r="P816" i="45" s="1"/>
  <c r="P815" i="45" s="1"/>
  <c r="P814" i="45" s="1"/>
  <c r="P813" i="45" s="1"/>
  <c r="P812" i="45" s="1"/>
  <c r="P811" i="45" s="1"/>
  <c r="P810" i="45" s="1"/>
  <c r="P809" i="45" s="1"/>
  <c r="P808" i="45" s="1"/>
  <c r="P807" i="45" s="1"/>
  <c r="P806" i="45" s="1"/>
  <c r="P805" i="45" s="1"/>
  <c r="P804" i="45" s="1"/>
  <c r="P803" i="45" s="1"/>
  <c r="P802" i="45" s="1"/>
  <c r="P801" i="45" s="1"/>
  <c r="P800" i="45" s="1"/>
  <c r="P799" i="45" s="1"/>
  <c r="P798" i="45" s="1"/>
  <c r="P797" i="45" s="1"/>
  <c r="P796" i="45" s="1"/>
  <c r="P795" i="45" s="1"/>
  <c r="P794" i="45" s="1"/>
  <c r="P793" i="45" s="1"/>
  <c r="P792" i="45" s="1"/>
  <c r="P791" i="45" s="1"/>
  <c r="P790" i="45" s="1"/>
  <c r="P789" i="45" s="1"/>
  <c r="P788" i="45" s="1"/>
  <c r="P787" i="45" s="1"/>
  <c r="P786" i="45" s="1"/>
  <c r="P785" i="45" s="1"/>
  <c r="P784" i="45" s="1"/>
  <c r="P783" i="45" s="1"/>
  <c r="P782" i="45" s="1"/>
  <c r="P781" i="45" s="1"/>
  <c r="P780" i="45" s="1"/>
  <c r="P779" i="45" s="1"/>
  <c r="P778" i="45" s="1"/>
  <c r="P777" i="45" s="1"/>
  <c r="P776" i="45" s="1"/>
  <c r="P775" i="45" s="1"/>
  <c r="P774" i="45" s="1"/>
  <c r="P773" i="45" s="1"/>
  <c r="P772" i="45" s="1"/>
  <c r="P771" i="45" s="1"/>
  <c r="P770" i="45" s="1"/>
  <c r="P769" i="45" s="1"/>
  <c r="P768" i="45" s="1"/>
  <c r="P767" i="45" s="1"/>
  <c r="P766" i="45" s="1"/>
  <c r="P765" i="45" s="1"/>
  <c r="P764" i="45" s="1"/>
  <c r="P763" i="45" s="1"/>
  <c r="P762" i="45" s="1"/>
  <c r="P761" i="45" s="1"/>
  <c r="P760" i="45" s="1"/>
  <c r="P759" i="45" s="1"/>
  <c r="P758" i="45" s="1"/>
  <c r="P757" i="45" s="1"/>
  <c r="P756" i="45" s="1"/>
  <c r="P755" i="45" s="1"/>
  <c r="P754" i="45" s="1"/>
  <c r="P753" i="45" s="1"/>
  <c r="P752" i="45" s="1"/>
  <c r="P751" i="45" s="1"/>
  <c r="P750" i="45" s="1"/>
  <c r="P749" i="45" s="1"/>
  <c r="P748" i="45" s="1"/>
  <c r="P747" i="45" s="1"/>
  <c r="P746" i="45" s="1"/>
  <c r="P745" i="45" s="1"/>
  <c r="P744" i="45" s="1"/>
  <c r="P743" i="45" s="1"/>
  <c r="P742" i="45" s="1"/>
  <c r="P741" i="45" s="1"/>
  <c r="P740" i="45" s="1"/>
  <c r="P739" i="45" s="1"/>
  <c r="P738" i="45" s="1"/>
  <c r="P737" i="45" s="1"/>
  <c r="P736" i="45" s="1"/>
  <c r="P735" i="45" s="1"/>
  <c r="P734" i="45" s="1"/>
  <c r="P733" i="45" s="1"/>
  <c r="P732" i="45" s="1"/>
  <c r="P731" i="45" s="1"/>
  <c r="P730" i="45" s="1"/>
  <c r="P729" i="45" s="1"/>
  <c r="P728" i="45" s="1"/>
  <c r="P727" i="45" s="1"/>
  <c r="P726" i="45" s="1"/>
  <c r="P725" i="45" s="1"/>
  <c r="P724" i="45" s="1"/>
  <c r="P723" i="45" s="1"/>
  <c r="P722" i="45" s="1"/>
  <c r="P721" i="45" s="1"/>
  <c r="P720" i="45" s="1"/>
  <c r="P719" i="45" s="1"/>
  <c r="P718" i="45" s="1"/>
  <c r="P717" i="45" s="1"/>
  <c r="P716" i="45" s="1"/>
  <c r="P715" i="45" s="1"/>
  <c r="P714" i="45" s="1"/>
  <c r="P713" i="45" s="1"/>
  <c r="P712" i="45" s="1"/>
  <c r="P711" i="45" s="1"/>
  <c r="P710" i="45" s="1"/>
  <c r="P709" i="45" s="1"/>
  <c r="P708" i="45" s="1"/>
  <c r="P707" i="45" s="1"/>
  <c r="P706" i="45" s="1"/>
  <c r="P705" i="45" s="1"/>
  <c r="P704" i="45" s="1"/>
  <c r="P703" i="45" s="1"/>
  <c r="P702" i="45" s="1"/>
  <c r="P701" i="45" s="1"/>
  <c r="P700" i="45" s="1"/>
  <c r="P699" i="45" s="1"/>
  <c r="P698" i="45" s="1"/>
  <c r="P697" i="45" s="1"/>
  <c r="P696" i="45" s="1"/>
  <c r="P695" i="45" s="1"/>
  <c r="P694" i="45" s="1"/>
  <c r="P693" i="45" s="1"/>
  <c r="P692" i="45" s="1"/>
  <c r="P691" i="45" s="1"/>
  <c r="P690" i="45" s="1"/>
  <c r="P689" i="45" s="1"/>
  <c r="P688" i="45" s="1"/>
  <c r="P687" i="45" s="1"/>
  <c r="P686" i="45" s="1"/>
  <c r="P685" i="45" s="1"/>
  <c r="P684" i="45" s="1"/>
  <c r="P683" i="45" s="1"/>
  <c r="P682" i="45" s="1"/>
  <c r="P681" i="45" s="1"/>
  <c r="P680" i="45" s="1"/>
  <c r="P679" i="45" s="1"/>
  <c r="P678" i="45" s="1"/>
  <c r="P677" i="45" s="1"/>
  <c r="P676" i="45" s="1"/>
  <c r="P675" i="45" s="1"/>
  <c r="P674" i="45" s="1"/>
  <c r="P673" i="45" s="1"/>
  <c r="P672" i="45" s="1"/>
  <c r="P671" i="45" s="1"/>
  <c r="P670" i="45" s="1"/>
  <c r="P669" i="45" s="1"/>
  <c r="P668" i="45" s="1"/>
  <c r="P667" i="45" s="1"/>
  <c r="P666" i="45" s="1"/>
  <c r="P665" i="45" s="1"/>
  <c r="P664" i="45" s="1"/>
  <c r="P663" i="45" s="1"/>
  <c r="P662" i="45" s="1"/>
  <c r="P661" i="45" s="1"/>
  <c r="P660" i="45" s="1"/>
  <c r="P659" i="45" s="1"/>
  <c r="P658" i="45" s="1"/>
  <c r="P657" i="45" s="1"/>
  <c r="P656" i="45" s="1"/>
  <c r="P655" i="45" s="1"/>
  <c r="P654" i="45" s="1"/>
  <c r="P653" i="45" s="1"/>
  <c r="P652" i="45" s="1"/>
  <c r="P651" i="45" s="1"/>
  <c r="P650" i="45" s="1"/>
  <c r="P649" i="45" s="1"/>
  <c r="P648" i="45" s="1"/>
  <c r="P647" i="45" s="1"/>
  <c r="P646" i="45" s="1"/>
  <c r="P645" i="45" s="1"/>
  <c r="P644" i="45" s="1"/>
  <c r="P643" i="45" s="1"/>
  <c r="P642" i="45" s="1"/>
  <c r="P641" i="45" s="1"/>
  <c r="P640" i="45" s="1"/>
  <c r="P639" i="45" s="1"/>
  <c r="P638" i="45" s="1"/>
  <c r="P637" i="45" s="1"/>
  <c r="P636" i="45" s="1"/>
  <c r="P635" i="45" s="1"/>
  <c r="P634" i="45" s="1"/>
  <c r="P633" i="45" s="1"/>
  <c r="P632" i="45" s="1"/>
  <c r="P631" i="45" s="1"/>
  <c r="P630" i="45" s="1"/>
  <c r="P629" i="45" s="1"/>
  <c r="P628" i="45" s="1"/>
  <c r="P627" i="45" s="1"/>
  <c r="P626" i="45" s="1"/>
  <c r="P625" i="45" s="1"/>
  <c r="P624" i="45" s="1"/>
  <c r="P623" i="45" s="1"/>
  <c r="P622" i="45" s="1"/>
  <c r="P621" i="45" s="1"/>
  <c r="P620" i="45" s="1"/>
  <c r="P619" i="45" s="1"/>
  <c r="P618" i="45" s="1"/>
  <c r="P617" i="45" s="1"/>
  <c r="P616" i="45" s="1"/>
  <c r="P615" i="45" s="1"/>
  <c r="P614" i="45" s="1"/>
  <c r="P613" i="45" s="1"/>
  <c r="P612" i="45" s="1"/>
  <c r="P611" i="45" s="1"/>
  <c r="P610" i="45" s="1"/>
  <c r="P609" i="45" s="1"/>
  <c r="P608" i="45" s="1"/>
  <c r="P607" i="45" s="1"/>
  <c r="P606" i="45" s="1"/>
  <c r="P605" i="45" s="1"/>
  <c r="P604" i="45" s="1"/>
  <c r="P603" i="45" s="1"/>
  <c r="P602" i="45" s="1"/>
  <c r="P601" i="45" s="1"/>
  <c r="P600" i="45" s="1"/>
  <c r="P599" i="45" s="1"/>
  <c r="P598" i="45" s="1"/>
  <c r="P597" i="45" s="1"/>
  <c r="P596" i="45" s="1"/>
  <c r="P595" i="45" s="1"/>
  <c r="P594" i="45" s="1"/>
  <c r="P593" i="45" s="1"/>
  <c r="P592" i="45" s="1"/>
  <c r="P591" i="45" s="1"/>
  <c r="P590" i="45" s="1"/>
  <c r="P589" i="45" s="1"/>
  <c r="P588" i="45" s="1"/>
  <c r="P587" i="45" s="1"/>
  <c r="P586" i="45" s="1"/>
  <c r="P585" i="45" s="1"/>
  <c r="P584" i="45" s="1"/>
  <c r="P583" i="45" s="1"/>
  <c r="P582" i="45" s="1"/>
  <c r="P581" i="45" s="1"/>
  <c r="P580" i="45" s="1"/>
  <c r="P579" i="45" s="1"/>
  <c r="P578" i="45" s="1"/>
  <c r="P577" i="45" s="1"/>
  <c r="P576" i="45" s="1"/>
  <c r="P575" i="45" s="1"/>
  <c r="P574" i="45" s="1"/>
  <c r="P573" i="45" s="1"/>
  <c r="P572" i="45" s="1"/>
  <c r="P571" i="45" s="1"/>
  <c r="P570" i="45" s="1"/>
  <c r="P569" i="45" s="1"/>
  <c r="P568" i="45" s="1"/>
  <c r="P567" i="45" s="1"/>
  <c r="P566" i="45" s="1"/>
  <c r="P565" i="45" s="1"/>
  <c r="P564" i="45" s="1"/>
  <c r="P563" i="45" s="1"/>
  <c r="P562" i="45" s="1"/>
  <c r="P561" i="45" s="1"/>
  <c r="P560" i="45" s="1"/>
  <c r="P559" i="45" s="1"/>
  <c r="P558" i="45" s="1"/>
  <c r="P557" i="45" s="1"/>
  <c r="P556" i="45" s="1"/>
  <c r="P555" i="45" s="1"/>
  <c r="P554" i="45" s="1"/>
  <c r="P553" i="45" s="1"/>
  <c r="P552" i="45" s="1"/>
  <c r="P551" i="45" s="1"/>
  <c r="P550" i="45" s="1"/>
  <c r="P549" i="45" s="1"/>
  <c r="P548" i="45" s="1"/>
  <c r="P547" i="45" s="1"/>
  <c r="P546" i="45" s="1"/>
  <c r="P545" i="45" s="1"/>
  <c r="P544" i="45" s="1"/>
  <c r="P543" i="45" s="1"/>
  <c r="P542" i="45" s="1"/>
  <c r="P541" i="45" s="1"/>
  <c r="P540" i="45" s="1"/>
  <c r="P539" i="45" s="1"/>
  <c r="P538" i="45" s="1"/>
  <c r="P537" i="45" s="1"/>
  <c r="P536" i="45" s="1"/>
  <c r="P535" i="45" s="1"/>
  <c r="P534" i="45" s="1"/>
  <c r="P533" i="45" s="1"/>
  <c r="P532" i="45" s="1"/>
  <c r="P531" i="45" s="1"/>
  <c r="P530" i="45" s="1"/>
  <c r="P529" i="45" s="1"/>
  <c r="P528" i="45" s="1"/>
  <c r="P527" i="45" s="1"/>
  <c r="P526" i="45" s="1"/>
  <c r="P525" i="45" s="1"/>
  <c r="P524" i="45" s="1"/>
  <c r="P523" i="45" s="1"/>
  <c r="P522" i="45" s="1"/>
  <c r="P521" i="45" s="1"/>
  <c r="P520" i="45" s="1"/>
  <c r="P519" i="45" s="1"/>
  <c r="P518" i="45" s="1"/>
  <c r="P517" i="45" s="1"/>
  <c r="P516" i="45" s="1"/>
  <c r="P515" i="45" s="1"/>
  <c r="P514" i="45" s="1"/>
  <c r="P513" i="45" s="1"/>
  <c r="P512" i="45" s="1"/>
  <c r="P511" i="45" s="1"/>
  <c r="P510" i="45" s="1"/>
  <c r="P509" i="45" s="1"/>
  <c r="P508" i="45" s="1"/>
  <c r="P507" i="45" s="1"/>
  <c r="P506" i="45" s="1"/>
  <c r="P505" i="45" s="1"/>
  <c r="P504" i="45" s="1"/>
  <c r="P503" i="45" s="1"/>
  <c r="P502" i="45" s="1"/>
  <c r="P501" i="45" s="1"/>
  <c r="P500" i="45" s="1"/>
  <c r="P499" i="45" s="1"/>
  <c r="P498" i="45" s="1"/>
  <c r="P497" i="45" s="1"/>
  <c r="P496" i="45" s="1"/>
  <c r="P495" i="45" s="1"/>
  <c r="P494" i="45" s="1"/>
  <c r="P493" i="45" s="1"/>
  <c r="P492" i="45" s="1"/>
  <c r="P491" i="45" s="1"/>
  <c r="P490" i="45" s="1"/>
  <c r="P489" i="45" s="1"/>
  <c r="P488" i="45" s="1"/>
  <c r="P487" i="45" s="1"/>
  <c r="P486" i="45" s="1"/>
  <c r="P485" i="45" s="1"/>
  <c r="P484" i="45" s="1"/>
  <c r="P483" i="45" s="1"/>
  <c r="P482" i="45" s="1"/>
  <c r="P481" i="45" s="1"/>
  <c r="P480" i="45" s="1"/>
  <c r="P479" i="45" s="1"/>
  <c r="P478" i="45" s="1"/>
  <c r="P477" i="45" s="1"/>
  <c r="P476" i="45" s="1"/>
  <c r="P475" i="45" s="1"/>
  <c r="P474" i="45" s="1"/>
  <c r="P473" i="45" s="1"/>
  <c r="P472" i="45" s="1"/>
  <c r="P471" i="45" s="1"/>
  <c r="P470" i="45" s="1"/>
  <c r="P469" i="45" s="1"/>
  <c r="P468" i="45" s="1"/>
  <c r="P467" i="45" s="1"/>
  <c r="P466" i="45" s="1"/>
  <c r="P465" i="45" s="1"/>
  <c r="P464" i="45" s="1"/>
  <c r="P463" i="45" s="1"/>
  <c r="P462" i="45" s="1"/>
  <c r="P461" i="45" s="1"/>
  <c r="P460" i="45" s="1"/>
  <c r="P459" i="45" s="1"/>
  <c r="P458" i="45" s="1"/>
  <c r="P457" i="45" s="1"/>
  <c r="P456" i="45" s="1"/>
  <c r="P455" i="45" s="1"/>
  <c r="P454" i="45" s="1"/>
  <c r="P453" i="45" s="1"/>
  <c r="P452" i="45" s="1"/>
  <c r="P451" i="45" s="1"/>
  <c r="P450" i="45" s="1"/>
  <c r="P449" i="45" s="1"/>
  <c r="P448" i="45" s="1"/>
  <c r="P447" i="45" s="1"/>
  <c r="P446" i="45" s="1"/>
  <c r="P445" i="45" s="1"/>
  <c r="P444" i="45" s="1"/>
  <c r="P443" i="45" s="1"/>
  <c r="P442" i="45" s="1"/>
  <c r="P441" i="45" s="1"/>
  <c r="P440" i="45" s="1"/>
  <c r="P439" i="45" s="1"/>
  <c r="P438" i="45" s="1"/>
  <c r="P437" i="45" s="1"/>
  <c r="P436" i="45" s="1"/>
  <c r="P435" i="45" s="1"/>
  <c r="P434" i="45" s="1"/>
  <c r="P433" i="45" s="1"/>
  <c r="P432" i="45" s="1"/>
  <c r="P431" i="45" s="1"/>
  <c r="P430" i="45" s="1"/>
  <c r="P429" i="45" s="1"/>
  <c r="P428" i="45" s="1"/>
  <c r="P427" i="45" s="1"/>
  <c r="P426" i="45" s="1"/>
  <c r="P425" i="45" s="1"/>
  <c r="P424" i="45" s="1"/>
  <c r="P423" i="45" s="1"/>
  <c r="P422" i="45" s="1"/>
  <c r="P421" i="45" s="1"/>
  <c r="P420" i="45" s="1"/>
  <c r="P419" i="45" s="1"/>
  <c r="P418" i="45" s="1"/>
  <c r="P417" i="45" s="1"/>
  <c r="P416" i="45" s="1"/>
  <c r="P415" i="45" s="1"/>
  <c r="P414" i="45" s="1"/>
  <c r="P413" i="45" s="1"/>
  <c r="P412" i="45" s="1"/>
  <c r="P411" i="45" s="1"/>
  <c r="P410" i="45" s="1"/>
  <c r="P409" i="45" s="1"/>
  <c r="P408" i="45" s="1"/>
  <c r="P407" i="45" s="1"/>
  <c r="P406" i="45" s="1"/>
  <c r="P405" i="45" s="1"/>
  <c r="P404" i="45" s="1"/>
  <c r="P403" i="45" s="1"/>
  <c r="P402" i="45" s="1"/>
  <c r="P401" i="45" s="1"/>
  <c r="P400" i="45" s="1"/>
  <c r="P399" i="45" s="1"/>
  <c r="P398" i="45" s="1"/>
  <c r="P397" i="45" s="1"/>
  <c r="P396" i="45" s="1"/>
  <c r="P395" i="45" s="1"/>
  <c r="P394" i="45" s="1"/>
  <c r="P393" i="45" s="1"/>
  <c r="P392" i="45" s="1"/>
  <c r="P391" i="45" s="1"/>
  <c r="P390" i="45" s="1"/>
  <c r="P389" i="45" s="1"/>
  <c r="P388" i="45" s="1"/>
  <c r="P387" i="45" s="1"/>
  <c r="P386" i="45" s="1"/>
  <c r="P385" i="45" s="1"/>
  <c r="P384" i="45" s="1"/>
  <c r="P383" i="45" s="1"/>
  <c r="P382" i="45" s="1"/>
  <c r="P381" i="45" s="1"/>
  <c r="P380" i="45" s="1"/>
  <c r="P379" i="45" s="1"/>
  <c r="P378" i="45" s="1"/>
  <c r="P377" i="45" s="1"/>
  <c r="P376" i="45" s="1"/>
  <c r="P375" i="45" s="1"/>
  <c r="P374" i="45" s="1"/>
  <c r="P373" i="45" s="1"/>
  <c r="P372" i="45" s="1"/>
  <c r="P371" i="45" s="1"/>
  <c r="P370" i="45" s="1"/>
  <c r="P369" i="45" s="1"/>
  <c r="P368" i="45" s="1"/>
  <c r="P367" i="45" s="1"/>
  <c r="P366" i="45" s="1"/>
  <c r="P365" i="45" s="1"/>
  <c r="P364" i="45" s="1"/>
  <c r="P363" i="45" s="1"/>
  <c r="P362" i="45" s="1"/>
  <c r="P361" i="45" s="1"/>
  <c r="P360" i="45" s="1"/>
  <c r="P359" i="45" s="1"/>
  <c r="P358" i="45" s="1"/>
  <c r="P357" i="45" s="1"/>
  <c r="P356" i="45" s="1"/>
  <c r="P355" i="45" s="1"/>
  <c r="P354" i="45" s="1"/>
  <c r="P353" i="45" s="1"/>
  <c r="P352" i="45" s="1"/>
  <c r="P351" i="45" s="1"/>
  <c r="P350" i="45" s="1"/>
  <c r="P349" i="45" s="1"/>
  <c r="P348" i="45" s="1"/>
  <c r="P347" i="45" s="1"/>
  <c r="P346" i="45" s="1"/>
  <c r="P345" i="45" s="1"/>
  <c r="P344" i="45" s="1"/>
  <c r="P343" i="45" s="1"/>
  <c r="P342" i="45" s="1"/>
  <c r="P341" i="45" s="1"/>
  <c r="P340" i="45" s="1"/>
  <c r="P339" i="45" s="1"/>
  <c r="P338" i="45" s="1"/>
  <c r="P337" i="45" s="1"/>
  <c r="P336" i="45" s="1"/>
  <c r="P335" i="45" s="1"/>
  <c r="P334" i="45" s="1"/>
  <c r="P333" i="45" s="1"/>
  <c r="P332" i="45" s="1"/>
  <c r="P331" i="45" s="1"/>
  <c r="P330" i="45" s="1"/>
  <c r="P329" i="45" s="1"/>
  <c r="P328" i="45" s="1"/>
  <c r="P327" i="45" s="1"/>
  <c r="P326" i="45" s="1"/>
  <c r="P325" i="45" s="1"/>
  <c r="P324" i="45" s="1"/>
  <c r="P323" i="45" s="1"/>
  <c r="P322" i="45" s="1"/>
  <c r="P321" i="45" s="1"/>
  <c r="P320" i="45" s="1"/>
  <c r="P319" i="45" s="1"/>
  <c r="P318" i="45" s="1"/>
  <c r="P317" i="45" s="1"/>
  <c r="P316" i="45" s="1"/>
  <c r="P315" i="45" s="1"/>
  <c r="P314" i="45" s="1"/>
  <c r="P313" i="45" s="1"/>
  <c r="P312" i="45" s="1"/>
  <c r="P311" i="45" s="1"/>
  <c r="P310" i="45" s="1"/>
  <c r="P309" i="45" s="1"/>
  <c r="P308" i="45" s="1"/>
  <c r="P307" i="45" s="1"/>
  <c r="P306" i="45" s="1"/>
  <c r="P305" i="45" s="1"/>
  <c r="P304" i="45" s="1"/>
  <c r="P303" i="45" s="1"/>
  <c r="P302" i="45" s="1"/>
  <c r="P301" i="45" s="1"/>
  <c r="P300" i="45" s="1"/>
  <c r="P299" i="45" s="1"/>
  <c r="P298" i="45" s="1"/>
  <c r="P297" i="45" s="1"/>
  <c r="P296" i="45" s="1"/>
  <c r="P295" i="45" s="1"/>
  <c r="P294" i="45" s="1"/>
  <c r="P293" i="45" s="1"/>
  <c r="P292" i="45" s="1"/>
  <c r="P291" i="45" s="1"/>
  <c r="P290" i="45" s="1"/>
  <c r="P289" i="45" s="1"/>
  <c r="P288" i="45" s="1"/>
  <c r="P287" i="45" s="1"/>
  <c r="P286" i="45" s="1"/>
  <c r="P285" i="45" s="1"/>
  <c r="P284" i="45" s="1"/>
  <c r="P283" i="45" s="1"/>
  <c r="P282" i="45" s="1"/>
  <c r="P281" i="45" s="1"/>
  <c r="P280" i="45" s="1"/>
  <c r="P279" i="45" s="1"/>
  <c r="P278" i="45" s="1"/>
  <c r="P277" i="45" s="1"/>
  <c r="P276" i="45" s="1"/>
  <c r="P275" i="45" s="1"/>
  <c r="P274" i="45" s="1"/>
  <c r="P273" i="45" s="1"/>
  <c r="P272" i="45" s="1"/>
  <c r="P271" i="45" s="1"/>
  <c r="P270" i="45" s="1"/>
  <c r="P269" i="45" s="1"/>
  <c r="P268" i="45" s="1"/>
  <c r="P267" i="45" s="1"/>
  <c r="P266" i="45" s="1"/>
  <c r="P265" i="45" s="1"/>
  <c r="P264" i="45" s="1"/>
  <c r="P263" i="45" s="1"/>
  <c r="P262" i="45" s="1"/>
  <c r="P261" i="45" s="1"/>
  <c r="P260" i="45" s="1"/>
  <c r="P259" i="45" s="1"/>
  <c r="P258" i="45" s="1"/>
  <c r="P257" i="45" s="1"/>
  <c r="P256" i="45" s="1"/>
  <c r="P255" i="45" s="1"/>
  <c r="P254" i="45" s="1"/>
  <c r="P253" i="45" s="1"/>
  <c r="P252" i="45" s="1"/>
  <c r="P251" i="45" s="1"/>
  <c r="P250" i="45" s="1"/>
  <c r="P249" i="45" s="1"/>
  <c r="P248" i="45" s="1"/>
  <c r="P247" i="45" s="1"/>
  <c r="P246" i="45" s="1"/>
  <c r="P245" i="45" s="1"/>
  <c r="P244" i="45" s="1"/>
  <c r="P243" i="45" s="1"/>
  <c r="P242" i="45" s="1"/>
  <c r="P241" i="45" s="1"/>
  <c r="P240" i="45" s="1"/>
  <c r="P239" i="45" s="1"/>
  <c r="P238" i="45" s="1"/>
  <c r="P237" i="45" s="1"/>
  <c r="P236" i="45" s="1"/>
  <c r="P235" i="45" s="1"/>
  <c r="P234" i="45" s="1"/>
  <c r="P233" i="45" s="1"/>
  <c r="P232" i="45" s="1"/>
  <c r="P231" i="45" s="1"/>
  <c r="P230" i="45" s="1"/>
  <c r="P229" i="45" s="1"/>
  <c r="P228" i="45" s="1"/>
  <c r="P227" i="45" s="1"/>
  <c r="P226" i="45" s="1"/>
  <c r="P225" i="45" s="1"/>
  <c r="P224" i="45" s="1"/>
  <c r="P223" i="45" s="1"/>
  <c r="P222" i="45" s="1"/>
  <c r="P221" i="45" s="1"/>
  <c r="P220" i="45" s="1"/>
  <c r="P219" i="45" s="1"/>
  <c r="P218" i="45" s="1"/>
  <c r="P217" i="45" s="1"/>
  <c r="P216" i="45" s="1"/>
  <c r="P215" i="45" s="1"/>
  <c r="P214" i="45" s="1"/>
  <c r="P213" i="45" s="1"/>
  <c r="P212" i="45" s="1"/>
  <c r="P211" i="45" s="1"/>
  <c r="P210" i="45" s="1"/>
  <c r="P209" i="45" s="1"/>
  <c r="P208" i="45" s="1"/>
  <c r="P207" i="45" s="1"/>
  <c r="P206" i="45" s="1"/>
  <c r="P205" i="45" s="1"/>
  <c r="P204" i="45" s="1"/>
  <c r="P203" i="45" s="1"/>
  <c r="P202" i="45" s="1"/>
  <c r="P201" i="45" s="1"/>
  <c r="P200" i="45" s="1"/>
  <c r="P199" i="45" s="1"/>
  <c r="P198" i="45" s="1"/>
  <c r="P197" i="45" s="1"/>
  <c r="P196" i="45" s="1"/>
  <c r="P195" i="45" s="1"/>
  <c r="P194" i="45" s="1"/>
  <c r="P193" i="45" s="1"/>
  <c r="P192" i="45" s="1"/>
  <c r="P191" i="45" s="1"/>
  <c r="P190" i="45" s="1"/>
  <c r="P189" i="45" s="1"/>
  <c r="P188" i="45" s="1"/>
  <c r="P187" i="45" s="1"/>
  <c r="P186" i="45" s="1"/>
  <c r="P185" i="45" s="1"/>
  <c r="P184" i="45" s="1"/>
  <c r="P183" i="45" s="1"/>
  <c r="P182" i="45" s="1"/>
  <c r="P181" i="45" s="1"/>
  <c r="P180" i="45" s="1"/>
  <c r="P179" i="45" s="1"/>
  <c r="P178" i="45" s="1"/>
  <c r="P177" i="45" s="1"/>
  <c r="P176" i="45" s="1"/>
  <c r="P175" i="45" s="1"/>
  <c r="P174" i="45" s="1"/>
  <c r="P173" i="45" s="1"/>
  <c r="P172" i="45" s="1"/>
  <c r="P171" i="45" s="1"/>
  <c r="P170" i="45" s="1"/>
  <c r="P169" i="45" s="1"/>
  <c r="P168" i="45" s="1"/>
  <c r="P167" i="45" s="1"/>
  <c r="P166" i="45" s="1"/>
  <c r="P165" i="45" s="1"/>
  <c r="P164" i="45" s="1"/>
  <c r="P163" i="45" s="1"/>
  <c r="P162" i="45" s="1"/>
  <c r="P161" i="45" s="1"/>
  <c r="P160" i="45" s="1"/>
  <c r="P159" i="45" s="1"/>
  <c r="P158" i="45" s="1"/>
  <c r="P157" i="45" s="1"/>
  <c r="P156" i="45" s="1"/>
  <c r="P155" i="45" s="1"/>
  <c r="P154" i="45" s="1"/>
  <c r="P153" i="45" s="1"/>
  <c r="P152" i="45" s="1"/>
  <c r="P151" i="45" s="1"/>
  <c r="P150" i="45" s="1"/>
  <c r="P149" i="45" s="1"/>
  <c r="P148" i="45" s="1"/>
  <c r="P147" i="45" s="1"/>
  <c r="P146" i="45" s="1"/>
  <c r="P145" i="45" s="1"/>
  <c r="P144" i="45" s="1"/>
  <c r="P143" i="45" s="1"/>
  <c r="P142" i="45" s="1"/>
  <c r="P141" i="45" s="1"/>
  <c r="P140" i="45" s="1"/>
  <c r="P139" i="45" s="1"/>
  <c r="P138" i="45" s="1"/>
  <c r="P137" i="45" s="1"/>
  <c r="P136" i="45" s="1"/>
  <c r="P135" i="45" s="1"/>
  <c r="P134" i="45" s="1"/>
  <c r="P133" i="45" s="1"/>
  <c r="P132" i="45" s="1"/>
  <c r="P131" i="45" s="1"/>
  <c r="P130" i="45" s="1"/>
  <c r="P129" i="45" s="1"/>
  <c r="P128" i="45" s="1"/>
  <c r="P127" i="45" s="1"/>
  <c r="P126" i="45" s="1"/>
  <c r="P125" i="45" s="1"/>
  <c r="P124" i="45" s="1"/>
  <c r="P123" i="45" s="1"/>
  <c r="P122" i="45" s="1"/>
  <c r="P121" i="45" s="1"/>
  <c r="P120" i="45" s="1"/>
  <c r="P119" i="45" s="1"/>
  <c r="P118" i="45" s="1"/>
  <c r="P117" i="45" s="1"/>
  <c r="P116" i="45" s="1"/>
  <c r="P115" i="45" s="1"/>
  <c r="P114" i="45" s="1"/>
  <c r="P113" i="45" s="1"/>
  <c r="P112" i="45" s="1"/>
  <c r="P111" i="45" s="1"/>
  <c r="P110" i="45" s="1"/>
  <c r="P109" i="45" s="1"/>
  <c r="P108" i="45" s="1"/>
  <c r="P107" i="45" s="1"/>
  <c r="P106" i="45" s="1"/>
  <c r="P105" i="45" s="1"/>
  <c r="P104" i="45" s="1"/>
  <c r="P103" i="45" s="1"/>
  <c r="P102" i="45" s="1"/>
  <c r="P101" i="45" s="1"/>
  <c r="P100" i="45" s="1"/>
  <c r="P99" i="45" s="1"/>
  <c r="P98" i="45" s="1"/>
  <c r="P97" i="45" s="1"/>
  <c r="P96" i="45" s="1"/>
  <c r="P95" i="45" s="1"/>
  <c r="P94" i="45" s="1"/>
  <c r="P93" i="45" s="1"/>
  <c r="P92" i="45" s="1"/>
  <c r="P91" i="45" s="1"/>
  <c r="P90" i="45" s="1"/>
  <c r="P89" i="45" s="1"/>
  <c r="P88" i="45" s="1"/>
  <c r="P87" i="45" s="1"/>
  <c r="P86" i="45" s="1"/>
  <c r="P85" i="45" s="1"/>
  <c r="P84" i="45" s="1"/>
  <c r="P83" i="45" s="1"/>
  <c r="P82" i="45" s="1"/>
  <c r="P81" i="45" s="1"/>
  <c r="P80" i="45" s="1"/>
  <c r="P79" i="45" s="1"/>
  <c r="P78" i="45" s="1"/>
  <c r="P77" i="45" s="1"/>
  <c r="P76" i="45" s="1"/>
  <c r="P75" i="45" s="1"/>
  <c r="P74" i="45" s="1"/>
  <c r="P73" i="45" s="1"/>
  <c r="P72" i="45" s="1"/>
  <c r="P71" i="45" s="1"/>
  <c r="P70" i="45" s="1"/>
  <c r="P69" i="45" s="1"/>
  <c r="P68" i="45" s="1"/>
  <c r="P67" i="45" s="1"/>
  <c r="P66" i="45" s="1"/>
  <c r="P65" i="45" s="1"/>
  <c r="P64" i="45" s="1"/>
  <c r="P63" i="45" s="1"/>
  <c r="P62" i="45" s="1"/>
  <c r="P61" i="45" s="1"/>
  <c r="P60" i="45" s="1"/>
  <c r="P59" i="45" s="1"/>
  <c r="P58" i="45" s="1"/>
  <c r="P57" i="45" s="1"/>
  <c r="P56" i="45" s="1"/>
  <c r="P55" i="45" s="1"/>
  <c r="P54" i="45" s="1"/>
  <c r="P53" i="45" s="1"/>
  <c r="P52" i="45" s="1"/>
  <c r="P51" i="45" s="1"/>
  <c r="P50" i="45" s="1"/>
  <c r="P49" i="45" s="1"/>
  <c r="P48" i="45" s="1"/>
  <c r="P47" i="45" s="1"/>
  <c r="P46" i="45" s="1"/>
  <c r="P45" i="45" s="1"/>
  <c r="P44" i="45" s="1"/>
  <c r="P43" i="45" s="1"/>
  <c r="P42" i="45" s="1"/>
  <c r="P41" i="45" s="1"/>
  <c r="P40" i="45" s="1"/>
  <c r="P39" i="45" s="1"/>
  <c r="P38" i="45" s="1"/>
  <c r="P37" i="45" s="1"/>
  <c r="P36" i="45" s="1"/>
  <c r="P35" i="45" s="1"/>
  <c r="P34" i="45" s="1"/>
  <c r="P33" i="45" s="1"/>
  <c r="Y380" i="45"/>
  <c r="Y152" i="45"/>
  <c r="Y368" i="45"/>
  <c r="Y236" i="45"/>
  <c r="Y476" i="45"/>
  <c r="Y120" i="45"/>
  <c r="Y308" i="45"/>
  <c r="Y140" i="45"/>
  <c r="Y123" i="45"/>
  <c r="Y126" i="45"/>
  <c r="Y112" i="45"/>
  <c r="Y620" i="45"/>
  <c r="Y125" i="45"/>
  <c r="Y200" i="45"/>
  <c r="Y656" i="45"/>
  <c r="Y488" i="45"/>
  <c r="Y131" i="45"/>
  <c r="Y127" i="45"/>
  <c r="Y212" i="45"/>
  <c r="Q680" i="45" l="1"/>
  <c r="Q679" i="45" s="1"/>
  <c r="Q678" i="45" s="1"/>
  <c r="Q677" i="45" s="1"/>
  <c r="Q676" i="45" s="1"/>
  <c r="Q675" i="45" s="1"/>
  <c r="Q674" i="45" s="1"/>
  <c r="Q673" i="45" s="1"/>
  <c r="Q672" i="45" s="1"/>
  <c r="Q671" i="45" s="1"/>
  <c r="Q670" i="45" s="1"/>
  <c r="Q669" i="45" s="1"/>
  <c r="J680" i="45"/>
  <c r="J679" i="45" s="1"/>
  <c r="J678" i="45" s="1"/>
  <c r="J677" i="45" s="1"/>
  <c r="J676" i="45" s="1"/>
  <c r="J675" i="45" s="1"/>
  <c r="J674" i="45" s="1"/>
  <c r="J673" i="45" s="1"/>
  <c r="J672" i="45" s="1"/>
  <c r="J671" i="45" s="1"/>
  <c r="J670" i="45" s="1"/>
  <c r="J669" i="45" s="1"/>
  <c r="P32" i="45"/>
  <c r="P31" i="45" s="1"/>
  <c r="P30" i="45" s="1"/>
  <c r="P29" i="45" s="1"/>
  <c r="P28" i="45" s="1"/>
  <c r="P27" i="45" s="1"/>
  <c r="P26" i="45" s="1"/>
  <c r="P25" i="45" s="1"/>
  <c r="P24" i="45" s="1"/>
  <c r="P23" i="45" s="1"/>
  <c r="P22" i="45" s="1"/>
  <c r="P21" i="45" s="1"/>
  <c r="P20" i="45" s="1"/>
  <c r="P19" i="45" s="1"/>
  <c r="P18" i="45" s="1"/>
  <c r="P17" i="45" s="1"/>
  <c r="P16" i="45" s="1"/>
  <c r="P15" i="45" s="1"/>
  <c r="P14" i="45" s="1"/>
  <c r="P13" i="45" s="1"/>
  <c r="P12" i="45" s="1"/>
  <c r="P11" i="45" s="1"/>
  <c r="P10" i="45" s="1"/>
  <c r="L1339" i="45"/>
  <c r="M1341" i="45"/>
  <c r="N1341" i="45" s="1"/>
  <c r="J668" i="45" l="1"/>
  <c r="J667" i="45" s="1"/>
  <c r="J666" i="45" s="1"/>
  <c r="J665" i="45" s="1"/>
  <c r="J664" i="45" s="1"/>
  <c r="J663" i="45" s="1"/>
  <c r="J662" i="45" s="1"/>
  <c r="J661" i="45" s="1"/>
  <c r="J660" i="45" s="1"/>
  <c r="J659" i="45" s="1"/>
  <c r="J658" i="45" s="1"/>
  <c r="J657" i="45" s="1"/>
  <c r="Q668" i="45"/>
  <c r="Q667" i="45" s="1"/>
  <c r="Q666" i="45" s="1"/>
  <c r="Q665" i="45" s="1"/>
  <c r="Q664" i="45" s="1"/>
  <c r="Q663" i="45" s="1"/>
  <c r="Q662" i="45" s="1"/>
  <c r="Q661" i="45" s="1"/>
  <c r="Q660" i="45" s="1"/>
  <c r="Q659" i="45" s="1"/>
  <c r="Q658" i="45" s="1"/>
  <c r="Q657" i="45" s="1"/>
  <c r="M1340" i="45"/>
  <c r="N1340" i="45" s="1"/>
  <c r="L1338" i="45"/>
  <c r="Q656" i="45" l="1"/>
  <c r="Q655" i="45" s="1"/>
  <c r="Q654" i="45" s="1"/>
  <c r="Q653" i="45" s="1"/>
  <c r="Q652" i="45" s="1"/>
  <c r="Q651" i="45" s="1"/>
  <c r="Q650" i="45" s="1"/>
  <c r="Q649" i="45" s="1"/>
  <c r="Q648" i="45" s="1"/>
  <c r="Q647" i="45" s="1"/>
  <c r="Q646" i="45" s="1"/>
  <c r="Q645" i="45" s="1"/>
  <c r="J656" i="45"/>
  <c r="J655" i="45" s="1"/>
  <c r="J654" i="45" s="1"/>
  <c r="J653" i="45" s="1"/>
  <c r="J652" i="45" s="1"/>
  <c r="J651" i="45" s="1"/>
  <c r="J650" i="45" s="1"/>
  <c r="J649" i="45" s="1"/>
  <c r="J648" i="45" s="1"/>
  <c r="J647" i="45" s="1"/>
  <c r="J646" i="45" s="1"/>
  <c r="J645" i="45" s="1"/>
  <c r="L1337" i="45"/>
  <c r="M1339" i="45"/>
  <c r="N1339" i="45" s="1"/>
  <c r="M1338" i="45" l="1"/>
  <c r="N1338" i="45" s="1"/>
  <c r="L1336" i="45"/>
  <c r="J644" i="45"/>
  <c r="J643" i="45" s="1"/>
  <c r="J642" i="45" s="1"/>
  <c r="J641" i="45" s="1"/>
  <c r="J640" i="45" s="1"/>
  <c r="J639" i="45" s="1"/>
  <c r="J638" i="45" s="1"/>
  <c r="J637" i="45" s="1"/>
  <c r="J636" i="45" s="1"/>
  <c r="J635" i="45" s="1"/>
  <c r="J634" i="45" s="1"/>
  <c r="J633" i="45" s="1"/>
  <c r="Q644" i="45"/>
  <c r="Q643" i="45" s="1"/>
  <c r="Q642" i="45" s="1"/>
  <c r="Q641" i="45" s="1"/>
  <c r="Q640" i="45" s="1"/>
  <c r="Q639" i="45" s="1"/>
  <c r="Q638" i="45" s="1"/>
  <c r="Q637" i="45" s="1"/>
  <c r="Q636" i="45" s="1"/>
  <c r="Q635" i="45" s="1"/>
  <c r="Q634" i="45" s="1"/>
  <c r="Q633" i="45" s="1"/>
  <c r="J632" i="45" l="1"/>
  <c r="J631" i="45" s="1"/>
  <c r="J630" i="45" s="1"/>
  <c r="J629" i="45" s="1"/>
  <c r="J628" i="45" s="1"/>
  <c r="J627" i="45" s="1"/>
  <c r="J626" i="45" s="1"/>
  <c r="J625" i="45" s="1"/>
  <c r="J624" i="45" s="1"/>
  <c r="J623" i="45" s="1"/>
  <c r="J622" i="45" s="1"/>
  <c r="J621" i="45" s="1"/>
  <c r="M1337" i="45"/>
  <c r="N1337" i="45" s="1"/>
  <c r="L1335" i="45"/>
  <c r="Q632" i="45"/>
  <c r="Q631" i="45" s="1"/>
  <c r="Q630" i="45" s="1"/>
  <c r="Q629" i="45" s="1"/>
  <c r="Q628" i="45" s="1"/>
  <c r="Q627" i="45" s="1"/>
  <c r="Q626" i="45" s="1"/>
  <c r="Q625" i="45" s="1"/>
  <c r="Q624" i="45" s="1"/>
  <c r="Q623" i="45" s="1"/>
  <c r="Q622" i="45" s="1"/>
  <c r="Q621" i="45" s="1"/>
  <c r="J620" i="45" l="1"/>
  <c r="J619" i="45" s="1"/>
  <c r="J618" i="45" s="1"/>
  <c r="J617" i="45" s="1"/>
  <c r="J616" i="45" s="1"/>
  <c r="J615" i="45" s="1"/>
  <c r="J614" i="45" s="1"/>
  <c r="J613" i="45" s="1"/>
  <c r="J612" i="45" s="1"/>
  <c r="J611" i="45" s="1"/>
  <c r="J610" i="45" s="1"/>
  <c r="J609" i="45" s="1"/>
  <c r="L1334" i="45"/>
  <c r="M1336" i="45"/>
  <c r="N1336" i="45" s="1"/>
  <c r="Q620" i="45"/>
  <c r="Q619" i="45" s="1"/>
  <c r="Q618" i="45" s="1"/>
  <c r="Q617" i="45" s="1"/>
  <c r="Q616" i="45" s="1"/>
  <c r="Q615" i="45" s="1"/>
  <c r="Q614" i="45" s="1"/>
  <c r="Q613" i="45" s="1"/>
  <c r="Q612" i="45" s="1"/>
  <c r="Q611" i="45" s="1"/>
  <c r="Q610" i="45" s="1"/>
  <c r="Q609" i="45" s="1"/>
  <c r="J608" i="45" l="1"/>
  <c r="J607" i="45" s="1"/>
  <c r="J606" i="45" s="1"/>
  <c r="J605" i="45" s="1"/>
  <c r="J604" i="45" s="1"/>
  <c r="J603" i="45" s="1"/>
  <c r="J602" i="45" s="1"/>
  <c r="J601" i="45" s="1"/>
  <c r="J600" i="45" s="1"/>
  <c r="J599" i="45" s="1"/>
  <c r="J598" i="45" s="1"/>
  <c r="J597" i="45" s="1"/>
  <c r="Q608" i="45"/>
  <c r="Q607" i="45" s="1"/>
  <c r="Q606" i="45" s="1"/>
  <c r="Q605" i="45" s="1"/>
  <c r="Q604" i="45" s="1"/>
  <c r="Q603" i="45" s="1"/>
  <c r="Q602" i="45" s="1"/>
  <c r="Q601" i="45" s="1"/>
  <c r="Q600" i="45" s="1"/>
  <c r="Q599" i="45" s="1"/>
  <c r="Q598" i="45" s="1"/>
  <c r="Q597" i="45" s="1"/>
  <c r="L1333" i="45"/>
  <c r="M1335" i="45"/>
  <c r="N1335" i="45" s="1"/>
  <c r="Q596" i="45" l="1"/>
  <c r="Q595" i="45" s="1"/>
  <c r="Q594" i="45" s="1"/>
  <c r="Q593" i="45" s="1"/>
  <c r="Q592" i="45" s="1"/>
  <c r="Q591" i="45" s="1"/>
  <c r="Q590" i="45" s="1"/>
  <c r="Q589" i="45" s="1"/>
  <c r="Q588" i="45" s="1"/>
  <c r="Q587" i="45" s="1"/>
  <c r="Q586" i="45" s="1"/>
  <c r="Q585" i="45" s="1"/>
  <c r="L1332" i="45"/>
  <c r="M1334" i="45"/>
  <c r="N1334" i="45" s="1"/>
  <c r="J596" i="45"/>
  <c r="J595" i="45" s="1"/>
  <c r="J594" i="45" s="1"/>
  <c r="J593" i="45" s="1"/>
  <c r="J592" i="45" s="1"/>
  <c r="J591" i="45" s="1"/>
  <c r="J590" i="45" s="1"/>
  <c r="J589" i="45" s="1"/>
  <c r="J588" i="45" s="1"/>
  <c r="J587" i="45" s="1"/>
  <c r="J586" i="45" s="1"/>
  <c r="J585" i="45" s="1"/>
  <c r="Q584" i="45" l="1"/>
  <c r="Q583" i="45" s="1"/>
  <c r="Q582" i="45" s="1"/>
  <c r="Q581" i="45" s="1"/>
  <c r="Q580" i="45" s="1"/>
  <c r="Q579" i="45" s="1"/>
  <c r="Q578" i="45" s="1"/>
  <c r="Q577" i="45" s="1"/>
  <c r="Q576" i="45" s="1"/>
  <c r="Q575" i="45" s="1"/>
  <c r="Q574" i="45" s="1"/>
  <c r="Q573" i="45" s="1"/>
  <c r="M1333" i="45"/>
  <c r="N1333" i="45" s="1"/>
  <c r="L1331" i="45"/>
  <c r="J584" i="45"/>
  <c r="J583" i="45" s="1"/>
  <c r="J582" i="45" s="1"/>
  <c r="J581" i="45" s="1"/>
  <c r="J580" i="45" s="1"/>
  <c r="J579" i="45" s="1"/>
  <c r="J578" i="45" s="1"/>
  <c r="J577" i="45" s="1"/>
  <c r="J576" i="45" s="1"/>
  <c r="J575" i="45" s="1"/>
  <c r="J574" i="45" s="1"/>
  <c r="J573" i="45" s="1"/>
  <c r="Q572" i="45" l="1"/>
  <c r="Q571" i="45" s="1"/>
  <c r="Q570" i="45" s="1"/>
  <c r="Q569" i="45" s="1"/>
  <c r="Q568" i="45" s="1"/>
  <c r="Q567" i="45" s="1"/>
  <c r="Q566" i="45" s="1"/>
  <c r="Q565" i="45" s="1"/>
  <c r="Q564" i="45" s="1"/>
  <c r="Q563" i="45" s="1"/>
  <c r="Q562" i="45" s="1"/>
  <c r="Q561" i="45" s="1"/>
  <c r="J572" i="45"/>
  <c r="J571" i="45" s="1"/>
  <c r="J570" i="45" s="1"/>
  <c r="J569" i="45" s="1"/>
  <c r="J568" i="45" s="1"/>
  <c r="J567" i="45" s="1"/>
  <c r="J566" i="45" s="1"/>
  <c r="J565" i="45" s="1"/>
  <c r="J564" i="45" s="1"/>
  <c r="J563" i="45" s="1"/>
  <c r="J562" i="45" s="1"/>
  <c r="J561" i="45" s="1"/>
  <c r="L1330" i="45"/>
  <c r="M1332" i="45"/>
  <c r="N1332" i="45" s="1"/>
  <c r="Q560" i="45" l="1"/>
  <c r="Q559" i="45" s="1"/>
  <c r="Q558" i="45" s="1"/>
  <c r="Q557" i="45" s="1"/>
  <c r="Q556" i="45" s="1"/>
  <c r="Q555" i="45" s="1"/>
  <c r="Q554" i="45" s="1"/>
  <c r="Q553" i="45" s="1"/>
  <c r="Q552" i="45" s="1"/>
  <c r="Q551" i="45" s="1"/>
  <c r="Q550" i="45" s="1"/>
  <c r="Q549" i="45" s="1"/>
  <c r="J560" i="45"/>
  <c r="J559" i="45" s="1"/>
  <c r="J558" i="45" s="1"/>
  <c r="J557" i="45" s="1"/>
  <c r="J556" i="45" s="1"/>
  <c r="J555" i="45" s="1"/>
  <c r="J554" i="45" s="1"/>
  <c r="J553" i="45" s="1"/>
  <c r="J552" i="45" s="1"/>
  <c r="J551" i="45" s="1"/>
  <c r="J550" i="45" s="1"/>
  <c r="J549" i="45" s="1"/>
  <c r="M1331" i="45"/>
  <c r="N1331" i="45" s="1"/>
  <c r="L1329" i="45"/>
  <c r="Q548" i="45" l="1"/>
  <c r="Q547" i="45" s="1"/>
  <c r="Q546" i="45" s="1"/>
  <c r="Q545" i="45" s="1"/>
  <c r="Q544" i="45" s="1"/>
  <c r="Q543" i="45" s="1"/>
  <c r="Q542" i="45" s="1"/>
  <c r="Q541" i="45" s="1"/>
  <c r="Q540" i="45" s="1"/>
  <c r="Q539" i="45" s="1"/>
  <c r="Q538" i="45" s="1"/>
  <c r="Q537" i="45" s="1"/>
  <c r="J548" i="45"/>
  <c r="J547" i="45" s="1"/>
  <c r="J546" i="45" s="1"/>
  <c r="J545" i="45" s="1"/>
  <c r="J544" i="45" s="1"/>
  <c r="J543" i="45" s="1"/>
  <c r="J542" i="45" s="1"/>
  <c r="J541" i="45" s="1"/>
  <c r="J540" i="45" s="1"/>
  <c r="J539" i="45" s="1"/>
  <c r="J538" i="45" s="1"/>
  <c r="J537" i="45" s="1"/>
  <c r="L1328" i="45"/>
  <c r="M1330" i="45"/>
  <c r="N1330" i="45" s="1"/>
  <c r="Q536" i="45" l="1"/>
  <c r="Q535" i="45" s="1"/>
  <c r="Q534" i="45" s="1"/>
  <c r="Q533" i="45" s="1"/>
  <c r="Q532" i="45" s="1"/>
  <c r="Q531" i="45" s="1"/>
  <c r="Q530" i="45" s="1"/>
  <c r="Q529" i="45" s="1"/>
  <c r="Q528" i="45" s="1"/>
  <c r="Q527" i="45" s="1"/>
  <c r="Q526" i="45" s="1"/>
  <c r="Q525" i="45" s="1"/>
  <c r="M1329" i="45"/>
  <c r="N1329" i="45" s="1"/>
  <c r="L1327" i="45"/>
  <c r="J536" i="45"/>
  <c r="J535" i="45" s="1"/>
  <c r="J534" i="45" s="1"/>
  <c r="J533" i="45" s="1"/>
  <c r="J532" i="45" s="1"/>
  <c r="J531" i="45" s="1"/>
  <c r="J530" i="45" s="1"/>
  <c r="J529" i="45" s="1"/>
  <c r="J528" i="45" s="1"/>
  <c r="J527" i="45" s="1"/>
  <c r="J526" i="45" s="1"/>
  <c r="J525" i="45" s="1"/>
  <c r="Q524" i="45" l="1"/>
  <c r="Q523" i="45" s="1"/>
  <c r="Q522" i="45" s="1"/>
  <c r="Q521" i="45" s="1"/>
  <c r="Q520" i="45" s="1"/>
  <c r="Q519" i="45" s="1"/>
  <c r="Q518" i="45" s="1"/>
  <c r="Q517" i="45" s="1"/>
  <c r="Q516" i="45" s="1"/>
  <c r="Q515" i="45" s="1"/>
  <c r="Q514" i="45" s="1"/>
  <c r="Q513" i="45" s="1"/>
  <c r="J524" i="45"/>
  <c r="J523" i="45" s="1"/>
  <c r="J522" i="45" s="1"/>
  <c r="J521" i="45" s="1"/>
  <c r="J520" i="45" s="1"/>
  <c r="J519" i="45" s="1"/>
  <c r="J518" i="45" s="1"/>
  <c r="J517" i="45" s="1"/>
  <c r="J516" i="45" s="1"/>
  <c r="J515" i="45" s="1"/>
  <c r="J514" i="45" s="1"/>
  <c r="J513" i="45" s="1"/>
  <c r="L1326" i="45"/>
  <c r="M1328" i="45"/>
  <c r="N1328" i="45" s="1"/>
  <c r="Q512" i="45" l="1"/>
  <c r="Q511" i="45" s="1"/>
  <c r="Q510" i="45" s="1"/>
  <c r="Q509" i="45" s="1"/>
  <c r="Q508" i="45" s="1"/>
  <c r="Q507" i="45" s="1"/>
  <c r="Q506" i="45" s="1"/>
  <c r="Q505" i="45" s="1"/>
  <c r="Q504" i="45" s="1"/>
  <c r="Q503" i="45" s="1"/>
  <c r="Q502" i="45" s="1"/>
  <c r="Q501" i="45" s="1"/>
  <c r="J512" i="45"/>
  <c r="J511" i="45" s="1"/>
  <c r="J510" i="45" s="1"/>
  <c r="J509" i="45" s="1"/>
  <c r="J508" i="45" s="1"/>
  <c r="J507" i="45" s="1"/>
  <c r="J506" i="45" s="1"/>
  <c r="J505" i="45" s="1"/>
  <c r="J504" i="45" s="1"/>
  <c r="J503" i="45" s="1"/>
  <c r="J502" i="45" s="1"/>
  <c r="J501" i="45" s="1"/>
  <c r="M1327" i="45"/>
  <c r="N1327" i="45" s="1"/>
  <c r="L1325" i="45"/>
  <c r="Q500" i="45" l="1"/>
  <c r="Q499" i="45" s="1"/>
  <c r="Q498" i="45" s="1"/>
  <c r="Q497" i="45" s="1"/>
  <c r="Q496" i="45" s="1"/>
  <c r="Q495" i="45" s="1"/>
  <c r="Q494" i="45" s="1"/>
  <c r="Q493" i="45" s="1"/>
  <c r="Q492" i="45" s="1"/>
  <c r="Q491" i="45" s="1"/>
  <c r="Q490" i="45" s="1"/>
  <c r="Q489" i="45" s="1"/>
  <c r="J500" i="45"/>
  <c r="J499" i="45" s="1"/>
  <c r="J498" i="45" s="1"/>
  <c r="J497" i="45" s="1"/>
  <c r="J496" i="45" s="1"/>
  <c r="J495" i="45" s="1"/>
  <c r="J494" i="45" s="1"/>
  <c r="J493" i="45" s="1"/>
  <c r="J492" i="45" s="1"/>
  <c r="J491" i="45" s="1"/>
  <c r="J490" i="45" s="1"/>
  <c r="J489" i="45" s="1"/>
  <c r="M1326" i="45"/>
  <c r="N1326" i="45" s="1"/>
  <c r="L1324" i="45"/>
  <c r="Q488" i="45" l="1"/>
  <c r="Q487" i="45" s="1"/>
  <c r="Q486" i="45" s="1"/>
  <c r="Q485" i="45" s="1"/>
  <c r="Q484" i="45" s="1"/>
  <c r="Q483" i="45" s="1"/>
  <c r="Q482" i="45" s="1"/>
  <c r="Q481" i="45" s="1"/>
  <c r="Q480" i="45" s="1"/>
  <c r="Q479" i="45" s="1"/>
  <c r="Q478" i="45" s="1"/>
  <c r="Q477" i="45" s="1"/>
  <c r="L1323" i="45"/>
  <c r="M1325" i="45"/>
  <c r="N1325" i="45" s="1"/>
  <c r="J488" i="45"/>
  <c r="J487" i="45" s="1"/>
  <c r="J486" i="45" s="1"/>
  <c r="J485" i="45" s="1"/>
  <c r="J484" i="45" s="1"/>
  <c r="J483" i="45" s="1"/>
  <c r="J482" i="45" s="1"/>
  <c r="J481" i="45" s="1"/>
  <c r="J480" i="45" s="1"/>
  <c r="J479" i="45" s="1"/>
  <c r="J478" i="45" s="1"/>
  <c r="J477" i="45" s="1"/>
  <c r="Q476" i="45" l="1"/>
  <c r="Q475" i="45" s="1"/>
  <c r="Q474" i="45" s="1"/>
  <c r="Q473" i="45" s="1"/>
  <c r="Q472" i="45" s="1"/>
  <c r="Q471" i="45" s="1"/>
  <c r="Q470" i="45" s="1"/>
  <c r="Q469" i="45" s="1"/>
  <c r="Q468" i="45" s="1"/>
  <c r="Q467" i="45" s="1"/>
  <c r="Q466" i="45" s="1"/>
  <c r="Q465" i="45" s="1"/>
  <c r="J476" i="45"/>
  <c r="J475" i="45" s="1"/>
  <c r="J474" i="45" s="1"/>
  <c r="J473" i="45" s="1"/>
  <c r="J472" i="45" s="1"/>
  <c r="J471" i="45" s="1"/>
  <c r="J470" i="45" s="1"/>
  <c r="J469" i="45" s="1"/>
  <c r="J468" i="45" s="1"/>
  <c r="J467" i="45" s="1"/>
  <c r="J466" i="45" s="1"/>
  <c r="J465" i="45" s="1"/>
  <c r="L1322" i="45"/>
  <c r="M1324" i="45"/>
  <c r="N1324" i="45" s="1"/>
  <c r="Q464" i="45" l="1"/>
  <c r="Q463" i="45" s="1"/>
  <c r="Q462" i="45" s="1"/>
  <c r="Q461" i="45" s="1"/>
  <c r="Q460" i="45" s="1"/>
  <c r="Q459" i="45" s="1"/>
  <c r="Q458" i="45" s="1"/>
  <c r="Q457" i="45" s="1"/>
  <c r="Q456" i="45" s="1"/>
  <c r="Q455" i="45" s="1"/>
  <c r="Q454" i="45" s="1"/>
  <c r="Q453" i="45" s="1"/>
  <c r="J464" i="45"/>
  <c r="J463" i="45" s="1"/>
  <c r="J462" i="45" s="1"/>
  <c r="J461" i="45" s="1"/>
  <c r="J460" i="45" s="1"/>
  <c r="J459" i="45" s="1"/>
  <c r="J458" i="45" s="1"/>
  <c r="J457" i="45" s="1"/>
  <c r="J456" i="45" s="1"/>
  <c r="J455" i="45" s="1"/>
  <c r="J454" i="45" s="1"/>
  <c r="J453" i="45" s="1"/>
  <c r="L1321" i="45"/>
  <c r="M1323" i="45"/>
  <c r="N1323" i="45" s="1"/>
  <c r="Q452" i="45" l="1"/>
  <c r="Q451" i="45" s="1"/>
  <c r="Q450" i="45" s="1"/>
  <c r="Q449" i="45" s="1"/>
  <c r="Q448" i="45" s="1"/>
  <c r="Q447" i="45" s="1"/>
  <c r="Q446" i="45" s="1"/>
  <c r="Q445" i="45" s="1"/>
  <c r="Q444" i="45" s="1"/>
  <c r="Q443" i="45" s="1"/>
  <c r="Q442" i="45" s="1"/>
  <c r="Q441" i="45" s="1"/>
  <c r="J452" i="45"/>
  <c r="J451" i="45" s="1"/>
  <c r="J450" i="45" s="1"/>
  <c r="J449" i="45" s="1"/>
  <c r="J448" i="45" s="1"/>
  <c r="J447" i="45" s="1"/>
  <c r="J446" i="45" s="1"/>
  <c r="J445" i="45" s="1"/>
  <c r="J444" i="45" s="1"/>
  <c r="J443" i="45" s="1"/>
  <c r="J442" i="45" s="1"/>
  <c r="J441" i="45" s="1"/>
  <c r="L1320" i="45"/>
  <c r="M1322" i="45"/>
  <c r="N1322" i="45" s="1"/>
  <c r="Q440" i="45" l="1"/>
  <c r="Q439" i="45" s="1"/>
  <c r="Q438" i="45" s="1"/>
  <c r="Q437" i="45" s="1"/>
  <c r="Q436" i="45" s="1"/>
  <c r="Q435" i="45" s="1"/>
  <c r="Q434" i="45" s="1"/>
  <c r="Q433" i="45" s="1"/>
  <c r="Q432" i="45" s="1"/>
  <c r="Q431" i="45" s="1"/>
  <c r="Q430" i="45" s="1"/>
  <c r="Q429" i="45" s="1"/>
  <c r="J440" i="45"/>
  <c r="J439" i="45" s="1"/>
  <c r="J438" i="45" s="1"/>
  <c r="J437" i="45" s="1"/>
  <c r="J436" i="45" s="1"/>
  <c r="J435" i="45" s="1"/>
  <c r="J434" i="45" s="1"/>
  <c r="J433" i="45" s="1"/>
  <c r="J432" i="45" s="1"/>
  <c r="J431" i="45" s="1"/>
  <c r="J430" i="45" s="1"/>
  <c r="J429" i="45" s="1"/>
  <c r="L1319" i="45"/>
  <c r="M1321" i="45"/>
  <c r="N1321" i="45" s="1"/>
  <c r="CK61" i="20" l="1"/>
  <c r="CY61" i="20"/>
  <c r="Q428" i="45"/>
  <c r="Q427" i="45" s="1"/>
  <c r="Q426" i="45" s="1"/>
  <c r="Q425" i="45" s="1"/>
  <c r="Q424" i="45" s="1"/>
  <c r="Q423" i="45" s="1"/>
  <c r="Q422" i="45" s="1"/>
  <c r="Q421" i="45" s="1"/>
  <c r="Q420" i="45" s="1"/>
  <c r="Q419" i="45" s="1"/>
  <c r="Q418" i="45" s="1"/>
  <c r="Q417" i="45" s="1"/>
  <c r="CE61" i="20"/>
  <c r="CF61" i="20" s="1"/>
  <c r="CM61" i="20"/>
  <c r="CW61" i="20"/>
  <c r="CJ61" i="20"/>
  <c r="CH61" i="20"/>
  <c r="CV61" i="20"/>
  <c r="CA61" i="20"/>
  <c r="CB61" i="20" s="1"/>
  <c r="CC61" i="20"/>
  <c r="CD61" i="20" s="1"/>
  <c r="CG61" i="20"/>
  <c r="CX61" i="20"/>
  <c r="CO61" i="20"/>
  <c r="J428" i="45"/>
  <c r="J427" i="45" s="1"/>
  <c r="J426" i="45" s="1"/>
  <c r="J425" i="45" s="1"/>
  <c r="J424" i="45" s="1"/>
  <c r="J423" i="45" s="1"/>
  <c r="J422" i="45" s="1"/>
  <c r="J421" i="45" s="1"/>
  <c r="J420" i="45" s="1"/>
  <c r="J419" i="45" s="1"/>
  <c r="J418" i="45" s="1"/>
  <c r="J417" i="45" s="1"/>
  <c r="M1320" i="45"/>
  <c r="N1320" i="45" s="1"/>
  <c r="L1318" i="45"/>
  <c r="CA60" i="20" l="1"/>
  <c r="CB60" i="20" s="1"/>
  <c r="CG60" i="20"/>
  <c r="CJ60" i="20"/>
  <c r="CO60" i="20"/>
  <c r="CC60" i="20"/>
  <c r="CD60" i="20" s="1"/>
  <c r="CX60" i="20"/>
  <c r="CV60" i="20"/>
  <c r="CE60" i="20"/>
  <c r="CF60" i="20" s="1"/>
  <c r="CW60" i="20"/>
  <c r="CM60" i="20"/>
  <c r="CH60" i="20"/>
  <c r="J416" i="45"/>
  <c r="J415" i="45" s="1"/>
  <c r="J414" i="45" s="1"/>
  <c r="J413" i="45" s="1"/>
  <c r="J412" i="45" s="1"/>
  <c r="J411" i="45" s="1"/>
  <c r="J410" i="45" s="1"/>
  <c r="J409" i="45" s="1"/>
  <c r="J408" i="45" s="1"/>
  <c r="J407" i="45" s="1"/>
  <c r="J406" i="45" s="1"/>
  <c r="J405" i="45" s="1"/>
  <c r="CY60" i="20"/>
  <c r="CK60" i="20"/>
  <c r="Q416" i="45"/>
  <c r="Q415" i="45" s="1"/>
  <c r="Q414" i="45" s="1"/>
  <c r="Q413" i="45" s="1"/>
  <c r="Q412" i="45" s="1"/>
  <c r="Q411" i="45" s="1"/>
  <c r="Q410" i="45" s="1"/>
  <c r="Q409" i="45" s="1"/>
  <c r="Q408" i="45" s="1"/>
  <c r="Q407" i="45" s="1"/>
  <c r="Q406" i="45" s="1"/>
  <c r="Q405" i="45" s="1"/>
  <c r="M1319" i="45"/>
  <c r="N1319" i="45" s="1"/>
  <c r="L1317" i="45"/>
  <c r="CZ61" i="20"/>
  <c r="CL61" i="20"/>
  <c r="CZ60" i="20" l="1"/>
  <c r="CL60" i="20"/>
  <c r="CK59" i="20"/>
  <c r="CY59" i="20"/>
  <c r="Q404" i="45"/>
  <c r="Q403" i="45" s="1"/>
  <c r="Q402" i="45" s="1"/>
  <c r="Q401" i="45" s="1"/>
  <c r="Q400" i="45" s="1"/>
  <c r="Q399" i="45" s="1"/>
  <c r="Q398" i="45" s="1"/>
  <c r="Q397" i="45" s="1"/>
  <c r="Q396" i="45" s="1"/>
  <c r="Q395" i="45" s="1"/>
  <c r="Q394" i="45" s="1"/>
  <c r="Q393" i="45" s="1"/>
  <c r="CO59" i="20"/>
  <c r="CG59" i="20"/>
  <c r="CV59" i="20"/>
  <c r="CJ59" i="20"/>
  <c r="CW59" i="20"/>
  <c r="CE59" i="20"/>
  <c r="CF59" i="20" s="1"/>
  <c r="CX59" i="20"/>
  <c r="CM59" i="20"/>
  <c r="CH59" i="20"/>
  <c r="CA59" i="20"/>
  <c r="CB59" i="20" s="1"/>
  <c r="CC59" i="20"/>
  <c r="CD59" i="20" s="1"/>
  <c r="J404" i="45"/>
  <c r="J403" i="45" s="1"/>
  <c r="J402" i="45" s="1"/>
  <c r="J401" i="45" s="1"/>
  <c r="J400" i="45" s="1"/>
  <c r="J399" i="45" s="1"/>
  <c r="J398" i="45" s="1"/>
  <c r="J397" i="45" s="1"/>
  <c r="J396" i="45" s="1"/>
  <c r="J395" i="45" s="1"/>
  <c r="J394" i="45" s="1"/>
  <c r="J393" i="45" s="1"/>
  <c r="L1316" i="45"/>
  <c r="M1318" i="45"/>
  <c r="N1318" i="45" s="1"/>
  <c r="CW58" i="20" l="1"/>
  <c r="CJ58" i="20"/>
  <c r="CX58" i="20"/>
  <c r="CA58" i="20"/>
  <c r="CB58" i="20" s="1"/>
  <c r="CO58" i="20"/>
  <c r="CG58" i="20"/>
  <c r="CV58" i="20"/>
  <c r="CH58" i="20"/>
  <c r="CM58" i="20"/>
  <c r="CC58" i="20"/>
  <c r="CD58" i="20" s="1"/>
  <c r="CE58" i="20"/>
  <c r="CF58" i="20" s="1"/>
  <c r="J392" i="45"/>
  <c r="J391" i="45" s="1"/>
  <c r="J390" i="45" s="1"/>
  <c r="J389" i="45" s="1"/>
  <c r="J388" i="45" s="1"/>
  <c r="J387" i="45" s="1"/>
  <c r="J386" i="45" s="1"/>
  <c r="J385" i="45" s="1"/>
  <c r="J384" i="45" s="1"/>
  <c r="J383" i="45" s="1"/>
  <c r="J382" i="45" s="1"/>
  <c r="J381" i="45" s="1"/>
  <c r="CK58" i="20"/>
  <c r="CY58" i="20"/>
  <c r="Q392" i="45"/>
  <c r="Q391" i="45" s="1"/>
  <c r="Q390" i="45" s="1"/>
  <c r="Q389" i="45" s="1"/>
  <c r="Q388" i="45" s="1"/>
  <c r="Q387" i="45" s="1"/>
  <c r="Q386" i="45" s="1"/>
  <c r="Q385" i="45" s="1"/>
  <c r="Q384" i="45" s="1"/>
  <c r="Q383" i="45" s="1"/>
  <c r="Q382" i="45" s="1"/>
  <c r="Q381" i="45" s="1"/>
  <c r="CZ59" i="20"/>
  <c r="L1315" i="45"/>
  <c r="M1317" i="45"/>
  <c r="N1317" i="45" s="1"/>
  <c r="CL59" i="20"/>
  <c r="CL58" i="20" l="1"/>
  <c r="CZ58" i="20"/>
  <c r="CY57" i="20"/>
  <c r="CK57" i="20"/>
  <c r="Q380" i="45"/>
  <c r="Q379" i="45" s="1"/>
  <c r="Q378" i="45" s="1"/>
  <c r="Q377" i="45" s="1"/>
  <c r="Q376" i="45" s="1"/>
  <c r="Q375" i="45" s="1"/>
  <c r="Q374" i="45" s="1"/>
  <c r="Q373" i="45" s="1"/>
  <c r="Q372" i="45" s="1"/>
  <c r="Q371" i="45" s="1"/>
  <c r="Q370" i="45" s="1"/>
  <c r="Q369" i="45" s="1"/>
  <c r="CO57" i="20"/>
  <c r="CE57" i="20"/>
  <c r="CF57" i="20" s="1"/>
  <c r="CH57" i="20"/>
  <c r="CA57" i="20"/>
  <c r="CB57" i="20" s="1"/>
  <c r="CM57" i="20"/>
  <c r="CJ57" i="20"/>
  <c r="CW57" i="20"/>
  <c r="CV57" i="20"/>
  <c r="CC57" i="20"/>
  <c r="CD57" i="20" s="1"/>
  <c r="CX57" i="20"/>
  <c r="CG57" i="20"/>
  <c r="J380" i="45"/>
  <c r="J379" i="45" s="1"/>
  <c r="J378" i="45" s="1"/>
  <c r="J377" i="45" s="1"/>
  <c r="J376" i="45" s="1"/>
  <c r="J375" i="45" s="1"/>
  <c r="J374" i="45" s="1"/>
  <c r="J373" i="45" s="1"/>
  <c r="J372" i="45" s="1"/>
  <c r="J371" i="45" s="1"/>
  <c r="J370" i="45" s="1"/>
  <c r="J369" i="45" s="1"/>
  <c r="L1314" i="45"/>
  <c r="M1316" i="45"/>
  <c r="N1316" i="45" s="1"/>
  <c r="CY56" i="20" l="1"/>
  <c r="CK56" i="20"/>
  <c r="Q368" i="45"/>
  <c r="Q367" i="45" s="1"/>
  <c r="Q366" i="45" s="1"/>
  <c r="Q365" i="45" s="1"/>
  <c r="Q364" i="45" s="1"/>
  <c r="Q363" i="45" s="1"/>
  <c r="Q362" i="45" s="1"/>
  <c r="Q361" i="45" s="1"/>
  <c r="Q360" i="45" s="1"/>
  <c r="Q359" i="45" s="1"/>
  <c r="Q358" i="45" s="1"/>
  <c r="Q357" i="45" s="1"/>
  <c r="CA56" i="20"/>
  <c r="CB56" i="20" s="1"/>
  <c r="CV56" i="20"/>
  <c r="CE56" i="20"/>
  <c r="CF56" i="20" s="1"/>
  <c r="CJ56" i="20"/>
  <c r="CM56" i="20"/>
  <c r="CG56" i="20"/>
  <c r="CW56" i="20"/>
  <c r="CC56" i="20"/>
  <c r="CD56" i="20" s="1"/>
  <c r="CX56" i="20"/>
  <c r="CO56" i="20"/>
  <c r="CH56" i="20"/>
  <c r="J368" i="45"/>
  <c r="J367" i="45" s="1"/>
  <c r="J366" i="45" s="1"/>
  <c r="J365" i="45" s="1"/>
  <c r="J364" i="45" s="1"/>
  <c r="J363" i="45" s="1"/>
  <c r="J362" i="45" s="1"/>
  <c r="J361" i="45" s="1"/>
  <c r="J360" i="45" s="1"/>
  <c r="J359" i="45" s="1"/>
  <c r="J358" i="45" s="1"/>
  <c r="J357" i="45" s="1"/>
  <c r="CL57" i="20"/>
  <c r="M1315" i="45"/>
  <c r="N1315" i="45" s="1"/>
  <c r="L1313" i="45"/>
  <c r="CZ57" i="20"/>
  <c r="CO55" i="20" l="1"/>
  <c r="CE55" i="20"/>
  <c r="CF55" i="20" s="1"/>
  <c r="CH55" i="20"/>
  <c r="CV55" i="20"/>
  <c r="CM55" i="20"/>
  <c r="CC55" i="20"/>
  <c r="CD55" i="20" s="1"/>
  <c r="CX55" i="20"/>
  <c r="CJ55" i="20"/>
  <c r="CG55" i="20"/>
  <c r="CW55" i="20"/>
  <c r="CA55" i="20"/>
  <c r="CB55" i="20" s="1"/>
  <c r="J356" i="45"/>
  <c r="J355" i="45" s="1"/>
  <c r="J354" i="45" s="1"/>
  <c r="J353" i="45" s="1"/>
  <c r="J352" i="45" s="1"/>
  <c r="J351" i="45" s="1"/>
  <c r="J350" i="45" s="1"/>
  <c r="J349" i="45" s="1"/>
  <c r="J348" i="45" s="1"/>
  <c r="J347" i="45" s="1"/>
  <c r="J346" i="45" s="1"/>
  <c r="J345" i="45" s="1"/>
  <c r="CK55" i="20"/>
  <c r="CY55" i="20"/>
  <c r="Q356" i="45"/>
  <c r="Q355" i="45" s="1"/>
  <c r="Q354" i="45" s="1"/>
  <c r="Q353" i="45" s="1"/>
  <c r="Q352" i="45" s="1"/>
  <c r="Q351" i="45" s="1"/>
  <c r="Q350" i="45" s="1"/>
  <c r="Q349" i="45" s="1"/>
  <c r="Q348" i="45" s="1"/>
  <c r="Q347" i="45" s="1"/>
  <c r="Q346" i="45" s="1"/>
  <c r="Q345" i="45" s="1"/>
  <c r="CL56" i="20"/>
  <c r="L1312" i="45"/>
  <c r="M1314" i="45"/>
  <c r="N1314" i="45" s="1"/>
  <c r="CZ56" i="20"/>
  <c r="CZ55" i="20" l="1"/>
  <c r="CY54" i="20"/>
  <c r="CK54" i="20"/>
  <c r="Q344" i="45"/>
  <c r="Q343" i="45" s="1"/>
  <c r="Q342" i="45" s="1"/>
  <c r="Q341" i="45" s="1"/>
  <c r="Q340" i="45" s="1"/>
  <c r="Q339" i="45" s="1"/>
  <c r="Q338" i="45" s="1"/>
  <c r="Q337" i="45" s="1"/>
  <c r="Q336" i="45" s="1"/>
  <c r="Q335" i="45" s="1"/>
  <c r="Q334" i="45" s="1"/>
  <c r="Q333" i="45" s="1"/>
  <c r="CX54" i="20"/>
  <c r="CC54" i="20"/>
  <c r="CD54" i="20" s="1"/>
  <c r="CA54" i="20"/>
  <c r="CB54" i="20" s="1"/>
  <c r="CM54" i="20"/>
  <c r="CO54" i="20"/>
  <c r="CE54" i="20"/>
  <c r="CF54" i="20" s="1"/>
  <c r="CG54" i="20"/>
  <c r="CW54" i="20"/>
  <c r="CJ54" i="20"/>
  <c r="CV54" i="20"/>
  <c r="CH54" i="20"/>
  <c r="J344" i="45"/>
  <c r="J343" i="45" s="1"/>
  <c r="J342" i="45" s="1"/>
  <c r="J341" i="45" s="1"/>
  <c r="J340" i="45" s="1"/>
  <c r="J339" i="45" s="1"/>
  <c r="J338" i="45" s="1"/>
  <c r="J337" i="45" s="1"/>
  <c r="J336" i="45" s="1"/>
  <c r="J335" i="45" s="1"/>
  <c r="J334" i="45" s="1"/>
  <c r="J333" i="45" s="1"/>
  <c r="L1311" i="45"/>
  <c r="M1313" i="45"/>
  <c r="N1313" i="45" s="1"/>
  <c r="CL55" i="20"/>
  <c r="CK53" i="20" l="1"/>
  <c r="CY53" i="20"/>
  <c r="Q332" i="45"/>
  <c r="Q331" i="45" s="1"/>
  <c r="Q330" i="45" s="1"/>
  <c r="Q329" i="45" s="1"/>
  <c r="Q328" i="45" s="1"/>
  <c r="Q327" i="45" s="1"/>
  <c r="Q326" i="45" s="1"/>
  <c r="Q325" i="45" s="1"/>
  <c r="Q324" i="45" s="1"/>
  <c r="Q323" i="45" s="1"/>
  <c r="Q322" i="45" s="1"/>
  <c r="Q321" i="45" s="1"/>
  <c r="L1310" i="45"/>
  <c r="M1312" i="45"/>
  <c r="N1312" i="45" s="1"/>
  <c r="CL54" i="20"/>
  <c r="CX53" i="20"/>
  <c r="CG53" i="20"/>
  <c r="CA53" i="20"/>
  <c r="CB53" i="20" s="1"/>
  <c r="CW53" i="20"/>
  <c r="CC53" i="20"/>
  <c r="CD53" i="20" s="1"/>
  <c r="CO53" i="20"/>
  <c r="CM53" i="20"/>
  <c r="CV53" i="20"/>
  <c r="CE53" i="20"/>
  <c r="CF53" i="20" s="1"/>
  <c r="CJ53" i="20"/>
  <c r="CH53" i="20"/>
  <c r="J332" i="45"/>
  <c r="J331" i="45" s="1"/>
  <c r="J330" i="45" s="1"/>
  <c r="J329" i="45" s="1"/>
  <c r="J328" i="45" s="1"/>
  <c r="J327" i="45" s="1"/>
  <c r="J326" i="45" s="1"/>
  <c r="J325" i="45" s="1"/>
  <c r="J324" i="45" s="1"/>
  <c r="J323" i="45" s="1"/>
  <c r="J322" i="45" s="1"/>
  <c r="J321" i="45" s="1"/>
  <c r="CZ54" i="20"/>
  <c r="L1309" i="45" l="1"/>
  <c r="M1311" i="45"/>
  <c r="N1311" i="45" s="1"/>
  <c r="CY52" i="20"/>
  <c r="CK52" i="20"/>
  <c r="Q320" i="45"/>
  <c r="Q319" i="45" s="1"/>
  <c r="Q318" i="45" s="1"/>
  <c r="Q317" i="45" s="1"/>
  <c r="Q316" i="45" s="1"/>
  <c r="Q315" i="45" s="1"/>
  <c r="Q314" i="45" s="1"/>
  <c r="Q313" i="45" s="1"/>
  <c r="Q312" i="45" s="1"/>
  <c r="Q311" i="45" s="1"/>
  <c r="Q310" i="45" s="1"/>
  <c r="Q309" i="45" s="1"/>
  <c r="CW52" i="20"/>
  <c r="CH52" i="20"/>
  <c r="CV52" i="20"/>
  <c r="CM52" i="20"/>
  <c r="CA52" i="20"/>
  <c r="CB52" i="20" s="1"/>
  <c r="CO52" i="20"/>
  <c r="CJ52" i="20"/>
  <c r="CX52" i="20"/>
  <c r="CG52" i="20"/>
  <c r="CC52" i="20"/>
  <c r="CD52" i="20" s="1"/>
  <c r="CE52" i="20"/>
  <c r="CF52" i="20" s="1"/>
  <c r="J320" i="45"/>
  <c r="J319" i="45" s="1"/>
  <c r="J318" i="45" s="1"/>
  <c r="J317" i="45" s="1"/>
  <c r="J316" i="45" s="1"/>
  <c r="J315" i="45" s="1"/>
  <c r="J314" i="45" s="1"/>
  <c r="J313" i="45" s="1"/>
  <c r="J312" i="45" s="1"/>
  <c r="J311" i="45" s="1"/>
  <c r="J310" i="45" s="1"/>
  <c r="J309" i="45" s="1"/>
  <c r="CZ53" i="20"/>
  <c r="CL53" i="20"/>
  <c r="CL52" i="20" l="1"/>
  <c r="CZ52" i="20"/>
  <c r="CX51" i="20"/>
  <c r="CJ51" i="20"/>
  <c r="CC51" i="20"/>
  <c r="CD51" i="20" s="1"/>
  <c r="CH51" i="20"/>
  <c r="CE51" i="20"/>
  <c r="CF51" i="20" s="1"/>
  <c r="CW51" i="20"/>
  <c r="CG51" i="20"/>
  <c r="CV51" i="20"/>
  <c r="CM51" i="20"/>
  <c r="CO51" i="20"/>
  <c r="CA51" i="20"/>
  <c r="CB51" i="20" s="1"/>
  <c r="J308" i="45"/>
  <c r="J307" i="45" s="1"/>
  <c r="J306" i="45" s="1"/>
  <c r="J305" i="45" s="1"/>
  <c r="J304" i="45" s="1"/>
  <c r="J303" i="45" s="1"/>
  <c r="J302" i="45" s="1"/>
  <c r="J301" i="45" s="1"/>
  <c r="J300" i="45" s="1"/>
  <c r="J299" i="45" s="1"/>
  <c r="J298" i="45" s="1"/>
  <c r="J297" i="45" s="1"/>
  <c r="CK51" i="20"/>
  <c r="CY51" i="20"/>
  <c r="Q308" i="45"/>
  <c r="Q307" i="45" s="1"/>
  <c r="Q306" i="45" s="1"/>
  <c r="Q305" i="45" s="1"/>
  <c r="Q304" i="45" s="1"/>
  <c r="Q303" i="45" s="1"/>
  <c r="Q302" i="45" s="1"/>
  <c r="Q301" i="45" s="1"/>
  <c r="Q300" i="45" s="1"/>
  <c r="Q299" i="45" s="1"/>
  <c r="Q298" i="45" s="1"/>
  <c r="Q297" i="45" s="1"/>
  <c r="L1308" i="45"/>
  <c r="M1310" i="45"/>
  <c r="N1310" i="45" s="1"/>
  <c r="CZ51" i="20" l="1"/>
  <c r="CL51" i="20"/>
  <c r="L1307" i="45"/>
  <c r="M1309" i="45"/>
  <c r="N1309" i="45" s="1"/>
  <c r="CO50" i="20"/>
  <c r="CE50" i="20"/>
  <c r="CF50" i="20" s="1"/>
  <c r="CC50" i="20"/>
  <c r="CD50" i="20" s="1"/>
  <c r="CX50" i="20"/>
  <c r="CG50" i="20"/>
  <c r="CH50" i="20"/>
  <c r="CV50" i="20"/>
  <c r="CJ50" i="20"/>
  <c r="CW50" i="20"/>
  <c r="CA50" i="20"/>
  <c r="CB50" i="20" s="1"/>
  <c r="CM50" i="20"/>
  <c r="J296" i="45"/>
  <c r="J295" i="45" s="1"/>
  <c r="J294" i="45" s="1"/>
  <c r="J293" i="45" s="1"/>
  <c r="J292" i="45" s="1"/>
  <c r="J291" i="45" s="1"/>
  <c r="J290" i="45" s="1"/>
  <c r="J289" i="45" s="1"/>
  <c r="J288" i="45" s="1"/>
  <c r="J287" i="45" s="1"/>
  <c r="J286" i="45" s="1"/>
  <c r="J285" i="45" s="1"/>
  <c r="CK50" i="20"/>
  <c r="CY50" i="20"/>
  <c r="Q296" i="45"/>
  <c r="Q295" i="45" s="1"/>
  <c r="Q294" i="45" s="1"/>
  <c r="Q293" i="45" s="1"/>
  <c r="Q292" i="45" s="1"/>
  <c r="Q291" i="45" s="1"/>
  <c r="Q290" i="45" s="1"/>
  <c r="Q289" i="45" s="1"/>
  <c r="Q288" i="45" s="1"/>
  <c r="Q287" i="45" s="1"/>
  <c r="Q286" i="45" s="1"/>
  <c r="Q285" i="45" s="1"/>
  <c r="CZ50" i="20" l="1"/>
  <c r="CL50" i="20"/>
  <c r="CV49" i="20"/>
  <c r="CE49" i="20"/>
  <c r="CF49" i="20" s="1"/>
  <c r="CJ49" i="20"/>
  <c r="CO49" i="20"/>
  <c r="CM49" i="20"/>
  <c r="CC49" i="20"/>
  <c r="CD49" i="20" s="1"/>
  <c r="CW49" i="20"/>
  <c r="CG49" i="20"/>
  <c r="CX49" i="20"/>
  <c r="CA49" i="20"/>
  <c r="CB49" i="20" s="1"/>
  <c r="CH49" i="20"/>
  <c r="J284" i="45"/>
  <c r="J283" i="45" s="1"/>
  <c r="J282" i="45" s="1"/>
  <c r="J281" i="45" s="1"/>
  <c r="J280" i="45" s="1"/>
  <c r="J279" i="45" s="1"/>
  <c r="J278" i="45" s="1"/>
  <c r="J277" i="45" s="1"/>
  <c r="J276" i="45" s="1"/>
  <c r="J275" i="45" s="1"/>
  <c r="J274" i="45" s="1"/>
  <c r="J273" i="45" s="1"/>
  <c r="CK49" i="20"/>
  <c r="CY49" i="20"/>
  <c r="Q284" i="45"/>
  <c r="Q283" i="45" s="1"/>
  <c r="Q282" i="45" s="1"/>
  <c r="Q281" i="45" s="1"/>
  <c r="Q280" i="45" s="1"/>
  <c r="Q279" i="45" s="1"/>
  <c r="Q278" i="45" s="1"/>
  <c r="Q277" i="45" s="1"/>
  <c r="Q276" i="45" s="1"/>
  <c r="Q275" i="45" s="1"/>
  <c r="Q274" i="45" s="1"/>
  <c r="Q273" i="45" s="1"/>
  <c r="M1308" i="45"/>
  <c r="N1308" i="45" s="1"/>
  <c r="L1306" i="45"/>
  <c r="CL49" i="20" l="1"/>
  <c r="CZ49" i="20"/>
  <c r="CY48" i="20"/>
  <c r="CK48" i="20"/>
  <c r="Q272" i="45"/>
  <c r="Q271" i="45" s="1"/>
  <c r="Q270" i="45" s="1"/>
  <c r="Q269" i="45" s="1"/>
  <c r="Q268" i="45" s="1"/>
  <c r="Q267" i="45" s="1"/>
  <c r="Q266" i="45" s="1"/>
  <c r="Q265" i="45" s="1"/>
  <c r="Q264" i="45" s="1"/>
  <c r="Q263" i="45" s="1"/>
  <c r="Q262" i="45" s="1"/>
  <c r="Q261" i="45" s="1"/>
  <c r="CO48" i="20"/>
  <c r="CE48" i="20"/>
  <c r="CF48" i="20" s="1"/>
  <c r="CG48" i="20"/>
  <c r="CX48" i="20"/>
  <c r="CA48" i="20"/>
  <c r="CB48" i="20" s="1"/>
  <c r="CJ48" i="20"/>
  <c r="CV48" i="20"/>
  <c r="CM48" i="20"/>
  <c r="CC48" i="20"/>
  <c r="CD48" i="20" s="1"/>
  <c r="CW48" i="20"/>
  <c r="CH48" i="20"/>
  <c r="J272" i="45"/>
  <c r="J271" i="45" s="1"/>
  <c r="J270" i="45" s="1"/>
  <c r="J269" i="45" s="1"/>
  <c r="J268" i="45" s="1"/>
  <c r="J267" i="45" s="1"/>
  <c r="J266" i="45" s="1"/>
  <c r="J265" i="45" s="1"/>
  <c r="J264" i="45" s="1"/>
  <c r="J263" i="45" s="1"/>
  <c r="J262" i="45" s="1"/>
  <c r="J261" i="45" s="1"/>
  <c r="L1305" i="45"/>
  <c r="M1307" i="45"/>
  <c r="N1307" i="45" s="1"/>
  <c r="L1304" i="45" l="1"/>
  <c r="M1306" i="45"/>
  <c r="N1306" i="45" s="1"/>
  <c r="CK47" i="20"/>
  <c r="CY47" i="20"/>
  <c r="Q260" i="45"/>
  <c r="Q259" i="45" s="1"/>
  <c r="Q258" i="45" s="1"/>
  <c r="Q257" i="45" s="1"/>
  <c r="Q256" i="45" s="1"/>
  <c r="Q255" i="45" s="1"/>
  <c r="Q254" i="45" s="1"/>
  <c r="Q253" i="45" s="1"/>
  <c r="Q252" i="45" s="1"/>
  <c r="Q251" i="45" s="1"/>
  <c r="Q250" i="45" s="1"/>
  <c r="Q249" i="45" s="1"/>
  <c r="CL48" i="20"/>
  <c r="CV47" i="20"/>
  <c r="CE47" i="20"/>
  <c r="CF47" i="20" s="1"/>
  <c r="CA47" i="20"/>
  <c r="CB47" i="20" s="1"/>
  <c r="CX47" i="20"/>
  <c r="CG47" i="20"/>
  <c r="CO47" i="20"/>
  <c r="CM47" i="20"/>
  <c r="CH47" i="20"/>
  <c r="CC47" i="20"/>
  <c r="CD47" i="20" s="1"/>
  <c r="CW47" i="20"/>
  <c r="CJ47" i="20"/>
  <c r="J260" i="45"/>
  <c r="J259" i="45" s="1"/>
  <c r="J258" i="45" s="1"/>
  <c r="J257" i="45" s="1"/>
  <c r="J256" i="45" s="1"/>
  <c r="J255" i="45" s="1"/>
  <c r="J254" i="45" s="1"/>
  <c r="J253" i="45" s="1"/>
  <c r="J252" i="45" s="1"/>
  <c r="J251" i="45" s="1"/>
  <c r="J250" i="45" s="1"/>
  <c r="J249" i="45" s="1"/>
  <c r="CZ48" i="20"/>
  <c r="CZ47" i="20" l="1"/>
  <c r="CL47" i="20"/>
  <c r="CW46" i="20"/>
  <c r="CE46" i="20"/>
  <c r="CF46" i="20" s="1"/>
  <c r="CH46" i="20"/>
  <c r="CO46" i="20"/>
  <c r="CM46" i="20"/>
  <c r="CG46" i="20"/>
  <c r="CV46" i="20"/>
  <c r="CA46" i="20"/>
  <c r="CB46" i="20" s="1"/>
  <c r="CJ46" i="20"/>
  <c r="CX46" i="20"/>
  <c r="CC46" i="20"/>
  <c r="CD46" i="20" s="1"/>
  <c r="J248" i="45"/>
  <c r="J247" i="45" s="1"/>
  <c r="J246" i="45" s="1"/>
  <c r="J245" i="45" s="1"/>
  <c r="J244" i="45" s="1"/>
  <c r="J243" i="45" s="1"/>
  <c r="J242" i="45" s="1"/>
  <c r="J241" i="45" s="1"/>
  <c r="J240" i="45" s="1"/>
  <c r="J239" i="45" s="1"/>
  <c r="J238" i="45" s="1"/>
  <c r="J237" i="45" s="1"/>
  <c r="CY46" i="20"/>
  <c r="CK46" i="20"/>
  <c r="Q248" i="45"/>
  <c r="Q247" i="45" s="1"/>
  <c r="Q246" i="45" s="1"/>
  <c r="Q245" i="45" s="1"/>
  <c r="Q244" i="45" s="1"/>
  <c r="Q243" i="45" s="1"/>
  <c r="Q242" i="45" s="1"/>
  <c r="Q241" i="45" s="1"/>
  <c r="Q240" i="45" s="1"/>
  <c r="Q239" i="45" s="1"/>
  <c r="Q238" i="45" s="1"/>
  <c r="Q237" i="45" s="1"/>
  <c r="L1303" i="45"/>
  <c r="M1305" i="45"/>
  <c r="N1305" i="45" s="1"/>
  <c r="CL46" i="20" l="1"/>
  <c r="CZ46" i="20"/>
  <c r="CY45" i="20"/>
  <c r="CK45" i="20"/>
  <c r="Q236" i="45"/>
  <c r="Q235" i="45" s="1"/>
  <c r="Q234" i="45" s="1"/>
  <c r="Q233" i="45" s="1"/>
  <c r="Q232" i="45" s="1"/>
  <c r="Q231" i="45" s="1"/>
  <c r="Q230" i="45" s="1"/>
  <c r="Q229" i="45" s="1"/>
  <c r="Q228" i="45" s="1"/>
  <c r="Q227" i="45" s="1"/>
  <c r="Q226" i="45" s="1"/>
  <c r="Q225" i="45" s="1"/>
  <c r="L1302" i="45"/>
  <c r="M1304" i="45"/>
  <c r="N1304" i="45" s="1"/>
  <c r="CW45" i="20"/>
  <c r="CE45" i="20"/>
  <c r="CF45" i="20" s="1"/>
  <c r="CA45" i="20"/>
  <c r="CB45" i="20" s="1"/>
  <c r="CO45" i="20"/>
  <c r="CG45" i="20"/>
  <c r="CX45" i="20"/>
  <c r="CH45" i="20"/>
  <c r="CC45" i="20"/>
  <c r="CD45" i="20" s="1"/>
  <c r="CM45" i="20"/>
  <c r="CJ45" i="20"/>
  <c r="CV45" i="20"/>
  <c r="J236" i="45"/>
  <c r="J235" i="45" s="1"/>
  <c r="J234" i="45" s="1"/>
  <c r="J233" i="45" s="1"/>
  <c r="J232" i="45" s="1"/>
  <c r="J231" i="45" s="1"/>
  <c r="J230" i="45" s="1"/>
  <c r="J229" i="45" s="1"/>
  <c r="J228" i="45" s="1"/>
  <c r="J227" i="45" s="1"/>
  <c r="J226" i="45" s="1"/>
  <c r="J225" i="45" s="1"/>
  <c r="CK44" i="20" l="1"/>
  <c r="CY44" i="20"/>
  <c r="Q224" i="45"/>
  <c r="Q223" i="45" s="1"/>
  <c r="Q222" i="45" s="1"/>
  <c r="Q221" i="45" s="1"/>
  <c r="Q220" i="45" s="1"/>
  <c r="Q219" i="45" s="1"/>
  <c r="Q218" i="45" s="1"/>
  <c r="Q217" i="45" s="1"/>
  <c r="Q216" i="45" s="1"/>
  <c r="Q215" i="45" s="1"/>
  <c r="Q214" i="45" s="1"/>
  <c r="Q213" i="45" s="1"/>
  <c r="CL45" i="20"/>
  <c r="M1303" i="45"/>
  <c r="N1303" i="45" s="1"/>
  <c r="L1301" i="45"/>
  <c r="CV44" i="20"/>
  <c r="CC44" i="20"/>
  <c r="CD44" i="20" s="1"/>
  <c r="CX44" i="20"/>
  <c r="CG44" i="20"/>
  <c r="CH44" i="20"/>
  <c r="CW44" i="20"/>
  <c r="CE44" i="20"/>
  <c r="CF44" i="20" s="1"/>
  <c r="CJ44" i="20"/>
  <c r="CO44" i="20"/>
  <c r="CM44" i="20"/>
  <c r="CA44" i="20"/>
  <c r="CB44" i="20" s="1"/>
  <c r="J224" i="45"/>
  <c r="J223" i="45" s="1"/>
  <c r="J222" i="45" s="1"/>
  <c r="J221" i="45" s="1"/>
  <c r="J220" i="45" s="1"/>
  <c r="J219" i="45" s="1"/>
  <c r="J218" i="45" s="1"/>
  <c r="J217" i="45" s="1"/>
  <c r="J216" i="45" s="1"/>
  <c r="J215" i="45" s="1"/>
  <c r="J214" i="45" s="1"/>
  <c r="J213" i="45" s="1"/>
  <c r="CZ45" i="20"/>
  <c r="CY43" i="20" l="1"/>
  <c r="CK43" i="20"/>
  <c r="Q212" i="45"/>
  <c r="Q211" i="45" s="1"/>
  <c r="Q210" i="45" s="1"/>
  <c r="Q209" i="45" s="1"/>
  <c r="Q208" i="45" s="1"/>
  <c r="Q207" i="45" s="1"/>
  <c r="Q206" i="45" s="1"/>
  <c r="Q205" i="45" s="1"/>
  <c r="Q204" i="45" s="1"/>
  <c r="Q203" i="45" s="1"/>
  <c r="Q202" i="45" s="1"/>
  <c r="Q201" i="45" s="1"/>
  <c r="CV43" i="20"/>
  <c r="CG43" i="20"/>
  <c r="CA43" i="20"/>
  <c r="CB43" i="20" s="1"/>
  <c r="CX43" i="20"/>
  <c r="CH43" i="20"/>
  <c r="CW43" i="20"/>
  <c r="CM43" i="20"/>
  <c r="CO43" i="20"/>
  <c r="CJ43" i="20"/>
  <c r="CC43" i="20"/>
  <c r="CD43" i="20" s="1"/>
  <c r="CE43" i="20"/>
  <c r="CF43" i="20" s="1"/>
  <c r="J212" i="45"/>
  <c r="J211" i="45" s="1"/>
  <c r="J210" i="45" s="1"/>
  <c r="J209" i="45" s="1"/>
  <c r="J208" i="45" s="1"/>
  <c r="J207" i="45" s="1"/>
  <c r="J206" i="45" s="1"/>
  <c r="J205" i="45" s="1"/>
  <c r="J204" i="45" s="1"/>
  <c r="J203" i="45" s="1"/>
  <c r="J202" i="45" s="1"/>
  <c r="J201" i="45" s="1"/>
  <c r="L1300" i="45"/>
  <c r="M1302" i="45"/>
  <c r="N1302" i="45" s="1"/>
  <c r="CZ44" i="20"/>
  <c r="CL44" i="20"/>
  <c r="CY42" i="20" l="1"/>
  <c r="CK42" i="20"/>
  <c r="Q200" i="45"/>
  <c r="Q199" i="45" s="1"/>
  <c r="Q198" i="45" s="1"/>
  <c r="Q197" i="45" s="1"/>
  <c r="Q196" i="45" s="1"/>
  <c r="Q195" i="45" s="1"/>
  <c r="Q194" i="45" s="1"/>
  <c r="Q193" i="45" s="1"/>
  <c r="Q192" i="45" s="1"/>
  <c r="Q191" i="45" s="1"/>
  <c r="Q190" i="45" s="1"/>
  <c r="Q189" i="45" s="1"/>
  <c r="L1299" i="45"/>
  <c r="M1301" i="45"/>
  <c r="N1301" i="45" s="1"/>
  <c r="CL43" i="20"/>
  <c r="CW42" i="20"/>
  <c r="CJ42" i="20"/>
  <c r="CA42" i="20"/>
  <c r="CB42" i="20" s="1"/>
  <c r="CE42" i="20"/>
  <c r="CF42" i="20" s="1"/>
  <c r="CV42" i="20"/>
  <c r="CM42" i="20"/>
  <c r="CH42" i="20"/>
  <c r="CO42" i="20"/>
  <c r="CC42" i="20"/>
  <c r="CD42" i="20" s="1"/>
  <c r="CX42" i="20"/>
  <c r="CG42" i="20"/>
  <c r="J200" i="45"/>
  <c r="J199" i="45" s="1"/>
  <c r="J198" i="45" s="1"/>
  <c r="J197" i="45" s="1"/>
  <c r="J196" i="45" s="1"/>
  <c r="J195" i="45" s="1"/>
  <c r="J194" i="45" s="1"/>
  <c r="J193" i="45" s="1"/>
  <c r="J192" i="45" s="1"/>
  <c r="J191" i="45" s="1"/>
  <c r="J190" i="45" s="1"/>
  <c r="J189" i="45" s="1"/>
  <c r="CZ43" i="20"/>
  <c r="Q188" i="45" l="1"/>
  <c r="Q187" i="45" s="1"/>
  <c r="Q186" i="45" s="1"/>
  <c r="Q185" i="45" s="1"/>
  <c r="Q184" i="45" s="1"/>
  <c r="Q183" i="45" s="1"/>
  <c r="Q182" i="45" s="1"/>
  <c r="Q181" i="45" s="1"/>
  <c r="Q180" i="45" s="1"/>
  <c r="Q179" i="45" s="1"/>
  <c r="Q178" i="45" s="1"/>
  <c r="Q177" i="45" s="1"/>
  <c r="CK41" i="20"/>
  <c r="CY41" i="20"/>
  <c r="CO41" i="20"/>
  <c r="CE41" i="20"/>
  <c r="CF41" i="20" s="1"/>
  <c r="CG41" i="20"/>
  <c r="CW41" i="20"/>
  <c r="CM41" i="20"/>
  <c r="CA41" i="20"/>
  <c r="CB41" i="20" s="1"/>
  <c r="CV41" i="20"/>
  <c r="CJ41" i="20"/>
  <c r="CX41" i="20"/>
  <c r="CC41" i="20"/>
  <c r="CD41" i="20" s="1"/>
  <c r="CH41" i="20"/>
  <c r="J188" i="45"/>
  <c r="J187" i="45" s="1"/>
  <c r="J186" i="45" s="1"/>
  <c r="J185" i="45" s="1"/>
  <c r="J184" i="45" s="1"/>
  <c r="J183" i="45" s="1"/>
  <c r="J182" i="45" s="1"/>
  <c r="J181" i="45" s="1"/>
  <c r="J180" i="45" s="1"/>
  <c r="J179" i="45" s="1"/>
  <c r="J178" i="45" s="1"/>
  <c r="J177" i="45" s="1"/>
  <c r="CL42" i="20"/>
  <c r="L1298" i="45"/>
  <c r="M1300" i="45"/>
  <c r="N1300" i="45" s="1"/>
  <c r="CZ42" i="20"/>
  <c r="L1297" i="45" l="1"/>
  <c r="M1299" i="45"/>
  <c r="N1299" i="45" s="1"/>
  <c r="CX40" i="20"/>
  <c r="CM40" i="20"/>
  <c r="CA40" i="20"/>
  <c r="CB40" i="20" s="1"/>
  <c r="CW40" i="20"/>
  <c r="CG40" i="20"/>
  <c r="CJ40" i="20"/>
  <c r="CV40" i="20"/>
  <c r="CE40" i="20"/>
  <c r="CF40" i="20" s="1"/>
  <c r="CH40" i="20"/>
  <c r="CC40" i="20"/>
  <c r="CD40" i="20" s="1"/>
  <c r="CO40" i="20"/>
  <c r="J176" i="45"/>
  <c r="J175" i="45" s="1"/>
  <c r="J174" i="45" s="1"/>
  <c r="J173" i="45" s="1"/>
  <c r="J172" i="45" s="1"/>
  <c r="J171" i="45" s="1"/>
  <c r="J170" i="45" s="1"/>
  <c r="J169" i="45" s="1"/>
  <c r="J168" i="45" s="1"/>
  <c r="J167" i="45" s="1"/>
  <c r="J166" i="45" s="1"/>
  <c r="J165" i="45" s="1"/>
  <c r="CZ41" i="20"/>
  <c r="CL41" i="20"/>
  <c r="Q176" i="45"/>
  <c r="Q175" i="45" s="1"/>
  <c r="Q174" i="45" s="1"/>
  <c r="Q173" i="45" s="1"/>
  <c r="Q172" i="45" s="1"/>
  <c r="Q171" i="45" s="1"/>
  <c r="Q170" i="45" s="1"/>
  <c r="Q169" i="45" s="1"/>
  <c r="Q168" i="45" s="1"/>
  <c r="Q167" i="45" s="1"/>
  <c r="Q166" i="45" s="1"/>
  <c r="Q165" i="45" s="1"/>
  <c r="CY40" i="20"/>
  <c r="CK40" i="20"/>
  <c r="CZ40" i="20" l="1"/>
  <c r="CL40" i="20"/>
  <c r="CX39" i="20"/>
  <c r="CA39" i="20"/>
  <c r="CB39" i="20" s="1"/>
  <c r="CW39" i="20"/>
  <c r="CE39" i="20"/>
  <c r="CF39" i="20" s="1"/>
  <c r="CH39" i="20"/>
  <c r="CO39" i="20"/>
  <c r="CC39" i="20"/>
  <c r="CD39" i="20" s="1"/>
  <c r="CV39" i="20"/>
  <c r="CM39" i="20"/>
  <c r="CG39" i="20"/>
  <c r="CJ39" i="20"/>
  <c r="J164" i="45"/>
  <c r="J163" i="45" s="1"/>
  <c r="J162" i="45" s="1"/>
  <c r="J161" i="45" s="1"/>
  <c r="J160" i="45" s="1"/>
  <c r="J159" i="45" s="1"/>
  <c r="J158" i="45" s="1"/>
  <c r="J157" i="45" s="1"/>
  <c r="J156" i="45" s="1"/>
  <c r="J155" i="45" s="1"/>
  <c r="J154" i="45" s="1"/>
  <c r="J153" i="45" s="1"/>
  <c r="Q164" i="45"/>
  <c r="Q163" i="45" s="1"/>
  <c r="Q162" i="45" s="1"/>
  <c r="Q161" i="45" s="1"/>
  <c r="Q160" i="45" s="1"/>
  <c r="Q159" i="45" s="1"/>
  <c r="Q158" i="45" s="1"/>
  <c r="Q157" i="45" s="1"/>
  <c r="Q156" i="45" s="1"/>
  <c r="Q155" i="45" s="1"/>
  <c r="Q154" i="45" s="1"/>
  <c r="Q153" i="45" s="1"/>
  <c r="CY39" i="20"/>
  <c r="CK39" i="20"/>
  <c r="M1298" i="45"/>
  <c r="N1298" i="45" s="1"/>
  <c r="L1296" i="45"/>
  <c r="CL39" i="20" l="1"/>
  <c r="CZ39" i="20"/>
  <c r="Q152" i="45"/>
  <c r="Q151" i="45" s="1"/>
  <c r="Q150" i="45" s="1"/>
  <c r="Q149" i="45" s="1"/>
  <c r="Q148" i="45" s="1"/>
  <c r="Q147" i="45" s="1"/>
  <c r="Q146" i="45" s="1"/>
  <c r="Q145" i="45" s="1"/>
  <c r="Q144" i="45" s="1"/>
  <c r="Q143" i="45" s="1"/>
  <c r="Q142" i="45" s="1"/>
  <c r="Q141" i="45" s="1"/>
  <c r="CY38" i="20"/>
  <c r="CK38" i="20"/>
  <c r="L1295" i="45"/>
  <c r="M1297" i="45"/>
  <c r="N1297" i="45" s="1"/>
  <c r="CO38" i="20"/>
  <c r="CM38" i="20"/>
  <c r="CC38" i="20"/>
  <c r="CD38" i="20" s="1"/>
  <c r="CX38" i="20"/>
  <c r="CG38" i="20"/>
  <c r="CH38" i="20"/>
  <c r="CW38" i="20"/>
  <c r="CJ38" i="20"/>
  <c r="CV38" i="20"/>
  <c r="CA38" i="20"/>
  <c r="CB38" i="20" s="1"/>
  <c r="CE38" i="20"/>
  <c r="CF38" i="20" s="1"/>
  <c r="J152" i="45"/>
  <c r="J151" i="45" s="1"/>
  <c r="J150" i="45" s="1"/>
  <c r="J149" i="45" s="1"/>
  <c r="J148" i="45" s="1"/>
  <c r="J147" i="45" s="1"/>
  <c r="J146" i="45" s="1"/>
  <c r="J145" i="45" s="1"/>
  <c r="J144" i="45" s="1"/>
  <c r="J143" i="45" s="1"/>
  <c r="J142" i="45" s="1"/>
  <c r="J141" i="45" s="1"/>
  <c r="CL38" i="20" l="1"/>
  <c r="CO37" i="20"/>
  <c r="CG37" i="20"/>
  <c r="CA37" i="20"/>
  <c r="CB37" i="20" s="1"/>
  <c r="CX37" i="20"/>
  <c r="CC37" i="20"/>
  <c r="CD37" i="20" s="1"/>
  <c r="CW37" i="20"/>
  <c r="CE37" i="20"/>
  <c r="CF37" i="20" s="1"/>
  <c r="CH37" i="20"/>
  <c r="CV37" i="20"/>
  <c r="CM37" i="20"/>
  <c r="CJ37" i="20"/>
  <c r="J140" i="45"/>
  <c r="J139" i="45" s="1"/>
  <c r="J138" i="45" s="1"/>
  <c r="J137" i="45" s="1"/>
  <c r="M1296" i="45"/>
  <c r="N1296" i="45" s="1"/>
  <c r="L1294" i="45"/>
  <c r="CZ38" i="20"/>
  <c r="CY37" i="20"/>
  <c r="CK37" i="20"/>
  <c r="Q140" i="45"/>
  <c r="Q139" i="45" s="1"/>
  <c r="Q138" i="45" s="1"/>
  <c r="Q137" i="45" s="1"/>
  <c r="CZ37" i="20" l="1"/>
  <c r="Q136" i="45"/>
  <c r="CY137" i="20"/>
  <c r="CK137" i="20"/>
  <c r="L1293" i="45"/>
  <c r="M1295" i="45"/>
  <c r="N1295" i="45" s="1"/>
  <c r="CL37" i="20"/>
  <c r="CC137" i="20"/>
  <c r="CD137" i="20" s="1"/>
  <c r="CX137" i="20"/>
  <c r="CA137" i="20"/>
  <c r="CB137" i="20" s="1"/>
  <c r="CO137" i="20"/>
  <c r="CG137" i="20"/>
  <c r="CE137" i="20"/>
  <c r="CF137" i="20" s="1"/>
  <c r="CH137" i="20"/>
  <c r="CW137" i="20"/>
  <c r="CV137" i="20"/>
  <c r="CM137" i="20"/>
  <c r="CJ137" i="20"/>
  <c r="J136" i="45"/>
  <c r="CL137" i="20" l="1"/>
  <c r="CZ137" i="20"/>
  <c r="M1294" i="45"/>
  <c r="N1294" i="45" s="1"/>
  <c r="L1292" i="45"/>
  <c r="CW136" i="20"/>
  <c r="CH136" i="20"/>
  <c r="CO136" i="20"/>
  <c r="CM136" i="20"/>
  <c r="CJ136" i="20"/>
  <c r="CG136" i="20"/>
  <c r="CA136" i="20"/>
  <c r="CB136" i="20" s="1"/>
  <c r="CV136" i="20"/>
  <c r="CX136" i="20"/>
  <c r="CE136" i="20"/>
  <c r="CF136" i="20" s="1"/>
  <c r="CC136" i="20"/>
  <c r="CD136" i="20" s="1"/>
  <c r="J135" i="45"/>
  <c r="Q135" i="45"/>
  <c r="CK136" i="20"/>
  <c r="CY136" i="20"/>
  <c r="CG135" i="20" l="1"/>
  <c r="CX135" i="20"/>
  <c r="CM135" i="20"/>
  <c r="CE135" i="20"/>
  <c r="CF135" i="20" s="1"/>
  <c r="CJ135" i="20"/>
  <c r="CV135" i="20"/>
  <c r="CW135" i="20"/>
  <c r="CH135" i="20"/>
  <c r="CO135" i="20"/>
  <c r="CA135" i="20"/>
  <c r="CB135" i="20" s="1"/>
  <c r="CC135" i="20"/>
  <c r="CD135" i="20" s="1"/>
  <c r="J134" i="45"/>
  <c r="CZ136" i="20"/>
  <c r="M1293" i="45"/>
  <c r="N1293" i="45" s="1"/>
  <c r="L1291" i="45"/>
  <c r="CL136" i="20"/>
  <c r="Q134" i="45"/>
  <c r="CY135" i="20"/>
  <c r="CK135" i="20"/>
  <c r="CZ135" i="20" l="1"/>
  <c r="CL135" i="20"/>
  <c r="M1292" i="45"/>
  <c r="N1292" i="45" s="1"/>
  <c r="L1290" i="45"/>
  <c r="CV134" i="20"/>
  <c r="CC134" i="20"/>
  <c r="CD134" i="20" s="1"/>
  <c r="CO134" i="20"/>
  <c r="CJ134" i="20"/>
  <c r="CW134" i="20"/>
  <c r="CG134" i="20"/>
  <c r="CH134" i="20"/>
  <c r="CE134" i="20"/>
  <c r="CF134" i="20" s="1"/>
  <c r="CA134" i="20"/>
  <c r="CB134" i="20" s="1"/>
  <c r="CM134" i="20"/>
  <c r="CX134" i="20"/>
  <c r="J133" i="45"/>
  <c r="Q133" i="45"/>
  <c r="CY134" i="20"/>
  <c r="CK134" i="20"/>
  <c r="CL134" i="20" l="1"/>
  <c r="CZ134" i="20"/>
  <c r="Q132" i="45"/>
  <c r="CK133" i="20"/>
  <c r="CY133" i="20"/>
  <c r="CG133" i="20"/>
  <c r="CM133" i="20"/>
  <c r="CO133" i="20"/>
  <c r="CW133" i="20"/>
  <c r="CE133" i="20"/>
  <c r="CF133" i="20" s="1"/>
  <c r="CC133" i="20"/>
  <c r="CD133" i="20" s="1"/>
  <c r="CV133" i="20"/>
  <c r="CJ133" i="20"/>
  <c r="CX133" i="20"/>
  <c r="CA133" i="20"/>
  <c r="CB133" i="20" s="1"/>
  <c r="CH133" i="20"/>
  <c r="J132" i="45"/>
  <c r="L1289" i="45"/>
  <c r="M1291" i="45"/>
  <c r="N1291" i="45" s="1"/>
  <c r="CZ133" i="20" l="1"/>
  <c r="CG132" i="20"/>
  <c r="CO132" i="20"/>
  <c r="CJ132" i="20"/>
  <c r="CC132" i="20"/>
  <c r="CD132" i="20" s="1"/>
  <c r="CV132" i="20"/>
  <c r="CM132" i="20"/>
  <c r="CH132" i="20"/>
  <c r="CE132" i="20"/>
  <c r="CF132" i="20" s="1"/>
  <c r="CW132" i="20"/>
  <c r="CA132" i="20"/>
  <c r="CB132" i="20" s="1"/>
  <c r="CX132" i="20"/>
  <c r="J131" i="45"/>
  <c r="CL133" i="20"/>
  <c r="L1288" i="45"/>
  <c r="M1290" i="45"/>
  <c r="N1290" i="45" s="1"/>
  <c r="Q131" i="45"/>
  <c r="CK132" i="20"/>
  <c r="CY132" i="20"/>
  <c r="CZ132" i="20" l="1"/>
  <c r="M1289" i="45"/>
  <c r="N1289" i="45" s="1"/>
  <c r="L1287" i="45"/>
  <c r="CL132" i="20"/>
  <c r="Q130" i="45"/>
  <c r="CK131" i="20"/>
  <c r="CY131" i="20"/>
  <c r="CJ131" i="20"/>
  <c r="CW131" i="20"/>
  <c r="CG131" i="20"/>
  <c r="CA131" i="20"/>
  <c r="CB131" i="20" s="1"/>
  <c r="CX131" i="20"/>
  <c r="CH131" i="20"/>
  <c r="CV131" i="20"/>
  <c r="CC131" i="20"/>
  <c r="CD131" i="20" s="1"/>
  <c r="CO131" i="20"/>
  <c r="CM131" i="20"/>
  <c r="CE131" i="20"/>
  <c r="CF131" i="20" s="1"/>
  <c r="J130" i="45"/>
  <c r="CW130" i="20" l="1"/>
  <c r="CJ130" i="20"/>
  <c r="CX130" i="20"/>
  <c r="CA130" i="20"/>
  <c r="CB130" i="20" s="1"/>
  <c r="CO130" i="20"/>
  <c r="CH130" i="20"/>
  <c r="CV130" i="20"/>
  <c r="CM130" i="20"/>
  <c r="CG130" i="20"/>
  <c r="CE130" i="20"/>
  <c r="CF130" i="20" s="1"/>
  <c r="CC130" i="20"/>
  <c r="CD130" i="20" s="1"/>
  <c r="J129" i="45"/>
  <c r="CZ131" i="20"/>
  <c r="L1286" i="45"/>
  <c r="M1288" i="45"/>
  <c r="N1288" i="45" s="1"/>
  <c r="CL131" i="20"/>
  <c r="Q129" i="45"/>
  <c r="CK130" i="20"/>
  <c r="CY130" i="20"/>
  <c r="CL130" i="20" l="1"/>
  <c r="CZ130" i="20"/>
  <c r="CO36" i="20"/>
  <c r="CX36" i="20"/>
  <c r="CC36" i="20"/>
  <c r="CD36" i="20" s="1"/>
  <c r="CJ36" i="20"/>
  <c r="CW36" i="20"/>
  <c r="CM36" i="20"/>
  <c r="CA36" i="20"/>
  <c r="CB36" i="20" s="1"/>
  <c r="CV36" i="20"/>
  <c r="CE36" i="20"/>
  <c r="CF36" i="20" s="1"/>
  <c r="CH36" i="20"/>
  <c r="CG36" i="20"/>
  <c r="CM129" i="20"/>
  <c r="CE129" i="20"/>
  <c r="CF129" i="20" s="1"/>
  <c r="CH129" i="20"/>
  <c r="CC129" i="20"/>
  <c r="CD129" i="20" s="1"/>
  <c r="CG129" i="20"/>
  <c r="CX129" i="20"/>
  <c r="CJ129" i="20"/>
  <c r="CO129" i="20"/>
  <c r="CW129" i="20"/>
  <c r="CV129" i="20"/>
  <c r="CA129" i="20"/>
  <c r="CB129" i="20" s="1"/>
  <c r="J128" i="45"/>
  <c r="M1287" i="45"/>
  <c r="N1287" i="45" s="1"/>
  <c r="L1285" i="45"/>
  <c r="CY36" i="20"/>
  <c r="Q128" i="45"/>
  <c r="CK36" i="20"/>
  <c r="CY129" i="20"/>
  <c r="CK129" i="20"/>
  <c r="CZ36" i="20" l="1"/>
  <c r="CL36" i="20"/>
  <c r="CZ129" i="20"/>
  <c r="CL129" i="20"/>
  <c r="CX128" i="20"/>
  <c r="CE128" i="20"/>
  <c r="CF128" i="20" s="1"/>
  <c r="CA128" i="20"/>
  <c r="CB128" i="20" s="1"/>
  <c r="CH128" i="20"/>
  <c r="CC128" i="20"/>
  <c r="CD128" i="20" s="1"/>
  <c r="CM128" i="20"/>
  <c r="CJ128" i="20"/>
  <c r="CG128" i="20"/>
  <c r="CO128" i="20"/>
  <c r="CV128" i="20"/>
  <c r="CW128" i="20"/>
  <c r="J127" i="45"/>
  <c r="Q127" i="45"/>
  <c r="CY128" i="20"/>
  <c r="CK128" i="20"/>
  <c r="M1286" i="45"/>
  <c r="N1286" i="45" s="1"/>
  <c r="L1284" i="45"/>
  <c r="CL128" i="20" l="1"/>
  <c r="CZ128" i="20"/>
  <c r="CM127" i="20"/>
  <c r="CE127" i="20"/>
  <c r="CF127" i="20" s="1"/>
  <c r="CC127" i="20"/>
  <c r="CD127" i="20" s="1"/>
  <c r="CA127" i="20"/>
  <c r="CB127" i="20" s="1"/>
  <c r="CX127" i="20"/>
  <c r="CV127" i="20"/>
  <c r="CH127" i="20"/>
  <c r="CJ127" i="20"/>
  <c r="CG127" i="20"/>
  <c r="CW127" i="20"/>
  <c r="CO127" i="20"/>
  <c r="J126" i="45"/>
  <c r="M1285" i="45"/>
  <c r="N1285" i="45" s="1"/>
  <c r="L1283" i="45"/>
  <c r="Q126" i="45"/>
  <c r="CY127" i="20"/>
  <c r="CK127" i="20"/>
  <c r="CZ127" i="20" l="1"/>
  <c r="Q125" i="45"/>
  <c r="CY126" i="20"/>
  <c r="CK126" i="20"/>
  <c r="M1284" i="45"/>
  <c r="N1284" i="45" s="1"/>
  <c r="L1282" i="45"/>
  <c r="CO126" i="20"/>
  <c r="CW126" i="20"/>
  <c r="CJ126" i="20"/>
  <c r="CM126" i="20"/>
  <c r="CH126" i="20"/>
  <c r="CX126" i="20"/>
  <c r="CG126" i="20"/>
  <c r="CA126" i="20"/>
  <c r="CB126" i="20" s="1"/>
  <c r="CV126" i="20"/>
  <c r="CC126" i="20"/>
  <c r="CD126" i="20" s="1"/>
  <c r="CE126" i="20"/>
  <c r="CF126" i="20" s="1"/>
  <c r="J125" i="45"/>
  <c r="CL127" i="20"/>
  <c r="CL126" i="20" l="1"/>
  <c r="CZ126" i="20"/>
  <c r="J124" i="45"/>
  <c r="CW125" i="20"/>
  <c r="CH125" i="20"/>
  <c r="CX125" i="20"/>
  <c r="CA125" i="20"/>
  <c r="CB125" i="20" s="1"/>
  <c r="CO125" i="20"/>
  <c r="CG125" i="20"/>
  <c r="CV125" i="20"/>
  <c r="CM125" i="20"/>
  <c r="CC125" i="20"/>
  <c r="CD125" i="20" s="1"/>
  <c r="CE125" i="20"/>
  <c r="CF125" i="20" s="1"/>
  <c r="CJ125" i="20"/>
  <c r="L1281" i="45"/>
  <c r="M1283" i="45"/>
  <c r="N1283" i="45" s="1"/>
  <c r="Q124" i="45"/>
  <c r="CY125" i="20"/>
  <c r="CK125" i="20"/>
  <c r="CZ125" i="20" l="1"/>
  <c r="CL125" i="20"/>
  <c r="L1280" i="45"/>
  <c r="M1282" i="45"/>
  <c r="N1282" i="45" s="1"/>
  <c r="CO124" i="20"/>
  <c r="CJ124" i="20"/>
  <c r="CV124" i="20"/>
  <c r="CM124" i="20"/>
  <c r="CH124" i="20"/>
  <c r="CE124" i="20"/>
  <c r="CF124" i="20" s="1"/>
  <c r="CC124" i="20"/>
  <c r="CD124" i="20" s="1"/>
  <c r="CW124" i="20"/>
  <c r="CA124" i="20"/>
  <c r="CB124" i="20" s="1"/>
  <c r="CX124" i="20"/>
  <c r="CG124" i="20"/>
  <c r="J123" i="45"/>
  <c r="Q123" i="45"/>
  <c r="CY124" i="20"/>
  <c r="CK124" i="20"/>
  <c r="CZ124" i="20" l="1"/>
  <c r="Q122" i="45"/>
  <c r="CY123" i="20"/>
  <c r="CK123" i="20"/>
  <c r="CV123" i="20"/>
  <c r="CE123" i="20"/>
  <c r="CF123" i="20" s="1"/>
  <c r="CX123" i="20"/>
  <c r="CM123" i="20"/>
  <c r="CG123" i="20"/>
  <c r="CC123" i="20"/>
  <c r="CD123" i="20" s="1"/>
  <c r="CJ123" i="20"/>
  <c r="CW123" i="20"/>
  <c r="CA123" i="20"/>
  <c r="CB123" i="20" s="1"/>
  <c r="CO123" i="20"/>
  <c r="CH123" i="20"/>
  <c r="J122" i="45"/>
  <c r="CL124" i="20"/>
  <c r="M1281" i="45"/>
  <c r="N1281" i="45" s="1"/>
  <c r="L1279" i="45"/>
  <c r="J121" i="45" l="1"/>
  <c r="CO122" i="20"/>
  <c r="CH122" i="20"/>
  <c r="CV122" i="20"/>
  <c r="CM122" i="20"/>
  <c r="CG122" i="20"/>
  <c r="CE122" i="20"/>
  <c r="CF122" i="20" s="1"/>
  <c r="CC122" i="20"/>
  <c r="CD122" i="20" s="1"/>
  <c r="CW122" i="20"/>
  <c r="CJ122" i="20"/>
  <c r="CX122" i="20"/>
  <c r="CA122" i="20"/>
  <c r="CB122" i="20" s="1"/>
  <c r="CL123" i="20"/>
  <c r="M1280" i="45"/>
  <c r="N1280" i="45" s="1"/>
  <c r="L1278" i="45"/>
  <c r="CZ123" i="20"/>
  <c r="Q121" i="45"/>
  <c r="CK122" i="20"/>
  <c r="CL122" i="20" s="1"/>
  <c r="CY122" i="20"/>
  <c r="CZ122" i="20" l="1"/>
  <c r="L1277" i="45"/>
  <c r="M1279" i="45"/>
  <c r="N1279" i="45" s="1"/>
  <c r="Q120" i="45"/>
  <c r="CK121" i="20"/>
  <c r="CY121" i="20"/>
  <c r="CV121" i="20"/>
  <c r="CA121" i="20"/>
  <c r="CB121" i="20" s="1"/>
  <c r="CX121" i="20"/>
  <c r="CE121" i="20"/>
  <c r="CF121" i="20" s="1"/>
  <c r="CO121" i="20"/>
  <c r="CG121" i="20"/>
  <c r="CC121" i="20"/>
  <c r="CD121" i="20" s="1"/>
  <c r="CM121" i="20"/>
  <c r="CJ121" i="20"/>
  <c r="CW121" i="20"/>
  <c r="CH121" i="20"/>
  <c r="J120" i="45"/>
  <c r="CL121" i="20" l="1"/>
  <c r="Q119" i="45"/>
  <c r="CK120" i="20"/>
  <c r="CY120" i="20"/>
  <c r="J119" i="45"/>
  <c r="CG120" i="20"/>
  <c r="CW120" i="20"/>
  <c r="CH120" i="20"/>
  <c r="CO120" i="20"/>
  <c r="CA120" i="20"/>
  <c r="CB120" i="20" s="1"/>
  <c r="CV120" i="20"/>
  <c r="CM120" i="20"/>
  <c r="CX120" i="20"/>
  <c r="CE120" i="20"/>
  <c r="CF120" i="20" s="1"/>
  <c r="CC120" i="20"/>
  <c r="CD120" i="20" s="1"/>
  <c r="CJ120" i="20"/>
  <c r="CZ121" i="20"/>
  <c r="L1276" i="45"/>
  <c r="M1278" i="45"/>
  <c r="N1278" i="45" s="1"/>
  <c r="CM119" i="20" l="1"/>
  <c r="CC119" i="20"/>
  <c r="CD119" i="20" s="1"/>
  <c r="CW119" i="20"/>
  <c r="CJ119" i="20"/>
  <c r="CO119" i="20"/>
  <c r="CA119" i="20"/>
  <c r="CB119" i="20" s="1"/>
  <c r="CX119" i="20"/>
  <c r="CE119" i="20"/>
  <c r="CF119" i="20" s="1"/>
  <c r="CV119" i="20"/>
  <c r="CH119" i="20"/>
  <c r="CG119" i="20"/>
  <c r="J118" i="45"/>
  <c r="CZ120" i="20"/>
  <c r="CL120" i="20"/>
  <c r="L1275" i="45"/>
  <c r="M1277" i="45"/>
  <c r="N1277" i="45" s="1"/>
  <c r="Q118" i="45"/>
  <c r="CY119" i="20"/>
  <c r="CK119" i="20"/>
  <c r="CZ119" i="20" l="1"/>
  <c r="CL119" i="20"/>
  <c r="M1276" i="45"/>
  <c r="N1276" i="45" s="1"/>
  <c r="L1274" i="45"/>
  <c r="J117" i="45"/>
  <c r="CJ118" i="20"/>
  <c r="CX118" i="20"/>
  <c r="CH118" i="20"/>
  <c r="CO118" i="20"/>
  <c r="CC118" i="20"/>
  <c r="CD118" i="20" s="1"/>
  <c r="CV118" i="20"/>
  <c r="CM118" i="20"/>
  <c r="CA118" i="20"/>
  <c r="CB118" i="20" s="1"/>
  <c r="CE118" i="20"/>
  <c r="CF118" i="20" s="1"/>
  <c r="CG118" i="20"/>
  <c r="CW118" i="20"/>
  <c r="Q117" i="45"/>
  <c r="CY118" i="20"/>
  <c r="CK118" i="20"/>
  <c r="CL118" i="20" l="1"/>
  <c r="CZ118" i="20"/>
  <c r="CY35" i="20"/>
  <c r="Q116" i="45"/>
  <c r="CK35" i="20"/>
  <c r="CY117" i="20"/>
  <c r="CK117" i="20"/>
  <c r="CW35" i="20"/>
  <c r="CM35" i="20"/>
  <c r="CC35" i="20"/>
  <c r="CD35" i="20" s="1"/>
  <c r="J116" i="45"/>
  <c r="CG35" i="20"/>
  <c r="CO35" i="20"/>
  <c r="CE35" i="20"/>
  <c r="CF35" i="20" s="1"/>
  <c r="CA35" i="20"/>
  <c r="CB35" i="20" s="1"/>
  <c r="CJ35" i="20"/>
  <c r="CX35" i="20"/>
  <c r="CV35" i="20"/>
  <c r="CH35" i="20"/>
  <c r="CX117" i="20"/>
  <c r="CJ117" i="20"/>
  <c r="CW117" i="20"/>
  <c r="CH117" i="20"/>
  <c r="CO117" i="20"/>
  <c r="CE117" i="20"/>
  <c r="CF117" i="20" s="1"/>
  <c r="CM117" i="20"/>
  <c r="CG117" i="20"/>
  <c r="CC117" i="20"/>
  <c r="CD117" i="20" s="1"/>
  <c r="CV117" i="20"/>
  <c r="CA117" i="20"/>
  <c r="CB117" i="20" s="1"/>
  <c r="L1273" i="45"/>
  <c r="M1275" i="45"/>
  <c r="N1275" i="45" s="1"/>
  <c r="CZ117" i="20" l="1"/>
  <c r="CL35" i="20"/>
  <c r="Q115" i="45"/>
  <c r="CK116" i="20"/>
  <c r="CY116" i="20"/>
  <c r="L1272" i="45"/>
  <c r="M1274" i="45"/>
  <c r="N1274" i="45" s="1"/>
  <c r="CE116" i="20"/>
  <c r="CF116" i="20" s="1"/>
  <c r="CC116" i="20"/>
  <c r="CD116" i="20" s="1"/>
  <c r="CG116" i="20"/>
  <c r="CA116" i="20"/>
  <c r="CB116" i="20" s="1"/>
  <c r="CX116" i="20"/>
  <c r="CJ116" i="20"/>
  <c r="CO116" i="20"/>
  <c r="CH116" i="20"/>
  <c r="CV116" i="20"/>
  <c r="CM116" i="20"/>
  <c r="CW116" i="20"/>
  <c r="J115" i="45"/>
  <c r="CL117" i="20"/>
  <c r="CZ35" i="20"/>
  <c r="CZ116" i="20" l="1"/>
  <c r="CL116" i="20"/>
  <c r="CO115" i="20"/>
  <c r="CC115" i="20"/>
  <c r="CD115" i="20" s="1"/>
  <c r="CV115" i="20"/>
  <c r="CE115" i="20"/>
  <c r="CF115" i="20" s="1"/>
  <c r="CA115" i="20"/>
  <c r="CB115" i="20" s="1"/>
  <c r="CM115" i="20"/>
  <c r="CG115" i="20"/>
  <c r="CW115" i="20"/>
  <c r="CJ115" i="20"/>
  <c r="CX115" i="20"/>
  <c r="CH115" i="20"/>
  <c r="J114" i="45"/>
  <c r="Q114" i="45"/>
  <c r="CK115" i="20"/>
  <c r="CY115" i="20"/>
  <c r="L1271" i="45"/>
  <c r="M1273" i="45"/>
  <c r="N1273" i="45" s="1"/>
  <c r="CL115" i="20" l="1"/>
  <c r="CZ115" i="20"/>
  <c r="Q113" i="45"/>
  <c r="CK114" i="20"/>
  <c r="CY114" i="20"/>
  <c r="M1272" i="45"/>
  <c r="N1272" i="45" s="1"/>
  <c r="L1270" i="45"/>
  <c r="J113" i="45"/>
  <c r="CO114" i="20"/>
  <c r="CA114" i="20"/>
  <c r="CB114" i="20" s="1"/>
  <c r="CV114" i="20"/>
  <c r="CM114" i="20"/>
  <c r="CX114" i="20"/>
  <c r="CE114" i="20"/>
  <c r="CF114" i="20" s="1"/>
  <c r="CC114" i="20"/>
  <c r="CD114" i="20" s="1"/>
  <c r="CH114" i="20"/>
  <c r="CJ114" i="20"/>
  <c r="CW114" i="20"/>
  <c r="CG114" i="20"/>
  <c r="CZ114" i="20" l="1"/>
  <c r="CC113" i="20"/>
  <c r="CD113" i="20" s="1"/>
  <c r="CX113" i="20"/>
  <c r="CA113" i="20"/>
  <c r="CB113" i="20" s="1"/>
  <c r="CO113" i="20"/>
  <c r="CG113" i="20"/>
  <c r="CV113" i="20"/>
  <c r="CM113" i="20"/>
  <c r="CJ113" i="20"/>
  <c r="CE113" i="20"/>
  <c r="CF113" i="20" s="1"/>
  <c r="CH113" i="20"/>
  <c r="CW113" i="20"/>
  <c r="J112" i="45"/>
  <c r="CL114" i="20"/>
  <c r="L1269" i="45"/>
  <c r="M1271" i="45"/>
  <c r="N1271" i="45" s="1"/>
  <c r="Q112" i="45"/>
  <c r="CK113" i="20"/>
  <c r="CY113" i="20"/>
  <c r="CZ113" i="20" l="1"/>
  <c r="CL113" i="20"/>
  <c r="M1270" i="45"/>
  <c r="N1270" i="45" s="1"/>
  <c r="L1268" i="45"/>
  <c r="Q111" i="45"/>
  <c r="CK112" i="20"/>
  <c r="CY112" i="20"/>
  <c r="J111" i="45"/>
  <c r="CA112" i="20"/>
  <c r="CB112" i="20" s="1"/>
  <c r="CO112" i="20"/>
  <c r="CJ112" i="20"/>
  <c r="CV112" i="20"/>
  <c r="CM112" i="20"/>
  <c r="CH112" i="20"/>
  <c r="CE112" i="20"/>
  <c r="CF112" i="20" s="1"/>
  <c r="CC112" i="20"/>
  <c r="CD112" i="20" s="1"/>
  <c r="CW112" i="20"/>
  <c r="CG112" i="20"/>
  <c r="CX112" i="20"/>
  <c r="CL112" i="20" l="1"/>
  <c r="Q110" i="45"/>
  <c r="CY111" i="20"/>
  <c r="CK111" i="20"/>
  <c r="J110" i="45"/>
  <c r="CX111" i="20"/>
  <c r="CW111" i="20"/>
  <c r="CO111" i="20"/>
  <c r="CH111" i="20"/>
  <c r="CV111" i="20"/>
  <c r="CE111" i="20"/>
  <c r="CF111" i="20" s="1"/>
  <c r="CC111" i="20"/>
  <c r="CD111" i="20" s="1"/>
  <c r="CM111" i="20"/>
  <c r="CG111" i="20"/>
  <c r="CA111" i="20"/>
  <c r="CB111" i="20" s="1"/>
  <c r="CJ111" i="20"/>
  <c r="M1269" i="45"/>
  <c r="N1269" i="45" s="1"/>
  <c r="L1267" i="45"/>
  <c r="CZ112" i="20"/>
  <c r="J109" i="45" l="1"/>
  <c r="CV110" i="20"/>
  <c r="CJ110" i="20"/>
  <c r="CG110" i="20"/>
  <c r="CO110" i="20"/>
  <c r="CX110" i="20"/>
  <c r="CC110" i="20"/>
  <c r="CD110" i="20" s="1"/>
  <c r="CE110" i="20"/>
  <c r="CF110" i="20" s="1"/>
  <c r="CM110" i="20"/>
  <c r="CH110" i="20"/>
  <c r="CA110" i="20"/>
  <c r="CB110" i="20" s="1"/>
  <c r="CW110" i="20"/>
  <c r="CL111" i="20"/>
  <c r="CZ111" i="20"/>
  <c r="L1266" i="45"/>
  <c r="M1268" i="45"/>
  <c r="N1268" i="45" s="1"/>
  <c r="Q109" i="45"/>
  <c r="CY110" i="20"/>
  <c r="CK110" i="20"/>
  <c r="CZ110" i="20" l="1"/>
  <c r="CL110" i="20"/>
  <c r="M1267" i="45"/>
  <c r="N1267" i="45" s="1"/>
  <c r="L1265" i="45"/>
  <c r="Q108" i="45"/>
  <c r="CY109" i="20"/>
  <c r="CK109" i="20"/>
  <c r="J108" i="45"/>
  <c r="CC109" i="20"/>
  <c r="CD109" i="20" s="1"/>
  <c r="CV109" i="20"/>
  <c r="CJ109" i="20"/>
  <c r="CG109" i="20"/>
  <c r="CM109" i="20"/>
  <c r="CO109" i="20"/>
  <c r="CA109" i="20"/>
  <c r="CB109" i="20" s="1"/>
  <c r="CW109" i="20"/>
  <c r="CE109" i="20"/>
  <c r="CF109" i="20" s="1"/>
  <c r="CX109" i="20"/>
  <c r="CH109" i="20"/>
  <c r="Q107" i="45" l="1"/>
  <c r="CY108" i="20"/>
  <c r="CK108" i="20"/>
  <c r="CZ109" i="20"/>
  <c r="J107" i="45"/>
  <c r="CE108" i="20"/>
  <c r="CF108" i="20" s="1"/>
  <c r="CX108" i="20"/>
  <c r="CA108" i="20"/>
  <c r="CB108" i="20" s="1"/>
  <c r="CV108" i="20"/>
  <c r="CC108" i="20"/>
  <c r="CD108" i="20" s="1"/>
  <c r="CW108" i="20"/>
  <c r="CG108" i="20"/>
  <c r="CH108" i="20"/>
  <c r="CM108" i="20"/>
  <c r="CO108" i="20"/>
  <c r="CJ108" i="20"/>
  <c r="L1264" i="45"/>
  <c r="M1266" i="45"/>
  <c r="N1266" i="45" s="1"/>
  <c r="CL109" i="20"/>
  <c r="CL108" i="20" l="1"/>
  <c r="CZ108" i="20"/>
  <c r="L1263" i="45"/>
  <c r="M1265" i="45"/>
  <c r="N1265" i="45" s="1"/>
  <c r="CO107" i="20"/>
  <c r="CC107" i="20"/>
  <c r="CD107" i="20" s="1"/>
  <c r="CG107" i="20"/>
  <c r="CM107" i="20"/>
  <c r="CA107" i="20"/>
  <c r="CB107" i="20" s="1"/>
  <c r="CW107" i="20"/>
  <c r="CH107" i="20"/>
  <c r="CV107" i="20"/>
  <c r="CE107" i="20"/>
  <c r="CF107" i="20" s="1"/>
  <c r="CX107" i="20"/>
  <c r="CJ107" i="20"/>
  <c r="J106" i="45"/>
  <c r="CY107" i="20"/>
  <c r="Q106" i="45"/>
  <c r="CK107" i="20"/>
  <c r="CL107" i="20" l="1"/>
  <c r="CZ107" i="20"/>
  <c r="M1264" i="45"/>
  <c r="N1264" i="45" s="1"/>
  <c r="L1262" i="45"/>
  <c r="J105" i="45"/>
  <c r="CO106" i="20"/>
  <c r="CC106" i="20"/>
  <c r="CD106" i="20" s="1"/>
  <c r="CW106" i="20"/>
  <c r="CE106" i="20"/>
  <c r="CF106" i="20" s="1"/>
  <c r="CG106" i="20"/>
  <c r="CA106" i="20"/>
  <c r="CB106" i="20" s="1"/>
  <c r="CX106" i="20"/>
  <c r="CV106" i="20"/>
  <c r="CJ106" i="20"/>
  <c r="CH106" i="20"/>
  <c r="CM106" i="20"/>
  <c r="CK106" i="20"/>
  <c r="Q105" i="45"/>
  <c r="CY106" i="20"/>
  <c r="CZ106" i="20" l="1"/>
  <c r="CK105" i="20"/>
  <c r="CK34" i="20"/>
  <c r="Q104" i="45"/>
  <c r="CY34" i="20"/>
  <c r="CY105" i="20"/>
  <c r="CL106" i="20"/>
  <c r="CO105" i="20"/>
  <c r="CW34" i="20"/>
  <c r="CE105" i="20"/>
  <c r="CF105" i="20" s="1"/>
  <c r="CJ105" i="20"/>
  <c r="CH105" i="20"/>
  <c r="CO34" i="20"/>
  <c r="CC105" i="20"/>
  <c r="CD105" i="20" s="1"/>
  <c r="CH34" i="20"/>
  <c r="CV105" i="20"/>
  <c r="CX34" i="20"/>
  <c r="CG34" i="20"/>
  <c r="J104" i="45"/>
  <c r="CX105" i="20"/>
  <c r="CV34" i="20"/>
  <c r="CE34" i="20"/>
  <c r="CF34" i="20" s="1"/>
  <c r="CG105" i="20"/>
  <c r="CJ34" i="20"/>
  <c r="CC34" i="20"/>
  <c r="CD34" i="20" s="1"/>
  <c r="CW105" i="20"/>
  <c r="CM34" i="20"/>
  <c r="CA105" i="20"/>
  <c r="CB105" i="20" s="1"/>
  <c r="CM105" i="20"/>
  <c r="CA34" i="20"/>
  <c r="CB34" i="20" s="1"/>
  <c r="M1263" i="45"/>
  <c r="N1263" i="45" s="1"/>
  <c r="L1261" i="45"/>
  <c r="CZ34" i="20" l="1"/>
  <c r="L1260" i="45"/>
  <c r="M1262" i="45"/>
  <c r="N1262" i="45" s="1"/>
  <c r="CY104" i="20"/>
  <c r="Q103" i="45"/>
  <c r="CK104" i="20"/>
  <c r="CX104" i="20"/>
  <c r="CE104" i="20"/>
  <c r="CF104" i="20" s="1"/>
  <c r="CJ104" i="20"/>
  <c r="CO104" i="20"/>
  <c r="CA104" i="20"/>
  <c r="CB104" i="20" s="1"/>
  <c r="CC104" i="20"/>
  <c r="CD104" i="20" s="1"/>
  <c r="CW104" i="20"/>
  <c r="CM104" i="20"/>
  <c r="CH104" i="20"/>
  <c r="CV104" i="20"/>
  <c r="CG104" i="20"/>
  <c r="J103" i="45"/>
  <c r="CL34" i="20"/>
  <c r="CZ105" i="20"/>
  <c r="CL105" i="20"/>
  <c r="CZ104" i="20" l="1"/>
  <c r="CL104" i="20"/>
  <c r="L1259" i="45"/>
  <c r="M1261" i="45"/>
  <c r="N1261" i="45" s="1"/>
  <c r="CX103" i="20"/>
  <c r="CM103" i="20"/>
  <c r="CG103" i="20"/>
  <c r="CW103" i="20"/>
  <c r="CE103" i="20"/>
  <c r="CF103" i="20" s="1"/>
  <c r="CA103" i="20"/>
  <c r="CB103" i="20" s="1"/>
  <c r="CV103" i="20"/>
  <c r="CJ103" i="20"/>
  <c r="CC103" i="20"/>
  <c r="CD103" i="20" s="1"/>
  <c r="CO103" i="20"/>
  <c r="CH103" i="20"/>
  <c r="J102" i="45"/>
  <c r="CK103" i="20"/>
  <c r="Q102" i="45"/>
  <c r="CY103" i="20"/>
  <c r="CL103" i="20" l="1"/>
  <c r="CZ103" i="20"/>
  <c r="CK102" i="20"/>
  <c r="Q101" i="45"/>
  <c r="CY102" i="20"/>
  <c r="CW102" i="20"/>
  <c r="CE102" i="20"/>
  <c r="CF102" i="20" s="1"/>
  <c r="CG102" i="20"/>
  <c r="CV102" i="20"/>
  <c r="CC102" i="20"/>
  <c r="CD102" i="20" s="1"/>
  <c r="CH102" i="20"/>
  <c r="CX102" i="20"/>
  <c r="CA102" i="20"/>
  <c r="CB102" i="20" s="1"/>
  <c r="CJ102" i="20"/>
  <c r="CO102" i="20"/>
  <c r="J101" i="45"/>
  <c r="CM102" i="20"/>
  <c r="L1258" i="45"/>
  <c r="M1260" i="45"/>
  <c r="N1260" i="45" s="1"/>
  <c r="CZ102" i="20" l="1"/>
  <c r="CX101" i="20"/>
  <c r="CE101" i="20"/>
  <c r="CF101" i="20" s="1"/>
  <c r="CJ101" i="20"/>
  <c r="CV101" i="20"/>
  <c r="CG101" i="20"/>
  <c r="CA101" i="20"/>
  <c r="CB101" i="20" s="1"/>
  <c r="CO101" i="20"/>
  <c r="CC101" i="20"/>
  <c r="CD101" i="20" s="1"/>
  <c r="J100" i="45"/>
  <c r="CW101" i="20"/>
  <c r="CM101" i="20"/>
  <c r="CH101" i="20"/>
  <c r="CK101" i="20"/>
  <c r="CY101" i="20"/>
  <c r="Q100" i="45"/>
  <c r="L1257" i="45"/>
  <c r="M1259" i="45"/>
  <c r="N1259" i="45" s="1"/>
  <c r="CL102" i="20"/>
  <c r="CZ101" i="20" l="1"/>
  <c r="Q99" i="45"/>
  <c r="CK100" i="20"/>
  <c r="CY100" i="20"/>
  <c r="CL101" i="20"/>
  <c r="CX100" i="20"/>
  <c r="CG100" i="20"/>
  <c r="CC100" i="20"/>
  <c r="CD100" i="20" s="1"/>
  <c r="CW100" i="20"/>
  <c r="CH100" i="20"/>
  <c r="J99" i="45"/>
  <c r="CV100" i="20"/>
  <c r="CM100" i="20"/>
  <c r="CA100" i="20"/>
  <c r="CB100" i="20" s="1"/>
  <c r="CO100" i="20"/>
  <c r="CE100" i="20"/>
  <c r="CF100" i="20" s="1"/>
  <c r="CJ100" i="20"/>
  <c r="L1256" i="45"/>
  <c r="M1258" i="45"/>
  <c r="N1258" i="45" s="1"/>
  <c r="CZ100" i="20" l="1"/>
  <c r="CX99" i="20"/>
  <c r="CJ99" i="20"/>
  <c r="CC99" i="20"/>
  <c r="CD99" i="20" s="1"/>
  <c r="CW99" i="20"/>
  <c r="CG99" i="20"/>
  <c r="J98" i="45"/>
  <c r="CV99" i="20"/>
  <c r="CM99" i="20"/>
  <c r="CH99" i="20"/>
  <c r="CO99" i="20"/>
  <c r="CE99" i="20"/>
  <c r="CF99" i="20" s="1"/>
  <c r="CA99" i="20"/>
  <c r="CB99" i="20" s="1"/>
  <c r="CL100" i="20"/>
  <c r="M1257" i="45"/>
  <c r="N1257" i="45" s="1"/>
  <c r="L1255" i="45"/>
  <c r="CY99" i="20"/>
  <c r="CK99" i="20"/>
  <c r="Q98" i="45"/>
  <c r="CZ99" i="20" l="1"/>
  <c r="CL99" i="20"/>
  <c r="L1254" i="45"/>
  <c r="M1256" i="45"/>
  <c r="N1256" i="45" s="1"/>
  <c r="CV98" i="20"/>
  <c r="CM98" i="20"/>
  <c r="CJ98" i="20"/>
  <c r="CO98" i="20"/>
  <c r="CE98" i="20"/>
  <c r="CF98" i="20" s="1"/>
  <c r="CC98" i="20"/>
  <c r="CD98" i="20" s="1"/>
  <c r="CX98" i="20"/>
  <c r="CG98" i="20"/>
  <c r="CH98" i="20"/>
  <c r="CW98" i="20"/>
  <c r="CA98" i="20"/>
  <c r="CB98" i="20" s="1"/>
  <c r="J97" i="45"/>
  <c r="Q97" i="45"/>
  <c r="CK98" i="20"/>
  <c r="CY98" i="20"/>
  <c r="CZ98" i="20" l="1"/>
  <c r="CL98" i="20"/>
  <c r="CY97" i="20"/>
  <c r="CK97" i="20"/>
  <c r="Q96" i="45"/>
  <c r="CW97" i="20"/>
  <c r="CG97" i="20"/>
  <c r="J96" i="45"/>
  <c r="CV97" i="20"/>
  <c r="CE97" i="20"/>
  <c r="CF97" i="20" s="1"/>
  <c r="CJ97" i="20"/>
  <c r="CO97" i="20"/>
  <c r="CM97" i="20"/>
  <c r="CC97" i="20"/>
  <c r="CD97" i="20" s="1"/>
  <c r="CX97" i="20"/>
  <c r="CA97" i="20"/>
  <c r="CB97" i="20" s="1"/>
  <c r="CH97" i="20"/>
  <c r="L1253" i="45"/>
  <c r="M1255" i="45"/>
  <c r="N1255" i="45" s="1"/>
  <c r="CK96" i="20" l="1"/>
  <c r="CY96" i="20"/>
  <c r="Q95" i="45"/>
  <c r="CV96" i="20"/>
  <c r="CM96" i="20"/>
  <c r="CC96" i="20"/>
  <c r="CD96" i="20" s="1"/>
  <c r="CO96" i="20"/>
  <c r="CE96" i="20"/>
  <c r="CF96" i="20" s="1"/>
  <c r="CG96" i="20"/>
  <c r="CX96" i="20"/>
  <c r="CA96" i="20"/>
  <c r="CB96" i="20" s="1"/>
  <c r="CJ96" i="20"/>
  <c r="CW96" i="20"/>
  <c r="CH96" i="20"/>
  <c r="J95" i="45"/>
  <c r="CL97" i="20"/>
  <c r="L1252" i="45"/>
  <c r="M1254" i="45"/>
  <c r="N1254" i="45" s="1"/>
  <c r="CZ97" i="20"/>
  <c r="CX95" i="20" l="1"/>
  <c r="CJ95" i="20"/>
  <c r="CG95" i="20"/>
  <c r="CW95" i="20"/>
  <c r="CA95" i="20"/>
  <c r="CB95" i="20" s="1"/>
  <c r="J94" i="45"/>
  <c r="CV95" i="20"/>
  <c r="CM95" i="20"/>
  <c r="CC95" i="20"/>
  <c r="CD95" i="20" s="1"/>
  <c r="CO95" i="20"/>
  <c r="CE95" i="20"/>
  <c r="CF95" i="20" s="1"/>
  <c r="CH95" i="20"/>
  <c r="Q94" i="45"/>
  <c r="CK95" i="20"/>
  <c r="CY95" i="20"/>
  <c r="CZ96" i="20"/>
  <c r="M1253" i="45"/>
  <c r="N1253" i="45" s="1"/>
  <c r="L1251" i="45"/>
  <c r="CL96" i="20"/>
  <c r="CL95" i="20" l="1"/>
  <c r="CZ95" i="20"/>
  <c r="L1250" i="45"/>
  <c r="M1252" i="45"/>
  <c r="N1252" i="45" s="1"/>
  <c r="CO94" i="20"/>
  <c r="CE94" i="20"/>
  <c r="CF94" i="20" s="1"/>
  <c r="CG94" i="20"/>
  <c r="CX94" i="20"/>
  <c r="CC94" i="20"/>
  <c r="CD94" i="20" s="1"/>
  <c r="CA94" i="20"/>
  <c r="CB94" i="20" s="1"/>
  <c r="CW94" i="20"/>
  <c r="CJ94" i="20"/>
  <c r="J93" i="45"/>
  <c r="CV94" i="20"/>
  <c r="CM94" i="20"/>
  <c r="CH94" i="20"/>
  <c r="CY94" i="20"/>
  <c r="Q93" i="45"/>
  <c r="CK94" i="20"/>
  <c r="CL94" i="20" l="1"/>
  <c r="CZ94" i="20"/>
  <c r="CV93" i="20"/>
  <c r="CW33" i="20"/>
  <c r="CE93" i="20"/>
  <c r="CF93" i="20" s="1"/>
  <c r="CG93" i="20"/>
  <c r="CG33" i="20"/>
  <c r="CH33" i="20"/>
  <c r="CO93" i="20"/>
  <c r="CV33" i="20"/>
  <c r="CE33" i="20"/>
  <c r="CF33" i="20" s="1"/>
  <c r="CA33" i="20"/>
  <c r="CB33" i="20" s="1"/>
  <c r="CJ93" i="20"/>
  <c r="CA93" i="20"/>
  <c r="CB93" i="20" s="1"/>
  <c r="CX93" i="20"/>
  <c r="CO33" i="20"/>
  <c r="CM33" i="20"/>
  <c r="CJ33" i="20"/>
  <c r="CC33" i="20"/>
  <c r="CD33" i="20" s="1"/>
  <c r="J92" i="45"/>
  <c r="CW93" i="20"/>
  <c r="CX33" i="20"/>
  <c r="CM93" i="20"/>
  <c r="CC93" i="20"/>
  <c r="CD93" i="20" s="1"/>
  <c r="CH93" i="20"/>
  <c r="CY93" i="20"/>
  <c r="CK93" i="20"/>
  <c r="CY33" i="20"/>
  <c r="Q92" i="45"/>
  <c r="CK33" i="20"/>
  <c r="L1249" i="45"/>
  <c r="M1251" i="45"/>
  <c r="N1251" i="45" s="1"/>
  <c r="CL33" i="20" l="1"/>
  <c r="CZ93" i="20"/>
  <c r="CL93" i="20"/>
  <c r="CY92" i="20"/>
  <c r="Q91" i="45"/>
  <c r="CK92" i="20"/>
  <c r="CZ33" i="20"/>
  <c r="CX92" i="20"/>
  <c r="CG92" i="20"/>
  <c r="CC92" i="20"/>
  <c r="CD92" i="20" s="1"/>
  <c r="CW92" i="20"/>
  <c r="CH92" i="20"/>
  <c r="J91" i="45"/>
  <c r="CV92" i="20"/>
  <c r="CM92" i="20"/>
  <c r="CA92" i="20"/>
  <c r="CB92" i="20" s="1"/>
  <c r="CO92" i="20"/>
  <c r="CE92" i="20"/>
  <c r="CF92" i="20" s="1"/>
  <c r="CJ92" i="20"/>
  <c r="L1248" i="45"/>
  <c r="M1250" i="45"/>
  <c r="N1250" i="45" s="1"/>
  <c r="CL92" i="20" l="1"/>
  <c r="CV91" i="20"/>
  <c r="CM91" i="20"/>
  <c r="CH91" i="20"/>
  <c r="CO91" i="20"/>
  <c r="CE91" i="20"/>
  <c r="CF91" i="20" s="1"/>
  <c r="CA91" i="20"/>
  <c r="CB91" i="20" s="1"/>
  <c r="CX91" i="20"/>
  <c r="CJ91" i="20"/>
  <c r="CC91" i="20"/>
  <c r="CD91" i="20" s="1"/>
  <c r="CW91" i="20"/>
  <c r="CG91" i="20"/>
  <c r="J90" i="45"/>
  <c r="CY91" i="20"/>
  <c r="CK91" i="20"/>
  <c r="Q90" i="45"/>
  <c r="M1249" i="45"/>
  <c r="N1249" i="45" s="1"/>
  <c r="L1247" i="45"/>
  <c r="CZ92" i="20"/>
  <c r="CL91" i="20" l="1"/>
  <c r="Q89" i="45"/>
  <c r="CK90" i="20"/>
  <c r="CY90" i="20"/>
  <c r="CZ91" i="20"/>
  <c r="M1248" i="45"/>
  <c r="N1248" i="45" s="1"/>
  <c r="L1246" i="45"/>
  <c r="CW90" i="20"/>
  <c r="CA90" i="20"/>
  <c r="CB90" i="20" s="1"/>
  <c r="J89" i="45"/>
  <c r="CV90" i="20"/>
  <c r="CM90" i="20"/>
  <c r="CJ90" i="20"/>
  <c r="CO90" i="20"/>
  <c r="CE90" i="20"/>
  <c r="CF90" i="20" s="1"/>
  <c r="CC90" i="20"/>
  <c r="CD90" i="20" s="1"/>
  <c r="CX90" i="20"/>
  <c r="CG90" i="20"/>
  <c r="CH90" i="20"/>
  <c r="CZ90" i="20" l="1"/>
  <c r="L1245" i="45"/>
  <c r="M1247" i="45"/>
  <c r="N1247" i="45" s="1"/>
  <c r="CL90" i="20"/>
  <c r="CW89" i="20"/>
  <c r="CG89" i="20"/>
  <c r="J88" i="45"/>
  <c r="CV89" i="20"/>
  <c r="CE89" i="20"/>
  <c r="CF89" i="20" s="1"/>
  <c r="CJ89" i="20"/>
  <c r="CO89" i="20"/>
  <c r="CM89" i="20"/>
  <c r="CC89" i="20"/>
  <c r="CD89" i="20" s="1"/>
  <c r="CX89" i="20"/>
  <c r="CA89" i="20"/>
  <c r="CB89" i="20" s="1"/>
  <c r="CH89" i="20"/>
  <c r="CY89" i="20"/>
  <c r="CK89" i="20"/>
  <c r="Q88" i="45"/>
  <c r="CL89" i="20" l="1"/>
  <c r="CZ89" i="20"/>
  <c r="Q87" i="45"/>
  <c r="CK88" i="20"/>
  <c r="CY88" i="20"/>
  <c r="CO88" i="20"/>
  <c r="CE88" i="20"/>
  <c r="CF88" i="20" s="1"/>
  <c r="CG88" i="20"/>
  <c r="CX88" i="20"/>
  <c r="CA88" i="20"/>
  <c r="CB88" i="20" s="1"/>
  <c r="CJ88" i="20"/>
  <c r="CW88" i="20"/>
  <c r="CH88" i="20"/>
  <c r="J87" i="45"/>
  <c r="CV88" i="20"/>
  <c r="CM88" i="20"/>
  <c r="CC88" i="20"/>
  <c r="CD88" i="20" s="1"/>
  <c r="L1244" i="45"/>
  <c r="M1246" i="45"/>
  <c r="N1246" i="45" s="1"/>
  <c r="CZ88" i="20" l="1"/>
  <c r="M1245" i="45"/>
  <c r="N1245" i="45" s="1"/>
  <c r="L1243" i="45"/>
  <c r="CL88" i="20"/>
  <c r="CO87" i="20"/>
  <c r="CE87" i="20"/>
  <c r="CF87" i="20" s="1"/>
  <c r="CH87" i="20"/>
  <c r="CX87" i="20"/>
  <c r="CJ87" i="20"/>
  <c r="CG87" i="20"/>
  <c r="CW87" i="20"/>
  <c r="CA87" i="20"/>
  <c r="CB87" i="20" s="1"/>
  <c r="J86" i="45"/>
  <c r="CV87" i="20"/>
  <c r="CM87" i="20"/>
  <c r="CC87" i="20"/>
  <c r="CD87" i="20" s="1"/>
  <c r="Q86" i="45"/>
  <c r="CK87" i="20"/>
  <c r="CY87" i="20"/>
  <c r="CL87" i="20" l="1"/>
  <c r="CZ87" i="20"/>
  <c r="L1242" i="45"/>
  <c r="M1244" i="45"/>
  <c r="N1244" i="45" s="1"/>
  <c r="CY86" i="20"/>
  <c r="Q85" i="45"/>
  <c r="CK86" i="20"/>
  <c r="CV86" i="20"/>
  <c r="CM86" i="20"/>
  <c r="CH86" i="20"/>
  <c r="CO86" i="20"/>
  <c r="CE86" i="20"/>
  <c r="CF86" i="20" s="1"/>
  <c r="CG86" i="20"/>
  <c r="CX86" i="20"/>
  <c r="CC86" i="20"/>
  <c r="CD86" i="20" s="1"/>
  <c r="CA86" i="20"/>
  <c r="CB86" i="20" s="1"/>
  <c r="CW86" i="20"/>
  <c r="CJ86" i="20"/>
  <c r="J85" i="45"/>
  <c r="CZ86" i="20" l="1"/>
  <c r="CO85" i="20"/>
  <c r="CM85" i="20"/>
  <c r="CH85" i="20"/>
  <c r="CX85" i="20"/>
  <c r="CG85" i="20"/>
  <c r="CA85" i="20"/>
  <c r="CB85" i="20" s="1"/>
  <c r="CW85" i="20"/>
  <c r="CC85" i="20"/>
  <c r="CD85" i="20" s="1"/>
  <c r="J84" i="45"/>
  <c r="CV85" i="20"/>
  <c r="CE85" i="20"/>
  <c r="CF85" i="20" s="1"/>
  <c r="CJ85" i="20"/>
  <c r="CL86" i="20"/>
  <c r="L1241" i="45"/>
  <c r="M1243" i="45"/>
  <c r="N1243" i="45" s="1"/>
  <c r="CY85" i="20"/>
  <c r="CK85" i="20"/>
  <c r="Q84" i="45"/>
  <c r="CZ85" i="20" l="1"/>
  <c r="CY84" i="20"/>
  <c r="Q83" i="45"/>
  <c r="CK84" i="20"/>
  <c r="L1240" i="45"/>
  <c r="M1242" i="45"/>
  <c r="N1242" i="45" s="1"/>
  <c r="CL85" i="20"/>
  <c r="CX84" i="20"/>
  <c r="CG84" i="20"/>
  <c r="CC84" i="20"/>
  <c r="CD84" i="20" s="1"/>
  <c r="CV84" i="20"/>
  <c r="CM84" i="20"/>
  <c r="CA84" i="20"/>
  <c r="CB84" i="20" s="1"/>
  <c r="CO84" i="20"/>
  <c r="CJ84" i="20"/>
  <c r="CW84" i="20"/>
  <c r="CH84" i="20"/>
  <c r="J83" i="45"/>
  <c r="CE84" i="20"/>
  <c r="CF84" i="20" s="1"/>
  <c r="CL84" i="20" l="1"/>
  <c r="M1241" i="45"/>
  <c r="N1241" i="45" s="1"/>
  <c r="L1239" i="45"/>
  <c r="Q82" i="45"/>
  <c r="CY83" i="20"/>
  <c r="CK83" i="20"/>
  <c r="CV83" i="20"/>
  <c r="CM83" i="20"/>
  <c r="CH83" i="20"/>
  <c r="CX83" i="20"/>
  <c r="CC83" i="20"/>
  <c r="CD83" i="20" s="1"/>
  <c r="CW83" i="20"/>
  <c r="CG83" i="20"/>
  <c r="J82" i="45"/>
  <c r="CO83" i="20"/>
  <c r="CE83" i="20"/>
  <c r="CF83" i="20" s="1"/>
  <c r="CA83" i="20"/>
  <c r="CB83" i="20" s="1"/>
  <c r="CJ83" i="20"/>
  <c r="CZ84" i="20"/>
  <c r="J81" i="45" l="1"/>
  <c r="CC32" i="20" s="1"/>
  <c r="CD32" i="20" s="1"/>
  <c r="CV82" i="20"/>
  <c r="CO82" i="20"/>
  <c r="CM82" i="20"/>
  <c r="CX82" i="20"/>
  <c r="CW82" i="20"/>
  <c r="CE82" i="20"/>
  <c r="CF82" i="20" s="1"/>
  <c r="CJ82" i="20"/>
  <c r="CG82" i="20"/>
  <c r="CA82" i="20"/>
  <c r="CB82" i="20" s="1"/>
  <c r="CH82" i="20"/>
  <c r="CC82" i="20"/>
  <c r="CD82" i="20" s="1"/>
  <c r="Q81" i="45"/>
  <c r="CK32" i="20" s="1"/>
  <c r="CK82" i="20"/>
  <c r="CY82" i="20"/>
  <c r="M1240" i="45"/>
  <c r="N1240" i="45" s="1"/>
  <c r="L1238" i="45"/>
  <c r="CL83" i="20"/>
  <c r="CZ83" i="20"/>
  <c r="CO32" i="20" l="1"/>
  <c r="CE32" i="20"/>
  <c r="CF32" i="20" s="1"/>
  <c r="CH32" i="20"/>
  <c r="J80" i="45"/>
  <c r="J79" i="45" s="1"/>
  <c r="CW32" i="20"/>
  <c r="CG32" i="20"/>
  <c r="CY32" i="20"/>
  <c r="CJ32" i="20"/>
  <c r="CL32" i="20" s="1"/>
  <c r="CA32" i="20"/>
  <c r="CB32" i="20" s="1"/>
  <c r="CV32" i="20"/>
  <c r="Q80" i="45"/>
  <c r="Q79" i="45" s="1"/>
  <c r="CM32" i="20"/>
  <c r="CX32" i="20"/>
  <c r="CL82" i="20"/>
  <c r="CK81" i="20"/>
  <c r="CY81" i="20"/>
  <c r="CZ82" i="20"/>
  <c r="CX81" i="20"/>
  <c r="CV81" i="20"/>
  <c r="CM81" i="20"/>
  <c r="CC81" i="20"/>
  <c r="CD81" i="20" s="1"/>
  <c r="CJ81" i="20"/>
  <c r="CE81" i="20"/>
  <c r="CF81" i="20" s="1"/>
  <c r="CH81" i="20"/>
  <c r="CG81" i="20"/>
  <c r="CA81" i="20"/>
  <c r="CB81" i="20" s="1"/>
  <c r="CW81" i="20"/>
  <c r="CO81" i="20"/>
  <c r="L1237" i="45"/>
  <c r="M1239" i="45"/>
  <c r="N1239" i="45" s="1"/>
  <c r="CX80" i="20" l="1"/>
  <c r="CA80" i="20"/>
  <c r="CB80" i="20" s="1"/>
  <c r="CG80" i="20"/>
  <c r="CM80" i="20"/>
  <c r="CC80" i="20"/>
  <c r="CD80" i="20" s="1"/>
  <c r="CJ80" i="20"/>
  <c r="CO80" i="20"/>
  <c r="CW80" i="20"/>
  <c r="CH80" i="20"/>
  <c r="CE80" i="20"/>
  <c r="CF80" i="20" s="1"/>
  <c r="CV80" i="20"/>
  <c r="CK80" i="20"/>
  <c r="CY80" i="20"/>
  <c r="CZ32" i="20"/>
  <c r="CZ81" i="20"/>
  <c r="Q78" i="45"/>
  <c r="CK79" i="20"/>
  <c r="CY79" i="20"/>
  <c r="CL81" i="20"/>
  <c r="J78" i="45"/>
  <c r="CE79" i="20"/>
  <c r="CF79" i="20" s="1"/>
  <c r="CV79" i="20"/>
  <c r="CO79" i="20"/>
  <c r="CA79" i="20"/>
  <c r="CB79" i="20" s="1"/>
  <c r="CG79" i="20"/>
  <c r="CW79" i="20"/>
  <c r="CX79" i="20"/>
  <c r="CJ79" i="20"/>
  <c r="CC79" i="20"/>
  <c r="CD79" i="20" s="1"/>
  <c r="CH79" i="20"/>
  <c r="CM79" i="20"/>
  <c r="L1236" i="45"/>
  <c r="M1238" i="45"/>
  <c r="N1238" i="45" s="1"/>
  <c r="CZ80" i="20" l="1"/>
  <c r="CL80" i="20"/>
  <c r="CL79" i="20"/>
  <c r="J77" i="45"/>
  <c r="CH78" i="20"/>
  <c r="CA78" i="20"/>
  <c r="CB78" i="20" s="1"/>
  <c r="CJ78" i="20"/>
  <c r="CV78" i="20"/>
  <c r="CM78" i="20"/>
  <c r="CE78" i="20"/>
  <c r="CF78" i="20" s="1"/>
  <c r="CW78" i="20"/>
  <c r="CO78" i="20"/>
  <c r="CC78" i="20"/>
  <c r="CD78" i="20" s="1"/>
  <c r="CG78" i="20"/>
  <c r="CX78" i="20"/>
  <c r="CZ79" i="20"/>
  <c r="Q77" i="45"/>
  <c r="CK78" i="20"/>
  <c r="CY78" i="20"/>
  <c r="M1237" i="45"/>
  <c r="N1237" i="45" s="1"/>
  <c r="L1235" i="45"/>
  <c r="CL78" i="20" l="1"/>
  <c r="Q76" i="45"/>
  <c r="CK77" i="20"/>
  <c r="CY77" i="20"/>
  <c r="J76" i="45"/>
  <c r="CJ77" i="20"/>
  <c r="CA77" i="20"/>
  <c r="CB77" i="20" s="1"/>
  <c r="CV77" i="20"/>
  <c r="CG77" i="20"/>
  <c r="CC77" i="20"/>
  <c r="CD77" i="20" s="1"/>
  <c r="CX77" i="20"/>
  <c r="CW77" i="20"/>
  <c r="CM77" i="20"/>
  <c r="CH77" i="20"/>
  <c r="CE77" i="20"/>
  <c r="CF77" i="20" s="1"/>
  <c r="CO77" i="20"/>
  <c r="CZ78" i="20"/>
  <c r="L1234" i="45"/>
  <c r="M1236" i="45"/>
  <c r="N1236" i="45" s="1"/>
  <c r="CZ77" i="20" l="1"/>
  <c r="CL77" i="20"/>
  <c r="J75" i="45"/>
  <c r="CJ76" i="20"/>
  <c r="CX76" i="20"/>
  <c r="CO76" i="20"/>
  <c r="CW76" i="20"/>
  <c r="CM76" i="20"/>
  <c r="CE76" i="20"/>
  <c r="CF76" i="20" s="1"/>
  <c r="CG76" i="20"/>
  <c r="CH76" i="20"/>
  <c r="CV76" i="20"/>
  <c r="CA76" i="20"/>
  <c r="CB76" i="20" s="1"/>
  <c r="CC76" i="20"/>
  <c r="CD76" i="20" s="1"/>
  <c r="Q75" i="45"/>
  <c r="CY76" i="20"/>
  <c r="CK76" i="20"/>
  <c r="M1235" i="45"/>
  <c r="N1235" i="45" s="1"/>
  <c r="L1233" i="45"/>
  <c r="CL76" i="20" l="1"/>
  <c r="CZ76" i="20"/>
  <c r="Q74" i="45"/>
  <c r="CK75" i="20"/>
  <c r="CY75" i="20"/>
  <c r="J74" i="45"/>
  <c r="CW75" i="20"/>
  <c r="CE75" i="20"/>
  <c r="CF75" i="20" s="1"/>
  <c r="CO75" i="20"/>
  <c r="CG75" i="20"/>
  <c r="CH75" i="20"/>
  <c r="CJ75" i="20"/>
  <c r="CM75" i="20"/>
  <c r="CX75" i="20"/>
  <c r="CV75" i="20"/>
  <c r="CA75" i="20"/>
  <c r="CB75" i="20" s="1"/>
  <c r="CC75" i="20"/>
  <c r="CD75" i="20" s="1"/>
  <c r="M1234" i="45"/>
  <c r="N1234" i="45" s="1"/>
  <c r="L1232" i="45"/>
  <c r="CL75" i="20" l="1"/>
  <c r="Q73" i="45"/>
  <c r="CY74" i="20"/>
  <c r="CK74" i="20"/>
  <c r="CZ75" i="20"/>
  <c r="J73" i="45"/>
  <c r="CG74" i="20"/>
  <c r="CM74" i="20"/>
  <c r="CC74" i="20"/>
  <c r="CD74" i="20" s="1"/>
  <c r="CJ74" i="20"/>
  <c r="CO74" i="20"/>
  <c r="CV74" i="20"/>
  <c r="CE74" i="20"/>
  <c r="CF74" i="20" s="1"/>
  <c r="CH74" i="20"/>
  <c r="CW74" i="20"/>
  <c r="CX74" i="20"/>
  <c r="CA74" i="20"/>
  <c r="CB74" i="20" s="1"/>
  <c r="M1233" i="45"/>
  <c r="N1233" i="45" s="1"/>
  <c r="L1231" i="45"/>
  <c r="CZ74" i="20" l="1"/>
  <c r="CL74" i="20"/>
  <c r="J72" i="45"/>
  <c r="CH73" i="20"/>
  <c r="CJ73" i="20"/>
  <c r="CA73" i="20"/>
  <c r="CB73" i="20" s="1"/>
  <c r="CG73" i="20"/>
  <c r="CE73" i="20"/>
  <c r="CF73" i="20" s="1"/>
  <c r="CX73" i="20"/>
  <c r="CV73" i="20"/>
  <c r="CM73" i="20"/>
  <c r="CW73" i="20"/>
  <c r="CO73" i="20"/>
  <c r="CC73" i="20"/>
  <c r="CD73" i="20" s="1"/>
  <c r="Q72" i="45"/>
  <c r="CK73" i="20"/>
  <c r="CY73" i="20"/>
  <c r="M1232" i="45"/>
  <c r="N1232" i="45" s="1"/>
  <c r="L1230" i="45"/>
  <c r="CL73" i="20" l="1"/>
  <c r="CZ73" i="20"/>
  <c r="Q71" i="45"/>
  <c r="CK72" i="20"/>
  <c r="CY72" i="20"/>
  <c r="J71" i="45"/>
  <c r="CG72" i="20"/>
  <c r="CA72" i="20"/>
  <c r="CB72" i="20" s="1"/>
  <c r="CH72" i="20"/>
  <c r="CW72" i="20"/>
  <c r="CJ72" i="20"/>
  <c r="CX72" i="20"/>
  <c r="CE72" i="20"/>
  <c r="CF72" i="20" s="1"/>
  <c r="CM72" i="20"/>
  <c r="CC72" i="20"/>
  <c r="CD72" i="20" s="1"/>
  <c r="CV72" i="20"/>
  <c r="CO72" i="20"/>
  <c r="M1231" i="45"/>
  <c r="N1231" i="45" s="1"/>
  <c r="L1229" i="45"/>
  <c r="CL72" i="20" l="1"/>
  <c r="CZ72" i="20"/>
  <c r="Q70" i="45"/>
  <c r="CK71" i="20"/>
  <c r="CY71" i="20"/>
  <c r="J70" i="45"/>
  <c r="CV71" i="20"/>
  <c r="CW71" i="20"/>
  <c r="CC71" i="20"/>
  <c r="CD71" i="20" s="1"/>
  <c r="CJ71" i="20"/>
  <c r="CH71" i="20"/>
  <c r="CM71" i="20"/>
  <c r="CE71" i="20"/>
  <c r="CF71" i="20" s="1"/>
  <c r="CX71" i="20"/>
  <c r="CG71" i="20"/>
  <c r="CO71" i="20"/>
  <c r="CA71" i="20"/>
  <c r="CB71" i="20" s="1"/>
  <c r="M1230" i="45"/>
  <c r="N1230" i="45" s="1"/>
  <c r="L1228" i="45"/>
  <c r="CL71" i="20" l="1"/>
  <c r="Q69" i="45"/>
  <c r="CK70" i="20"/>
  <c r="CY70" i="20"/>
  <c r="CZ71" i="20"/>
  <c r="J69" i="45"/>
  <c r="CC70" i="20"/>
  <c r="CD70" i="20" s="1"/>
  <c r="CE70" i="20"/>
  <c r="CF70" i="20" s="1"/>
  <c r="CX70" i="20"/>
  <c r="CH70" i="20"/>
  <c r="CV70" i="20"/>
  <c r="CA70" i="20"/>
  <c r="CB70" i="20" s="1"/>
  <c r="CM70" i="20"/>
  <c r="CJ70" i="20"/>
  <c r="CW70" i="20"/>
  <c r="CO70" i="20"/>
  <c r="CG70" i="20"/>
  <c r="M1229" i="45"/>
  <c r="N1229" i="45" s="1"/>
  <c r="L1227" i="45"/>
  <c r="CL70" i="20" l="1"/>
  <c r="CX69" i="20"/>
  <c r="CV69" i="20"/>
  <c r="CW69" i="20"/>
  <c r="CE69" i="20"/>
  <c r="CF69" i="20" s="1"/>
  <c r="CG69" i="20"/>
  <c r="CA69" i="20"/>
  <c r="CB69" i="20" s="1"/>
  <c r="CM69" i="20"/>
  <c r="CH69" i="20"/>
  <c r="CC69" i="20"/>
  <c r="CD69" i="20" s="1"/>
  <c r="CO69" i="20"/>
  <c r="CJ69" i="20"/>
  <c r="CJ31" i="20"/>
  <c r="CW31" i="20"/>
  <c r="CG31" i="20"/>
  <c r="CM31" i="20"/>
  <c r="CE31" i="20"/>
  <c r="CF31" i="20" s="1"/>
  <c r="CC31" i="20"/>
  <c r="CD31" i="20" s="1"/>
  <c r="CX31" i="20"/>
  <c r="CA31" i="20"/>
  <c r="CB31" i="20" s="1"/>
  <c r="J68" i="45"/>
  <c r="CO31" i="20"/>
  <c r="CH31" i="20"/>
  <c r="CV31" i="20"/>
  <c r="CK69" i="20"/>
  <c r="CY69" i="20"/>
  <c r="CY31" i="20"/>
  <c r="Q68" i="45"/>
  <c r="CK31" i="20"/>
  <c r="CZ70" i="20"/>
  <c r="L1226" i="45"/>
  <c r="M1228" i="45"/>
  <c r="N1228" i="45" s="1"/>
  <c r="CL31" i="20" l="1"/>
  <c r="CZ31" i="20"/>
  <c r="Q67" i="45"/>
  <c r="CK68" i="20"/>
  <c r="CY68" i="20"/>
  <c r="CZ69" i="20"/>
  <c r="CL69" i="20"/>
  <c r="J67" i="45"/>
  <c r="CX68" i="20"/>
  <c r="CE68" i="20"/>
  <c r="CF68" i="20" s="1"/>
  <c r="CW68" i="20"/>
  <c r="CG68" i="20"/>
  <c r="CO68" i="20"/>
  <c r="CM68" i="20"/>
  <c r="CJ68" i="20"/>
  <c r="CC68" i="20"/>
  <c r="CD68" i="20" s="1"/>
  <c r="CV68" i="20"/>
  <c r="CH68" i="20"/>
  <c r="CA68" i="20"/>
  <c r="CB68" i="20" s="1"/>
  <c r="L1225" i="45"/>
  <c r="M1227" i="45"/>
  <c r="N1227" i="45" s="1"/>
  <c r="CZ68" i="20" l="1"/>
  <c r="J66" i="45"/>
  <c r="CG67" i="20"/>
  <c r="CE67" i="20"/>
  <c r="CF67" i="20" s="1"/>
  <c r="CA67" i="20"/>
  <c r="CB67" i="20" s="1"/>
  <c r="CO67" i="20"/>
  <c r="CC67" i="20"/>
  <c r="CD67" i="20" s="1"/>
  <c r="CH67" i="20"/>
  <c r="CM67" i="20"/>
  <c r="CX67" i="20"/>
  <c r="CV67" i="20"/>
  <c r="CW67" i="20"/>
  <c r="CJ67" i="20"/>
  <c r="CL68" i="20"/>
  <c r="Q66" i="45"/>
  <c r="CK67" i="20"/>
  <c r="CY67" i="20"/>
  <c r="L1224" i="45"/>
  <c r="M1226" i="45"/>
  <c r="N1226" i="45" s="1"/>
  <c r="CL67" i="20" l="1"/>
  <c r="Q65" i="45"/>
  <c r="CK66" i="20"/>
  <c r="CY66" i="20"/>
  <c r="CZ67" i="20"/>
  <c r="J65" i="45"/>
  <c r="CO66" i="20"/>
  <c r="CM66" i="20"/>
  <c r="CW66" i="20"/>
  <c r="CC66" i="20"/>
  <c r="CD66" i="20" s="1"/>
  <c r="CA66" i="20"/>
  <c r="CB66" i="20" s="1"/>
  <c r="CH66" i="20"/>
  <c r="CX66" i="20"/>
  <c r="CE66" i="20"/>
  <c r="CF66" i="20" s="1"/>
  <c r="CJ66" i="20"/>
  <c r="CV66" i="20"/>
  <c r="CG66" i="20"/>
  <c r="M1225" i="45"/>
  <c r="N1225" i="45" s="1"/>
  <c r="L1223" i="45"/>
  <c r="CL66" i="20" l="1"/>
  <c r="J64" i="45"/>
  <c r="CW65" i="20"/>
  <c r="CH65" i="20"/>
  <c r="CE65" i="20"/>
  <c r="CF65" i="20" s="1"/>
  <c r="CJ65" i="20"/>
  <c r="CM65" i="20"/>
  <c r="CC65" i="20"/>
  <c r="CD65" i="20" s="1"/>
  <c r="CO65" i="20"/>
  <c r="CA65" i="20"/>
  <c r="CB65" i="20" s="1"/>
  <c r="CV65" i="20"/>
  <c r="CX65" i="20"/>
  <c r="CG65" i="20"/>
  <c r="Q64" i="45"/>
  <c r="CY65" i="20"/>
  <c r="CK65" i="20"/>
  <c r="CZ66" i="20"/>
  <c r="L1222" i="45"/>
  <c r="M1224" i="45"/>
  <c r="N1224" i="45" s="1"/>
  <c r="CL65" i="20" l="1"/>
  <c r="CZ65" i="20"/>
  <c r="Q63" i="45"/>
  <c r="CK64" i="20"/>
  <c r="CY64" i="20"/>
  <c r="J63" i="45"/>
  <c r="CV64" i="20"/>
  <c r="CJ64" i="20"/>
  <c r="CH64" i="20"/>
  <c r="CG64" i="20"/>
  <c r="CE64" i="20"/>
  <c r="CF64" i="20" s="1"/>
  <c r="CA64" i="20"/>
  <c r="CB64" i="20" s="1"/>
  <c r="CW64" i="20"/>
  <c r="CX64" i="20"/>
  <c r="CC64" i="20"/>
  <c r="CD64" i="20" s="1"/>
  <c r="CM64" i="20"/>
  <c r="CO64" i="20"/>
  <c r="L1221" i="45"/>
  <c r="M1223" i="45"/>
  <c r="N1223" i="45" s="1"/>
  <c r="CZ64" i="20" l="1"/>
  <c r="J62" i="45"/>
  <c r="CA63" i="20"/>
  <c r="CB63" i="20" s="1"/>
  <c r="CE63" i="20"/>
  <c r="CF63" i="20" s="1"/>
  <c r="CX63" i="20"/>
  <c r="CG63" i="20"/>
  <c r="CH63" i="20"/>
  <c r="CO63" i="20"/>
  <c r="CW63" i="20"/>
  <c r="CM63" i="20"/>
  <c r="CC63" i="20"/>
  <c r="CD63" i="20" s="1"/>
  <c r="CV63" i="20"/>
  <c r="CJ63" i="20"/>
  <c r="CL64" i="20"/>
  <c r="Q62" i="45"/>
  <c r="CK63" i="20"/>
  <c r="CY63" i="20"/>
  <c r="L1220" i="45"/>
  <c r="M1222" i="45"/>
  <c r="N1222" i="45" s="1"/>
  <c r="CL63" i="20" l="1"/>
  <c r="CZ63" i="20"/>
  <c r="Q61" i="45"/>
  <c r="Q60" i="45" s="1"/>
  <c r="Q59" i="45" s="1"/>
  <c r="Q58" i="45" s="1"/>
  <c r="Q57" i="45" s="1"/>
  <c r="CK62" i="20"/>
  <c r="CY62" i="20"/>
  <c r="J61" i="45"/>
  <c r="J60" i="45" s="1"/>
  <c r="J59" i="45" s="1"/>
  <c r="J58" i="45" s="1"/>
  <c r="J57" i="45" s="1"/>
  <c r="CM62" i="20"/>
  <c r="CO62" i="20"/>
  <c r="CV62" i="20"/>
  <c r="CX62" i="20"/>
  <c r="CA62" i="20"/>
  <c r="CB62" i="20" s="1"/>
  <c r="CJ62" i="20"/>
  <c r="CC62" i="20"/>
  <c r="CD62" i="20" s="1"/>
  <c r="CG62" i="20"/>
  <c r="CH62" i="20"/>
  <c r="CE62" i="20"/>
  <c r="CF62" i="20" s="1"/>
  <c r="CW62" i="20"/>
  <c r="L1219" i="45"/>
  <c r="M1221" i="45"/>
  <c r="N1221" i="45" s="1"/>
  <c r="CZ62" i="20" l="1"/>
  <c r="CL62" i="20"/>
  <c r="CY30" i="20"/>
  <c r="CK30" i="20"/>
  <c r="Q56" i="45"/>
  <c r="Q55" i="45" s="1"/>
  <c r="Q54" i="45" s="1"/>
  <c r="Q53" i="45" s="1"/>
  <c r="Q52" i="45" s="1"/>
  <c r="Q51" i="45" s="1"/>
  <c r="Q50" i="45" s="1"/>
  <c r="Q49" i="45" s="1"/>
  <c r="Q48" i="45" s="1"/>
  <c r="Q47" i="45" s="1"/>
  <c r="Q46" i="45" s="1"/>
  <c r="Q45" i="45" s="1"/>
  <c r="CJ30" i="20"/>
  <c r="CC30" i="20"/>
  <c r="CD30" i="20" s="1"/>
  <c r="CV30" i="20"/>
  <c r="CE30" i="20"/>
  <c r="CF30" i="20" s="1"/>
  <c r="J56" i="45"/>
  <c r="J55" i="45" s="1"/>
  <c r="J54" i="45" s="1"/>
  <c r="J53" i="45" s="1"/>
  <c r="J52" i="45" s="1"/>
  <c r="J51" i="45" s="1"/>
  <c r="J50" i="45" s="1"/>
  <c r="J49" i="45" s="1"/>
  <c r="J48" i="45" s="1"/>
  <c r="J47" i="45" s="1"/>
  <c r="J46" i="45" s="1"/>
  <c r="J45" i="45" s="1"/>
  <c r="CH30" i="20"/>
  <c r="CA30" i="20"/>
  <c r="CB30" i="20" s="1"/>
  <c r="CG30" i="20"/>
  <c r="CW30" i="20"/>
  <c r="CM30" i="20"/>
  <c r="CO30" i="20"/>
  <c r="CX30" i="20"/>
  <c r="L1218" i="45"/>
  <c r="M1220" i="45"/>
  <c r="N1220" i="45" s="1"/>
  <c r="CZ30" i="20" l="1"/>
  <c r="CY29" i="20"/>
  <c r="CK29" i="20"/>
  <c r="Q44" i="45"/>
  <c r="Q43" i="45" s="1"/>
  <c r="Q42" i="45" s="1"/>
  <c r="Q41" i="45" s="1"/>
  <c r="Q40" i="45" s="1"/>
  <c r="Q39" i="45" s="1"/>
  <c r="Q38" i="45" s="1"/>
  <c r="Q37" i="45" s="1"/>
  <c r="Q36" i="45" s="1"/>
  <c r="Q35" i="45" s="1"/>
  <c r="Q34" i="45" s="1"/>
  <c r="Q33" i="45" s="1"/>
  <c r="CL30" i="20"/>
  <c r="CE29" i="20"/>
  <c r="CF29" i="20" s="1"/>
  <c r="CA29" i="20"/>
  <c r="CB29" i="20" s="1"/>
  <c r="CX29" i="20"/>
  <c r="CW29" i="20"/>
  <c r="CG29" i="20"/>
  <c r="CJ29" i="20"/>
  <c r="CO29" i="20"/>
  <c r="CH29" i="20"/>
  <c r="CM29" i="20"/>
  <c r="CV29" i="20"/>
  <c r="CC29" i="20"/>
  <c r="CD29" i="20" s="1"/>
  <c r="J44" i="45"/>
  <c r="J43" i="45" s="1"/>
  <c r="J42" i="45" s="1"/>
  <c r="J41" i="45" s="1"/>
  <c r="J40" i="45" s="1"/>
  <c r="J39" i="45" s="1"/>
  <c r="J38" i="45" s="1"/>
  <c r="J37" i="45" s="1"/>
  <c r="J36" i="45" s="1"/>
  <c r="J35" i="45" s="1"/>
  <c r="J34" i="45" s="1"/>
  <c r="J33" i="45" s="1"/>
  <c r="L1217" i="45"/>
  <c r="M1219" i="45"/>
  <c r="N1219" i="45" s="1"/>
  <c r="CX28" i="20" l="1"/>
  <c r="CG28" i="20"/>
  <c r="CH28" i="20"/>
  <c r="CO28" i="20"/>
  <c r="CC28" i="20"/>
  <c r="CD28" i="20" s="1"/>
  <c r="R33" i="45"/>
  <c r="CA28" i="20"/>
  <c r="CB28" i="20" s="1"/>
  <c r="CV28" i="20"/>
  <c r="CJ28" i="20"/>
  <c r="CE28" i="20"/>
  <c r="CF28" i="20" s="1"/>
  <c r="CM28" i="20"/>
  <c r="J32" i="45"/>
  <c r="J31" i="45" s="1"/>
  <c r="J30" i="45" s="1"/>
  <c r="J29" i="45" s="1"/>
  <c r="J28" i="45" s="1"/>
  <c r="J27" i="45" s="1"/>
  <c r="J26" i="45" s="1"/>
  <c r="J25" i="45" s="1"/>
  <c r="J24" i="45" s="1"/>
  <c r="J23" i="45" s="1"/>
  <c r="J22" i="45" s="1"/>
  <c r="J21" i="45" s="1"/>
  <c r="CW28" i="20"/>
  <c r="CY28" i="20"/>
  <c r="CK28" i="20"/>
  <c r="Q32" i="45"/>
  <c r="Q31" i="45" s="1"/>
  <c r="Q30" i="45" s="1"/>
  <c r="Q29" i="45" s="1"/>
  <c r="Q28" i="45" s="1"/>
  <c r="Q27" i="45" s="1"/>
  <c r="Q26" i="45" s="1"/>
  <c r="Q25" i="45" s="1"/>
  <c r="Q24" i="45" s="1"/>
  <c r="Q23" i="45" s="1"/>
  <c r="Q22" i="45" s="1"/>
  <c r="Q21" i="45" s="1"/>
  <c r="CL29" i="20"/>
  <c r="CZ29" i="20"/>
  <c r="M1218" i="45"/>
  <c r="N1218" i="45" s="1"/>
  <c r="L1216" i="45"/>
  <c r="CL28" i="20" l="1"/>
  <c r="CJ27" i="20"/>
  <c r="CV27" i="20"/>
  <c r="CE27" i="20"/>
  <c r="CF27" i="20" s="1"/>
  <c r="CH27" i="20"/>
  <c r="CX27" i="20"/>
  <c r="CA27" i="20"/>
  <c r="CB27" i="20" s="1"/>
  <c r="CC27" i="20"/>
  <c r="CD27" i="20" s="1"/>
  <c r="CO27" i="20"/>
  <c r="CW27" i="20"/>
  <c r="CM27" i="20"/>
  <c r="J20" i="45"/>
  <c r="J19" i="45" s="1"/>
  <c r="J18" i="45" s="1"/>
  <c r="J17" i="45" s="1"/>
  <c r="J16" i="45" s="1"/>
  <c r="J15" i="45" s="1"/>
  <c r="J14" i="45" s="1"/>
  <c r="J13" i="45" s="1"/>
  <c r="J12" i="45" s="1"/>
  <c r="J11" i="45" s="1"/>
  <c r="J10" i="45" s="1"/>
  <c r="CG27" i="20"/>
  <c r="CK27" i="20"/>
  <c r="CY27" i="20"/>
  <c r="Q20" i="45"/>
  <c r="Q19" i="45" s="1"/>
  <c r="Q18" i="45" s="1"/>
  <c r="Q17" i="45" s="1"/>
  <c r="Q16" i="45" s="1"/>
  <c r="Q15" i="45" s="1"/>
  <c r="Q14" i="45" s="1"/>
  <c r="Q13" i="45" s="1"/>
  <c r="Q12" i="45" s="1"/>
  <c r="Q11" i="45" s="1"/>
  <c r="Q10" i="45" s="1"/>
  <c r="CZ28" i="20"/>
  <c r="M1217" i="45"/>
  <c r="N1217" i="45" s="1"/>
  <c r="L1215" i="45"/>
  <c r="CL27" i="20" l="1"/>
  <c r="CZ27" i="20"/>
  <c r="M1216" i="45"/>
  <c r="N1216" i="45" s="1"/>
  <c r="L1214" i="45"/>
  <c r="L1213" i="45" l="1"/>
  <c r="M1215" i="45"/>
  <c r="N1215" i="45" s="1"/>
  <c r="L1212" i="45" l="1"/>
  <c r="M1214" i="45"/>
  <c r="N1214" i="45" s="1"/>
  <c r="M1213" i="45" l="1"/>
  <c r="N1213" i="45" s="1"/>
  <c r="L1211" i="45"/>
  <c r="L1210" i="45" l="1"/>
  <c r="M1212" i="45"/>
  <c r="N1212" i="45" s="1"/>
  <c r="L1209" i="45" l="1"/>
  <c r="M1211" i="45"/>
  <c r="N1211" i="45" s="1"/>
  <c r="M1210" i="45" l="1"/>
  <c r="N1210" i="45" s="1"/>
  <c r="L1208" i="45"/>
  <c r="M1209" i="45" l="1"/>
  <c r="N1209" i="45" s="1"/>
  <c r="L1207" i="45"/>
  <c r="M1208" i="45" l="1"/>
  <c r="N1208" i="45" s="1"/>
  <c r="L1206" i="45"/>
  <c r="L1205" i="45" l="1"/>
  <c r="M1207" i="45"/>
  <c r="N1207" i="45" s="1"/>
  <c r="M1206" i="45" l="1"/>
  <c r="N1206" i="45" s="1"/>
  <c r="L1204" i="45"/>
  <c r="M1205" i="45" l="1"/>
  <c r="N1205" i="45" s="1"/>
  <c r="L1203" i="45"/>
  <c r="M1204" i="45" l="1"/>
  <c r="N1204" i="45" s="1"/>
  <c r="L1202" i="45"/>
  <c r="M1203" i="45" l="1"/>
  <c r="N1203" i="45" s="1"/>
  <c r="L1201" i="45"/>
  <c r="M1202" i="45" l="1"/>
  <c r="N1202" i="45" s="1"/>
  <c r="L1200" i="45"/>
  <c r="M1201" i="45" l="1"/>
  <c r="N1201" i="45" s="1"/>
  <c r="L1199" i="45"/>
  <c r="M1200" i="45" l="1"/>
  <c r="N1200" i="45" s="1"/>
  <c r="L1198" i="45"/>
  <c r="L1197" i="45" l="1"/>
  <c r="M1199" i="45"/>
  <c r="N1199" i="45" s="1"/>
  <c r="L1196" i="45" l="1"/>
  <c r="M1198" i="45"/>
  <c r="N1198" i="45" s="1"/>
  <c r="M1197" i="45" l="1"/>
  <c r="N1197" i="45" s="1"/>
  <c r="L1195" i="45"/>
  <c r="L1194" i="45" l="1"/>
  <c r="M1196" i="45"/>
  <c r="N1196" i="45" s="1"/>
  <c r="M1195" i="45" l="1"/>
  <c r="N1195" i="45" s="1"/>
  <c r="L1193" i="45"/>
  <c r="L1192" i="45" l="1"/>
  <c r="M1194" i="45"/>
  <c r="N1194" i="45" s="1"/>
  <c r="L1191" i="45" l="1"/>
  <c r="M1193" i="45"/>
  <c r="N1193" i="45" s="1"/>
  <c r="L1190" i="45" l="1"/>
  <c r="M1192" i="45"/>
  <c r="N1192" i="45" s="1"/>
  <c r="M1191" i="45" l="1"/>
  <c r="N1191" i="45" s="1"/>
  <c r="L1189" i="45"/>
  <c r="M1190" i="45" l="1"/>
  <c r="N1190" i="45" s="1"/>
  <c r="L1188" i="45"/>
  <c r="L1187" i="45" l="1"/>
  <c r="M1189" i="45"/>
  <c r="N1189" i="45" s="1"/>
  <c r="M1188" i="45" l="1"/>
  <c r="N1188" i="45" s="1"/>
  <c r="L1186" i="45"/>
  <c r="L1185" i="45" l="1"/>
  <c r="M1187" i="45"/>
  <c r="N1187" i="45" s="1"/>
  <c r="M1186" i="45" l="1"/>
  <c r="N1186" i="45" s="1"/>
  <c r="L1184" i="45"/>
  <c r="L1183" i="45" l="1"/>
  <c r="M1185" i="45"/>
  <c r="N1185" i="45" s="1"/>
  <c r="L1182" i="45" l="1"/>
  <c r="M1184" i="45"/>
  <c r="N1184" i="45" s="1"/>
  <c r="M1183" i="45" l="1"/>
  <c r="N1183" i="45" s="1"/>
  <c r="L1181" i="45"/>
  <c r="L1180" i="45" l="1"/>
  <c r="M1182" i="45"/>
  <c r="N1182" i="45" s="1"/>
  <c r="M1181" i="45" l="1"/>
  <c r="N1181" i="45" s="1"/>
  <c r="L1179" i="45"/>
  <c r="M1180" i="45" l="1"/>
  <c r="N1180" i="45" s="1"/>
  <c r="L1178" i="45"/>
  <c r="L1177" i="45" l="1"/>
  <c r="M1179" i="45"/>
  <c r="N1179" i="45" s="1"/>
  <c r="M1178" i="45" l="1"/>
  <c r="N1178" i="45" s="1"/>
  <c r="L1176" i="45"/>
  <c r="M1177" i="45" l="1"/>
  <c r="N1177" i="45" s="1"/>
  <c r="L1175" i="45"/>
  <c r="L1174" i="45" l="1"/>
  <c r="M1176" i="45"/>
  <c r="N1176" i="45" s="1"/>
  <c r="L1173" i="45" l="1"/>
  <c r="M1175" i="45"/>
  <c r="N1175" i="45" s="1"/>
  <c r="M1174" i="45" l="1"/>
  <c r="N1174" i="45" s="1"/>
  <c r="L1172" i="45"/>
  <c r="M1173" i="45" l="1"/>
  <c r="N1173" i="45" s="1"/>
  <c r="L1171" i="45"/>
  <c r="M1172" i="45" l="1"/>
  <c r="N1172" i="45" s="1"/>
  <c r="L1170" i="45"/>
  <c r="M1171" i="45" l="1"/>
  <c r="N1171" i="45" s="1"/>
  <c r="L1169" i="45"/>
  <c r="L1168" i="45" l="1"/>
  <c r="M1170" i="45"/>
  <c r="N1170" i="45" s="1"/>
  <c r="M1169" i="45" l="1"/>
  <c r="N1169" i="45" s="1"/>
  <c r="L1167" i="45"/>
  <c r="M1168" i="45" l="1"/>
  <c r="N1168" i="45" s="1"/>
  <c r="L1166" i="45"/>
  <c r="M1167" i="45" l="1"/>
  <c r="N1167" i="45" s="1"/>
  <c r="L1165" i="45"/>
  <c r="L1164" i="45" l="1"/>
  <c r="M1166" i="45"/>
  <c r="N1166" i="45" s="1"/>
  <c r="L1163" i="45" l="1"/>
  <c r="M1165" i="45"/>
  <c r="N1165" i="45" s="1"/>
  <c r="L1162" i="45" l="1"/>
  <c r="M1164" i="45"/>
  <c r="N1164" i="45" s="1"/>
  <c r="L1161" i="45" l="1"/>
  <c r="M1163" i="45"/>
  <c r="N1163" i="45" s="1"/>
  <c r="M1162" i="45" l="1"/>
  <c r="N1162" i="45" s="1"/>
  <c r="L1160" i="45"/>
  <c r="L1159" i="45" l="1"/>
  <c r="M1161" i="45"/>
  <c r="N1161" i="45" s="1"/>
  <c r="L1158" i="45" l="1"/>
  <c r="M1160" i="45"/>
  <c r="N1160" i="45" s="1"/>
  <c r="L1157" i="45" l="1"/>
  <c r="M1159" i="45"/>
  <c r="N1159" i="45" s="1"/>
  <c r="L1156" i="45" l="1"/>
  <c r="M1158" i="45"/>
  <c r="N1158" i="45" s="1"/>
  <c r="L1155" i="45" l="1"/>
  <c r="M1157" i="45"/>
  <c r="N1157" i="45" s="1"/>
  <c r="M1156" i="45" l="1"/>
  <c r="N1156" i="45" s="1"/>
  <c r="L1154" i="45"/>
  <c r="L1153" i="45" l="1"/>
  <c r="M1155" i="45"/>
  <c r="N1155" i="45" s="1"/>
  <c r="L1152" i="45" l="1"/>
  <c r="M1154" i="45"/>
  <c r="N1154" i="45" s="1"/>
  <c r="M1153" i="45" l="1"/>
  <c r="N1153" i="45" s="1"/>
  <c r="L1151" i="45"/>
  <c r="L1150" i="45" l="1"/>
  <c r="M1152" i="45"/>
  <c r="N1152" i="45" s="1"/>
  <c r="M1151" i="45" l="1"/>
  <c r="N1151" i="45" s="1"/>
  <c r="L1149" i="45"/>
  <c r="L1148" i="45" l="1"/>
  <c r="M1150" i="45"/>
  <c r="N1150" i="45" s="1"/>
  <c r="L1147" i="45" l="1"/>
  <c r="M1149" i="45"/>
  <c r="N1149" i="45" s="1"/>
  <c r="M1148" i="45" l="1"/>
  <c r="N1148" i="45" s="1"/>
  <c r="L1146" i="45"/>
  <c r="L1145" i="45" l="1"/>
  <c r="M1147" i="45"/>
  <c r="N1147" i="45" s="1"/>
  <c r="M1146" i="45" l="1"/>
  <c r="N1146" i="45" s="1"/>
  <c r="L1144" i="45"/>
  <c r="M1145" i="45" l="1"/>
  <c r="N1145" i="45" s="1"/>
  <c r="L1143" i="45"/>
  <c r="M1144" i="45" l="1"/>
  <c r="N1144" i="45" s="1"/>
  <c r="L1142" i="45"/>
  <c r="L1141" i="45" l="1"/>
  <c r="M1143" i="45"/>
  <c r="N1143" i="45" s="1"/>
  <c r="L1140" i="45" l="1"/>
  <c r="M1142" i="45"/>
  <c r="N1142" i="45" s="1"/>
  <c r="L1139" i="45" l="1"/>
  <c r="M1141" i="45"/>
  <c r="N1141" i="45" s="1"/>
  <c r="L1138" i="45" l="1"/>
  <c r="M1140" i="45"/>
  <c r="N1140" i="45" s="1"/>
  <c r="M1139" i="45" l="1"/>
  <c r="N1139" i="45" s="1"/>
  <c r="L1137" i="45"/>
  <c r="L1136" i="45" l="1"/>
  <c r="M1138" i="45"/>
  <c r="N1138" i="45" s="1"/>
  <c r="L1135" i="45" l="1"/>
  <c r="M1137" i="45"/>
  <c r="N1137" i="45" s="1"/>
  <c r="M1136" i="45" l="1"/>
  <c r="N1136" i="45" s="1"/>
  <c r="L1134" i="45"/>
  <c r="M1135" i="45" l="1"/>
  <c r="N1135" i="45" s="1"/>
  <c r="L1133" i="45"/>
  <c r="L1132" i="45" l="1"/>
  <c r="M1134" i="45"/>
  <c r="N1134" i="45" s="1"/>
  <c r="L1131" i="45" l="1"/>
  <c r="M1133" i="45"/>
  <c r="N1133" i="45" s="1"/>
  <c r="M1132" i="45" l="1"/>
  <c r="N1132" i="45" s="1"/>
  <c r="L1130" i="45"/>
  <c r="L1129" i="45" l="1"/>
  <c r="M1131" i="45"/>
  <c r="N1131" i="45" s="1"/>
  <c r="L1128" i="45" l="1"/>
  <c r="M1130" i="45"/>
  <c r="N1130" i="45" s="1"/>
  <c r="L1127" i="45" l="1"/>
  <c r="M1129" i="45"/>
  <c r="N1129" i="45" s="1"/>
  <c r="L1126" i="45" l="1"/>
  <c r="M1128" i="45"/>
  <c r="N1128" i="45" s="1"/>
  <c r="L1125" i="45" l="1"/>
  <c r="M1127" i="45"/>
  <c r="N1127" i="45" s="1"/>
  <c r="L1124" i="45" l="1"/>
  <c r="M1126" i="45"/>
  <c r="N1126" i="45" s="1"/>
  <c r="M1125" i="45" l="1"/>
  <c r="N1125" i="45" s="1"/>
  <c r="L1123" i="45"/>
  <c r="M1124" i="45" l="1"/>
  <c r="N1124" i="45" s="1"/>
  <c r="L1122" i="45"/>
  <c r="M1123" i="45" l="1"/>
  <c r="N1123" i="45" s="1"/>
  <c r="L1121" i="45"/>
  <c r="L1120" i="45" l="1"/>
  <c r="M1122" i="45"/>
  <c r="N1122" i="45" s="1"/>
  <c r="L1119" i="45" l="1"/>
  <c r="M1121" i="45"/>
  <c r="N1121" i="45" s="1"/>
  <c r="L1118" i="45" l="1"/>
  <c r="M1120" i="45"/>
  <c r="N1120" i="45" s="1"/>
  <c r="L1117" i="45" l="1"/>
  <c r="M1119" i="45"/>
  <c r="N1119" i="45" s="1"/>
  <c r="L1116" i="45" l="1"/>
  <c r="M1118" i="45"/>
  <c r="N1118" i="45" s="1"/>
  <c r="L1115" i="45" l="1"/>
  <c r="M1117" i="45"/>
  <c r="N1117" i="45" s="1"/>
  <c r="M1116" i="45" l="1"/>
  <c r="N1116" i="45" s="1"/>
  <c r="L1114" i="45"/>
  <c r="M1115" i="45" l="1"/>
  <c r="N1115" i="45" s="1"/>
  <c r="L1113" i="45"/>
  <c r="M1114" i="45" l="1"/>
  <c r="N1114" i="45" s="1"/>
  <c r="L1112" i="45"/>
  <c r="M1113" i="45" l="1"/>
  <c r="N1113" i="45" s="1"/>
  <c r="L1111" i="45"/>
  <c r="L1110" i="45" l="1"/>
  <c r="M1112" i="45"/>
  <c r="N1112" i="45" s="1"/>
  <c r="M1111" i="45" l="1"/>
  <c r="N1111" i="45" s="1"/>
  <c r="L1109" i="45"/>
  <c r="L1108" i="45" l="1"/>
  <c r="M1110" i="45"/>
  <c r="N1110" i="45" s="1"/>
  <c r="L1107" i="45" l="1"/>
  <c r="M1109" i="45"/>
  <c r="N1109" i="45" s="1"/>
  <c r="M1108" i="45" l="1"/>
  <c r="N1108" i="45" s="1"/>
  <c r="L1106" i="45"/>
  <c r="L1105" i="45" l="1"/>
  <c r="M1107" i="45"/>
  <c r="N1107" i="45" s="1"/>
  <c r="M1106" i="45" l="1"/>
  <c r="N1106" i="45" s="1"/>
  <c r="L1104" i="45"/>
  <c r="L1103" i="45" l="1"/>
  <c r="M1105" i="45"/>
  <c r="N1105" i="45" s="1"/>
  <c r="M1104" i="45" l="1"/>
  <c r="N1104" i="45" s="1"/>
  <c r="L1102" i="45"/>
  <c r="L1101" i="45" l="1"/>
  <c r="M1103" i="45"/>
  <c r="N1103" i="45" s="1"/>
  <c r="L1100" i="45" l="1"/>
  <c r="M1102" i="45"/>
  <c r="N1102" i="45" s="1"/>
  <c r="M1101" i="45" l="1"/>
  <c r="N1101" i="45" s="1"/>
  <c r="L1099" i="45"/>
  <c r="M1100" i="45" l="1"/>
  <c r="N1100" i="45" s="1"/>
  <c r="L1098" i="45"/>
  <c r="M1099" i="45" l="1"/>
  <c r="N1099" i="45" s="1"/>
  <c r="L1097" i="45"/>
  <c r="M1098" i="45" l="1"/>
  <c r="N1098" i="45" s="1"/>
  <c r="L1096" i="45"/>
  <c r="M1097" i="45" l="1"/>
  <c r="N1097" i="45" s="1"/>
  <c r="L1095" i="45"/>
  <c r="M1096" i="45" l="1"/>
  <c r="N1096" i="45" s="1"/>
  <c r="L1094" i="45"/>
  <c r="L1093" i="45" l="1"/>
  <c r="M1095" i="45"/>
  <c r="N1095" i="45" s="1"/>
  <c r="L1092" i="45" l="1"/>
  <c r="M1094" i="45"/>
  <c r="N1094" i="45" s="1"/>
  <c r="L1091" i="45" l="1"/>
  <c r="M1093" i="45"/>
  <c r="N1093" i="45" s="1"/>
  <c r="M1092" i="45" l="1"/>
  <c r="N1092" i="45" s="1"/>
  <c r="L1090" i="45"/>
  <c r="L1089" i="45" l="1"/>
  <c r="M1091" i="45"/>
  <c r="N1091" i="45" s="1"/>
  <c r="L1088" i="45" l="1"/>
  <c r="M1090" i="45"/>
  <c r="N1090" i="45" s="1"/>
  <c r="M1089" i="45" l="1"/>
  <c r="N1089" i="45" s="1"/>
  <c r="L1087" i="45"/>
  <c r="L1086" i="45" l="1"/>
  <c r="M1088" i="45"/>
  <c r="N1088" i="45" s="1"/>
  <c r="M1087" i="45" l="1"/>
  <c r="N1087" i="45" s="1"/>
  <c r="L1085" i="45"/>
  <c r="M1086" i="45" l="1"/>
  <c r="N1086" i="45" s="1"/>
  <c r="L1084" i="45"/>
  <c r="M1085" i="45" l="1"/>
  <c r="N1085" i="45" s="1"/>
  <c r="L1083" i="45"/>
  <c r="L1082" i="45" l="1"/>
  <c r="M1084" i="45"/>
  <c r="N1084" i="45" s="1"/>
  <c r="L1081" i="45" l="1"/>
  <c r="M1083" i="45"/>
  <c r="N1083" i="45" s="1"/>
  <c r="M1082" i="45" l="1"/>
  <c r="N1082" i="45" s="1"/>
  <c r="L1080" i="45"/>
  <c r="M1081" i="45" l="1"/>
  <c r="N1081" i="45" s="1"/>
  <c r="L1079" i="45"/>
  <c r="L1078" i="45" l="1"/>
  <c r="M1080" i="45"/>
  <c r="N1080" i="45" s="1"/>
  <c r="M1079" i="45" l="1"/>
  <c r="N1079" i="45" s="1"/>
  <c r="L1077" i="45"/>
  <c r="M1078" i="45" l="1"/>
  <c r="N1078" i="45" s="1"/>
  <c r="L1076" i="45"/>
  <c r="M1077" i="45" l="1"/>
  <c r="N1077" i="45" s="1"/>
  <c r="L1075" i="45"/>
  <c r="M1076" i="45" l="1"/>
  <c r="N1076" i="45" s="1"/>
  <c r="L1074" i="45"/>
  <c r="L1073" i="45" l="1"/>
  <c r="M1075" i="45"/>
  <c r="N1075" i="45" s="1"/>
  <c r="L1072" i="45" l="1"/>
  <c r="M1074" i="45"/>
  <c r="N1074" i="45" s="1"/>
  <c r="L1071" i="45" l="1"/>
  <c r="M1073" i="45"/>
  <c r="N1073" i="45" s="1"/>
  <c r="L1070" i="45" l="1"/>
  <c r="M1072" i="45"/>
  <c r="N1072" i="45" s="1"/>
  <c r="M1071" i="45" l="1"/>
  <c r="N1071" i="45" s="1"/>
  <c r="L1069" i="45"/>
  <c r="M1070" i="45" l="1"/>
  <c r="N1070" i="45" s="1"/>
  <c r="L1068" i="45"/>
  <c r="M1069" i="45" l="1"/>
  <c r="N1069" i="45" s="1"/>
  <c r="L1067" i="45"/>
  <c r="L1066" i="45" l="1"/>
  <c r="M1068" i="45"/>
  <c r="N1068" i="45" s="1"/>
  <c r="M1067" i="45" l="1"/>
  <c r="N1067" i="45" s="1"/>
  <c r="L1065" i="45"/>
  <c r="M1066" i="45" l="1"/>
  <c r="N1066" i="45" s="1"/>
  <c r="L1064" i="45"/>
  <c r="M1065" i="45" l="1"/>
  <c r="N1065" i="45" s="1"/>
  <c r="L1063" i="45"/>
  <c r="M1064" i="45" l="1"/>
  <c r="N1064" i="45" s="1"/>
  <c r="L1062" i="45"/>
  <c r="M1063" i="45" l="1"/>
  <c r="N1063" i="45" s="1"/>
  <c r="L1061" i="45"/>
  <c r="L1060" i="45" l="1"/>
  <c r="M1062" i="45"/>
  <c r="N1062" i="45" s="1"/>
  <c r="L1059" i="45" l="1"/>
  <c r="M1061" i="45"/>
  <c r="N1061" i="45" s="1"/>
  <c r="L1058" i="45" l="1"/>
  <c r="M1060" i="45"/>
  <c r="N1060" i="45" s="1"/>
  <c r="M1059" i="45" l="1"/>
  <c r="N1059" i="45" s="1"/>
  <c r="L1057" i="45"/>
  <c r="L1056" i="45" l="1"/>
  <c r="M1058" i="45"/>
  <c r="N1058" i="45" s="1"/>
  <c r="M1057" i="45" l="1"/>
  <c r="N1057" i="45" s="1"/>
  <c r="L1055" i="45"/>
  <c r="M1056" i="45" l="1"/>
  <c r="N1056" i="45" s="1"/>
  <c r="L1054" i="45"/>
  <c r="M1055" i="45" l="1"/>
  <c r="N1055" i="45" s="1"/>
  <c r="L1053" i="45"/>
  <c r="M1054" i="45" l="1"/>
  <c r="N1054" i="45" s="1"/>
  <c r="L1052" i="45"/>
  <c r="M1053" i="45" l="1"/>
  <c r="N1053" i="45" s="1"/>
  <c r="L1051" i="45"/>
  <c r="M1052" i="45" l="1"/>
  <c r="N1052" i="45" s="1"/>
  <c r="L1050" i="45"/>
  <c r="M1051" i="45" l="1"/>
  <c r="N1051" i="45" s="1"/>
  <c r="L1049" i="45"/>
  <c r="M1050" i="45" l="1"/>
  <c r="N1050" i="45" s="1"/>
  <c r="L1048" i="45"/>
  <c r="M1049" i="45" l="1"/>
  <c r="N1049" i="45" s="1"/>
  <c r="L1047" i="45"/>
  <c r="L1046" i="45" l="1"/>
  <c r="M1048" i="45"/>
  <c r="N1048" i="45" s="1"/>
  <c r="L1045" i="45" l="1"/>
  <c r="M1047" i="45"/>
  <c r="N1047" i="45" s="1"/>
  <c r="M1046" i="45" l="1"/>
  <c r="N1046" i="45" s="1"/>
  <c r="L1044" i="45"/>
  <c r="M1045" i="45" l="1"/>
  <c r="N1045" i="45" s="1"/>
  <c r="L1043" i="45"/>
  <c r="L1042" i="45" l="1"/>
  <c r="M1044" i="45"/>
  <c r="N1044" i="45" s="1"/>
  <c r="M1043" i="45" l="1"/>
  <c r="N1043" i="45" s="1"/>
  <c r="L1041" i="45"/>
  <c r="L1040" i="45" l="1"/>
  <c r="M1042" i="45"/>
  <c r="N1042" i="45" s="1"/>
  <c r="L1039" i="45" l="1"/>
  <c r="M1041" i="45"/>
  <c r="N1041" i="45" s="1"/>
  <c r="L1038" i="45" l="1"/>
  <c r="M1040" i="45"/>
  <c r="N1040" i="45" s="1"/>
  <c r="L1037" i="45" l="1"/>
  <c r="M1039" i="45"/>
  <c r="N1039" i="45" s="1"/>
  <c r="L1036" i="45" l="1"/>
  <c r="M1038" i="45"/>
  <c r="N1038" i="45" s="1"/>
  <c r="M1037" i="45" l="1"/>
  <c r="N1037" i="45" s="1"/>
  <c r="L1035" i="45"/>
  <c r="L1034" i="45" l="1"/>
  <c r="M1036" i="45"/>
  <c r="N1036" i="45" s="1"/>
  <c r="L1033" i="45" l="1"/>
  <c r="M1035" i="45"/>
  <c r="N1035" i="45" s="1"/>
  <c r="M1034" i="45" l="1"/>
  <c r="N1034" i="45" s="1"/>
  <c r="L1032" i="45"/>
  <c r="L1031" i="45" l="1"/>
  <c r="M1033" i="45"/>
  <c r="N1033" i="45" s="1"/>
  <c r="M1032" i="45" l="1"/>
  <c r="N1032" i="45" s="1"/>
  <c r="L1030" i="45"/>
  <c r="L1029" i="45" l="1"/>
  <c r="M1031" i="45"/>
  <c r="N1031" i="45" s="1"/>
  <c r="M1030" i="45" l="1"/>
  <c r="N1030" i="45" s="1"/>
  <c r="L1028" i="45"/>
  <c r="L1027" i="45" l="1"/>
  <c r="M1029" i="45"/>
  <c r="N1029" i="45" s="1"/>
  <c r="M1028" i="45" l="1"/>
  <c r="N1028" i="45" s="1"/>
  <c r="L1026" i="45"/>
  <c r="L1025" i="45" l="1"/>
  <c r="M1027" i="45"/>
  <c r="N1027" i="45" s="1"/>
  <c r="M1026" i="45" l="1"/>
  <c r="N1026" i="45" s="1"/>
  <c r="L1024" i="45"/>
  <c r="L1023" i="45" l="1"/>
  <c r="M1025" i="45"/>
  <c r="N1025" i="45" s="1"/>
  <c r="M1024" i="45" l="1"/>
  <c r="N1024" i="45" s="1"/>
  <c r="L1022" i="45"/>
  <c r="L1021" i="45" l="1"/>
  <c r="M1023" i="45"/>
  <c r="N1023" i="45" s="1"/>
  <c r="L1020" i="45" l="1"/>
  <c r="M1022" i="45"/>
  <c r="N1022" i="45" s="1"/>
  <c r="M1021" i="45" l="1"/>
  <c r="N1021" i="45" s="1"/>
  <c r="L1019" i="45"/>
  <c r="L1018" i="45" l="1"/>
  <c r="M1020" i="45"/>
  <c r="N1020" i="45" s="1"/>
  <c r="L1017" i="45" l="1"/>
  <c r="M1019" i="45"/>
  <c r="N1019" i="45" s="1"/>
  <c r="M1018" i="45" l="1"/>
  <c r="N1018" i="45" s="1"/>
  <c r="L1016" i="45"/>
  <c r="L1015" i="45" l="1"/>
  <c r="M1017" i="45"/>
  <c r="N1017" i="45" s="1"/>
  <c r="L1014" i="45" l="1"/>
  <c r="M1016" i="45"/>
  <c r="N1016" i="45" s="1"/>
  <c r="M1015" i="45" l="1"/>
  <c r="N1015" i="45" s="1"/>
  <c r="L1013" i="45"/>
  <c r="L1012" i="45" l="1"/>
  <c r="M1014" i="45"/>
  <c r="N1014" i="45" s="1"/>
  <c r="L1011" i="45" l="1"/>
  <c r="M1013" i="45"/>
  <c r="N1013" i="45" s="1"/>
  <c r="L1010" i="45" l="1"/>
  <c r="M1012" i="45"/>
  <c r="N1012" i="45" s="1"/>
  <c r="M1011" i="45" l="1"/>
  <c r="N1011" i="45" s="1"/>
  <c r="L1009" i="45"/>
  <c r="L1008" i="45" l="1"/>
  <c r="M1010" i="45"/>
  <c r="N1010" i="45" s="1"/>
  <c r="L1007" i="45" l="1"/>
  <c r="M1009" i="45"/>
  <c r="N1009" i="45" s="1"/>
  <c r="L1006" i="45" l="1"/>
  <c r="M1008" i="45"/>
  <c r="N1008" i="45" s="1"/>
  <c r="M1007" i="45" l="1"/>
  <c r="N1007" i="45" s="1"/>
  <c r="L1005" i="45"/>
  <c r="L1004" i="45" l="1"/>
  <c r="M1006" i="45"/>
  <c r="N1006" i="45" s="1"/>
  <c r="L1003" i="45" l="1"/>
  <c r="M1005" i="45"/>
  <c r="N1005" i="45" s="1"/>
  <c r="L1002" i="45" l="1"/>
  <c r="M1004" i="45"/>
  <c r="N1004" i="45" s="1"/>
  <c r="M1003" i="45" l="1"/>
  <c r="N1003" i="45" s="1"/>
  <c r="L1001" i="45"/>
  <c r="L1000" i="45" l="1"/>
  <c r="M1002" i="45"/>
  <c r="N1002" i="45" s="1"/>
  <c r="L999" i="45" l="1"/>
  <c r="M1001" i="45"/>
  <c r="N1001" i="45" s="1"/>
  <c r="L998" i="45" l="1"/>
  <c r="M1000" i="45"/>
  <c r="N1000" i="45" s="1"/>
  <c r="M999" i="45" l="1"/>
  <c r="N999" i="45" s="1"/>
  <c r="L997" i="45"/>
  <c r="L996" i="45" l="1"/>
  <c r="M998" i="45"/>
  <c r="N998" i="45" s="1"/>
  <c r="L995" i="45" l="1"/>
  <c r="M997" i="45"/>
  <c r="N997" i="45" s="1"/>
  <c r="L994" i="45" l="1"/>
  <c r="M996" i="45"/>
  <c r="N996" i="45" s="1"/>
  <c r="M995" i="45" l="1"/>
  <c r="N995" i="45" s="1"/>
  <c r="L993" i="45"/>
  <c r="L992" i="45" l="1"/>
  <c r="M994" i="45"/>
  <c r="N994" i="45" s="1"/>
  <c r="L991" i="45" l="1"/>
  <c r="M993" i="45"/>
  <c r="N993" i="45" s="1"/>
  <c r="L990" i="45" l="1"/>
  <c r="M992" i="45"/>
  <c r="N992" i="45" s="1"/>
  <c r="M991" i="45" l="1"/>
  <c r="N991" i="45" s="1"/>
  <c r="L989" i="45"/>
  <c r="L988" i="45" l="1"/>
  <c r="M990" i="45"/>
  <c r="N990" i="45" s="1"/>
  <c r="L987" i="45" l="1"/>
  <c r="M989" i="45"/>
  <c r="N989" i="45" s="1"/>
  <c r="L986" i="45" l="1"/>
  <c r="M988" i="45"/>
  <c r="N988" i="45" s="1"/>
  <c r="M987" i="45" l="1"/>
  <c r="N987" i="45" s="1"/>
  <c r="L985" i="45"/>
  <c r="L984" i="45" l="1"/>
  <c r="M986" i="45"/>
  <c r="N986" i="45" s="1"/>
  <c r="L983" i="45" l="1"/>
  <c r="M985" i="45"/>
  <c r="N985" i="45" s="1"/>
  <c r="L982" i="45" l="1"/>
  <c r="M984" i="45"/>
  <c r="N984" i="45" s="1"/>
  <c r="M983" i="45" l="1"/>
  <c r="N983" i="45" s="1"/>
  <c r="L981" i="45"/>
  <c r="L980" i="45" l="1"/>
  <c r="M982" i="45"/>
  <c r="N982" i="45" s="1"/>
  <c r="L979" i="45" l="1"/>
  <c r="M981" i="45"/>
  <c r="N981" i="45" s="1"/>
  <c r="L978" i="45" l="1"/>
  <c r="M980" i="45"/>
  <c r="N980" i="45" s="1"/>
  <c r="M979" i="45" l="1"/>
  <c r="N979" i="45" s="1"/>
  <c r="L977" i="45"/>
  <c r="L976" i="45" l="1"/>
  <c r="M978" i="45"/>
  <c r="N978" i="45" s="1"/>
  <c r="M977" i="45" l="1"/>
  <c r="N977" i="45" s="1"/>
  <c r="L975" i="45"/>
  <c r="L974" i="45" l="1"/>
  <c r="M976" i="45"/>
  <c r="N976" i="45" s="1"/>
  <c r="M975" i="45" l="1"/>
  <c r="N975" i="45" s="1"/>
  <c r="L973" i="45"/>
  <c r="L972" i="45" l="1"/>
  <c r="M974" i="45"/>
  <c r="N974" i="45" s="1"/>
  <c r="M973" i="45" l="1"/>
  <c r="N973" i="45" s="1"/>
  <c r="L971" i="45"/>
  <c r="L970" i="45" l="1"/>
  <c r="M972" i="45"/>
  <c r="N972" i="45" s="1"/>
  <c r="M971" i="45" l="1"/>
  <c r="N971" i="45" s="1"/>
  <c r="L969" i="45"/>
  <c r="L968" i="45" l="1"/>
  <c r="M970" i="45"/>
  <c r="N970" i="45" s="1"/>
  <c r="M969" i="45" l="1"/>
  <c r="N969" i="45" s="1"/>
  <c r="L967" i="45"/>
  <c r="L966" i="45" l="1"/>
  <c r="M968" i="45"/>
  <c r="N968" i="45" s="1"/>
  <c r="M967" i="45" l="1"/>
  <c r="N967" i="45" s="1"/>
  <c r="L965" i="45"/>
  <c r="L964" i="45" l="1"/>
  <c r="M966" i="45"/>
  <c r="N966" i="45" s="1"/>
  <c r="M965" i="45" l="1"/>
  <c r="N965" i="45" s="1"/>
  <c r="L963" i="45"/>
  <c r="L962" i="45" l="1"/>
  <c r="M964" i="45"/>
  <c r="N964" i="45" s="1"/>
  <c r="M963" i="45" l="1"/>
  <c r="N963" i="45" s="1"/>
  <c r="L961" i="45"/>
  <c r="L960" i="45" l="1"/>
  <c r="M962" i="45"/>
  <c r="N962" i="45" s="1"/>
  <c r="M961" i="45" l="1"/>
  <c r="N961" i="45" s="1"/>
  <c r="L959" i="45"/>
  <c r="L958" i="45" l="1"/>
  <c r="M960" i="45"/>
  <c r="N960" i="45" s="1"/>
  <c r="M959" i="45" l="1"/>
  <c r="N959" i="45" s="1"/>
  <c r="L957" i="45"/>
  <c r="L956" i="45" l="1"/>
  <c r="M958" i="45"/>
  <c r="N958" i="45" s="1"/>
  <c r="M957" i="45" l="1"/>
  <c r="N957" i="45" s="1"/>
  <c r="L955" i="45"/>
  <c r="L954" i="45" l="1"/>
  <c r="M956" i="45"/>
  <c r="N956" i="45" s="1"/>
  <c r="M955" i="45" l="1"/>
  <c r="N955" i="45" s="1"/>
  <c r="L953" i="45"/>
  <c r="L952" i="45" l="1"/>
  <c r="M954" i="45"/>
  <c r="N954" i="45" s="1"/>
  <c r="M953" i="45" l="1"/>
  <c r="N953" i="45" s="1"/>
  <c r="L951" i="45"/>
  <c r="M952" i="45" l="1"/>
  <c r="N952" i="45" s="1"/>
  <c r="L950" i="45"/>
  <c r="M951" i="45" l="1"/>
  <c r="N951" i="45" s="1"/>
  <c r="L949" i="45"/>
  <c r="L948" i="45" l="1"/>
  <c r="M950" i="45"/>
  <c r="N950" i="45" s="1"/>
  <c r="L947" i="45" l="1"/>
  <c r="M949" i="45"/>
  <c r="N949" i="45" s="1"/>
  <c r="M948" i="45" l="1"/>
  <c r="N948" i="45" s="1"/>
  <c r="L946" i="45"/>
  <c r="L945" i="45" l="1"/>
  <c r="M947" i="45"/>
  <c r="N947" i="45" s="1"/>
  <c r="L944" i="45" l="1"/>
  <c r="M946" i="45"/>
  <c r="N946" i="45" s="1"/>
  <c r="L943" i="45" l="1"/>
  <c r="M945" i="45"/>
  <c r="N945" i="45" s="1"/>
  <c r="M944" i="45" l="1"/>
  <c r="N944" i="45" s="1"/>
  <c r="L942" i="45"/>
  <c r="L941" i="45" l="1"/>
  <c r="M943" i="45"/>
  <c r="N943" i="45" s="1"/>
  <c r="L940" i="45" l="1"/>
  <c r="M942" i="45"/>
  <c r="N942" i="45" s="1"/>
  <c r="L939" i="45" l="1"/>
  <c r="M941" i="45"/>
  <c r="N941" i="45" s="1"/>
  <c r="M940" i="45" l="1"/>
  <c r="N940" i="45" s="1"/>
  <c r="L938" i="45"/>
  <c r="L937" i="45" l="1"/>
  <c r="M939" i="45"/>
  <c r="N939" i="45" s="1"/>
  <c r="L936" i="45" l="1"/>
  <c r="M938" i="45"/>
  <c r="N938" i="45" s="1"/>
  <c r="L935" i="45" l="1"/>
  <c r="M937" i="45"/>
  <c r="N937" i="45" s="1"/>
  <c r="M936" i="45" l="1"/>
  <c r="N936" i="45" s="1"/>
  <c r="L934" i="45"/>
  <c r="L933" i="45" l="1"/>
  <c r="M935" i="45"/>
  <c r="N935" i="45" s="1"/>
  <c r="L932" i="45" l="1"/>
  <c r="M934" i="45"/>
  <c r="N934" i="45" s="1"/>
  <c r="L931" i="45" l="1"/>
  <c r="M933" i="45"/>
  <c r="N933" i="45" s="1"/>
  <c r="M932" i="45" l="1"/>
  <c r="N932" i="45" s="1"/>
  <c r="L930" i="45"/>
  <c r="L929" i="45" l="1"/>
  <c r="M931" i="45"/>
  <c r="N931" i="45" s="1"/>
  <c r="L928" i="45" l="1"/>
  <c r="M930" i="45"/>
  <c r="N930" i="45" s="1"/>
  <c r="L927" i="45" l="1"/>
  <c r="M929" i="45"/>
  <c r="N929" i="45" s="1"/>
  <c r="M928" i="45" l="1"/>
  <c r="N928" i="45" s="1"/>
  <c r="L926" i="45"/>
  <c r="L925" i="45" l="1"/>
  <c r="M927" i="45"/>
  <c r="N927" i="45" s="1"/>
  <c r="L924" i="45" l="1"/>
  <c r="M926" i="45"/>
  <c r="N926" i="45" s="1"/>
  <c r="L923" i="45" l="1"/>
  <c r="M925" i="45"/>
  <c r="N925" i="45" s="1"/>
  <c r="M924" i="45" l="1"/>
  <c r="N924" i="45" s="1"/>
  <c r="L922" i="45"/>
  <c r="L921" i="45" l="1"/>
  <c r="M923" i="45"/>
  <c r="N923" i="45" s="1"/>
  <c r="L920" i="45" l="1"/>
  <c r="M922" i="45"/>
  <c r="N922" i="45" s="1"/>
  <c r="L919" i="45" l="1"/>
  <c r="M921" i="45"/>
  <c r="N921" i="45" s="1"/>
  <c r="M920" i="45" l="1"/>
  <c r="N920" i="45" s="1"/>
  <c r="L918" i="45"/>
  <c r="L917" i="45" l="1"/>
  <c r="M919" i="45"/>
  <c r="N919" i="45" s="1"/>
  <c r="L916" i="45" l="1"/>
  <c r="M918" i="45"/>
  <c r="N918" i="45" s="1"/>
  <c r="L915" i="45" l="1"/>
  <c r="M917" i="45"/>
  <c r="N917" i="45" s="1"/>
  <c r="M916" i="45" l="1"/>
  <c r="N916" i="45" s="1"/>
  <c r="L914" i="45"/>
  <c r="L913" i="45" l="1"/>
  <c r="M915" i="45"/>
  <c r="N915" i="45" s="1"/>
  <c r="L912" i="45" l="1"/>
  <c r="M914" i="45"/>
  <c r="N914" i="45" s="1"/>
  <c r="L911" i="45" l="1"/>
  <c r="M913" i="45"/>
  <c r="N913" i="45" s="1"/>
  <c r="M912" i="45" l="1"/>
  <c r="N912" i="45" s="1"/>
  <c r="L910" i="45"/>
  <c r="L909" i="45" l="1"/>
  <c r="M911" i="45"/>
  <c r="N911" i="45" s="1"/>
  <c r="L908" i="45" l="1"/>
  <c r="M910" i="45"/>
  <c r="N910" i="45" s="1"/>
  <c r="L907" i="45" l="1"/>
  <c r="M909" i="45"/>
  <c r="N909" i="45" s="1"/>
  <c r="M908" i="45" l="1"/>
  <c r="N908" i="45" s="1"/>
  <c r="L906" i="45"/>
  <c r="L905" i="45" l="1"/>
  <c r="M907" i="45"/>
  <c r="N907" i="45" s="1"/>
  <c r="L904" i="45" l="1"/>
  <c r="M906" i="45"/>
  <c r="N906" i="45" s="1"/>
  <c r="L903" i="45" l="1"/>
  <c r="M905" i="45"/>
  <c r="N905" i="45" s="1"/>
  <c r="M904" i="45" l="1"/>
  <c r="N904" i="45" s="1"/>
  <c r="L902" i="45"/>
  <c r="L901" i="45" l="1"/>
  <c r="M903" i="45"/>
  <c r="N903" i="45" s="1"/>
  <c r="L900" i="45" l="1"/>
  <c r="M902" i="45"/>
  <c r="N902" i="45" s="1"/>
  <c r="L899" i="45" l="1"/>
  <c r="M901" i="45"/>
  <c r="N901" i="45" s="1"/>
  <c r="M900" i="45" l="1"/>
  <c r="N900" i="45" s="1"/>
  <c r="L898" i="45"/>
  <c r="L897" i="45" l="1"/>
  <c r="M899" i="45"/>
  <c r="N899" i="45" s="1"/>
  <c r="L896" i="45" l="1"/>
  <c r="M898" i="45"/>
  <c r="N898" i="45" s="1"/>
  <c r="L895" i="45" l="1"/>
  <c r="M897" i="45"/>
  <c r="N897" i="45" s="1"/>
  <c r="M896" i="45" l="1"/>
  <c r="N896" i="45" s="1"/>
  <c r="L894" i="45"/>
  <c r="L893" i="45" l="1"/>
  <c r="M895" i="45"/>
  <c r="N895" i="45" s="1"/>
  <c r="L892" i="45" l="1"/>
  <c r="M894" i="45"/>
  <c r="N894" i="45" s="1"/>
  <c r="L891" i="45" l="1"/>
  <c r="M893" i="45"/>
  <c r="N893" i="45" s="1"/>
  <c r="M892" i="45" l="1"/>
  <c r="N892" i="45" s="1"/>
  <c r="L890" i="45"/>
  <c r="L889" i="45" l="1"/>
  <c r="M891" i="45"/>
  <c r="N891" i="45" s="1"/>
  <c r="L888" i="45" l="1"/>
  <c r="M890" i="45"/>
  <c r="N890" i="45" s="1"/>
  <c r="L887" i="45" l="1"/>
  <c r="M889" i="45"/>
  <c r="N889" i="45" s="1"/>
  <c r="M888" i="45" l="1"/>
  <c r="N888" i="45" s="1"/>
  <c r="L886" i="45"/>
  <c r="L885" i="45" l="1"/>
  <c r="M887" i="45"/>
  <c r="N887" i="45" s="1"/>
  <c r="L884" i="45" l="1"/>
  <c r="M886" i="45"/>
  <c r="N886" i="45" s="1"/>
  <c r="L883" i="45" l="1"/>
  <c r="M885" i="45"/>
  <c r="N885" i="45" s="1"/>
  <c r="M884" i="45" l="1"/>
  <c r="N884" i="45" s="1"/>
  <c r="L882" i="45"/>
  <c r="L881" i="45" l="1"/>
  <c r="M883" i="45"/>
  <c r="N883" i="45" s="1"/>
  <c r="L880" i="45" l="1"/>
  <c r="M882" i="45"/>
  <c r="N882" i="45" s="1"/>
  <c r="L879" i="45" l="1"/>
  <c r="M881" i="45"/>
  <c r="N881" i="45" s="1"/>
  <c r="M880" i="45" l="1"/>
  <c r="N880" i="45" s="1"/>
  <c r="L878" i="45"/>
  <c r="L877" i="45" l="1"/>
  <c r="M879" i="45"/>
  <c r="N879" i="45" s="1"/>
  <c r="L876" i="45" l="1"/>
  <c r="M878" i="45"/>
  <c r="N878" i="45" s="1"/>
  <c r="L875" i="45" l="1"/>
  <c r="M877" i="45"/>
  <c r="N877" i="45" s="1"/>
  <c r="M876" i="45" l="1"/>
  <c r="N876" i="45" s="1"/>
  <c r="L874" i="45"/>
  <c r="L873" i="45" l="1"/>
  <c r="M875" i="45"/>
  <c r="N875" i="45" s="1"/>
  <c r="L872" i="45" l="1"/>
  <c r="M874" i="45"/>
  <c r="N874" i="45" s="1"/>
  <c r="L871" i="45" l="1"/>
  <c r="M873" i="45"/>
  <c r="N873" i="45" s="1"/>
  <c r="M872" i="45" l="1"/>
  <c r="N872" i="45" s="1"/>
  <c r="L870" i="45"/>
  <c r="L869" i="45" l="1"/>
  <c r="M871" i="45"/>
  <c r="N871" i="45" s="1"/>
  <c r="L868" i="45" l="1"/>
  <c r="M870" i="45"/>
  <c r="N870" i="45" s="1"/>
  <c r="L867" i="45" l="1"/>
  <c r="M869" i="45"/>
  <c r="N869" i="45" s="1"/>
  <c r="M868" i="45" l="1"/>
  <c r="N868" i="45" s="1"/>
  <c r="L866" i="45"/>
  <c r="L865" i="45" l="1"/>
  <c r="M867" i="45"/>
  <c r="N867" i="45" s="1"/>
  <c r="L864" i="45" l="1"/>
  <c r="M866" i="45"/>
  <c r="N866" i="45" s="1"/>
  <c r="L863" i="45" l="1"/>
  <c r="M865" i="45"/>
  <c r="N865" i="45" s="1"/>
  <c r="M864" i="45" l="1"/>
  <c r="N864" i="45" s="1"/>
  <c r="L862" i="45"/>
  <c r="L861" i="45" l="1"/>
  <c r="M863" i="45"/>
  <c r="N863" i="45" s="1"/>
  <c r="L860" i="45" l="1"/>
  <c r="M862" i="45"/>
  <c r="N862" i="45" s="1"/>
  <c r="L859" i="45" l="1"/>
  <c r="M861" i="45"/>
  <c r="N861" i="45" s="1"/>
  <c r="M860" i="45" l="1"/>
  <c r="N860" i="45" s="1"/>
  <c r="L858" i="45"/>
  <c r="L857" i="45" l="1"/>
  <c r="M859" i="45"/>
  <c r="N859" i="45" s="1"/>
  <c r="L856" i="45" l="1"/>
  <c r="M858" i="45"/>
  <c r="N858" i="45" s="1"/>
  <c r="L855" i="45" l="1"/>
  <c r="M857" i="45"/>
  <c r="N857" i="45" s="1"/>
  <c r="M856" i="45" l="1"/>
  <c r="N856" i="45" s="1"/>
  <c r="L854" i="45"/>
  <c r="L853" i="45" l="1"/>
  <c r="M855" i="45"/>
  <c r="N855" i="45" s="1"/>
  <c r="L852" i="45" l="1"/>
  <c r="M854" i="45"/>
  <c r="N854" i="45" s="1"/>
  <c r="L851" i="45" l="1"/>
  <c r="M853" i="45"/>
  <c r="N853" i="45" s="1"/>
  <c r="M852" i="45" l="1"/>
  <c r="N852" i="45" s="1"/>
  <c r="L850" i="45"/>
  <c r="L849" i="45" l="1"/>
  <c r="M851" i="45"/>
  <c r="N851" i="45" s="1"/>
  <c r="L848" i="45" l="1"/>
  <c r="M850" i="45"/>
  <c r="N850" i="45" s="1"/>
  <c r="L847" i="45" l="1"/>
  <c r="M849" i="45"/>
  <c r="N849" i="45" s="1"/>
  <c r="M848" i="45" l="1"/>
  <c r="N848" i="45" s="1"/>
  <c r="L846" i="45"/>
  <c r="M847" i="45" l="1"/>
  <c r="N847" i="45" s="1"/>
  <c r="L845" i="45"/>
  <c r="L844" i="45" l="1"/>
  <c r="M846" i="45"/>
  <c r="N846" i="45" s="1"/>
  <c r="M845" i="45" l="1"/>
  <c r="N845" i="45" s="1"/>
  <c r="L843" i="45"/>
  <c r="M844" i="45" l="1"/>
  <c r="N844" i="45" s="1"/>
  <c r="L842" i="45"/>
  <c r="M843" i="45" l="1"/>
  <c r="N843" i="45" s="1"/>
  <c r="L841" i="45"/>
  <c r="L840" i="45" l="1"/>
  <c r="M842" i="45"/>
  <c r="N842" i="45" s="1"/>
  <c r="M841" i="45" l="1"/>
  <c r="N841" i="45" s="1"/>
  <c r="L839" i="45"/>
  <c r="L838" i="45" l="1"/>
  <c r="M840" i="45"/>
  <c r="N840" i="45" s="1"/>
  <c r="M839" i="45" l="1"/>
  <c r="N839" i="45" s="1"/>
  <c r="L837" i="45"/>
  <c r="L836" i="45" l="1"/>
  <c r="M838" i="45"/>
  <c r="N838" i="45" s="1"/>
  <c r="M837" i="45" l="1"/>
  <c r="N837" i="45" s="1"/>
  <c r="L835" i="45"/>
  <c r="L834" i="45" l="1"/>
  <c r="M836" i="45"/>
  <c r="N836" i="45" s="1"/>
  <c r="M835" i="45" l="1"/>
  <c r="N835" i="45" s="1"/>
  <c r="L833" i="45"/>
  <c r="L832" i="45" l="1"/>
  <c r="M834" i="45"/>
  <c r="N834" i="45" s="1"/>
  <c r="M833" i="45" l="1"/>
  <c r="N833" i="45" s="1"/>
  <c r="L831" i="45"/>
  <c r="L830" i="45" l="1"/>
  <c r="M832" i="45"/>
  <c r="N832" i="45" s="1"/>
  <c r="M831" i="45" l="1"/>
  <c r="N831" i="45" s="1"/>
  <c r="L829" i="45"/>
  <c r="L828" i="45" l="1"/>
  <c r="M830" i="45"/>
  <c r="N830" i="45" s="1"/>
  <c r="M829" i="45" l="1"/>
  <c r="N829" i="45" s="1"/>
  <c r="L827" i="45"/>
  <c r="L826" i="45" l="1"/>
  <c r="M828" i="45"/>
  <c r="N828" i="45" s="1"/>
  <c r="M827" i="45" l="1"/>
  <c r="N827" i="45" s="1"/>
  <c r="L825" i="45"/>
  <c r="L824" i="45" l="1"/>
  <c r="M826" i="45"/>
  <c r="N826" i="45" s="1"/>
  <c r="M825" i="45" l="1"/>
  <c r="N825" i="45" s="1"/>
  <c r="L823" i="45"/>
  <c r="L822" i="45" l="1"/>
  <c r="M824" i="45"/>
  <c r="N824" i="45" s="1"/>
  <c r="M823" i="45" l="1"/>
  <c r="N823" i="45" s="1"/>
  <c r="L821" i="45"/>
  <c r="L820" i="45" l="1"/>
  <c r="M822" i="45"/>
  <c r="N822" i="45" s="1"/>
  <c r="M821" i="45" l="1"/>
  <c r="N821" i="45" s="1"/>
  <c r="L819" i="45"/>
  <c r="L818" i="45" l="1"/>
  <c r="M820" i="45"/>
  <c r="N820" i="45" s="1"/>
  <c r="M819" i="45" l="1"/>
  <c r="N819" i="45" s="1"/>
  <c r="L817" i="45"/>
  <c r="M818" i="45" l="1"/>
  <c r="N818" i="45" s="1"/>
  <c r="L816" i="45"/>
  <c r="M817" i="45" l="1"/>
  <c r="N817" i="45" s="1"/>
  <c r="L815" i="45"/>
  <c r="M816" i="45" l="1"/>
  <c r="N816" i="45" s="1"/>
  <c r="L814" i="45"/>
  <c r="M815" i="45" l="1"/>
  <c r="N815" i="45" s="1"/>
  <c r="L813" i="45"/>
  <c r="L812" i="45" l="1"/>
  <c r="M814" i="45"/>
  <c r="N814" i="45" s="1"/>
  <c r="M813" i="45" l="1"/>
  <c r="N813" i="45" s="1"/>
  <c r="L811" i="45"/>
  <c r="M812" i="45" l="1"/>
  <c r="N812" i="45" s="1"/>
  <c r="L810" i="45"/>
  <c r="L809" i="45" l="1"/>
  <c r="M811" i="45"/>
  <c r="N811" i="45" s="1"/>
  <c r="L808" i="45" l="1"/>
  <c r="M810" i="45"/>
  <c r="N810" i="45" s="1"/>
  <c r="M809" i="45" l="1"/>
  <c r="N809" i="45" s="1"/>
  <c r="L807" i="45"/>
  <c r="M808" i="45" l="1"/>
  <c r="N808" i="45" s="1"/>
  <c r="L806" i="45"/>
  <c r="L805" i="45" l="1"/>
  <c r="M807" i="45"/>
  <c r="N807" i="45" s="1"/>
  <c r="L804" i="45" l="1"/>
  <c r="M806" i="45"/>
  <c r="N806" i="45" s="1"/>
  <c r="M805" i="45" l="1"/>
  <c r="N805" i="45" s="1"/>
  <c r="L803" i="45"/>
  <c r="M804" i="45" l="1"/>
  <c r="N804" i="45" s="1"/>
  <c r="L802" i="45"/>
  <c r="L801" i="45" l="1"/>
  <c r="M803" i="45"/>
  <c r="N803" i="45" s="1"/>
  <c r="L800" i="45" l="1"/>
  <c r="M802" i="45"/>
  <c r="N802" i="45" s="1"/>
  <c r="M801" i="45" l="1"/>
  <c r="N801" i="45" s="1"/>
  <c r="L799" i="45"/>
  <c r="M800" i="45" l="1"/>
  <c r="N800" i="45" s="1"/>
  <c r="L798" i="45"/>
  <c r="L797" i="45" l="1"/>
  <c r="M799" i="45"/>
  <c r="N799" i="45" s="1"/>
  <c r="L796" i="45" l="1"/>
  <c r="M798" i="45"/>
  <c r="N798" i="45" s="1"/>
  <c r="M797" i="45" l="1"/>
  <c r="N797" i="45" s="1"/>
  <c r="L795" i="45"/>
  <c r="M796" i="45" l="1"/>
  <c r="N796" i="45" s="1"/>
  <c r="L794" i="45"/>
  <c r="L793" i="45" l="1"/>
  <c r="M795" i="45"/>
  <c r="N795" i="45" s="1"/>
  <c r="L792" i="45" l="1"/>
  <c r="M794" i="45"/>
  <c r="N794" i="45" s="1"/>
  <c r="M793" i="45" l="1"/>
  <c r="N793" i="45" s="1"/>
  <c r="L791" i="45"/>
  <c r="M792" i="45" l="1"/>
  <c r="N792" i="45" s="1"/>
  <c r="L790" i="45"/>
  <c r="L789" i="45" l="1"/>
  <c r="M791" i="45"/>
  <c r="N791" i="45" s="1"/>
  <c r="L788" i="45" l="1"/>
  <c r="M790" i="45"/>
  <c r="N790" i="45" s="1"/>
  <c r="M789" i="45" l="1"/>
  <c r="N789" i="45" s="1"/>
  <c r="L787" i="45"/>
  <c r="M788" i="45" l="1"/>
  <c r="N788" i="45" s="1"/>
  <c r="L786" i="45"/>
  <c r="L785" i="45" l="1"/>
  <c r="M787" i="45"/>
  <c r="N787" i="45" s="1"/>
  <c r="L784" i="45" l="1"/>
  <c r="M786" i="45"/>
  <c r="N786" i="45" s="1"/>
  <c r="M785" i="45" l="1"/>
  <c r="N785" i="45" s="1"/>
  <c r="L783" i="45"/>
  <c r="M784" i="45" l="1"/>
  <c r="N784" i="45" s="1"/>
  <c r="L782" i="45"/>
  <c r="L781" i="45" l="1"/>
  <c r="M783" i="45"/>
  <c r="N783" i="45" s="1"/>
  <c r="L780" i="45" l="1"/>
  <c r="M782" i="45"/>
  <c r="N782" i="45" s="1"/>
  <c r="M781" i="45" l="1"/>
  <c r="N781" i="45" s="1"/>
  <c r="L779" i="45"/>
  <c r="M780" i="45" l="1"/>
  <c r="N780" i="45" s="1"/>
  <c r="L778" i="45"/>
  <c r="L777" i="45" l="1"/>
  <c r="M779" i="45"/>
  <c r="N779" i="45" s="1"/>
  <c r="L776" i="45" l="1"/>
  <c r="M778" i="45"/>
  <c r="N778" i="45" s="1"/>
  <c r="M777" i="45" l="1"/>
  <c r="N777" i="45" s="1"/>
  <c r="L775" i="45"/>
  <c r="M776" i="45" l="1"/>
  <c r="N776" i="45" s="1"/>
  <c r="L774" i="45"/>
  <c r="L773" i="45" l="1"/>
  <c r="M775" i="45"/>
  <c r="N775" i="45" s="1"/>
  <c r="L772" i="45" l="1"/>
  <c r="M774" i="45"/>
  <c r="N774" i="45" s="1"/>
  <c r="M773" i="45" l="1"/>
  <c r="N773" i="45" s="1"/>
  <c r="L771" i="45"/>
  <c r="M772" i="45" l="1"/>
  <c r="N772" i="45" s="1"/>
  <c r="L770" i="45"/>
  <c r="L769" i="45" l="1"/>
  <c r="M771" i="45"/>
  <c r="N771" i="45" s="1"/>
  <c r="L768" i="45" l="1"/>
  <c r="M770" i="45"/>
  <c r="N770" i="45" s="1"/>
  <c r="M769" i="45" l="1"/>
  <c r="N769" i="45" s="1"/>
  <c r="L767" i="45"/>
  <c r="M768" i="45" l="1"/>
  <c r="N768" i="45" s="1"/>
  <c r="L766" i="45"/>
  <c r="L765" i="45" l="1"/>
  <c r="M767" i="45"/>
  <c r="N767" i="45" s="1"/>
  <c r="L764" i="45" l="1"/>
  <c r="M766" i="45"/>
  <c r="N766" i="45" s="1"/>
  <c r="M765" i="45" l="1"/>
  <c r="N765" i="45" s="1"/>
  <c r="L763" i="45"/>
  <c r="M764" i="45" l="1"/>
  <c r="N764" i="45" s="1"/>
  <c r="L762" i="45"/>
  <c r="L761" i="45" l="1"/>
  <c r="M763" i="45"/>
  <c r="N763" i="45" s="1"/>
  <c r="L760" i="45" l="1"/>
  <c r="M762" i="45"/>
  <c r="N762" i="45" s="1"/>
  <c r="M761" i="45" l="1"/>
  <c r="N761" i="45" s="1"/>
  <c r="L759" i="45"/>
  <c r="M760" i="45" l="1"/>
  <c r="N760" i="45" s="1"/>
  <c r="L758" i="45"/>
  <c r="L757" i="45" l="1"/>
  <c r="M759" i="45"/>
  <c r="N759" i="45" s="1"/>
  <c r="L756" i="45" l="1"/>
  <c r="M758" i="45"/>
  <c r="N758" i="45" s="1"/>
  <c r="M757" i="45" l="1"/>
  <c r="N757" i="45" s="1"/>
  <c r="L755" i="45"/>
  <c r="M756" i="45" l="1"/>
  <c r="N756" i="45" s="1"/>
  <c r="L754" i="45"/>
  <c r="L753" i="45" l="1"/>
  <c r="M755" i="45"/>
  <c r="N755" i="45" s="1"/>
  <c r="L752" i="45" l="1"/>
  <c r="M754" i="45"/>
  <c r="N754" i="45" s="1"/>
  <c r="M753" i="45" l="1"/>
  <c r="N753" i="45" s="1"/>
  <c r="L751" i="45"/>
  <c r="M752" i="45" l="1"/>
  <c r="N752" i="45" s="1"/>
  <c r="L750" i="45"/>
  <c r="L749" i="45" l="1"/>
  <c r="M751" i="45"/>
  <c r="N751" i="45" s="1"/>
  <c r="L748" i="45" l="1"/>
  <c r="M750" i="45"/>
  <c r="N750" i="45" s="1"/>
  <c r="M749" i="45" l="1"/>
  <c r="N749" i="45" s="1"/>
  <c r="L747" i="45"/>
  <c r="M748" i="45" l="1"/>
  <c r="N748" i="45" s="1"/>
  <c r="L746" i="45"/>
  <c r="L745" i="45" l="1"/>
  <c r="M747" i="45"/>
  <c r="N747" i="45" s="1"/>
  <c r="L744" i="45" l="1"/>
  <c r="M746" i="45"/>
  <c r="N746" i="45" s="1"/>
  <c r="M745" i="45" l="1"/>
  <c r="N745" i="45" s="1"/>
  <c r="L743" i="45"/>
  <c r="M744" i="45" l="1"/>
  <c r="N744" i="45" s="1"/>
  <c r="L742" i="45"/>
  <c r="L741" i="45" l="1"/>
  <c r="M743" i="45"/>
  <c r="N743" i="45" s="1"/>
  <c r="L740" i="45" l="1"/>
  <c r="M742" i="45"/>
  <c r="N742" i="45" s="1"/>
  <c r="M741" i="45" l="1"/>
  <c r="N741" i="45" s="1"/>
  <c r="L739" i="45"/>
  <c r="M740" i="45" l="1"/>
  <c r="N740" i="45" s="1"/>
  <c r="L738" i="45"/>
  <c r="M739" i="45" l="1"/>
  <c r="N739" i="45" s="1"/>
  <c r="L737" i="45"/>
  <c r="L736" i="45" l="1"/>
  <c r="M738" i="45"/>
  <c r="N738" i="45" s="1"/>
  <c r="M737" i="45" l="1"/>
  <c r="N737" i="45" s="1"/>
  <c r="L735" i="45"/>
  <c r="M736" i="45" l="1"/>
  <c r="N736" i="45" s="1"/>
  <c r="L734" i="45"/>
  <c r="L733" i="45" l="1"/>
  <c r="M735" i="45"/>
  <c r="N735" i="45" s="1"/>
  <c r="L732" i="45" l="1"/>
  <c r="M734" i="45"/>
  <c r="N734" i="45" s="1"/>
  <c r="M733" i="45" l="1"/>
  <c r="N733" i="45" s="1"/>
  <c r="L731" i="45"/>
  <c r="M732" i="45" l="1"/>
  <c r="N732" i="45" s="1"/>
  <c r="L730" i="45"/>
  <c r="M731" i="45" l="1"/>
  <c r="N731" i="45" s="1"/>
  <c r="L729" i="45"/>
  <c r="L728" i="45" l="1"/>
  <c r="M730" i="45"/>
  <c r="N730" i="45" s="1"/>
  <c r="M729" i="45" l="1"/>
  <c r="N729" i="45" s="1"/>
  <c r="L727" i="45"/>
  <c r="M728" i="45" l="1"/>
  <c r="N728" i="45" s="1"/>
  <c r="L726" i="45"/>
  <c r="M727" i="45" l="1"/>
  <c r="N727" i="45" s="1"/>
  <c r="L725" i="45"/>
  <c r="L724" i="45" l="1"/>
  <c r="M726" i="45"/>
  <c r="N726" i="45" s="1"/>
  <c r="M725" i="45" l="1"/>
  <c r="N725" i="45" s="1"/>
  <c r="L723" i="45"/>
  <c r="L722" i="45" l="1"/>
  <c r="M724" i="45"/>
  <c r="N724" i="45" s="1"/>
  <c r="L721" i="45" l="1"/>
  <c r="M723" i="45"/>
  <c r="N723" i="45" s="1"/>
  <c r="L720" i="45" l="1"/>
  <c r="M722" i="45"/>
  <c r="N722" i="45" s="1"/>
  <c r="M721" i="45" l="1"/>
  <c r="N721" i="45" s="1"/>
  <c r="L719" i="45"/>
  <c r="L718" i="45" l="1"/>
  <c r="M720" i="45"/>
  <c r="N720" i="45" s="1"/>
  <c r="L717" i="45" l="1"/>
  <c r="M719" i="45"/>
  <c r="N719" i="45" s="1"/>
  <c r="L716" i="45" l="1"/>
  <c r="M718" i="45"/>
  <c r="N718" i="45" s="1"/>
  <c r="M717" i="45" l="1"/>
  <c r="N717" i="45" s="1"/>
  <c r="L715" i="45"/>
  <c r="M716" i="45" l="1"/>
  <c r="N716" i="45" s="1"/>
  <c r="L714" i="45"/>
  <c r="M715" i="45" l="1"/>
  <c r="N715" i="45" s="1"/>
  <c r="L713" i="45"/>
  <c r="L712" i="45" l="1"/>
  <c r="M714" i="45"/>
  <c r="N714" i="45" s="1"/>
  <c r="M713" i="45" l="1"/>
  <c r="N713" i="45" s="1"/>
  <c r="L711" i="45"/>
  <c r="M712" i="45" l="1"/>
  <c r="N712" i="45" s="1"/>
  <c r="L710" i="45"/>
  <c r="M711" i="45" l="1"/>
  <c r="N711" i="45" s="1"/>
  <c r="L709" i="45"/>
  <c r="L708" i="45" l="1"/>
  <c r="M710" i="45"/>
  <c r="N710" i="45" s="1"/>
  <c r="M709" i="45" l="1"/>
  <c r="N709" i="45" s="1"/>
  <c r="L707" i="45"/>
  <c r="L706" i="45" l="1"/>
  <c r="M708" i="45"/>
  <c r="N708" i="45" s="1"/>
  <c r="L705" i="45" l="1"/>
  <c r="M707" i="45"/>
  <c r="N707" i="45" s="1"/>
  <c r="L704" i="45" l="1"/>
  <c r="M706" i="45"/>
  <c r="N706" i="45" s="1"/>
  <c r="M705" i="45" l="1"/>
  <c r="N705" i="45" s="1"/>
  <c r="L703" i="45"/>
  <c r="L702" i="45" l="1"/>
  <c r="M704" i="45"/>
  <c r="N704" i="45" s="1"/>
  <c r="M703" i="45" l="1"/>
  <c r="N703" i="45" s="1"/>
  <c r="L701" i="45"/>
  <c r="M702" i="45" l="1"/>
  <c r="N702" i="45" s="1"/>
  <c r="L700" i="45"/>
  <c r="L699" i="45" l="1"/>
  <c r="M701" i="45"/>
  <c r="N701" i="45" s="1"/>
  <c r="L698" i="45" l="1"/>
  <c r="M700" i="45"/>
  <c r="N700" i="45" s="1"/>
  <c r="M699" i="45" l="1"/>
  <c r="N699" i="45" s="1"/>
  <c r="L697" i="45"/>
  <c r="M698" i="45" l="1"/>
  <c r="N698" i="45" s="1"/>
  <c r="L696" i="45"/>
  <c r="M697" i="45" l="1"/>
  <c r="N697" i="45" s="1"/>
  <c r="L695" i="45"/>
  <c r="M696" i="45" l="1"/>
  <c r="N696" i="45" s="1"/>
  <c r="L694" i="45"/>
  <c r="M695" i="45" l="1"/>
  <c r="N695" i="45" s="1"/>
  <c r="L693" i="45"/>
  <c r="L692" i="45" l="1"/>
  <c r="M694" i="45"/>
  <c r="N694" i="45" s="1"/>
  <c r="L691" i="45" l="1"/>
  <c r="M693" i="45"/>
  <c r="N693" i="45" s="1"/>
  <c r="L690" i="45" l="1"/>
  <c r="M692" i="45"/>
  <c r="N692" i="45" s="1"/>
  <c r="L689" i="45" l="1"/>
  <c r="M691" i="45"/>
  <c r="N691" i="45" s="1"/>
  <c r="L688" i="45" l="1"/>
  <c r="M690" i="45"/>
  <c r="N690" i="45" s="1"/>
  <c r="M689" i="45" l="1"/>
  <c r="N689" i="45" s="1"/>
  <c r="L687" i="45"/>
  <c r="M688" i="45" l="1"/>
  <c r="N688" i="45" s="1"/>
  <c r="L686" i="45"/>
  <c r="L685" i="45" l="1"/>
  <c r="M687" i="45"/>
  <c r="N687" i="45" s="1"/>
  <c r="L684" i="45" l="1"/>
  <c r="M686" i="45"/>
  <c r="N686" i="45" s="1"/>
  <c r="M685" i="45" l="1"/>
  <c r="N685" i="45" s="1"/>
  <c r="L683" i="45"/>
  <c r="M684" i="45" l="1"/>
  <c r="N684" i="45" s="1"/>
  <c r="L682" i="45"/>
  <c r="L681" i="45" l="1"/>
  <c r="M683" i="45"/>
  <c r="N683" i="45" s="1"/>
  <c r="M682" i="45" l="1"/>
  <c r="N682" i="45" s="1"/>
  <c r="L680" i="45"/>
  <c r="M681" i="45" l="1"/>
  <c r="N681" i="45" s="1"/>
  <c r="L679" i="45"/>
  <c r="L678" i="45" l="1"/>
  <c r="M680" i="45"/>
  <c r="N680" i="45" s="1"/>
  <c r="L677" i="45" l="1"/>
  <c r="M679" i="45"/>
  <c r="N679" i="45" s="1"/>
  <c r="L676" i="45" l="1"/>
  <c r="M678" i="45"/>
  <c r="N678" i="45" s="1"/>
  <c r="L675" i="45" l="1"/>
  <c r="M677" i="45"/>
  <c r="N677" i="45" s="1"/>
  <c r="L674" i="45" l="1"/>
  <c r="M676" i="45"/>
  <c r="N676" i="45" s="1"/>
  <c r="M675" i="45" l="1"/>
  <c r="N675" i="45" s="1"/>
  <c r="L673" i="45"/>
  <c r="M674" i="45" l="1"/>
  <c r="N674" i="45" s="1"/>
  <c r="L672" i="45"/>
  <c r="M673" i="45" l="1"/>
  <c r="N673" i="45" s="1"/>
  <c r="L671" i="45"/>
  <c r="L670" i="45" l="1"/>
  <c r="M672" i="45"/>
  <c r="N672" i="45" s="1"/>
  <c r="L669" i="45" l="1"/>
  <c r="M671" i="45"/>
  <c r="N671" i="45" s="1"/>
  <c r="L668" i="45" l="1"/>
  <c r="M670" i="45"/>
  <c r="N670" i="45" s="1"/>
  <c r="M669" i="45" l="1"/>
  <c r="N669" i="45" s="1"/>
  <c r="L667" i="45"/>
  <c r="L666" i="45" l="1"/>
  <c r="M668" i="45"/>
  <c r="N668" i="45" s="1"/>
  <c r="L665" i="45" l="1"/>
  <c r="M667" i="45"/>
  <c r="N667" i="45" s="1"/>
  <c r="L664" i="45" l="1"/>
  <c r="M666" i="45"/>
  <c r="N666" i="45" s="1"/>
  <c r="M665" i="45" l="1"/>
  <c r="N665" i="45" s="1"/>
  <c r="L663" i="45"/>
  <c r="L662" i="45" l="1"/>
  <c r="M664" i="45"/>
  <c r="N664" i="45" s="1"/>
  <c r="L661" i="45" l="1"/>
  <c r="M663" i="45"/>
  <c r="N663" i="45" s="1"/>
  <c r="L660" i="45" l="1"/>
  <c r="M662" i="45"/>
  <c r="N662" i="45" s="1"/>
  <c r="M661" i="45" l="1"/>
  <c r="N661" i="45" s="1"/>
  <c r="L659" i="45"/>
  <c r="M660" i="45" l="1"/>
  <c r="N660" i="45" s="1"/>
  <c r="L658" i="45"/>
  <c r="M659" i="45" l="1"/>
  <c r="N659" i="45" s="1"/>
  <c r="L657" i="45"/>
  <c r="L656" i="45" l="1"/>
  <c r="M658" i="45"/>
  <c r="N658" i="45" s="1"/>
  <c r="L655" i="45" l="1"/>
  <c r="M657" i="45"/>
  <c r="N657" i="45" s="1"/>
  <c r="M656" i="45" l="1"/>
  <c r="N656" i="45" s="1"/>
  <c r="L654" i="45"/>
  <c r="M655" i="45" l="1"/>
  <c r="N655" i="45" s="1"/>
  <c r="L653" i="45"/>
  <c r="M654" i="45" l="1"/>
  <c r="N654" i="45" s="1"/>
  <c r="L652" i="45"/>
  <c r="M653" i="45" l="1"/>
  <c r="N653" i="45" s="1"/>
  <c r="L651" i="45"/>
  <c r="M652" i="45" l="1"/>
  <c r="N652" i="45" s="1"/>
  <c r="L650" i="45"/>
  <c r="M651" i="45" l="1"/>
  <c r="N651" i="45" s="1"/>
  <c r="L649" i="45"/>
  <c r="L648" i="45" l="1"/>
  <c r="M650" i="45"/>
  <c r="N650" i="45" s="1"/>
  <c r="L647" i="45" l="1"/>
  <c r="M649" i="45"/>
  <c r="N649" i="45" s="1"/>
  <c r="L646" i="45" l="1"/>
  <c r="M648" i="45"/>
  <c r="N648" i="45" s="1"/>
  <c r="M647" i="45" l="1"/>
  <c r="N647" i="45" s="1"/>
  <c r="L645" i="45"/>
  <c r="M646" i="45" l="1"/>
  <c r="N646" i="45" s="1"/>
  <c r="L644" i="45"/>
  <c r="M645" i="45" l="1"/>
  <c r="N645" i="45" s="1"/>
  <c r="L643" i="45"/>
  <c r="M644" i="45" l="1"/>
  <c r="N644" i="45" s="1"/>
  <c r="L642" i="45"/>
  <c r="M643" i="45" l="1"/>
  <c r="N643" i="45" s="1"/>
  <c r="L641" i="45"/>
  <c r="L640" i="45" l="1"/>
  <c r="M642" i="45"/>
  <c r="N642" i="45" s="1"/>
  <c r="M641" i="45" l="1"/>
  <c r="N641" i="45" s="1"/>
  <c r="L639" i="45"/>
  <c r="M640" i="45" l="1"/>
  <c r="N640" i="45" s="1"/>
  <c r="L638" i="45"/>
  <c r="M639" i="45" l="1"/>
  <c r="N639" i="45" s="1"/>
  <c r="L637" i="45"/>
  <c r="M638" i="45" l="1"/>
  <c r="N638" i="45" s="1"/>
  <c r="L636" i="45"/>
  <c r="M637" i="45" l="1"/>
  <c r="N637" i="45" s="1"/>
  <c r="L635" i="45"/>
  <c r="L634" i="45" l="1"/>
  <c r="M636" i="45"/>
  <c r="N636" i="45" s="1"/>
  <c r="M635" i="45" l="1"/>
  <c r="N635" i="45" s="1"/>
  <c r="L633" i="45"/>
  <c r="M634" i="45" l="1"/>
  <c r="N634" i="45" s="1"/>
  <c r="L632" i="45"/>
  <c r="M633" i="45" l="1"/>
  <c r="N633" i="45" s="1"/>
  <c r="L631" i="45"/>
  <c r="L630" i="45" l="1"/>
  <c r="M632" i="45"/>
  <c r="N632" i="45" s="1"/>
  <c r="L629" i="45" l="1"/>
  <c r="M631" i="45"/>
  <c r="N631" i="45" s="1"/>
  <c r="M630" i="45" l="1"/>
  <c r="N630" i="45" s="1"/>
  <c r="L628" i="45"/>
  <c r="L627" i="45" l="1"/>
  <c r="M629" i="45"/>
  <c r="N629" i="45" s="1"/>
  <c r="M628" i="45" l="1"/>
  <c r="N628" i="45" s="1"/>
  <c r="L626" i="45"/>
  <c r="L625" i="45" l="1"/>
  <c r="M627" i="45"/>
  <c r="N627" i="45" s="1"/>
  <c r="M626" i="45" l="1"/>
  <c r="N626" i="45" s="1"/>
  <c r="L624" i="45"/>
  <c r="M625" i="45" l="1"/>
  <c r="N625" i="45" s="1"/>
  <c r="L623" i="45"/>
  <c r="L622" i="45" l="1"/>
  <c r="M624" i="45"/>
  <c r="N624" i="45" s="1"/>
  <c r="M623" i="45" l="1"/>
  <c r="N623" i="45" s="1"/>
  <c r="L621" i="45"/>
  <c r="L620" i="45" l="1"/>
  <c r="M622" i="45"/>
  <c r="N622" i="45" s="1"/>
  <c r="M621" i="45" l="1"/>
  <c r="N621" i="45" s="1"/>
  <c r="L619" i="45"/>
  <c r="M620" i="45" l="1"/>
  <c r="N620" i="45" s="1"/>
  <c r="L618" i="45"/>
  <c r="L617" i="45" l="1"/>
  <c r="M619" i="45"/>
  <c r="N619" i="45" s="1"/>
  <c r="L616" i="45" l="1"/>
  <c r="M618" i="45"/>
  <c r="N618" i="45" s="1"/>
  <c r="M617" i="45" l="1"/>
  <c r="N617" i="45" s="1"/>
  <c r="L615" i="45"/>
  <c r="M616" i="45" l="1"/>
  <c r="N616" i="45" s="1"/>
  <c r="L614" i="45"/>
  <c r="M615" i="45" l="1"/>
  <c r="N615" i="45" s="1"/>
  <c r="L613" i="45"/>
  <c r="L612" i="45" l="1"/>
  <c r="M614" i="45"/>
  <c r="N614" i="45" s="1"/>
  <c r="M613" i="45" l="1"/>
  <c r="N613" i="45" s="1"/>
  <c r="L611" i="45"/>
  <c r="M612" i="45" l="1"/>
  <c r="N612" i="45" s="1"/>
  <c r="L610" i="45"/>
  <c r="M611" i="45" l="1"/>
  <c r="N611" i="45" s="1"/>
  <c r="L609" i="45"/>
  <c r="L608" i="45" l="1"/>
  <c r="M610" i="45"/>
  <c r="N610" i="45" s="1"/>
  <c r="M609" i="45" l="1"/>
  <c r="N609" i="45" s="1"/>
  <c r="L607" i="45"/>
  <c r="L606" i="45" l="1"/>
  <c r="M608" i="45"/>
  <c r="N608" i="45" s="1"/>
  <c r="M607" i="45" l="1"/>
  <c r="N607" i="45" s="1"/>
  <c r="L605" i="45"/>
  <c r="M606" i="45" l="1"/>
  <c r="N606" i="45" s="1"/>
  <c r="L604" i="45"/>
  <c r="M605" i="45" l="1"/>
  <c r="N605" i="45" s="1"/>
  <c r="L603" i="45"/>
  <c r="M604" i="45" l="1"/>
  <c r="N604" i="45" s="1"/>
  <c r="L602" i="45"/>
  <c r="M603" i="45" l="1"/>
  <c r="N603" i="45" s="1"/>
  <c r="L601" i="45"/>
  <c r="M602" i="45" l="1"/>
  <c r="N602" i="45" s="1"/>
  <c r="L600" i="45"/>
  <c r="L599" i="45" l="1"/>
  <c r="M601" i="45"/>
  <c r="N601" i="45" s="1"/>
  <c r="M600" i="45" l="1"/>
  <c r="N600" i="45" s="1"/>
  <c r="L598" i="45"/>
  <c r="L597" i="45" l="1"/>
  <c r="M599" i="45"/>
  <c r="N599" i="45" s="1"/>
  <c r="L596" i="45" l="1"/>
  <c r="M598" i="45"/>
  <c r="N598" i="45" s="1"/>
  <c r="M597" i="45" l="1"/>
  <c r="N597" i="45" s="1"/>
  <c r="L595" i="45"/>
  <c r="M596" i="45" l="1"/>
  <c r="N596" i="45" s="1"/>
  <c r="L594" i="45"/>
  <c r="L593" i="45" l="1"/>
  <c r="M595" i="45"/>
  <c r="N595" i="45" s="1"/>
  <c r="M594" i="45" l="1"/>
  <c r="N594" i="45" s="1"/>
  <c r="L592" i="45"/>
  <c r="M593" i="45" l="1"/>
  <c r="N593" i="45" s="1"/>
  <c r="L591" i="45"/>
  <c r="L590" i="45" l="1"/>
  <c r="M592" i="45"/>
  <c r="N592" i="45" s="1"/>
  <c r="M591" i="45" l="1"/>
  <c r="N591" i="45" s="1"/>
  <c r="L589" i="45"/>
  <c r="M590" i="45" l="1"/>
  <c r="N590" i="45" s="1"/>
  <c r="L588" i="45"/>
  <c r="M589" i="45" l="1"/>
  <c r="N589" i="45" s="1"/>
  <c r="L587" i="45"/>
  <c r="M588" i="45" l="1"/>
  <c r="N588" i="45" s="1"/>
  <c r="L586" i="45"/>
  <c r="M587" i="45" l="1"/>
  <c r="N587" i="45" s="1"/>
  <c r="L585" i="45"/>
  <c r="M586" i="45" l="1"/>
  <c r="N586" i="45" s="1"/>
  <c r="L584" i="45"/>
  <c r="M585" i="45" l="1"/>
  <c r="N585" i="45" s="1"/>
  <c r="L583" i="45"/>
  <c r="L582" i="45" l="1"/>
  <c r="M584" i="45"/>
  <c r="N584" i="45" s="1"/>
  <c r="M583" i="45" l="1"/>
  <c r="N583" i="45" s="1"/>
  <c r="L581" i="45"/>
  <c r="L580" i="45" l="1"/>
  <c r="M582" i="45"/>
  <c r="N582" i="45" s="1"/>
  <c r="M581" i="45" l="1"/>
  <c r="N581" i="45" s="1"/>
  <c r="L579" i="45"/>
  <c r="L578" i="45" l="1"/>
  <c r="M580" i="45"/>
  <c r="N580" i="45" s="1"/>
  <c r="M579" i="45" l="1"/>
  <c r="N579" i="45" s="1"/>
  <c r="L577" i="45"/>
  <c r="M578" i="45" l="1"/>
  <c r="N578" i="45" s="1"/>
  <c r="L576" i="45"/>
  <c r="M577" i="45" l="1"/>
  <c r="N577" i="45" s="1"/>
  <c r="L575" i="45"/>
  <c r="L574" i="45" l="1"/>
  <c r="M576" i="45"/>
  <c r="N576" i="45" s="1"/>
  <c r="L573" i="45" l="1"/>
  <c r="M575" i="45"/>
  <c r="N575" i="45" s="1"/>
  <c r="M574" i="45" l="1"/>
  <c r="N574" i="45" s="1"/>
  <c r="L572" i="45"/>
  <c r="L571" i="45" l="1"/>
  <c r="M573" i="45"/>
  <c r="N573" i="45" s="1"/>
  <c r="L570" i="45" l="1"/>
  <c r="M572" i="45"/>
  <c r="N572" i="45" s="1"/>
  <c r="M571" i="45" l="1"/>
  <c r="N571" i="45" s="1"/>
  <c r="L569" i="45"/>
  <c r="M570" i="45" l="1"/>
  <c r="N570" i="45" s="1"/>
  <c r="L568" i="45"/>
  <c r="M569" i="45" l="1"/>
  <c r="N569" i="45" s="1"/>
  <c r="L567" i="45"/>
  <c r="L566" i="45" l="1"/>
  <c r="M568" i="45"/>
  <c r="N568" i="45" s="1"/>
  <c r="M567" i="45" l="1"/>
  <c r="N567" i="45" s="1"/>
  <c r="L565" i="45"/>
  <c r="L564" i="45" l="1"/>
  <c r="M566" i="45"/>
  <c r="N566" i="45" s="1"/>
  <c r="M565" i="45" l="1"/>
  <c r="N565" i="45" s="1"/>
  <c r="L563" i="45"/>
  <c r="L562" i="45" l="1"/>
  <c r="M564" i="45"/>
  <c r="N564" i="45" s="1"/>
  <c r="L561" i="45" l="1"/>
  <c r="M563" i="45"/>
  <c r="N563" i="45" s="1"/>
  <c r="M562" i="45" l="1"/>
  <c r="N562" i="45" s="1"/>
  <c r="L560" i="45"/>
  <c r="M561" i="45" l="1"/>
  <c r="N561" i="45" s="1"/>
  <c r="L559" i="45"/>
  <c r="L558" i="45" l="1"/>
  <c r="M560" i="45"/>
  <c r="N560" i="45" s="1"/>
  <c r="L557" i="45" l="1"/>
  <c r="M559" i="45"/>
  <c r="N559" i="45" s="1"/>
  <c r="M558" i="45" l="1"/>
  <c r="N558" i="45" s="1"/>
  <c r="L556" i="45"/>
  <c r="M557" i="45" l="1"/>
  <c r="N557" i="45" s="1"/>
  <c r="L555" i="45"/>
  <c r="M556" i="45" l="1"/>
  <c r="N556" i="45" s="1"/>
  <c r="L554" i="45"/>
  <c r="M555" i="45" l="1"/>
  <c r="N555" i="45" s="1"/>
  <c r="L553" i="45"/>
  <c r="M554" i="45" l="1"/>
  <c r="N554" i="45" s="1"/>
  <c r="L552" i="45"/>
  <c r="L551" i="45" l="1"/>
  <c r="M553" i="45"/>
  <c r="N553" i="45" s="1"/>
  <c r="M552" i="45" l="1"/>
  <c r="N552" i="45" s="1"/>
  <c r="L550" i="45"/>
  <c r="L549" i="45" l="1"/>
  <c r="M551" i="45"/>
  <c r="N551" i="45" s="1"/>
  <c r="M550" i="45" l="1"/>
  <c r="N550" i="45" s="1"/>
  <c r="L548" i="45"/>
  <c r="M549" i="45" l="1"/>
  <c r="N549" i="45" s="1"/>
  <c r="L547" i="45"/>
  <c r="L546" i="45" l="1"/>
  <c r="M548" i="45"/>
  <c r="N548" i="45" s="1"/>
  <c r="L545" i="45" l="1"/>
  <c r="M547" i="45"/>
  <c r="N547" i="45" s="1"/>
  <c r="M546" i="45" l="1"/>
  <c r="N546" i="45" s="1"/>
  <c r="L544" i="45"/>
  <c r="M545" i="45" l="1"/>
  <c r="N545" i="45" s="1"/>
  <c r="L543" i="45"/>
  <c r="L542" i="45" l="1"/>
  <c r="M544" i="45"/>
  <c r="N544" i="45" s="1"/>
  <c r="L541" i="45" l="1"/>
  <c r="M543" i="45"/>
  <c r="N543" i="45" s="1"/>
  <c r="M542" i="45" l="1"/>
  <c r="N542" i="45" s="1"/>
  <c r="L540" i="45"/>
  <c r="M541" i="45" l="1"/>
  <c r="N541" i="45" s="1"/>
  <c r="L539" i="45"/>
  <c r="M540" i="45" l="1"/>
  <c r="N540" i="45" s="1"/>
  <c r="L538" i="45"/>
  <c r="M539" i="45" l="1"/>
  <c r="N539" i="45" s="1"/>
  <c r="L537" i="45"/>
  <c r="M538" i="45" l="1"/>
  <c r="N538" i="45" s="1"/>
  <c r="L536" i="45"/>
  <c r="M537" i="45" l="1"/>
  <c r="N537" i="45" s="1"/>
  <c r="L535" i="45"/>
  <c r="M536" i="45" l="1"/>
  <c r="N536" i="45" s="1"/>
  <c r="L534" i="45"/>
  <c r="M535" i="45" l="1"/>
  <c r="N535" i="45" s="1"/>
  <c r="L533" i="45"/>
  <c r="M534" i="45" l="1"/>
  <c r="N534" i="45" s="1"/>
  <c r="L532" i="45"/>
  <c r="M533" i="45" l="1"/>
  <c r="N533" i="45" s="1"/>
  <c r="L531" i="45"/>
  <c r="M532" i="45" l="1"/>
  <c r="N532" i="45" s="1"/>
  <c r="L530" i="45"/>
  <c r="M531" i="45" l="1"/>
  <c r="N531" i="45" s="1"/>
  <c r="L529" i="45"/>
  <c r="L528" i="45" l="1"/>
  <c r="M530" i="45"/>
  <c r="N530" i="45" s="1"/>
  <c r="L527" i="45" l="1"/>
  <c r="M529" i="45"/>
  <c r="N529" i="45" s="1"/>
  <c r="M528" i="45" l="1"/>
  <c r="N528" i="45" s="1"/>
  <c r="L526" i="45"/>
  <c r="M527" i="45" l="1"/>
  <c r="N527" i="45" s="1"/>
  <c r="L525" i="45"/>
  <c r="L524" i="45" l="1"/>
  <c r="M526" i="45"/>
  <c r="N526" i="45" s="1"/>
  <c r="M525" i="45" l="1"/>
  <c r="N525" i="45" s="1"/>
  <c r="L523" i="45"/>
  <c r="M524" i="45" l="1"/>
  <c r="N524" i="45" s="1"/>
  <c r="L522" i="45"/>
  <c r="M523" i="45" l="1"/>
  <c r="N523" i="45" s="1"/>
  <c r="L521" i="45"/>
  <c r="L520" i="45" l="1"/>
  <c r="M522" i="45"/>
  <c r="N522" i="45" s="1"/>
  <c r="M521" i="45" l="1"/>
  <c r="N521" i="45" s="1"/>
  <c r="L519" i="45"/>
  <c r="M520" i="45" l="1"/>
  <c r="N520" i="45" s="1"/>
  <c r="L518" i="45"/>
  <c r="L517" i="45" l="1"/>
  <c r="M519" i="45"/>
  <c r="N519" i="45" s="1"/>
  <c r="L516" i="45" l="1"/>
  <c r="M518" i="45"/>
  <c r="N518" i="45" s="1"/>
  <c r="M517" i="45" l="1"/>
  <c r="N517" i="45" s="1"/>
  <c r="L515" i="45"/>
  <c r="M516" i="45" l="1"/>
  <c r="N516" i="45" s="1"/>
  <c r="L514" i="45"/>
  <c r="L513" i="45" l="1"/>
  <c r="M515" i="45"/>
  <c r="N515" i="45" s="1"/>
  <c r="M514" i="45" l="1"/>
  <c r="N514" i="45" s="1"/>
  <c r="L512" i="45"/>
  <c r="L511" i="45" l="1"/>
  <c r="M513" i="45"/>
  <c r="N513" i="45" s="1"/>
  <c r="M512" i="45" l="1"/>
  <c r="N512" i="45" s="1"/>
  <c r="L510" i="45"/>
  <c r="L509" i="45" l="1"/>
  <c r="M511" i="45"/>
  <c r="N511" i="45" s="1"/>
  <c r="L508" i="45" l="1"/>
  <c r="M510" i="45"/>
  <c r="N510" i="45" s="1"/>
  <c r="M509" i="45" l="1"/>
  <c r="N509" i="45" s="1"/>
  <c r="L507" i="45"/>
  <c r="L506" i="45" l="1"/>
  <c r="M508" i="45"/>
  <c r="N508" i="45" s="1"/>
  <c r="M507" i="45" l="1"/>
  <c r="N507" i="45" s="1"/>
  <c r="L505" i="45"/>
  <c r="M506" i="45" l="1"/>
  <c r="N506" i="45" s="1"/>
  <c r="L504" i="45"/>
  <c r="M505" i="45" l="1"/>
  <c r="N505" i="45" s="1"/>
  <c r="L503" i="45"/>
  <c r="M504" i="45" l="1"/>
  <c r="N504" i="45" s="1"/>
  <c r="L502" i="45"/>
  <c r="L501" i="45" l="1"/>
  <c r="M503" i="45"/>
  <c r="N503" i="45" s="1"/>
  <c r="L500" i="45" l="1"/>
  <c r="M502" i="45"/>
  <c r="N502" i="45" s="1"/>
  <c r="L499" i="45" l="1"/>
  <c r="M501" i="45"/>
  <c r="N501" i="45" s="1"/>
  <c r="M500" i="45" l="1"/>
  <c r="N500" i="45" s="1"/>
  <c r="L498" i="45"/>
  <c r="L497" i="45" l="1"/>
  <c r="M499" i="45"/>
  <c r="N499" i="45" s="1"/>
  <c r="M498" i="45" l="1"/>
  <c r="N498" i="45" s="1"/>
  <c r="L496" i="45"/>
  <c r="L495" i="45" l="1"/>
  <c r="M497" i="45"/>
  <c r="N497" i="45" s="1"/>
  <c r="M496" i="45" l="1"/>
  <c r="N496" i="45" s="1"/>
  <c r="L494" i="45"/>
  <c r="L493" i="45" l="1"/>
  <c r="M495" i="45"/>
  <c r="N495" i="45" s="1"/>
  <c r="M494" i="45" l="1"/>
  <c r="N494" i="45" s="1"/>
  <c r="L492" i="45"/>
  <c r="L491" i="45" l="1"/>
  <c r="M493" i="45"/>
  <c r="N493" i="45" s="1"/>
  <c r="M492" i="45" l="1"/>
  <c r="N492" i="45" s="1"/>
  <c r="L490" i="45"/>
  <c r="L489" i="45" l="1"/>
  <c r="M491" i="45"/>
  <c r="N491" i="45" s="1"/>
  <c r="M490" i="45" l="1"/>
  <c r="N490" i="45" s="1"/>
  <c r="L488" i="45"/>
  <c r="M489" i="45" l="1"/>
  <c r="N489" i="45" s="1"/>
  <c r="L487" i="45"/>
  <c r="M488" i="45" l="1"/>
  <c r="N488" i="45" s="1"/>
  <c r="L486" i="45"/>
  <c r="L485" i="45" l="1"/>
  <c r="M487" i="45"/>
  <c r="N487" i="45" s="1"/>
  <c r="L484" i="45" l="1"/>
  <c r="M486" i="45"/>
  <c r="N486" i="45" s="1"/>
  <c r="M485" i="45" l="1"/>
  <c r="N485" i="45" s="1"/>
  <c r="L483" i="45"/>
  <c r="M484" i="45" l="1"/>
  <c r="N484" i="45" s="1"/>
  <c r="L482" i="45"/>
  <c r="L481" i="45" l="1"/>
  <c r="M483" i="45"/>
  <c r="N483" i="45" s="1"/>
  <c r="M482" i="45" l="1"/>
  <c r="N482" i="45" s="1"/>
  <c r="L480" i="45"/>
  <c r="L479" i="45" l="1"/>
  <c r="M481" i="45"/>
  <c r="N481" i="45" s="1"/>
  <c r="M480" i="45" l="1"/>
  <c r="N480" i="45" s="1"/>
  <c r="L478" i="45"/>
  <c r="L477" i="45" l="1"/>
  <c r="M479" i="45"/>
  <c r="N479" i="45" s="1"/>
  <c r="L476" i="45" l="1"/>
  <c r="M478" i="45"/>
  <c r="N478" i="45" s="1"/>
  <c r="M477" i="45" l="1"/>
  <c r="N477" i="45" s="1"/>
  <c r="L475" i="45"/>
  <c r="M476" i="45" l="1"/>
  <c r="N476" i="45" s="1"/>
  <c r="L474" i="45"/>
  <c r="M475" i="45" l="1"/>
  <c r="N475" i="45" s="1"/>
  <c r="L473" i="45"/>
  <c r="M474" i="45" l="1"/>
  <c r="N474" i="45" s="1"/>
  <c r="L472" i="45"/>
  <c r="L471" i="45" l="1"/>
  <c r="M473" i="45"/>
  <c r="N473" i="45" s="1"/>
  <c r="M472" i="45" l="1"/>
  <c r="N472" i="45" s="1"/>
  <c r="L470" i="45"/>
  <c r="L469" i="45" l="1"/>
  <c r="M471" i="45"/>
  <c r="N471" i="45" s="1"/>
  <c r="L468" i="45" l="1"/>
  <c r="M470" i="45"/>
  <c r="N470" i="45" s="1"/>
  <c r="M469" i="45" l="1"/>
  <c r="N469" i="45" s="1"/>
  <c r="L467" i="45"/>
  <c r="M468" i="45" l="1"/>
  <c r="N468" i="45" s="1"/>
  <c r="L466" i="45"/>
  <c r="L465" i="45" l="1"/>
  <c r="M467" i="45"/>
  <c r="N467" i="45" s="1"/>
  <c r="M466" i="45" l="1"/>
  <c r="N466" i="45" s="1"/>
  <c r="L464" i="45"/>
  <c r="L463" i="45" l="1"/>
  <c r="M465" i="45"/>
  <c r="N465" i="45" s="1"/>
  <c r="M464" i="45" l="1"/>
  <c r="N464" i="45" s="1"/>
  <c r="L462" i="45"/>
  <c r="L461" i="45" l="1"/>
  <c r="M463" i="45"/>
  <c r="N463" i="45" s="1"/>
  <c r="L460" i="45" l="1"/>
  <c r="M462" i="45"/>
  <c r="N462" i="45" s="1"/>
  <c r="M461" i="45" l="1"/>
  <c r="N461" i="45" s="1"/>
  <c r="L459" i="45"/>
  <c r="M460" i="45" l="1"/>
  <c r="N460" i="45" s="1"/>
  <c r="L458" i="45"/>
  <c r="M459" i="45" l="1"/>
  <c r="N459" i="45" s="1"/>
  <c r="L457" i="45"/>
  <c r="M458" i="45" l="1"/>
  <c r="N458" i="45" s="1"/>
  <c r="L456" i="45"/>
  <c r="M457" i="45" l="1"/>
  <c r="N457" i="45" s="1"/>
  <c r="L455" i="45"/>
  <c r="M456" i="45" l="1"/>
  <c r="N456" i="45" s="1"/>
  <c r="L454" i="45"/>
  <c r="M455" i="45" l="1"/>
  <c r="N455" i="45" s="1"/>
  <c r="L453" i="45"/>
  <c r="M454" i="45" l="1"/>
  <c r="N454" i="45" s="1"/>
  <c r="L452" i="45"/>
  <c r="M453" i="45" l="1"/>
  <c r="N453" i="45" s="1"/>
  <c r="L451" i="45"/>
  <c r="L450" i="45" l="1"/>
  <c r="M452" i="45"/>
  <c r="N452" i="45" s="1"/>
  <c r="M451" i="45" l="1"/>
  <c r="N451" i="45" s="1"/>
  <c r="L449" i="45"/>
  <c r="M450" i="45" l="1"/>
  <c r="N450" i="45" s="1"/>
  <c r="L448" i="45"/>
  <c r="M449" i="45" l="1"/>
  <c r="N449" i="45" s="1"/>
  <c r="L447" i="45"/>
  <c r="M448" i="45" l="1"/>
  <c r="N448" i="45" s="1"/>
  <c r="L446" i="45"/>
  <c r="L445" i="45" l="1"/>
  <c r="M447" i="45"/>
  <c r="N447" i="45" s="1"/>
  <c r="M446" i="45" l="1"/>
  <c r="N446" i="45" s="1"/>
  <c r="L444" i="45"/>
  <c r="M445" i="45" l="1"/>
  <c r="N445" i="45" s="1"/>
  <c r="L443" i="45"/>
  <c r="M444" i="45" l="1"/>
  <c r="N444" i="45" s="1"/>
  <c r="L442" i="45"/>
  <c r="L441" i="45" l="1"/>
  <c r="M443" i="45"/>
  <c r="N443" i="45" s="1"/>
  <c r="L440" i="45" l="1"/>
  <c r="M442" i="45"/>
  <c r="N442" i="45" s="1"/>
  <c r="L439" i="45" l="1"/>
  <c r="M441" i="45"/>
  <c r="N441" i="45" s="1"/>
  <c r="M440" i="45" l="1"/>
  <c r="N440" i="45" s="1"/>
  <c r="L438" i="45"/>
  <c r="M439" i="45" l="1"/>
  <c r="N439" i="45" s="1"/>
  <c r="L437" i="45"/>
  <c r="M438" i="45" l="1"/>
  <c r="N438" i="45" s="1"/>
  <c r="L436" i="45"/>
  <c r="M437" i="45" l="1"/>
  <c r="N437" i="45" s="1"/>
  <c r="L435" i="45"/>
  <c r="M436" i="45" l="1"/>
  <c r="N436" i="45" s="1"/>
  <c r="L434" i="45"/>
  <c r="L433" i="45" l="1"/>
  <c r="M435" i="45"/>
  <c r="N435" i="45" s="1"/>
  <c r="L432" i="45" l="1"/>
  <c r="M434" i="45"/>
  <c r="N434" i="45" s="1"/>
  <c r="M433" i="45" l="1"/>
  <c r="N433" i="45" s="1"/>
  <c r="L431" i="45"/>
  <c r="M432" i="45" l="1"/>
  <c r="N432" i="45" s="1"/>
  <c r="L430" i="45"/>
  <c r="M431" i="45" l="1"/>
  <c r="N431" i="45" s="1"/>
  <c r="L429" i="45"/>
  <c r="L428" i="45" l="1"/>
  <c r="M430" i="45"/>
  <c r="N430" i="45" s="1"/>
  <c r="M429" i="45" l="1"/>
  <c r="N429" i="45" s="1"/>
  <c r="L427" i="45"/>
  <c r="L426" i="45" l="1"/>
  <c r="M428" i="45"/>
  <c r="N428" i="45" s="1"/>
  <c r="L425" i="45" l="1"/>
  <c r="M427" i="45"/>
  <c r="N427" i="45" s="1"/>
  <c r="L424" i="45" l="1"/>
  <c r="M426" i="45"/>
  <c r="N426" i="45" s="1"/>
  <c r="L423" i="45" l="1"/>
  <c r="M425" i="45"/>
  <c r="N425" i="45" s="1"/>
  <c r="M424" i="45" l="1"/>
  <c r="N424" i="45" s="1"/>
  <c r="L422" i="45"/>
  <c r="L421" i="45" l="1"/>
  <c r="M423" i="45"/>
  <c r="N423" i="45" s="1"/>
  <c r="M422" i="45" l="1"/>
  <c r="N422" i="45" s="1"/>
  <c r="L420" i="45"/>
  <c r="M421" i="45" l="1"/>
  <c r="N421" i="45" s="1"/>
  <c r="L419" i="45"/>
  <c r="M420" i="45" l="1"/>
  <c r="N420" i="45" s="1"/>
  <c r="L418" i="45"/>
  <c r="M419" i="45" l="1"/>
  <c r="N419" i="45" s="1"/>
  <c r="L417" i="45"/>
  <c r="M418" i="45" l="1"/>
  <c r="N418" i="45" s="1"/>
  <c r="L416" i="45"/>
  <c r="M417" i="45" l="1"/>
  <c r="N417" i="45" s="1"/>
  <c r="L415" i="45"/>
  <c r="L414" i="45" l="1"/>
  <c r="M416" i="45"/>
  <c r="N416" i="45" s="1"/>
  <c r="M415" i="45" l="1"/>
  <c r="N415" i="45" s="1"/>
  <c r="L413" i="45"/>
  <c r="L412" i="45" l="1"/>
  <c r="M414" i="45"/>
  <c r="N414" i="45" s="1"/>
  <c r="M413" i="45" l="1"/>
  <c r="N413" i="45" s="1"/>
  <c r="L411" i="45"/>
  <c r="L410" i="45" l="1"/>
  <c r="M412" i="45"/>
  <c r="N412" i="45" s="1"/>
  <c r="M411" i="45" l="1"/>
  <c r="N411" i="45" s="1"/>
  <c r="L409" i="45"/>
  <c r="M410" i="45" l="1"/>
  <c r="N410" i="45" s="1"/>
  <c r="L408" i="45"/>
  <c r="M409" i="45" l="1"/>
  <c r="N409" i="45" s="1"/>
  <c r="L407" i="45"/>
  <c r="L406" i="45" l="1"/>
  <c r="M408" i="45"/>
  <c r="N408" i="45" s="1"/>
  <c r="L405" i="45" l="1"/>
  <c r="M407" i="45"/>
  <c r="N407" i="45" s="1"/>
  <c r="M406" i="45" l="1"/>
  <c r="N406" i="45" s="1"/>
  <c r="L404" i="45"/>
  <c r="M405" i="45" l="1"/>
  <c r="N405" i="45" s="1"/>
  <c r="L403" i="45"/>
  <c r="L402" i="45" l="1"/>
  <c r="M404" i="45"/>
  <c r="N404" i="45" s="1"/>
  <c r="M403" i="45" l="1"/>
  <c r="N403" i="45" s="1"/>
  <c r="L401" i="45"/>
  <c r="M402" i="45" l="1"/>
  <c r="N402" i="45" s="1"/>
  <c r="L400" i="45"/>
  <c r="M401" i="45" l="1"/>
  <c r="N401" i="45" s="1"/>
  <c r="L399" i="45"/>
  <c r="L398" i="45" l="1"/>
  <c r="M400" i="45"/>
  <c r="N400" i="45" s="1"/>
  <c r="L397" i="45" l="1"/>
  <c r="M399" i="45"/>
  <c r="N399" i="45" s="1"/>
  <c r="M398" i="45" l="1"/>
  <c r="N398" i="45" s="1"/>
  <c r="L396" i="45"/>
  <c r="M397" i="45" l="1"/>
  <c r="N397" i="45" s="1"/>
  <c r="L395" i="45"/>
  <c r="L394" i="45" l="1"/>
  <c r="M396" i="45"/>
  <c r="N396" i="45" s="1"/>
  <c r="M395" i="45" l="1"/>
  <c r="N395" i="45" s="1"/>
  <c r="L393" i="45"/>
  <c r="M394" i="45" l="1"/>
  <c r="N394" i="45" s="1"/>
  <c r="L392" i="45"/>
  <c r="M393" i="45" l="1"/>
  <c r="N393" i="45" s="1"/>
  <c r="L391" i="45"/>
  <c r="M392" i="45" l="1"/>
  <c r="N392" i="45" s="1"/>
  <c r="L390" i="45"/>
  <c r="L389" i="45" l="1"/>
  <c r="M391" i="45"/>
  <c r="N391" i="45" s="1"/>
  <c r="L388" i="45" l="1"/>
  <c r="M390" i="45"/>
  <c r="N390" i="45" s="1"/>
  <c r="L387" i="45" l="1"/>
  <c r="M389" i="45"/>
  <c r="N389" i="45" s="1"/>
  <c r="M388" i="45" l="1"/>
  <c r="N388" i="45" s="1"/>
  <c r="L386" i="45"/>
  <c r="M387" i="45" l="1"/>
  <c r="N387" i="45" s="1"/>
  <c r="L385" i="45"/>
  <c r="L384" i="45" l="1"/>
  <c r="M386" i="45"/>
  <c r="N386" i="45" s="1"/>
  <c r="M385" i="45" l="1"/>
  <c r="N385" i="45" s="1"/>
  <c r="L383" i="45"/>
  <c r="L382" i="45" l="1"/>
  <c r="M384" i="45"/>
  <c r="N384" i="45" s="1"/>
  <c r="L381" i="45" l="1"/>
  <c r="M383" i="45"/>
  <c r="N383" i="45" s="1"/>
  <c r="L380" i="45" l="1"/>
  <c r="M382" i="45"/>
  <c r="N382" i="45" s="1"/>
  <c r="M381" i="45" l="1"/>
  <c r="N381" i="45" s="1"/>
  <c r="L379" i="45"/>
  <c r="L378" i="45" l="1"/>
  <c r="M380" i="45"/>
  <c r="N380" i="45" s="1"/>
  <c r="L377" i="45" l="1"/>
  <c r="M379" i="45"/>
  <c r="N379" i="45" s="1"/>
  <c r="M378" i="45" l="1"/>
  <c r="N378" i="45" s="1"/>
  <c r="L376" i="45"/>
  <c r="L375" i="45" l="1"/>
  <c r="M377" i="45"/>
  <c r="N377" i="45" s="1"/>
  <c r="L374" i="45" l="1"/>
  <c r="M376" i="45"/>
  <c r="N376" i="45" s="1"/>
  <c r="L373" i="45" l="1"/>
  <c r="M375" i="45"/>
  <c r="N375" i="45" s="1"/>
  <c r="L372" i="45" l="1"/>
  <c r="M374" i="45"/>
  <c r="N374" i="45" s="1"/>
  <c r="M373" i="45" l="1"/>
  <c r="N373" i="45" s="1"/>
  <c r="L371" i="45"/>
  <c r="L370" i="45" l="1"/>
  <c r="M372" i="45"/>
  <c r="N372" i="45" s="1"/>
  <c r="L369" i="45" l="1"/>
  <c r="M371" i="45"/>
  <c r="N371" i="45" s="1"/>
  <c r="M370" i="45" l="1"/>
  <c r="N370" i="45" s="1"/>
  <c r="L368" i="45"/>
  <c r="M369" i="45" l="1"/>
  <c r="N369" i="45" s="1"/>
  <c r="L367" i="45"/>
  <c r="M368" i="45" l="1"/>
  <c r="N368" i="45" s="1"/>
  <c r="L366" i="45"/>
  <c r="L365" i="45" l="1"/>
  <c r="M367" i="45"/>
  <c r="N367" i="45" s="1"/>
  <c r="L364" i="45" l="1"/>
  <c r="M366" i="45"/>
  <c r="N366" i="45" s="1"/>
  <c r="M365" i="45" l="1"/>
  <c r="N365" i="45" s="1"/>
  <c r="L363" i="45"/>
  <c r="L362" i="45" l="1"/>
  <c r="M364" i="45"/>
  <c r="N364" i="45" s="1"/>
  <c r="M363" i="45" l="1"/>
  <c r="N363" i="45" s="1"/>
  <c r="L361" i="45"/>
  <c r="M362" i="45" l="1"/>
  <c r="N362" i="45" s="1"/>
  <c r="L360" i="45"/>
  <c r="M361" i="45" l="1"/>
  <c r="N361" i="45" s="1"/>
  <c r="L359" i="45"/>
  <c r="L358" i="45" l="1"/>
  <c r="M360" i="45"/>
  <c r="N360" i="45" s="1"/>
  <c r="L357" i="45" l="1"/>
  <c r="M359" i="45"/>
  <c r="N359" i="45" s="1"/>
  <c r="L356" i="45" l="1"/>
  <c r="M358" i="45"/>
  <c r="N358" i="45" s="1"/>
  <c r="M357" i="45" l="1"/>
  <c r="N357" i="45" s="1"/>
  <c r="L355" i="45"/>
  <c r="L354" i="45" l="1"/>
  <c r="M356" i="45"/>
  <c r="N356" i="45" s="1"/>
  <c r="M355" i="45" l="1"/>
  <c r="N355" i="45" s="1"/>
  <c r="L353" i="45"/>
  <c r="M354" i="45" l="1"/>
  <c r="N354" i="45" s="1"/>
  <c r="L352" i="45"/>
  <c r="M353" i="45" l="1"/>
  <c r="N353" i="45" s="1"/>
  <c r="L351" i="45"/>
  <c r="L350" i="45" l="1"/>
  <c r="M352" i="45"/>
  <c r="N352" i="45" s="1"/>
  <c r="M351" i="45" l="1"/>
  <c r="N351" i="45" s="1"/>
  <c r="L349" i="45"/>
  <c r="M350" i="45" l="1"/>
  <c r="N350" i="45" s="1"/>
  <c r="L348" i="45"/>
  <c r="L347" i="45" l="1"/>
  <c r="M349" i="45"/>
  <c r="N349" i="45" s="1"/>
  <c r="M348" i="45" l="1"/>
  <c r="N348" i="45" s="1"/>
  <c r="L346" i="45"/>
  <c r="M347" i="45" l="1"/>
  <c r="N347" i="45" s="1"/>
  <c r="L345" i="45"/>
  <c r="M346" i="45" l="1"/>
  <c r="N346" i="45" s="1"/>
  <c r="L344" i="45"/>
  <c r="L343" i="45" l="1"/>
  <c r="M345" i="45"/>
  <c r="N345" i="45" s="1"/>
  <c r="L342" i="45" l="1"/>
  <c r="M344" i="45"/>
  <c r="N344" i="45" s="1"/>
  <c r="L341" i="45" l="1"/>
  <c r="M343" i="45"/>
  <c r="N343" i="45" s="1"/>
  <c r="L340" i="45" l="1"/>
  <c r="M342" i="45"/>
  <c r="N342" i="45" s="1"/>
  <c r="M341" i="45" l="1"/>
  <c r="N341" i="45" s="1"/>
  <c r="L339" i="45"/>
  <c r="M340" i="45" l="1"/>
  <c r="N340" i="45" s="1"/>
  <c r="L338" i="45"/>
  <c r="L337" i="45" l="1"/>
  <c r="M339" i="45"/>
  <c r="N339" i="45" s="1"/>
  <c r="L336" i="45" l="1"/>
  <c r="M338" i="45"/>
  <c r="N338" i="45" s="1"/>
  <c r="L335" i="45" l="1"/>
  <c r="M337" i="45"/>
  <c r="N337" i="45" s="1"/>
  <c r="M336" i="45" l="1"/>
  <c r="N336" i="45" s="1"/>
  <c r="L334" i="45"/>
  <c r="M335" i="45" l="1"/>
  <c r="N335" i="45" s="1"/>
  <c r="L333" i="45"/>
  <c r="M334" i="45" l="1"/>
  <c r="N334" i="45" s="1"/>
  <c r="L332" i="45"/>
  <c r="L331" i="45" l="1"/>
  <c r="M333" i="45"/>
  <c r="N333" i="45" s="1"/>
  <c r="M332" i="45" l="1"/>
  <c r="N332" i="45" s="1"/>
  <c r="L330" i="45"/>
  <c r="M331" i="45" l="1"/>
  <c r="N331" i="45" s="1"/>
  <c r="L329" i="45"/>
  <c r="M330" i="45" l="1"/>
  <c r="N330" i="45" s="1"/>
  <c r="L328" i="45"/>
  <c r="L327" i="45" l="1"/>
  <c r="M329" i="45"/>
  <c r="N329" i="45" s="1"/>
  <c r="L326" i="45" l="1"/>
  <c r="M328" i="45"/>
  <c r="N328" i="45" s="1"/>
  <c r="L325" i="45" l="1"/>
  <c r="M327" i="45"/>
  <c r="N327" i="45" s="1"/>
  <c r="L324" i="45" l="1"/>
  <c r="M326" i="45"/>
  <c r="N326" i="45" s="1"/>
  <c r="M325" i="45" l="1"/>
  <c r="N325" i="45" s="1"/>
  <c r="L323" i="45"/>
  <c r="M324" i="45" l="1"/>
  <c r="N324" i="45" s="1"/>
  <c r="L322" i="45"/>
  <c r="L321" i="45" l="1"/>
  <c r="M323" i="45"/>
  <c r="N323" i="45" s="1"/>
  <c r="L320" i="45" l="1"/>
  <c r="M322" i="45"/>
  <c r="N322" i="45" s="1"/>
  <c r="L319" i="45" l="1"/>
  <c r="M321" i="45"/>
  <c r="N321" i="45" s="1"/>
  <c r="M320" i="45" l="1"/>
  <c r="N320" i="45" s="1"/>
  <c r="L318" i="45"/>
  <c r="L317" i="45" l="1"/>
  <c r="M319" i="45"/>
  <c r="N319" i="45" s="1"/>
  <c r="L316" i="45" l="1"/>
  <c r="M318" i="45"/>
  <c r="N318" i="45" s="1"/>
  <c r="M317" i="45" l="1"/>
  <c r="N317" i="45" s="1"/>
  <c r="L315" i="45"/>
  <c r="M316" i="45" l="1"/>
  <c r="N316" i="45" s="1"/>
  <c r="L314" i="45"/>
  <c r="L313" i="45" l="1"/>
  <c r="M315" i="45"/>
  <c r="N315" i="45" s="1"/>
  <c r="M314" i="45" l="1"/>
  <c r="N314" i="45" s="1"/>
  <c r="L312" i="45"/>
  <c r="L311" i="45" l="1"/>
  <c r="M313" i="45"/>
  <c r="N313" i="45" s="1"/>
  <c r="M312" i="45" l="1"/>
  <c r="N312" i="45" s="1"/>
  <c r="L310" i="45"/>
  <c r="L309" i="45" l="1"/>
  <c r="M311" i="45"/>
  <c r="N311" i="45" s="1"/>
  <c r="L308" i="45" l="1"/>
  <c r="M310" i="45"/>
  <c r="N310" i="45" s="1"/>
  <c r="M309" i="45" l="1"/>
  <c r="N309" i="45" s="1"/>
  <c r="L307" i="45"/>
  <c r="M308" i="45" l="1"/>
  <c r="N308" i="45" s="1"/>
  <c r="L306" i="45"/>
  <c r="L305" i="45" l="1"/>
  <c r="M307" i="45"/>
  <c r="N307" i="45" s="1"/>
  <c r="L304" i="45" l="1"/>
  <c r="M306" i="45"/>
  <c r="N306" i="45" s="1"/>
  <c r="M305" i="45" l="1"/>
  <c r="N305" i="45" s="1"/>
  <c r="L303" i="45"/>
  <c r="M304" i="45" l="1"/>
  <c r="N304" i="45" s="1"/>
  <c r="L302" i="45"/>
  <c r="L301" i="45" l="1"/>
  <c r="M303" i="45"/>
  <c r="N303" i="45" s="1"/>
  <c r="L300" i="45" l="1"/>
  <c r="M302" i="45"/>
  <c r="N302" i="45" s="1"/>
  <c r="L299" i="45" l="1"/>
  <c r="M301" i="45"/>
  <c r="N301" i="45" s="1"/>
  <c r="L298" i="45" l="1"/>
  <c r="M300" i="45"/>
  <c r="N300" i="45" s="1"/>
  <c r="L297" i="45" l="1"/>
  <c r="M299" i="45"/>
  <c r="N299" i="45" s="1"/>
  <c r="L296" i="45" l="1"/>
  <c r="M298" i="45"/>
  <c r="N298" i="45" s="1"/>
  <c r="L295" i="45" l="1"/>
  <c r="M297" i="45"/>
  <c r="N297" i="45" s="1"/>
  <c r="L294" i="45" l="1"/>
  <c r="M296" i="45"/>
  <c r="N296" i="45" s="1"/>
  <c r="M295" i="45" l="1"/>
  <c r="N295" i="45" s="1"/>
  <c r="L293" i="45"/>
  <c r="L292" i="45" l="1"/>
  <c r="M294" i="45"/>
  <c r="N294" i="45" s="1"/>
  <c r="L291" i="45" l="1"/>
  <c r="M293" i="45"/>
  <c r="N293" i="45" s="1"/>
  <c r="L290" i="45" l="1"/>
  <c r="M292" i="45"/>
  <c r="N292" i="45" s="1"/>
  <c r="M291" i="45" l="1"/>
  <c r="N291" i="45" s="1"/>
  <c r="L289" i="45"/>
  <c r="M290" i="45" l="1"/>
  <c r="N290" i="45" s="1"/>
  <c r="L288" i="45"/>
  <c r="M289" i="45" l="1"/>
  <c r="N289" i="45" s="1"/>
  <c r="L287" i="45"/>
  <c r="L286" i="45" l="1"/>
  <c r="M288" i="45"/>
  <c r="N288" i="45" s="1"/>
  <c r="L285" i="45" l="1"/>
  <c r="M287" i="45"/>
  <c r="N287" i="45" s="1"/>
  <c r="M286" i="45" l="1"/>
  <c r="N286" i="45" s="1"/>
  <c r="L284" i="45"/>
  <c r="M285" i="45" l="1"/>
  <c r="N285" i="45" s="1"/>
  <c r="L283" i="45"/>
  <c r="M284" i="45" l="1"/>
  <c r="N284" i="45" s="1"/>
  <c r="L282" i="45"/>
  <c r="M283" i="45" l="1"/>
  <c r="N283" i="45" s="1"/>
  <c r="L281" i="45"/>
  <c r="M282" i="45" l="1"/>
  <c r="N282" i="45" s="1"/>
  <c r="L280" i="45"/>
  <c r="L279" i="45" l="1"/>
  <c r="M281" i="45"/>
  <c r="N281" i="45" s="1"/>
  <c r="M280" i="45" l="1"/>
  <c r="N280" i="45" s="1"/>
  <c r="L278" i="45"/>
  <c r="M279" i="45" l="1"/>
  <c r="N279" i="45" s="1"/>
  <c r="L277" i="45"/>
  <c r="M278" i="45" l="1"/>
  <c r="N278" i="45" s="1"/>
  <c r="L276" i="45"/>
  <c r="M277" i="45" l="1"/>
  <c r="N277" i="45" s="1"/>
  <c r="L275" i="45"/>
  <c r="M276" i="45" l="1"/>
  <c r="N276" i="45" s="1"/>
  <c r="L274" i="45"/>
  <c r="L273" i="45" l="1"/>
  <c r="M275" i="45"/>
  <c r="N275" i="45" s="1"/>
  <c r="M274" i="45" l="1"/>
  <c r="N274" i="45" s="1"/>
  <c r="L272" i="45"/>
  <c r="L271" i="45" l="1"/>
  <c r="M273" i="45"/>
  <c r="N273" i="45" s="1"/>
  <c r="L270" i="45" l="1"/>
  <c r="M272" i="45"/>
  <c r="N272" i="45" s="1"/>
  <c r="M271" i="45" l="1"/>
  <c r="N271" i="45" s="1"/>
  <c r="L269" i="45"/>
  <c r="M270" i="45" l="1"/>
  <c r="N270" i="45" s="1"/>
  <c r="L268" i="45"/>
  <c r="L267" i="45" l="1"/>
  <c r="M269" i="45"/>
  <c r="N269" i="45" s="1"/>
  <c r="M268" i="45" l="1"/>
  <c r="N268" i="45" s="1"/>
  <c r="L266" i="45"/>
  <c r="L265" i="45" l="1"/>
  <c r="M267" i="45"/>
  <c r="N267" i="45" s="1"/>
  <c r="L264" i="45" l="1"/>
  <c r="M266" i="45"/>
  <c r="N266" i="45" s="1"/>
  <c r="M265" i="45" l="1"/>
  <c r="N265" i="45" s="1"/>
  <c r="L263" i="45"/>
  <c r="M264" i="45" l="1"/>
  <c r="N264" i="45" s="1"/>
  <c r="L262" i="45"/>
  <c r="L261" i="45" l="1"/>
  <c r="M263" i="45"/>
  <c r="N263" i="45" s="1"/>
  <c r="L260" i="45" l="1"/>
  <c r="M262" i="45"/>
  <c r="N262" i="45" s="1"/>
  <c r="L259" i="45" l="1"/>
  <c r="M261" i="45"/>
  <c r="N261" i="45" s="1"/>
  <c r="M260" i="45" l="1"/>
  <c r="N260" i="45" s="1"/>
  <c r="L258" i="45"/>
  <c r="L257" i="45" l="1"/>
  <c r="M259" i="45"/>
  <c r="N259" i="45" s="1"/>
  <c r="L256" i="45" l="1"/>
  <c r="M258" i="45"/>
  <c r="N258" i="45" s="1"/>
  <c r="L255" i="45" l="1"/>
  <c r="M257" i="45"/>
  <c r="N257" i="45" s="1"/>
  <c r="M256" i="45" l="1"/>
  <c r="N256" i="45" s="1"/>
  <c r="L254" i="45"/>
  <c r="M255" i="45" l="1"/>
  <c r="N255" i="45" s="1"/>
  <c r="L253" i="45"/>
  <c r="M254" i="45" l="1"/>
  <c r="N254" i="45" s="1"/>
  <c r="L252" i="45"/>
  <c r="L251" i="45" l="1"/>
  <c r="M253" i="45"/>
  <c r="N253" i="45" s="1"/>
  <c r="M252" i="45" l="1"/>
  <c r="N252" i="45" s="1"/>
  <c r="L250" i="45"/>
  <c r="M251" i="45" l="1"/>
  <c r="N251" i="45" s="1"/>
  <c r="L249" i="45"/>
  <c r="M250" i="45" l="1"/>
  <c r="N250" i="45" s="1"/>
  <c r="L248" i="45"/>
  <c r="M249" i="45" l="1"/>
  <c r="N249" i="45" s="1"/>
  <c r="L247" i="45"/>
  <c r="L246" i="45" l="1"/>
  <c r="M248" i="45"/>
  <c r="N248" i="45" s="1"/>
  <c r="L245" i="45" l="1"/>
  <c r="M247" i="45"/>
  <c r="N247" i="45" s="1"/>
  <c r="M246" i="45" l="1"/>
  <c r="N246" i="45" s="1"/>
  <c r="L244" i="45"/>
  <c r="M245" i="45" l="1"/>
  <c r="N245" i="45" s="1"/>
  <c r="L243" i="45"/>
  <c r="L242" i="45" l="1"/>
  <c r="M244" i="45"/>
  <c r="N244" i="45" s="1"/>
  <c r="L241" i="45" l="1"/>
  <c r="M243" i="45"/>
  <c r="N243" i="45" s="1"/>
  <c r="M242" i="45" l="1"/>
  <c r="N242" i="45" s="1"/>
  <c r="L240" i="45"/>
  <c r="L239" i="45" l="1"/>
  <c r="M241" i="45"/>
  <c r="N241" i="45" s="1"/>
  <c r="M240" i="45" l="1"/>
  <c r="N240" i="45" s="1"/>
  <c r="L238" i="45"/>
  <c r="L237" i="45" l="1"/>
  <c r="M239" i="45"/>
  <c r="N239" i="45" s="1"/>
  <c r="M238" i="45" l="1"/>
  <c r="N238" i="45" s="1"/>
  <c r="L236" i="45"/>
  <c r="L235" i="45" l="1"/>
  <c r="M237" i="45"/>
  <c r="N237" i="45" s="1"/>
  <c r="L234" i="45" l="1"/>
  <c r="M236" i="45"/>
  <c r="N236" i="45" s="1"/>
  <c r="L233" i="45" l="1"/>
  <c r="M235" i="45"/>
  <c r="N235" i="45" s="1"/>
  <c r="M234" i="45" l="1"/>
  <c r="N234" i="45" s="1"/>
  <c r="L232" i="45"/>
  <c r="L231" i="45" l="1"/>
  <c r="M233" i="45"/>
  <c r="N233" i="45" s="1"/>
  <c r="L230" i="45" l="1"/>
  <c r="M232" i="45"/>
  <c r="N232" i="45" s="1"/>
  <c r="L229" i="45" l="1"/>
  <c r="M231" i="45"/>
  <c r="N231" i="45" s="1"/>
  <c r="L228" i="45" l="1"/>
  <c r="M230" i="45"/>
  <c r="N230" i="45" s="1"/>
  <c r="L227" i="45" l="1"/>
  <c r="M229" i="45"/>
  <c r="N229" i="45" s="1"/>
  <c r="M228" i="45" l="1"/>
  <c r="N228" i="45" s="1"/>
  <c r="L226" i="45"/>
  <c r="M227" i="45" l="1"/>
  <c r="N227" i="45" s="1"/>
  <c r="L225" i="45"/>
  <c r="L224" i="45" l="1"/>
  <c r="M226" i="45"/>
  <c r="N226" i="45" s="1"/>
  <c r="L223" i="45" l="1"/>
  <c r="M225" i="45"/>
  <c r="N225" i="45" s="1"/>
  <c r="L222" i="45" l="1"/>
  <c r="M224" i="45"/>
  <c r="N224" i="45" s="1"/>
  <c r="M223" i="45" l="1"/>
  <c r="N223" i="45" s="1"/>
  <c r="L221" i="45"/>
  <c r="M222" i="45" l="1"/>
  <c r="N222" i="45" s="1"/>
  <c r="L220" i="45"/>
  <c r="M221" i="45" l="1"/>
  <c r="N221" i="45" s="1"/>
  <c r="L219" i="45"/>
  <c r="M220" i="45" l="1"/>
  <c r="N220" i="45" s="1"/>
  <c r="L218" i="45"/>
  <c r="M219" i="45" l="1"/>
  <c r="N219" i="45" s="1"/>
  <c r="L217" i="45"/>
  <c r="M218" i="45" l="1"/>
  <c r="N218" i="45" s="1"/>
  <c r="L216" i="45"/>
  <c r="M217" i="45" l="1"/>
  <c r="N217" i="45" s="1"/>
  <c r="L215" i="45"/>
  <c r="L214" i="45" l="1"/>
  <c r="M216" i="45"/>
  <c r="N216" i="45" s="1"/>
  <c r="L213" i="45" l="1"/>
  <c r="M215" i="45"/>
  <c r="N215" i="45" s="1"/>
  <c r="M214" i="45" l="1"/>
  <c r="N214" i="45" s="1"/>
  <c r="L212" i="45"/>
  <c r="L211" i="45" l="1"/>
  <c r="M213" i="45"/>
  <c r="N213" i="45" s="1"/>
  <c r="L210" i="45" l="1"/>
  <c r="M212" i="45"/>
  <c r="N212" i="45" s="1"/>
  <c r="L209" i="45" l="1"/>
  <c r="M211" i="45"/>
  <c r="N211" i="45" s="1"/>
  <c r="M210" i="45" l="1"/>
  <c r="N210" i="45" s="1"/>
  <c r="L208" i="45"/>
  <c r="L207" i="45" l="1"/>
  <c r="M209" i="45"/>
  <c r="N209" i="45" s="1"/>
  <c r="L206" i="45" l="1"/>
  <c r="M208" i="45"/>
  <c r="N208" i="45" s="1"/>
  <c r="L205" i="45" l="1"/>
  <c r="M207" i="45"/>
  <c r="N207" i="45" s="1"/>
  <c r="L204" i="45" l="1"/>
  <c r="M206" i="45"/>
  <c r="N206" i="45" s="1"/>
  <c r="M205" i="45" l="1"/>
  <c r="N205" i="45" s="1"/>
  <c r="L203" i="45"/>
  <c r="M204" i="45" l="1"/>
  <c r="N204" i="45" s="1"/>
  <c r="L202" i="45"/>
  <c r="M203" i="45" l="1"/>
  <c r="N203" i="45" s="1"/>
  <c r="L201" i="45"/>
  <c r="M202" i="45" l="1"/>
  <c r="N202" i="45" s="1"/>
  <c r="L200" i="45"/>
  <c r="M201" i="45" l="1"/>
  <c r="N201" i="45" s="1"/>
  <c r="L199" i="45"/>
  <c r="M200" i="45" l="1"/>
  <c r="N200" i="45" s="1"/>
  <c r="L198" i="45"/>
  <c r="M199" i="45" l="1"/>
  <c r="N199" i="45" s="1"/>
  <c r="L197" i="45"/>
  <c r="L196" i="45" l="1"/>
  <c r="M198" i="45"/>
  <c r="N198" i="45" s="1"/>
  <c r="M197" i="45" l="1"/>
  <c r="N197" i="45" s="1"/>
  <c r="L195" i="45"/>
  <c r="M196" i="45" l="1"/>
  <c r="N196" i="45" s="1"/>
  <c r="L194" i="45"/>
  <c r="L193" i="45" l="1"/>
  <c r="M195" i="45"/>
  <c r="N195" i="45" s="1"/>
  <c r="M194" i="45" l="1"/>
  <c r="N194" i="45" s="1"/>
  <c r="L192" i="45"/>
  <c r="M193" i="45" l="1"/>
  <c r="N193" i="45" s="1"/>
  <c r="L191" i="45"/>
  <c r="L190" i="45" l="1"/>
  <c r="M192" i="45"/>
  <c r="N192" i="45" s="1"/>
  <c r="M191" i="45" l="1"/>
  <c r="N191" i="45" s="1"/>
  <c r="L189" i="45"/>
  <c r="M190" i="45" l="1"/>
  <c r="N190" i="45" s="1"/>
  <c r="L188" i="45"/>
  <c r="M189" i="45" l="1"/>
  <c r="N189" i="45" s="1"/>
  <c r="L187" i="45"/>
  <c r="M188" i="45" l="1"/>
  <c r="N188" i="45" s="1"/>
  <c r="L186" i="45"/>
  <c r="M187" i="45" l="1"/>
  <c r="N187" i="45" s="1"/>
  <c r="L185" i="45"/>
  <c r="L184" i="45" l="1"/>
  <c r="M186" i="45"/>
  <c r="N186" i="45" s="1"/>
  <c r="L183" i="45" l="1"/>
  <c r="M185" i="45"/>
  <c r="N185" i="45" s="1"/>
  <c r="L182" i="45" l="1"/>
  <c r="M184" i="45"/>
  <c r="N184" i="45" s="1"/>
  <c r="L181" i="45" l="1"/>
  <c r="M183" i="45"/>
  <c r="N183" i="45" s="1"/>
  <c r="L180" i="45" l="1"/>
  <c r="M182" i="45"/>
  <c r="N182" i="45" s="1"/>
  <c r="M181" i="45" l="1"/>
  <c r="N181" i="45" s="1"/>
  <c r="L179" i="45"/>
  <c r="M180" i="45" l="1"/>
  <c r="N180" i="45" s="1"/>
  <c r="L178" i="45"/>
  <c r="M179" i="45" l="1"/>
  <c r="N179" i="45" s="1"/>
  <c r="L177" i="45"/>
  <c r="M178" i="45" l="1"/>
  <c r="N178" i="45" s="1"/>
  <c r="L176" i="45"/>
  <c r="M177" i="45" l="1"/>
  <c r="N177" i="45" s="1"/>
  <c r="L175" i="45"/>
  <c r="L174" i="45" l="1"/>
  <c r="M176" i="45"/>
  <c r="N176" i="45" s="1"/>
  <c r="M175" i="45" l="1"/>
  <c r="N175" i="45" s="1"/>
  <c r="L173" i="45"/>
  <c r="M174" i="45" l="1"/>
  <c r="N174" i="45" s="1"/>
  <c r="L172" i="45"/>
  <c r="M173" i="45" l="1"/>
  <c r="N173" i="45" s="1"/>
  <c r="L171" i="45"/>
  <c r="M172" i="45" l="1"/>
  <c r="N172" i="45" s="1"/>
  <c r="L170" i="45"/>
  <c r="L169" i="45" l="1"/>
  <c r="M171" i="45"/>
  <c r="N171" i="45" s="1"/>
  <c r="M170" i="45" l="1"/>
  <c r="N170" i="45" s="1"/>
  <c r="L168" i="45"/>
  <c r="M169" i="45" l="1"/>
  <c r="N169" i="45" s="1"/>
  <c r="L167" i="45"/>
  <c r="M168" i="45" l="1"/>
  <c r="N168" i="45" s="1"/>
  <c r="L166" i="45"/>
  <c r="L165" i="45" l="1"/>
  <c r="M167" i="45"/>
  <c r="N167" i="45" s="1"/>
  <c r="M166" i="45" l="1"/>
  <c r="N166" i="45" s="1"/>
  <c r="L164" i="45"/>
  <c r="M165" i="45" l="1"/>
  <c r="N165" i="45" s="1"/>
  <c r="L163" i="45"/>
  <c r="M164" i="45" l="1"/>
  <c r="N164" i="45" s="1"/>
  <c r="L162" i="45"/>
  <c r="L161" i="45" l="1"/>
  <c r="M163" i="45"/>
  <c r="N163" i="45" s="1"/>
  <c r="M162" i="45" l="1"/>
  <c r="N162" i="45" s="1"/>
  <c r="L160" i="45"/>
  <c r="L159" i="45" l="1"/>
  <c r="M161" i="45"/>
  <c r="N161" i="45" s="1"/>
  <c r="L158" i="45" l="1"/>
  <c r="M160" i="45"/>
  <c r="N160" i="45" s="1"/>
  <c r="L157" i="45" l="1"/>
  <c r="M159" i="45"/>
  <c r="N159" i="45" s="1"/>
  <c r="M158" i="45" l="1"/>
  <c r="N158" i="45" s="1"/>
  <c r="L156" i="45"/>
  <c r="M157" i="45" l="1"/>
  <c r="N157" i="45" s="1"/>
  <c r="L155" i="45"/>
  <c r="M156" i="45" l="1"/>
  <c r="N156" i="45" s="1"/>
  <c r="L154" i="45"/>
  <c r="M155" i="45" l="1"/>
  <c r="N155" i="45" s="1"/>
  <c r="L153" i="45"/>
  <c r="L152" i="45" l="1"/>
  <c r="M154" i="45"/>
  <c r="N154" i="45" s="1"/>
  <c r="M153" i="45" l="1"/>
  <c r="N153" i="45" s="1"/>
  <c r="L151" i="45"/>
  <c r="M152" i="45" l="1"/>
  <c r="N152" i="45" s="1"/>
  <c r="L150" i="45"/>
  <c r="L149" i="45" l="1"/>
  <c r="M151" i="45"/>
  <c r="N151" i="45" s="1"/>
  <c r="L148" i="45" l="1"/>
  <c r="M150" i="45"/>
  <c r="N150" i="45" s="1"/>
  <c r="L147" i="45" l="1"/>
  <c r="M149" i="45"/>
  <c r="N149" i="45" s="1"/>
  <c r="L146" i="45" l="1"/>
  <c r="M148" i="45"/>
  <c r="N148" i="45" s="1"/>
  <c r="M147" i="45" l="1"/>
  <c r="N147" i="45" s="1"/>
  <c r="L145" i="45"/>
  <c r="L144" i="45" l="1"/>
  <c r="M146" i="45"/>
  <c r="N146" i="45" s="1"/>
  <c r="L143" i="45" l="1"/>
  <c r="M145" i="45"/>
  <c r="N145" i="45" s="1"/>
  <c r="M144" i="45" l="1"/>
  <c r="N144" i="45" s="1"/>
  <c r="L142" i="45"/>
  <c r="L141" i="45" l="1"/>
  <c r="M143" i="45"/>
  <c r="N143" i="45" s="1"/>
  <c r="L140" i="45" l="1"/>
  <c r="M142" i="45"/>
  <c r="N142" i="45" s="1"/>
  <c r="M141" i="45" l="1"/>
  <c r="N141" i="45" s="1"/>
  <c r="L139" i="45"/>
  <c r="L138" i="45" l="1"/>
  <c r="M140" i="45"/>
  <c r="N140" i="45" s="1"/>
  <c r="L137" i="45" l="1"/>
  <c r="M139" i="45"/>
  <c r="N139" i="45" s="1"/>
  <c r="L136" i="45" l="1"/>
  <c r="M138" i="45"/>
  <c r="N138" i="45" s="1"/>
  <c r="L135" i="45" l="1"/>
  <c r="M137" i="45"/>
  <c r="N137" i="45" s="1"/>
  <c r="M136" i="45" l="1"/>
  <c r="N136" i="45" s="1"/>
  <c r="L134" i="45"/>
  <c r="L133" i="45" l="1"/>
  <c r="M135" i="45"/>
  <c r="N135" i="45" s="1"/>
  <c r="L132" i="45" l="1"/>
  <c r="M134" i="45"/>
  <c r="N134" i="45" s="1"/>
  <c r="M133" i="45" l="1"/>
  <c r="N133" i="45" s="1"/>
  <c r="L131" i="45"/>
  <c r="M132" i="45" l="1"/>
  <c r="N132" i="45" s="1"/>
  <c r="L130" i="45"/>
  <c r="L129" i="45" l="1"/>
  <c r="M131" i="45"/>
  <c r="N131" i="45" s="1"/>
  <c r="L128" i="45" l="1"/>
  <c r="M130" i="45"/>
  <c r="N130" i="45" s="1"/>
  <c r="M129" i="45" l="1"/>
  <c r="N129" i="45" s="1"/>
  <c r="L127" i="45"/>
  <c r="L126" i="45" l="1"/>
  <c r="M128" i="45"/>
  <c r="N128" i="45" s="1"/>
  <c r="M127" i="45" l="1"/>
  <c r="N127" i="45" s="1"/>
  <c r="L125" i="45"/>
  <c r="M126" i="45" l="1"/>
  <c r="N126" i="45" s="1"/>
  <c r="L124" i="45"/>
  <c r="M125" i="45" l="1"/>
  <c r="N125" i="45" s="1"/>
  <c r="L123" i="45"/>
  <c r="M124" i="45" l="1"/>
  <c r="N124" i="45" s="1"/>
  <c r="L122" i="45"/>
  <c r="L121" i="45" l="1"/>
  <c r="M123" i="45"/>
  <c r="N123" i="45" s="1"/>
  <c r="L120" i="45" l="1"/>
  <c r="M122" i="45"/>
  <c r="N122" i="45" s="1"/>
  <c r="M121" i="45" l="1"/>
  <c r="N121" i="45" s="1"/>
  <c r="L119" i="45"/>
  <c r="M120" i="45" l="1"/>
  <c r="N120" i="45" s="1"/>
  <c r="L118" i="45"/>
  <c r="M119" i="45" l="1"/>
  <c r="N119" i="45" s="1"/>
  <c r="L117" i="45"/>
  <c r="L116" i="45" l="1"/>
  <c r="M118" i="45"/>
  <c r="N118" i="45" s="1"/>
  <c r="M117" i="45" l="1"/>
  <c r="N117" i="45" s="1"/>
  <c r="L115" i="45"/>
  <c r="M116" i="45" l="1"/>
  <c r="N116" i="45" s="1"/>
  <c r="L114" i="45"/>
  <c r="L113" i="45" l="1"/>
  <c r="M115" i="45"/>
  <c r="N115" i="45" s="1"/>
  <c r="L112" i="45" l="1"/>
  <c r="M114" i="45"/>
  <c r="N114" i="45" s="1"/>
  <c r="L111" i="45" l="1"/>
  <c r="M113" i="45"/>
  <c r="N113" i="45" s="1"/>
  <c r="M112" i="45" l="1"/>
  <c r="N112" i="45" s="1"/>
  <c r="L110" i="45"/>
  <c r="L109" i="45" l="1"/>
  <c r="M111" i="45"/>
  <c r="N111" i="45" s="1"/>
  <c r="M110" i="45" l="1"/>
  <c r="N110" i="45" s="1"/>
  <c r="L108" i="45"/>
  <c r="M109" i="45" l="1"/>
  <c r="N109" i="45" s="1"/>
  <c r="L107" i="45"/>
  <c r="L106" i="45" l="1"/>
  <c r="M108" i="45"/>
  <c r="N108" i="45" s="1"/>
  <c r="L105" i="45" l="1"/>
  <c r="M107" i="45"/>
  <c r="N107" i="45" s="1"/>
  <c r="M106" i="45" l="1"/>
  <c r="N106" i="45" s="1"/>
  <c r="L104" i="45"/>
  <c r="M105" i="45" l="1"/>
  <c r="N105" i="45" s="1"/>
  <c r="L103" i="45"/>
  <c r="M104" i="45" l="1"/>
  <c r="N104" i="45" s="1"/>
  <c r="L102" i="45"/>
  <c r="L101" i="45" l="1"/>
  <c r="M103" i="45"/>
  <c r="N103" i="45" s="1"/>
  <c r="L100" i="45" l="1"/>
  <c r="M102" i="45"/>
  <c r="N102" i="45" s="1"/>
  <c r="M101" i="45" l="1"/>
  <c r="N101" i="45" s="1"/>
  <c r="L99" i="45"/>
  <c r="M100" i="45" l="1"/>
  <c r="N100" i="45" s="1"/>
  <c r="L98" i="45"/>
  <c r="M99" i="45" l="1"/>
  <c r="N99" i="45" s="1"/>
  <c r="L97" i="45"/>
  <c r="M98" i="45" l="1"/>
  <c r="N98" i="45" s="1"/>
  <c r="L96" i="45"/>
  <c r="M97" i="45" l="1"/>
  <c r="N97" i="45" s="1"/>
  <c r="L95" i="45"/>
  <c r="M96" i="45" l="1"/>
  <c r="N96" i="45" s="1"/>
  <c r="L94" i="45"/>
  <c r="L93" i="45" l="1"/>
  <c r="M95" i="45"/>
  <c r="N95" i="45" s="1"/>
  <c r="M94" i="45" l="1"/>
  <c r="N94" i="45" s="1"/>
  <c r="L92" i="45"/>
  <c r="M93" i="45" l="1"/>
  <c r="N93" i="45" s="1"/>
  <c r="L91" i="45"/>
  <c r="M92" i="45" l="1"/>
  <c r="N92" i="45" s="1"/>
  <c r="L90" i="45"/>
  <c r="L89" i="45" l="1"/>
  <c r="M91" i="45"/>
  <c r="N91" i="45" s="1"/>
  <c r="M90" i="45" l="1"/>
  <c r="N90" i="45" s="1"/>
  <c r="L88" i="45"/>
  <c r="M89" i="45" l="1"/>
  <c r="N89" i="45" s="1"/>
  <c r="L87" i="45"/>
  <c r="L86" i="45" l="1"/>
  <c r="M88" i="45"/>
  <c r="N88" i="45" s="1"/>
  <c r="M87" i="45" l="1"/>
  <c r="N87" i="45" s="1"/>
  <c r="L85" i="45"/>
  <c r="M86" i="45" l="1"/>
  <c r="N86" i="45" s="1"/>
  <c r="L84" i="45"/>
  <c r="L83" i="45" l="1"/>
  <c r="M85" i="45"/>
  <c r="N85" i="45" s="1"/>
  <c r="M84" i="45" l="1"/>
  <c r="N84" i="45" s="1"/>
  <c r="L82" i="45"/>
  <c r="M83" i="45" l="1"/>
  <c r="N83" i="45" s="1"/>
  <c r="L81" i="45"/>
  <c r="L80" i="45" l="1"/>
  <c r="M82" i="45"/>
  <c r="N82" i="45" s="1"/>
  <c r="L79" i="45" l="1"/>
  <c r="M81" i="45"/>
  <c r="N81" i="45" s="1"/>
  <c r="M80" i="45" l="1"/>
  <c r="N80" i="45" s="1"/>
  <c r="L78" i="45"/>
  <c r="M79" i="45" l="1"/>
  <c r="N79" i="45" s="1"/>
  <c r="L77" i="45"/>
  <c r="L76" i="45" l="1"/>
  <c r="M78" i="45"/>
  <c r="N78" i="45" s="1"/>
  <c r="L75" i="45" l="1"/>
  <c r="M77" i="45"/>
  <c r="N77" i="45" s="1"/>
  <c r="M76" i="45" l="1"/>
  <c r="N76" i="45" s="1"/>
  <c r="L74" i="45"/>
  <c r="M75" i="45" l="1"/>
  <c r="N75" i="45" s="1"/>
  <c r="L73" i="45"/>
  <c r="M74" i="45" l="1"/>
  <c r="N74" i="45" s="1"/>
  <c r="L72" i="45"/>
  <c r="L71" i="45" l="1"/>
  <c r="M73" i="45"/>
  <c r="N73" i="45" s="1"/>
  <c r="M72" i="45" l="1"/>
  <c r="N72" i="45" s="1"/>
  <c r="L70" i="45"/>
  <c r="M71" i="45" l="1"/>
  <c r="N71" i="45" s="1"/>
  <c r="L69" i="45"/>
  <c r="M70" i="45" l="1"/>
  <c r="N70" i="45" s="1"/>
  <c r="L68" i="45"/>
  <c r="L67" i="45" l="1"/>
  <c r="M69" i="45"/>
  <c r="N69" i="45" s="1"/>
  <c r="L66" i="45" l="1"/>
  <c r="M68" i="45"/>
  <c r="N68" i="45" s="1"/>
  <c r="M67" i="45" l="1"/>
  <c r="N67" i="45" s="1"/>
  <c r="L65" i="45"/>
  <c r="M66" i="45" l="1"/>
  <c r="N66" i="45" s="1"/>
  <c r="L64" i="45"/>
  <c r="L63" i="45" l="1"/>
  <c r="M65" i="45"/>
  <c r="N65" i="45" s="1"/>
  <c r="M64" i="45" l="1"/>
  <c r="N64" i="45" s="1"/>
  <c r="L62" i="45"/>
  <c r="L61" i="45" l="1"/>
  <c r="M63" i="45"/>
  <c r="N63" i="45" s="1"/>
  <c r="M62" i="45" l="1"/>
  <c r="N62" i="45" s="1"/>
  <c r="L60" i="45"/>
  <c r="M61" i="45" l="1"/>
  <c r="N61" i="45" s="1"/>
  <c r="L59" i="45"/>
  <c r="M60" i="45" l="1"/>
  <c r="N60" i="45" s="1"/>
  <c r="L58" i="45"/>
  <c r="M59" i="45" l="1"/>
  <c r="N59" i="45" s="1"/>
  <c r="L57" i="45"/>
  <c r="M58" i="45" l="1"/>
  <c r="N58" i="45" s="1"/>
  <c r="L56" i="45"/>
  <c r="M57" i="45" l="1"/>
  <c r="N57" i="45" s="1"/>
  <c r="L55" i="45"/>
  <c r="L54" i="45" l="1"/>
  <c r="M56" i="45"/>
  <c r="N56" i="45" s="1"/>
  <c r="M55" i="45" l="1"/>
  <c r="N55" i="45" s="1"/>
  <c r="L53" i="45"/>
  <c r="M54" i="45" l="1"/>
  <c r="N54" i="45" s="1"/>
  <c r="L52" i="45"/>
  <c r="M53" i="45" l="1"/>
  <c r="N53" i="45" s="1"/>
  <c r="L51" i="45"/>
  <c r="M52" i="45" l="1"/>
  <c r="N52" i="45" s="1"/>
  <c r="L50" i="45"/>
  <c r="M51" i="45" l="1"/>
  <c r="N51" i="45" s="1"/>
  <c r="L49" i="45"/>
  <c r="M50" i="45" l="1"/>
  <c r="N50" i="45" s="1"/>
  <c r="L48" i="45"/>
  <c r="L47" i="45" l="1"/>
  <c r="M49" i="45"/>
  <c r="N49" i="45" s="1"/>
  <c r="M48" i="45" l="1"/>
  <c r="N48" i="45" s="1"/>
  <c r="L46" i="45"/>
  <c r="M47" i="45" l="1"/>
  <c r="N47" i="45" s="1"/>
  <c r="L45" i="45"/>
  <c r="M46" i="45" l="1"/>
  <c r="N46" i="45" s="1"/>
  <c r="L44" i="45"/>
  <c r="L43" i="45" l="1"/>
  <c r="M45" i="45"/>
  <c r="N45" i="45" s="1"/>
  <c r="M44" i="45" l="1"/>
  <c r="N44" i="45" s="1"/>
  <c r="L42" i="45"/>
  <c r="M43" i="45" l="1"/>
  <c r="N43" i="45" s="1"/>
  <c r="L41" i="45"/>
  <c r="L40" i="45" l="1"/>
  <c r="M42" i="45"/>
  <c r="N42" i="45" s="1"/>
  <c r="L39" i="45" l="1"/>
  <c r="M41" i="45"/>
  <c r="N41" i="45" s="1"/>
  <c r="M40" i="45" l="1"/>
  <c r="N40" i="45" s="1"/>
  <c r="L38" i="45"/>
  <c r="M39" i="45" l="1"/>
  <c r="N39" i="45" s="1"/>
  <c r="L37" i="45"/>
  <c r="L36" i="45" l="1"/>
  <c r="M38" i="45"/>
  <c r="N38" i="45" s="1"/>
  <c r="L35" i="45" l="1"/>
  <c r="M37" i="45"/>
  <c r="N37" i="45" s="1"/>
  <c r="M36" i="45" l="1"/>
  <c r="N36" i="45" s="1"/>
  <c r="L34" i="45"/>
  <c r="L33" i="45" l="1"/>
  <c r="M35" i="45"/>
  <c r="N35" i="45" s="1"/>
  <c r="L32" i="45" l="1"/>
  <c r="M34" i="45"/>
  <c r="N34" i="45" s="1"/>
  <c r="M33" i="45" l="1"/>
  <c r="N33" i="45" s="1"/>
  <c r="L31" i="45"/>
  <c r="L30" i="45" l="1"/>
  <c r="M32" i="45"/>
  <c r="N32" i="45" s="1"/>
  <c r="M31" i="45" l="1"/>
  <c r="N31" i="45" s="1"/>
  <c r="L29" i="45"/>
  <c r="M30" i="45" l="1"/>
  <c r="N30" i="45" s="1"/>
  <c r="L28" i="45"/>
  <c r="M29" i="45" l="1"/>
  <c r="N29" i="45" s="1"/>
  <c r="L27" i="45"/>
  <c r="L26" i="45" l="1"/>
  <c r="M28" i="45"/>
  <c r="N28" i="45" s="1"/>
  <c r="M27" i="45" l="1"/>
  <c r="N27" i="45" s="1"/>
  <c r="L25" i="45"/>
  <c r="M26" i="45" l="1"/>
  <c r="N26" i="45" s="1"/>
  <c r="L24" i="45"/>
  <c r="M25" i="45" l="1"/>
  <c r="N25" i="45" s="1"/>
  <c r="L23" i="45"/>
  <c r="L22" i="45" l="1"/>
  <c r="M24" i="45"/>
  <c r="N24" i="45" s="1"/>
  <c r="M23" i="45" l="1"/>
  <c r="N23" i="45" s="1"/>
  <c r="L21" i="45"/>
  <c r="M22" i="45" l="1"/>
  <c r="N22" i="45" s="1"/>
  <c r="L20" i="45"/>
  <c r="M21" i="45" l="1"/>
  <c r="N21" i="45" s="1"/>
  <c r="L19" i="45"/>
  <c r="L18" i="45" l="1"/>
  <c r="M20" i="45"/>
  <c r="N20" i="45" s="1"/>
  <c r="M19" i="45" l="1"/>
  <c r="N19" i="45" s="1"/>
  <c r="L17" i="45"/>
  <c r="M18" i="45" l="1"/>
  <c r="N18" i="45" s="1"/>
  <c r="L16" i="45"/>
  <c r="M17" i="45" l="1"/>
  <c r="N17" i="45" s="1"/>
  <c r="L15" i="45"/>
  <c r="M16" i="45" l="1"/>
  <c r="N16" i="45" s="1"/>
  <c r="L14" i="45"/>
  <c r="M15" i="45" l="1"/>
  <c r="N15" i="45" s="1"/>
  <c r="L13" i="45"/>
  <c r="M14" i="45" l="1"/>
  <c r="N14" i="45" s="1"/>
  <c r="L12" i="45"/>
  <c r="M13" i="45" l="1"/>
  <c r="N13" i="45" s="1"/>
  <c r="L11" i="45"/>
  <c r="L10" i="45" l="1"/>
  <c r="M12" i="45"/>
  <c r="N12" i="45" s="1"/>
  <c r="N10" i="45" l="1"/>
  <c r="M11" i="45"/>
  <c r="N11" i="45" s="1"/>
</calcChain>
</file>

<file path=xl/comments1.xml><?xml version="1.0" encoding="utf-8"?>
<comments xmlns="http://schemas.openxmlformats.org/spreadsheetml/2006/main">
  <authors>
    <author>Sheetal Chanchal/Pune HO/Product Development/Life</author>
  </authors>
  <commentList>
    <comment ref="E12" authorId="0" shapeId="0">
      <text>
        <r>
          <rPr>
            <b/>
            <sz val="9"/>
            <color indexed="81"/>
            <rFont val="Tahoma"/>
            <family val="2"/>
          </rPr>
          <t>Sheetal Chanchal/Pune HO/Product Development/Life:</t>
        </r>
        <r>
          <rPr>
            <sz val="9"/>
            <color indexed="81"/>
            <rFont val="Tahoma"/>
            <family val="2"/>
          </rPr>
          <t xml:space="preserve">
Input before DP</t>
        </r>
      </text>
    </comment>
  </commentList>
</comments>
</file>

<file path=xl/comments2.xml><?xml version="1.0" encoding="utf-8"?>
<comments xmlns="http://schemas.openxmlformats.org/spreadsheetml/2006/main">
  <authors>
    <author>Sheetal Chanchal/Pune HO/Product Development/Life</author>
  </authors>
  <commentList>
    <comment ref="E12" authorId="0" shapeId="0">
      <text>
        <r>
          <rPr>
            <b/>
            <sz val="9"/>
            <color indexed="81"/>
            <rFont val="Tahoma"/>
            <family val="2"/>
          </rPr>
          <t>Sheetal Chanchal/Pune HO/Product Development/Life:</t>
        </r>
        <r>
          <rPr>
            <sz val="9"/>
            <color indexed="81"/>
            <rFont val="Tahoma"/>
            <family val="2"/>
          </rPr>
          <t xml:space="preserve">
Input before DP</t>
        </r>
      </text>
    </comment>
  </commentList>
</comments>
</file>

<file path=xl/sharedStrings.xml><?xml version="1.0" encoding="utf-8"?>
<sst xmlns="http://schemas.openxmlformats.org/spreadsheetml/2006/main" count="12541" uniqueCount="622">
  <si>
    <t>SAMPLE BENEFIT ILLUSTRATION</t>
  </si>
  <si>
    <t>Age</t>
  </si>
  <si>
    <t>Package</t>
  </si>
  <si>
    <t>Guarnateed 
Annuity Payable Yearly</t>
  </si>
  <si>
    <t>Age of Annuitant</t>
  </si>
  <si>
    <t>Option A</t>
  </si>
  <si>
    <t>Option B</t>
  </si>
  <si>
    <t>Option C</t>
  </si>
  <si>
    <t>Option D</t>
  </si>
  <si>
    <t>Option E</t>
  </si>
  <si>
    <t>Option F</t>
  </si>
  <si>
    <t>Joint Life Last Survivor with 100% of annuity to spouse</t>
  </si>
  <si>
    <t>Bajaj Allianz Life Insurance Company Ltd.</t>
  </si>
  <si>
    <t>Annuity Options</t>
  </si>
  <si>
    <t xml:space="preserve">Age difference /
Age of the younger annuitant
</t>
  </si>
  <si>
    <t>11-15</t>
  </si>
  <si>
    <t>16-20</t>
  </si>
  <si>
    <t>21-25</t>
  </si>
  <si>
    <t>26-30</t>
  </si>
  <si>
    <t>31-35</t>
  </si>
  <si>
    <t>36-40</t>
  </si>
  <si>
    <t xml:space="preserve">Age difference /
Age of the annuitant
</t>
  </si>
  <si>
    <t>Age-Diff</t>
  </si>
  <si>
    <t>Column</t>
  </si>
  <si>
    <t>PP Band</t>
  </si>
  <si>
    <t>Index</t>
  </si>
  <si>
    <t>JLLS100%</t>
  </si>
  <si>
    <t>JLLS_ROC</t>
  </si>
  <si>
    <t>JLLS50%</t>
  </si>
  <si>
    <t>Type of Annuity</t>
  </si>
  <si>
    <t>Table to find out the column number from the joint life tables</t>
  </si>
  <si>
    <t>Table to find out the Purchase Price Band from the respective   tables</t>
  </si>
  <si>
    <t>Table to find out the name of the respective joint life table for appropriate Purchase price</t>
  </si>
  <si>
    <t>Annuity Certain for minimum 5 years and life thereafter</t>
  </si>
  <si>
    <t>Annuity Certain for minimum 10 years and life thereafter</t>
  </si>
  <si>
    <t>Annuity Certain for minimum 15 years and life thereafter</t>
  </si>
  <si>
    <t>Annuity Certain for minimum 20 years and life thereafter</t>
  </si>
  <si>
    <t>BALIC Deferred Pension Policy proceeds to be used for purchase of this Annuity</t>
  </si>
  <si>
    <t>Valued Customer</t>
  </si>
  <si>
    <t>IF(AND(D9="Y",NOT(D10="JLLS")),0,IF(AND(D9="Y",D10="JLLS"),18,37))</t>
  </si>
  <si>
    <t>IF(AND(D14="Y",NOT(D10="JLLS")),0,IF(AND(D9="N",D14="Y"),37,18))</t>
  </si>
  <si>
    <t>Age:</t>
  </si>
  <si>
    <t>Premium Payment Term:</t>
  </si>
  <si>
    <t>Amount of Installment Premium:</t>
  </si>
  <si>
    <t>years</t>
  </si>
  <si>
    <t>Rs.</t>
  </si>
  <si>
    <t>Proposal No.</t>
  </si>
  <si>
    <t>Name of Product:</t>
  </si>
  <si>
    <t>Tag Line:</t>
  </si>
  <si>
    <t>Unique Identification No.:</t>
  </si>
  <si>
    <t>GST Rate:</t>
  </si>
  <si>
    <t>Policy Details</t>
  </si>
  <si>
    <t>Notes:</t>
  </si>
  <si>
    <t xml:space="preserve">I,……………………………………….(name), have explained the premiums and  benefits </t>
  </si>
  <si>
    <t xml:space="preserve">I………………….……………(name), having received the information with respect to the </t>
  </si>
  <si>
    <t>under the product fully to the prospect/policyholder.</t>
  </si>
  <si>
    <t>Place:</t>
  </si>
  <si>
    <t xml:space="preserve">Date: </t>
  </si>
  <si>
    <t>Signature of agent/ Intermediary/Official</t>
  </si>
  <si>
    <t>Signature of Prospect / Policyholder</t>
  </si>
  <si>
    <t>Guaranteed</t>
  </si>
  <si>
    <t>Non Guaranteed</t>
  </si>
  <si>
    <t>Policy Year</t>
  </si>
  <si>
    <t>Maturity Benefit</t>
  </si>
  <si>
    <t>Guaranteed Surrender Value</t>
  </si>
  <si>
    <t>Special Surrender Value</t>
  </si>
  <si>
    <t>Surrender Value Payable</t>
  </si>
  <si>
    <t>Annuity Option</t>
  </si>
  <si>
    <t>Annuity Frequency</t>
  </si>
  <si>
    <t>Yearly</t>
  </si>
  <si>
    <t>Quarterly</t>
  </si>
  <si>
    <t>Monthly</t>
  </si>
  <si>
    <t>Half - Yearly</t>
  </si>
  <si>
    <t>NA</t>
  </si>
  <si>
    <t>Sum Assured* Rs.</t>
  </si>
  <si>
    <t>year</t>
  </si>
  <si>
    <t>N</t>
  </si>
  <si>
    <t>Min Age</t>
  </si>
  <si>
    <t>Deferred Annuity</t>
  </si>
  <si>
    <t>Immediate Annuity</t>
  </si>
  <si>
    <t>Max Age</t>
  </si>
  <si>
    <t> In years</t>
  </si>
  <si>
    <t>Single Premium</t>
  </si>
  <si>
    <t>Regular Premium</t>
  </si>
  <si>
    <t>Minimum</t>
  </si>
  <si>
    <t>Maximum</t>
  </si>
  <si>
    <t>Deferment Period (DP)</t>
  </si>
  <si>
    <t>PPT</t>
  </si>
  <si>
    <t>Single</t>
  </si>
  <si>
    <t>Deferrnent period in Deferred Annuity</t>
  </si>
  <si>
    <t>Immediate</t>
  </si>
  <si>
    <t>Annuity Payment options</t>
  </si>
  <si>
    <t>Life annuity with Return of Purchase Price (ROP) on death of annuitant</t>
  </si>
  <si>
    <t>Life annuity</t>
  </si>
  <si>
    <t>Joint Life Last Survivor with 50% of annuity to spouse</t>
  </si>
  <si>
    <t>Life annuity with Return of Purchase Price (ROP) on death or survival</t>
  </si>
  <si>
    <t>Option G</t>
  </si>
  <si>
    <t>Life annuity with Return of Purchase Price (ROP) on death or in annual installments on survival</t>
  </si>
  <si>
    <t>Option H</t>
  </si>
  <si>
    <t>Family Pension</t>
  </si>
  <si>
    <t>Option I</t>
  </si>
  <si>
    <t>Channel</t>
  </si>
  <si>
    <t>Channels</t>
  </si>
  <si>
    <t>Direct Sales</t>
  </si>
  <si>
    <t>Other</t>
  </si>
  <si>
    <t>In Rs.</t>
  </si>
  <si>
    <t>Annuity per Instalment</t>
  </si>
  <si>
    <t>Half-yearly</t>
  </si>
  <si>
    <t xml:space="preserve">Minimum </t>
  </si>
  <si>
    <t>No Limit</t>
  </si>
  <si>
    <t>Deferment Period</t>
  </si>
  <si>
    <t>Premium Type</t>
  </si>
  <si>
    <t xml:space="preserve">PPT </t>
  </si>
  <si>
    <t>Condition</t>
  </si>
  <si>
    <t>Def annuity</t>
  </si>
  <si>
    <t>Available PPT</t>
  </si>
  <si>
    <t>Deferment period</t>
  </si>
  <si>
    <t>Annuity options available</t>
  </si>
  <si>
    <t>Annuity options chosen</t>
  </si>
  <si>
    <t xml:space="preserve">Annuity Payment Options </t>
  </si>
  <si>
    <t>Min age of Annuitant</t>
  </si>
  <si>
    <t>Max age of Annuitant</t>
  </si>
  <si>
    <t>Min age of Joint life</t>
  </si>
  <si>
    <t>Max age of Joint life</t>
  </si>
  <si>
    <t>116Nxxxxxx</t>
  </si>
  <si>
    <t>Policy Option</t>
  </si>
  <si>
    <t>Name of the First Annuitant:</t>
  </si>
  <si>
    <t>Name of the Second Annuitant (if any):</t>
  </si>
  <si>
    <t>Annuity Payment Frequency</t>
  </si>
  <si>
    <t>Age of second Annuitant (Only for JLLS)</t>
  </si>
  <si>
    <t>Name of the first Annuitant</t>
  </si>
  <si>
    <t>This benefit illustration is intended to show year-wise premiums payable and benefits under the policy.</t>
  </si>
  <si>
    <t>Purchase Price (without GST)</t>
  </si>
  <si>
    <t>Immediate Annuity Life</t>
  </si>
  <si>
    <t>Immediate Annuity Life with ROP</t>
  </si>
  <si>
    <t>Deferred Annuity Life (10 year deferment)</t>
  </si>
  <si>
    <t>Deferred Annuity Life with ROP (10 year deferment)</t>
  </si>
  <si>
    <t>Rs. 25 Lakhs</t>
  </si>
  <si>
    <t>Rohan's mail</t>
  </si>
  <si>
    <t>Installment Premium without GST</t>
  </si>
  <si>
    <t>Installment Premium with GST</t>
  </si>
  <si>
    <t>i=</t>
  </si>
  <si>
    <t>v=</t>
  </si>
  <si>
    <t>SSV calc</t>
  </si>
  <si>
    <t>6.5% current yield plus 2%</t>
  </si>
  <si>
    <t>Is BALIC Deferred Pension Policy proceeds to be used for the purchase of this Annuity?</t>
  </si>
  <si>
    <t>Single/ Regular Premium</t>
  </si>
  <si>
    <t>Annuity Payable/ survival Benefit Payable (EOY)</t>
  </si>
  <si>
    <t>Def/ Single Annuity</t>
  </si>
  <si>
    <t>Def/ Regular Annuity</t>
  </si>
  <si>
    <t>PPT chosen</t>
  </si>
  <si>
    <t>Annexure I</t>
  </si>
  <si>
    <t>Bajaj Allianz Life Guaranteed Pension Goal - Option A - Life  Annuity Rate per '000 Purchase Price for different slab of Purchase Price (PP)</t>
  </si>
  <si>
    <t>PP&lt;5Lacs</t>
  </si>
  <si>
    <t>5Lacs=&lt;PP&lt;25Lacs</t>
  </si>
  <si>
    <t>PP&gt;=25Lacs</t>
  </si>
  <si>
    <t>Bajaj Allianz Life Guaranteed Pension Goal - Option B - Return Of Purchase Price  Annuity Rate per '000 Purchase Price for different slab of Purchase Price (PP)</t>
  </si>
  <si>
    <t>PRODUCT NAME: Bajaj Allianz Life Guaranteed Pension Goal</t>
  </si>
  <si>
    <t>Bajaj Allianz Life Guaranteed Pension Goal - Option C - Annuity Rate Guaranteed for 5 years and life thereafter per '000 Purchase Price for different slab of Purchase Price (PP)</t>
  </si>
  <si>
    <t>Bajaj Allianz Life Guaranteed Pension Goal - Option C - Annuity Rate Guaranteed for 10 years and life thereafter per '000 Purchase Price for different slab of Purchase Price (PP)</t>
  </si>
  <si>
    <t>Bajaj Allianz Life Guaranteed Pension Goal - Option C - Annuity Rate Guaranteed for 15 years and life thereafter per '000 Purchase Price for different slab of Purchase Price (PP)</t>
  </si>
  <si>
    <t>Bajaj Allianz Life Guaranteed Pension Goal - Option C - Annuity Rate Guaranteed for 20 years and life thereafter per '000 Purchase Price for different slab of Purchase Price (PP)</t>
  </si>
  <si>
    <t>IGNORE</t>
  </si>
  <si>
    <t>Bajaj Allianz Life Guaranteed Pension Goal - Option D (Older Spouse) - Annuity Rate for Joint Life with 50% annuity ammount for last survivor per '000 Purchase Price for different slab of Purchase Price (PP)</t>
  </si>
  <si>
    <t>Purchase Price Band -&lt; Rs 500000</t>
  </si>
  <si>
    <t>Purchase Price Band - Rs 500000- 2500000</t>
  </si>
  <si>
    <t>Purchase Price Band &gt;= Rs 2500000</t>
  </si>
  <si>
    <t>41-45</t>
  </si>
  <si>
    <t>46-55</t>
  </si>
  <si>
    <t>Bajaj Allianz Life Guaranteed Pension Goal - Option D (Younger Spouse) - Annuity Rate for Joint Life with 50% annuity ammount for last survivor per '000 Purchase Price for different slab of Purchase Price (PP)</t>
  </si>
  <si>
    <t>Purchase Price Band &lt; Rs500000</t>
  </si>
  <si>
    <t>Bajaj Allianz Life Guaranteed Pension Goal - Option E - Annuity Rate for Joint Life with 100% annuity ammount for last survivor per '000 Purchase Price for different slab of Purchase Price (PP)</t>
  </si>
  <si>
    <t>Bajaj Allianz Life Guaranteed Pension Goal  - Option E -Annuity Rate for Joint Life with 100% annuity ammount for last survivor per '000 Purchase Price for different slab of Purchase Price (PP)</t>
  </si>
  <si>
    <t>Purchase Price Band -&lt; Rs500000</t>
  </si>
  <si>
    <t>JLL100_2</t>
  </si>
  <si>
    <t>JLLROC_3</t>
  </si>
  <si>
    <t>Bajaj Allianz Life Guaranteed Pension Goal - Option F - Annuity Rate for Joint Life with ROP on the death of last survivor per '000 Purchase Price for different slab of Purchase Price (PP)</t>
  </si>
  <si>
    <t>Bajaj Allianz Life Guaranteed Pension Goal - Option F -Annuity Rate for Joint Life with ROP on the death of last survivor per '000 Purchase Price for different slab of Purchase Price (PP)</t>
  </si>
  <si>
    <t>Bajaj Allianz Life Guaranteed Pension Goal - Option G - Return Of Purchase Price at end of 25 years or Age 85 whichever is later Annuity Rate per '000 Purchase Price for different slab of Purchase Price (PP)</t>
  </si>
  <si>
    <t>Bajaj Allianz Life Guaranteed Pension Goal - Option H - 5% of Purchase Price every year from end of 15 years or Age 70  whichever is later - Annuity Rate per '000 Purchase Price for different slab of Purchase Price (PP)</t>
  </si>
  <si>
    <t>Bajaj Allianz Life Guaranteed Pension Goal - Option A - Life  Annuity Rate per '000 Purchase Price for different slab of Purchase Price (PP) for Deferment Period of 1 year</t>
  </si>
  <si>
    <t>DP=1</t>
  </si>
  <si>
    <t>Bajaj Allianz Life Guaranteed Pension Goal - Option A - Life  Annuity Rate per '000 Purchase Price for different slab of Purchase Price (PP) for Deferment Period of 2 years</t>
  </si>
  <si>
    <t>DP=2</t>
  </si>
  <si>
    <t>Bajaj Allianz Life Guaranteed Pension Goal - Option A - Life  Annuity Rate per '000 Purchase Price for different slab of Purchase Price (PP) for Deferment Period of 3 years</t>
  </si>
  <si>
    <t>DP=3</t>
  </si>
  <si>
    <t>Bajaj Allianz Life Guaranteed Pension Goal - Option A - Life  Annuity Rate per '000 Purchase Price for different slab of Purchase Price (PP) for Deferment Period of 4 years</t>
  </si>
  <si>
    <t>DP=4</t>
  </si>
  <si>
    <t>Bajaj Allianz Life Guaranteed Pension Goal - Option A - Life  Annuity Rate per '000 Purchase Price for different slab of Purchase Price (PP) for Deferment Period of 5 years</t>
  </si>
  <si>
    <t>DP=5</t>
  </si>
  <si>
    <t>Bajaj Allianz Life Guaranteed Pension Goal - Option A - Life  Annuity Rate per '000 Purchase Price for different slab of Purchase Price (PP) for Deferment Period of 6 years</t>
  </si>
  <si>
    <t>DP=6</t>
  </si>
  <si>
    <t>Bajaj Allianz Life Guaranteed Pension Goal - Option A - Life  Annuity Rate per '000 Purchase Price for different slab of Purchase Price (PP) for Deferment Period of 7 years</t>
  </si>
  <si>
    <t>DP=7</t>
  </si>
  <si>
    <t>Bajaj Allianz Life Guaranteed Pension Goal - Option A - Life  Annuity Rate per '000 Purchase Price for different slab of Purchase Price (PP) for Deferment Period of 8 years</t>
  </si>
  <si>
    <t>DP=8</t>
  </si>
  <si>
    <t>Bajaj Allianz Life Guaranteed Pension Goal - Option A - Life  Annuity Rate per '000 Purchase Price for different slab of Purchase Price (PP) for Deferment Period of 9 years</t>
  </si>
  <si>
    <t>DP=9</t>
  </si>
  <si>
    <t>Bajaj Allianz Life Guaranteed Pension Goal - Option A - Life  Annuity Rate per '000 Purchase Price for different slab of Purchase Price (PP) for Deferment Period of 10 years</t>
  </si>
  <si>
    <t>DP=10</t>
  </si>
  <si>
    <t>Table to find out the name of the respective table of DP for appropriate Purchase price under Single Pay option</t>
  </si>
  <si>
    <t>Deferrment period</t>
  </si>
  <si>
    <t>Options available in Def Annuity</t>
  </si>
  <si>
    <t>SP</t>
  </si>
  <si>
    <t>RP</t>
  </si>
  <si>
    <t>OptA</t>
  </si>
  <si>
    <t>OptB</t>
  </si>
  <si>
    <t>OptC</t>
  </si>
  <si>
    <t>OptD</t>
  </si>
  <si>
    <t>OptE</t>
  </si>
  <si>
    <t>OptF</t>
  </si>
  <si>
    <t>OptG</t>
  </si>
  <si>
    <t>OptH</t>
  </si>
  <si>
    <t>OptI</t>
  </si>
  <si>
    <t>Bajaj Allianz Life Guaranteed Pension Goal - Option B - Return Of Purchase Price  Annuity Rate per '000 Purchase Price for different slab of Purchase Price (PP) for Deferment Period of 1 year</t>
  </si>
  <si>
    <t>Bajaj Allianz Life Guaranteed Pension Goal - Option B - Return Of Purchase Price  Annuity Rate per '000 Purchase Price for different slab of Purchase Price (PP) for Deferment Period of 2 years</t>
  </si>
  <si>
    <t>Bajaj Allianz Life Guaranteed Pension Goal - Option B - Return Of Purchase Price  Annuity Rate per '000 Purchase Price for different slab of Purchase Price (PP) for Deferment Period of 3 years</t>
  </si>
  <si>
    <t>Bajaj Allianz Life Guaranteed Pension Goal - Option B - Return Of Purchase Price  Annuity Rate per '000 Purchase Price for different slab of Purchase Price (PP) for Deferment Period of 4 years</t>
  </si>
  <si>
    <t>Bajaj Allianz Life Guaranteed Pension Goal - Option B - Return Of Purchase Price  Annuity Rate per '000 Purchase Price for different slab of Purchase Price (PP) for Deferment Period of 5 years</t>
  </si>
  <si>
    <t>Bajaj Allianz Life Guaranteed Pension Goal - Option B - Return Of Purchase Price  Annuity Rate per '000 Purchase Price for different slab of Purchase Price (PP) for Deferment Period of 6 years</t>
  </si>
  <si>
    <t>Bajaj Allianz Life Guaranteed Pension Goal - Option B - Return Of Purchase Price  Annuity Rate per '000 Purchase Price for different slab of Purchase Price (PP) for Deferment Period of 7 years</t>
  </si>
  <si>
    <t>Bajaj Allianz Life Guaranteed Pension Goal - Option B - Return Of Purchase Price  Annuity Rate per '000 Purchase Price for different slab of Purchase Price (PP) for Deferment Period of 8 years</t>
  </si>
  <si>
    <t>Bajaj Allianz Life Guaranteed Pension Goal - Option B - Return Of Purchase Price  Annuity Rate per '000 Purchase Price for different slab of Purchase Price (PP) for Deferment Period of 9 years</t>
  </si>
  <si>
    <t>Bajaj Allianz Life Guaranteed Pension Goal - Option B - Return Of Purchase Price  Annuity Rate per '000 Purchase Price for different slab of Purchase Price (PP) for Deferment Period of 10 years</t>
  </si>
  <si>
    <t>Bajaj Allianz Life Guaranteed Pension Goal  - Option F - Annuity Rate for Joint Life with ROP on the death of last survivor per '000 Purchase Price for different slab of Purchase Price (PP) for Deferment Period of 1 year</t>
  </si>
  <si>
    <t xml:space="preserve"> 36-40 </t>
  </si>
  <si>
    <t>Bajaj Allianz Life Guaranteed Pension Goal  - Option F - Annuity Rate for Joint Life with ROP on the death of last survivor per '000 Purchase Price for different slab of Purchase Price (PP) for Deferment Period of 2 years</t>
  </si>
  <si>
    <t>Bajaj Allianz Life Guaranteed Pension Goal  - Option F - Annuity Rate for Joint Life with ROP on the death of last survivor per '000 Purchase Price for different slab of Purchase Price (PP) for Deferment Period of 3 years</t>
  </si>
  <si>
    <t>Bajaj Allianz Life Guaranteed Pension Goal  - Option F - Annuity Rate for Joint Life with ROP on the death of last survivor per '000 Purchase Price for different slab of Purchase Price (PP) for Deferment Period of 4 years</t>
  </si>
  <si>
    <t>Bajaj Allianz Life Guaranteed Pension Goal  - Option F - Annuity Rate for Joint Life with ROP on the death of last survivor per '000 Purchase Price for different slab of Purchase Price (PP) for Deferment Period of 5 years</t>
  </si>
  <si>
    <t>Bajaj Allianz Life Guaranteed Pension Goal  - Option F - Annuity Rate for Joint Life with ROP on the death of last survivor per '000 Purchase Price for different slab of Purchase Price (PP) for Deferment Period of 6 years</t>
  </si>
  <si>
    <t>Bajaj Allianz Life Guaranteed Pension Goal  - Option F - Annuity Rate for Joint Life with ROP on the death of last survivor per '000 Purchase Price for different slab of Purchase Price (PP) for Deferment Period of 7 years</t>
  </si>
  <si>
    <t>Bajaj Allianz Life Guaranteed Pension Goal  - Option F - Annuity Rate for Joint Life with ROP on the death of last survivor per '000 Purchase Price for different slab of Purchase Price (PP) for Deferment Period of 8 years</t>
  </si>
  <si>
    <t>Bajaj Allianz Life Guaranteed Pension Goal  - Option F - Annuity Rate for Joint Life with ROP on the death of last survivor per '000 Purchase Price for different slab of Purchase Price (PP) for Deferment Period of 9 years</t>
  </si>
  <si>
    <t>Bajaj Allianz Life Guaranteed Pension Goal  - Option F - Annuity Rate for Joint Life with ROP on the death of last survivor per '000 Purchase Price for different slab of Purchase Price (PP) for Deferment Period of 10 years</t>
  </si>
  <si>
    <t>Table to find out the name of the respective joint life table for appropriate Purchase price differentiated by the DP</t>
  </si>
  <si>
    <t>DP</t>
  </si>
  <si>
    <t>OptionF</t>
  </si>
  <si>
    <t xml:space="preserve">OptionA </t>
  </si>
  <si>
    <t>OptionB</t>
  </si>
  <si>
    <t>Deferred Annuity-Single Premium</t>
  </si>
  <si>
    <t>Bajaj Allianz Life Guaranteed Pension Goal - Option G - Return Of Purchase Price at end of 25 years or Age 85 whichever is later Annuity Rate per '000 Purchase Price for different slab of Purchase Price (PP) for Deferment Period of 1 year</t>
  </si>
  <si>
    <t>Bajaj Allianz Life Guaranteed Pension Goal - Option G - Return Of Purchase Price at end of 25 years or Age 85 whichever is later Annuity Rate per '000 Purchase Price for different slab of Purchase Price (PP) for Deferment Period of 2 years</t>
  </si>
  <si>
    <t>Bajaj Allianz Life Guaranteed Pension Goal - Option G - Return Of Purchase Price at end of 25 years or Age 85 whichever is later Annuity Rate per '000 Purchase Price for different slab of Purchase Price (PP) for Deferment Period of 3 years</t>
  </si>
  <si>
    <t>Bajaj Allianz Life Guaranteed Pension Goal - Option G - Return Of Purchase Price at end of 25 years or Age 85 whichever is later Annuity Rate per '000 Purchase Price for different slab of Purchase Price (PP) for Deferment Period of 4 years</t>
  </si>
  <si>
    <t>Bajaj Allianz Life Guaranteed Pension Goal - Option G - Return Of Purchase Price at end of 25 years or Age 85 whichever is later Annuity Rate per '000 Purchase Price for different slab of Purchase Price (PP) for Deferment Period of 5 years</t>
  </si>
  <si>
    <t>Bajaj Allianz Life Guaranteed Pension Goal - Option G - Return Of Purchase Price at end of 25 years or Age 85 whichever is later Annuity Rate per '000 Purchase Price for different slab of Purchase Price (PP) for Deferment Period of 6 years</t>
  </si>
  <si>
    <t>Bajaj Allianz Life Guaranteed Pension Goal - Option G - Return Of Purchase Price at end of 25 years or Age 85 whichever is later Annuity Rate per '000 Purchase Price for different slab of Purchase Price (PP) for Deferment Period of 7 years</t>
  </si>
  <si>
    <t>Bajaj Allianz Life Guaranteed Pension Goal - Option G - Return Of Purchase Price at end of 25 years or Age 85 whichever is later Annuity Rate per '000 Purchase Price for different slab of Purchase Price (PP) for Deferment Period of 8 years</t>
  </si>
  <si>
    <t>Bajaj Allianz Life Guaranteed Pension Goal - Option G - Return Of Purchase Price at end of 25 years or Age 85 whichever is later Annuity Rate per '000 Purchase Price for different slab of Purchase Price (PP) for Deferment Period of 9 years</t>
  </si>
  <si>
    <t>Bajaj Allianz Life Guaranteed Pension Goal - Option G - Return Of Purchase Price at end of 25 years or Age 85 whichever is later Annuity Rate per '000 Purchase Price for different slab of Purchase Price (PP) for Deferment Period of 10 years</t>
  </si>
  <si>
    <t>OptionG</t>
  </si>
  <si>
    <t>Selected option</t>
  </si>
  <si>
    <t>OptionH</t>
  </si>
  <si>
    <t>Table to find out the name of the respective table of DP for appropriate Purchase price under Single Pay/ Deferred Annuity Various options</t>
  </si>
  <si>
    <t>OptionA</t>
  </si>
  <si>
    <t>Deferred Annuity options</t>
  </si>
  <si>
    <t>Deferred Annuity options/ SP</t>
  </si>
  <si>
    <t>Bajaj Allianz Life Guaranteed Pension Goal - Option H - 5% of Purchase Price every year from end of 15 years or Age 70  whichever is later - Annuity Rate per '000 Purchase Price for different slab of Purchase Price (PP) for Deferment Period of 1 year</t>
  </si>
  <si>
    <t>Bajaj Allianz Life Guaranteed Pension Goal - Option H - 5% of Purchase Price every year from end of 15 years or Age 70  whichever is later - Annuity Rate per '000 Purchase Price for different slab of Purchase Price (PP) for Deferment Period of 2 years</t>
  </si>
  <si>
    <t>Bajaj Allianz Life Guaranteed Pension Goal - Option H - 5% of Purchase Price every year from end of 15 years or Age 70  whichever is later - Annuity Rate per '000 Purchase Price for different slab of Purchase Price (PP) for Deferment Period of 3 years</t>
  </si>
  <si>
    <t>Bajaj Allianz Life Guaranteed Pension Goal - Option H - 5% of Purchase Price every year from end of 15 years or Age 70  whichever is later - Annuity Rate per '000 Purchase Price for different slab of Purchase Price (PP) for Deferment Period of 4 years</t>
  </si>
  <si>
    <t>Bajaj Allianz Life Guaranteed Pension Goal - Option H - 5% of Purchase Price every year from end of 15 years or Age 70  whichever is later - Annuity Rate per '000 Purchase Price for different slab of Purchase Price (PP) for Deferment Period of 5 years</t>
  </si>
  <si>
    <t>Bajaj Allianz Life Guaranteed Pension Goal - Option H - 5% of Purchase Price every year from end of 15 years or Age 70  whichever is later - Annuity Rate per '000 Purchase Price for different slab of Purchase Price (PP) for Deferment Period of 6 years</t>
  </si>
  <si>
    <t>Bajaj Allianz Life Guaranteed Pension Goal - Option H - 5% of Purchase Price every year from end of 15 years or Age 70  whichever is later - Annuity Rate per '000 Purchase Price for different slab of Purchase Price (PP) for Deferment Period of 7 years</t>
  </si>
  <si>
    <t>Bajaj Allianz Life Guaranteed Pension Goal - Option H - 5% of Purchase Price every year from end of 15 years or Age 70  whichever is later - Annuity Rate per '000 Purchase Price for different slab of Purchase Price (PP) for Deferment Period of 8 years</t>
  </si>
  <si>
    <t>Bajaj Allianz Life Guaranteed Pension Goal - Option H - 5% of Purchase Price every year from end of 15 years or Age 70  whichever is later - Annuity Rate per '000 Purchase Price for different slab of Purchase Price (PP) for Deferment Period of 9 years</t>
  </si>
  <si>
    <t>Bajaj Allianz Life Guaranteed Pension Goal - Option H - 5% of Purchase Price every year from end of 15 years or Age 70  whichever is later - Annuity Rate per '000 Purchase Price for different slab of Purchase Price (PP) for Deferment Period of 10 years</t>
  </si>
  <si>
    <t>Bajaj Allianz Life Guaranteed Pension Goal - Option A - Life Annuity Rate  per '000 of Total Premiums payable for different slab of Premiums for PPT of 5 years &amp; Deferment period of 5 years</t>
  </si>
  <si>
    <t>Bajaj Allianz Life Guaranteed Pension Goal - Option A - Life Annuity Rate  per '000 of Total Premiums payable for different slab of Premiums for PPT of 5 years &amp; Deferment period of 6 years</t>
  </si>
  <si>
    <t>Bajaj Allianz Life Guaranteed Pension Goal - Option A - Life Annuity Rate  per '000 of Total Premiums payable for different slab of Premiums for PPT of 5 years &amp; Deferment period of 7 years</t>
  </si>
  <si>
    <t>Bajaj Allianz Life Guaranteed Pension Goal - Option A - Life Annuity Rate  per '000 of Total Premiums payable for different slab of Premiums for PPT of 5 years &amp; Deferment period of 8 years</t>
  </si>
  <si>
    <t>Bajaj Allianz Life Guaranteed Pension Goal - Option A - Life Annuity Rate  per '000 of Total Premiums payable for different slab of Premiums for PPT of 5 years &amp; Deferment period of 9 years</t>
  </si>
  <si>
    <t>Bajaj Allianz Life Guaranteed Pension Goal - Option A - Life Annuity Rate  per '000 of Total Premiums payable for different slab of Premiums for PPT of 5 years &amp; Deferment period of 10 years</t>
  </si>
  <si>
    <t>PP &lt;2Lacs</t>
  </si>
  <si>
    <t>2Lacs=&lt; PP&lt;5Lacs</t>
  </si>
  <si>
    <t>PP &gt;=5Lacs</t>
  </si>
  <si>
    <t>Deferred Annuity options/ RP</t>
  </si>
  <si>
    <t>PPT=5 DP=5</t>
  </si>
  <si>
    <t>PPT=5 DP=6</t>
  </si>
  <si>
    <t>PPT=5 DP=7</t>
  </si>
  <si>
    <t>PPT=5 DP=8</t>
  </si>
  <si>
    <t>PPT=5 DP=9</t>
  </si>
  <si>
    <t>PPT=5 DP=10</t>
  </si>
  <si>
    <t>PPT=5</t>
  </si>
  <si>
    <t>Bajaj Allianz Life Guaranteed Pension Goal - Option A - Life Annuity Rate  per '000 of Total Premiums payable for different slab of Premiums for PPT of 6 years &amp; Deferment period of 6 years</t>
  </si>
  <si>
    <t>Bajaj Allianz Life Guaranteed Pension Goal - Option A - Life Annuity Rate  per '000 of Total Premiums payable for different slab of Premiums for PPT of 6 years &amp; Deferment period of 7 years</t>
  </si>
  <si>
    <t>Bajaj Allianz Life Guaranteed Pension Goal - Option A - Life Annuity Rate  per '000 of Total Premiums payable for different slab of Premiums for PPT of 6 years &amp; Deferment period of 8 years</t>
  </si>
  <si>
    <t>Bajaj Allianz Life Guaranteed Pension Goal - Option A - Life Annuity Rate  per '000 of Total Premiums payable for different slab of Premiums for PPT of 6 years &amp; Deferment period of 9 years</t>
  </si>
  <si>
    <t>Bajaj Allianz Life Guaranteed Pension Goal - Option A - Life Annuity Rate  per '000 of Total Premiums payable for different slab of Premiums for PPT of 6 years &amp; Deferment period of 10 years</t>
  </si>
  <si>
    <t>PPT=6</t>
  </si>
  <si>
    <t>PPT=6 DP=6</t>
  </si>
  <si>
    <t>PPT=6 DP=7</t>
  </si>
  <si>
    <t>PPT=6 DP=8</t>
  </si>
  <si>
    <t>PPT=6 DP=9</t>
  </si>
  <si>
    <t>PPT=6 DP=10</t>
  </si>
  <si>
    <t>PPT=7</t>
  </si>
  <si>
    <t>Bajaj Allianz Life Guaranteed Pension Goal - Option A - Life Annuity Rate  per '000 of Total Premiums payable for different slab of Premiums for PPT of 7 years &amp; Deferment period of 7 years</t>
  </si>
  <si>
    <t>Bajaj Allianz Life Guaranteed Pension Goal - Option A - Life Annuity Rate  per '000 of Total Premiums payable for different slab of Premiums for PPT of 7 years &amp; Deferment period of 8 years</t>
  </si>
  <si>
    <t>Bajaj Allianz Life Guaranteed Pension Goal - Option A - Life Annuity Rate  per '000 of Total Premiums payable for different slab of Premiums for PPT of 7 years &amp; Deferment period of 9 years</t>
  </si>
  <si>
    <t>Bajaj Allianz Life Guaranteed Pension Goal - Option A - Life Annuity Rate  per '000 of Total Premiums payable for different slab of Premiums for PPT of 7 years &amp; Deferment period of 10 years</t>
  </si>
  <si>
    <t>PPT=7 DP=7</t>
  </si>
  <si>
    <t>PPT=7 DP=8</t>
  </si>
  <si>
    <t>PPT=7 DP=9</t>
  </si>
  <si>
    <t>PPT=7 DP=10</t>
  </si>
  <si>
    <t>PPT=8</t>
  </si>
  <si>
    <t>Bajaj Allianz Life Guaranteed Pension Goal - Option A - Life Annuity Rate  per '000 of Total Premiums payable for different slab of Premiums for PPT of 8 years &amp; Deferment period of 8 years</t>
  </si>
  <si>
    <t>Bajaj Allianz Life Guaranteed Pension Goal - Option A - Life Annuity Rate  per '000 of Total Premiums payable for different slab of Premiums for PPT of 8 years &amp; Deferment period of 9 years</t>
  </si>
  <si>
    <t>Bajaj Allianz Life Guaranteed Pension Goal - Option A - Life Annuity Rate  per '000 of Total Premiums payable for different slab of Premiums for PPT of 8 years &amp; Deferment period of 10 years</t>
  </si>
  <si>
    <t>PPT=8 DP=8</t>
  </si>
  <si>
    <t>PPT=8 DP=9</t>
  </si>
  <si>
    <t>PPT=8 DP =10</t>
  </si>
  <si>
    <t>PPT=9</t>
  </si>
  <si>
    <t>Bajaj Allianz Life Guaranteed Pension Goal - Option A - Life Annuity Rate  per '000 of Total Premiums payable for different slab of Premiums for PPT of 9 years &amp; Deferment period of 9 years</t>
  </si>
  <si>
    <t>Bajaj Allianz Life Guaranteed Pension Goal - Option A - Life Annuity Rate  per '000 of Total Premiums payable for different slab of Premiums for PPT of 9 years &amp; Deferment period of 10 years</t>
  </si>
  <si>
    <t>PPT=9 DP=10</t>
  </si>
  <si>
    <t>PPT=9 DP=9</t>
  </si>
  <si>
    <t>PPT=10</t>
  </si>
  <si>
    <t>Bajaj Allianz Life Guaranteed Pension Goal - Option A - Life Annuity Rate  per '000 of Total Premiums payable for different slab of Premiums for PPT of 10 years &amp; Deferment period of 10 years</t>
  </si>
  <si>
    <t>PPT=10 DP=10</t>
  </si>
  <si>
    <t>DP10_OptA_RP_PPT5</t>
  </si>
  <si>
    <t>Bajaj Allianz Life Guaranteed Pension Goal - Option B - Return Of Purchase Price  Annuity Rate per '000 of Total Premiums payable for different slab of Premiums for PPT of 5 years &amp; Deferment period of 5 years</t>
  </si>
  <si>
    <t>Bajaj Allianz Life Guaranteed Pension Goal - Option B - Return Of Purchase Price  Annuity Rate per '000 of Total Premiums payable for different slab of Premiums for PPT of 5 years &amp; Deferment period of 6 years</t>
  </si>
  <si>
    <t>Bajaj Allianz Life Guaranteed Pension Goal - Option B - Return Of Purchase Price  Annuity Rate per '000 of Total Premiums payable for different slab of Premiums for PPT of 5 years &amp; Deferment period of 7 years</t>
  </si>
  <si>
    <t>Bajaj Allianz Life Guaranteed Pension Goal - Option B - Return Of Purchase Price  Annuity Rate per '000 of Total Premiums payable for different slab of Premiums for PPT of 5 years &amp; Deferment period of 8 years</t>
  </si>
  <si>
    <t>Bajaj Allianz Life Guaranteed Pension Goal - Option B - Return Of Purchase Price  Annuity Rate per '000 of Total Premiums payable for different slab of Premiums for PPT of 5 years &amp; Deferment period of 9 years</t>
  </si>
  <si>
    <t>Bajaj Allianz Life Guaranteed Pension Goal - Option B - Return Of Purchase Price  Annuity Rate per '000 of Total Premiums payable for different slab of Premiums for PPT of 5 years &amp; Deferment period of 10 years</t>
  </si>
  <si>
    <t>PP&lt;2Lacs</t>
  </si>
  <si>
    <t>2Lacs=&lt;PP&lt;5Lacs</t>
  </si>
  <si>
    <t>PP&gt;=5Lacs</t>
  </si>
  <si>
    <t>PPT 5 DP=5</t>
  </si>
  <si>
    <t>PPT 5 DP=6</t>
  </si>
  <si>
    <t>PPT 5 DP=7</t>
  </si>
  <si>
    <t>PPT 5 DP=8</t>
  </si>
  <si>
    <t>PPT 5 DP=9</t>
  </si>
  <si>
    <t>PPT 5 DP=10</t>
  </si>
  <si>
    <t>Bajaj Allianz Life Guaranteed Pension Goal - Option B - Return Of Purchase Price  Annuity Rate per '000 of Total Premiums payable for different slab of Premiums for PPT of 6 years &amp; Deferment period of 6 years</t>
  </si>
  <si>
    <t>Bajaj Allianz Life Guaranteed Pension Goal - Option B - Return Of Purchase Price  Annuity Rate per '000 of Total Premiums payable for different slab of Premiums for PPT of 6 years &amp; Deferment period of 7 years</t>
  </si>
  <si>
    <t>Bajaj Allianz Life Guaranteed Pension Goal - Option B - Return Of Purchase Price  Annuity Rate per '000 of Total Premiums payable for different slab of Premiums for PPT of 6 years &amp; Deferment period of 8 years</t>
  </si>
  <si>
    <t>Bajaj Allianz Life Guaranteed Pension Goal - Option B - Return Of Purchase Price  Annuity Rate per '000 of Total Premiums payable for different slab of Premiums for PPT of 6 years &amp; Deferment period of 9 years</t>
  </si>
  <si>
    <t>Bajaj Allianz Life Guaranteed Pension Goal - Option B - Return Of Purchase Price  Annuity Rate per '000 of Total Premiums payable for different slab of Premiums for PPT of 6 years &amp; Deferment period of 10 years</t>
  </si>
  <si>
    <t>PPT =6</t>
  </si>
  <si>
    <t>Bajaj Allianz Life Guaranteed Pension Goal - Option B - Return Of Purchase Price  Annuity Rate per '000 of Total Premiums payable for different slab of Premiums for PPT of 7 years &amp; Deferment period of 7 years</t>
  </si>
  <si>
    <t>Bajaj Allianz Life Guaranteed Pension Goal - Option B - Return Of Purchase Price  Annuity Rate per '000 of Total Premiums payable for different slab of Premiums for PPT of 7 years &amp; Deferment period of 8 years</t>
  </si>
  <si>
    <t>Bajaj Allianz Life Guaranteed Pension Goal - Option B - Return Of Purchase Price  Annuity Rate per '000 of Total Premiums payable for different slab of Premiums for PPT of 7 years &amp; Deferment period of 9 years</t>
  </si>
  <si>
    <t>Bajaj Allianz Life Guaranteed Pension Goal - Option B - Return Of Purchase Price  Annuity Rate per '000 of Total Premiums payable for different slab of Premiums for PPT of 7 years &amp; Deferment period of 10 years</t>
  </si>
  <si>
    <t>Bajaj Allianz Life Guaranteed Pension Goal - Option B - Return Of Purchase Price  Annuity Rate per '000 of Total Premiums payable for different slab of Premiums for PPT of 8 years &amp; Deferment period of 8 years</t>
  </si>
  <si>
    <t>Bajaj Allianz Life Guaranteed Pension Goal - Option B - Return Of Purchase Price  Annuity Rate per '000 of Total Premiums payable for different slab of Premiums for PPT of 8 years &amp; Deferment period of 9 years</t>
  </si>
  <si>
    <t>Bajaj Allianz Life Guaranteed Pension Goal - Option B - Return Of Purchase Price  Annuity Rate per '000 of Total Premiums payable for different slab of Premiums for PPT of 8 years &amp; Deferment period of 10 years</t>
  </si>
  <si>
    <t>PPT=8 DP=10</t>
  </si>
  <si>
    <t>Bajaj Allianz Life Guaranteed Pension Goal - Option B - Return Of Purchase Price  Annuity Rate per '000 of Total Premiums payable for different slab of Premiums for PPT of 9 years &amp; Deferment period of 9 years</t>
  </si>
  <si>
    <t>Bajaj Allianz Life Guaranteed Pension Goal - Option B - Return Of Purchase Price  Annuity Rate per '000 of Total Premiums payable for different slab of Premiums for PPT of 9 years &amp; Deferment period of 10 years</t>
  </si>
  <si>
    <t>Bajaj Allianz Life Guaranteed Pension Goal - Option B - Return Of Purchase Price  Annuity Rate per '000 of Total Premiums payable for different slab of Premiums for PPT of 10 years &amp; Deferment period of 10 years</t>
  </si>
  <si>
    <t>Policy option</t>
  </si>
  <si>
    <t>Def</t>
  </si>
  <si>
    <t>Imm</t>
  </si>
  <si>
    <t>OptionC</t>
  </si>
  <si>
    <t>OptionD</t>
  </si>
  <si>
    <t>OptionE</t>
  </si>
  <si>
    <t>Not in other Journey except NPS. Only Immediate available</t>
  </si>
  <si>
    <t>SB</t>
  </si>
  <si>
    <t>Def  SP</t>
  </si>
  <si>
    <t>Def RP</t>
  </si>
  <si>
    <t>DB</t>
  </si>
  <si>
    <t>Flag</t>
  </si>
  <si>
    <t>Joint Life Last Survivor with 100% of annuity to spouse &amp; with Return of Purchase Price* on death of Last Survivor</t>
  </si>
  <si>
    <t>To be displayed - Assuming second death</t>
  </si>
  <si>
    <t>Options available</t>
  </si>
  <si>
    <t>SSV</t>
  </si>
  <si>
    <t>PV of OS annuity</t>
  </si>
  <si>
    <t>PV of OS SB</t>
  </si>
  <si>
    <t>OptG SB adjustment</t>
  </si>
  <si>
    <t>assumed SB paid at the end of year and then surrendered</t>
  </si>
  <si>
    <t>Total</t>
  </si>
  <si>
    <t>GSV</t>
  </si>
  <si>
    <t>Duration of surrender of the Single Premium/Top Up Premium</t>
  </si>
  <si>
    <r>
      <t>Within 3</t>
    </r>
    <r>
      <rPr>
        <b/>
        <vertAlign val="superscript"/>
        <sz val="9"/>
        <color rgb="FF0000FF"/>
        <rFont val="Book Antiqua"/>
        <family val="1"/>
      </rPr>
      <t>rd</t>
    </r>
    <r>
      <rPr>
        <b/>
        <sz val="9"/>
        <color rgb="FF0000FF"/>
        <rFont val="Book Antiqua"/>
        <family val="1"/>
      </rPr>
      <t xml:space="preserve"> policy year or 3 years from the date of Top Up premium</t>
    </r>
  </si>
  <si>
    <r>
      <t>From 4</t>
    </r>
    <r>
      <rPr>
        <b/>
        <vertAlign val="superscript"/>
        <sz val="9"/>
        <color rgb="FF0000FF"/>
        <rFont val="Book Antiqua"/>
        <family val="1"/>
      </rPr>
      <t>th</t>
    </r>
    <r>
      <rPr>
        <b/>
        <sz val="9"/>
        <color rgb="FF0000FF"/>
        <rFont val="Book Antiqua"/>
        <family val="1"/>
      </rPr>
      <t xml:space="preserve"> policy year or 4 years from the date of Top Up premium</t>
    </r>
  </si>
  <si>
    <t>Proportion (%)</t>
  </si>
  <si>
    <t>Def Annuity - SP</t>
  </si>
  <si>
    <t>assumed from 2rd year'</t>
  </si>
  <si>
    <t>GSV Def Annuity RP</t>
  </si>
  <si>
    <t>assumed from second year</t>
  </si>
  <si>
    <t>PV of OS Annuity</t>
  </si>
  <si>
    <t>PV of SB</t>
  </si>
  <si>
    <t>Paid up Annuity Benefit- Factor</t>
  </si>
  <si>
    <t>Premium Payment Frequency</t>
  </si>
  <si>
    <t>Premium Frequency</t>
  </si>
  <si>
    <t>Single/ Yearly</t>
  </si>
  <si>
    <t>Annuity and Premium payment frequency adjustment</t>
  </si>
  <si>
    <t>POS</t>
  </si>
  <si>
    <t xml:space="preserve">Immediate and Deferred Annuity – SP </t>
  </si>
  <si>
    <t>Deferred Annuity - RP</t>
  </si>
  <si>
    <t>Group Superannuation Members</t>
  </si>
  <si>
    <t>NPS subscribers</t>
  </si>
  <si>
    <t>Online Sales/ Pension Policy/ Any other</t>
  </si>
  <si>
    <t>Group Superannuation Member</t>
  </si>
  <si>
    <t>NPS subscriber Policies</t>
  </si>
  <si>
    <t xml:space="preserve">SP/RP </t>
  </si>
  <si>
    <t xml:space="preserve">Single Premium - For staff, a mark up 2% for Immediate Annuity and 5% Deferred Annuity shall be applied.  
Regular Premium - For staff, a mark up 2.50% for Deferred Annuity shall be applied.
</t>
  </si>
  <si>
    <t>Annuity paid</t>
  </si>
  <si>
    <t>check formula once</t>
  </si>
  <si>
    <t>Nature of Business</t>
  </si>
  <si>
    <t>NPS</t>
  </si>
  <si>
    <t>GSM</t>
  </si>
  <si>
    <t>Staff</t>
  </si>
  <si>
    <t>used for Opt I in NPS</t>
  </si>
  <si>
    <t>Mark up</t>
  </si>
  <si>
    <t>Regular Premium - For staff, a mark up 2.50% for Deferred Annuity shall be applied.</t>
  </si>
  <si>
    <t>Web aggregator</t>
  </si>
  <si>
    <t xml:space="preserve">Year adjustment for PV OS- SB in OptH </t>
  </si>
  <si>
    <t>DB = Death Benefit</t>
  </si>
  <si>
    <t>SB=Survival Benefit</t>
  </si>
  <si>
    <t>Color coding</t>
  </si>
  <si>
    <t>DB paid during DP only</t>
  </si>
  <si>
    <t>DB paid throughout</t>
  </si>
  <si>
    <t>No DB</t>
  </si>
  <si>
    <t>Death Benefit (DB)</t>
  </si>
  <si>
    <t>Factor</t>
  </si>
  <si>
    <t>Half Yearly</t>
  </si>
  <si>
    <t xml:space="preserve">Discounted </t>
  </si>
  <si>
    <t>Year</t>
  </si>
  <si>
    <t xml:space="preserve">Future Premium due </t>
  </si>
  <si>
    <t>Months</t>
  </si>
  <si>
    <t>Step-1</t>
  </si>
  <si>
    <t>SAR</t>
  </si>
  <si>
    <t>Diff</t>
  </si>
  <si>
    <t>Month</t>
  </si>
  <si>
    <t>Annuity payment</t>
  </si>
  <si>
    <t>Surival benefit Opt H</t>
  </si>
  <si>
    <t>Surival benefit Opt G</t>
  </si>
  <si>
    <t>PV of SB (Opt G)</t>
  </si>
  <si>
    <t>check</t>
  </si>
  <si>
    <t>PV of SB (Opt H)</t>
  </si>
  <si>
    <t>optG</t>
  </si>
  <si>
    <t>ignore</t>
  </si>
  <si>
    <t>PPT adjustment in case of Immediate Annuity/ Def Annuity SP options</t>
  </si>
  <si>
    <t>Rates Updated</t>
  </si>
  <si>
    <t>Rates updated</t>
  </si>
  <si>
    <t>Web Sales</t>
  </si>
  <si>
    <t>Date</t>
  </si>
  <si>
    <t>Version</t>
  </si>
  <si>
    <t>12.11.2020</t>
  </si>
  <si>
    <t>11.11.2020</t>
  </si>
  <si>
    <t>Updated rates - Imm annuity - Option B, F, G H
Def SP: Option B, G, H
Def RP: Option B</t>
  </si>
  <si>
    <t>Nature of Business/ Channel</t>
  </si>
  <si>
    <t>channels</t>
  </si>
  <si>
    <t>If the purchase price is from the Deferred Pension Policy, then mark-up will be as per below table:</t>
  </si>
  <si>
    <t>If the purchase price is NOT from the Deferred Pension Policy, then mark-up will be as per below table:</t>
  </si>
  <si>
    <t>Updated coding for mark up. Highlighted in orange in Input tab and valid data tab</t>
  </si>
  <si>
    <t>Is Deferred Pension Policy proceeds to be used for purchase of this Annuity?</t>
  </si>
  <si>
    <t>Deferment Period (in years)</t>
  </si>
  <si>
    <t>Premium Summary</t>
  </si>
  <si>
    <t>Total Installment Premium (Rs.)</t>
  </si>
  <si>
    <t>A Non-Linked, Non- Participating,  Annuity  Plan</t>
  </si>
  <si>
    <t>a)</t>
  </si>
  <si>
    <t>Please consult our 'Sales representative' for any clarifications on this illustration.</t>
  </si>
  <si>
    <t>b)</t>
  </si>
  <si>
    <t>c)</t>
  </si>
  <si>
    <t>The policy options and Annuity options available under them are listed below:</t>
  </si>
  <si>
    <t>All benefits payable under the Policy will be subject to the prevailing tax laws and other financial enactments, as they exist at the time. Tax laws &amp; financial enactments are subject to change from time to time</t>
  </si>
  <si>
    <t>d)</t>
  </si>
  <si>
    <t>This product is available for purchase by the Policyholder on payment of a single premium/ Regular premium</t>
  </si>
  <si>
    <t>e)</t>
  </si>
  <si>
    <t>The first annuity payment will be due one month, three months, six months or one year after the commencement of the policy in an immediate annuity, and after the deferment period in a deferred annuity corresponding to the annuity payment mode chosen, namely –monthly, quarterly, half-yearly or yearly mode, respectively</t>
  </si>
  <si>
    <t>f)</t>
  </si>
  <si>
    <t>Minimum Purchase Price &amp; Minimum Age restrictions would not apply in case a nominee/ policyholder of a Deferred Pension plan of BALIC or NPS wishes to take an immediate Annuity policy under Bajaj Allianz Life Guaranteed Pension Goal.</t>
  </si>
  <si>
    <t>g)</t>
  </si>
  <si>
    <t>Single Premium/ Regular premium considered above is excluding Goods &amp; Service Tax.</t>
  </si>
  <si>
    <t>h)</t>
  </si>
  <si>
    <t>Goods &amp; Service tax (GST) needs to be paid additionally. GST rates are subject to change.</t>
  </si>
  <si>
    <t>i)</t>
  </si>
  <si>
    <t>All the benefits under this plan are guaranteed</t>
  </si>
  <si>
    <t>j)</t>
  </si>
  <si>
    <t>Figures in the special surrender value calculation includes any annuity payable amount due at the time of policy surrender</t>
  </si>
  <si>
    <t>k)</t>
  </si>
  <si>
    <t>Depending upon the prevailing market condition, the Special Surrender Value may be revised.</t>
  </si>
  <si>
    <t>The Annuity Rates of Guaranteed Pension Goal can change from time to time and the Annuity Amount mentioned in this Benefit Illustration is valid for at least 7 days from the date of generation of this Illustration.</t>
  </si>
  <si>
    <t>Disclaimers</t>
  </si>
  <si>
    <t>Bajaj Allianz Life Guaranteed Pension Goal</t>
  </si>
  <si>
    <t>It shall be the responsibility of the Annuitant to produce the existence certificate at least 30 days before any policy anniversary ,failing which, the Annuity Installment due from the next Policy Anniversary may be withheld till production of Existence Certificate, at the sole discretion of the Company. The Company shall not under any circumstances pay any interest for any delay in payment of Annuity Installment on account of non-receipt of existence certificate by the Company.</t>
  </si>
  <si>
    <t>l)</t>
  </si>
  <si>
    <t>Surrender Value is applicable under annuity options B,F,G,H &amp; I during annuity period ( for immediate and deferred annuities) and for all annuities during deferment period (under deferred annuities). Surrender Value will be acquired
• Any time after payment of  single Premium in an immediate annuity and in single premium deferred Annuity
• After payment of two (2) full years’ Premium in a regular/limited Premium payment deferred Annuity
Please refer to the Sales Literature available on Company website for details</t>
  </si>
  <si>
    <t>Please refer to the Sales Literature available on the Company website for details about these options.</t>
  </si>
  <si>
    <r>
      <t>above, have understood the above statement before entering into the contract</t>
    </r>
    <r>
      <rPr>
        <sz val="9"/>
        <color rgb="FFFF0000"/>
        <rFont val="Arial"/>
        <family val="2"/>
      </rPr>
      <t>.</t>
    </r>
    <r>
      <rPr>
        <sz val="9"/>
        <rFont val="Arial"/>
        <family val="2"/>
      </rPr>
      <t xml:space="preserve"> I also understand that Existence Certificate needs to be provided to the Company at least 30 days before any policy anniversary for continued receipt of the annuities.</t>
    </r>
  </si>
  <si>
    <t>Age*</t>
  </si>
  <si>
    <t>Age at Surrender/Age at end of Deferment Period of the Prevaling Annuitant</t>
  </si>
  <si>
    <t>Period*</t>
  </si>
  <si>
    <t>Year Before end of Deferment Period</t>
  </si>
  <si>
    <t>Option A, B, F, G, H &amp; I</t>
  </si>
  <si>
    <t>Option B, F &amp; I</t>
  </si>
  <si>
    <t>Option A, B, F, G &amp; H</t>
  </si>
  <si>
    <t>SSV 1</t>
  </si>
  <si>
    <t>SSV 2</t>
  </si>
  <si>
    <t>SSV 3</t>
  </si>
  <si>
    <t>Surrender Value during immediate/deferred annuity period:</t>
  </si>
  <si>
    <t xml:space="preserve">Special Surrender Value = SSV 1 * Annual Annuity Amount + SSV 2 * Purchase Price </t>
  </si>
  <si>
    <t>Where; SSV 1 &amp; SSV 2 will depend on the Age at surrender</t>
  </si>
  <si>
    <t>* For Joint Life - Age of younger life is considered for computation of surrender value</t>
  </si>
  <si>
    <t>* For Option G - Age at entry higher than 60 - SSV 2 will be calculated considering (Age at surrender - Entry age + 60)</t>
  </si>
  <si>
    <t>* For Option H - Age at entry higher than 55 - SSV 2 will be calculated considering (Age at surrender - Entry age + 55)</t>
  </si>
  <si>
    <t>Surrender Value during deferment period:</t>
  </si>
  <si>
    <t>Special Surrender Value = SSV 3 * (SSV 1 * Annual Annuity Amount + SSV 2 * Purchase Price)</t>
  </si>
  <si>
    <t>Where; SSV 1 &amp; SSV 2 will depend on the Age at at the end of Deferment Period and SSV 3 will depend on the duration till the end of Deferment Period</t>
  </si>
  <si>
    <t>* For Joint Life - Age of younger life is considered</t>
  </si>
  <si>
    <t>* For Option A - SSV 2 is zero</t>
  </si>
  <si>
    <t>SSV1</t>
  </si>
  <si>
    <t>SSV2</t>
  </si>
  <si>
    <t>SSV3</t>
  </si>
  <si>
    <t>SSV revised</t>
  </si>
  <si>
    <t>Total Annuity Payable in an year</t>
  </si>
  <si>
    <t>outstanding yr to end of deferment</t>
  </si>
  <si>
    <t>Age variable</t>
  </si>
  <si>
    <t>Option A, B, F,G,H,I</t>
  </si>
  <si>
    <t>Option B, F, I</t>
  </si>
  <si>
    <t>Only Def Annuity</t>
  </si>
  <si>
    <t>Joint Life Options for SSV1 and 2</t>
  </si>
  <si>
    <t>Option G for SSV2</t>
  </si>
  <si>
    <t>Option H for SSV2</t>
  </si>
  <si>
    <t>SSV2 Opt G</t>
  </si>
  <si>
    <t>SSV2 Opt H</t>
  </si>
  <si>
    <t>SSV2 Opt A</t>
  </si>
  <si>
    <t>D</t>
  </si>
  <si>
    <t>E</t>
  </si>
  <si>
    <t>C</t>
  </si>
  <si>
    <t>A</t>
  </si>
  <si>
    <t>Age to consider during Annuity period (age at surrender)</t>
  </si>
  <si>
    <t>Age to consider during deferment period (age at the end of DP)</t>
  </si>
  <si>
    <t>7.12.2020</t>
  </si>
  <si>
    <t>Formula in Output Sheet- H67 onwads dragged and IFERROR condition applied</t>
  </si>
  <si>
    <t>Formula in Output Sheet- BT27 and BU27 Changed ..</t>
  </si>
  <si>
    <r>
      <t xml:space="preserve"> =IFERROR(….VLOOKUP(</t>
    </r>
    <r>
      <rPr>
        <b/>
        <sz val="10"/>
        <color rgb="FFFF0000"/>
        <rFont val="Arial"/>
        <family val="2"/>
      </rPr>
      <t>DP</t>
    </r>
    <r>
      <rPr>
        <sz val="10"/>
        <rFont val="Arial"/>
        <family val="2"/>
      </rPr>
      <t>,'Valid Data'!$A$116:$J$122,….)*(A27&lt;=DP),0)*$BT$21</t>
    </r>
  </si>
  <si>
    <r>
      <t xml:space="preserve"> =IFERROR(….VLOOKUP(</t>
    </r>
    <r>
      <rPr>
        <b/>
        <sz val="10"/>
        <color rgb="FFFF0000"/>
        <rFont val="Arial"/>
        <family val="2"/>
      </rPr>
      <t>DP</t>
    </r>
    <r>
      <rPr>
        <sz val="10"/>
        <rFont val="Arial"/>
        <family val="2"/>
      </rPr>
      <t>,'Valid Data'!$A$116:$J$122,...)*(A27&lt;=DP),0)*$BU$21</t>
    </r>
  </si>
  <si>
    <t>30.07.2021</t>
  </si>
  <si>
    <t xml:space="preserve">The rates for SP option are updated </t>
  </si>
  <si>
    <t>The frequency factors changed</t>
  </si>
  <si>
    <t>11.08.2021</t>
  </si>
  <si>
    <t>Changed the GSV formula in Output sheet(BV27)</t>
  </si>
  <si>
    <t>PRODUCT NAME: Bajaj Allianz Life Saral Pension</t>
  </si>
  <si>
    <t>If Yes then mark-up will be applied</t>
  </si>
  <si>
    <t>Online Sales</t>
  </si>
  <si>
    <t>Joint Life Last Survivor with 100% of annuity to spouse &amp; with Return of Purchase Price on death of Last Survivor</t>
  </si>
  <si>
    <t>Purchase Price (Rs.)</t>
  </si>
  <si>
    <t>Y</t>
  </si>
  <si>
    <t>Goods &amp; Service Tax @1.8%</t>
  </si>
  <si>
    <t>Purchase Price with Goods &amp; Service Tax
 (to be deposited)</t>
  </si>
  <si>
    <t>Modal Annuity</t>
  </si>
  <si>
    <t>Annualised Annuity</t>
  </si>
  <si>
    <t>Bajaj Allianz Life Saral Pension - Option A - Return Of Purchase Price  Annuity Rate per '000 Purchase Price for different slab of Purchase Price (PP)</t>
  </si>
  <si>
    <t>5Lacs=&lt;PP&lt;10Lacs</t>
  </si>
  <si>
    <t>10Lacs=&lt;PP&lt;25Lacs</t>
  </si>
  <si>
    <t>Bajaj Allianz Life Saral Pension - Option B - Annuity Rate for Joint Life with ROP on the death of last survivor per '000 Purchase Price for different slab of Purchase Price (PP)</t>
  </si>
  <si>
    <t>Purchase Price Band -&lt; Rs200000</t>
  </si>
  <si>
    <t>Purchase Price Band:-  =200000 &lt;500000</t>
  </si>
  <si>
    <t>Purchase Price Band:-  =500000 &lt;1000000</t>
  </si>
  <si>
    <t>Purchase Price Band:-  =1000000 &lt;2500000</t>
  </si>
  <si>
    <t/>
  </si>
  <si>
    <t>If purchase price is NOT from pension policy</t>
  </si>
  <si>
    <t>Mode</t>
  </si>
  <si>
    <t>Annuity frequency factor</t>
  </si>
  <si>
    <t>Web Aggrerator</t>
  </si>
  <si>
    <t>Applicable Mark up</t>
  </si>
  <si>
    <t>Total Annuity payable yearly</t>
  </si>
  <si>
    <t>Annuity for Yearly frequency</t>
  </si>
  <si>
    <t>Purchase Price (Single Premium) (Rs)</t>
  </si>
  <si>
    <t>Purchase Price (without GST) (Rs)</t>
  </si>
  <si>
    <t>GST (Rs)</t>
  </si>
  <si>
    <t>Purchase Price with GST (Rs)</t>
  </si>
  <si>
    <t>Annuity Rates (with GST)</t>
  </si>
  <si>
    <t>Annuity Rates (without GST)</t>
  </si>
  <si>
    <t>Group</t>
  </si>
  <si>
    <t xml:space="preserve">Immediate Annuity Rates </t>
  </si>
  <si>
    <t xml:space="preserve">Single Premium Deferred Annuity Rates </t>
  </si>
  <si>
    <t xml:space="preserve">Regular Premium Annuity Rates </t>
  </si>
  <si>
    <t>Single Premium Deferred Annuity Rates (excl.GST)</t>
  </si>
  <si>
    <t>Immediate Annuity Rates (excl.GST)</t>
  </si>
  <si>
    <t xml:space="preserve"> Immediate Annuity Rates (incl.GST)</t>
  </si>
  <si>
    <t>Regular Premium Annuity Rates (excl.GST)</t>
  </si>
  <si>
    <t>Single Premium Deferred Annuity Rates (incl.GST)</t>
  </si>
  <si>
    <t xml:space="preserve"> Regular Premium Annuity Rates (incl.GST)</t>
  </si>
  <si>
    <t>ANNUITY CALCULATOR</t>
  </si>
  <si>
    <t>Annuitant Name</t>
  </si>
  <si>
    <t>Annuitant Age</t>
  </si>
  <si>
    <t>Joint Life Name</t>
  </si>
  <si>
    <t>Joint Life Age</t>
  </si>
  <si>
    <t>Annuity Type</t>
  </si>
  <si>
    <t>Premium Paying Term</t>
  </si>
  <si>
    <t>Premium Paying Frequency</t>
  </si>
  <si>
    <t>Deferred</t>
  </si>
  <si>
    <t>Table</t>
  </si>
  <si>
    <t>RP_Def_Ann_Table</t>
  </si>
  <si>
    <t>SP_Def_Ann_Table</t>
  </si>
  <si>
    <t>Imm_Ann_Table</t>
  </si>
  <si>
    <t>For Single Premium</t>
  </si>
  <si>
    <t xml:space="preserve">Joint Life Last Survivor with 100% of annuity to spouse &amp; with Return of Purchase Price on death of Last Survivor </t>
  </si>
  <si>
    <t>without GST</t>
  </si>
  <si>
    <t>with GST</t>
  </si>
  <si>
    <t>Premium Payable</t>
  </si>
  <si>
    <t>if purchase price for Group</t>
  </si>
  <si>
    <t>BAJAJ ALLIANZ LIFE INSURANCE CO. LTD.</t>
  </si>
  <si>
    <t>Modal Annuity %</t>
  </si>
  <si>
    <t>Annuity for 
Yearly frequency</t>
  </si>
  <si>
    <t>Total Annuity 
payable yearly</t>
  </si>
  <si>
    <t>Annuity % for 
Yearly frequency</t>
  </si>
  <si>
    <t>Option</t>
  </si>
  <si>
    <t xml:space="preserve">Regular Premium Rates </t>
  </si>
  <si>
    <t>INSTRUCTIONS FOR GOAL SEEK FUNCTION : ANNUITY TO PREMIUM CALCULATION</t>
  </si>
  <si>
    <t>Go to "Data" tab</t>
  </si>
  <si>
    <t>Click on the "What-If Analysis" button, then click on "Goal Seek"</t>
  </si>
  <si>
    <t xml:space="preserve">Three fields will be visible - </t>
  </si>
  <si>
    <t>In "Set Cell", input the cell reference where the fixed Annuity amount has to be shown.</t>
  </si>
  <si>
    <t>In "To Value", input the target Annuity amount.</t>
  </si>
  <si>
    <t>In "By Changing cell", input the cell reference of Purchase price. This will show the premium amount which will result in the fixed Annuity amount.</t>
  </si>
  <si>
    <t>Click on "OK" and wait till the desired Annuity amount is reached.</t>
  </si>
  <si>
    <t>Purchase Price amount for desired Annuity of Rs. 10,000 will show in the respective cell of the calculator.</t>
  </si>
  <si>
    <t>STEP</t>
  </si>
  <si>
    <t>GST from 2nd year</t>
  </si>
  <si>
    <t>Senna</t>
  </si>
  <si>
    <t>Prost</t>
  </si>
  <si>
    <t>1</t>
  </si>
  <si>
    <t>incl. GST</t>
  </si>
  <si>
    <t>0</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</si>
</sst>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_(* #,##0.00_);_(* \(#,##0.00\);_(* &quot;-&quot;??_);_(@_)"/>
    <numFmt numFmtId="165" formatCode="_(* #,##0_);_(* \(#,##0\);_(* &quot;-&quot;??_);_(@_)"/>
    <numFmt numFmtId="166" formatCode="0.0000"/>
    <numFmt numFmtId="167" formatCode="0.0000000"/>
    <numFmt numFmtId="168" formatCode="0.00000"/>
    <numFmt numFmtId="169" formatCode="_(* #,##0.00000000_);_(* \(#,##0.00000000\);_(* &quot;-&quot;??_);_(@_)"/>
    <numFmt numFmtId="170" formatCode="_(* #,##0.0000_);_(* \(#,##0.0000\);_(* &quot;-&quot;??_);_(@_)"/>
    <numFmt numFmtId="171" formatCode="0.0000%"/>
    <numFmt numFmtId="172" formatCode="0.000%"/>
    <numFmt numFmtId="173" formatCode="0.000000"/>
    <numFmt numFmtId="174" formatCode="#,##0.000"/>
    <numFmt numFmtId="175" formatCode="_ * #,##0_ ;_ * \-#,##0_ ;_ * &quot;-&quot;??_ ;_ @_ "/>
    <numFmt numFmtId="176" formatCode="_ * #,##0.0_ ;_ * \-#,##0.0_ ;_ * &quot;-&quot;?_ ;_ @_ "/>
    <numFmt numFmtId="177" formatCode="&quot;₹&quot;\ #,##0"/>
  </numFmts>
  <fonts count="7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ookman Old Style"/>
      <family val="1"/>
    </font>
    <font>
      <b/>
      <sz val="10"/>
      <name val="Bookman Old Style"/>
      <family val="1"/>
    </font>
    <font>
      <sz val="12"/>
      <name val="Bookman Old Style"/>
      <family val="1"/>
    </font>
    <font>
      <b/>
      <sz val="10"/>
      <name val="Arial"/>
      <family val="2"/>
    </font>
    <font>
      <sz val="10"/>
      <name val="Tahoma"/>
      <family val="2"/>
    </font>
    <font>
      <sz val="10"/>
      <color rgb="FFFF0000"/>
      <name val="Bookman Old Style"/>
      <family val="1"/>
    </font>
    <font>
      <b/>
      <sz val="12"/>
      <name val="Bookman Old Style"/>
      <family val="1"/>
    </font>
    <font>
      <b/>
      <sz val="12"/>
      <color rgb="FFFF0000"/>
      <name val="Bookman Old Style"/>
      <family val="1"/>
    </font>
    <font>
      <b/>
      <i/>
      <sz val="12"/>
      <name val="Bookman Old Style"/>
      <family val="1"/>
    </font>
    <font>
      <sz val="12"/>
      <color theme="0"/>
      <name val="Bookman Old Style"/>
      <family val="1"/>
    </font>
    <font>
      <sz val="10"/>
      <name val="Calibri"/>
      <family val="2"/>
      <scheme val="minor"/>
    </font>
    <font>
      <sz val="10"/>
      <color theme="1"/>
      <name val="Arial"/>
      <family val="2"/>
    </font>
    <font>
      <b/>
      <sz val="10"/>
      <color theme="1"/>
      <name val="Arial"/>
      <family val="2"/>
    </font>
    <font>
      <sz val="9"/>
      <name val="Arial"/>
      <family val="2"/>
    </font>
    <font>
      <sz val="9"/>
      <color theme="1"/>
      <name val="Arial"/>
      <family val="2"/>
    </font>
    <font>
      <sz val="9"/>
      <name val="Book Antiqua"/>
      <family val="1"/>
    </font>
    <font>
      <b/>
      <i/>
      <sz val="10"/>
      <color rgb="FF0000FF"/>
      <name val="Book Antiqua"/>
      <family val="1"/>
    </font>
    <font>
      <b/>
      <sz val="10"/>
      <color rgb="FF0000FF"/>
      <name val="Book Antiqua"/>
      <family val="1"/>
    </font>
    <font>
      <sz val="10"/>
      <color rgb="FF0000FF"/>
      <name val="Book Antiqua"/>
      <family val="1"/>
    </font>
    <font>
      <sz val="8"/>
      <name val="Times New Roman"/>
      <family val="1"/>
    </font>
    <font>
      <sz val="10"/>
      <name val="Book Antiqua"/>
      <family val="1"/>
    </font>
    <font>
      <sz val="12"/>
      <color rgb="FFFF0000"/>
      <name val="Bookman Old Style"/>
      <family val="1"/>
    </font>
    <font>
      <sz val="11"/>
      <color rgb="FF44546A"/>
      <name val="Calibri"/>
      <family val="2"/>
    </font>
    <font>
      <sz val="11"/>
      <color rgb="FF1F497D"/>
      <name val="Calibri"/>
      <family val="2"/>
    </font>
    <font>
      <sz val="11"/>
      <name val="Segoe UI"/>
      <family val="2"/>
    </font>
    <font>
      <sz val="12"/>
      <name val="Calibri"/>
      <family val="2"/>
      <scheme val="minor"/>
    </font>
    <font>
      <sz val="11"/>
      <color rgb="FF002060"/>
      <name val="Calibri"/>
      <family val="2"/>
    </font>
    <font>
      <sz val="10"/>
      <color theme="1"/>
      <name val="Calibri"/>
      <family val="2"/>
      <scheme val="minor"/>
    </font>
    <font>
      <b/>
      <sz val="10"/>
      <name val="Calibri"/>
      <family val="2"/>
      <scheme val="minor"/>
    </font>
    <font>
      <b/>
      <sz val="10"/>
      <color theme="1"/>
      <name val="Calibri"/>
      <family val="2"/>
      <scheme val="minor"/>
    </font>
    <font>
      <b/>
      <sz val="16"/>
      <name val="Tahoma"/>
      <family val="2"/>
    </font>
    <font>
      <sz val="16"/>
      <color theme="1"/>
      <name val="Tahoma"/>
      <family val="2"/>
    </font>
    <font>
      <b/>
      <sz val="16"/>
      <color indexed="8"/>
      <name val="Tahoma"/>
      <family val="2"/>
    </font>
    <font>
      <sz val="16"/>
      <name val="Tahoma"/>
      <family val="2"/>
    </font>
    <font>
      <b/>
      <sz val="16"/>
      <color indexed="12"/>
      <name val="Tahoma"/>
      <family val="2"/>
    </font>
    <font>
      <sz val="9"/>
      <color indexed="81"/>
      <name val="Tahoma"/>
      <family val="2"/>
    </font>
    <font>
      <b/>
      <sz val="9"/>
      <color indexed="81"/>
      <name val="Tahoma"/>
      <family val="2"/>
    </font>
    <font>
      <b/>
      <sz val="9"/>
      <color rgb="FF0000FF"/>
      <name val="Book Antiqua"/>
      <family val="1"/>
    </font>
    <font>
      <b/>
      <vertAlign val="superscript"/>
      <sz val="9"/>
      <color rgb="FF0000FF"/>
      <name val="Book Antiqua"/>
      <family val="1"/>
    </font>
    <font>
      <sz val="9"/>
      <color rgb="FF0000FF"/>
      <name val="Book Antiqua"/>
      <family val="1"/>
    </font>
    <font>
      <sz val="10"/>
      <name val="Arial"/>
      <family val="2"/>
    </font>
    <font>
      <sz val="8"/>
      <name val="Arial"/>
      <family val="2"/>
    </font>
    <font>
      <sz val="15"/>
      <name val="Arial"/>
      <family val="2"/>
    </font>
    <font>
      <b/>
      <sz val="8"/>
      <name val="Arial"/>
      <family val="2"/>
    </font>
    <font>
      <b/>
      <sz val="11"/>
      <color rgb="FF000000"/>
      <name val="Calibri"/>
      <family val="2"/>
    </font>
    <font>
      <sz val="11"/>
      <color rgb="FF000000"/>
      <name val="Calibri"/>
      <family val="2"/>
    </font>
    <font>
      <sz val="9"/>
      <color rgb="FFFF0000"/>
      <name val="Arial"/>
      <family val="2"/>
    </font>
    <font>
      <u/>
      <sz val="11"/>
      <color theme="1"/>
      <name val="Calibri"/>
      <family val="2"/>
      <scheme val="minor"/>
    </font>
    <font>
      <b/>
      <sz val="10"/>
      <color rgb="FFFF0000"/>
      <name val="Arial"/>
      <family val="2"/>
    </font>
    <font>
      <sz val="11"/>
      <name val="Calibri"/>
      <family val="2"/>
      <scheme val="minor"/>
    </font>
    <font>
      <i/>
      <sz val="10"/>
      <color rgb="FF0000FF"/>
      <name val="Book Antiqua"/>
      <family val="1"/>
    </font>
    <font>
      <b/>
      <sz val="12"/>
      <color theme="0"/>
      <name val="Calibri"/>
      <family val="2"/>
      <scheme val="minor"/>
    </font>
    <font>
      <sz val="11"/>
      <color rgb="FFFF0000"/>
      <name val="Calibri"/>
      <family val="2"/>
      <scheme val="minor"/>
    </font>
    <font>
      <sz val="11"/>
      <color theme="0"/>
      <name val="Calibri"/>
      <family val="2"/>
      <scheme val="minor"/>
    </font>
    <font>
      <b/>
      <sz val="22"/>
      <color rgb="FF0070C0"/>
      <name val="Calibri"/>
      <family val="2"/>
      <scheme val="minor"/>
    </font>
    <font>
      <b/>
      <sz val="16"/>
      <color theme="0"/>
      <name val="Calibri"/>
      <family val="2"/>
      <scheme val="minor"/>
    </font>
    <font>
      <b/>
      <sz val="11"/>
      <name val="Calibri"/>
      <family val="2"/>
      <scheme val="minor"/>
    </font>
    <font>
      <b/>
      <i/>
      <sz val="11"/>
      <name val="Calibri"/>
      <family val="2"/>
      <scheme val="minor"/>
    </font>
    <font>
      <b/>
      <i/>
      <sz val="11"/>
      <color rgb="FFFF0000"/>
      <name val="Calibri"/>
      <family val="2"/>
      <scheme val="minor"/>
    </font>
    <font>
      <b/>
      <sz val="20"/>
      <color theme="0"/>
      <name val="Calibri"/>
      <family val="2"/>
      <scheme val="minor"/>
    </font>
    <font>
      <i/>
      <sz val="12"/>
      <name val="Calibri"/>
      <family val="2"/>
      <scheme val="minor"/>
    </font>
    <font>
      <i/>
      <sz val="12"/>
      <color rgb="FFFF0000"/>
      <name val="Calibri"/>
      <family val="2"/>
      <scheme val="minor"/>
    </font>
    <font>
      <b/>
      <sz val="12"/>
      <name val="Calibri"/>
      <family val="2"/>
      <scheme val="minor"/>
    </font>
    <font>
      <b/>
      <sz val="12"/>
      <color theme="1"/>
      <name val="Calibri"/>
      <family val="2"/>
      <scheme val="minor"/>
    </font>
    <font>
      <sz val="12"/>
      <color theme="1"/>
      <name val="Calibri"/>
      <family val="2"/>
      <scheme val="minor"/>
    </font>
    <font>
      <i/>
      <sz val="12"/>
      <color theme="1" tint="0.249977111117893"/>
      <name val="Calibri"/>
      <family val="2"/>
      <scheme val="minor"/>
    </font>
    <font>
      <b/>
      <sz val="12"/>
      <color rgb="FF0070C0"/>
      <name val="Calibri"/>
      <family val="2"/>
      <scheme val="minor"/>
    </font>
    <font>
      <b/>
      <sz val="12"/>
      <color theme="4" tint="-0.249977111117893"/>
      <name val="Calibri"/>
      <family val="2"/>
      <scheme val="minor"/>
    </font>
    <font>
      <b/>
      <sz val="14"/>
      <color theme="0"/>
      <name val="Calibri"/>
      <family val="2"/>
      <scheme val="minor"/>
    </font>
    <font>
      <sz val="12"/>
      <name val="Arial"/>
      <family val="2"/>
    </font>
    <font>
      <sz val="14"/>
      <name val="Tahoma"/>
      <family val="2"/>
    </font>
    <font>
      <b/>
      <sz val="14"/>
      <color indexed="12"/>
      <name val="Tahoma"/>
      <family val="2"/>
    </font>
    <font>
      <sz val="14"/>
      <name val="Arial"/>
      <family val="2"/>
    </font>
    <font>
      <sz val="14"/>
      <name val="Calibri"/>
      <family val="2"/>
      <scheme val="minor"/>
    </font>
  </fonts>
  <fills count="32">
    <fill>
      <patternFill patternType="none"/>
    </fill>
    <fill>
      <patternFill patternType="gray125"/>
    </fill>
    <fill>
      <patternFill patternType="solid">
        <fgColor indexed="42"/>
        <bgColor indexed="64"/>
      </patternFill>
    </fill>
    <fill>
      <patternFill patternType="solid">
        <fgColor indexed="45"/>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59999389629810485"/>
        <bgColor indexed="64"/>
      </patternFill>
    </fill>
    <fill>
      <patternFill patternType="solid">
        <fgColor rgb="FFFF0000"/>
        <bgColor indexed="64"/>
      </patternFill>
    </fill>
    <fill>
      <patternFill patternType="solid">
        <fgColor rgb="FFCCECFF"/>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rgb="FFC00000"/>
        <bgColor indexed="64"/>
      </patternFill>
    </fill>
    <fill>
      <patternFill patternType="solid">
        <fgColor indexed="22"/>
        <bgColor indexed="64"/>
      </patternFill>
    </fill>
    <fill>
      <patternFill patternType="solid">
        <fgColor theme="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000000"/>
        <bgColor indexed="64"/>
      </patternFill>
    </fill>
    <fill>
      <patternFill patternType="solid">
        <fgColor rgb="FF92D050"/>
        <bgColor indexed="64"/>
      </patternFill>
    </fill>
    <fill>
      <patternFill patternType="solid">
        <fgColor theme="9"/>
        <bgColor indexed="64"/>
      </patternFill>
    </fill>
    <fill>
      <patternFill patternType="solid">
        <fgColor rgb="FF00B0F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FFC000"/>
        <bgColor indexed="64"/>
      </patternFill>
    </fill>
    <fill>
      <patternFill patternType="solid">
        <fgColor theme="3" tint="-0.249977111117893"/>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0070C0"/>
        <bgColor indexed="64"/>
      </patternFill>
    </fill>
    <fill>
      <patternFill patternType="solid">
        <fgColor rgb="FFFF7119"/>
        <bgColor indexed="64"/>
      </patternFill>
    </fill>
    <fill>
      <patternFill patternType="solid">
        <fgColor theme="0" tint="-4.9989318521683403E-2"/>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medium">
        <color rgb="FF000000"/>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ck">
        <color rgb="FF0070C0"/>
      </left>
      <right style="thick">
        <color rgb="FF0070C0"/>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ck">
        <color rgb="FF0070C0"/>
      </left>
      <right style="thin">
        <color indexed="64"/>
      </right>
      <top style="thick">
        <color rgb="FF0070C0"/>
      </top>
      <bottom style="thin">
        <color indexed="64"/>
      </bottom>
      <diagonal/>
    </border>
    <border>
      <left style="thin">
        <color indexed="64"/>
      </left>
      <right style="thin">
        <color indexed="64"/>
      </right>
      <top style="thick">
        <color rgb="FF0070C0"/>
      </top>
      <bottom style="thin">
        <color indexed="64"/>
      </bottom>
      <diagonal/>
    </border>
    <border>
      <left style="thin">
        <color indexed="64"/>
      </left>
      <right style="thick">
        <color rgb="FF0070C0"/>
      </right>
      <top style="thick">
        <color rgb="FF0070C0"/>
      </top>
      <bottom style="thin">
        <color indexed="64"/>
      </bottom>
      <diagonal/>
    </border>
    <border>
      <left style="thick">
        <color rgb="FF0070C0"/>
      </left>
      <right style="thin">
        <color indexed="64"/>
      </right>
      <top style="thin">
        <color indexed="64"/>
      </top>
      <bottom style="thick">
        <color rgb="FF0070C0"/>
      </bottom>
      <diagonal/>
    </border>
    <border>
      <left style="thin">
        <color indexed="64"/>
      </left>
      <right style="thin">
        <color indexed="64"/>
      </right>
      <top style="thin">
        <color indexed="64"/>
      </top>
      <bottom style="thick">
        <color rgb="FF0070C0"/>
      </bottom>
      <diagonal/>
    </border>
    <border>
      <left style="thin">
        <color indexed="64"/>
      </left>
      <right style="thick">
        <color rgb="FF0070C0"/>
      </right>
      <top style="thin">
        <color indexed="64"/>
      </top>
      <bottom style="thick">
        <color rgb="FF0070C0"/>
      </bottom>
      <diagonal/>
    </border>
  </borders>
  <cellStyleXfs count="10">
    <xf numFmtId="0" fontId="0" fillId="0" borderId="0"/>
    <xf numFmtId="164" fontId="4" fillId="0" borderId="0" applyFont="0" applyFill="0" applyBorder="0" applyAlignment="0" applyProtection="0"/>
    <xf numFmtId="164" fontId="4"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9" fontId="45" fillId="0" borderId="0" applyFont="0" applyFill="0" applyBorder="0" applyAlignment="0" applyProtection="0"/>
  </cellStyleXfs>
  <cellXfs count="787">
    <xf numFmtId="0" fontId="0" fillId="0" borderId="0" xfId="0"/>
    <xf numFmtId="0" fontId="5" fillId="0" borderId="0" xfId="0" applyFont="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5" fillId="0" borderId="13" xfId="0" applyFont="1" applyBorder="1" applyAlignment="1">
      <alignment horizontal="center"/>
    </xf>
    <xf numFmtId="0" fontId="5" fillId="0" borderId="14" xfId="0" applyFont="1" applyBorder="1" applyAlignment="1">
      <alignment horizontal="center"/>
    </xf>
    <xf numFmtId="0" fontId="5" fillId="0" borderId="4" xfId="0" applyFont="1" applyBorder="1" applyAlignment="1">
      <alignment horizontal="center"/>
    </xf>
    <xf numFmtId="0" fontId="5" fillId="0" borderId="8" xfId="0" applyFont="1" applyBorder="1" applyAlignment="1">
      <alignment horizontal="center"/>
    </xf>
    <xf numFmtId="0" fontId="5" fillId="0" borderId="16"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5" fillId="0" borderId="20"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23" xfId="0" applyFont="1" applyBorder="1" applyAlignment="1">
      <alignment horizontal="center"/>
    </xf>
    <xf numFmtId="0" fontId="10" fillId="0" borderId="19" xfId="0" applyFont="1" applyBorder="1" applyAlignment="1">
      <alignment horizontal="center"/>
    </xf>
    <xf numFmtId="0" fontId="5" fillId="5" borderId="0" xfId="0" applyFont="1" applyFill="1" applyBorder="1" applyAlignment="1">
      <alignment horizontal="center"/>
    </xf>
    <xf numFmtId="165" fontId="5" fillId="5" borderId="0" xfId="1" applyNumberFormat="1" applyFont="1" applyFill="1" applyBorder="1" applyAlignment="1">
      <alignment horizontal="center"/>
    </xf>
    <xf numFmtId="37" fontId="5" fillId="5" borderId="0" xfId="0" applyNumberFormat="1" applyFont="1" applyFill="1" applyBorder="1" applyAlignment="1">
      <alignment horizontal="center"/>
    </xf>
    <xf numFmtId="0" fontId="11" fillId="0" borderId="0" xfId="0" applyFont="1" applyAlignment="1">
      <alignment vertical="center"/>
    </xf>
    <xf numFmtId="0" fontId="7" fillId="0" borderId="0" xfId="0" applyFont="1" applyAlignment="1">
      <alignment vertical="center"/>
    </xf>
    <xf numFmtId="0" fontId="7" fillId="0" borderId="0" xfId="0" applyFont="1" applyBorder="1" applyAlignment="1">
      <alignment vertical="center"/>
    </xf>
    <xf numFmtId="0" fontId="7" fillId="5" borderId="0" xfId="0" applyFont="1" applyFill="1" applyBorder="1" applyAlignment="1">
      <alignment wrapText="1"/>
    </xf>
    <xf numFmtId="0" fontId="7" fillId="5" borderId="0" xfId="0" applyFont="1" applyFill="1" applyBorder="1"/>
    <xf numFmtId="0" fontId="7" fillId="4" borderId="0" xfId="0" applyFont="1" applyFill="1" applyBorder="1"/>
    <xf numFmtId="0" fontId="7" fillId="0" borderId="0" xfId="0" applyFont="1"/>
    <xf numFmtId="0" fontId="7" fillId="5" borderId="0" xfId="0" applyFont="1" applyFill="1" applyBorder="1" applyAlignment="1">
      <alignment horizontal="left" wrapText="1"/>
    </xf>
    <xf numFmtId="0" fontId="4" fillId="0" borderId="0" xfId="0" applyFont="1"/>
    <xf numFmtId="0" fontId="7" fillId="0" borderId="0" xfId="0" applyFont="1" applyFill="1" applyAlignment="1">
      <alignment vertical="center"/>
    </xf>
    <xf numFmtId="37" fontId="7" fillId="3" borderId="32" xfId="0" applyNumberFormat="1" applyFont="1" applyFill="1" applyBorder="1" applyAlignment="1">
      <alignment vertical="center" wrapText="1"/>
    </xf>
    <xf numFmtId="0" fontId="14" fillId="0" borderId="0" xfId="0" applyFont="1" applyAlignment="1">
      <alignment vertical="center"/>
    </xf>
    <xf numFmtId="0" fontId="14" fillId="5" borderId="0" xfId="0" applyFont="1" applyFill="1" applyAlignment="1">
      <alignment horizontal="center" vertical="center"/>
    </xf>
    <xf numFmtId="165" fontId="7" fillId="3" borderId="31" xfId="1" applyNumberFormat="1" applyFont="1" applyFill="1" applyBorder="1" applyAlignment="1">
      <alignment vertical="center" wrapText="1"/>
    </xf>
    <xf numFmtId="0" fontId="11" fillId="0" borderId="0" xfId="0" applyFont="1" applyAlignment="1">
      <alignment horizontal="center" vertical="center"/>
    </xf>
    <xf numFmtId="0" fontId="12" fillId="0" borderId="0" xfId="0" applyFont="1" applyAlignment="1">
      <alignment horizontal="center" vertical="center"/>
    </xf>
    <xf numFmtId="0" fontId="7" fillId="0" borderId="1" xfId="0" applyFont="1" applyBorder="1" applyAlignment="1">
      <alignment vertical="center"/>
    </xf>
    <xf numFmtId="165" fontId="7" fillId="2" borderId="1" xfId="1" applyNumberFormat="1" applyFont="1" applyFill="1" applyBorder="1" applyAlignment="1">
      <alignment horizontal="center" vertical="center"/>
    </xf>
    <xf numFmtId="0" fontId="7" fillId="2" borderId="1" xfId="1" applyNumberFormat="1" applyFont="1" applyFill="1" applyBorder="1" applyAlignment="1" applyProtection="1">
      <alignment horizontal="center" vertical="center"/>
      <protection locked="0"/>
    </xf>
    <xf numFmtId="0" fontId="11" fillId="6" borderId="1" xfId="0" applyFont="1" applyFill="1" applyBorder="1" applyAlignment="1">
      <alignment horizontal="center" vertical="center"/>
    </xf>
    <xf numFmtId="0" fontId="11" fillId="6" borderId="1" xfId="0" applyFont="1" applyFill="1" applyBorder="1" applyAlignment="1">
      <alignment horizontal="center" vertical="center" wrapText="1"/>
    </xf>
    <xf numFmtId="0" fontId="4" fillId="5" borderId="0" xfId="0" applyFont="1" applyFill="1"/>
    <xf numFmtId="0" fontId="4" fillId="5" borderId="0" xfId="0" applyFont="1" applyFill="1" applyBorder="1"/>
    <xf numFmtId="0" fontId="4" fillId="5" borderId="28" xfId="0" applyFont="1" applyFill="1" applyBorder="1" applyProtection="1"/>
    <xf numFmtId="0" fontId="4" fillId="5" borderId="0" xfId="0" applyFont="1" applyFill="1" applyBorder="1" applyProtection="1"/>
    <xf numFmtId="0" fontId="17" fillId="5" borderId="0" xfId="0" applyFont="1" applyFill="1" applyProtection="1"/>
    <xf numFmtId="0" fontId="16" fillId="5" borderId="0" xfId="0" applyFont="1" applyFill="1"/>
    <xf numFmtId="0" fontId="8" fillId="4" borderId="0" xfId="0" applyFont="1" applyFill="1" applyBorder="1" applyAlignment="1" applyProtection="1">
      <alignment horizontal="right" vertical="center"/>
    </xf>
    <xf numFmtId="10" fontId="16" fillId="4" borderId="0" xfId="0" applyNumberFormat="1" applyFont="1" applyFill="1" applyBorder="1" applyAlignment="1">
      <alignment horizontal="center" vertical="center"/>
    </xf>
    <xf numFmtId="0" fontId="16" fillId="4" borderId="0" xfId="0" applyFont="1" applyFill="1" applyBorder="1" applyAlignment="1">
      <alignment horizontal="center" vertical="center"/>
    </xf>
    <xf numFmtId="0" fontId="18" fillId="5" borderId="5" xfId="0" applyFont="1" applyFill="1" applyBorder="1" applyProtection="1"/>
    <xf numFmtId="0" fontId="18" fillId="5" borderId="6" xfId="0" applyFont="1" applyFill="1" applyBorder="1" applyProtection="1"/>
    <xf numFmtId="0" fontId="18" fillId="5" borderId="37" xfId="0" applyFont="1" applyFill="1" applyBorder="1" applyProtection="1"/>
    <xf numFmtId="0" fontId="19" fillId="5" borderId="5" xfId="0" applyFont="1" applyFill="1" applyBorder="1" applyAlignment="1" applyProtection="1">
      <alignment vertical="center"/>
      <protection hidden="1"/>
    </xf>
    <xf numFmtId="0" fontId="19" fillId="5" borderId="6" xfId="0" applyFont="1" applyFill="1" applyBorder="1" applyAlignment="1">
      <alignment vertical="center"/>
    </xf>
    <xf numFmtId="0" fontId="19" fillId="5" borderId="37" xfId="0" applyFont="1" applyFill="1" applyBorder="1" applyAlignment="1">
      <alignment vertical="center"/>
    </xf>
    <xf numFmtId="0" fontId="4" fillId="0" borderId="8" xfId="0" applyFont="1" applyFill="1" applyBorder="1" applyAlignment="1">
      <alignment horizontal="center" vertical="center"/>
    </xf>
    <xf numFmtId="0" fontId="22" fillId="11" borderId="27" xfId="0" applyFont="1" applyFill="1" applyBorder="1" applyAlignment="1">
      <alignment horizontal="center" vertical="center"/>
    </xf>
    <xf numFmtId="0" fontId="22" fillId="0" borderId="40" xfId="0" applyFont="1" applyBorder="1" applyAlignment="1">
      <alignment vertical="center"/>
    </xf>
    <xf numFmtId="0" fontId="23" fillId="0" borderId="27" xfId="0" applyFont="1" applyBorder="1" applyAlignment="1">
      <alignment horizontal="center" vertical="center"/>
    </xf>
    <xf numFmtId="0" fontId="24" fillId="0" borderId="0" xfId="0" applyFont="1" applyAlignment="1">
      <alignment vertical="center"/>
    </xf>
    <xf numFmtId="0" fontId="4" fillId="0" borderId="1" xfId="0" applyFont="1" applyBorder="1"/>
    <xf numFmtId="0" fontId="0" fillId="0" borderId="1" xfId="0" applyBorder="1"/>
    <xf numFmtId="0" fontId="25" fillId="0" borderId="1" xfId="0" applyFont="1" applyBorder="1"/>
    <xf numFmtId="0" fontId="4" fillId="0" borderId="1" xfId="0" applyFont="1" applyFill="1" applyBorder="1"/>
    <xf numFmtId="3" fontId="23" fillId="0" borderId="27" xfId="0" applyNumberFormat="1" applyFont="1" applyBorder="1" applyAlignment="1">
      <alignment horizontal="center" vertical="center"/>
    </xf>
    <xf numFmtId="0" fontId="0" fillId="12" borderId="1" xfId="0" applyFill="1" applyBorder="1"/>
    <xf numFmtId="0" fontId="22" fillId="0" borderId="0" xfId="0" applyFont="1" applyBorder="1" applyAlignment="1">
      <alignment vertical="center"/>
    </xf>
    <xf numFmtId="0" fontId="23" fillId="0" borderId="0" xfId="0" applyFont="1" applyBorder="1" applyAlignment="1">
      <alignment horizontal="center" vertical="center"/>
    </xf>
    <xf numFmtId="0" fontId="4" fillId="12" borderId="0" xfId="0" applyFont="1" applyFill="1"/>
    <xf numFmtId="0" fontId="4" fillId="12" borderId="1" xfId="0" applyFont="1" applyFill="1" applyBorder="1"/>
    <xf numFmtId="0" fontId="25" fillId="0" borderId="1" xfId="0" applyFont="1" applyFill="1" applyBorder="1"/>
    <xf numFmtId="0" fontId="0" fillId="9" borderId="0" xfId="0" applyFill="1"/>
    <xf numFmtId="0" fontId="4" fillId="0" borderId="0" xfId="0" applyFont="1" applyAlignment="1">
      <alignment horizontal="left" vertical="top" wrapText="1"/>
    </xf>
    <xf numFmtId="0" fontId="4" fillId="5" borderId="1" xfId="0" applyFont="1" applyFill="1" applyBorder="1" applyAlignment="1">
      <alignment horizontal="center"/>
    </xf>
    <xf numFmtId="165" fontId="7" fillId="2" borderId="1" xfId="1" applyNumberFormat="1" applyFont="1" applyFill="1" applyBorder="1" applyAlignment="1">
      <alignment vertical="top" wrapText="1"/>
    </xf>
    <xf numFmtId="0" fontId="8" fillId="0" borderId="1" xfId="0" applyFont="1" applyBorder="1"/>
    <xf numFmtId="0" fontId="8" fillId="0" borderId="38" xfId="0" applyFont="1" applyFill="1" applyBorder="1" applyAlignment="1" applyProtection="1">
      <alignment horizontal="left"/>
    </xf>
    <xf numFmtId="0" fontId="8" fillId="0" borderId="39" xfId="0" applyFont="1" applyFill="1" applyBorder="1" applyAlignment="1" applyProtection="1">
      <alignment horizontal="left"/>
    </xf>
    <xf numFmtId="164" fontId="20" fillId="0" borderId="0" xfId="0" applyNumberFormat="1" applyFont="1" applyFill="1" applyBorder="1"/>
    <xf numFmtId="0" fontId="4" fillId="5" borderId="0" xfId="0" applyFont="1" applyFill="1" applyBorder="1" applyAlignment="1">
      <alignment horizontal="center"/>
    </xf>
    <xf numFmtId="0" fontId="16" fillId="0" borderId="4" xfId="0" applyFont="1" applyFill="1" applyBorder="1" applyAlignment="1" applyProtection="1">
      <alignment horizontal="center"/>
    </xf>
    <xf numFmtId="0" fontId="8" fillId="0" borderId="21" xfId="0" applyFont="1" applyFill="1" applyBorder="1" applyAlignment="1">
      <alignment horizontal="center" vertical="center" wrapText="1"/>
    </xf>
    <xf numFmtId="0" fontId="8" fillId="0" borderId="44"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27" fillId="0" borderId="8" xfId="0" applyFont="1" applyBorder="1" applyAlignment="1">
      <alignment vertical="center" wrapText="1"/>
    </xf>
    <xf numFmtId="0" fontId="27" fillId="0" borderId="4" xfId="0" applyFont="1" applyBorder="1" applyAlignment="1">
      <alignment vertical="center" wrapText="1"/>
    </xf>
    <xf numFmtId="0" fontId="27" fillId="0" borderId="40" xfId="0" applyFont="1" applyBorder="1" applyAlignment="1">
      <alignment vertical="center" wrapText="1"/>
    </xf>
    <xf numFmtId="3" fontId="28" fillId="0" borderId="27" xfId="0" applyNumberFormat="1" applyFont="1" applyBorder="1" applyAlignment="1">
      <alignment vertical="center" wrapText="1"/>
    </xf>
    <xf numFmtId="0" fontId="29" fillId="0" borderId="0" xfId="0" applyFont="1" applyAlignment="1">
      <alignment vertical="center" wrapText="1"/>
    </xf>
    <xf numFmtId="0" fontId="29" fillId="0" borderId="0" xfId="0" applyFont="1" applyAlignment="1">
      <alignment vertical="center"/>
    </xf>
    <xf numFmtId="0" fontId="30" fillId="13" borderId="24" xfId="0" applyFont="1" applyFill="1" applyBorder="1" applyAlignment="1" applyProtection="1">
      <alignment horizontal="right" vertical="center"/>
      <protection hidden="1"/>
    </xf>
    <xf numFmtId="0" fontId="30" fillId="13" borderId="26" xfId="0" applyFont="1" applyFill="1" applyBorder="1" applyAlignment="1" applyProtection="1">
      <alignment horizontal="right" vertical="center"/>
      <protection hidden="1"/>
    </xf>
    <xf numFmtId="0" fontId="30" fillId="13" borderId="27" xfId="0" applyFont="1" applyFill="1" applyBorder="1" applyAlignment="1" applyProtection="1">
      <alignment vertical="center"/>
      <protection hidden="1"/>
    </xf>
    <xf numFmtId="10" fontId="30" fillId="13" borderId="25" xfId="0" applyNumberFormat="1" applyFont="1" applyFill="1" applyBorder="1" applyAlignment="1" applyProtection="1">
      <alignment vertical="center"/>
      <protection hidden="1"/>
    </xf>
    <xf numFmtId="0" fontId="8" fillId="0" borderId="3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49" xfId="0" applyFont="1" applyFill="1" applyBorder="1" applyAlignment="1">
      <alignment horizontal="center" vertical="center" wrapText="1"/>
    </xf>
    <xf numFmtId="3" fontId="4" fillId="5" borderId="0" xfId="0" applyNumberFormat="1" applyFont="1" applyFill="1"/>
    <xf numFmtId="0" fontId="31" fillId="0" borderId="0" xfId="0" applyFont="1"/>
    <xf numFmtId="165" fontId="4" fillId="5" borderId="1" xfId="1" applyNumberFormat="1" applyFont="1" applyFill="1" applyBorder="1" applyAlignment="1">
      <alignment horizontal="center"/>
    </xf>
    <xf numFmtId="0" fontId="0" fillId="0" borderId="0" xfId="0" applyBorder="1"/>
    <xf numFmtId="0" fontId="4" fillId="0" borderId="1" xfId="0" applyFont="1" applyBorder="1" applyAlignment="1"/>
    <xf numFmtId="0" fontId="5" fillId="14" borderId="15" xfId="0" applyFont="1" applyFill="1" applyBorder="1" applyAlignment="1">
      <alignment horizontal="center"/>
    </xf>
    <xf numFmtId="0" fontId="32" fillId="0" borderId="0" xfId="0" applyFont="1"/>
    <xf numFmtId="0" fontId="34" fillId="0" borderId="0" xfId="0" applyFont="1"/>
    <xf numFmtId="0" fontId="6" fillId="0" borderId="45" xfId="4" applyFont="1" applyFill="1" applyBorder="1" applyAlignment="1">
      <alignment horizontal="center" wrapText="1"/>
    </xf>
    <xf numFmtId="0" fontId="6" fillId="0" borderId="45" xfId="4" applyFont="1" applyFill="1" applyBorder="1" applyAlignment="1">
      <alignment wrapText="1"/>
    </xf>
    <xf numFmtId="0" fontId="15" fillId="0" borderId="1" xfId="0" applyFont="1" applyFill="1" applyBorder="1" applyAlignment="1">
      <alignment horizontal="center"/>
    </xf>
    <xf numFmtId="0" fontId="15" fillId="0" borderId="0" xfId="4" applyFont="1"/>
    <xf numFmtId="0" fontId="15" fillId="0" borderId="2" xfId="4" applyFont="1" applyFill="1" applyBorder="1" applyAlignment="1">
      <alignment horizontal="center"/>
    </xf>
    <xf numFmtId="0" fontId="6" fillId="0" borderId="0" xfId="4" applyFont="1" applyFill="1" applyBorder="1" applyAlignment="1">
      <alignment horizontal="center" wrapText="1"/>
    </xf>
    <xf numFmtId="0" fontId="6" fillId="0" borderId="0" xfId="4" applyFont="1" applyFill="1" applyBorder="1" applyAlignment="1">
      <alignment wrapText="1"/>
    </xf>
    <xf numFmtId="0" fontId="15" fillId="0" borderId="0" xfId="4" applyFont="1" applyFill="1" applyBorder="1" applyAlignment="1">
      <alignment horizontal="center"/>
    </xf>
    <xf numFmtId="0" fontId="13" fillId="0" borderId="0" xfId="0" applyFont="1" applyBorder="1" applyAlignment="1">
      <alignment vertical="top"/>
    </xf>
    <xf numFmtId="0" fontId="11" fillId="0" borderId="0" xfId="0" applyFont="1" applyFill="1" applyAlignment="1">
      <alignment horizontal="center" vertical="center"/>
    </xf>
    <xf numFmtId="43" fontId="7" fillId="0" borderId="0" xfId="0" applyNumberFormat="1" applyFont="1" applyAlignment="1">
      <alignment vertical="center"/>
    </xf>
    <xf numFmtId="0" fontId="15" fillId="0" borderId="1" xfId="4" applyFont="1" applyFill="1" applyBorder="1" applyAlignment="1">
      <alignment horizontal="center"/>
    </xf>
    <xf numFmtId="0" fontId="4" fillId="10" borderId="0" xfId="0" applyFont="1" applyFill="1"/>
    <xf numFmtId="164" fontId="35" fillId="0" borderId="0" xfId="1" applyFont="1"/>
    <xf numFmtId="164" fontId="36" fillId="0" borderId="0" xfId="1" applyFont="1"/>
    <xf numFmtId="0" fontId="36" fillId="0" borderId="0" xfId="0" applyFont="1"/>
    <xf numFmtId="165" fontId="35" fillId="6" borderId="1" xfId="1" applyNumberFormat="1" applyFont="1" applyFill="1" applyBorder="1" applyAlignment="1">
      <alignment wrapText="1"/>
    </xf>
    <xf numFmtId="165" fontId="38" fillId="6" borderId="37" xfId="1" applyNumberFormat="1" applyFont="1" applyFill="1" applyBorder="1" applyAlignment="1">
      <alignment horizontal="center"/>
    </xf>
    <xf numFmtId="165" fontId="38" fillId="6" borderId="45" xfId="1" applyNumberFormat="1" applyFont="1" applyFill="1" applyBorder="1" applyAlignment="1">
      <alignment horizontal="center"/>
    </xf>
    <xf numFmtId="165" fontId="38" fillId="6" borderId="45" xfId="1" quotePrefix="1" applyNumberFormat="1" applyFont="1" applyFill="1" applyBorder="1" applyAlignment="1">
      <alignment horizontal="center"/>
    </xf>
    <xf numFmtId="165" fontId="38" fillId="6" borderId="1" xfId="1" applyNumberFormat="1" applyFont="1" applyFill="1" applyBorder="1" applyAlignment="1">
      <alignment horizontal="center"/>
    </xf>
    <xf numFmtId="165" fontId="36" fillId="0" borderId="0" xfId="1" applyNumberFormat="1" applyFont="1"/>
    <xf numFmtId="165" fontId="38" fillId="6" borderId="3" xfId="1" applyNumberFormat="1" applyFont="1" applyFill="1" applyBorder="1" applyAlignment="1">
      <alignment horizontal="center"/>
    </xf>
    <xf numFmtId="165" fontId="38" fillId="6" borderId="1" xfId="1" quotePrefix="1" applyNumberFormat="1" applyFont="1" applyFill="1" applyBorder="1" applyAlignment="1">
      <alignment horizontal="center"/>
    </xf>
    <xf numFmtId="164" fontId="39" fillId="0" borderId="1" xfId="1" applyFont="1" applyFill="1" applyBorder="1" applyAlignment="1">
      <alignment horizontal="center"/>
    </xf>
    <xf numFmtId="165" fontId="38" fillId="0" borderId="2" xfId="1" applyNumberFormat="1" applyFont="1" applyFill="1" applyBorder="1" applyAlignment="1">
      <alignment horizontal="center"/>
    </xf>
    <xf numFmtId="165" fontId="7" fillId="0" borderId="0" xfId="0" applyNumberFormat="1" applyFont="1" applyAlignment="1">
      <alignment vertical="center"/>
    </xf>
    <xf numFmtId="0" fontId="7" fillId="0" borderId="0" xfId="0" applyFont="1" applyFill="1" applyBorder="1" applyAlignment="1">
      <alignment vertical="center"/>
    </xf>
    <xf numFmtId="0" fontId="0" fillId="0" borderId="1" xfId="0" applyFill="1" applyBorder="1"/>
    <xf numFmtId="0" fontId="8" fillId="0" borderId="0" xfId="0" applyFont="1"/>
    <xf numFmtId="0" fontId="5" fillId="8" borderId="0" xfId="0" applyFont="1" applyFill="1" applyAlignment="1">
      <alignment horizontal="center"/>
    </xf>
    <xf numFmtId="0" fontId="5" fillId="0" borderId="0" xfId="0" applyFont="1" applyAlignment="1">
      <alignment horizontal="left"/>
    </xf>
    <xf numFmtId="0" fontId="33" fillId="0" borderId="45" xfId="4" applyFont="1" applyFill="1" applyBorder="1" applyAlignment="1">
      <alignment horizontal="center" vertical="center" wrapText="1"/>
    </xf>
    <xf numFmtId="0" fontId="4" fillId="8" borderId="0" xfId="0" applyFont="1" applyFill="1"/>
    <xf numFmtId="37" fontId="4" fillId="5" borderId="0" xfId="0" applyNumberFormat="1" applyFont="1" applyFill="1"/>
    <xf numFmtId="0" fontId="25" fillId="18" borderId="7" xfId="0" applyFont="1" applyFill="1" applyBorder="1"/>
    <xf numFmtId="0" fontId="4" fillId="0" borderId="0" xfId="0" applyFont="1" applyFill="1"/>
    <xf numFmtId="0" fontId="4" fillId="5" borderId="1" xfId="0" applyFont="1" applyFill="1" applyBorder="1" applyAlignment="1">
      <alignment horizontal="center"/>
    </xf>
    <xf numFmtId="0" fontId="42" fillId="11" borderId="8" xfId="0" applyFont="1" applyFill="1" applyBorder="1" applyAlignment="1">
      <alignment horizontal="justify" vertical="center" wrapText="1"/>
    </xf>
    <xf numFmtId="0" fontId="42" fillId="11" borderId="4" xfId="0" applyFont="1" applyFill="1" applyBorder="1" applyAlignment="1">
      <alignment horizontal="center" vertical="center" wrapText="1"/>
    </xf>
    <xf numFmtId="0" fontId="42" fillId="0" borderId="40" xfId="0" applyFont="1" applyBorder="1" applyAlignment="1">
      <alignment horizontal="justify" vertical="center" wrapText="1"/>
    </xf>
    <xf numFmtId="9" fontId="44" fillId="0" borderId="27" xfId="0" applyNumberFormat="1" applyFont="1" applyBorder="1" applyAlignment="1">
      <alignment horizontal="center" vertical="center" wrapText="1"/>
    </xf>
    <xf numFmtId="0" fontId="22" fillId="11" borderId="46" xfId="0" applyFont="1" applyFill="1" applyBorder="1" applyAlignment="1">
      <alignment horizontal="center" vertical="center" wrapText="1"/>
    </xf>
    <xf numFmtId="0" fontId="22" fillId="11" borderId="39" xfId="0" applyFont="1" applyFill="1" applyBorder="1" applyAlignment="1">
      <alignment horizontal="center" vertical="center" wrapText="1"/>
    </xf>
    <xf numFmtId="0" fontId="22" fillId="11" borderId="27" xfId="0" applyFont="1" applyFill="1" applyBorder="1" applyAlignment="1">
      <alignment horizontal="center" vertical="center" wrapText="1"/>
    </xf>
    <xf numFmtId="0" fontId="22" fillId="0" borderId="40" xfId="0" applyFont="1" applyBorder="1" applyAlignment="1">
      <alignment horizontal="center" vertical="center" wrapText="1"/>
    </xf>
    <xf numFmtId="9" fontId="23" fillId="0" borderId="27" xfId="0" applyNumberFormat="1" applyFont="1" applyBorder="1" applyAlignment="1">
      <alignment horizontal="center" vertical="center" wrapText="1"/>
    </xf>
    <xf numFmtId="0" fontId="23" fillId="19" borderId="27" xfId="0" applyFont="1" applyFill="1" applyBorder="1" applyAlignment="1">
      <alignment horizontal="center" vertical="center" wrapText="1"/>
    </xf>
    <xf numFmtId="0" fontId="22" fillId="11" borderId="38"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40" xfId="0" applyFont="1" applyFill="1" applyBorder="1" applyAlignment="1">
      <alignment horizontal="center" vertical="center" wrapText="1"/>
    </xf>
    <xf numFmtId="0" fontId="4" fillId="5" borderId="0" xfId="0" applyFont="1" applyFill="1" applyAlignment="1"/>
    <xf numFmtId="0" fontId="4" fillId="10" borderId="0" xfId="0" applyFont="1" applyFill="1" applyAlignment="1"/>
    <xf numFmtId="165" fontId="4" fillId="5" borderId="0" xfId="0" applyNumberFormat="1" applyFont="1" applyFill="1"/>
    <xf numFmtId="0" fontId="22" fillId="11" borderId="46" xfId="0" applyFont="1" applyFill="1" applyBorder="1" applyAlignment="1">
      <alignment vertical="center" wrapText="1"/>
    </xf>
    <xf numFmtId="0" fontId="22" fillId="11" borderId="40" xfId="0" applyFont="1" applyFill="1" applyBorder="1" applyAlignment="1">
      <alignment vertical="center" wrapText="1"/>
    </xf>
    <xf numFmtId="0" fontId="23" fillId="0" borderId="27" xfId="0" applyFont="1" applyBorder="1" applyAlignment="1">
      <alignment horizontal="center" vertical="center" wrapText="1"/>
    </xf>
    <xf numFmtId="0" fontId="4" fillId="0" borderId="49" xfId="0" applyFont="1" applyFill="1" applyBorder="1"/>
    <xf numFmtId="0" fontId="23" fillId="0" borderId="40" xfId="0" applyFont="1" applyBorder="1" applyAlignment="1">
      <alignment horizontal="center" vertical="center" wrapText="1"/>
    </xf>
    <xf numFmtId="10" fontId="23" fillId="0" borderId="27" xfId="0" applyNumberFormat="1" applyFont="1" applyBorder="1" applyAlignment="1">
      <alignment horizontal="center" vertical="center" wrapText="1"/>
    </xf>
    <xf numFmtId="0" fontId="14" fillId="0" borderId="0" xfId="0" applyFont="1" applyFill="1" applyAlignment="1">
      <alignment vertical="center"/>
    </xf>
    <xf numFmtId="0" fontId="22" fillId="11" borderId="40" xfId="0" applyFont="1" applyFill="1" applyBorder="1" applyAlignment="1">
      <alignment horizontal="center" vertical="center" wrapText="1"/>
    </xf>
    <xf numFmtId="2" fontId="7" fillId="0" borderId="0" xfId="0" applyNumberFormat="1" applyFont="1" applyFill="1" applyBorder="1" applyAlignment="1">
      <alignment horizontal="center" vertical="center"/>
    </xf>
    <xf numFmtId="9" fontId="0" fillId="0" borderId="0" xfId="0" applyNumberFormat="1"/>
    <xf numFmtId="10" fontId="0" fillId="0" borderId="0" xfId="9" applyNumberFormat="1" applyFont="1"/>
    <xf numFmtId="10" fontId="0" fillId="8" borderId="0" xfId="9" applyNumberFormat="1" applyFont="1" applyFill="1"/>
    <xf numFmtId="0" fontId="4" fillId="5" borderId="1" xfId="0" applyFont="1" applyFill="1" applyBorder="1"/>
    <xf numFmtId="3" fontId="4" fillId="5" borderId="1" xfId="0" applyNumberFormat="1" applyFont="1" applyFill="1" applyBorder="1"/>
    <xf numFmtId="0" fontId="4" fillId="17" borderId="1" xfId="0" applyFont="1" applyFill="1" applyBorder="1"/>
    <xf numFmtId="0" fontId="4" fillId="17" borderId="1" xfId="0" applyFont="1" applyFill="1" applyBorder="1" applyAlignment="1">
      <alignment wrapText="1"/>
    </xf>
    <xf numFmtId="0" fontId="4" fillId="18" borderId="1" xfId="0" applyFont="1" applyFill="1" applyBorder="1"/>
    <xf numFmtId="0" fontId="4" fillId="7" borderId="1" xfId="0" applyFont="1" applyFill="1" applyBorder="1"/>
    <xf numFmtId="0" fontId="4" fillId="0" borderId="1" xfId="0" applyFont="1" applyFill="1" applyBorder="1" applyAlignment="1">
      <alignment wrapText="1"/>
    </xf>
    <xf numFmtId="37" fontId="4" fillId="5" borderId="1" xfId="0" applyNumberFormat="1" applyFont="1" applyFill="1" applyBorder="1"/>
    <xf numFmtId="0" fontId="4" fillId="20" borderId="1" xfId="0" applyFont="1" applyFill="1" applyBorder="1"/>
    <xf numFmtId="0" fontId="4" fillId="21" borderId="1" xfId="0" applyFont="1" applyFill="1" applyBorder="1"/>
    <xf numFmtId="0" fontId="4" fillId="22" borderId="1" xfId="0" applyFont="1" applyFill="1" applyBorder="1"/>
    <xf numFmtId="166" fontId="46" fillId="0" borderId="0" xfId="0" applyNumberFormat="1" applyFont="1" applyBorder="1" applyAlignment="1" applyProtection="1">
      <alignment horizontal="center"/>
    </xf>
    <xf numFmtId="167" fontId="46" fillId="5" borderId="2" xfId="0" applyNumberFormat="1" applyFont="1" applyFill="1" applyBorder="1" applyAlignment="1" applyProtection="1">
      <alignment horizontal="center"/>
    </xf>
    <xf numFmtId="166" fontId="46" fillId="8" borderId="1" xfId="0" applyNumberFormat="1" applyFont="1" applyFill="1" applyBorder="1" applyAlignment="1" applyProtection="1">
      <alignment horizontal="center"/>
    </xf>
    <xf numFmtId="165" fontId="46" fillId="8" borderId="1" xfId="1" applyNumberFormat="1" applyFont="1" applyFill="1" applyBorder="1" applyAlignment="1" applyProtection="1">
      <alignment horizontal="center"/>
    </xf>
    <xf numFmtId="167" fontId="46" fillId="8" borderId="1" xfId="0" applyNumberFormat="1" applyFont="1" applyFill="1" applyBorder="1" applyAlignment="1" applyProtection="1">
      <alignment horizontal="center"/>
    </xf>
    <xf numFmtId="168" fontId="46" fillId="0" borderId="0" xfId="0" applyNumberFormat="1" applyFont="1" applyBorder="1" applyAlignment="1" applyProtection="1">
      <alignment horizontal="center"/>
    </xf>
    <xf numFmtId="0" fontId="4" fillId="8" borderId="1" xfId="0" applyFont="1" applyFill="1" applyBorder="1" applyAlignment="1">
      <alignment horizontal="center" vertical="center"/>
    </xf>
    <xf numFmtId="9" fontId="4" fillId="8" borderId="1" xfId="0" applyNumberFormat="1" applyFont="1" applyFill="1" applyBorder="1" applyAlignment="1">
      <alignment horizontal="center" vertical="center"/>
    </xf>
    <xf numFmtId="164" fontId="0" fillId="0" borderId="0" xfId="1" applyFont="1"/>
    <xf numFmtId="167" fontId="0" fillId="0" borderId="0" xfId="0" applyNumberFormat="1"/>
    <xf numFmtId="166" fontId="46" fillId="23" borderId="1" xfId="0" applyNumberFormat="1" applyFont="1" applyFill="1" applyBorder="1" applyAlignment="1" applyProtection="1">
      <alignment horizontal="center" vertical="center" wrapText="1"/>
    </xf>
    <xf numFmtId="165" fontId="46" fillId="24" borderId="2" xfId="1" applyNumberFormat="1" applyFont="1" applyFill="1" applyBorder="1" applyAlignment="1" applyProtection="1">
      <alignment horizontal="center" vertical="center" wrapText="1"/>
    </xf>
    <xf numFmtId="165" fontId="46" fillId="20" borderId="53" xfId="1" applyNumberFormat="1" applyFont="1" applyFill="1" applyBorder="1" applyAlignment="1" applyProtection="1">
      <alignment horizontal="center" vertical="center" wrapText="1"/>
    </xf>
    <xf numFmtId="165" fontId="46" fillId="20" borderId="54" xfId="1" applyNumberFormat="1" applyFont="1" applyFill="1" applyBorder="1" applyAlignment="1" applyProtection="1">
      <alignment horizontal="center" vertical="center" wrapText="1"/>
    </xf>
    <xf numFmtId="165" fontId="46" fillId="24" borderId="54" xfId="1" applyNumberFormat="1" applyFont="1" applyFill="1" applyBorder="1" applyAlignment="1" applyProtection="1">
      <alignment horizontal="center" vertical="center" wrapText="1"/>
    </xf>
    <xf numFmtId="165" fontId="46" fillId="20" borderId="55" xfId="1" applyNumberFormat="1" applyFont="1" applyFill="1" applyBorder="1" applyAlignment="1" applyProtection="1">
      <alignment horizontal="center" vertical="center" wrapText="1"/>
    </xf>
    <xf numFmtId="165" fontId="46" fillId="20" borderId="56" xfId="1" applyNumberFormat="1" applyFont="1" applyFill="1" applyBorder="1" applyAlignment="1" applyProtection="1">
      <alignment horizontal="center" vertical="center" wrapText="1"/>
    </xf>
    <xf numFmtId="0" fontId="4" fillId="0" borderId="0" xfId="0" applyFont="1" applyFill="1" applyBorder="1"/>
    <xf numFmtId="0" fontId="46" fillId="0" borderId="1" xfId="1" applyNumberFormat="1" applyFont="1" applyBorder="1" applyAlignment="1" applyProtection="1"/>
    <xf numFmtId="0" fontId="0" fillId="0" borderId="2" xfId="0" applyBorder="1"/>
    <xf numFmtId="0" fontId="0" fillId="0" borderId="28" xfId="0" applyBorder="1"/>
    <xf numFmtId="0" fontId="0" fillId="0" borderId="29" xfId="0" applyBorder="1"/>
    <xf numFmtId="1" fontId="46" fillId="0" borderId="1" xfId="1" applyNumberFormat="1" applyFont="1" applyBorder="1" applyAlignment="1" applyProtection="1">
      <alignment horizontal="right"/>
    </xf>
    <xf numFmtId="165" fontId="0" fillId="0" borderId="1" xfId="1" applyNumberFormat="1" applyFont="1" applyBorder="1"/>
    <xf numFmtId="165" fontId="0" fillId="0" borderId="0" xfId="0" applyNumberFormat="1" applyBorder="1" applyAlignment="1">
      <alignment horizontal="center" vertical="center"/>
    </xf>
    <xf numFmtId="166" fontId="0" fillId="0" borderId="29" xfId="0" applyNumberFormat="1" applyBorder="1"/>
    <xf numFmtId="170" fontId="0" fillId="0" borderId="0" xfId="1" applyNumberFormat="1" applyFont="1"/>
    <xf numFmtId="165" fontId="0" fillId="0" borderId="57" xfId="1" applyNumberFormat="1" applyFont="1" applyBorder="1"/>
    <xf numFmtId="165" fontId="0" fillId="0" borderId="58" xfId="0" applyNumberFormat="1" applyBorder="1" applyAlignment="1">
      <alignment horizontal="center" vertical="center"/>
    </xf>
    <xf numFmtId="10" fontId="46" fillId="5" borderId="2" xfId="9" applyNumberFormat="1" applyFont="1" applyFill="1" applyBorder="1" applyAlignment="1" applyProtection="1">
      <alignment horizontal="center"/>
    </xf>
    <xf numFmtId="0" fontId="46" fillId="24" borderId="1" xfId="1" applyNumberFormat="1" applyFont="1" applyFill="1" applyBorder="1" applyAlignment="1" applyProtection="1"/>
    <xf numFmtId="1" fontId="46" fillId="24" borderId="1" xfId="1" applyNumberFormat="1" applyFont="1" applyFill="1" applyBorder="1" applyAlignment="1" applyProtection="1">
      <alignment horizontal="right"/>
    </xf>
    <xf numFmtId="0" fontId="46" fillId="0" borderId="1" xfId="1" applyNumberFormat="1" applyFont="1" applyFill="1" applyBorder="1" applyAlignment="1" applyProtection="1"/>
    <xf numFmtId="166" fontId="46" fillId="0" borderId="0" xfId="0" applyNumberFormat="1" applyFont="1" applyFill="1" applyBorder="1" applyAlignment="1" applyProtection="1">
      <alignment horizontal="center"/>
    </xf>
    <xf numFmtId="43" fontId="0" fillId="0" borderId="2" xfId="0" applyNumberFormat="1" applyBorder="1"/>
    <xf numFmtId="169" fontId="4" fillId="0" borderId="2" xfId="1" applyNumberFormat="1" applyFont="1" applyBorder="1"/>
    <xf numFmtId="0" fontId="0" fillId="8" borderId="0" xfId="0" applyFill="1"/>
    <xf numFmtId="0" fontId="0" fillId="8" borderId="1" xfId="0" applyFill="1" applyBorder="1"/>
    <xf numFmtId="0" fontId="46" fillId="8" borderId="1" xfId="1" applyNumberFormat="1" applyFont="1" applyFill="1" applyBorder="1" applyAlignment="1" applyProtection="1"/>
    <xf numFmtId="1" fontId="46" fillId="8" borderId="1" xfId="1" applyNumberFormat="1" applyFont="1" applyFill="1" applyBorder="1" applyAlignment="1" applyProtection="1">
      <alignment horizontal="right"/>
    </xf>
    <xf numFmtId="43" fontId="0" fillId="8" borderId="2" xfId="0" applyNumberFormat="1" applyFill="1" applyBorder="1"/>
    <xf numFmtId="0" fontId="8" fillId="8" borderId="28" xfId="0" applyFont="1" applyFill="1" applyBorder="1"/>
    <xf numFmtId="165" fontId="0" fillId="8" borderId="57" xfId="1" applyNumberFormat="1" applyFont="1" applyFill="1" applyBorder="1"/>
    <xf numFmtId="165" fontId="0" fillId="8" borderId="1" xfId="1" applyNumberFormat="1" applyFont="1" applyFill="1" applyBorder="1"/>
    <xf numFmtId="165" fontId="0" fillId="8" borderId="58" xfId="0" applyNumberFormat="1" applyFill="1" applyBorder="1" applyAlignment="1">
      <alignment horizontal="center" vertical="center"/>
    </xf>
    <xf numFmtId="166" fontId="0" fillId="8" borderId="29" xfId="0" applyNumberFormat="1" applyFill="1" applyBorder="1"/>
    <xf numFmtId="0" fontId="47" fillId="10" borderId="1" xfId="0" applyFont="1" applyFill="1" applyBorder="1" applyAlignment="1">
      <alignment wrapText="1"/>
    </xf>
    <xf numFmtId="0" fontId="8" fillId="8" borderId="1" xfId="0" applyFont="1" applyFill="1" applyBorder="1"/>
    <xf numFmtId="165" fontId="8" fillId="0" borderId="0" xfId="0" applyNumberFormat="1" applyFont="1"/>
    <xf numFmtId="166" fontId="48" fillId="0" borderId="0" xfId="0" applyNumberFormat="1" applyFont="1" applyBorder="1" applyAlignment="1" applyProtection="1">
      <alignment horizontal="center"/>
    </xf>
    <xf numFmtId="165" fontId="48" fillId="24" borderId="2" xfId="1" applyNumberFormat="1" applyFont="1" applyFill="1" applyBorder="1" applyAlignment="1" applyProtection="1">
      <alignment horizontal="center" vertical="center" wrapText="1"/>
    </xf>
    <xf numFmtId="0" fontId="8" fillId="0" borderId="2" xfId="0" applyFont="1" applyBorder="1"/>
    <xf numFmtId="10" fontId="4" fillId="5" borderId="0" xfId="9" applyNumberFormat="1" applyFont="1" applyFill="1"/>
    <xf numFmtId="171" fontId="4" fillId="5" borderId="0" xfId="9" applyNumberFormat="1" applyFont="1" applyFill="1"/>
    <xf numFmtId="43" fontId="0" fillId="0" borderId="0" xfId="0" applyNumberFormat="1"/>
    <xf numFmtId="0" fontId="4" fillId="8" borderId="1" xfId="0" applyFont="1" applyFill="1" applyBorder="1"/>
    <xf numFmtId="0" fontId="0" fillId="0" borderId="0" xfId="0" applyAlignment="1">
      <alignment wrapText="1"/>
    </xf>
    <xf numFmtId="0" fontId="0" fillId="25" borderId="0" xfId="0" applyFill="1"/>
    <xf numFmtId="10" fontId="0" fillId="25" borderId="0" xfId="0" applyNumberFormat="1" applyFill="1"/>
    <xf numFmtId="9" fontId="0" fillId="25" borderId="0" xfId="0" applyNumberFormat="1" applyFill="1"/>
    <xf numFmtId="0" fontId="49" fillId="0" borderId="8" xfId="0" applyFont="1" applyBorder="1" applyAlignment="1">
      <alignment vertical="center"/>
    </xf>
    <xf numFmtId="0" fontId="49" fillId="0" borderId="4" xfId="0" applyFont="1" applyBorder="1" applyAlignment="1">
      <alignment vertical="center"/>
    </xf>
    <xf numFmtId="0" fontId="50" fillId="0" borderId="40" xfId="0" applyFont="1" applyBorder="1" applyAlignment="1">
      <alignment vertical="center"/>
    </xf>
    <xf numFmtId="9" fontId="50" fillId="0" borderId="27" xfId="0" applyNumberFormat="1" applyFont="1" applyBorder="1" applyAlignment="1">
      <alignment horizontal="right" vertical="center"/>
    </xf>
    <xf numFmtId="0" fontId="50" fillId="0" borderId="27" xfId="0" applyFont="1" applyBorder="1" applyAlignment="1">
      <alignment vertical="center"/>
    </xf>
    <xf numFmtId="0" fontId="4" fillId="25" borderId="0" xfId="0" applyFont="1" applyFill="1"/>
    <xf numFmtId="0" fontId="4" fillId="25" borderId="1" xfId="0" applyFont="1" applyFill="1" applyBorder="1"/>
    <xf numFmtId="0" fontId="0" fillId="25" borderId="1" xfId="0" applyFill="1" applyBorder="1"/>
    <xf numFmtId="172" fontId="0" fillId="25" borderId="0" xfId="9" applyNumberFormat="1" applyFont="1" applyFill="1"/>
    <xf numFmtId="0" fontId="0" fillId="25" borderId="49" xfId="0" applyFont="1" applyFill="1" applyBorder="1"/>
    <xf numFmtId="0" fontId="50" fillId="0" borderId="0" xfId="0" applyFont="1" applyAlignment="1">
      <alignment vertical="center"/>
    </xf>
    <xf numFmtId="0" fontId="50" fillId="0" borderId="0" xfId="0" applyFont="1"/>
    <xf numFmtId="10" fontId="0" fillId="25" borderId="0" xfId="9" applyNumberFormat="1" applyFont="1" applyFill="1"/>
    <xf numFmtId="0" fontId="7" fillId="25" borderId="0" xfId="0" applyFont="1" applyFill="1" applyAlignment="1">
      <alignment vertical="center"/>
    </xf>
    <xf numFmtId="0" fontId="4" fillId="5" borderId="0" xfId="0" applyFont="1" applyFill="1" applyAlignment="1">
      <alignment horizontal="center"/>
    </xf>
    <xf numFmtId="0" fontId="8" fillId="5" borderId="0" xfId="0" applyFont="1" applyFill="1"/>
    <xf numFmtId="10" fontId="16" fillId="4" borderId="0" xfId="0" applyNumberFormat="1" applyFont="1" applyFill="1" applyBorder="1" applyAlignment="1">
      <alignment vertical="center"/>
    </xf>
    <xf numFmtId="0" fontId="16" fillId="4" borderId="0" xfId="0" applyFont="1" applyFill="1" applyBorder="1" applyAlignment="1">
      <alignment vertical="center"/>
    </xf>
    <xf numFmtId="0" fontId="4" fillId="5" borderId="28" xfId="0" applyFont="1" applyFill="1" applyBorder="1"/>
    <xf numFmtId="0" fontId="4" fillId="5" borderId="29" xfId="0" applyFont="1" applyFill="1" applyBorder="1" applyProtection="1"/>
    <xf numFmtId="0" fontId="4" fillId="5" borderId="28" xfId="0" applyFont="1" applyFill="1" applyBorder="1" applyAlignment="1">
      <alignment horizontal="right"/>
    </xf>
    <xf numFmtId="1" fontId="4" fillId="5" borderId="28" xfId="0" applyNumberFormat="1" applyFont="1" applyFill="1" applyBorder="1" applyAlignment="1">
      <alignment horizontal="right"/>
    </xf>
    <xf numFmtId="37" fontId="4" fillId="5" borderId="28" xfId="0" applyNumberFormat="1" applyFont="1" applyFill="1" applyBorder="1"/>
    <xf numFmtId="0" fontId="4" fillId="5" borderId="0" xfId="0" applyFont="1" applyFill="1" applyAlignment="1">
      <alignment horizontal="center" vertical="center"/>
    </xf>
    <xf numFmtId="0" fontId="0" fillId="0" borderId="0" xfId="0" applyAlignment="1">
      <alignment horizontal="center"/>
    </xf>
    <xf numFmtId="0" fontId="9" fillId="15" borderId="1" xfId="0" applyFont="1" applyFill="1" applyBorder="1" applyAlignment="1">
      <alignment horizontal="center" vertical="center" wrapText="1"/>
    </xf>
    <xf numFmtId="1" fontId="9" fillId="0" borderId="1" xfId="1" applyNumberFormat="1" applyFont="1" applyBorder="1"/>
    <xf numFmtId="167" fontId="0" fillId="0" borderId="1" xfId="0" applyNumberFormat="1" applyBorder="1"/>
    <xf numFmtId="173" fontId="0" fillId="0" borderId="0" xfId="0" applyNumberFormat="1"/>
    <xf numFmtId="1" fontId="9" fillId="16" borderId="1" xfId="1" applyNumberFormat="1" applyFont="1" applyFill="1" applyBorder="1"/>
    <xf numFmtId="173" fontId="0" fillId="16" borderId="1" xfId="0" applyNumberFormat="1" applyFill="1" applyBorder="1"/>
    <xf numFmtId="0" fontId="52" fillId="0" borderId="0" xfId="0" applyFont="1"/>
    <xf numFmtId="0" fontId="0" fillId="0" borderId="0" xfId="0" applyNumberFormat="1"/>
    <xf numFmtId="1" fontId="4" fillId="5" borderId="0" xfId="0" applyNumberFormat="1" applyFont="1" applyFill="1"/>
    <xf numFmtId="0" fontId="4" fillId="0" borderId="45" xfId="0" applyFont="1" applyFill="1" applyBorder="1" applyAlignment="1">
      <alignment wrapText="1"/>
    </xf>
    <xf numFmtId="0" fontId="9" fillId="0" borderId="0" xfId="0" applyFont="1" applyFill="1" applyBorder="1" applyAlignment="1">
      <alignment vertical="center" wrapText="1"/>
    </xf>
    <xf numFmtId="0" fontId="4" fillId="20" borderId="0" xfId="0" applyFont="1" applyFill="1"/>
    <xf numFmtId="0" fontId="4" fillId="0" borderId="0" xfId="0" applyFont="1" applyFill="1" applyBorder="1" applyAlignment="1">
      <alignment wrapText="1"/>
    </xf>
    <xf numFmtId="0" fontId="47" fillId="0" borderId="0" xfId="0" applyFont="1" applyFill="1" applyBorder="1" applyAlignment="1">
      <alignment wrapText="1"/>
    </xf>
    <xf numFmtId="165" fontId="4" fillId="24" borderId="1" xfId="1" applyNumberFormat="1" applyFont="1" applyFill="1" applyBorder="1" applyAlignment="1">
      <alignment horizontal="center"/>
    </xf>
    <xf numFmtId="174" fontId="4" fillId="5" borderId="0" xfId="0" applyNumberFormat="1" applyFont="1" applyFill="1"/>
    <xf numFmtId="0" fontId="4" fillId="13" borderId="0" xfId="0" applyFont="1" applyFill="1"/>
    <xf numFmtId="10" fontId="0" fillId="20" borderId="0" xfId="0" applyNumberFormat="1" applyFill="1"/>
    <xf numFmtId="10" fontId="0" fillId="26" borderId="0" xfId="0" applyNumberFormat="1" applyFill="1"/>
    <xf numFmtId="0" fontId="26" fillId="0" borderId="0" xfId="0" applyFont="1" applyAlignment="1">
      <alignment vertical="center"/>
    </xf>
    <xf numFmtId="0" fontId="5" fillId="0" borderId="4" xfId="0" applyFont="1" applyBorder="1" applyAlignment="1">
      <alignment horizontal="center"/>
    </xf>
    <xf numFmtId="165" fontId="7" fillId="20" borderId="1" xfId="1" applyNumberFormat="1" applyFont="1" applyFill="1" applyBorder="1" applyAlignment="1">
      <alignment horizontal="center" vertical="center"/>
    </xf>
    <xf numFmtId="0" fontId="26" fillId="0" borderId="0" xfId="0" applyFont="1" applyFill="1" applyAlignment="1">
      <alignment vertical="center"/>
    </xf>
    <xf numFmtId="165" fontId="7" fillId="20" borderId="0" xfId="0" applyNumberFormat="1" applyFont="1" applyFill="1" applyAlignment="1">
      <alignment vertical="center"/>
    </xf>
    <xf numFmtId="0" fontId="11" fillId="6" borderId="3" xfId="0" applyFont="1" applyFill="1" applyBorder="1" applyAlignment="1">
      <alignment horizontal="center" vertical="center"/>
    </xf>
    <xf numFmtId="0" fontId="7" fillId="0" borderId="3" xfId="0" applyFont="1" applyBorder="1" applyAlignment="1">
      <alignment horizontal="center" vertical="center"/>
    </xf>
    <xf numFmtId="43" fontId="7" fillId="0" borderId="1" xfId="1" applyNumberFormat="1" applyFont="1" applyFill="1" applyBorder="1" applyAlignment="1">
      <alignment vertical="center"/>
    </xf>
    <xf numFmtId="175" fontId="7" fillId="0" borderId="1" xfId="1" applyNumberFormat="1" applyFont="1" applyFill="1" applyBorder="1" applyAlignment="1">
      <alignment vertical="center"/>
    </xf>
    <xf numFmtId="0" fontId="7" fillId="0" borderId="0" xfId="0" applyFont="1" applyBorder="1" applyAlignment="1">
      <alignment vertical="center" wrapText="1"/>
    </xf>
    <xf numFmtId="165" fontId="7" fillId="0" borderId="0" xfId="1" applyNumberFormat="1" applyFont="1" applyFill="1" applyBorder="1" applyAlignment="1">
      <alignment vertical="center"/>
    </xf>
    <xf numFmtId="0" fontId="7" fillId="0" borderId="0" xfId="0" applyFont="1" applyBorder="1" applyAlignment="1">
      <alignment horizontal="center" vertical="center"/>
    </xf>
    <xf numFmtId="43" fontId="26" fillId="0" borderId="0" xfId="0" applyNumberFormat="1" applyFont="1" applyFill="1" applyAlignment="1">
      <alignment vertical="center"/>
    </xf>
    <xf numFmtId="0" fontId="14" fillId="0" borderId="0" xfId="0" applyFont="1" applyBorder="1" applyAlignment="1">
      <alignment vertical="center"/>
    </xf>
    <xf numFmtId="0" fontId="14" fillId="0" borderId="0" xfId="0" applyFont="1" applyBorder="1" applyAlignment="1">
      <alignment vertical="center" wrapText="1"/>
    </xf>
    <xf numFmtId="165" fontId="14" fillId="0" borderId="0" xfId="1" applyNumberFormat="1" applyFont="1" applyFill="1" applyBorder="1" applyAlignment="1">
      <alignment vertical="center"/>
    </xf>
    <xf numFmtId="0" fontId="6" fillId="0" borderId="5" xfId="4" applyFont="1" applyFill="1" applyBorder="1" applyAlignment="1">
      <alignment wrapText="1"/>
    </xf>
    <xf numFmtId="164" fontId="35" fillId="6" borderId="0" xfId="1" applyFont="1" applyFill="1" applyBorder="1" applyAlignment="1">
      <alignment horizontal="center" wrapText="1"/>
    </xf>
    <xf numFmtId="164" fontId="37" fillId="0" borderId="0" xfId="1" applyFont="1" applyBorder="1" applyAlignment="1">
      <alignment horizontal="center"/>
    </xf>
    <xf numFmtId="0" fontId="0" fillId="20" borderId="1" xfId="0" applyFill="1" applyBorder="1"/>
    <xf numFmtId="10" fontId="0" fillId="0" borderId="1" xfId="0" applyNumberFormat="1" applyBorder="1"/>
    <xf numFmtId="9" fontId="0" fillId="0" borderId="1" xfId="0" applyNumberFormat="1" applyBorder="1"/>
    <xf numFmtId="9" fontId="0" fillId="27" borderId="1" xfId="0" applyNumberFormat="1" applyFill="1" applyBorder="1"/>
    <xf numFmtId="9" fontId="0" fillId="20" borderId="0" xfId="0" applyNumberFormat="1" applyFill="1"/>
    <xf numFmtId="0" fontId="23" fillId="0" borderId="0" xfId="0" applyFont="1" applyAlignment="1">
      <alignment horizontal="justify" vertical="center"/>
    </xf>
    <xf numFmtId="0" fontId="55" fillId="0" borderId="0" xfId="0" applyFont="1" applyAlignment="1">
      <alignment horizontal="justify" vertical="center"/>
    </xf>
    <xf numFmtId="0" fontId="5" fillId="0" borderId="60" xfId="0" applyFont="1" applyBorder="1" applyAlignment="1">
      <alignment horizontal="center"/>
    </xf>
    <xf numFmtId="0" fontId="10" fillId="0" borderId="61" xfId="0" applyFont="1" applyBorder="1" applyAlignment="1">
      <alignment horizontal="center"/>
    </xf>
    <xf numFmtId="0" fontId="5" fillId="0" borderId="0" xfId="0" applyFont="1" applyBorder="1" applyAlignment="1">
      <alignment horizontal="center"/>
    </xf>
    <xf numFmtId="2" fontId="54" fillId="28" borderId="2" xfId="4" applyNumberFormat="1" applyFont="1" applyFill="1" applyBorder="1" applyAlignment="1">
      <alignment horizontal="center"/>
    </xf>
    <xf numFmtId="2" fontId="9" fillId="0" borderId="1" xfId="2" applyNumberFormat="1" applyFont="1" applyFill="1" applyBorder="1" applyAlignment="1">
      <alignment horizontal="center"/>
    </xf>
    <xf numFmtId="165" fontId="54" fillId="2" borderId="1" xfId="1" applyNumberFormat="1" applyFont="1" applyFill="1" applyBorder="1" applyAlignment="1" applyProtection="1">
      <alignment horizontal="center" vertical="center"/>
      <protection hidden="1"/>
    </xf>
    <xf numFmtId="165" fontId="54" fillId="25" borderId="1" xfId="1" applyNumberFormat="1" applyFont="1" applyFill="1" applyBorder="1" applyAlignment="1" applyProtection="1">
      <alignment horizontal="center" vertical="center"/>
      <protection hidden="1"/>
    </xf>
    <xf numFmtId="165" fontId="54" fillId="0" borderId="1" xfId="0" applyNumberFormat="1" applyFont="1" applyBorder="1" applyAlignment="1" applyProtection="1">
      <alignment vertical="center"/>
      <protection hidden="1"/>
    </xf>
    <xf numFmtId="43" fontId="62" fillId="0" borderId="0" xfId="0" applyNumberFormat="1" applyFont="1" applyBorder="1" applyAlignment="1" applyProtection="1">
      <alignment vertical="top"/>
      <protection hidden="1"/>
    </xf>
    <xf numFmtId="0" fontId="61" fillId="6" borderId="1" xfId="0" applyFont="1" applyFill="1" applyBorder="1" applyAlignment="1" applyProtection="1">
      <alignment horizontal="center" vertical="center" wrapText="1"/>
      <protection hidden="1"/>
    </xf>
    <xf numFmtId="0" fontId="54" fillId="0" borderId="1" xfId="0" applyFont="1" applyBorder="1" applyAlignment="1" applyProtection="1">
      <alignment vertical="center"/>
      <protection hidden="1"/>
    </xf>
    <xf numFmtId="165" fontId="54" fillId="0" borderId="1" xfId="1" applyNumberFormat="1" applyFont="1" applyFill="1" applyBorder="1" applyAlignment="1" applyProtection="1">
      <alignment vertical="center"/>
      <protection hidden="1"/>
    </xf>
    <xf numFmtId="175" fontId="54" fillId="0" borderId="1" xfId="1" applyNumberFormat="1" applyFont="1" applyFill="1" applyBorder="1" applyAlignment="1" applyProtection="1">
      <alignment vertical="center"/>
      <protection hidden="1"/>
    </xf>
    <xf numFmtId="10" fontId="54" fillId="0" borderId="1" xfId="9" applyNumberFormat="1" applyFont="1" applyFill="1" applyBorder="1" applyAlignment="1" applyProtection="1">
      <alignment vertical="center"/>
      <protection hidden="1"/>
    </xf>
    <xf numFmtId="0" fontId="54" fillId="0" borderId="1" xfId="0" applyFont="1" applyBorder="1" applyAlignment="1" applyProtection="1">
      <alignment vertical="center" wrapText="1"/>
      <protection hidden="1"/>
    </xf>
    <xf numFmtId="165" fontId="54" fillId="0" borderId="1" xfId="1" applyNumberFormat="1" applyFont="1" applyFill="1" applyBorder="1" applyAlignment="1" applyProtection="1">
      <alignment vertical="center" wrapText="1"/>
      <protection hidden="1"/>
    </xf>
    <xf numFmtId="175" fontId="54" fillId="0" borderId="1" xfId="1" applyNumberFormat="1" applyFont="1" applyFill="1" applyBorder="1" applyAlignment="1" applyProtection="1">
      <alignment vertical="center" wrapText="1"/>
      <protection hidden="1"/>
    </xf>
    <xf numFmtId="10" fontId="54" fillId="0" borderId="1" xfId="9" applyNumberFormat="1" applyFont="1" applyFill="1" applyBorder="1" applyAlignment="1" applyProtection="1">
      <alignment vertical="center" wrapText="1"/>
      <protection hidden="1"/>
    </xf>
    <xf numFmtId="0" fontId="54" fillId="0" borderId="1" xfId="0" applyFont="1" applyFill="1" applyBorder="1" applyAlignment="1" applyProtection="1">
      <alignment vertical="center" wrapText="1"/>
      <protection hidden="1"/>
    </xf>
    <xf numFmtId="0" fontId="54" fillId="0" borderId="0" xfId="0" applyFont="1" applyAlignment="1" applyProtection="1">
      <alignment vertical="center"/>
      <protection hidden="1"/>
    </xf>
    <xf numFmtId="43" fontId="54" fillId="0" borderId="0" xfId="0" applyNumberFormat="1" applyFont="1" applyAlignment="1" applyProtection="1">
      <alignment vertical="center"/>
      <protection hidden="1"/>
    </xf>
    <xf numFmtId="0" fontId="54" fillId="0" borderId="72" xfId="0" applyFont="1" applyBorder="1" applyAlignment="1" applyProtection="1">
      <alignment vertical="center"/>
      <protection hidden="1"/>
    </xf>
    <xf numFmtId="177" fontId="54" fillId="0" borderId="72" xfId="1" applyNumberFormat="1" applyFont="1" applyFill="1" applyBorder="1" applyAlignment="1" applyProtection="1">
      <alignment horizontal="center" vertical="center"/>
      <protection hidden="1"/>
    </xf>
    <xf numFmtId="10" fontId="54" fillId="0" borderId="72" xfId="9" applyNumberFormat="1" applyFont="1" applyFill="1" applyBorder="1" applyAlignment="1" applyProtection="1">
      <alignment horizontal="center" vertical="center"/>
      <protection hidden="1"/>
    </xf>
    <xf numFmtId="0" fontId="54" fillId="0" borderId="72" xfId="0" applyFont="1" applyBorder="1" applyAlignment="1" applyProtection="1">
      <alignment vertical="center" wrapText="1"/>
      <protection hidden="1"/>
    </xf>
    <xf numFmtId="177" fontId="54" fillId="0" borderId="72" xfId="1" applyNumberFormat="1" applyFont="1" applyFill="1" applyBorder="1" applyAlignment="1" applyProtection="1">
      <alignment horizontal="center" vertical="center" wrapText="1"/>
      <protection hidden="1"/>
    </xf>
    <xf numFmtId="10" fontId="54" fillId="0" borderId="72" xfId="9" applyNumberFormat="1" applyFont="1" applyFill="1" applyBorder="1" applyAlignment="1" applyProtection="1">
      <alignment horizontal="center" vertical="center" wrapText="1"/>
      <protection hidden="1"/>
    </xf>
    <xf numFmtId="0" fontId="54" fillId="0" borderId="72" xfId="0" applyFont="1" applyFill="1" applyBorder="1" applyAlignment="1" applyProtection="1">
      <alignment vertical="center" wrapText="1"/>
      <protection hidden="1"/>
    </xf>
    <xf numFmtId="0" fontId="61" fillId="31" borderId="72" xfId="0" applyFont="1" applyFill="1" applyBorder="1" applyAlignment="1" applyProtection="1">
      <alignment horizontal="center" vertical="center"/>
      <protection hidden="1"/>
    </xf>
    <xf numFmtId="0" fontId="61" fillId="31" borderId="72" xfId="0" applyFont="1" applyFill="1" applyBorder="1" applyAlignment="1" applyProtection="1">
      <alignment horizontal="center" vertical="center" wrapText="1"/>
      <protection hidden="1"/>
    </xf>
    <xf numFmtId="165" fontId="54" fillId="2" borderId="2" xfId="1" applyNumberFormat="1" applyFont="1" applyFill="1" applyBorder="1" applyAlignment="1" applyProtection="1">
      <alignment horizontal="center" vertical="center"/>
      <protection hidden="1"/>
    </xf>
    <xf numFmtId="0" fontId="61" fillId="0" borderId="2" xfId="0" applyFont="1" applyBorder="1" applyAlignment="1" applyProtection="1">
      <alignment horizontal="left" vertical="center"/>
      <protection hidden="1"/>
    </xf>
    <xf numFmtId="0" fontId="61" fillId="0" borderId="3" xfId="0" applyFont="1" applyBorder="1" applyAlignment="1" applyProtection="1">
      <alignment horizontal="left" vertical="center"/>
      <protection hidden="1"/>
    </xf>
    <xf numFmtId="0" fontId="0" fillId="0" borderId="0" xfId="0" applyAlignment="1">
      <alignment horizontal="left"/>
    </xf>
    <xf numFmtId="0" fontId="61" fillId="0" borderId="0" xfId="0" applyFont="1" applyAlignment="1" applyProtection="1">
      <alignment horizontal="center" vertical="center"/>
      <protection hidden="1"/>
    </xf>
    <xf numFmtId="0" fontId="58" fillId="0" borderId="0" xfId="0" applyFont="1" applyAlignment="1" applyProtection="1">
      <alignment vertical="center"/>
      <protection hidden="1"/>
    </xf>
    <xf numFmtId="0" fontId="54" fillId="0" borderId="0" xfId="0" applyFont="1" applyProtection="1">
      <protection hidden="1"/>
    </xf>
    <xf numFmtId="0" fontId="61" fillId="0" borderId="0" xfId="0" applyFont="1" applyFill="1" applyAlignment="1" applyProtection="1">
      <alignment horizontal="center" vertical="center"/>
      <protection hidden="1"/>
    </xf>
    <xf numFmtId="0" fontId="54" fillId="0" borderId="0" xfId="0" applyFont="1" applyFill="1" applyAlignment="1" applyProtection="1">
      <alignment vertical="center"/>
      <protection hidden="1"/>
    </xf>
    <xf numFmtId="0" fontId="61" fillId="0" borderId="0" xfId="0" applyFont="1" applyAlignment="1" applyProtection="1">
      <alignment vertical="center"/>
      <protection hidden="1"/>
    </xf>
    <xf numFmtId="0" fontId="58" fillId="0" borderId="0" xfId="0" applyFont="1" applyFill="1" applyAlignment="1" applyProtection="1">
      <alignment vertical="center"/>
      <protection hidden="1"/>
    </xf>
    <xf numFmtId="0" fontId="58" fillId="0" borderId="1" xfId="0" applyFont="1" applyFill="1" applyBorder="1" applyAlignment="1" applyProtection="1">
      <alignment vertical="center"/>
      <protection hidden="1"/>
    </xf>
    <xf numFmtId="0" fontId="54" fillId="0" borderId="1" xfId="0" applyFont="1" applyFill="1" applyBorder="1" applyAlignment="1" applyProtection="1">
      <alignment vertical="center"/>
      <protection hidden="1"/>
    </xf>
    <xf numFmtId="165" fontId="54" fillId="2" borderId="2" xfId="1" applyNumberFormat="1" applyFont="1" applyFill="1" applyBorder="1" applyAlignment="1" applyProtection="1">
      <alignment vertical="top" wrapText="1"/>
      <protection hidden="1"/>
    </xf>
    <xf numFmtId="0" fontId="54" fillId="20" borderId="0" xfId="0" applyFont="1" applyFill="1" applyAlignment="1" applyProtection="1">
      <alignment vertical="center"/>
      <protection hidden="1"/>
    </xf>
    <xf numFmtId="0" fontId="54" fillId="25" borderId="1" xfId="0" applyFont="1" applyFill="1" applyBorder="1" applyAlignment="1" applyProtection="1">
      <alignment vertical="center"/>
      <protection hidden="1"/>
    </xf>
    <xf numFmtId="0" fontId="54" fillId="25" borderId="0" xfId="0" applyFont="1" applyFill="1" applyAlignment="1" applyProtection="1">
      <alignment vertical="center"/>
      <protection hidden="1"/>
    </xf>
    <xf numFmtId="165" fontId="54" fillId="0" borderId="0" xfId="0" applyNumberFormat="1" applyFont="1" applyAlignment="1" applyProtection="1">
      <alignment vertical="center"/>
      <protection hidden="1"/>
    </xf>
    <xf numFmtId="0" fontId="58" fillId="5" borderId="0" xfId="0" applyFont="1" applyFill="1" applyAlignment="1" applyProtection="1">
      <alignment horizontal="center" vertical="center"/>
      <protection hidden="1"/>
    </xf>
    <xf numFmtId="0" fontId="54" fillId="0" borderId="0" xfId="0" applyFont="1" applyFill="1" applyBorder="1" applyAlignment="1" applyProtection="1">
      <alignment vertical="center" wrapText="1"/>
      <protection hidden="1"/>
    </xf>
    <xf numFmtId="0" fontId="54" fillId="0" borderId="0" xfId="0" applyFont="1" applyFill="1" applyBorder="1" applyAlignment="1" applyProtection="1">
      <alignment vertical="center"/>
      <protection hidden="1"/>
    </xf>
    <xf numFmtId="165" fontId="54" fillId="3" borderId="31" xfId="1" applyNumberFormat="1" applyFont="1" applyFill="1" applyBorder="1" applyAlignment="1" applyProtection="1">
      <alignment vertical="center" wrapText="1"/>
      <protection hidden="1"/>
    </xf>
    <xf numFmtId="1" fontId="54" fillId="0" borderId="0" xfId="0" applyNumberFormat="1" applyFont="1" applyAlignment="1" applyProtection="1">
      <alignment horizontal="center" vertical="center"/>
      <protection hidden="1"/>
    </xf>
    <xf numFmtId="0" fontId="54" fillId="0" borderId="0" xfId="0" applyFont="1" applyFill="1" applyBorder="1" applyAlignment="1" applyProtection="1">
      <alignment horizontal="center" vertical="center"/>
      <protection hidden="1"/>
    </xf>
    <xf numFmtId="37" fontId="54" fillId="3" borderId="32" xfId="0" applyNumberFormat="1" applyFont="1" applyFill="1" applyBorder="1" applyAlignment="1" applyProtection="1">
      <alignment vertical="center" wrapText="1"/>
      <protection hidden="1"/>
    </xf>
    <xf numFmtId="176" fontId="54" fillId="0" borderId="0" xfId="0" applyNumberFormat="1" applyFont="1" applyAlignment="1" applyProtection="1">
      <alignment vertical="center"/>
      <protection hidden="1"/>
    </xf>
    <xf numFmtId="165" fontId="62" fillId="0" borderId="0" xfId="0" applyNumberFormat="1" applyFont="1" applyBorder="1" applyAlignment="1" applyProtection="1">
      <alignment vertical="top"/>
      <protection hidden="1"/>
    </xf>
    <xf numFmtId="0" fontId="62" fillId="0" borderId="0" xfId="0" applyFont="1" applyBorder="1" applyAlignment="1" applyProtection="1">
      <alignment vertical="top"/>
      <protection hidden="1"/>
    </xf>
    <xf numFmtId="0" fontId="61" fillId="6" borderId="1" xfId="0" applyFont="1" applyFill="1" applyBorder="1" applyAlignment="1" applyProtection="1">
      <alignment horizontal="center" vertical="center"/>
      <protection hidden="1"/>
    </xf>
    <xf numFmtId="0" fontId="57" fillId="0" borderId="0" xfId="0" applyFont="1" applyAlignment="1" applyProtection="1">
      <alignment vertical="center"/>
      <protection hidden="1"/>
    </xf>
    <xf numFmtId="43" fontId="57" fillId="0" borderId="0" xfId="0" applyNumberFormat="1" applyFont="1" applyAlignment="1" applyProtection="1">
      <alignment vertical="center"/>
      <protection hidden="1"/>
    </xf>
    <xf numFmtId="172" fontId="57" fillId="0" borderId="0" xfId="9" applyNumberFormat="1" applyFont="1" applyAlignment="1" applyProtection="1">
      <alignment vertical="center"/>
      <protection hidden="1"/>
    </xf>
    <xf numFmtId="0" fontId="54" fillId="0" borderId="0" xfId="0" applyFont="1" applyAlignment="1" applyProtection="1">
      <alignment vertical="center" wrapText="1"/>
      <protection hidden="1"/>
    </xf>
    <xf numFmtId="43" fontId="57" fillId="0" borderId="0" xfId="0" applyNumberFormat="1" applyFont="1" applyAlignment="1" applyProtection="1">
      <alignment vertical="center" wrapText="1"/>
      <protection hidden="1"/>
    </xf>
    <xf numFmtId="172" fontId="57" fillId="0" borderId="0" xfId="9" applyNumberFormat="1" applyFont="1" applyAlignment="1" applyProtection="1">
      <alignment vertical="center" wrapText="1"/>
      <protection hidden="1"/>
    </xf>
    <xf numFmtId="43" fontId="57" fillId="0" borderId="0" xfId="0" applyNumberFormat="1" applyFont="1" applyFill="1" applyAlignment="1" applyProtection="1">
      <alignment vertical="center"/>
      <protection hidden="1"/>
    </xf>
    <xf numFmtId="172" fontId="57" fillId="0" borderId="0" xfId="9" applyNumberFormat="1" applyFont="1" applyFill="1" applyAlignment="1" applyProtection="1">
      <alignment vertical="center"/>
      <protection hidden="1"/>
    </xf>
    <xf numFmtId="2" fontId="54" fillId="0" borderId="0" xfId="0" applyNumberFormat="1" applyFont="1" applyFill="1" applyBorder="1" applyAlignment="1" applyProtection="1">
      <alignment horizontal="center" vertical="center"/>
      <protection hidden="1"/>
    </xf>
    <xf numFmtId="10" fontId="54" fillId="0" borderId="0" xfId="9" applyNumberFormat="1" applyFont="1" applyFill="1" applyAlignment="1" applyProtection="1">
      <alignment vertical="center"/>
      <protection hidden="1"/>
    </xf>
    <xf numFmtId="165" fontId="54" fillId="0" borderId="0" xfId="0" applyNumberFormat="1" applyFont="1" applyFill="1" applyAlignment="1" applyProtection="1">
      <alignment vertical="center"/>
      <protection hidden="1"/>
    </xf>
    <xf numFmtId="165" fontId="54" fillId="0" borderId="0" xfId="1" applyNumberFormat="1" applyFont="1" applyAlignment="1" applyProtection="1">
      <alignment vertical="center"/>
      <protection hidden="1"/>
    </xf>
    <xf numFmtId="10" fontId="54" fillId="0" borderId="0" xfId="9" applyNumberFormat="1" applyFont="1" applyAlignment="1" applyProtection="1">
      <alignment vertical="center"/>
      <protection hidden="1"/>
    </xf>
    <xf numFmtId="0" fontId="54" fillId="25" borderId="1" xfId="0" applyFont="1" applyFill="1" applyBorder="1" applyAlignment="1" applyProtection="1">
      <alignment vertical="center" wrapText="1"/>
      <protection hidden="1"/>
    </xf>
    <xf numFmtId="165" fontId="54" fillId="0" borderId="0" xfId="1" applyNumberFormat="1" applyFont="1" applyAlignment="1" applyProtection="1">
      <alignment vertical="center" wrapText="1"/>
      <protection hidden="1"/>
    </xf>
    <xf numFmtId="10" fontId="54" fillId="0" borderId="0" xfId="9" applyNumberFormat="1" applyFont="1" applyAlignment="1" applyProtection="1">
      <alignment vertical="center" wrapText="1"/>
      <protection hidden="1"/>
    </xf>
    <xf numFmtId="0" fontId="54" fillId="8" borderId="1" xfId="0" applyFont="1" applyFill="1" applyBorder="1" applyAlignment="1" applyProtection="1">
      <alignment vertical="center"/>
      <protection hidden="1"/>
    </xf>
    <xf numFmtId="165" fontId="54" fillId="0" borderId="0" xfId="1" applyNumberFormat="1" applyFont="1" applyFill="1" applyAlignment="1" applyProtection="1">
      <alignment vertical="center"/>
      <protection hidden="1"/>
    </xf>
    <xf numFmtId="0" fontId="61" fillId="0" borderId="1" xfId="0" applyFont="1" applyBorder="1" applyAlignment="1" applyProtection="1">
      <alignment vertical="center"/>
      <protection hidden="1"/>
    </xf>
    <xf numFmtId="1" fontId="54" fillId="20" borderId="0" xfId="0" applyNumberFormat="1" applyFont="1" applyFill="1" applyAlignment="1" applyProtection="1">
      <alignment vertical="center"/>
      <protection hidden="1"/>
    </xf>
    <xf numFmtId="1" fontId="54" fillId="0" borderId="0" xfId="0" applyNumberFormat="1" applyFont="1" applyAlignment="1" applyProtection="1">
      <alignment vertical="center"/>
      <protection hidden="1"/>
    </xf>
    <xf numFmtId="2" fontId="54" fillId="0" borderId="1" xfId="0" applyNumberFormat="1" applyFont="1" applyBorder="1" applyAlignment="1" applyProtection="1">
      <alignment vertical="center"/>
      <protection hidden="1"/>
    </xf>
    <xf numFmtId="10" fontId="54" fillId="0" borderId="1" xfId="9" applyNumberFormat="1" applyFont="1" applyBorder="1" applyAlignment="1" applyProtection="1">
      <alignment vertical="center"/>
      <protection hidden="1"/>
    </xf>
    <xf numFmtId="175" fontId="54" fillId="0" borderId="1" xfId="0" applyNumberFormat="1" applyFont="1" applyBorder="1" applyAlignment="1" applyProtection="1">
      <alignment vertical="center"/>
      <protection hidden="1"/>
    </xf>
    <xf numFmtId="1" fontId="54" fillId="0" borderId="1" xfId="0" applyNumberFormat="1" applyFont="1" applyBorder="1" applyAlignment="1" applyProtection="1">
      <alignment vertical="center"/>
      <protection hidden="1"/>
    </xf>
    <xf numFmtId="0" fontId="54" fillId="0" borderId="0" xfId="0" applyFont="1" applyBorder="1" applyAlignment="1" applyProtection="1">
      <alignment vertical="center"/>
      <protection hidden="1"/>
    </xf>
    <xf numFmtId="0" fontId="0" fillId="8" borderId="0" xfId="0" applyFill="1" applyAlignment="1">
      <alignment horizontal="center"/>
    </xf>
    <xf numFmtId="0" fontId="68" fillId="0" borderId="76" xfId="0" applyFont="1" applyFill="1" applyBorder="1" applyAlignment="1" applyProtection="1">
      <alignment horizontal="center" vertical="center"/>
      <protection hidden="1"/>
    </xf>
    <xf numFmtId="0" fontId="67" fillId="0" borderId="76" xfId="0" applyFont="1" applyFill="1" applyBorder="1" applyProtection="1">
      <protection hidden="1"/>
    </xf>
    <xf numFmtId="0" fontId="67" fillId="0" borderId="77" xfId="0" applyFont="1" applyFill="1" applyBorder="1" applyProtection="1">
      <protection hidden="1"/>
    </xf>
    <xf numFmtId="0" fontId="68" fillId="0" borderId="79" xfId="0" applyFont="1" applyFill="1" applyBorder="1" applyAlignment="1" applyProtection="1">
      <alignment horizontal="center" vertical="center"/>
      <protection hidden="1"/>
    </xf>
    <xf numFmtId="0" fontId="67" fillId="0" borderId="79" xfId="0" applyFont="1" applyFill="1" applyBorder="1" applyProtection="1">
      <protection hidden="1"/>
    </xf>
    <xf numFmtId="0" fontId="67" fillId="0" borderId="80" xfId="0" applyFont="1" applyFill="1" applyBorder="1" applyProtection="1">
      <protection hidden="1"/>
    </xf>
    <xf numFmtId="0" fontId="67" fillId="0" borderId="82" xfId="0" applyFont="1" applyFill="1" applyBorder="1" applyAlignment="1" applyProtection="1">
      <alignment horizontal="center" vertical="center"/>
      <protection hidden="1"/>
    </xf>
    <xf numFmtId="0" fontId="67" fillId="0" borderId="0" xfId="0" applyFont="1" applyFill="1" applyBorder="1" applyAlignment="1" applyProtection="1">
      <alignment horizontal="center" vertical="center"/>
      <protection hidden="1"/>
    </xf>
    <xf numFmtId="0" fontId="67" fillId="0" borderId="0" xfId="0" applyFont="1" applyFill="1" applyBorder="1" applyProtection="1">
      <protection hidden="1"/>
    </xf>
    <xf numFmtId="0" fontId="67" fillId="0" borderId="78" xfId="0" applyFont="1" applyFill="1" applyBorder="1" applyProtection="1">
      <protection hidden="1"/>
    </xf>
    <xf numFmtId="0" fontId="67" fillId="0" borderId="83" xfId="0" applyFont="1" applyFill="1" applyBorder="1" applyAlignment="1" applyProtection="1">
      <alignment horizontal="center" vertical="center"/>
      <protection hidden="1"/>
    </xf>
    <xf numFmtId="0" fontId="67" fillId="0" borderId="79" xfId="0" applyFont="1" applyFill="1" applyBorder="1" applyAlignment="1" applyProtection="1">
      <alignment horizontal="center" vertical="center"/>
      <protection hidden="1"/>
    </xf>
    <xf numFmtId="165" fontId="54" fillId="0" borderId="1" xfId="1" applyNumberFormat="1" applyFont="1" applyBorder="1" applyAlignment="1" applyProtection="1">
      <alignment vertical="center"/>
      <protection hidden="1"/>
    </xf>
    <xf numFmtId="0" fontId="0" fillId="28" borderId="0" xfId="0" applyFill="1" applyAlignment="1" applyProtection="1">
      <alignment horizontal="center" vertical="center"/>
      <protection hidden="1"/>
    </xf>
    <xf numFmtId="0" fontId="0" fillId="28" borderId="0" xfId="0" applyFill="1" applyProtection="1">
      <protection hidden="1"/>
    </xf>
    <xf numFmtId="164" fontId="9" fillId="0" borderId="1" xfId="2" applyFont="1" applyFill="1" applyBorder="1" applyAlignment="1">
      <alignment horizontal="right"/>
    </xf>
    <xf numFmtId="0" fontId="72" fillId="0" borderId="63" xfId="0" applyFont="1" applyFill="1" applyBorder="1" applyAlignment="1" applyProtection="1">
      <alignment horizontal="center" vertical="center"/>
      <protection locked="0"/>
    </xf>
    <xf numFmtId="0" fontId="72" fillId="0" borderId="62" xfId="0" applyFont="1" applyFill="1" applyBorder="1" applyAlignment="1" applyProtection="1">
      <alignment horizontal="center" vertical="center"/>
      <protection locked="0"/>
    </xf>
    <xf numFmtId="177" fontId="72" fillId="0" borderId="62" xfId="0" applyNumberFormat="1" applyFont="1" applyFill="1" applyBorder="1" applyAlignment="1" applyProtection="1">
      <alignment horizontal="center" vertical="center"/>
      <protection locked="0"/>
    </xf>
    <xf numFmtId="0" fontId="68" fillId="0" borderId="62" xfId="0" applyFont="1" applyFill="1" applyBorder="1" applyAlignment="1" applyProtection="1">
      <alignment horizontal="center" vertical="center"/>
      <protection locked="0"/>
    </xf>
    <xf numFmtId="1" fontId="72" fillId="0" borderId="62" xfId="0" applyNumberFormat="1" applyFont="1" applyFill="1" applyBorder="1" applyAlignment="1" applyProtection="1">
      <alignment horizontal="center" vertical="center"/>
      <protection locked="0"/>
    </xf>
    <xf numFmtId="0" fontId="72" fillId="0" borderId="63" xfId="0" applyNumberFormat="1" applyFont="1" applyFill="1" applyBorder="1" applyAlignment="1" applyProtection="1">
      <alignment horizontal="center" vertical="center"/>
      <protection locked="0"/>
    </xf>
    <xf numFmtId="1" fontId="54" fillId="0" borderId="0" xfId="0" applyNumberFormat="1" applyFont="1" applyBorder="1" applyAlignment="1" applyProtection="1">
      <alignment vertical="center"/>
      <protection hidden="1"/>
    </xf>
    <xf numFmtId="0" fontId="15" fillId="0" borderId="0" xfId="4" applyFont="1" applyFill="1"/>
    <xf numFmtId="0" fontId="32" fillId="0" borderId="0" xfId="0" applyFont="1" applyFill="1"/>
    <xf numFmtId="0" fontId="33" fillId="0" borderId="0" xfId="0" applyFont="1" applyFill="1" applyAlignment="1">
      <alignment horizontal="right"/>
    </xf>
    <xf numFmtId="0" fontId="5" fillId="0" borderId="0" xfId="0" applyFont="1" applyFill="1" applyAlignment="1">
      <alignment horizontal="center"/>
    </xf>
    <xf numFmtId="0" fontId="0" fillId="0" borderId="0" xfId="0" applyFill="1"/>
    <xf numFmtId="0" fontId="34" fillId="0" borderId="0" xfId="0" applyFont="1" applyFill="1"/>
    <xf numFmtId="0" fontId="32" fillId="0" borderId="0" xfId="0" applyFont="1" applyFill="1" applyAlignment="1">
      <alignment vertical="center"/>
    </xf>
    <xf numFmtId="2" fontId="15" fillId="0" borderId="1" xfId="0" applyNumberFormat="1" applyFont="1" applyFill="1" applyBorder="1" applyAlignment="1">
      <alignment horizontal="center"/>
    </xf>
    <xf numFmtId="2" fontId="32" fillId="0" borderId="0" xfId="0" applyNumberFormat="1" applyFont="1" applyFill="1"/>
    <xf numFmtId="0" fontId="32" fillId="0" borderId="34" xfId="0" applyFont="1" applyFill="1" applyBorder="1"/>
    <xf numFmtId="0" fontId="32" fillId="0" borderId="34" xfId="0" applyFont="1" applyFill="1" applyBorder="1" applyAlignment="1">
      <alignment horizontal="center"/>
    </xf>
    <xf numFmtId="0" fontId="32" fillId="0" borderId="0" xfId="0" applyFont="1" applyFill="1" applyBorder="1"/>
    <xf numFmtId="0" fontId="33" fillId="0" borderId="0" xfId="0" applyFont="1" applyFill="1"/>
    <xf numFmtId="0" fontId="9" fillId="0" borderId="2" xfId="4" applyFont="1" applyFill="1" applyBorder="1" applyAlignment="1">
      <alignment horizontal="center"/>
    </xf>
    <xf numFmtId="2" fontId="9" fillId="0" borderId="1" xfId="0" applyNumberFormat="1" applyFont="1" applyFill="1" applyBorder="1" applyAlignment="1">
      <alignment horizontal="center"/>
    </xf>
    <xf numFmtId="0" fontId="0" fillId="0" borderId="34" xfId="0" applyFill="1" applyBorder="1"/>
    <xf numFmtId="0" fontId="0" fillId="0" borderId="34" xfId="0" applyFill="1" applyBorder="1" applyAlignment="1">
      <alignment horizontal="center"/>
    </xf>
    <xf numFmtId="164" fontId="36" fillId="0" borderId="0" xfId="1" applyFont="1" applyFill="1"/>
    <xf numFmtId="0" fontId="36" fillId="0" borderId="0" xfId="0" applyFont="1" applyFill="1"/>
    <xf numFmtId="164" fontId="35" fillId="0" borderId="0" xfId="1" applyFont="1" applyFill="1"/>
    <xf numFmtId="165" fontId="35" fillId="0" borderId="1" xfId="1" applyNumberFormat="1" applyFont="1" applyFill="1" applyBorder="1" applyAlignment="1">
      <alignment wrapText="1"/>
    </xf>
    <xf numFmtId="165" fontId="38" fillId="0" borderId="37" xfId="1" applyNumberFormat="1" applyFont="1" applyFill="1" applyBorder="1" applyAlignment="1">
      <alignment horizontal="center"/>
    </xf>
    <xf numFmtId="165" fontId="38" fillId="0" borderId="45" xfId="1" applyNumberFormat="1" applyFont="1" applyFill="1" applyBorder="1" applyAlignment="1">
      <alignment horizontal="center"/>
    </xf>
    <xf numFmtId="165" fontId="38" fillId="0" borderId="45" xfId="1" quotePrefix="1" applyNumberFormat="1" applyFont="1" applyFill="1" applyBorder="1" applyAlignment="1">
      <alignment horizontal="center"/>
    </xf>
    <xf numFmtId="165" fontId="36" fillId="0" borderId="0" xfId="1" applyNumberFormat="1" applyFont="1" applyFill="1"/>
    <xf numFmtId="164" fontId="38" fillId="0" borderId="1" xfId="1" applyFont="1" applyFill="1" applyBorder="1" applyAlignment="1">
      <alignment horizontal="center"/>
    </xf>
    <xf numFmtId="164" fontId="38" fillId="0" borderId="1" xfId="1" applyFont="1" applyFill="1" applyBorder="1" applyAlignment="1">
      <alignment horizontal="left"/>
    </xf>
    <xf numFmtId="0" fontId="15" fillId="0" borderId="0" xfId="0" applyFont="1" applyFill="1"/>
    <xf numFmtId="164" fontId="34" fillId="0" borderId="0" xfId="0" applyNumberFormat="1" applyFont="1" applyFill="1"/>
    <xf numFmtId="43" fontId="32" fillId="0" borderId="0" xfId="0" applyNumberFormat="1" applyFont="1" applyFill="1"/>
    <xf numFmtId="0" fontId="9" fillId="0" borderId="1" xfId="0" applyFont="1" applyFill="1" applyBorder="1" applyAlignment="1">
      <alignment horizontal="center"/>
    </xf>
    <xf numFmtId="164" fontId="32" fillId="0" borderId="0" xfId="0" applyNumberFormat="1" applyFont="1" applyFill="1"/>
    <xf numFmtId="2" fontId="9" fillId="0" borderId="0" xfId="0" applyNumberFormat="1" applyFont="1" applyFill="1" applyBorder="1" applyAlignment="1">
      <alignment horizontal="center"/>
    </xf>
    <xf numFmtId="0" fontId="0" fillId="0" borderId="0" xfId="0" applyFill="1" applyBorder="1" applyAlignment="1">
      <alignment horizontal="center"/>
    </xf>
    <xf numFmtId="0" fontId="0" fillId="0" borderId="0" xfId="0" applyFill="1" applyBorder="1"/>
    <xf numFmtId="43" fontId="34" fillId="0" borderId="0" xfId="0" applyNumberFormat="1" applyFont="1" applyFill="1"/>
    <xf numFmtId="2" fontId="9" fillId="0" borderId="1" xfId="0" applyNumberFormat="1" applyFont="1" applyFill="1" applyBorder="1" applyAlignment="1"/>
    <xf numFmtId="164" fontId="15" fillId="0" borderId="0" xfId="2" applyFont="1" applyFill="1"/>
    <xf numFmtId="164" fontId="15" fillId="0" borderId="0" xfId="2" applyFont="1" applyFill="1" applyBorder="1"/>
    <xf numFmtId="0" fontId="15" fillId="0" borderId="0" xfId="0" applyFont="1" applyFill="1" applyBorder="1"/>
    <xf numFmtId="165" fontId="38" fillId="0" borderId="1" xfId="1" applyNumberFormat="1" applyFont="1" applyFill="1" applyBorder="1" applyAlignment="1">
      <alignment horizontal="center"/>
    </xf>
    <xf numFmtId="165" fontId="38" fillId="0" borderId="0" xfId="1" applyNumberFormat="1" applyFont="1" applyFill="1" applyBorder="1" applyAlignment="1">
      <alignment horizontal="center"/>
    </xf>
    <xf numFmtId="165" fontId="38" fillId="0" borderId="3" xfId="1" applyNumberFormat="1" applyFont="1" applyFill="1" applyBorder="1" applyAlignment="1">
      <alignment horizontal="center"/>
    </xf>
    <xf numFmtId="165" fontId="38" fillId="0" borderId="1" xfId="1" quotePrefix="1" applyNumberFormat="1" applyFont="1" applyFill="1" applyBorder="1" applyAlignment="1">
      <alignment horizontal="center"/>
    </xf>
    <xf numFmtId="164" fontId="35" fillId="0" borderId="1" xfId="1" applyFont="1" applyFill="1" applyBorder="1" applyAlignment="1">
      <alignment wrapText="1"/>
    </xf>
    <xf numFmtId="0" fontId="35" fillId="0" borderId="0" xfId="0" applyFont="1" applyFill="1"/>
    <xf numFmtId="0" fontId="35" fillId="0" borderId="30" xfId="0" applyFont="1" applyFill="1" applyBorder="1" applyAlignment="1">
      <alignment horizontal="left" wrapText="1"/>
    </xf>
    <xf numFmtId="0" fontId="35" fillId="0" borderId="3" xfId="0" applyFont="1" applyFill="1" applyBorder="1" applyAlignment="1">
      <alignment horizontal="left" wrapText="1"/>
    </xf>
    <xf numFmtId="0" fontId="35" fillId="0" borderId="0" xfId="0" applyFont="1" applyFill="1" applyBorder="1" applyAlignment="1">
      <alignment horizontal="left" wrapText="1"/>
    </xf>
    <xf numFmtId="43" fontId="36" fillId="0" borderId="0" xfId="0" applyNumberFormat="1" applyFont="1" applyFill="1"/>
    <xf numFmtId="0" fontId="37" fillId="0" borderId="0" xfId="0" applyFont="1" applyFill="1" applyBorder="1" applyAlignment="1">
      <alignment horizontal="center"/>
    </xf>
    <xf numFmtId="0" fontId="35" fillId="0" borderId="1" xfId="0" applyFont="1" applyFill="1" applyBorder="1" applyAlignment="1">
      <alignment wrapText="1"/>
    </xf>
    <xf numFmtId="0" fontId="38" fillId="0" borderId="37" xfId="0" applyFont="1" applyFill="1" applyBorder="1" applyAlignment="1">
      <alignment horizontal="center"/>
    </xf>
    <xf numFmtId="0" fontId="38" fillId="0" borderId="45" xfId="0" applyFont="1" applyFill="1" applyBorder="1" applyAlignment="1">
      <alignment horizontal="center"/>
    </xf>
    <xf numFmtId="16" fontId="38" fillId="0" borderId="45" xfId="0" quotePrefix="1" applyNumberFormat="1" applyFont="1" applyFill="1" applyBorder="1" applyAlignment="1">
      <alignment horizontal="center"/>
    </xf>
    <xf numFmtId="0" fontId="38" fillId="0" borderId="1" xfId="0" applyFont="1" applyFill="1" applyBorder="1" applyAlignment="1">
      <alignment horizontal="center"/>
    </xf>
    <xf numFmtId="0" fontId="38" fillId="0" borderId="0" xfId="0" applyFont="1" applyFill="1" applyBorder="1" applyAlignment="1">
      <alignment horizontal="center"/>
    </xf>
    <xf numFmtId="16" fontId="38" fillId="0" borderId="1" xfId="0" quotePrefix="1" applyNumberFormat="1" applyFont="1" applyFill="1" applyBorder="1" applyAlignment="1">
      <alignment horizontal="center"/>
    </xf>
    <xf numFmtId="2" fontId="34" fillId="0" borderId="0" xfId="0" applyNumberFormat="1" applyFont="1" applyFill="1"/>
    <xf numFmtId="0" fontId="15" fillId="28" borderId="0" xfId="0" applyFont="1" applyFill="1" applyAlignment="1" applyProtection="1">
      <alignment vertical="center"/>
      <protection hidden="1"/>
    </xf>
    <xf numFmtId="0" fontId="15" fillId="0" borderId="64" xfId="0" applyFont="1" applyFill="1" applyBorder="1" applyAlignment="1" applyProtection="1">
      <alignment vertical="center"/>
      <protection hidden="1"/>
    </xf>
    <xf numFmtId="0" fontId="15" fillId="0" borderId="65" xfId="0" applyFont="1" applyFill="1" applyBorder="1" applyAlignment="1" applyProtection="1">
      <alignment vertical="center"/>
      <protection hidden="1"/>
    </xf>
    <xf numFmtId="0" fontId="15" fillId="0" borderId="66" xfId="0" applyFont="1" applyFill="1" applyBorder="1" applyAlignment="1" applyProtection="1">
      <alignment vertical="center"/>
      <protection hidden="1"/>
    </xf>
    <xf numFmtId="0" fontId="15" fillId="0" borderId="67"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5" fillId="0" borderId="68" xfId="0" applyFont="1" applyFill="1" applyBorder="1" applyAlignment="1" applyProtection="1">
      <alignment vertical="center"/>
      <protection hidden="1"/>
    </xf>
    <xf numFmtId="0" fontId="56" fillId="29" borderId="62" xfId="0" applyFont="1" applyFill="1" applyBorder="1" applyAlignment="1" applyProtection="1">
      <alignment horizontal="center" vertical="center"/>
      <protection hidden="1"/>
    </xf>
    <xf numFmtId="0" fontId="72" fillId="12" borderId="62"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74" fillId="0" borderId="0" xfId="0" applyFont="1" applyBorder="1" applyProtection="1">
      <protection hidden="1"/>
    </xf>
    <xf numFmtId="0" fontId="71" fillId="0" borderId="0" xfId="0" applyFont="1" applyFill="1" applyBorder="1" applyAlignment="1" applyProtection="1">
      <alignment vertical="center"/>
      <protection hidden="1"/>
    </xf>
    <xf numFmtId="0" fontId="30" fillId="0" borderId="68" xfId="0" applyFont="1" applyFill="1" applyBorder="1" applyAlignment="1" applyProtection="1">
      <alignment vertical="center"/>
      <protection hidden="1"/>
    </xf>
    <xf numFmtId="0" fontId="56" fillId="29" borderId="62" xfId="0"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horizontal="center" vertical="center"/>
      <protection hidden="1"/>
    </xf>
    <xf numFmtId="0" fontId="30" fillId="0" borderId="0" xfId="0" applyFont="1" applyFill="1" applyBorder="1" applyAlignment="1" applyProtection="1">
      <alignment vertical="center"/>
      <protection hidden="1"/>
    </xf>
    <xf numFmtId="0" fontId="30" fillId="5" borderId="0" xfId="0" applyFont="1" applyFill="1" applyBorder="1" applyAlignment="1" applyProtection="1">
      <alignment vertical="center"/>
      <protection hidden="1"/>
    </xf>
    <xf numFmtId="0" fontId="70" fillId="0" borderId="0" xfId="0" applyNumberFormat="1" applyFont="1" applyFill="1" applyBorder="1" applyAlignment="1" applyProtection="1">
      <alignment horizontal="left" vertical="center"/>
      <protection hidden="1"/>
    </xf>
    <xf numFmtId="0" fontId="30" fillId="0" borderId="0" xfId="0" applyFont="1" applyFill="1" applyAlignment="1" applyProtection="1">
      <alignment vertical="center"/>
      <protection hidden="1"/>
    </xf>
    <xf numFmtId="0" fontId="56" fillId="0" borderId="0" xfId="0" applyFont="1" applyFill="1" applyBorder="1" applyAlignment="1" applyProtection="1">
      <alignment horizontal="center" vertical="center"/>
      <protection hidden="1"/>
    </xf>
    <xf numFmtId="0" fontId="65" fillId="0" borderId="0" xfId="0" applyFont="1" applyFill="1" applyBorder="1" applyAlignment="1" applyProtection="1">
      <alignment horizontal="left" vertical="center"/>
      <protection hidden="1"/>
    </xf>
    <xf numFmtId="0" fontId="65" fillId="0" borderId="68" xfId="0" applyFont="1" applyFill="1" applyBorder="1" applyAlignment="1" applyProtection="1">
      <alignment horizontal="left" vertical="center"/>
      <protection hidden="1"/>
    </xf>
    <xf numFmtId="177" fontId="69" fillId="0" borderId="84" xfId="0" applyNumberFormat="1" applyFont="1" applyFill="1" applyBorder="1" applyAlignment="1" applyProtection="1">
      <alignment horizontal="center" vertical="center"/>
      <protection hidden="1"/>
    </xf>
    <xf numFmtId="0" fontId="74" fillId="0" borderId="0" xfId="0" applyFont="1" applyFill="1" applyProtection="1">
      <protection hidden="1"/>
    </xf>
    <xf numFmtId="0" fontId="74" fillId="0" borderId="0" xfId="0" applyFont="1" applyFill="1" applyBorder="1" applyProtection="1">
      <protection hidden="1"/>
    </xf>
    <xf numFmtId="0" fontId="74" fillId="0" borderId="0" xfId="0" applyFont="1" applyProtection="1">
      <protection hidden="1"/>
    </xf>
    <xf numFmtId="0" fontId="15" fillId="0" borderId="69" xfId="0" applyFont="1" applyFill="1" applyBorder="1" applyAlignment="1" applyProtection="1">
      <alignment vertical="center"/>
      <protection hidden="1"/>
    </xf>
    <xf numFmtId="0" fontId="30" fillId="0" borderId="70" xfId="0" applyFont="1" applyFill="1" applyBorder="1" applyAlignment="1" applyProtection="1">
      <alignment horizontal="center" vertical="center"/>
      <protection hidden="1"/>
    </xf>
    <xf numFmtId="0" fontId="66" fillId="0" borderId="70" xfId="0" applyFont="1" applyFill="1" applyBorder="1" applyAlignment="1" applyProtection="1">
      <alignment horizontal="left" vertical="center"/>
      <protection hidden="1"/>
    </xf>
    <xf numFmtId="0" fontId="15" fillId="0" borderId="71" xfId="0" applyFont="1" applyFill="1" applyBorder="1" applyAlignment="1" applyProtection="1">
      <alignment vertical="center"/>
      <protection hidden="1"/>
    </xf>
    <xf numFmtId="0" fontId="15" fillId="28" borderId="0" xfId="0" applyFont="1" applyFill="1" applyBorder="1" applyAlignment="1" applyProtection="1">
      <alignment vertical="center"/>
      <protection hidden="1"/>
    </xf>
    <xf numFmtId="0" fontId="30" fillId="28" borderId="0" xfId="0" applyFont="1" applyFill="1" applyBorder="1" applyAlignment="1" applyProtection="1">
      <alignment horizontal="center" vertical="center"/>
      <protection hidden="1"/>
    </xf>
    <xf numFmtId="0" fontId="66" fillId="28" borderId="0" xfId="0" applyFont="1" applyFill="1" applyBorder="1" applyAlignment="1" applyProtection="1">
      <alignment horizontal="left" vertical="center"/>
      <protection hidden="1"/>
    </xf>
    <xf numFmtId="0" fontId="66" fillId="0" borderId="0" xfId="0" applyFont="1" applyFill="1" applyBorder="1" applyAlignment="1" applyProtection="1">
      <alignment horizontal="left" vertical="center"/>
      <protection hidden="1"/>
    </xf>
    <xf numFmtId="0" fontId="15" fillId="0" borderId="0" xfId="0" applyFont="1" applyFill="1" applyAlignment="1" applyProtection="1">
      <alignment vertical="center"/>
      <protection hidden="1"/>
    </xf>
    <xf numFmtId="0" fontId="72" fillId="0" borderId="72" xfId="0" applyFont="1" applyFill="1" applyBorder="1" applyAlignment="1" applyProtection="1">
      <alignment horizontal="center" vertical="center" wrapText="1"/>
      <protection hidden="1"/>
    </xf>
    <xf numFmtId="177" fontId="54" fillId="31" borderId="72" xfId="1" applyNumberFormat="1" applyFont="1" applyFill="1" applyBorder="1" applyAlignment="1" applyProtection="1">
      <alignment horizontal="center" vertical="center"/>
      <protection hidden="1"/>
    </xf>
    <xf numFmtId="10" fontId="54" fillId="31" borderId="72" xfId="9" applyNumberFormat="1" applyFont="1" applyFill="1" applyBorder="1" applyAlignment="1" applyProtection="1">
      <alignment horizontal="center" vertical="center"/>
      <protection hidden="1"/>
    </xf>
    <xf numFmtId="0" fontId="15" fillId="0" borderId="70" xfId="0" applyFont="1" applyFill="1" applyBorder="1" applyAlignment="1" applyProtection="1">
      <alignment vertical="center"/>
      <protection hidden="1"/>
    </xf>
    <xf numFmtId="0" fontId="0" fillId="0" borderId="73" xfId="0" applyFill="1" applyBorder="1" applyProtection="1">
      <protection hidden="1"/>
    </xf>
    <xf numFmtId="0" fontId="0" fillId="0" borderId="74" xfId="0" applyFill="1" applyBorder="1" applyProtection="1">
      <protection hidden="1"/>
    </xf>
    <xf numFmtId="0" fontId="0" fillId="0" borderId="75" xfId="0" applyFill="1" applyBorder="1" applyProtection="1">
      <protection hidden="1"/>
    </xf>
    <xf numFmtId="164" fontId="35" fillId="0" borderId="2" xfId="1" applyFont="1" applyFill="1" applyBorder="1" applyAlignment="1">
      <alignment wrapText="1"/>
    </xf>
    <xf numFmtId="164" fontId="35" fillId="0" borderId="30" xfId="1" applyFont="1" applyFill="1" applyBorder="1" applyAlignment="1">
      <alignment wrapText="1"/>
    </xf>
    <xf numFmtId="164" fontId="37" fillId="0" borderId="1" xfId="1" applyFont="1" applyFill="1" applyBorder="1" applyAlignment="1"/>
    <xf numFmtId="164" fontId="75" fillId="0" borderId="2" xfId="1" applyFont="1" applyFill="1" applyBorder="1" applyAlignment="1">
      <alignment horizontal="center"/>
    </xf>
    <xf numFmtId="164" fontId="75" fillId="0" borderId="1" xfId="1" applyFont="1" applyFill="1" applyBorder="1" applyAlignment="1">
      <alignment horizontal="center"/>
    </xf>
    <xf numFmtId="164" fontId="76" fillId="0" borderId="1" xfId="1" applyFont="1" applyFill="1" applyBorder="1" applyAlignment="1">
      <alignment horizontal="center"/>
    </xf>
    <xf numFmtId="165" fontId="75" fillId="0" borderId="2" xfId="1" applyNumberFormat="1" applyFont="1" applyFill="1" applyBorder="1" applyAlignment="1">
      <alignment horizontal="center"/>
    </xf>
    <xf numFmtId="164" fontId="75" fillId="0" borderId="1" xfId="2" applyFont="1" applyFill="1" applyBorder="1" applyAlignment="1">
      <alignment horizontal="center"/>
    </xf>
    <xf numFmtId="164" fontId="75" fillId="0" borderId="2" xfId="2" applyFont="1" applyFill="1" applyBorder="1" applyAlignment="1">
      <alignment horizontal="center"/>
    </xf>
    <xf numFmtId="0" fontId="77" fillId="0" borderId="1" xfId="0" applyFont="1" applyFill="1" applyBorder="1"/>
    <xf numFmtId="0" fontId="75" fillId="0" borderId="2" xfId="4" applyFont="1" applyFill="1" applyBorder="1" applyAlignment="1">
      <alignment horizontal="center"/>
    </xf>
    <xf numFmtId="4" fontId="76" fillId="0" borderId="1" xfId="2" applyNumberFormat="1" applyFont="1" applyFill="1" applyBorder="1" applyAlignment="1">
      <alignment horizontal="center"/>
    </xf>
    <xf numFmtId="164" fontId="75" fillId="0" borderId="0" xfId="2" applyFont="1" applyFill="1" applyBorder="1" applyAlignment="1">
      <alignment horizontal="center"/>
    </xf>
    <xf numFmtId="164" fontId="78" fillId="28" borderId="1" xfId="1" applyNumberFormat="1" applyFont="1" applyFill="1" applyBorder="1" applyAlignment="1">
      <alignment horizontal="center" vertical="center"/>
    </xf>
    <xf numFmtId="164" fontId="75" fillId="0" borderId="2" xfId="1" applyFont="1" applyBorder="1" applyAlignment="1">
      <alignment horizontal="center"/>
    </xf>
    <xf numFmtId="164" fontId="78" fillId="28" borderId="1" xfId="1" applyFont="1" applyFill="1" applyBorder="1" applyAlignment="1">
      <alignment horizontal="center" vertical="center"/>
    </xf>
    <xf numFmtId="0" fontId="32" fillId="0" borderId="30" xfId="0" applyFont="1" applyFill="1" applyBorder="1" applyAlignment="1"/>
    <xf numFmtId="0" fontId="32" fillId="0" borderId="3" xfId="0" applyFont="1" applyFill="1" applyBorder="1" applyAlignment="1"/>
    <xf numFmtId="0" fontId="33" fillId="0" borderId="2" xfId="4" applyFont="1" applyFill="1" applyBorder="1" applyAlignment="1">
      <alignment wrapText="1"/>
    </xf>
    <xf numFmtId="0" fontId="15" fillId="0" borderId="30" xfId="4" applyFont="1" applyFill="1" applyBorder="1" applyAlignment="1">
      <alignment wrapText="1"/>
    </xf>
    <xf numFmtId="0" fontId="54" fillId="0" borderId="72" xfId="0" applyFont="1" applyFill="1" applyBorder="1" applyAlignment="1" applyProtection="1">
      <alignment horizontal="left" vertical="center"/>
      <protection hidden="1"/>
    </xf>
    <xf numFmtId="177" fontId="54" fillId="31" borderId="72" xfId="1" applyNumberFormat="1" applyFont="1" applyFill="1" applyBorder="1" applyAlignment="1" applyProtection="1">
      <alignment horizontal="center" vertical="center"/>
      <protection hidden="1"/>
    </xf>
    <xf numFmtId="177" fontId="54" fillId="0" borderId="72" xfId="1" applyNumberFormat="1" applyFont="1" applyFill="1" applyBorder="1" applyAlignment="1" applyProtection="1">
      <alignment horizontal="center" vertical="center"/>
      <protection hidden="1"/>
    </xf>
    <xf numFmtId="43" fontId="60" fillId="29" borderId="72" xfId="0" applyNumberFormat="1" applyFont="1" applyFill="1" applyBorder="1" applyAlignment="1" applyProtection="1">
      <alignment horizontal="center" vertical="center"/>
      <protection hidden="1"/>
    </xf>
    <xf numFmtId="0" fontId="72" fillId="0" borderId="72" xfId="0" applyFont="1" applyFill="1" applyBorder="1" applyAlignment="1" applyProtection="1">
      <alignment horizontal="center" vertical="center"/>
      <protection hidden="1"/>
    </xf>
    <xf numFmtId="0" fontId="72" fillId="0" borderId="72" xfId="0" applyFont="1" applyFill="1" applyBorder="1" applyAlignment="1" applyProtection="1">
      <alignment horizontal="center" vertical="center" wrapText="1"/>
      <protection hidden="1"/>
    </xf>
    <xf numFmtId="0" fontId="54" fillId="31" borderId="72" xfId="0" applyFont="1" applyFill="1" applyBorder="1" applyAlignment="1" applyProtection="1">
      <alignment horizontal="left" vertical="center"/>
      <protection hidden="1"/>
    </xf>
    <xf numFmtId="0" fontId="54" fillId="31" borderId="85" xfId="0" applyFont="1" applyFill="1" applyBorder="1" applyAlignment="1" applyProtection="1">
      <alignment horizontal="left" vertical="center" wrapText="1"/>
      <protection hidden="1"/>
    </xf>
    <xf numFmtId="0" fontId="54" fillId="31" borderId="87" xfId="0" applyFont="1" applyFill="1" applyBorder="1" applyAlignment="1" applyProtection="1">
      <alignment horizontal="left" vertical="center" wrapText="1"/>
      <protection hidden="1"/>
    </xf>
    <xf numFmtId="0" fontId="54" fillId="31" borderId="86" xfId="0" applyFont="1" applyFill="1" applyBorder="1" applyAlignment="1" applyProtection="1">
      <alignment horizontal="left" vertical="center" wrapText="1"/>
      <protection hidden="1"/>
    </xf>
    <xf numFmtId="0" fontId="54" fillId="31" borderId="85" xfId="0" applyFont="1" applyFill="1" applyBorder="1" applyAlignment="1" applyProtection="1">
      <alignment horizontal="left" vertical="center"/>
      <protection hidden="1"/>
    </xf>
    <xf numFmtId="0" fontId="54" fillId="31" borderId="87" xfId="0" applyFont="1" applyFill="1" applyBorder="1" applyAlignment="1" applyProtection="1">
      <alignment horizontal="left" vertical="center"/>
      <protection hidden="1"/>
    </xf>
    <xf numFmtId="0" fontId="54" fillId="31" borderId="86" xfId="0" applyFont="1" applyFill="1" applyBorder="1" applyAlignment="1" applyProtection="1">
      <alignment horizontal="left" vertical="center"/>
      <protection hidden="1"/>
    </xf>
    <xf numFmtId="0" fontId="54" fillId="0" borderId="85" xfId="0" applyFont="1" applyBorder="1" applyAlignment="1" applyProtection="1">
      <alignment horizontal="left" vertical="center"/>
      <protection hidden="1"/>
    </xf>
    <xf numFmtId="0" fontId="54" fillId="0" borderId="87" xfId="0" applyFont="1" applyBorder="1" applyAlignment="1" applyProtection="1">
      <alignment horizontal="left" vertical="center"/>
      <protection hidden="1"/>
    </xf>
    <xf numFmtId="0" fontId="54" fillId="0" borderId="86" xfId="0" applyFont="1" applyBorder="1" applyAlignment="1" applyProtection="1">
      <alignment horizontal="left" vertical="center"/>
      <protection hidden="1"/>
    </xf>
    <xf numFmtId="0" fontId="54" fillId="0" borderId="85" xfId="0" applyFont="1" applyFill="1" applyBorder="1" applyAlignment="1" applyProtection="1">
      <alignment horizontal="left" vertical="center"/>
      <protection hidden="1"/>
    </xf>
    <xf numFmtId="0" fontId="54" fillId="0" borderId="87" xfId="0" applyFont="1" applyFill="1" applyBorder="1" applyAlignment="1" applyProtection="1">
      <alignment horizontal="left" vertical="center"/>
      <protection hidden="1"/>
    </xf>
    <xf numFmtId="0" fontId="54" fillId="0" borderId="86" xfId="0" applyFont="1" applyFill="1" applyBorder="1" applyAlignment="1" applyProtection="1">
      <alignment horizontal="left" vertical="center"/>
      <protection hidden="1"/>
    </xf>
    <xf numFmtId="0" fontId="54" fillId="0" borderId="85" xfId="0" applyFont="1" applyBorder="1" applyAlignment="1" applyProtection="1">
      <alignment horizontal="left" vertical="center" wrapText="1"/>
      <protection hidden="1"/>
    </xf>
    <xf numFmtId="0" fontId="54" fillId="0" borderId="87" xfId="0" applyFont="1" applyBorder="1" applyAlignment="1" applyProtection="1">
      <alignment horizontal="left" vertical="center" wrapText="1"/>
      <protection hidden="1"/>
    </xf>
    <xf numFmtId="0" fontId="54" fillId="0" borderId="86" xfId="0" applyFont="1" applyBorder="1" applyAlignment="1" applyProtection="1">
      <alignment horizontal="left" vertical="center" wrapText="1"/>
      <protection hidden="1"/>
    </xf>
    <xf numFmtId="0" fontId="69" fillId="0" borderId="84" xfId="0" applyFont="1" applyFill="1" applyBorder="1" applyAlignment="1" applyProtection="1">
      <alignment horizontal="center" vertical="center"/>
      <protection hidden="1"/>
    </xf>
    <xf numFmtId="177" fontId="54" fillId="31" borderId="85" xfId="1" applyNumberFormat="1" applyFont="1" applyFill="1" applyBorder="1" applyAlignment="1" applyProtection="1">
      <alignment horizontal="center" vertical="center"/>
      <protection hidden="1"/>
    </xf>
    <xf numFmtId="177" fontId="54" fillId="31" borderId="86" xfId="1" applyNumberFormat="1" applyFont="1" applyFill="1" applyBorder="1" applyAlignment="1" applyProtection="1">
      <alignment horizontal="center" vertical="center"/>
      <protection hidden="1"/>
    </xf>
    <xf numFmtId="0" fontId="73" fillId="29" borderId="88" xfId="0" applyFont="1" applyFill="1" applyBorder="1" applyAlignment="1" applyProtection="1">
      <alignment horizontal="center" vertical="center"/>
      <protection hidden="1"/>
    </xf>
    <xf numFmtId="0" fontId="73" fillId="29" borderId="89" xfId="0" applyFont="1" applyFill="1" applyBorder="1" applyAlignment="1" applyProtection="1">
      <alignment horizontal="center" vertical="center"/>
      <protection hidden="1"/>
    </xf>
    <xf numFmtId="0" fontId="73" fillId="29" borderId="90" xfId="0" applyFont="1" applyFill="1" applyBorder="1" applyAlignment="1" applyProtection="1">
      <alignment horizontal="center" vertical="center"/>
      <protection hidden="1"/>
    </xf>
    <xf numFmtId="0" fontId="59" fillId="0" borderId="91" xfId="0" applyFont="1" applyFill="1" applyBorder="1" applyAlignment="1" applyProtection="1">
      <alignment horizontal="center" vertical="center"/>
      <protection hidden="1"/>
    </xf>
    <xf numFmtId="0" fontId="59" fillId="0" borderId="92" xfId="0" applyFont="1" applyFill="1" applyBorder="1" applyAlignment="1" applyProtection="1">
      <alignment horizontal="center" vertical="center"/>
      <protection hidden="1"/>
    </xf>
    <xf numFmtId="0" fontId="59" fillId="0" borderId="93" xfId="0" applyFont="1" applyFill="1" applyBorder="1" applyAlignment="1" applyProtection="1">
      <alignment horizontal="center" vertical="center"/>
      <protection hidden="1"/>
    </xf>
    <xf numFmtId="0" fontId="72" fillId="0" borderId="85" xfId="0" applyFont="1" applyFill="1" applyBorder="1" applyAlignment="1" applyProtection="1">
      <alignment horizontal="center" vertical="center"/>
      <protection hidden="1"/>
    </xf>
    <xf numFmtId="0" fontId="72" fillId="0" borderId="87" xfId="0" applyFont="1" applyFill="1" applyBorder="1" applyAlignment="1" applyProtection="1">
      <alignment horizontal="center" vertical="center"/>
      <protection hidden="1"/>
    </xf>
    <xf numFmtId="0" fontId="72" fillId="0" borderId="86" xfId="0" applyFont="1" applyFill="1" applyBorder="1" applyAlignment="1" applyProtection="1">
      <alignment horizontal="center" vertical="center"/>
      <protection hidden="1"/>
    </xf>
    <xf numFmtId="0" fontId="65" fillId="0" borderId="0" xfId="0" applyFont="1" applyFill="1" applyBorder="1" applyAlignment="1" applyProtection="1">
      <alignment horizontal="left" vertical="center"/>
      <protection hidden="1"/>
    </xf>
    <xf numFmtId="0" fontId="65" fillId="0" borderId="68" xfId="0" applyFont="1" applyFill="1" applyBorder="1" applyAlignment="1" applyProtection="1">
      <alignment horizontal="left" vertical="center"/>
      <protection hidden="1"/>
    </xf>
    <xf numFmtId="0" fontId="64" fillId="29" borderId="64" xfId="0" applyFont="1" applyFill="1" applyBorder="1" applyAlignment="1" applyProtection="1">
      <alignment horizontal="center" vertical="center"/>
      <protection hidden="1"/>
    </xf>
    <xf numFmtId="0" fontId="64" fillId="29" borderId="65" xfId="0" applyFont="1" applyFill="1" applyBorder="1" applyAlignment="1" applyProtection="1">
      <alignment horizontal="center" vertical="center"/>
      <protection hidden="1"/>
    </xf>
    <xf numFmtId="0" fontId="64" fillId="29" borderId="66" xfId="0" applyFont="1" applyFill="1" applyBorder="1" applyAlignment="1" applyProtection="1">
      <alignment horizontal="center" vertical="center"/>
      <protection hidden="1"/>
    </xf>
    <xf numFmtId="0" fontId="64" fillId="29" borderId="69" xfId="0" applyFont="1" applyFill="1" applyBorder="1" applyAlignment="1" applyProtection="1">
      <alignment horizontal="center" vertical="center"/>
      <protection hidden="1"/>
    </xf>
    <xf numFmtId="0" fontId="64" fillId="29" borderId="70" xfId="0" applyFont="1" applyFill="1" applyBorder="1" applyAlignment="1" applyProtection="1">
      <alignment horizontal="center" vertical="center"/>
      <protection hidden="1"/>
    </xf>
    <xf numFmtId="0" fontId="64" fillId="29" borderId="71" xfId="0" applyFont="1" applyFill="1" applyBorder="1" applyAlignment="1" applyProtection="1">
      <alignment horizontal="center" vertical="center"/>
      <protection hidden="1"/>
    </xf>
    <xf numFmtId="0" fontId="64" fillId="30" borderId="0" xfId="0" applyFont="1" applyFill="1" applyAlignment="1" applyProtection="1">
      <alignment horizontal="center" vertical="center"/>
      <protection hidden="1"/>
    </xf>
    <xf numFmtId="165" fontId="54" fillId="2" borderId="2" xfId="1" applyNumberFormat="1" applyFont="1" applyFill="1" applyBorder="1" applyAlignment="1" applyProtection="1">
      <alignment horizontal="center" vertical="center"/>
      <protection hidden="1"/>
    </xf>
    <xf numFmtId="165" fontId="54" fillId="2" borderId="3" xfId="1" applyNumberFormat="1" applyFont="1" applyFill="1" applyBorder="1" applyAlignment="1" applyProtection="1">
      <alignment horizontal="center" vertical="center"/>
      <protection hidden="1"/>
    </xf>
    <xf numFmtId="0" fontId="54" fillId="2" borderId="2" xfId="1" applyNumberFormat="1" applyFont="1" applyFill="1" applyBorder="1" applyAlignment="1" applyProtection="1">
      <alignment horizontal="center" vertical="center"/>
      <protection hidden="1"/>
    </xf>
    <xf numFmtId="0" fontId="54" fillId="2" borderId="3" xfId="1" applyNumberFormat="1" applyFont="1" applyFill="1" applyBorder="1" applyAlignment="1" applyProtection="1">
      <alignment horizontal="center" vertical="center"/>
      <protection hidden="1"/>
    </xf>
    <xf numFmtId="165" fontId="54" fillId="2" borderId="2" xfId="1" applyNumberFormat="1" applyFont="1" applyFill="1" applyBorder="1" applyAlignment="1" applyProtection="1">
      <alignment horizontal="center" vertical="top" wrapText="1"/>
      <protection hidden="1"/>
    </xf>
    <xf numFmtId="165" fontId="54" fillId="2" borderId="3" xfId="1" applyNumberFormat="1" applyFont="1" applyFill="1" applyBorder="1" applyAlignment="1" applyProtection="1">
      <alignment horizontal="center" vertical="top" wrapText="1"/>
      <protection hidden="1"/>
    </xf>
    <xf numFmtId="0" fontId="61" fillId="0" borderId="1" xfId="0" applyFont="1" applyBorder="1" applyAlignment="1" applyProtection="1">
      <alignment horizontal="left" vertical="center"/>
      <protection hidden="1"/>
    </xf>
    <xf numFmtId="0" fontId="61" fillId="8" borderId="1" xfId="0" applyFont="1" applyFill="1" applyBorder="1" applyAlignment="1" applyProtection="1">
      <alignment horizontal="left" vertical="center"/>
      <protection hidden="1"/>
    </xf>
    <xf numFmtId="0" fontId="54" fillId="0" borderId="1" xfId="0" applyFont="1" applyBorder="1" applyAlignment="1" applyProtection="1">
      <alignment horizontal="left" vertical="center"/>
      <protection hidden="1"/>
    </xf>
    <xf numFmtId="0" fontId="61" fillId="0" borderId="2" xfId="0" applyFont="1" applyBorder="1" applyAlignment="1" applyProtection="1">
      <alignment horizontal="left"/>
      <protection hidden="1"/>
    </xf>
    <xf numFmtId="0" fontId="61" fillId="0" borderId="3" xfId="0" applyFont="1" applyBorder="1" applyAlignment="1" applyProtection="1">
      <alignment horizontal="left"/>
      <protection hidden="1"/>
    </xf>
    <xf numFmtId="0" fontId="54" fillId="0" borderId="2" xfId="0" applyFont="1" applyBorder="1" applyAlignment="1" applyProtection="1">
      <alignment horizontal="left"/>
      <protection hidden="1"/>
    </xf>
    <xf numFmtId="0" fontId="54" fillId="0" borderId="3" xfId="0" applyFont="1" applyBorder="1" applyAlignment="1" applyProtection="1">
      <alignment horizontal="left"/>
      <protection hidden="1"/>
    </xf>
    <xf numFmtId="0" fontId="61" fillId="0" borderId="2" xfId="0" applyFont="1" applyFill="1" applyBorder="1" applyAlignment="1" applyProtection="1">
      <alignment horizontal="left"/>
      <protection hidden="1"/>
    </xf>
    <xf numFmtId="0" fontId="61" fillId="0" borderId="3" xfId="0" applyFont="1" applyFill="1" applyBorder="1" applyAlignment="1" applyProtection="1">
      <alignment horizontal="left"/>
      <protection hidden="1"/>
    </xf>
    <xf numFmtId="43" fontId="63" fillId="0" borderId="6" xfId="0" applyNumberFormat="1" applyFont="1" applyBorder="1" applyAlignment="1" applyProtection="1">
      <alignment horizontal="center" vertical="top"/>
      <protection hidden="1"/>
    </xf>
    <xf numFmtId="43" fontId="63" fillId="0" borderId="37" xfId="0" applyNumberFormat="1" applyFont="1" applyBorder="1" applyAlignment="1" applyProtection="1">
      <alignment horizontal="center" vertical="top"/>
      <protection hidden="1"/>
    </xf>
    <xf numFmtId="43" fontId="60" fillId="29" borderId="0" xfId="0" applyNumberFormat="1" applyFont="1" applyFill="1" applyBorder="1" applyAlignment="1" applyProtection="1">
      <alignment horizontal="center" vertical="center"/>
      <protection hidden="1"/>
    </xf>
    <xf numFmtId="0" fontId="61" fillId="0" borderId="2" xfId="0" applyFont="1" applyBorder="1" applyAlignment="1" applyProtection="1">
      <alignment horizontal="left" vertical="center"/>
      <protection hidden="1"/>
    </xf>
    <xf numFmtId="0" fontId="61" fillId="0" borderId="3" xfId="0" applyFont="1" applyBorder="1" applyAlignment="1" applyProtection="1">
      <alignment horizontal="left" vertical="center"/>
      <protection hidden="1"/>
    </xf>
    <xf numFmtId="0" fontId="54" fillId="0" borderId="13" xfId="0" applyFont="1" applyBorder="1" applyAlignment="1" applyProtection="1">
      <alignment horizontal="left" vertical="center" wrapText="1"/>
      <protection hidden="1"/>
    </xf>
    <xf numFmtId="0" fontId="54" fillId="0" borderId="14" xfId="0" applyFont="1" applyBorder="1" applyAlignment="1" applyProtection="1">
      <alignment horizontal="left" vertical="center" wrapText="1"/>
      <protection hidden="1"/>
    </xf>
    <xf numFmtId="0" fontId="54" fillId="0" borderId="9" xfId="0" applyFont="1" applyBorder="1" applyAlignment="1" applyProtection="1">
      <alignment horizontal="left" vertical="center"/>
      <protection hidden="1"/>
    </xf>
    <xf numFmtId="0" fontId="54" fillId="0" borderId="10" xfId="0" applyFont="1" applyBorder="1" applyAlignment="1" applyProtection="1">
      <alignment horizontal="left" vertical="center"/>
      <protection hidden="1"/>
    </xf>
    <xf numFmtId="0" fontId="7" fillId="0" borderId="2" xfId="0" applyFont="1" applyBorder="1" applyAlignment="1">
      <alignment horizontal="left"/>
    </xf>
    <xf numFmtId="0" fontId="7" fillId="0" borderId="3" xfId="0" applyFont="1" applyBorder="1" applyAlignment="1">
      <alignment horizontal="left"/>
    </xf>
    <xf numFmtId="0" fontId="7" fillId="0" borderId="2" xfId="0" applyFont="1" applyBorder="1" applyAlignment="1" applyProtection="1">
      <alignment horizontal="left"/>
      <protection hidden="1"/>
    </xf>
    <xf numFmtId="0" fontId="7" fillId="0" borderId="3" xfId="0" applyFont="1" applyBorder="1" applyAlignment="1" applyProtection="1">
      <alignment horizontal="left"/>
      <protection hidden="1"/>
    </xf>
    <xf numFmtId="0" fontId="7" fillId="0" borderId="1" xfId="0" applyFont="1" applyBorder="1" applyAlignment="1">
      <alignment horizontal="left" vertical="center"/>
    </xf>
    <xf numFmtId="0" fontId="7" fillId="0" borderId="1" xfId="0" applyFont="1" applyFill="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5" fillId="7" borderId="24" xfId="0" applyFont="1" applyFill="1" applyBorder="1" applyAlignment="1">
      <alignment horizontal="center" wrapText="1"/>
    </xf>
    <xf numFmtId="0" fontId="5" fillId="7" borderId="25" xfId="0" applyFont="1" applyFill="1" applyBorder="1" applyAlignment="1">
      <alignment horizontal="center" wrapText="1"/>
    </xf>
    <xf numFmtId="0" fontId="5" fillId="7" borderId="28" xfId="0" applyFont="1" applyFill="1" applyBorder="1" applyAlignment="1">
      <alignment horizontal="center" wrapText="1"/>
    </xf>
    <xf numFmtId="0" fontId="5" fillId="7" borderId="29" xfId="0" applyFont="1" applyFill="1" applyBorder="1" applyAlignment="1">
      <alignment horizontal="center" wrapText="1"/>
    </xf>
    <xf numFmtId="0" fontId="5" fillId="7" borderId="26" xfId="0" applyFont="1" applyFill="1" applyBorder="1" applyAlignment="1">
      <alignment horizontal="center" wrapText="1"/>
    </xf>
    <xf numFmtId="0" fontId="5" fillId="7" borderId="27" xfId="0" applyFont="1" applyFill="1" applyBorder="1" applyAlignment="1">
      <alignment horizontal="center" wrapText="1"/>
    </xf>
    <xf numFmtId="0" fontId="5" fillId="0" borderId="38" xfId="0" applyFont="1" applyBorder="1" applyAlignment="1">
      <alignment horizontal="center"/>
    </xf>
    <xf numFmtId="0" fontId="5" fillId="0" borderId="39" xfId="0" applyFont="1" applyBorder="1" applyAlignment="1">
      <alignment horizontal="center"/>
    </xf>
    <xf numFmtId="0" fontId="5" fillId="0" borderId="4" xfId="0" applyFont="1" applyBorder="1" applyAlignment="1">
      <alignment horizontal="center"/>
    </xf>
    <xf numFmtId="0" fontId="4" fillId="5" borderId="0" xfId="0" applyFont="1" applyFill="1" applyBorder="1" applyAlignment="1">
      <alignment horizontal="center" vertical="center"/>
    </xf>
    <xf numFmtId="0" fontId="4" fillId="5" borderId="0" xfId="0" applyFont="1" applyFill="1" applyAlignment="1">
      <alignment vertical="center" wrapText="1"/>
    </xf>
    <xf numFmtId="0" fontId="4" fillId="5" borderId="0" xfId="0" applyFont="1" applyFill="1" applyAlignment="1">
      <alignment horizontal="left" vertical="center"/>
    </xf>
    <xf numFmtId="0" fontId="4" fillId="5" borderId="0" xfId="0" applyFont="1" applyFill="1" applyAlignment="1">
      <alignment horizontal="left" wrapText="1"/>
    </xf>
    <xf numFmtId="0" fontId="19" fillId="5" borderId="7"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36" xfId="0" applyFont="1" applyFill="1" applyBorder="1" applyAlignment="1">
      <alignment horizontal="left" vertical="center" wrapText="1"/>
    </xf>
    <xf numFmtId="0" fontId="18" fillId="5" borderId="7" xfId="0" applyFont="1" applyFill="1" applyBorder="1" applyAlignment="1" applyProtection="1"/>
    <xf numFmtId="0" fontId="18" fillId="5" borderId="0" xfId="0" applyFont="1" applyFill="1" applyBorder="1" applyAlignment="1" applyProtection="1"/>
    <xf numFmtId="0" fontId="18" fillId="5" borderId="36" xfId="0" applyFont="1" applyFill="1" applyBorder="1" applyAlignment="1" applyProtection="1"/>
    <xf numFmtId="0" fontId="19" fillId="5" borderId="7" xfId="0" applyFont="1" applyFill="1" applyBorder="1" applyAlignment="1" applyProtection="1">
      <alignment vertical="center" wrapText="1"/>
      <protection hidden="1"/>
    </xf>
    <xf numFmtId="0" fontId="19" fillId="5" borderId="0" xfId="0" applyFont="1" applyFill="1" applyBorder="1" applyAlignment="1" applyProtection="1">
      <alignment vertical="center" wrapText="1"/>
      <protection hidden="1"/>
    </xf>
    <xf numFmtId="0" fontId="19" fillId="5" borderId="36" xfId="0" applyFont="1" applyFill="1" applyBorder="1" applyAlignment="1" applyProtection="1">
      <alignment vertical="center" wrapText="1"/>
      <protection hidden="1"/>
    </xf>
    <xf numFmtId="0" fontId="18" fillId="5" borderId="33" xfId="0" applyFont="1" applyFill="1" applyBorder="1" applyAlignment="1" applyProtection="1">
      <alignment wrapText="1"/>
    </xf>
    <xf numFmtId="0" fontId="18" fillId="5" borderId="34" xfId="0" applyFont="1" applyFill="1" applyBorder="1" applyAlignment="1" applyProtection="1">
      <alignment wrapText="1"/>
    </xf>
    <xf numFmtId="0" fontId="18" fillId="5" borderId="35" xfId="0" applyFont="1" applyFill="1" applyBorder="1" applyAlignment="1" applyProtection="1">
      <alignment wrapText="1"/>
    </xf>
    <xf numFmtId="0" fontId="19" fillId="5" borderId="33" xfId="0" applyFont="1" applyFill="1" applyBorder="1" applyAlignment="1">
      <alignment vertical="center"/>
    </xf>
    <xf numFmtId="0" fontId="19" fillId="5" borderId="34" xfId="0" applyFont="1" applyFill="1" applyBorder="1" applyAlignment="1">
      <alignment vertical="center"/>
    </xf>
    <xf numFmtId="0" fontId="19" fillId="5" borderId="35" xfId="0" applyFont="1" applyFill="1" applyBorder="1" applyAlignment="1">
      <alignment vertical="center"/>
    </xf>
    <xf numFmtId="0" fontId="8" fillId="0" borderId="38" xfId="0" applyFont="1" applyFill="1" applyBorder="1" applyAlignment="1" applyProtection="1">
      <alignment horizontal="left"/>
    </xf>
    <xf numFmtId="0" fontId="8" fillId="0" borderId="39" xfId="0" applyFont="1" applyFill="1" applyBorder="1" applyAlignment="1" applyProtection="1">
      <alignment horizontal="left"/>
    </xf>
    <xf numFmtId="0" fontId="16" fillId="4" borderId="59" xfId="0" applyFont="1" applyFill="1" applyBorder="1" applyAlignment="1">
      <alignment vertical="center"/>
    </xf>
    <xf numFmtId="0" fontId="16" fillId="4" borderId="25" xfId="0" applyFont="1" applyFill="1" applyBorder="1" applyAlignment="1">
      <alignment vertical="center"/>
    </xf>
    <xf numFmtId="0" fontId="8" fillId="4" borderId="28" xfId="0" applyFont="1" applyFill="1" applyBorder="1" applyAlignment="1" applyProtection="1">
      <alignment horizontal="right" vertical="center"/>
    </xf>
    <xf numFmtId="0" fontId="8" fillId="4" borderId="29" xfId="0" applyFont="1" applyFill="1" applyBorder="1" applyAlignment="1" applyProtection="1">
      <alignment horizontal="right" vertical="center"/>
    </xf>
    <xf numFmtId="0" fontId="16" fillId="4" borderId="0" xfId="0" applyFont="1" applyFill="1" applyBorder="1" applyAlignment="1">
      <alignment horizontal="center" vertical="center"/>
    </xf>
    <xf numFmtId="0" fontId="16" fillId="4" borderId="29" xfId="0" applyFont="1" applyFill="1" applyBorder="1" applyAlignment="1">
      <alignment horizontal="center" vertical="center"/>
    </xf>
    <xf numFmtId="0" fontId="8" fillId="5" borderId="24" xfId="0" applyFont="1" applyFill="1" applyBorder="1" applyAlignment="1" applyProtection="1">
      <alignment horizontal="right" vertical="center"/>
    </xf>
    <xf numFmtId="0" fontId="8" fillId="5" borderId="59" xfId="0" applyFont="1" applyFill="1" applyBorder="1" applyAlignment="1" applyProtection="1">
      <alignment horizontal="right" vertical="center"/>
    </xf>
    <xf numFmtId="0" fontId="8" fillId="5" borderId="25" xfId="0" applyFont="1" applyFill="1" applyBorder="1" applyAlignment="1" applyProtection="1">
      <alignment horizontal="right" vertical="center"/>
    </xf>
    <xf numFmtId="0" fontId="8" fillId="5" borderId="28" xfId="0" applyFont="1" applyFill="1" applyBorder="1" applyAlignment="1" applyProtection="1">
      <alignment horizontal="right" vertical="center"/>
    </xf>
    <xf numFmtId="0" fontId="8" fillId="5" borderId="0" xfId="0" applyFont="1" applyFill="1" applyBorder="1" applyAlignment="1" applyProtection="1">
      <alignment horizontal="right" vertical="center"/>
    </xf>
    <xf numFmtId="0" fontId="8" fillId="5" borderId="29" xfId="0" applyFont="1" applyFill="1" applyBorder="1" applyAlignment="1" applyProtection="1">
      <alignment horizontal="right" vertical="center"/>
    </xf>
    <xf numFmtId="0" fontId="8" fillId="4" borderId="24" xfId="0" applyFont="1" applyFill="1" applyBorder="1" applyAlignment="1" applyProtection="1">
      <alignment horizontal="right"/>
    </xf>
    <xf numFmtId="0" fontId="8" fillId="4" borderId="25" xfId="0" applyFont="1" applyFill="1" applyBorder="1" applyAlignment="1" applyProtection="1">
      <alignment horizontal="right"/>
    </xf>
    <xf numFmtId="0" fontId="0" fillId="0" borderId="38" xfId="0" applyFill="1" applyBorder="1" applyAlignment="1">
      <alignment horizontal="center"/>
    </xf>
    <xf numFmtId="0" fontId="0" fillId="0" borderId="39" xfId="0" applyFill="1" applyBorder="1" applyAlignment="1">
      <alignment horizontal="center"/>
    </xf>
    <xf numFmtId="0" fontId="4" fillId="5" borderId="0" xfId="0" applyFont="1" applyFill="1" applyAlignment="1">
      <alignment horizontal="center"/>
    </xf>
    <xf numFmtId="37" fontId="4" fillId="5" borderId="1" xfId="0" applyNumberFormat="1" applyFont="1" applyFill="1" applyBorder="1" applyAlignment="1">
      <alignment horizontal="center"/>
    </xf>
    <xf numFmtId="0" fontId="4" fillId="5" borderId="1" xfId="0" applyFont="1" applyFill="1" applyBorder="1" applyAlignment="1">
      <alignment horizontal="center"/>
    </xf>
    <xf numFmtId="0" fontId="8" fillId="0" borderId="43" xfId="0" applyFont="1" applyFill="1" applyBorder="1" applyAlignment="1">
      <alignment horizontal="center" vertical="center" wrapText="1"/>
    </xf>
    <xf numFmtId="0" fontId="8" fillId="0" borderId="4" xfId="0" applyFont="1" applyFill="1" applyBorder="1" applyAlignment="1">
      <alignment horizontal="center" vertical="center" wrapText="1"/>
    </xf>
    <xf numFmtId="37" fontId="4" fillId="5" borderId="41" xfId="0" applyNumberFormat="1" applyFont="1" applyFill="1" applyBorder="1"/>
    <xf numFmtId="0" fontId="4" fillId="5" borderId="42" xfId="0" applyFont="1" applyFill="1" applyBorder="1"/>
    <xf numFmtId="37" fontId="4" fillId="5" borderId="26" xfId="0" applyNumberFormat="1" applyFont="1" applyFill="1" applyBorder="1"/>
    <xf numFmtId="0" fontId="4" fillId="5" borderId="27" xfId="0" applyFont="1" applyFill="1" applyBorder="1"/>
    <xf numFmtId="0" fontId="18" fillId="5" borderId="7" xfId="0" applyFont="1" applyFill="1" applyBorder="1" applyAlignment="1" applyProtection="1">
      <alignment wrapText="1"/>
    </xf>
    <xf numFmtId="0" fontId="18" fillId="5" borderId="0" xfId="0" applyFont="1" applyFill="1" applyBorder="1" applyAlignment="1" applyProtection="1">
      <alignment wrapText="1"/>
    </xf>
    <xf numFmtId="0" fontId="18" fillId="5" borderId="36" xfId="0" applyFont="1" applyFill="1" applyBorder="1" applyAlignment="1" applyProtection="1">
      <alignment wrapText="1"/>
    </xf>
    <xf numFmtId="0" fontId="0" fillId="0" borderId="4" xfId="0" applyFill="1" applyBorder="1" applyAlignment="1">
      <alignment horizontal="center"/>
    </xf>
    <xf numFmtId="37" fontId="8" fillId="5" borderId="38" xfId="0" applyNumberFormat="1" applyFont="1" applyFill="1" applyBorder="1" applyAlignment="1">
      <alignment horizontal="center"/>
    </xf>
    <xf numFmtId="37" fontId="8" fillId="5" borderId="39" xfId="0" applyNumberFormat="1" applyFont="1" applyFill="1" applyBorder="1" applyAlignment="1">
      <alignment horizontal="center"/>
    </xf>
    <xf numFmtId="37" fontId="8" fillId="5" borderId="4" xfId="0" applyNumberFormat="1" applyFont="1" applyFill="1" applyBorder="1" applyAlignment="1">
      <alignment horizontal="center"/>
    </xf>
    <xf numFmtId="164" fontId="8" fillId="0" borderId="26" xfId="1" applyNumberFormat="1" applyFont="1" applyFill="1" applyBorder="1" applyAlignment="1" applyProtection="1">
      <alignment horizontal="center"/>
    </xf>
    <xf numFmtId="164" fontId="8" fillId="0" borderId="27" xfId="1" applyNumberFormat="1" applyFont="1" applyFill="1" applyBorder="1" applyAlignment="1" applyProtection="1">
      <alignment horizontal="center"/>
    </xf>
    <xf numFmtId="0" fontId="4" fillId="0" borderId="38" xfId="0" applyFont="1" applyFill="1" applyBorder="1" applyAlignment="1" applyProtection="1">
      <alignment vertical="center"/>
    </xf>
    <xf numFmtId="0" fontId="4" fillId="0" borderId="39" xfId="0" applyFont="1" applyFill="1" applyBorder="1" applyAlignment="1" applyProtection="1">
      <alignment vertical="center"/>
    </xf>
    <xf numFmtId="0" fontId="4" fillId="0" borderId="4" xfId="0" applyFont="1" applyFill="1" applyBorder="1" applyAlignment="1" applyProtection="1">
      <alignment vertical="center"/>
    </xf>
    <xf numFmtId="3" fontId="16" fillId="5" borderId="0" xfId="0" applyNumberFormat="1" applyFont="1" applyFill="1" applyBorder="1" applyAlignment="1">
      <alignment horizontal="center" vertical="center"/>
    </xf>
    <xf numFmtId="0" fontId="16" fillId="5" borderId="29" xfId="0" applyFont="1" applyFill="1" applyBorder="1" applyAlignment="1">
      <alignment horizontal="center" vertical="center"/>
    </xf>
    <xf numFmtId="0" fontId="4" fillId="0" borderId="38" xfId="0" applyFont="1" applyFill="1" applyBorder="1" applyAlignment="1">
      <alignment vertical="center"/>
    </xf>
    <xf numFmtId="0" fontId="4" fillId="0" borderId="39" xfId="0" applyFont="1" applyFill="1" applyBorder="1" applyAlignment="1">
      <alignment vertical="center"/>
    </xf>
    <xf numFmtId="0" fontId="4" fillId="0" borderId="4" xfId="0" applyFont="1" applyFill="1" applyBorder="1" applyAlignment="1">
      <alignment vertical="center"/>
    </xf>
    <xf numFmtId="0" fontId="4" fillId="0" borderId="38"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8" fillId="5" borderId="26" xfId="0" applyFont="1" applyFill="1" applyBorder="1" applyAlignment="1" applyProtection="1">
      <alignment horizontal="right" vertical="center"/>
    </xf>
    <xf numFmtId="0" fontId="8" fillId="5" borderId="58" xfId="0" applyFont="1" applyFill="1" applyBorder="1" applyAlignment="1" applyProtection="1">
      <alignment horizontal="right" vertical="center"/>
    </xf>
    <xf numFmtId="0" fontId="8" fillId="5" borderId="27" xfId="0" applyFont="1" applyFill="1" applyBorder="1" applyAlignment="1" applyProtection="1">
      <alignment horizontal="right" vertical="center"/>
    </xf>
    <xf numFmtId="0" fontId="17" fillId="0" borderId="38" xfId="0" applyFont="1" applyFill="1" applyBorder="1" applyAlignment="1" applyProtection="1">
      <alignment horizontal="center"/>
    </xf>
    <xf numFmtId="0" fontId="17" fillId="0" borderId="39" xfId="0" applyFont="1" applyFill="1" applyBorder="1" applyAlignment="1" applyProtection="1">
      <alignment horizontal="center"/>
    </xf>
    <xf numFmtId="0" fontId="17" fillId="0" borderId="4" xfId="0" applyFont="1" applyFill="1" applyBorder="1" applyAlignment="1" applyProtection="1">
      <alignment horizontal="center"/>
    </xf>
    <xf numFmtId="0" fontId="4" fillId="0" borderId="38" xfId="0" applyFont="1" applyFill="1" applyBorder="1" applyAlignment="1">
      <alignment wrapText="1"/>
    </xf>
    <xf numFmtId="0" fontId="4" fillId="0" borderId="39" xfId="0" applyFont="1" applyFill="1" applyBorder="1" applyAlignment="1">
      <alignment wrapText="1"/>
    </xf>
    <xf numFmtId="0" fontId="4" fillId="0" borderId="26" xfId="0" applyFont="1" applyFill="1" applyBorder="1" applyAlignment="1">
      <alignment horizontal="center" vertical="center"/>
    </xf>
    <xf numFmtId="0" fontId="4" fillId="0" borderId="27" xfId="0" applyFont="1" applyFill="1" applyBorder="1" applyAlignment="1">
      <alignment horizontal="center" vertical="center"/>
    </xf>
    <xf numFmtId="0" fontId="8" fillId="4" borderId="26" xfId="0" applyFont="1" applyFill="1" applyBorder="1" applyAlignment="1" applyProtection="1">
      <alignment horizontal="right" vertical="center"/>
    </xf>
    <xf numFmtId="0" fontId="8" fillId="4" borderId="27" xfId="0" applyFont="1" applyFill="1" applyBorder="1" applyAlignment="1" applyProtection="1">
      <alignment horizontal="right" vertical="center"/>
    </xf>
    <xf numFmtId="10" fontId="16" fillId="4" borderId="58" xfId="0" applyNumberFormat="1" applyFont="1" applyFill="1" applyBorder="1" applyAlignment="1">
      <alignment horizontal="center" vertical="center"/>
    </xf>
    <xf numFmtId="0" fontId="16" fillId="4" borderId="27" xfId="0" applyFont="1" applyFill="1" applyBorder="1" applyAlignment="1">
      <alignment horizontal="center" vertical="center"/>
    </xf>
    <xf numFmtId="0" fontId="8" fillId="4" borderId="0" xfId="0" applyFont="1" applyFill="1" applyBorder="1" applyAlignment="1" applyProtection="1">
      <alignment horizontal="right" vertical="center"/>
    </xf>
    <xf numFmtId="0" fontId="4" fillId="5" borderId="24" xfId="0" applyFont="1" applyFill="1" applyBorder="1" applyAlignment="1">
      <alignment horizontal="center"/>
    </xf>
    <xf numFmtId="0" fontId="4" fillId="5" borderId="25" xfId="0" applyFont="1" applyFill="1" applyBorder="1" applyAlignment="1">
      <alignment horizontal="center"/>
    </xf>
    <xf numFmtId="0" fontId="4" fillId="5" borderId="26" xfId="0" applyFont="1" applyFill="1" applyBorder="1" applyAlignment="1">
      <alignment horizontal="center"/>
    </xf>
    <xf numFmtId="0" fontId="4" fillId="5" borderId="27" xfId="0" applyFont="1" applyFill="1" applyBorder="1" applyAlignment="1">
      <alignment horizontal="center"/>
    </xf>
    <xf numFmtId="0" fontId="8" fillId="0" borderId="51" xfId="0" applyFont="1" applyFill="1" applyBorder="1" applyAlignment="1">
      <alignment horizontal="center" vertical="center" wrapText="1"/>
    </xf>
    <xf numFmtId="0" fontId="8" fillId="0" borderId="52" xfId="0" applyFont="1" applyFill="1" applyBorder="1" applyAlignment="1">
      <alignment horizontal="center" vertical="center" wrapText="1"/>
    </xf>
    <xf numFmtId="0" fontId="22" fillId="11" borderId="46" xfId="0" applyFont="1" applyFill="1" applyBorder="1" applyAlignment="1">
      <alignment horizontal="center" vertical="center" wrapText="1"/>
    </xf>
    <xf numFmtId="0" fontId="22" fillId="11" borderId="40" xfId="0" applyFont="1" applyFill="1" applyBorder="1" applyAlignment="1">
      <alignment horizontal="center" vertical="center" wrapText="1"/>
    </xf>
    <xf numFmtId="0" fontId="22" fillId="11" borderId="38" xfId="0" applyFont="1" applyFill="1" applyBorder="1" applyAlignment="1">
      <alignment horizontal="center" vertical="center" wrapText="1"/>
    </xf>
    <xf numFmtId="0" fontId="22" fillId="11" borderId="39" xfId="0" applyFont="1" applyFill="1" applyBorder="1" applyAlignment="1">
      <alignment horizontal="center" vertical="center" wrapText="1"/>
    </xf>
    <xf numFmtId="0" fontId="22" fillId="11" borderId="4" xfId="0" applyFont="1" applyFill="1" applyBorder="1" applyAlignment="1">
      <alignment horizontal="center" vertical="center" wrapText="1"/>
    </xf>
    <xf numFmtId="10" fontId="23" fillId="20" borderId="38" xfId="0" applyNumberFormat="1" applyFont="1" applyFill="1" applyBorder="1" applyAlignment="1">
      <alignment horizontal="center" vertical="center" wrapText="1"/>
    </xf>
    <xf numFmtId="10" fontId="23" fillId="20" borderId="39" xfId="0" applyNumberFormat="1" applyFont="1" applyFill="1" applyBorder="1" applyAlignment="1">
      <alignment horizontal="center" vertical="center" wrapText="1"/>
    </xf>
    <xf numFmtId="10" fontId="23" fillId="20" borderId="4" xfId="0" applyNumberFormat="1" applyFont="1" applyFill="1" applyBorder="1" applyAlignment="1">
      <alignment horizontal="center" vertical="center" wrapText="1"/>
    </xf>
    <xf numFmtId="0" fontId="4" fillId="0" borderId="0" xfId="0" applyFont="1" applyAlignment="1">
      <alignment horizontal="left" wrapText="1"/>
    </xf>
    <xf numFmtId="0" fontId="27" fillId="0" borderId="46" xfId="0" applyFont="1" applyBorder="1" applyAlignment="1">
      <alignment vertical="center" wrapText="1"/>
    </xf>
    <xf numFmtId="0" fontId="27" fillId="0" borderId="50" xfId="0" applyFont="1" applyBorder="1" applyAlignment="1">
      <alignment vertical="center" wrapText="1"/>
    </xf>
    <xf numFmtId="0" fontId="27" fillId="0" borderId="40" xfId="0" applyFont="1" applyBorder="1" applyAlignment="1">
      <alignment vertical="center" wrapText="1"/>
    </xf>
    <xf numFmtId="0" fontId="4" fillId="0" borderId="48" xfId="0" applyFont="1" applyBorder="1" applyAlignment="1">
      <alignment horizontal="left"/>
    </xf>
    <xf numFmtId="0" fontId="4" fillId="0" borderId="49" xfId="0" applyFont="1" applyBorder="1" applyAlignment="1">
      <alignment horizontal="left"/>
    </xf>
    <xf numFmtId="0" fontId="4" fillId="0" borderId="45" xfId="0" applyFont="1" applyBorder="1" applyAlignment="1">
      <alignment horizontal="left"/>
    </xf>
    <xf numFmtId="0" fontId="21" fillId="11" borderId="46" xfId="0" applyFont="1" applyFill="1" applyBorder="1" applyAlignment="1">
      <alignment vertical="center" wrapText="1"/>
    </xf>
    <xf numFmtId="0" fontId="21" fillId="11" borderId="40" xfId="0" applyFont="1" applyFill="1" applyBorder="1" applyAlignment="1">
      <alignment vertical="center" wrapText="1"/>
    </xf>
    <xf numFmtId="0" fontId="22" fillId="11" borderId="38" xfId="0" applyFont="1" applyFill="1" applyBorder="1" applyAlignment="1">
      <alignment horizontal="center" vertical="center"/>
    </xf>
    <xf numFmtId="0" fontId="22" fillId="11" borderId="39" xfId="0" applyFont="1" applyFill="1" applyBorder="1" applyAlignment="1">
      <alignment horizontal="center" vertical="center"/>
    </xf>
    <xf numFmtId="0" fontId="22" fillId="11" borderId="4" xfId="0" applyFont="1" applyFill="1" applyBorder="1" applyAlignment="1">
      <alignment horizontal="center" vertical="center"/>
    </xf>
    <xf numFmtId="0" fontId="23" fillId="0" borderId="38" xfId="0" applyFont="1" applyBorder="1" applyAlignment="1">
      <alignment horizontal="center" vertical="center"/>
    </xf>
    <xf numFmtId="0" fontId="23" fillId="0" borderId="39" xfId="0" applyFont="1" applyBorder="1" applyAlignment="1">
      <alignment horizontal="center" vertical="center"/>
    </xf>
    <xf numFmtId="0" fontId="23" fillId="0" borderId="4" xfId="0" applyFont="1" applyBorder="1" applyAlignment="1">
      <alignment horizontal="center" vertical="center"/>
    </xf>
    <xf numFmtId="0" fontId="23" fillId="0" borderId="47" xfId="0" applyFont="1" applyBorder="1" applyAlignment="1">
      <alignment horizontal="center" vertical="center"/>
    </xf>
    <xf numFmtId="0" fontId="60" fillId="29" borderId="73" xfId="0" applyFont="1" applyFill="1" applyBorder="1" applyAlignment="1" applyProtection="1">
      <alignment horizontal="center" vertical="center"/>
      <protection hidden="1"/>
    </xf>
    <xf numFmtId="0" fontId="60" fillId="29" borderId="74" xfId="0" applyFont="1" applyFill="1" applyBorder="1" applyAlignment="1" applyProtection="1">
      <alignment horizontal="center" vertical="center"/>
      <protection hidden="1"/>
    </xf>
    <xf numFmtId="0" fontId="60" fillId="29" borderId="75" xfId="0" applyFont="1" applyFill="1" applyBorder="1" applyAlignment="1" applyProtection="1">
      <alignment horizontal="center" vertical="center"/>
      <protection hidden="1"/>
    </xf>
    <xf numFmtId="0" fontId="68" fillId="0" borderId="81" xfId="0" applyFont="1" applyFill="1" applyBorder="1" applyAlignment="1" applyProtection="1">
      <alignment horizontal="center" vertical="center"/>
      <protection hidden="1"/>
    </xf>
    <xf numFmtId="0" fontId="68" fillId="0" borderId="83" xfId="0" applyFont="1" applyFill="1" applyBorder="1" applyAlignment="1" applyProtection="1">
      <alignment horizontal="center" vertical="center"/>
      <protection hidden="1"/>
    </xf>
    <xf numFmtId="0" fontId="33" fillId="15" borderId="1" xfId="4" applyFont="1" applyFill="1" applyBorder="1" applyAlignment="1">
      <alignment horizontal="center" wrapText="1"/>
    </xf>
    <xf numFmtId="0" fontId="15" fillId="15" borderId="1" xfId="4" applyFont="1" applyFill="1" applyBorder="1" applyAlignment="1">
      <alignment horizontal="center" wrapText="1"/>
    </xf>
    <xf numFmtId="0" fontId="15" fillId="15" borderId="2" xfId="4" applyFont="1" applyFill="1" applyBorder="1" applyAlignment="1">
      <alignment horizontal="center" wrapText="1"/>
    </xf>
    <xf numFmtId="164" fontId="37" fillId="0" borderId="1" xfId="1" applyFont="1" applyBorder="1" applyAlignment="1">
      <alignment horizontal="center"/>
    </xf>
    <xf numFmtId="164" fontId="35" fillId="6" borderId="2" xfId="1" applyFont="1" applyFill="1" applyBorder="1" applyAlignment="1">
      <alignment horizontal="center" wrapText="1"/>
    </xf>
    <xf numFmtId="164" fontId="35" fillId="6" borderId="30" xfId="1" applyFont="1" applyFill="1" applyBorder="1" applyAlignment="1">
      <alignment horizontal="center" wrapText="1"/>
    </xf>
    <xf numFmtId="0" fontId="33" fillId="0" borderId="1" xfId="4" applyFont="1" applyFill="1" applyBorder="1" applyAlignment="1">
      <alignment horizontal="center" wrapText="1"/>
    </xf>
    <xf numFmtId="0" fontId="15" fillId="0" borderId="1" xfId="4" applyFont="1" applyFill="1" applyBorder="1" applyAlignment="1">
      <alignment horizontal="center" wrapText="1"/>
    </xf>
    <xf numFmtId="0" fontId="32" fillId="0" borderId="1" xfId="0" applyFont="1" applyFill="1" applyBorder="1" applyAlignment="1"/>
    <xf numFmtId="0" fontId="32" fillId="0" borderId="6" xfId="0" applyFont="1" applyFill="1" applyBorder="1" applyAlignment="1">
      <alignment horizontal="center"/>
    </xf>
    <xf numFmtId="0" fontId="34" fillId="0" borderId="6" xfId="0" applyFont="1" applyFill="1" applyBorder="1" applyAlignment="1">
      <alignment horizontal="center"/>
    </xf>
    <xf numFmtId="0" fontId="33" fillId="0" borderId="2" xfId="4" applyFont="1" applyFill="1" applyBorder="1" applyAlignment="1">
      <alignment horizontal="center" wrapText="1"/>
    </xf>
    <xf numFmtId="0" fontId="15" fillId="0" borderId="30" xfId="4" applyFont="1" applyFill="1" applyBorder="1" applyAlignment="1">
      <alignment horizontal="center" wrapText="1"/>
    </xf>
    <xf numFmtId="0" fontId="32" fillId="0" borderId="30" xfId="0" applyFont="1" applyFill="1" applyBorder="1" applyAlignment="1"/>
    <xf numFmtId="0" fontId="32" fillId="0" borderId="3" xfId="0" applyFont="1" applyFill="1" applyBorder="1" applyAlignment="1"/>
    <xf numFmtId="0" fontId="33" fillId="0" borderId="1" xfId="0" applyFont="1" applyFill="1" applyBorder="1" applyAlignment="1">
      <alignment horizontal="center" wrapText="1"/>
    </xf>
    <xf numFmtId="0" fontId="15" fillId="0" borderId="1" xfId="0" applyFont="1" applyFill="1" applyBorder="1" applyAlignment="1">
      <alignment horizontal="center" wrapText="1"/>
    </xf>
    <xf numFmtId="0" fontId="0" fillId="0" borderId="1" xfId="0" applyFill="1" applyBorder="1" applyAlignment="1"/>
    <xf numFmtId="0" fontId="32" fillId="0" borderId="48" xfId="0" applyFont="1" applyFill="1" applyBorder="1" applyAlignment="1"/>
    <xf numFmtId="0" fontId="9" fillId="15" borderId="1" xfId="0" applyFont="1" applyFill="1" applyBorder="1" applyAlignment="1">
      <alignment horizontal="center" vertical="center" wrapText="1"/>
    </xf>
    <xf numFmtId="0" fontId="9" fillId="15" borderId="2" xfId="0" applyFont="1" applyFill="1" applyBorder="1" applyAlignment="1">
      <alignment horizontal="center" vertical="center" wrapText="1"/>
    </xf>
    <xf numFmtId="0" fontId="9" fillId="15" borderId="30" xfId="0" applyFont="1" applyFill="1" applyBorder="1" applyAlignment="1">
      <alignment horizontal="center" vertical="center" wrapText="1"/>
    </xf>
    <xf numFmtId="0" fontId="9" fillId="15" borderId="3" xfId="0" applyFont="1" applyFill="1" applyBorder="1" applyAlignment="1">
      <alignment horizontal="center" vertical="center" wrapText="1"/>
    </xf>
    <xf numFmtId="0" fontId="33" fillId="0" borderId="2" xfId="0" applyFont="1" applyFill="1" applyBorder="1" applyAlignment="1">
      <alignment horizontal="center" wrapText="1"/>
    </xf>
    <xf numFmtId="0" fontId="15" fillId="0" borderId="30" xfId="0" applyFont="1" applyFill="1" applyBorder="1" applyAlignment="1">
      <alignment horizontal="center" wrapText="1"/>
    </xf>
    <xf numFmtId="0" fontId="0" fillId="0" borderId="30" xfId="0" applyFill="1" applyBorder="1" applyAlignment="1"/>
    <xf numFmtId="0" fontId="0" fillId="0" borderId="3" xfId="0" applyFill="1" applyBorder="1" applyAlignment="1"/>
    <xf numFmtId="164" fontId="35" fillId="0" borderId="2" xfId="1" applyFont="1" applyFill="1" applyBorder="1" applyAlignment="1">
      <alignment horizontal="center" wrapText="1"/>
    </xf>
    <xf numFmtId="164" fontId="35" fillId="0" borderId="30" xfId="1" applyFont="1" applyFill="1" applyBorder="1" applyAlignment="1">
      <alignment horizontal="center" wrapText="1"/>
    </xf>
    <xf numFmtId="164" fontId="35" fillId="0" borderId="3" xfId="1" applyFont="1" applyFill="1" applyBorder="1" applyAlignment="1">
      <alignment horizontal="center" wrapText="1"/>
    </xf>
    <xf numFmtId="164" fontId="37" fillId="0" borderId="1" xfId="1" applyFont="1" applyFill="1" applyBorder="1" applyAlignment="1">
      <alignment horizontal="center"/>
    </xf>
    <xf numFmtId="164" fontId="35" fillId="0" borderId="2" xfId="1" applyFont="1" applyFill="1" applyBorder="1" applyAlignment="1">
      <alignment horizontal="left" wrapText="1"/>
    </xf>
    <xf numFmtId="164" fontId="35" fillId="0" borderId="30" xfId="1" applyFont="1" applyFill="1" applyBorder="1" applyAlignment="1">
      <alignment horizontal="left" wrapText="1"/>
    </xf>
    <xf numFmtId="164" fontId="35" fillId="0" borderId="3" xfId="1" applyFont="1" applyFill="1" applyBorder="1" applyAlignment="1">
      <alignment horizontal="left" wrapText="1"/>
    </xf>
    <xf numFmtId="0" fontId="35" fillId="0" borderId="2" xfId="0" applyFont="1" applyFill="1" applyBorder="1" applyAlignment="1">
      <alignment horizontal="center" wrapText="1"/>
    </xf>
    <xf numFmtId="0" fontId="35" fillId="0" borderId="30" xfId="0" applyFont="1" applyFill="1" applyBorder="1" applyAlignment="1">
      <alignment horizontal="center" wrapText="1"/>
    </xf>
    <xf numFmtId="0" fontId="37" fillId="0" borderId="1" xfId="0" applyFont="1" applyFill="1" applyBorder="1" applyAlignment="1">
      <alignment horizontal="center"/>
    </xf>
    <xf numFmtId="164" fontId="35" fillId="0" borderId="2" xfId="1" applyFont="1" applyFill="1" applyBorder="1" applyAlignment="1">
      <alignment horizontal="center" vertical="top" wrapText="1"/>
    </xf>
    <xf numFmtId="164" fontId="35" fillId="0" borderId="30" xfId="1" applyFont="1" applyFill="1" applyBorder="1" applyAlignment="1">
      <alignment horizontal="center" vertical="top" wrapText="1"/>
    </xf>
    <xf numFmtId="164" fontId="35" fillId="0" borderId="3" xfId="1" applyFont="1" applyFill="1" applyBorder="1" applyAlignment="1">
      <alignment horizontal="center" vertical="top" wrapText="1"/>
    </xf>
  </cellXfs>
  <cellStyles count="10">
    <cellStyle name="Comma" xfId="1" builtinId="3"/>
    <cellStyle name="Comma 2" xfId="2"/>
    <cellStyle name="Comma 3" xfId="5"/>
    <cellStyle name="Comma 4" xfId="8"/>
    <cellStyle name="Normal" xfId="0" builtinId="0"/>
    <cellStyle name="Normal 2" xfId="3"/>
    <cellStyle name="Normal 2 2" xfId="4"/>
    <cellStyle name="Normal 3" xfId="6"/>
    <cellStyle name="Normal 4" xfId="7"/>
    <cellStyle name="Percent" xfId="9" builtinId="5"/>
  </cellStyles>
  <dxfs count="17">
    <dxf>
      <font>
        <color theme="0"/>
      </font>
      <fill>
        <patternFill>
          <fgColor theme="0"/>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ill>
        <patternFill>
          <bgColor rgb="FFFF000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ill>
        <patternFill>
          <bgColor rgb="FFFF0000"/>
        </patternFill>
      </fill>
    </dxf>
    <dxf>
      <font>
        <color theme="0"/>
      </font>
      <fill>
        <patternFill>
          <bgColor theme="0"/>
        </patternFill>
      </fill>
    </dxf>
    <dxf>
      <font>
        <color theme="0"/>
      </font>
      <fill>
        <patternFill>
          <bgColor theme="0"/>
        </patternFill>
      </fill>
    </dxf>
  </dxfs>
  <tableStyles count="0" defaultTableStyle="TableStyleMedium9" defaultPivotStyle="PivotStyleLight16"/>
  <colors>
    <mruColors>
      <color rgb="FFFF7119"/>
      <color rgb="FFFF5B19"/>
      <color rgb="FFFF7B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12</xdr:col>
      <xdr:colOff>864970</xdr:colOff>
      <xdr:row>4</xdr:row>
      <xdr:rowOff>0</xdr:rowOff>
    </xdr:from>
    <xdr:to>
      <xdr:col>14</xdr:col>
      <xdr:colOff>4469</xdr:colOff>
      <xdr:row>8</xdr:row>
      <xdr:rowOff>63045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69078" y="854676"/>
          <a:ext cx="2414040" cy="12163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590550</xdr:colOff>
      <xdr:row>5</xdr:row>
      <xdr:rowOff>552450</xdr:rowOff>
    </xdr:from>
    <xdr:to>
      <xdr:col>1</xdr:col>
      <xdr:colOff>636269</xdr:colOff>
      <xdr:row>6</xdr:row>
      <xdr:rowOff>6350</xdr:rowOff>
    </xdr:to>
    <xdr:sp macro="" textlink="">
      <xdr:nvSpPr>
        <xdr:cNvPr id="2" name="Down Arrow 1"/>
        <xdr:cNvSpPr/>
      </xdr:nvSpPr>
      <xdr:spPr>
        <a:xfrm>
          <a:off x="742950" y="2057400"/>
          <a:ext cx="45719" cy="196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5</xdr:row>
      <xdr:rowOff>135256</xdr:rowOff>
    </xdr:from>
    <xdr:to>
      <xdr:col>1</xdr:col>
      <xdr:colOff>2244725</xdr:colOff>
      <xdr:row>5</xdr:row>
      <xdr:rowOff>180975</xdr:rowOff>
    </xdr:to>
    <xdr:sp macro="" textlink="">
      <xdr:nvSpPr>
        <xdr:cNvPr id="3" name="Right Arrow 2"/>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590550</xdr:colOff>
      <xdr:row>5</xdr:row>
      <xdr:rowOff>552450</xdr:rowOff>
    </xdr:from>
    <xdr:to>
      <xdr:col>22</xdr:col>
      <xdr:colOff>636269</xdr:colOff>
      <xdr:row>6</xdr:row>
      <xdr:rowOff>6350</xdr:rowOff>
    </xdr:to>
    <xdr:sp macro="" textlink="">
      <xdr:nvSpPr>
        <xdr:cNvPr id="4" name="Down Arrow 3"/>
        <xdr:cNvSpPr/>
      </xdr:nvSpPr>
      <xdr:spPr>
        <a:xfrm>
          <a:off x="740229" y="2049236"/>
          <a:ext cx="45719" cy="20229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1968500</xdr:colOff>
      <xdr:row>5</xdr:row>
      <xdr:rowOff>135256</xdr:rowOff>
    </xdr:from>
    <xdr:to>
      <xdr:col>22</xdr:col>
      <xdr:colOff>2244725</xdr:colOff>
      <xdr:row>5</xdr:row>
      <xdr:rowOff>180975</xdr:rowOff>
    </xdr:to>
    <xdr:sp macro="" textlink="">
      <xdr:nvSpPr>
        <xdr:cNvPr id="5" name="Right Arrow 4"/>
        <xdr:cNvSpPr/>
      </xdr:nvSpPr>
      <xdr:spPr>
        <a:xfrm>
          <a:off x="2118179" y="1632042"/>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590550</xdr:colOff>
      <xdr:row>5</xdr:row>
      <xdr:rowOff>552450</xdr:rowOff>
    </xdr:from>
    <xdr:to>
      <xdr:col>43</xdr:col>
      <xdr:colOff>636269</xdr:colOff>
      <xdr:row>6</xdr:row>
      <xdr:rowOff>6350</xdr:rowOff>
    </xdr:to>
    <xdr:sp macro="" textlink="">
      <xdr:nvSpPr>
        <xdr:cNvPr id="6" name="Down Arrow 5"/>
        <xdr:cNvSpPr/>
      </xdr:nvSpPr>
      <xdr:spPr>
        <a:xfrm>
          <a:off x="20837979" y="2049236"/>
          <a:ext cx="45719" cy="99150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1968500</xdr:colOff>
      <xdr:row>5</xdr:row>
      <xdr:rowOff>135256</xdr:rowOff>
    </xdr:from>
    <xdr:to>
      <xdr:col>43</xdr:col>
      <xdr:colOff>2244725</xdr:colOff>
      <xdr:row>5</xdr:row>
      <xdr:rowOff>180975</xdr:rowOff>
    </xdr:to>
    <xdr:sp macro="" textlink="">
      <xdr:nvSpPr>
        <xdr:cNvPr id="7" name="Right Arrow 6"/>
        <xdr:cNvSpPr/>
      </xdr:nvSpPr>
      <xdr:spPr>
        <a:xfrm>
          <a:off x="21015779" y="1632042"/>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5</xdr:row>
      <xdr:rowOff>552450</xdr:rowOff>
    </xdr:from>
    <xdr:to>
      <xdr:col>1</xdr:col>
      <xdr:colOff>636269</xdr:colOff>
      <xdr:row>6</xdr:row>
      <xdr:rowOff>6350</xdr:rowOff>
    </xdr:to>
    <xdr:sp macro="" textlink="">
      <xdr:nvSpPr>
        <xdr:cNvPr id="8" name="Down Arrow 7"/>
        <xdr:cNvSpPr/>
      </xdr:nvSpPr>
      <xdr:spPr>
        <a:xfrm>
          <a:off x="742950" y="2057400"/>
          <a:ext cx="45719" cy="987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5</xdr:row>
      <xdr:rowOff>135256</xdr:rowOff>
    </xdr:from>
    <xdr:to>
      <xdr:col>1</xdr:col>
      <xdr:colOff>2244725</xdr:colOff>
      <xdr:row>5</xdr:row>
      <xdr:rowOff>180975</xdr:rowOff>
    </xdr:to>
    <xdr:sp macro="" textlink="">
      <xdr:nvSpPr>
        <xdr:cNvPr id="9" name="Right Arrow 8"/>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590550</xdr:colOff>
      <xdr:row>5</xdr:row>
      <xdr:rowOff>552450</xdr:rowOff>
    </xdr:from>
    <xdr:to>
      <xdr:col>22</xdr:col>
      <xdr:colOff>636269</xdr:colOff>
      <xdr:row>6</xdr:row>
      <xdr:rowOff>6350</xdr:rowOff>
    </xdr:to>
    <xdr:sp macro="" textlink="">
      <xdr:nvSpPr>
        <xdr:cNvPr id="10" name="Down Arrow 9"/>
        <xdr:cNvSpPr/>
      </xdr:nvSpPr>
      <xdr:spPr>
        <a:xfrm>
          <a:off x="20897850" y="2057400"/>
          <a:ext cx="45719" cy="987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1968500</xdr:colOff>
      <xdr:row>5</xdr:row>
      <xdr:rowOff>135256</xdr:rowOff>
    </xdr:from>
    <xdr:to>
      <xdr:col>22</xdr:col>
      <xdr:colOff>2244725</xdr:colOff>
      <xdr:row>5</xdr:row>
      <xdr:rowOff>180975</xdr:rowOff>
    </xdr:to>
    <xdr:sp macro="" textlink="">
      <xdr:nvSpPr>
        <xdr:cNvPr id="11" name="Right Arrow 10"/>
        <xdr:cNvSpPr/>
      </xdr:nvSpPr>
      <xdr:spPr>
        <a:xfrm>
          <a:off x="21075650" y="16402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590550</xdr:colOff>
      <xdr:row>5</xdr:row>
      <xdr:rowOff>552450</xdr:rowOff>
    </xdr:from>
    <xdr:to>
      <xdr:col>43</xdr:col>
      <xdr:colOff>636269</xdr:colOff>
      <xdr:row>6</xdr:row>
      <xdr:rowOff>6350</xdr:rowOff>
    </xdr:to>
    <xdr:sp macro="" textlink="">
      <xdr:nvSpPr>
        <xdr:cNvPr id="12" name="Down Arrow 11"/>
        <xdr:cNvSpPr/>
      </xdr:nvSpPr>
      <xdr:spPr>
        <a:xfrm>
          <a:off x="38233350" y="2057400"/>
          <a:ext cx="0" cy="987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1968500</xdr:colOff>
      <xdr:row>5</xdr:row>
      <xdr:rowOff>135256</xdr:rowOff>
    </xdr:from>
    <xdr:to>
      <xdr:col>43</xdr:col>
      <xdr:colOff>2244725</xdr:colOff>
      <xdr:row>5</xdr:row>
      <xdr:rowOff>180975</xdr:rowOff>
    </xdr:to>
    <xdr:sp macro="" textlink="">
      <xdr:nvSpPr>
        <xdr:cNvPr id="13" name="Right Arrow 12"/>
        <xdr:cNvSpPr/>
      </xdr:nvSpPr>
      <xdr:spPr>
        <a:xfrm>
          <a:off x="38230175" y="16402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5</xdr:row>
      <xdr:rowOff>552450</xdr:rowOff>
    </xdr:from>
    <xdr:to>
      <xdr:col>1</xdr:col>
      <xdr:colOff>636269</xdr:colOff>
      <xdr:row>6</xdr:row>
      <xdr:rowOff>6350</xdr:rowOff>
    </xdr:to>
    <xdr:sp macro="" textlink="">
      <xdr:nvSpPr>
        <xdr:cNvPr id="14" name="Down Arrow 13"/>
        <xdr:cNvSpPr/>
      </xdr:nvSpPr>
      <xdr:spPr>
        <a:xfrm>
          <a:off x="749300" y="2070100"/>
          <a:ext cx="45719" cy="984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590550</xdr:colOff>
      <xdr:row>5</xdr:row>
      <xdr:rowOff>552450</xdr:rowOff>
    </xdr:from>
    <xdr:to>
      <xdr:col>22</xdr:col>
      <xdr:colOff>636269</xdr:colOff>
      <xdr:row>6</xdr:row>
      <xdr:rowOff>6350</xdr:rowOff>
    </xdr:to>
    <xdr:sp macro="" textlink="">
      <xdr:nvSpPr>
        <xdr:cNvPr id="15" name="Down Arrow 14"/>
        <xdr:cNvSpPr/>
      </xdr:nvSpPr>
      <xdr:spPr>
        <a:xfrm>
          <a:off x="21882100" y="2070100"/>
          <a:ext cx="45719" cy="984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590550</xdr:colOff>
      <xdr:row>5</xdr:row>
      <xdr:rowOff>552450</xdr:rowOff>
    </xdr:from>
    <xdr:to>
      <xdr:col>43</xdr:col>
      <xdr:colOff>636269</xdr:colOff>
      <xdr:row>6</xdr:row>
      <xdr:rowOff>6350</xdr:rowOff>
    </xdr:to>
    <xdr:sp macro="" textlink="">
      <xdr:nvSpPr>
        <xdr:cNvPr id="16" name="Down Arrow 15"/>
        <xdr:cNvSpPr/>
      </xdr:nvSpPr>
      <xdr:spPr>
        <a:xfrm>
          <a:off x="40087550" y="2070100"/>
          <a:ext cx="1269" cy="984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5</xdr:row>
      <xdr:rowOff>552450</xdr:rowOff>
    </xdr:from>
    <xdr:to>
      <xdr:col>1</xdr:col>
      <xdr:colOff>636269</xdr:colOff>
      <xdr:row>6</xdr:row>
      <xdr:rowOff>6350</xdr:rowOff>
    </xdr:to>
    <xdr:sp macro="" textlink="">
      <xdr:nvSpPr>
        <xdr:cNvPr id="17" name="Down Arrow 16"/>
        <xdr:cNvSpPr/>
      </xdr:nvSpPr>
      <xdr:spPr>
        <a:xfrm>
          <a:off x="749300" y="2070100"/>
          <a:ext cx="45719" cy="984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5</xdr:row>
      <xdr:rowOff>135256</xdr:rowOff>
    </xdr:from>
    <xdr:to>
      <xdr:col>1</xdr:col>
      <xdr:colOff>2244725</xdr:colOff>
      <xdr:row>5</xdr:row>
      <xdr:rowOff>180975</xdr:rowOff>
    </xdr:to>
    <xdr:sp macro="" textlink="">
      <xdr:nvSpPr>
        <xdr:cNvPr id="18" name="Right Arrow 17"/>
        <xdr:cNvSpPr/>
      </xdr:nvSpPr>
      <xdr:spPr>
        <a:xfrm>
          <a:off x="2127250" y="16529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590550</xdr:colOff>
      <xdr:row>5</xdr:row>
      <xdr:rowOff>552450</xdr:rowOff>
    </xdr:from>
    <xdr:to>
      <xdr:col>22</xdr:col>
      <xdr:colOff>636269</xdr:colOff>
      <xdr:row>6</xdr:row>
      <xdr:rowOff>6350</xdr:rowOff>
    </xdr:to>
    <xdr:sp macro="" textlink="">
      <xdr:nvSpPr>
        <xdr:cNvPr id="19" name="Down Arrow 18"/>
        <xdr:cNvSpPr/>
      </xdr:nvSpPr>
      <xdr:spPr>
        <a:xfrm>
          <a:off x="21882100" y="2070100"/>
          <a:ext cx="45719" cy="984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1968500</xdr:colOff>
      <xdr:row>5</xdr:row>
      <xdr:rowOff>135256</xdr:rowOff>
    </xdr:from>
    <xdr:to>
      <xdr:col>22</xdr:col>
      <xdr:colOff>2244725</xdr:colOff>
      <xdr:row>5</xdr:row>
      <xdr:rowOff>180975</xdr:rowOff>
    </xdr:to>
    <xdr:sp macro="" textlink="">
      <xdr:nvSpPr>
        <xdr:cNvPr id="20" name="Right Arrow 19"/>
        <xdr:cNvSpPr/>
      </xdr:nvSpPr>
      <xdr:spPr>
        <a:xfrm>
          <a:off x="22098000" y="1652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590550</xdr:colOff>
      <xdr:row>5</xdr:row>
      <xdr:rowOff>552450</xdr:rowOff>
    </xdr:from>
    <xdr:to>
      <xdr:col>43</xdr:col>
      <xdr:colOff>636269</xdr:colOff>
      <xdr:row>6</xdr:row>
      <xdr:rowOff>6350</xdr:rowOff>
    </xdr:to>
    <xdr:sp macro="" textlink="">
      <xdr:nvSpPr>
        <xdr:cNvPr id="21" name="Down Arrow 20"/>
        <xdr:cNvSpPr/>
      </xdr:nvSpPr>
      <xdr:spPr>
        <a:xfrm>
          <a:off x="40087550" y="2070100"/>
          <a:ext cx="1269" cy="984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1968500</xdr:colOff>
      <xdr:row>5</xdr:row>
      <xdr:rowOff>135256</xdr:rowOff>
    </xdr:from>
    <xdr:to>
      <xdr:col>43</xdr:col>
      <xdr:colOff>2244725</xdr:colOff>
      <xdr:row>5</xdr:row>
      <xdr:rowOff>180975</xdr:rowOff>
    </xdr:to>
    <xdr:sp macro="" textlink="">
      <xdr:nvSpPr>
        <xdr:cNvPr id="22" name="Right Arrow 21"/>
        <xdr:cNvSpPr/>
      </xdr:nvSpPr>
      <xdr:spPr>
        <a:xfrm>
          <a:off x="40087550" y="1652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xdr:colOff>
      <xdr:row>155</xdr:row>
      <xdr:rowOff>104775</xdr:rowOff>
    </xdr:from>
    <xdr:ext cx="5286376" cy="2886075"/>
    <xdr:pic>
      <xdr:nvPicPr>
        <xdr:cNvPr id="3" name="Picture 2"/>
        <xdr:cNvPicPr>
          <a:picLocks noChangeAspect="1"/>
        </xdr:cNvPicPr>
      </xdr:nvPicPr>
      <xdr:blipFill rotWithShape="1">
        <a:blip xmlns:r="http://schemas.openxmlformats.org/officeDocument/2006/relationships" r:embed="rId1"/>
        <a:srcRect l="29944" t="32556" r="29421" b="27986"/>
        <a:stretch/>
      </xdr:blipFill>
      <xdr:spPr>
        <a:xfrm>
          <a:off x="771525" y="26679525"/>
          <a:ext cx="5286376" cy="2886075"/>
        </a:xfrm>
        <a:prstGeom prst="rect">
          <a:avLst/>
        </a:prstGeom>
        <a:ln w="6350">
          <a:solidFill>
            <a:schemeClr val="tx1"/>
          </a:solidFill>
        </a:ln>
      </xdr:spPr>
    </xdr:pic>
    <xdr:clientData/>
  </xdr:oneCellAnchor>
  <xdr:twoCellAnchor>
    <xdr:from>
      <xdr:col>0</xdr:col>
      <xdr:colOff>0</xdr:colOff>
      <xdr:row>0</xdr:row>
      <xdr:rowOff>19049</xdr:rowOff>
    </xdr:from>
    <xdr:to>
      <xdr:col>9</xdr:col>
      <xdr:colOff>0</xdr:colOff>
      <xdr:row>1</xdr:row>
      <xdr:rowOff>0</xdr:rowOff>
    </xdr:to>
    <xdr:sp macro="" textlink="">
      <xdr:nvSpPr>
        <xdr:cNvPr id="4" name="TextBox 3"/>
        <xdr:cNvSpPr txBox="1"/>
      </xdr:nvSpPr>
      <xdr:spPr>
        <a:xfrm>
          <a:off x="0" y="19049"/>
          <a:ext cx="9429750" cy="933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N" sz="2400" u="sng">
              <a:solidFill>
                <a:schemeClr val="tx2">
                  <a:lumMod val="60000"/>
                  <a:lumOff val="40000"/>
                </a:schemeClr>
              </a:solidFill>
            </a:rPr>
            <a:t>Bajaj Allianz Life Guaranteed Pension Goal</a:t>
          </a:r>
        </a:p>
        <a:p>
          <a:pPr algn="ctr"/>
          <a:r>
            <a:rPr lang="en-IN" sz="1100">
              <a:solidFill>
                <a:schemeClr val="tx2">
                  <a:lumMod val="60000"/>
                  <a:lumOff val="40000"/>
                </a:schemeClr>
              </a:solidFill>
            </a:rPr>
            <a:t>A Non-Linked, Non- Participating,  Annuity  Plan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174763</xdr:colOff>
      <xdr:row>1</xdr:row>
      <xdr:rowOff>18636</xdr:rowOff>
    </xdr:from>
    <xdr:to>
      <xdr:col>15</xdr:col>
      <xdr:colOff>980814</xdr:colOff>
      <xdr:row>3</xdr:row>
      <xdr:rowOff>146188</xdr:rowOff>
    </xdr:to>
    <xdr:pic>
      <xdr:nvPicPr>
        <xdr:cNvPr id="5" name="Picture 4" descr="Present Value of an Annuit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79306" y="184288"/>
          <a:ext cx="2189247" cy="458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132228</xdr:colOff>
      <xdr:row>6</xdr:row>
      <xdr:rowOff>141194</xdr:rowOff>
    </xdr:from>
    <xdr:to>
      <xdr:col>18</xdr:col>
      <xdr:colOff>132947</xdr:colOff>
      <xdr:row>12</xdr:row>
      <xdr:rowOff>148290</xdr:rowOff>
    </xdr:to>
    <xdr:pic>
      <xdr:nvPicPr>
        <xdr:cNvPr id="2" name="Picture 1"/>
        <xdr:cNvPicPr>
          <a:picLocks noChangeAspect="1"/>
        </xdr:cNvPicPr>
      </xdr:nvPicPr>
      <xdr:blipFill>
        <a:blip xmlns:r="http://schemas.openxmlformats.org/officeDocument/2006/relationships" r:embed="rId1"/>
        <a:stretch>
          <a:fillRect/>
        </a:stretch>
      </xdr:blipFill>
      <xdr:spPr>
        <a:xfrm>
          <a:off x="1357404" y="1112370"/>
          <a:ext cx="9189542" cy="1172508"/>
        </a:xfrm>
        <a:prstGeom prst="rect">
          <a:avLst/>
        </a:prstGeom>
        <a:ln>
          <a:solidFill>
            <a:schemeClr val="bg1">
              <a:lumMod val="75000"/>
            </a:schemeClr>
          </a:solidFill>
        </a:ln>
      </xdr:spPr>
    </xdr:pic>
    <xdr:clientData/>
  </xdr:twoCellAnchor>
  <xdr:twoCellAnchor editAs="oneCell">
    <xdr:from>
      <xdr:col>3</xdr:col>
      <xdr:colOff>129693</xdr:colOff>
      <xdr:row>16</xdr:row>
      <xdr:rowOff>0</xdr:rowOff>
    </xdr:from>
    <xdr:to>
      <xdr:col>21</xdr:col>
      <xdr:colOff>14942</xdr:colOff>
      <xdr:row>22</xdr:row>
      <xdr:rowOff>193334</xdr:rowOff>
    </xdr:to>
    <xdr:pic>
      <xdr:nvPicPr>
        <xdr:cNvPr id="4" name="Picture 3"/>
        <xdr:cNvPicPr>
          <a:picLocks noChangeAspect="1"/>
        </xdr:cNvPicPr>
      </xdr:nvPicPr>
      <xdr:blipFill rotWithShape="1">
        <a:blip xmlns:r="http://schemas.openxmlformats.org/officeDocument/2006/relationships" r:embed="rId2"/>
        <a:srcRect t="7876" r="5631" b="71234"/>
        <a:stretch/>
      </xdr:blipFill>
      <xdr:spPr>
        <a:xfrm>
          <a:off x="1354869" y="3175000"/>
          <a:ext cx="10911837" cy="1358746"/>
        </a:xfrm>
        <a:prstGeom prst="rect">
          <a:avLst/>
        </a:prstGeom>
        <a:ln>
          <a:solidFill>
            <a:schemeClr val="bg1">
              <a:lumMod val="75000"/>
            </a:schemeClr>
          </a:solidFill>
        </a:ln>
      </xdr:spPr>
    </xdr:pic>
    <xdr:clientData/>
  </xdr:twoCellAnchor>
  <xdr:twoCellAnchor editAs="oneCell">
    <xdr:from>
      <xdr:col>3</xdr:col>
      <xdr:colOff>52291</xdr:colOff>
      <xdr:row>26</xdr:row>
      <xdr:rowOff>52293</xdr:rowOff>
    </xdr:from>
    <xdr:to>
      <xdr:col>6</xdr:col>
      <xdr:colOff>512882</xdr:colOff>
      <xdr:row>34</xdr:row>
      <xdr:rowOff>126999</xdr:rowOff>
    </xdr:to>
    <xdr:pic>
      <xdr:nvPicPr>
        <xdr:cNvPr id="6" name="Picture 5"/>
        <xdr:cNvPicPr>
          <a:picLocks noChangeAspect="1"/>
        </xdr:cNvPicPr>
      </xdr:nvPicPr>
      <xdr:blipFill>
        <a:blip xmlns:r="http://schemas.openxmlformats.org/officeDocument/2006/relationships" r:embed="rId3"/>
        <a:stretch>
          <a:fillRect/>
        </a:stretch>
      </xdr:blipFill>
      <xdr:spPr>
        <a:xfrm>
          <a:off x="1456762" y="5206999"/>
          <a:ext cx="2298355" cy="1628589"/>
        </a:xfrm>
        <a:prstGeom prst="rect">
          <a:avLst/>
        </a:prstGeom>
      </xdr:spPr>
    </xdr:pic>
    <xdr:clientData/>
  </xdr:twoCellAnchor>
  <xdr:twoCellAnchor editAs="oneCell">
    <xdr:from>
      <xdr:col>3</xdr:col>
      <xdr:colOff>44822</xdr:colOff>
      <xdr:row>52</xdr:row>
      <xdr:rowOff>149413</xdr:rowOff>
    </xdr:from>
    <xdr:to>
      <xdr:col>7</xdr:col>
      <xdr:colOff>103310</xdr:colOff>
      <xdr:row>60</xdr:row>
      <xdr:rowOff>156883</xdr:rowOff>
    </xdr:to>
    <xdr:pic>
      <xdr:nvPicPr>
        <xdr:cNvPr id="7" name="Picture 6"/>
        <xdr:cNvPicPr>
          <a:picLocks noChangeAspect="1"/>
        </xdr:cNvPicPr>
      </xdr:nvPicPr>
      <xdr:blipFill>
        <a:blip xmlns:r="http://schemas.openxmlformats.org/officeDocument/2006/relationships" r:embed="rId4"/>
        <a:stretch>
          <a:fillRect/>
        </a:stretch>
      </xdr:blipFill>
      <xdr:spPr>
        <a:xfrm>
          <a:off x="1269998" y="9726707"/>
          <a:ext cx="2508841" cy="1561353"/>
        </a:xfrm>
        <a:prstGeom prst="rect">
          <a:avLst/>
        </a:prstGeom>
        <a:ln>
          <a:solidFill>
            <a:schemeClr val="bg1">
              <a:lumMod val="75000"/>
            </a:schemeClr>
          </a:solidFill>
        </a:ln>
      </xdr:spPr>
    </xdr:pic>
    <xdr:clientData/>
  </xdr:twoCellAnchor>
  <xdr:twoCellAnchor editAs="oneCell">
    <xdr:from>
      <xdr:col>3</xdr:col>
      <xdr:colOff>44825</xdr:colOff>
      <xdr:row>41</xdr:row>
      <xdr:rowOff>141942</xdr:rowOff>
    </xdr:from>
    <xdr:to>
      <xdr:col>6</xdr:col>
      <xdr:colOff>508002</xdr:colOff>
      <xdr:row>50</xdr:row>
      <xdr:rowOff>15916</xdr:rowOff>
    </xdr:to>
    <xdr:pic>
      <xdr:nvPicPr>
        <xdr:cNvPr id="8" name="Picture 7"/>
        <xdr:cNvPicPr>
          <a:picLocks noChangeAspect="1"/>
        </xdr:cNvPicPr>
      </xdr:nvPicPr>
      <xdr:blipFill>
        <a:blip xmlns:r="http://schemas.openxmlformats.org/officeDocument/2006/relationships" r:embed="rId5"/>
        <a:stretch>
          <a:fillRect/>
        </a:stretch>
      </xdr:blipFill>
      <xdr:spPr>
        <a:xfrm>
          <a:off x="1270001" y="7582648"/>
          <a:ext cx="2300941" cy="1622092"/>
        </a:xfrm>
        <a:prstGeom prst="rect">
          <a:avLst/>
        </a:prstGeom>
        <a:ln>
          <a:solidFill>
            <a:schemeClr val="bg1">
              <a:lumMod val="75000"/>
            </a:schemeClr>
          </a:solidFill>
        </a:ln>
      </xdr:spPr>
    </xdr:pic>
    <xdr:clientData/>
  </xdr:twoCellAnchor>
  <xdr:twoCellAnchor editAs="oneCell">
    <xdr:from>
      <xdr:col>18</xdr:col>
      <xdr:colOff>255420</xdr:colOff>
      <xdr:row>1</xdr:row>
      <xdr:rowOff>89650</xdr:rowOff>
    </xdr:from>
    <xdr:to>
      <xdr:col>21</xdr:col>
      <xdr:colOff>384523</xdr:colOff>
      <xdr:row>1</xdr:row>
      <xdr:rowOff>620060</xdr:rowOff>
    </xdr:to>
    <xdr:pic>
      <xdr:nvPicPr>
        <xdr:cNvPr id="9" name="Picture 8"/>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8390"/>
        <a:stretch/>
      </xdr:blipFill>
      <xdr:spPr>
        <a:xfrm>
          <a:off x="10848714" y="254003"/>
          <a:ext cx="1966868" cy="5304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1968500</xdr:colOff>
      <xdr:row>5</xdr:row>
      <xdr:rowOff>135256</xdr:rowOff>
    </xdr:from>
    <xdr:to>
      <xdr:col>1</xdr:col>
      <xdr:colOff>2244725</xdr:colOff>
      <xdr:row>5</xdr:row>
      <xdr:rowOff>180975</xdr:rowOff>
    </xdr:to>
    <xdr:sp macro="" textlink="">
      <xdr:nvSpPr>
        <xdr:cNvPr id="12" name="Right Arrow 11"/>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5</xdr:row>
      <xdr:rowOff>135256</xdr:rowOff>
    </xdr:from>
    <xdr:to>
      <xdr:col>20</xdr:col>
      <xdr:colOff>2244725</xdr:colOff>
      <xdr:row>5</xdr:row>
      <xdr:rowOff>180975</xdr:rowOff>
    </xdr:to>
    <xdr:sp macro="" textlink="">
      <xdr:nvSpPr>
        <xdr:cNvPr id="14" name="Right Arrow 13"/>
        <xdr:cNvSpPr/>
      </xdr:nvSpPr>
      <xdr:spPr>
        <a:xfrm>
          <a:off x="19742150" y="16402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5</xdr:row>
      <xdr:rowOff>135256</xdr:rowOff>
    </xdr:from>
    <xdr:to>
      <xdr:col>39</xdr:col>
      <xdr:colOff>2244725</xdr:colOff>
      <xdr:row>5</xdr:row>
      <xdr:rowOff>180975</xdr:rowOff>
    </xdr:to>
    <xdr:sp macro="" textlink="">
      <xdr:nvSpPr>
        <xdr:cNvPr id="16" name="Right Arrow 15"/>
        <xdr:cNvSpPr/>
      </xdr:nvSpPr>
      <xdr:spPr>
        <a:xfrm>
          <a:off x="35848925" y="16402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58</xdr:col>
      <xdr:colOff>1968500</xdr:colOff>
      <xdr:row>5</xdr:row>
      <xdr:rowOff>135256</xdr:rowOff>
    </xdr:from>
    <xdr:to>
      <xdr:col>58</xdr:col>
      <xdr:colOff>2244725</xdr:colOff>
      <xdr:row>5</xdr:row>
      <xdr:rowOff>180975</xdr:rowOff>
    </xdr:to>
    <xdr:sp macro="" textlink="">
      <xdr:nvSpPr>
        <xdr:cNvPr id="18" name="Right Arrow 17"/>
        <xdr:cNvSpPr/>
      </xdr:nvSpPr>
      <xdr:spPr>
        <a:xfrm>
          <a:off x="51669950" y="16402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77</xdr:col>
      <xdr:colOff>1968500</xdr:colOff>
      <xdr:row>5</xdr:row>
      <xdr:rowOff>135256</xdr:rowOff>
    </xdr:from>
    <xdr:to>
      <xdr:col>77</xdr:col>
      <xdr:colOff>2244725</xdr:colOff>
      <xdr:row>5</xdr:row>
      <xdr:rowOff>180975</xdr:rowOff>
    </xdr:to>
    <xdr:sp macro="" textlink="">
      <xdr:nvSpPr>
        <xdr:cNvPr id="19" name="Right Arrow 18"/>
        <xdr:cNvSpPr/>
      </xdr:nvSpPr>
      <xdr:spPr>
        <a:xfrm>
          <a:off x="67414775" y="16402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590550</xdr:colOff>
      <xdr:row>5</xdr:row>
      <xdr:rowOff>552450</xdr:rowOff>
    </xdr:from>
    <xdr:to>
      <xdr:col>1</xdr:col>
      <xdr:colOff>636269</xdr:colOff>
      <xdr:row>6</xdr:row>
      <xdr:rowOff>6350</xdr:rowOff>
    </xdr:to>
    <xdr:sp macro="" textlink="">
      <xdr:nvSpPr>
        <xdr:cNvPr id="2" name="Down Arrow 1"/>
        <xdr:cNvSpPr/>
      </xdr:nvSpPr>
      <xdr:spPr>
        <a:xfrm>
          <a:off x="742950" y="2057400"/>
          <a:ext cx="45719" cy="196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5</xdr:row>
      <xdr:rowOff>135256</xdr:rowOff>
    </xdr:from>
    <xdr:to>
      <xdr:col>1</xdr:col>
      <xdr:colOff>2244725</xdr:colOff>
      <xdr:row>5</xdr:row>
      <xdr:rowOff>180975</xdr:rowOff>
    </xdr:to>
    <xdr:sp macro="" textlink="">
      <xdr:nvSpPr>
        <xdr:cNvPr id="3" name="Right Arrow 2"/>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95</xdr:row>
      <xdr:rowOff>552450</xdr:rowOff>
    </xdr:from>
    <xdr:to>
      <xdr:col>1</xdr:col>
      <xdr:colOff>636269</xdr:colOff>
      <xdr:row>96</xdr:row>
      <xdr:rowOff>6350</xdr:rowOff>
    </xdr:to>
    <xdr:sp macro="" textlink="">
      <xdr:nvSpPr>
        <xdr:cNvPr id="4" name="Down Arrow 3"/>
        <xdr:cNvSpPr/>
      </xdr:nvSpPr>
      <xdr:spPr>
        <a:xfrm>
          <a:off x="742950" y="2057400"/>
          <a:ext cx="45719" cy="196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95</xdr:row>
      <xdr:rowOff>135256</xdr:rowOff>
    </xdr:from>
    <xdr:to>
      <xdr:col>1</xdr:col>
      <xdr:colOff>2244725</xdr:colOff>
      <xdr:row>95</xdr:row>
      <xdr:rowOff>180975</xdr:rowOff>
    </xdr:to>
    <xdr:sp macro="" textlink="">
      <xdr:nvSpPr>
        <xdr:cNvPr id="5" name="Right Arrow 4"/>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184</xdr:row>
      <xdr:rowOff>552450</xdr:rowOff>
    </xdr:from>
    <xdr:to>
      <xdr:col>1</xdr:col>
      <xdr:colOff>636269</xdr:colOff>
      <xdr:row>185</xdr:row>
      <xdr:rowOff>6350</xdr:rowOff>
    </xdr:to>
    <xdr:sp macro="" textlink="">
      <xdr:nvSpPr>
        <xdr:cNvPr id="6" name="Down Arrow 5"/>
        <xdr:cNvSpPr/>
      </xdr:nvSpPr>
      <xdr:spPr>
        <a:xfrm>
          <a:off x="742950" y="2057400"/>
          <a:ext cx="45719" cy="196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184</xdr:row>
      <xdr:rowOff>135256</xdr:rowOff>
    </xdr:from>
    <xdr:to>
      <xdr:col>1</xdr:col>
      <xdr:colOff>2244725</xdr:colOff>
      <xdr:row>184</xdr:row>
      <xdr:rowOff>180975</xdr:rowOff>
    </xdr:to>
    <xdr:sp macro="" textlink="">
      <xdr:nvSpPr>
        <xdr:cNvPr id="7" name="Right Arrow 6"/>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273</xdr:row>
      <xdr:rowOff>552450</xdr:rowOff>
    </xdr:from>
    <xdr:to>
      <xdr:col>1</xdr:col>
      <xdr:colOff>636269</xdr:colOff>
      <xdr:row>274</xdr:row>
      <xdr:rowOff>6350</xdr:rowOff>
    </xdr:to>
    <xdr:sp macro="" textlink="">
      <xdr:nvSpPr>
        <xdr:cNvPr id="8" name="Down Arrow 7"/>
        <xdr:cNvSpPr/>
      </xdr:nvSpPr>
      <xdr:spPr>
        <a:xfrm>
          <a:off x="742950" y="2057400"/>
          <a:ext cx="45719" cy="196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273</xdr:row>
      <xdr:rowOff>135256</xdr:rowOff>
    </xdr:from>
    <xdr:to>
      <xdr:col>1</xdr:col>
      <xdr:colOff>2244725</xdr:colOff>
      <xdr:row>273</xdr:row>
      <xdr:rowOff>180975</xdr:rowOff>
    </xdr:to>
    <xdr:sp macro="" textlink="">
      <xdr:nvSpPr>
        <xdr:cNvPr id="9" name="Right Arrow 8"/>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363</xdr:row>
      <xdr:rowOff>552450</xdr:rowOff>
    </xdr:from>
    <xdr:to>
      <xdr:col>1</xdr:col>
      <xdr:colOff>636269</xdr:colOff>
      <xdr:row>364</xdr:row>
      <xdr:rowOff>6350</xdr:rowOff>
    </xdr:to>
    <xdr:sp macro="" textlink="">
      <xdr:nvSpPr>
        <xdr:cNvPr id="10" name="Down Arrow 9"/>
        <xdr:cNvSpPr/>
      </xdr:nvSpPr>
      <xdr:spPr>
        <a:xfrm>
          <a:off x="742950" y="2057400"/>
          <a:ext cx="45719" cy="196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363</xdr:row>
      <xdr:rowOff>135256</xdr:rowOff>
    </xdr:from>
    <xdr:to>
      <xdr:col>1</xdr:col>
      <xdr:colOff>2244725</xdr:colOff>
      <xdr:row>363</xdr:row>
      <xdr:rowOff>180975</xdr:rowOff>
    </xdr:to>
    <xdr:sp macro="" textlink="">
      <xdr:nvSpPr>
        <xdr:cNvPr id="11" name="Right Arrow 10"/>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453</xdr:row>
      <xdr:rowOff>552450</xdr:rowOff>
    </xdr:from>
    <xdr:to>
      <xdr:col>1</xdr:col>
      <xdr:colOff>636269</xdr:colOff>
      <xdr:row>454</xdr:row>
      <xdr:rowOff>6350</xdr:rowOff>
    </xdr:to>
    <xdr:sp macro="" textlink="">
      <xdr:nvSpPr>
        <xdr:cNvPr id="12" name="Down Arrow 11"/>
        <xdr:cNvSpPr/>
      </xdr:nvSpPr>
      <xdr:spPr>
        <a:xfrm>
          <a:off x="742950" y="2057400"/>
          <a:ext cx="45719" cy="196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453</xdr:row>
      <xdr:rowOff>135256</xdr:rowOff>
    </xdr:from>
    <xdr:to>
      <xdr:col>1</xdr:col>
      <xdr:colOff>2244725</xdr:colOff>
      <xdr:row>453</xdr:row>
      <xdr:rowOff>180975</xdr:rowOff>
    </xdr:to>
    <xdr:sp macro="" textlink="">
      <xdr:nvSpPr>
        <xdr:cNvPr id="13" name="Right Arrow 12"/>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543</xdr:row>
      <xdr:rowOff>552450</xdr:rowOff>
    </xdr:from>
    <xdr:to>
      <xdr:col>1</xdr:col>
      <xdr:colOff>636269</xdr:colOff>
      <xdr:row>544</xdr:row>
      <xdr:rowOff>6350</xdr:rowOff>
    </xdr:to>
    <xdr:sp macro="" textlink="">
      <xdr:nvSpPr>
        <xdr:cNvPr id="14" name="Down Arrow 13"/>
        <xdr:cNvSpPr/>
      </xdr:nvSpPr>
      <xdr:spPr>
        <a:xfrm>
          <a:off x="742950" y="2057400"/>
          <a:ext cx="45719" cy="196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543</xdr:row>
      <xdr:rowOff>135256</xdr:rowOff>
    </xdr:from>
    <xdr:to>
      <xdr:col>1</xdr:col>
      <xdr:colOff>2244725</xdr:colOff>
      <xdr:row>543</xdr:row>
      <xdr:rowOff>180975</xdr:rowOff>
    </xdr:to>
    <xdr:sp macro="" textlink="">
      <xdr:nvSpPr>
        <xdr:cNvPr id="15" name="Right Arrow 14"/>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633</xdr:row>
      <xdr:rowOff>552450</xdr:rowOff>
    </xdr:from>
    <xdr:to>
      <xdr:col>1</xdr:col>
      <xdr:colOff>636269</xdr:colOff>
      <xdr:row>634</xdr:row>
      <xdr:rowOff>6350</xdr:rowOff>
    </xdr:to>
    <xdr:sp macro="" textlink="">
      <xdr:nvSpPr>
        <xdr:cNvPr id="16" name="Down Arrow 15"/>
        <xdr:cNvSpPr/>
      </xdr:nvSpPr>
      <xdr:spPr>
        <a:xfrm>
          <a:off x="742950" y="2057400"/>
          <a:ext cx="45719" cy="196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633</xdr:row>
      <xdr:rowOff>135256</xdr:rowOff>
    </xdr:from>
    <xdr:to>
      <xdr:col>1</xdr:col>
      <xdr:colOff>2244725</xdr:colOff>
      <xdr:row>633</xdr:row>
      <xdr:rowOff>180975</xdr:rowOff>
    </xdr:to>
    <xdr:sp macro="" textlink="">
      <xdr:nvSpPr>
        <xdr:cNvPr id="17" name="Right Arrow 16"/>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723</xdr:row>
      <xdr:rowOff>552450</xdr:rowOff>
    </xdr:from>
    <xdr:to>
      <xdr:col>1</xdr:col>
      <xdr:colOff>636269</xdr:colOff>
      <xdr:row>724</xdr:row>
      <xdr:rowOff>6350</xdr:rowOff>
    </xdr:to>
    <xdr:sp macro="" textlink="">
      <xdr:nvSpPr>
        <xdr:cNvPr id="18" name="Down Arrow 17"/>
        <xdr:cNvSpPr/>
      </xdr:nvSpPr>
      <xdr:spPr>
        <a:xfrm>
          <a:off x="742950" y="2057400"/>
          <a:ext cx="45719" cy="196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723</xdr:row>
      <xdr:rowOff>135256</xdr:rowOff>
    </xdr:from>
    <xdr:to>
      <xdr:col>1</xdr:col>
      <xdr:colOff>2244725</xdr:colOff>
      <xdr:row>723</xdr:row>
      <xdr:rowOff>180975</xdr:rowOff>
    </xdr:to>
    <xdr:sp macro="" textlink="">
      <xdr:nvSpPr>
        <xdr:cNvPr id="19" name="Right Arrow 18"/>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813</xdr:row>
      <xdr:rowOff>552450</xdr:rowOff>
    </xdr:from>
    <xdr:to>
      <xdr:col>1</xdr:col>
      <xdr:colOff>636269</xdr:colOff>
      <xdr:row>814</xdr:row>
      <xdr:rowOff>6350</xdr:rowOff>
    </xdr:to>
    <xdr:sp macro="" textlink="">
      <xdr:nvSpPr>
        <xdr:cNvPr id="20" name="Down Arrow 19"/>
        <xdr:cNvSpPr/>
      </xdr:nvSpPr>
      <xdr:spPr>
        <a:xfrm>
          <a:off x="742950" y="2057400"/>
          <a:ext cx="45719" cy="196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813</xdr:row>
      <xdr:rowOff>135256</xdr:rowOff>
    </xdr:from>
    <xdr:to>
      <xdr:col>1</xdr:col>
      <xdr:colOff>2244725</xdr:colOff>
      <xdr:row>813</xdr:row>
      <xdr:rowOff>180975</xdr:rowOff>
    </xdr:to>
    <xdr:sp macro="" textlink="">
      <xdr:nvSpPr>
        <xdr:cNvPr id="21" name="Right Arrow 20"/>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21</xdr:col>
      <xdr:colOff>73477</xdr:colOff>
      <xdr:row>5</xdr:row>
      <xdr:rowOff>525236</xdr:rowOff>
    </xdr:from>
    <xdr:to>
      <xdr:col>21</xdr:col>
      <xdr:colOff>119196</xdr:colOff>
      <xdr:row>5</xdr:row>
      <xdr:rowOff>2455636</xdr:rowOff>
    </xdr:to>
    <xdr:sp macro="" textlink="">
      <xdr:nvSpPr>
        <xdr:cNvPr id="24" name="Down Arrow 23"/>
        <xdr:cNvSpPr/>
      </xdr:nvSpPr>
      <xdr:spPr>
        <a:xfrm>
          <a:off x="19545298" y="2022022"/>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5</xdr:row>
      <xdr:rowOff>135256</xdr:rowOff>
    </xdr:from>
    <xdr:to>
      <xdr:col>20</xdr:col>
      <xdr:colOff>2244725</xdr:colOff>
      <xdr:row>5</xdr:row>
      <xdr:rowOff>180975</xdr:rowOff>
    </xdr:to>
    <xdr:sp macro="" textlink="">
      <xdr:nvSpPr>
        <xdr:cNvPr id="25" name="Right Arrow 24"/>
        <xdr:cNvSpPr/>
      </xdr:nvSpPr>
      <xdr:spPr>
        <a:xfrm>
          <a:off x="2118179" y="1632042"/>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5</xdr:row>
      <xdr:rowOff>552450</xdr:rowOff>
    </xdr:from>
    <xdr:to>
      <xdr:col>39</xdr:col>
      <xdr:colOff>636269</xdr:colOff>
      <xdr:row>6</xdr:row>
      <xdr:rowOff>6350</xdr:rowOff>
    </xdr:to>
    <xdr:sp macro="" textlink="">
      <xdr:nvSpPr>
        <xdr:cNvPr id="26" name="Down Arrow 25"/>
        <xdr:cNvSpPr/>
      </xdr:nvSpPr>
      <xdr:spPr>
        <a:xfrm>
          <a:off x="19218729" y="2049236"/>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95</xdr:row>
      <xdr:rowOff>552450</xdr:rowOff>
    </xdr:from>
    <xdr:to>
      <xdr:col>20</xdr:col>
      <xdr:colOff>636269</xdr:colOff>
      <xdr:row>96</xdr:row>
      <xdr:rowOff>6350</xdr:rowOff>
    </xdr:to>
    <xdr:sp macro="" textlink="">
      <xdr:nvSpPr>
        <xdr:cNvPr id="27" name="Down Arrow 26"/>
        <xdr:cNvSpPr/>
      </xdr:nvSpPr>
      <xdr:spPr>
        <a:xfrm>
          <a:off x="740229" y="26324379"/>
          <a:ext cx="45719" cy="20229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95</xdr:row>
      <xdr:rowOff>135256</xdr:rowOff>
    </xdr:from>
    <xdr:to>
      <xdr:col>20</xdr:col>
      <xdr:colOff>2244725</xdr:colOff>
      <xdr:row>95</xdr:row>
      <xdr:rowOff>180975</xdr:rowOff>
    </xdr:to>
    <xdr:sp macro="" textlink="">
      <xdr:nvSpPr>
        <xdr:cNvPr id="28" name="Right Arrow 27"/>
        <xdr:cNvSpPr/>
      </xdr:nvSpPr>
      <xdr:spPr>
        <a:xfrm>
          <a:off x="2118179" y="25907185"/>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95</xdr:row>
      <xdr:rowOff>552450</xdr:rowOff>
    </xdr:from>
    <xdr:to>
      <xdr:col>39</xdr:col>
      <xdr:colOff>636269</xdr:colOff>
      <xdr:row>96</xdr:row>
      <xdr:rowOff>6350</xdr:rowOff>
    </xdr:to>
    <xdr:sp macro="" textlink="">
      <xdr:nvSpPr>
        <xdr:cNvPr id="29" name="Down Arrow 28"/>
        <xdr:cNvSpPr/>
      </xdr:nvSpPr>
      <xdr:spPr>
        <a:xfrm>
          <a:off x="740229" y="26324379"/>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95</xdr:row>
      <xdr:rowOff>135256</xdr:rowOff>
    </xdr:from>
    <xdr:to>
      <xdr:col>39</xdr:col>
      <xdr:colOff>2244725</xdr:colOff>
      <xdr:row>95</xdr:row>
      <xdr:rowOff>180975</xdr:rowOff>
    </xdr:to>
    <xdr:sp macro="" textlink="">
      <xdr:nvSpPr>
        <xdr:cNvPr id="30" name="Right Arrow 29"/>
        <xdr:cNvSpPr/>
      </xdr:nvSpPr>
      <xdr:spPr>
        <a:xfrm>
          <a:off x="2118179" y="25907185"/>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184</xdr:row>
      <xdr:rowOff>552450</xdr:rowOff>
    </xdr:from>
    <xdr:to>
      <xdr:col>20</xdr:col>
      <xdr:colOff>636269</xdr:colOff>
      <xdr:row>185</xdr:row>
      <xdr:rowOff>6350</xdr:rowOff>
    </xdr:to>
    <xdr:sp macro="" textlink="">
      <xdr:nvSpPr>
        <xdr:cNvPr id="31" name="Down Arrow 30"/>
        <xdr:cNvSpPr/>
      </xdr:nvSpPr>
      <xdr:spPr>
        <a:xfrm>
          <a:off x="740229" y="50354593"/>
          <a:ext cx="45719" cy="20229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184</xdr:row>
      <xdr:rowOff>135256</xdr:rowOff>
    </xdr:from>
    <xdr:to>
      <xdr:col>20</xdr:col>
      <xdr:colOff>2244725</xdr:colOff>
      <xdr:row>184</xdr:row>
      <xdr:rowOff>180975</xdr:rowOff>
    </xdr:to>
    <xdr:sp macro="" textlink="">
      <xdr:nvSpPr>
        <xdr:cNvPr id="32" name="Right Arrow 31"/>
        <xdr:cNvSpPr/>
      </xdr:nvSpPr>
      <xdr:spPr>
        <a:xfrm>
          <a:off x="2118179" y="49937399"/>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184</xdr:row>
      <xdr:rowOff>552450</xdr:rowOff>
    </xdr:from>
    <xdr:to>
      <xdr:col>39</xdr:col>
      <xdr:colOff>636269</xdr:colOff>
      <xdr:row>185</xdr:row>
      <xdr:rowOff>6350</xdr:rowOff>
    </xdr:to>
    <xdr:sp macro="" textlink="">
      <xdr:nvSpPr>
        <xdr:cNvPr id="33" name="Down Arrow 32"/>
        <xdr:cNvSpPr/>
      </xdr:nvSpPr>
      <xdr:spPr>
        <a:xfrm>
          <a:off x="740229" y="50354593"/>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184</xdr:row>
      <xdr:rowOff>135256</xdr:rowOff>
    </xdr:from>
    <xdr:to>
      <xdr:col>39</xdr:col>
      <xdr:colOff>2244725</xdr:colOff>
      <xdr:row>184</xdr:row>
      <xdr:rowOff>180975</xdr:rowOff>
    </xdr:to>
    <xdr:sp macro="" textlink="">
      <xdr:nvSpPr>
        <xdr:cNvPr id="34" name="Right Arrow 33"/>
        <xdr:cNvSpPr/>
      </xdr:nvSpPr>
      <xdr:spPr>
        <a:xfrm>
          <a:off x="2118179" y="49937399"/>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273</xdr:row>
      <xdr:rowOff>552450</xdr:rowOff>
    </xdr:from>
    <xdr:to>
      <xdr:col>20</xdr:col>
      <xdr:colOff>636269</xdr:colOff>
      <xdr:row>274</xdr:row>
      <xdr:rowOff>6350</xdr:rowOff>
    </xdr:to>
    <xdr:sp macro="" textlink="">
      <xdr:nvSpPr>
        <xdr:cNvPr id="35" name="Down Arrow 34"/>
        <xdr:cNvSpPr/>
      </xdr:nvSpPr>
      <xdr:spPr>
        <a:xfrm>
          <a:off x="740229" y="74384807"/>
          <a:ext cx="45719" cy="20229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273</xdr:row>
      <xdr:rowOff>135256</xdr:rowOff>
    </xdr:from>
    <xdr:to>
      <xdr:col>20</xdr:col>
      <xdr:colOff>2244725</xdr:colOff>
      <xdr:row>273</xdr:row>
      <xdr:rowOff>180975</xdr:rowOff>
    </xdr:to>
    <xdr:sp macro="" textlink="">
      <xdr:nvSpPr>
        <xdr:cNvPr id="36" name="Right Arrow 35"/>
        <xdr:cNvSpPr/>
      </xdr:nvSpPr>
      <xdr:spPr>
        <a:xfrm>
          <a:off x="2118179" y="73967613"/>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273</xdr:row>
      <xdr:rowOff>552450</xdr:rowOff>
    </xdr:from>
    <xdr:to>
      <xdr:col>39</xdr:col>
      <xdr:colOff>636269</xdr:colOff>
      <xdr:row>274</xdr:row>
      <xdr:rowOff>6350</xdr:rowOff>
    </xdr:to>
    <xdr:sp macro="" textlink="">
      <xdr:nvSpPr>
        <xdr:cNvPr id="37" name="Down Arrow 36"/>
        <xdr:cNvSpPr/>
      </xdr:nvSpPr>
      <xdr:spPr>
        <a:xfrm>
          <a:off x="740229" y="74384807"/>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273</xdr:row>
      <xdr:rowOff>135256</xdr:rowOff>
    </xdr:from>
    <xdr:to>
      <xdr:col>39</xdr:col>
      <xdr:colOff>2244725</xdr:colOff>
      <xdr:row>273</xdr:row>
      <xdr:rowOff>180975</xdr:rowOff>
    </xdr:to>
    <xdr:sp macro="" textlink="">
      <xdr:nvSpPr>
        <xdr:cNvPr id="38" name="Right Arrow 37"/>
        <xdr:cNvSpPr/>
      </xdr:nvSpPr>
      <xdr:spPr>
        <a:xfrm>
          <a:off x="2118179" y="73967613"/>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363</xdr:row>
      <xdr:rowOff>552450</xdr:rowOff>
    </xdr:from>
    <xdr:to>
      <xdr:col>20</xdr:col>
      <xdr:colOff>636269</xdr:colOff>
      <xdr:row>364</xdr:row>
      <xdr:rowOff>6350</xdr:rowOff>
    </xdr:to>
    <xdr:sp macro="" textlink="">
      <xdr:nvSpPr>
        <xdr:cNvPr id="39" name="Down Arrow 38"/>
        <xdr:cNvSpPr/>
      </xdr:nvSpPr>
      <xdr:spPr>
        <a:xfrm>
          <a:off x="740229" y="98659950"/>
          <a:ext cx="45719" cy="20229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363</xdr:row>
      <xdr:rowOff>135256</xdr:rowOff>
    </xdr:from>
    <xdr:to>
      <xdr:col>20</xdr:col>
      <xdr:colOff>2244725</xdr:colOff>
      <xdr:row>363</xdr:row>
      <xdr:rowOff>180975</xdr:rowOff>
    </xdr:to>
    <xdr:sp macro="" textlink="">
      <xdr:nvSpPr>
        <xdr:cNvPr id="40" name="Right Arrow 39"/>
        <xdr:cNvSpPr/>
      </xdr:nvSpPr>
      <xdr:spPr>
        <a:xfrm>
          <a:off x="2118179" y="982427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363</xdr:row>
      <xdr:rowOff>552450</xdr:rowOff>
    </xdr:from>
    <xdr:to>
      <xdr:col>39</xdr:col>
      <xdr:colOff>636269</xdr:colOff>
      <xdr:row>364</xdr:row>
      <xdr:rowOff>6350</xdr:rowOff>
    </xdr:to>
    <xdr:sp macro="" textlink="">
      <xdr:nvSpPr>
        <xdr:cNvPr id="41" name="Down Arrow 40"/>
        <xdr:cNvSpPr/>
      </xdr:nvSpPr>
      <xdr:spPr>
        <a:xfrm>
          <a:off x="740229" y="986599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363</xdr:row>
      <xdr:rowOff>135256</xdr:rowOff>
    </xdr:from>
    <xdr:to>
      <xdr:col>39</xdr:col>
      <xdr:colOff>2244725</xdr:colOff>
      <xdr:row>363</xdr:row>
      <xdr:rowOff>180975</xdr:rowOff>
    </xdr:to>
    <xdr:sp macro="" textlink="">
      <xdr:nvSpPr>
        <xdr:cNvPr id="42" name="Right Arrow 41"/>
        <xdr:cNvSpPr/>
      </xdr:nvSpPr>
      <xdr:spPr>
        <a:xfrm>
          <a:off x="2118179" y="982427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453</xdr:row>
      <xdr:rowOff>552450</xdr:rowOff>
    </xdr:from>
    <xdr:to>
      <xdr:col>20</xdr:col>
      <xdr:colOff>636269</xdr:colOff>
      <xdr:row>454</xdr:row>
      <xdr:rowOff>6350</xdr:rowOff>
    </xdr:to>
    <xdr:sp macro="" textlink="">
      <xdr:nvSpPr>
        <xdr:cNvPr id="43" name="Down Arrow 42"/>
        <xdr:cNvSpPr/>
      </xdr:nvSpPr>
      <xdr:spPr>
        <a:xfrm>
          <a:off x="740229" y="122935093"/>
          <a:ext cx="45719" cy="20229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453</xdr:row>
      <xdr:rowOff>135256</xdr:rowOff>
    </xdr:from>
    <xdr:to>
      <xdr:col>20</xdr:col>
      <xdr:colOff>2244725</xdr:colOff>
      <xdr:row>453</xdr:row>
      <xdr:rowOff>180975</xdr:rowOff>
    </xdr:to>
    <xdr:sp macro="" textlink="">
      <xdr:nvSpPr>
        <xdr:cNvPr id="44" name="Right Arrow 43"/>
        <xdr:cNvSpPr/>
      </xdr:nvSpPr>
      <xdr:spPr>
        <a:xfrm>
          <a:off x="2118179" y="122517899"/>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453</xdr:row>
      <xdr:rowOff>552450</xdr:rowOff>
    </xdr:from>
    <xdr:to>
      <xdr:col>39</xdr:col>
      <xdr:colOff>636269</xdr:colOff>
      <xdr:row>454</xdr:row>
      <xdr:rowOff>6350</xdr:rowOff>
    </xdr:to>
    <xdr:sp macro="" textlink="">
      <xdr:nvSpPr>
        <xdr:cNvPr id="45" name="Down Arrow 44"/>
        <xdr:cNvSpPr/>
      </xdr:nvSpPr>
      <xdr:spPr>
        <a:xfrm>
          <a:off x="740229" y="122935093"/>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453</xdr:row>
      <xdr:rowOff>135256</xdr:rowOff>
    </xdr:from>
    <xdr:to>
      <xdr:col>39</xdr:col>
      <xdr:colOff>2244725</xdr:colOff>
      <xdr:row>453</xdr:row>
      <xdr:rowOff>180975</xdr:rowOff>
    </xdr:to>
    <xdr:sp macro="" textlink="">
      <xdr:nvSpPr>
        <xdr:cNvPr id="46" name="Right Arrow 45"/>
        <xdr:cNvSpPr/>
      </xdr:nvSpPr>
      <xdr:spPr>
        <a:xfrm>
          <a:off x="2118179" y="122517899"/>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543</xdr:row>
      <xdr:rowOff>552450</xdr:rowOff>
    </xdr:from>
    <xdr:to>
      <xdr:col>20</xdr:col>
      <xdr:colOff>636269</xdr:colOff>
      <xdr:row>544</xdr:row>
      <xdr:rowOff>6350</xdr:rowOff>
    </xdr:to>
    <xdr:sp macro="" textlink="">
      <xdr:nvSpPr>
        <xdr:cNvPr id="47" name="Down Arrow 46"/>
        <xdr:cNvSpPr/>
      </xdr:nvSpPr>
      <xdr:spPr>
        <a:xfrm>
          <a:off x="740229" y="147210236"/>
          <a:ext cx="45719" cy="20229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543</xdr:row>
      <xdr:rowOff>135256</xdr:rowOff>
    </xdr:from>
    <xdr:to>
      <xdr:col>20</xdr:col>
      <xdr:colOff>2244725</xdr:colOff>
      <xdr:row>543</xdr:row>
      <xdr:rowOff>180975</xdr:rowOff>
    </xdr:to>
    <xdr:sp macro="" textlink="">
      <xdr:nvSpPr>
        <xdr:cNvPr id="48" name="Right Arrow 47"/>
        <xdr:cNvSpPr/>
      </xdr:nvSpPr>
      <xdr:spPr>
        <a:xfrm>
          <a:off x="2118179" y="146793042"/>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543</xdr:row>
      <xdr:rowOff>552450</xdr:rowOff>
    </xdr:from>
    <xdr:to>
      <xdr:col>39</xdr:col>
      <xdr:colOff>636269</xdr:colOff>
      <xdr:row>544</xdr:row>
      <xdr:rowOff>6350</xdr:rowOff>
    </xdr:to>
    <xdr:sp macro="" textlink="">
      <xdr:nvSpPr>
        <xdr:cNvPr id="49" name="Down Arrow 48"/>
        <xdr:cNvSpPr/>
      </xdr:nvSpPr>
      <xdr:spPr>
        <a:xfrm>
          <a:off x="740229" y="147210236"/>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543</xdr:row>
      <xdr:rowOff>135256</xdr:rowOff>
    </xdr:from>
    <xdr:to>
      <xdr:col>39</xdr:col>
      <xdr:colOff>2244725</xdr:colOff>
      <xdr:row>543</xdr:row>
      <xdr:rowOff>180975</xdr:rowOff>
    </xdr:to>
    <xdr:sp macro="" textlink="">
      <xdr:nvSpPr>
        <xdr:cNvPr id="50" name="Right Arrow 49"/>
        <xdr:cNvSpPr/>
      </xdr:nvSpPr>
      <xdr:spPr>
        <a:xfrm>
          <a:off x="2118179" y="146793042"/>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633</xdr:row>
      <xdr:rowOff>552450</xdr:rowOff>
    </xdr:from>
    <xdr:to>
      <xdr:col>20</xdr:col>
      <xdr:colOff>636269</xdr:colOff>
      <xdr:row>634</xdr:row>
      <xdr:rowOff>6350</xdr:rowOff>
    </xdr:to>
    <xdr:sp macro="" textlink="">
      <xdr:nvSpPr>
        <xdr:cNvPr id="51" name="Down Arrow 50"/>
        <xdr:cNvSpPr/>
      </xdr:nvSpPr>
      <xdr:spPr>
        <a:xfrm>
          <a:off x="740229" y="171485379"/>
          <a:ext cx="45719" cy="20229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633</xdr:row>
      <xdr:rowOff>135256</xdr:rowOff>
    </xdr:from>
    <xdr:to>
      <xdr:col>20</xdr:col>
      <xdr:colOff>2244725</xdr:colOff>
      <xdr:row>633</xdr:row>
      <xdr:rowOff>180975</xdr:rowOff>
    </xdr:to>
    <xdr:sp macro="" textlink="">
      <xdr:nvSpPr>
        <xdr:cNvPr id="52" name="Right Arrow 51"/>
        <xdr:cNvSpPr/>
      </xdr:nvSpPr>
      <xdr:spPr>
        <a:xfrm>
          <a:off x="2118179" y="171068185"/>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633</xdr:row>
      <xdr:rowOff>552450</xdr:rowOff>
    </xdr:from>
    <xdr:to>
      <xdr:col>39</xdr:col>
      <xdr:colOff>636269</xdr:colOff>
      <xdr:row>634</xdr:row>
      <xdr:rowOff>6350</xdr:rowOff>
    </xdr:to>
    <xdr:sp macro="" textlink="">
      <xdr:nvSpPr>
        <xdr:cNvPr id="53" name="Down Arrow 52"/>
        <xdr:cNvSpPr/>
      </xdr:nvSpPr>
      <xdr:spPr>
        <a:xfrm>
          <a:off x="740229" y="171485379"/>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633</xdr:row>
      <xdr:rowOff>135256</xdr:rowOff>
    </xdr:from>
    <xdr:to>
      <xdr:col>39</xdr:col>
      <xdr:colOff>2244725</xdr:colOff>
      <xdr:row>633</xdr:row>
      <xdr:rowOff>180975</xdr:rowOff>
    </xdr:to>
    <xdr:sp macro="" textlink="">
      <xdr:nvSpPr>
        <xdr:cNvPr id="54" name="Right Arrow 53"/>
        <xdr:cNvSpPr/>
      </xdr:nvSpPr>
      <xdr:spPr>
        <a:xfrm>
          <a:off x="2118179" y="171068185"/>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723</xdr:row>
      <xdr:rowOff>552450</xdr:rowOff>
    </xdr:from>
    <xdr:to>
      <xdr:col>20</xdr:col>
      <xdr:colOff>636269</xdr:colOff>
      <xdr:row>724</xdr:row>
      <xdr:rowOff>6350</xdr:rowOff>
    </xdr:to>
    <xdr:sp macro="" textlink="">
      <xdr:nvSpPr>
        <xdr:cNvPr id="55" name="Down Arrow 54"/>
        <xdr:cNvSpPr/>
      </xdr:nvSpPr>
      <xdr:spPr>
        <a:xfrm>
          <a:off x="740229" y="195760521"/>
          <a:ext cx="45719" cy="20229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723</xdr:row>
      <xdr:rowOff>135256</xdr:rowOff>
    </xdr:from>
    <xdr:to>
      <xdr:col>20</xdr:col>
      <xdr:colOff>2244725</xdr:colOff>
      <xdr:row>723</xdr:row>
      <xdr:rowOff>180975</xdr:rowOff>
    </xdr:to>
    <xdr:sp macro="" textlink="">
      <xdr:nvSpPr>
        <xdr:cNvPr id="56" name="Right Arrow 55"/>
        <xdr:cNvSpPr/>
      </xdr:nvSpPr>
      <xdr:spPr>
        <a:xfrm>
          <a:off x="2118179" y="195343327"/>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723</xdr:row>
      <xdr:rowOff>552450</xdr:rowOff>
    </xdr:from>
    <xdr:to>
      <xdr:col>39</xdr:col>
      <xdr:colOff>636269</xdr:colOff>
      <xdr:row>724</xdr:row>
      <xdr:rowOff>6350</xdr:rowOff>
    </xdr:to>
    <xdr:sp macro="" textlink="">
      <xdr:nvSpPr>
        <xdr:cNvPr id="57" name="Down Arrow 56"/>
        <xdr:cNvSpPr/>
      </xdr:nvSpPr>
      <xdr:spPr>
        <a:xfrm>
          <a:off x="740229" y="195760521"/>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723</xdr:row>
      <xdr:rowOff>135256</xdr:rowOff>
    </xdr:from>
    <xdr:to>
      <xdr:col>39</xdr:col>
      <xdr:colOff>2244725</xdr:colOff>
      <xdr:row>723</xdr:row>
      <xdr:rowOff>180975</xdr:rowOff>
    </xdr:to>
    <xdr:sp macro="" textlink="">
      <xdr:nvSpPr>
        <xdr:cNvPr id="58" name="Right Arrow 57"/>
        <xdr:cNvSpPr/>
      </xdr:nvSpPr>
      <xdr:spPr>
        <a:xfrm>
          <a:off x="2118179" y="195343327"/>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813</xdr:row>
      <xdr:rowOff>552450</xdr:rowOff>
    </xdr:from>
    <xdr:to>
      <xdr:col>20</xdr:col>
      <xdr:colOff>636269</xdr:colOff>
      <xdr:row>814</xdr:row>
      <xdr:rowOff>6350</xdr:rowOff>
    </xdr:to>
    <xdr:sp macro="" textlink="">
      <xdr:nvSpPr>
        <xdr:cNvPr id="59" name="Down Arrow 58"/>
        <xdr:cNvSpPr/>
      </xdr:nvSpPr>
      <xdr:spPr>
        <a:xfrm>
          <a:off x="740229" y="220035664"/>
          <a:ext cx="45719" cy="20229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813</xdr:row>
      <xdr:rowOff>135256</xdr:rowOff>
    </xdr:from>
    <xdr:to>
      <xdr:col>20</xdr:col>
      <xdr:colOff>2244725</xdr:colOff>
      <xdr:row>813</xdr:row>
      <xdr:rowOff>180975</xdr:rowOff>
    </xdr:to>
    <xdr:sp macro="" textlink="">
      <xdr:nvSpPr>
        <xdr:cNvPr id="60" name="Right Arrow 59"/>
        <xdr:cNvSpPr/>
      </xdr:nvSpPr>
      <xdr:spPr>
        <a:xfrm>
          <a:off x="2118179" y="219618470"/>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813</xdr:row>
      <xdr:rowOff>552450</xdr:rowOff>
    </xdr:from>
    <xdr:to>
      <xdr:col>39</xdr:col>
      <xdr:colOff>636269</xdr:colOff>
      <xdr:row>814</xdr:row>
      <xdr:rowOff>6350</xdr:rowOff>
    </xdr:to>
    <xdr:sp macro="" textlink="">
      <xdr:nvSpPr>
        <xdr:cNvPr id="61" name="Down Arrow 60"/>
        <xdr:cNvSpPr/>
      </xdr:nvSpPr>
      <xdr:spPr>
        <a:xfrm>
          <a:off x="740229" y="220035664"/>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813</xdr:row>
      <xdr:rowOff>135256</xdr:rowOff>
    </xdr:from>
    <xdr:to>
      <xdr:col>39</xdr:col>
      <xdr:colOff>2244725</xdr:colOff>
      <xdr:row>813</xdr:row>
      <xdr:rowOff>180975</xdr:rowOff>
    </xdr:to>
    <xdr:sp macro="" textlink="">
      <xdr:nvSpPr>
        <xdr:cNvPr id="62" name="Right Arrow 61"/>
        <xdr:cNvSpPr/>
      </xdr:nvSpPr>
      <xdr:spPr>
        <a:xfrm>
          <a:off x="2118179" y="219618470"/>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5</xdr:row>
      <xdr:rowOff>552450</xdr:rowOff>
    </xdr:from>
    <xdr:to>
      <xdr:col>1</xdr:col>
      <xdr:colOff>636269</xdr:colOff>
      <xdr:row>6</xdr:row>
      <xdr:rowOff>6350</xdr:rowOff>
    </xdr:to>
    <xdr:sp macro="" textlink="">
      <xdr:nvSpPr>
        <xdr:cNvPr id="63" name="Down Arrow 62"/>
        <xdr:cNvSpPr/>
      </xdr:nvSpPr>
      <xdr:spPr>
        <a:xfrm>
          <a:off x="742950" y="20574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5</xdr:row>
      <xdr:rowOff>135256</xdr:rowOff>
    </xdr:from>
    <xdr:to>
      <xdr:col>1</xdr:col>
      <xdr:colOff>2244725</xdr:colOff>
      <xdr:row>5</xdr:row>
      <xdr:rowOff>180975</xdr:rowOff>
    </xdr:to>
    <xdr:sp macro="" textlink="">
      <xdr:nvSpPr>
        <xdr:cNvPr id="64" name="Right Arrow 63"/>
        <xdr:cNvSpPr/>
      </xdr:nvSpPr>
      <xdr:spPr>
        <a:xfrm>
          <a:off x="2120900" y="16402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95</xdr:row>
      <xdr:rowOff>552450</xdr:rowOff>
    </xdr:from>
    <xdr:to>
      <xdr:col>1</xdr:col>
      <xdr:colOff>636269</xdr:colOff>
      <xdr:row>96</xdr:row>
      <xdr:rowOff>6350</xdr:rowOff>
    </xdr:to>
    <xdr:sp macro="" textlink="">
      <xdr:nvSpPr>
        <xdr:cNvPr id="65" name="Down Arrow 64"/>
        <xdr:cNvSpPr/>
      </xdr:nvSpPr>
      <xdr:spPr>
        <a:xfrm>
          <a:off x="742950" y="265747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95</xdr:row>
      <xdr:rowOff>135256</xdr:rowOff>
    </xdr:from>
    <xdr:to>
      <xdr:col>1</xdr:col>
      <xdr:colOff>2244725</xdr:colOff>
      <xdr:row>95</xdr:row>
      <xdr:rowOff>180975</xdr:rowOff>
    </xdr:to>
    <xdr:sp macro="" textlink="">
      <xdr:nvSpPr>
        <xdr:cNvPr id="66" name="Right Arrow 65"/>
        <xdr:cNvSpPr/>
      </xdr:nvSpPr>
      <xdr:spPr>
        <a:xfrm>
          <a:off x="2120900" y="261575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184</xdr:row>
      <xdr:rowOff>552450</xdr:rowOff>
    </xdr:from>
    <xdr:to>
      <xdr:col>1</xdr:col>
      <xdr:colOff>636269</xdr:colOff>
      <xdr:row>185</xdr:row>
      <xdr:rowOff>6350</xdr:rowOff>
    </xdr:to>
    <xdr:sp macro="" textlink="">
      <xdr:nvSpPr>
        <xdr:cNvPr id="67" name="Down Arrow 66"/>
        <xdr:cNvSpPr/>
      </xdr:nvSpPr>
      <xdr:spPr>
        <a:xfrm>
          <a:off x="742950" y="508444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184</xdr:row>
      <xdr:rowOff>135256</xdr:rowOff>
    </xdr:from>
    <xdr:to>
      <xdr:col>1</xdr:col>
      <xdr:colOff>2244725</xdr:colOff>
      <xdr:row>184</xdr:row>
      <xdr:rowOff>180975</xdr:rowOff>
    </xdr:to>
    <xdr:sp macro="" textlink="">
      <xdr:nvSpPr>
        <xdr:cNvPr id="68" name="Right Arrow 67"/>
        <xdr:cNvSpPr/>
      </xdr:nvSpPr>
      <xdr:spPr>
        <a:xfrm>
          <a:off x="2120900" y="504272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273</xdr:row>
      <xdr:rowOff>552450</xdr:rowOff>
    </xdr:from>
    <xdr:to>
      <xdr:col>1</xdr:col>
      <xdr:colOff>636269</xdr:colOff>
      <xdr:row>274</xdr:row>
      <xdr:rowOff>6350</xdr:rowOff>
    </xdr:to>
    <xdr:sp macro="" textlink="">
      <xdr:nvSpPr>
        <xdr:cNvPr id="69" name="Down Arrow 68"/>
        <xdr:cNvSpPr/>
      </xdr:nvSpPr>
      <xdr:spPr>
        <a:xfrm>
          <a:off x="742950" y="751141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273</xdr:row>
      <xdr:rowOff>135256</xdr:rowOff>
    </xdr:from>
    <xdr:to>
      <xdr:col>1</xdr:col>
      <xdr:colOff>2244725</xdr:colOff>
      <xdr:row>273</xdr:row>
      <xdr:rowOff>180975</xdr:rowOff>
    </xdr:to>
    <xdr:sp macro="" textlink="">
      <xdr:nvSpPr>
        <xdr:cNvPr id="70" name="Right Arrow 69"/>
        <xdr:cNvSpPr/>
      </xdr:nvSpPr>
      <xdr:spPr>
        <a:xfrm>
          <a:off x="2120900" y="746969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363</xdr:row>
      <xdr:rowOff>552450</xdr:rowOff>
    </xdr:from>
    <xdr:to>
      <xdr:col>1</xdr:col>
      <xdr:colOff>636269</xdr:colOff>
      <xdr:row>364</xdr:row>
      <xdr:rowOff>6350</xdr:rowOff>
    </xdr:to>
    <xdr:sp macro="" textlink="">
      <xdr:nvSpPr>
        <xdr:cNvPr id="71" name="Down Arrow 70"/>
        <xdr:cNvSpPr/>
      </xdr:nvSpPr>
      <xdr:spPr>
        <a:xfrm>
          <a:off x="742950" y="996315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363</xdr:row>
      <xdr:rowOff>135256</xdr:rowOff>
    </xdr:from>
    <xdr:to>
      <xdr:col>1</xdr:col>
      <xdr:colOff>2244725</xdr:colOff>
      <xdr:row>363</xdr:row>
      <xdr:rowOff>180975</xdr:rowOff>
    </xdr:to>
    <xdr:sp macro="" textlink="">
      <xdr:nvSpPr>
        <xdr:cNvPr id="72" name="Right Arrow 71"/>
        <xdr:cNvSpPr/>
      </xdr:nvSpPr>
      <xdr:spPr>
        <a:xfrm>
          <a:off x="2120900" y="992143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453</xdr:row>
      <xdr:rowOff>552450</xdr:rowOff>
    </xdr:from>
    <xdr:to>
      <xdr:col>1</xdr:col>
      <xdr:colOff>636269</xdr:colOff>
      <xdr:row>454</xdr:row>
      <xdr:rowOff>6350</xdr:rowOff>
    </xdr:to>
    <xdr:sp macro="" textlink="">
      <xdr:nvSpPr>
        <xdr:cNvPr id="73" name="Down Arrow 72"/>
        <xdr:cNvSpPr/>
      </xdr:nvSpPr>
      <xdr:spPr>
        <a:xfrm>
          <a:off x="742950" y="1241488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453</xdr:row>
      <xdr:rowOff>135256</xdr:rowOff>
    </xdr:from>
    <xdr:to>
      <xdr:col>1</xdr:col>
      <xdr:colOff>2244725</xdr:colOff>
      <xdr:row>453</xdr:row>
      <xdr:rowOff>180975</xdr:rowOff>
    </xdr:to>
    <xdr:sp macro="" textlink="">
      <xdr:nvSpPr>
        <xdr:cNvPr id="74" name="Right Arrow 73"/>
        <xdr:cNvSpPr/>
      </xdr:nvSpPr>
      <xdr:spPr>
        <a:xfrm>
          <a:off x="2120900" y="1237316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543</xdr:row>
      <xdr:rowOff>552450</xdr:rowOff>
    </xdr:from>
    <xdr:to>
      <xdr:col>1</xdr:col>
      <xdr:colOff>636269</xdr:colOff>
      <xdr:row>544</xdr:row>
      <xdr:rowOff>6350</xdr:rowOff>
    </xdr:to>
    <xdr:sp macro="" textlink="">
      <xdr:nvSpPr>
        <xdr:cNvPr id="75" name="Down Arrow 74"/>
        <xdr:cNvSpPr/>
      </xdr:nvSpPr>
      <xdr:spPr>
        <a:xfrm>
          <a:off x="742950" y="1486662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543</xdr:row>
      <xdr:rowOff>135256</xdr:rowOff>
    </xdr:from>
    <xdr:to>
      <xdr:col>1</xdr:col>
      <xdr:colOff>2244725</xdr:colOff>
      <xdr:row>543</xdr:row>
      <xdr:rowOff>180975</xdr:rowOff>
    </xdr:to>
    <xdr:sp macro="" textlink="">
      <xdr:nvSpPr>
        <xdr:cNvPr id="76" name="Right Arrow 75"/>
        <xdr:cNvSpPr/>
      </xdr:nvSpPr>
      <xdr:spPr>
        <a:xfrm>
          <a:off x="2120900" y="1482490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633</xdr:row>
      <xdr:rowOff>552450</xdr:rowOff>
    </xdr:from>
    <xdr:to>
      <xdr:col>1</xdr:col>
      <xdr:colOff>636269</xdr:colOff>
      <xdr:row>634</xdr:row>
      <xdr:rowOff>6350</xdr:rowOff>
    </xdr:to>
    <xdr:sp macro="" textlink="">
      <xdr:nvSpPr>
        <xdr:cNvPr id="77" name="Down Arrow 76"/>
        <xdr:cNvSpPr/>
      </xdr:nvSpPr>
      <xdr:spPr>
        <a:xfrm>
          <a:off x="742950" y="1731835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633</xdr:row>
      <xdr:rowOff>135256</xdr:rowOff>
    </xdr:from>
    <xdr:to>
      <xdr:col>1</xdr:col>
      <xdr:colOff>2244725</xdr:colOff>
      <xdr:row>633</xdr:row>
      <xdr:rowOff>180975</xdr:rowOff>
    </xdr:to>
    <xdr:sp macro="" textlink="">
      <xdr:nvSpPr>
        <xdr:cNvPr id="78" name="Right Arrow 77"/>
        <xdr:cNvSpPr/>
      </xdr:nvSpPr>
      <xdr:spPr>
        <a:xfrm>
          <a:off x="2120900" y="1727663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723</xdr:row>
      <xdr:rowOff>552450</xdr:rowOff>
    </xdr:from>
    <xdr:to>
      <xdr:col>1</xdr:col>
      <xdr:colOff>636269</xdr:colOff>
      <xdr:row>724</xdr:row>
      <xdr:rowOff>6350</xdr:rowOff>
    </xdr:to>
    <xdr:sp macro="" textlink="">
      <xdr:nvSpPr>
        <xdr:cNvPr id="79" name="Down Arrow 78"/>
        <xdr:cNvSpPr/>
      </xdr:nvSpPr>
      <xdr:spPr>
        <a:xfrm>
          <a:off x="742950" y="1977009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723</xdr:row>
      <xdr:rowOff>135256</xdr:rowOff>
    </xdr:from>
    <xdr:to>
      <xdr:col>1</xdr:col>
      <xdr:colOff>2244725</xdr:colOff>
      <xdr:row>723</xdr:row>
      <xdr:rowOff>180975</xdr:rowOff>
    </xdr:to>
    <xdr:sp macro="" textlink="">
      <xdr:nvSpPr>
        <xdr:cNvPr id="80" name="Right Arrow 79"/>
        <xdr:cNvSpPr/>
      </xdr:nvSpPr>
      <xdr:spPr>
        <a:xfrm>
          <a:off x="2120900" y="1972837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813</xdr:row>
      <xdr:rowOff>552450</xdr:rowOff>
    </xdr:from>
    <xdr:to>
      <xdr:col>1</xdr:col>
      <xdr:colOff>636269</xdr:colOff>
      <xdr:row>814</xdr:row>
      <xdr:rowOff>6350</xdr:rowOff>
    </xdr:to>
    <xdr:sp macro="" textlink="">
      <xdr:nvSpPr>
        <xdr:cNvPr id="81" name="Down Arrow 80"/>
        <xdr:cNvSpPr/>
      </xdr:nvSpPr>
      <xdr:spPr>
        <a:xfrm>
          <a:off x="742950" y="2222182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813</xdr:row>
      <xdr:rowOff>135256</xdr:rowOff>
    </xdr:from>
    <xdr:to>
      <xdr:col>1</xdr:col>
      <xdr:colOff>2244725</xdr:colOff>
      <xdr:row>813</xdr:row>
      <xdr:rowOff>180975</xdr:rowOff>
    </xdr:to>
    <xdr:sp macro="" textlink="">
      <xdr:nvSpPr>
        <xdr:cNvPr id="82" name="Right Arrow 81"/>
        <xdr:cNvSpPr/>
      </xdr:nvSpPr>
      <xdr:spPr>
        <a:xfrm>
          <a:off x="2120900" y="2218010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21</xdr:col>
      <xdr:colOff>73477</xdr:colOff>
      <xdr:row>5</xdr:row>
      <xdr:rowOff>525236</xdr:rowOff>
    </xdr:from>
    <xdr:to>
      <xdr:col>21</xdr:col>
      <xdr:colOff>119196</xdr:colOff>
      <xdr:row>5</xdr:row>
      <xdr:rowOff>2455636</xdr:rowOff>
    </xdr:to>
    <xdr:sp macro="" textlink="">
      <xdr:nvSpPr>
        <xdr:cNvPr id="83" name="Down Arrow 82"/>
        <xdr:cNvSpPr/>
      </xdr:nvSpPr>
      <xdr:spPr>
        <a:xfrm>
          <a:off x="19628302" y="2030186"/>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5</xdr:row>
      <xdr:rowOff>135256</xdr:rowOff>
    </xdr:from>
    <xdr:to>
      <xdr:col>20</xdr:col>
      <xdr:colOff>2244725</xdr:colOff>
      <xdr:row>5</xdr:row>
      <xdr:rowOff>180975</xdr:rowOff>
    </xdr:to>
    <xdr:sp macro="" textlink="">
      <xdr:nvSpPr>
        <xdr:cNvPr id="84" name="Right Arrow 83"/>
        <xdr:cNvSpPr/>
      </xdr:nvSpPr>
      <xdr:spPr>
        <a:xfrm>
          <a:off x="19551650" y="16402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5</xdr:row>
      <xdr:rowOff>552450</xdr:rowOff>
    </xdr:from>
    <xdr:to>
      <xdr:col>39</xdr:col>
      <xdr:colOff>636269</xdr:colOff>
      <xdr:row>6</xdr:row>
      <xdr:rowOff>6350</xdr:rowOff>
    </xdr:to>
    <xdr:sp macro="" textlink="">
      <xdr:nvSpPr>
        <xdr:cNvPr id="85" name="Down Arrow 84"/>
        <xdr:cNvSpPr/>
      </xdr:nvSpPr>
      <xdr:spPr>
        <a:xfrm>
          <a:off x="35404425" y="20574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95</xdr:row>
      <xdr:rowOff>552450</xdr:rowOff>
    </xdr:from>
    <xdr:to>
      <xdr:col>20</xdr:col>
      <xdr:colOff>636269</xdr:colOff>
      <xdr:row>96</xdr:row>
      <xdr:rowOff>6350</xdr:rowOff>
    </xdr:to>
    <xdr:sp macro="" textlink="">
      <xdr:nvSpPr>
        <xdr:cNvPr id="86" name="Down Arrow 85"/>
        <xdr:cNvSpPr/>
      </xdr:nvSpPr>
      <xdr:spPr>
        <a:xfrm>
          <a:off x="19297650" y="265747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95</xdr:row>
      <xdr:rowOff>135256</xdr:rowOff>
    </xdr:from>
    <xdr:to>
      <xdr:col>20</xdr:col>
      <xdr:colOff>2244725</xdr:colOff>
      <xdr:row>95</xdr:row>
      <xdr:rowOff>180975</xdr:rowOff>
    </xdr:to>
    <xdr:sp macro="" textlink="">
      <xdr:nvSpPr>
        <xdr:cNvPr id="87" name="Right Arrow 86"/>
        <xdr:cNvSpPr/>
      </xdr:nvSpPr>
      <xdr:spPr>
        <a:xfrm>
          <a:off x="19551650" y="261575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95</xdr:row>
      <xdr:rowOff>552450</xdr:rowOff>
    </xdr:from>
    <xdr:to>
      <xdr:col>39</xdr:col>
      <xdr:colOff>636269</xdr:colOff>
      <xdr:row>96</xdr:row>
      <xdr:rowOff>6350</xdr:rowOff>
    </xdr:to>
    <xdr:sp macro="" textlink="">
      <xdr:nvSpPr>
        <xdr:cNvPr id="88" name="Down Arrow 87"/>
        <xdr:cNvSpPr/>
      </xdr:nvSpPr>
      <xdr:spPr>
        <a:xfrm>
          <a:off x="35404425" y="265747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95</xdr:row>
      <xdr:rowOff>135256</xdr:rowOff>
    </xdr:from>
    <xdr:to>
      <xdr:col>39</xdr:col>
      <xdr:colOff>2244725</xdr:colOff>
      <xdr:row>95</xdr:row>
      <xdr:rowOff>180975</xdr:rowOff>
    </xdr:to>
    <xdr:sp macro="" textlink="">
      <xdr:nvSpPr>
        <xdr:cNvPr id="89" name="Right Arrow 88"/>
        <xdr:cNvSpPr/>
      </xdr:nvSpPr>
      <xdr:spPr>
        <a:xfrm>
          <a:off x="35658425" y="261575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184</xdr:row>
      <xdr:rowOff>552450</xdr:rowOff>
    </xdr:from>
    <xdr:to>
      <xdr:col>20</xdr:col>
      <xdr:colOff>636269</xdr:colOff>
      <xdr:row>185</xdr:row>
      <xdr:rowOff>6350</xdr:rowOff>
    </xdr:to>
    <xdr:sp macro="" textlink="">
      <xdr:nvSpPr>
        <xdr:cNvPr id="90" name="Down Arrow 89"/>
        <xdr:cNvSpPr/>
      </xdr:nvSpPr>
      <xdr:spPr>
        <a:xfrm>
          <a:off x="19297650" y="508444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184</xdr:row>
      <xdr:rowOff>135256</xdr:rowOff>
    </xdr:from>
    <xdr:to>
      <xdr:col>20</xdr:col>
      <xdr:colOff>2244725</xdr:colOff>
      <xdr:row>184</xdr:row>
      <xdr:rowOff>180975</xdr:rowOff>
    </xdr:to>
    <xdr:sp macro="" textlink="">
      <xdr:nvSpPr>
        <xdr:cNvPr id="91" name="Right Arrow 90"/>
        <xdr:cNvSpPr/>
      </xdr:nvSpPr>
      <xdr:spPr>
        <a:xfrm>
          <a:off x="19551650" y="504272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184</xdr:row>
      <xdr:rowOff>552450</xdr:rowOff>
    </xdr:from>
    <xdr:to>
      <xdr:col>39</xdr:col>
      <xdr:colOff>636269</xdr:colOff>
      <xdr:row>185</xdr:row>
      <xdr:rowOff>6350</xdr:rowOff>
    </xdr:to>
    <xdr:sp macro="" textlink="">
      <xdr:nvSpPr>
        <xdr:cNvPr id="92" name="Down Arrow 91"/>
        <xdr:cNvSpPr/>
      </xdr:nvSpPr>
      <xdr:spPr>
        <a:xfrm>
          <a:off x="35404425" y="508444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184</xdr:row>
      <xdr:rowOff>135256</xdr:rowOff>
    </xdr:from>
    <xdr:to>
      <xdr:col>39</xdr:col>
      <xdr:colOff>2244725</xdr:colOff>
      <xdr:row>184</xdr:row>
      <xdr:rowOff>180975</xdr:rowOff>
    </xdr:to>
    <xdr:sp macro="" textlink="">
      <xdr:nvSpPr>
        <xdr:cNvPr id="93" name="Right Arrow 92"/>
        <xdr:cNvSpPr/>
      </xdr:nvSpPr>
      <xdr:spPr>
        <a:xfrm>
          <a:off x="35658425" y="504272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273</xdr:row>
      <xdr:rowOff>552450</xdr:rowOff>
    </xdr:from>
    <xdr:to>
      <xdr:col>20</xdr:col>
      <xdr:colOff>636269</xdr:colOff>
      <xdr:row>274</xdr:row>
      <xdr:rowOff>6350</xdr:rowOff>
    </xdr:to>
    <xdr:sp macro="" textlink="">
      <xdr:nvSpPr>
        <xdr:cNvPr id="94" name="Down Arrow 93"/>
        <xdr:cNvSpPr/>
      </xdr:nvSpPr>
      <xdr:spPr>
        <a:xfrm>
          <a:off x="19297650" y="751141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273</xdr:row>
      <xdr:rowOff>135256</xdr:rowOff>
    </xdr:from>
    <xdr:to>
      <xdr:col>20</xdr:col>
      <xdr:colOff>2244725</xdr:colOff>
      <xdr:row>273</xdr:row>
      <xdr:rowOff>180975</xdr:rowOff>
    </xdr:to>
    <xdr:sp macro="" textlink="">
      <xdr:nvSpPr>
        <xdr:cNvPr id="95" name="Right Arrow 94"/>
        <xdr:cNvSpPr/>
      </xdr:nvSpPr>
      <xdr:spPr>
        <a:xfrm>
          <a:off x="19551650" y="746969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273</xdr:row>
      <xdr:rowOff>552450</xdr:rowOff>
    </xdr:from>
    <xdr:to>
      <xdr:col>39</xdr:col>
      <xdr:colOff>636269</xdr:colOff>
      <xdr:row>274</xdr:row>
      <xdr:rowOff>6350</xdr:rowOff>
    </xdr:to>
    <xdr:sp macro="" textlink="">
      <xdr:nvSpPr>
        <xdr:cNvPr id="96" name="Down Arrow 95"/>
        <xdr:cNvSpPr/>
      </xdr:nvSpPr>
      <xdr:spPr>
        <a:xfrm>
          <a:off x="35404425" y="751141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273</xdr:row>
      <xdr:rowOff>135256</xdr:rowOff>
    </xdr:from>
    <xdr:to>
      <xdr:col>39</xdr:col>
      <xdr:colOff>2244725</xdr:colOff>
      <xdr:row>273</xdr:row>
      <xdr:rowOff>180975</xdr:rowOff>
    </xdr:to>
    <xdr:sp macro="" textlink="">
      <xdr:nvSpPr>
        <xdr:cNvPr id="97" name="Right Arrow 96"/>
        <xdr:cNvSpPr/>
      </xdr:nvSpPr>
      <xdr:spPr>
        <a:xfrm>
          <a:off x="35658425" y="746969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363</xdr:row>
      <xdr:rowOff>552450</xdr:rowOff>
    </xdr:from>
    <xdr:to>
      <xdr:col>20</xdr:col>
      <xdr:colOff>636269</xdr:colOff>
      <xdr:row>364</xdr:row>
      <xdr:rowOff>6350</xdr:rowOff>
    </xdr:to>
    <xdr:sp macro="" textlink="">
      <xdr:nvSpPr>
        <xdr:cNvPr id="98" name="Down Arrow 97"/>
        <xdr:cNvSpPr/>
      </xdr:nvSpPr>
      <xdr:spPr>
        <a:xfrm>
          <a:off x="19297650" y="996315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363</xdr:row>
      <xdr:rowOff>135256</xdr:rowOff>
    </xdr:from>
    <xdr:to>
      <xdr:col>20</xdr:col>
      <xdr:colOff>2244725</xdr:colOff>
      <xdr:row>363</xdr:row>
      <xdr:rowOff>180975</xdr:rowOff>
    </xdr:to>
    <xdr:sp macro="" textlink="">
      <xdr:nvSpPr>
        <xdr:cNvPr id="99" name="Right Arrow 98"/>
        <xdr:cNvSpPr/>
      </xdr:nvSpPr>
      <xdr:spPr>
        <a:xfrm>
          <a:off x="19551650" y="992143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363</xdr:row>
      <xdr:rowOff>552450</xdr:rowOff>
    </xdr:from>
    <xdr:to>
      <xdr:col>39</xdr:col>
      <xdr:colOff>636269</xdr:colOff>
      <xdr:row>364</xdr:row>
      <xdr:rowOff>6350</xdr:rowOff>
    </xdr:to>
    <xdr:sp macro="" textlink="">
      <xdr:nvSpPr>
        <xdr:cNvPr id="100" name="Down Arrow 99"/>
        <xdr:cNvSpPr/>
      </xdr:nvSpPr>
      <xdr:spPr>
        <a:xfrm>
          <a:off x="35404425" y="996315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363</xdr:row>
      <xdr:rowOff>135256</xdr:rowOff>
    </xdr:from>
    <xdr:to>
      <xdr:col>39</xdr:col>
      <xdr:colOff>2244725</xdr:colOff>
      <xdr:row>363</xdr:row>
      <xdr:rowOff>180975</xdr:rowOff>
    </xdr:to>
    <xdr:sp macro="" textlink="">
      <xdr:nvSpPr>
        <xdr:cNvPr id="101" name="Right Arrow 100"/>
        <xdr:cNvSpPr/>
      </xdr:nvSpPr>
      <xdr:spPr>
        <a:xfrm>
          <a:off x="35658425" y="992143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453</xdr:row>
      <xdr:rowOff>552450</xdr:rowOff>
    </xdr:from>
    <xdr:to>
      <xdr:col>20</xdr:col>
      <xdr:colOff>636269</xdr:colOff>
      <xdr:row>454</xdr:row>
      <xdr:rowOff>6350</xdr:rowOff>
    </xdr:to>
    <xdr:sp macro="" textlink="">
      <xdr:nvSpPr>
        <xdr:cNvPr id="102" name="Down Arrow 101"/>
        <xdr:cNvSpPr/>
      </xdr:nvSpPr>
      <xdr:spPr>
        <a:xfrm>
          <a:off x="19297650" y="1241488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453</xdr:row>
      <xdr:rowOff>135256</xdr:rowOff>
    </xdr:from>
    <xdr:to>
      <xdr:col>20</xdr:col>
      <xdr:colOff>2244725</xdr:colOff>
      <xdr:row>453</xdr:row>
      <xdr:rowOff>180975</xdr:rowOff>
    </xdr:to>
    <xdr:sp macro="" textlink="">
      <xdr:nvSpPr>
        <xdr:cNvPr id="103" name="Right Arrow 102"/>
        <xdr:cNvSpPr/>
      </xdr:nvSpPr>
      <xdr:spPr>
        <a:xfrm>
          <a:off x="19551650" y="1237316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453</xdr:row>
      <xdr:rowOff>552450</xdr:rowOff>
    </xdr:from>
    <xdr:to>
      <xdr:col>39</xdr:col>
      <xdr:colOff>636269</xdr:colOff>
      <xdr:row>454</xdr:row>
      <xdr:rowOff>6350</xdr:rowOff>
    </xdr:to>
    <xdr:sp macro="" textlink="">
      <xdr:nvSpPr>
        <xdr:cNvPr id="104" name="Down Arrow 103"/>
        <xdr:cNvSpPr/>
      </xdr:nvSpPr>
      <xdr:spPr>
        <a:xfrm>
          <a:off x="35404425" y="1241488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453</xdr:row>
      <xdr:rowOff>135256</xdr:rowOff>
    </xdr:from>
    <xdr:to>
      <xdr:col>39</xdr:col>
      <xdr:colOff>2244725</xdr:colOff>
      <xdr:row>453</xdr:row>
      <xdr:rowOff>180975</xdr:rowOff>
    </xdr:to>
    <xdr:sp macro="" textlink="">
      <xdr:nvSpPr>
        <xdr:cNvPr id="105" name="Right Arrow 104"/>
        <xdr:cNvSpPr/>
      </xdr:nvSpPr>
      <xdr:spPr>
        <a:xfrm>
          <a:off x="35658425" y="1237316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543</xdr:row>
      <xdr:rowOff>552450</xdr:rowOff>
    </xdr:from>
    <xdr:to>
      <xdr:col>20</xdr:col>
      <xdr:colOff>636269</xdr:colOff>
      <xdr:row>544</xdr:row>
      <xdr:rowOff>6350</xdr:rowOff>
    </xdr:to>
    <xdr:sp macro="" textlink="">
      <xdr:nvSpPr>
        <xdr:cNvPr id="106" name="Down Arrow 105"/>
        <xdr:cNvSpPr/>
      </xdr:nvSpPr>
      <xdr:spPr>
        <a:xfrm>
          <a:off x="19297650" y="1486662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543</xdr:row>
      <xdr:rowOff>135256</xdr:rowOff>
    </xdr:from>
    <xdr:to>
      <xdr:col>20</xdr:col>
      <xdr:colOff>2244725</xdr:colOff>
      <xdr:row>543</xdr:row>
      <xdr:rowOff>180975</xdr:rowOff>
    </xdr:to>
    <xdr:sp macro="" textlink="">
      <xdr:nvSpPr>
        <xdr:cNvPr id="107" name="Right Arrow 106"/>
        <xdr:cNvSpPr/>
      </xdr:nvSpPr>
      <xdr:spPr>
        <a:xfrm>
          <a:off x="19551650" y="1482490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543</xdr:row>
      <xdr:rowOff>552450</xdr:rowOff>
    </xdr:from>
    <xdr:to>
      <xdr:col>39</xdr:col>
      <xdr:colOff>636269</xdr:colOff>
      <xdr:row>544</xdr:row>
      <xdr:rowOff>6350</xdr:rowOff>
    </xdr:to>
    <xdr:sp macro="" textlink="">
      <xdr:nvSpPr>
        <xdr:cNvPr id="108" name="Down Arrow 107"/>
        <xdr:cNvSpPr/>
      </xdr:nvSpPr>
      <xdr:spPr>
        <a:xfrm>
          <a:off x="35404425" y="1486662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543</xdr:row>
      <xdr:rowOff>135256</xdr:rowOff>
    </xdr:from>
    <xdr:to>
      <xdr:col>39</xdr:col>
      <xdr:colOff>2244725</xdr:colOff>
      <xdr:row>543</xdr:row>
      <xdr:rowOff>180975</xdr:rowOff>
    </xdr:to>
    <xdr:sp macro="" textlink="">
      <xdr:nvSpPr>
        <xdr:cNvPr id="109" name="Right Arrow 108"/>
        <xdr:cNvSpPr/>
      </xdr:nvSpPr>
      <xdr:spPr>
        <a:xfrm>
          <a:off x="35658425" y="1482490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633</xdr:row>
      <xdr:rowOff>552450</xdr:rowOff>
    </xdr:from>
    <xdr:to>
      <xdr:col>20</xdr:col>
      <xdr:colOff>636269</xdr:colOff>
      <xdr:row>634</xdr:row>
      <xdr:rowOff>6350</xdr:rowOff>
    </xdr:to>
    <xdr:sp macro="" textlink="">
      <xdr:nvSpPr>
        <xdr:cNvPr id="110" name="Down Arrow 109"/>
        <xdr:cNvSpPr/>
      </xdr:nvSpPr>
      <xdr:spPr>
        <a:xfrm>
          <a:off x="19297650" y="1731835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633</xdr:row>
      <xdr:rowOff>135256</xdr:rowOff>
    </xdr:from>
    <xdr:to>
      <xdr:col>20</xdr:col>
      <xdr:colOff>2244725</xdr:colOff>
      <xdr:row>633</xdr:row>
      <xdr:rowOff>180975</xdr:rowOff>
    </xdr:to>
    <xdr:sp macro="" textlink="">
      <xdr:nvSpPr>
        <xdr:cNvPr id="111" name="Right Arrow 110"/>
        <xdr:cNvSpPr/>
      </xdr:nvSpPr>
      <xdr:spPr>
        <a:xfrm>
          <a:off x="19551650" y="1727663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633</xdr:row>
      <xdr:rowOff>552450</xdr:rowOff>
    </xdr:from>
    <xdr:to>
      <xdr:col>39</xdr:col>
      <xdr:colOff>636269</xdr:colOff>
      <xdr:row>634</xdr:row>
      <xdr:rowOff>6350</xdr:rowOff>
    </xdr:to>
    <xdr:sp macro="" textlink="">
      <xdr:nvSpPr>
        <xdr:cNvPr id="112" name="Down Arrow 111"/>
        <xdr:cNvSpPr/>
      </xdr:nvSpPr>
      <xdr:spPr>
        <a:xfrm>
          <a:off x="35404425" y="1731835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633</xdr:row>
      <xdr:rowOff>135256</xdr:rowOff>
    </xdr:from>
    <xdr:to>
      <xdr:col>39</xdr:col>
      <xdr:colOff>2244725</xdr:colOff>
      <xdr:row>633</xdr:row>
      <xdr:rowOff>180975</xdr:rowOff>
    </xdr:to>
    <xdr:sp macro="" textlink="">
      <xdr:nvSpPr>
        <xdr:cNvPr id="113" name="Right Arrow 112"/>
        <xdr:cNvSpPr/>
      </xdr:nvSpPr>
      <xdr:spPr>
        <a:xfrm>
          <a:off x="35658425" y="1727663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723</xdr:row>
      <xdr:rowOff>552450</xdr:rowOff>
    </xdr:from>
    <xdr:to>
      <xdr:col>20</xdr:col>
      <xdr:colOff>636269</xdr:colOff>
      <xdr:row>724</xdr:row>
      <xdr:rowOff>6350</xdr:rowOff>
    </xdr:to>
    <xdr:sp macro="" textlink="">
      <xdr:nvSpPr>
        <xdr:cNvPr id="114" name="Down Arrow 113"/>
        <xdr:cNvSpPr/>
      </xdr:nvSpPr>
      <xdr:spPr>
        <a:xfrm>
          <a:off x="19297650" y="1977009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723</xdr:row>
      <xdr:rowOff>135256</xdr:rowOff>
    </xdr:from>
    <xdr:to>
      <xdr:col>20</xdr:col>
      <xdr:colOff>2244725</xdr:colOff>
      <xdr:row>723</xdr:row>
      <xdr:rowOff>180975</xdr:rowOff>
    </xdr:to>
    <xdr:sp macro="" textlink="">
      <xdr:nvSpPr>
        <xdr:cNvPr id="115" name="Right Arrow 114"/>
        <xdr:cNvSpPr/>
      </xdr:nvSpPr>
      <xdr:spPr>
        <a:xfrm>
          <a:off x="19551650" y="1972837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723</xdr:row>
      <xdr:rowOff>552450</xdr:rowOff>
    </xdr:from>
    <xdr:to>
      <xdr:col>39</xdr:col>
      <xdr:colOff>636269</xdr:colOff>
      <xdr:row>724</xdr:row>
      <xdr:rowOff>6350</xdr:rowOff>
    </xdr:to>
    <xdr:sp macro="" textlink="">
      <xdr:nvSpPr>
        <xdr:cNvPr id="116" name="Down Arrow 115"/>
        <xdr:cNvSpPr/>
      </xdr:nvSpPr>
      <xdr:spPr>
        <a:xfrm>
          <a:off x="35404425" y="1977009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723</xdr:row>
      <xdr:rowOff>135256</xdr:rowOff>
    </xdr:from>
    <xdr:to>
      <xdr:col>39</xdr:col>
      <xdr:colOff>2244725</xdr:colOff>
      <xdr:row>723</xdr:row>
      <xdr:rowOff>180975</xdr:rowOff>
    </xdr:to>
    <xdr:sp macro="" textlink="">
      <xdr:nvSpPr>
        <xdr:cNvPr id="117" name="Right Arrow 116"/>
        <xdr:cNvSpPr/>
      </xdr:nvSpPr>
      <xdr:spPr>
        <a:xfrm>
          <a:off x="35658425" y="1972837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813</xdr:row>
      <xdr:rowOff>552450</xdr:rowOff>
    </xdr:from>
    <xdr:to>
      <xdr:col>20</xdr:col>
      <xdr:colOff>636269</xdr:colOff>
      <xdr:row>814</xdr:row>
      <xdr:rowOff>6350</xdr:rowOff>
    </xdr:to>
    <xdr:sp macro="" textlink="">
      <xdr:nvSpPr>
        <xdr:cNvPr id="118" name="Down Arrow 117"/>
        <xdr:cNvSpPr/>
      </xdr:nvSpPr>
      <xdr:spPr>
        <a:xfrm>
          <a:off x="19297650" y="2222182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813</xdr:row>
      <xdr:rowOff>135256</xdr:rowOff>
    </xdr:from>
    <xdr:to>
      <xdr:col>20</xdr:col>
      <xdr:colOff>2244725</xdr:colOff>
      <xdr:row>813</xdr:row>
      <xdr:rowOff>180975</xdr:rowOff>
    </xdr:to>
    <xdr:sp macro="" textlink="">
      <xdr:nvSpPr>
        <xdr:cNvPr id="119" name="Right Arrow 118"/>
        <xdr:cNvSpPr/>
      </xdr:nvSpPr>
      <xdr:spPr>
        <a:xfrm>
          <a:off x="19551650" y="2218010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813</xdr:row>
      <xdr:rowOff>552450</xdr:rowOff>
    </xdr:from>
    <xdr:to>
      <xdr:col>39</xdr:col>
      <xdr:colOff>636269</xdr:colOff>
      <xdr:row>814</xdr:row>
      <xdr:rowOff>6350</xdr:rowOff>
    </xdr:to>
    <xdr:sp macro="" textlink="">
      <xdr:nvSpPr>
        <xdr:cNvPr id="120" name="Down Arrow 119"/>
        <xdr:cNvSpPr/>
      </xdr:nvSpPr>
      <xdr:spPr>
        <a:xfrm>
          <a:off x="35404425" y="2222182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813</xdr:row>
      <xdr:rowOff>135256</xdr:rowOff>
    </xdr:from>
    <xdr:to>
      <xdr:col>39</xdr:col>
      <xdr:colOff>2244725</xdr:colOff>
      <xdr:row>813</xdr:row>
      <xdr:rowOff>180975</xdr:rowOff>
    </xdr:to>
    <xdr:sp macro="" textlink="">
      <xdr:nvSpPr>
        <xdr:cNvPr id="121" name="Right Arrow 120"/>
        <xdr:cNvSpPr/>
      </xdr:nvSpPr>
      <xdr:spPr>
        <a:xfrm>
          <a:off x="35658425" y="2218010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5</xdr:row>
      <xdr:rowOff>552450</xdr:rowOff>
    </xdr:from>
    <xdr:to>
      <xdr:col>1</xdr:col>
      <xdr:colOff>636269</xdr:colOff>
      <xdr:row>6</xdr:row>
      <xdr:rowOff>6350</xdr:rowOff>
    </xdr:to>
    <xdr:sp macro="" textlink="">
      <xdr:nvSpPr>
        <xdr:cNvPr id="122" name="Down Arrow 121"/>
        <xdr:cNvSpPr/>
      </xdr:nvSpPr>
      <xdr:spPr>
        <a:xfrm>
          <a:off x="742950" y="20574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95</xdr:row>
      <xdr:rowOff>552450</xdr:rowOff>
    </xdr:from>
    <xdr:to>
      <xdr:col>1</xdr:col>
      <xdr:colOff>636269</xdr:colOff>
      <xdr:row>96</xdr:row>
      <xdr:rowOff>6350</xdr:rowOff>
    </xdr:to>
    <xdr:sp macro="" textlink="">
      <xdr:nvSpPr>
        <xdr:cNvPr id="123" name="Down Arrow 122"/>
        <xdr:cNvSpPr/>
      </xdr:nvSpPr>
      <xdr:spPr>
        <a:xfrm>
          <a:off x="742950" y="265747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95</xdr:row>
      <xdr:rowOff>135256</xdr:rowOff>
    </xdr:from>
    <xdr:to>
      <xdr:col>1</xdr:col>
      <xdr:colOff>2244725</xdr:colOff>
      <xdr:row>95</xdr:row>
      <xdr:rowOff>180975</xdr:rowOff>
    </xdr:to>
    <xdr:sp macro="" textlink="">
      <xdr:nvSpPr>
        <xdr:cNvPr id="124" name="Right Arrow 123"/>
        <xdr:cNvSpPr/>
      </xdr:nvSpPr>
      <xdr:spPr>
        <a:xfrm>
          <a:off x="2120900" y="261575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184</xdr:row>
      <xdr:rowOff>552450</xdr:rowOff>
    </xdr:from>
    <xdr:to>
      <xdr:col>1</xdr:col>
      <xdr:colOff>636269</xdr:colOff>
      <xdr:row>185</xdr:row>
      <xdr:rowOff>6350</xdr:rowOff>
    </xdr:to>
    <xdr:sp macro="" textlink="">
      <xdr:nvSpPr>
        <xdr:cNvPr id="125" name="Down Arrow 124"/>
        <xdr:cNvSpPr/>
      </xdr:nvSpPr>
      <xdr:spPr>
        <a:xfrm>
          <a:off x="742950" y="508444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184</xdr:row>
      <xdr:rowOff>135256</xdr:rowOff>
    </xdr:from>
    <xdr:to>
      <xdr:col>1</xdr:col>
      <xdr:colOff>2244725</xdr:colOff>
      <xdr:row>184</xdr:row>
      <xdr:rowOff>180975</xdr:rowOff>
    </xdr:to>
    <xdr:sp macro="" textlink="">
      <xdr:nvSpPr>
        <xdr:cNvPr id="126" name="Right Arrow 125"/>
        <xdr:cNvSpPr/>
      </xdr:nvSpPr>
      <xdr:spPr>
        <a:xfrm>
          <a:off x="2120900" y="504272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273</xdr:row>
      <xdr:rowOff>552450</xdr:rowOff>
    </xdr:from>
    <xdr:to>
      <xdr:col>1</xdr:col>
      <xdr:colOff>636269</xdr:colOff>
      <xdr:row>274</xdr:row>
      <xdr:rowOff>6350</xdr:rowOff>
    </xdr:to>
    <xdr:sp macro="" textlink="">
      <xdr:nvSpPr>
        <xdr:cNvPr id="127" name="Down Arrow 126"/>
        <xdr:cNvSpPr/>
      </xdr:nvSpPr>
      <xdr:spPr>
        <a:xfrm>
          <a:off x="742950" y="751141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273</xdr:row>
      <xdr:rowOff>135256</xdr:rowOff>
    </xdr:from>
    <xdr:to>
      <xdr:col>1</xdr:col>
      <xdr:colOff>2244725</xdr:colOff>
      <xdr:row>273</xdr:row>
      <xdr:rowOff>180975</xdr:rowOff>
    </xdr:to>
    <xdr:sp macro="" textlink="">
      <xdr:nvSpPr>
        <xdr:cNvPr id="128" name="Right Arrow 127"/>
        <xdr:cNvSpPr/>
      </xdr:nvSpPr>
      <xdr:spPr>
        <a:xfrm>
          <a:off x="2120900" y="746969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363</xdr:row>
      <xdr:rowOff>552450</xdr:rowOff>
    </xdr:from>
    <xdr:to>
      <xdr:col>1</xdr:col>
      <xdr:colOff>636269</xdr:colOff>
      <xdr:row>364</xdr:row>
      <xdr:rowOff>6350</xdr:rowOff>
    </xdr:to>
    <xdr:sp macro="" textlink="">
      <xdr:nvSpPr>
        <xdr:cNvPr id="129" name="Down Arrow 128"/>
        <xdr:cNvSpPr/>
      </xdr:nvSpPr>
      <xdr:spPr>
        <a:xfrm>
          <a:off x="742950" y="996315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363</xdr:row>
      <xdr:rowOff>135256</xdr:rowOff>
    </xdr:from>
    <xdr:to>
      <xdr:col>1</xdr:col>
      <xdr:colOff>2244725</xdr:colOff>
      <xdr:row>363</xdr:row>
      <xdr:rowOff>180975</xdr:rowOff>
    </xdr:to>
    <xdr:sp macro="" textlink="">
      <xdr:nvSpPr>
        <xdr:cNvPr id="130" name="Right Arrow 129"/>
        <xdr:cNvSpPr/>
      </xdr:nvSpPr>
      <xdr:spPr>
        <a:xfrm>
          <a:off x="2120900" y="992143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453</xdr:row>
      <xdr:rowOff>552450</xdr:rowOff>
    </xdr:from>
    <xdr:to>
      <xdr:col>1</xdr:col>
      <xdr:colOff>636269</xdr:colOff>
      <xdr:row>454</xdr:row>
      <xdr:rowOff>6350</xdr:rowOff>
    </xdr:to>
    <xdr:sp macro="" textlink="">
      <xdr:nvSpPr>
        <xdr:cNvPr id="131" name="Down Arrow 130"/>
        <xdr:cNvSpPr/>
      </xdr:nvSpPr>
      <xdr:spPr>
        <a:xfrm>
          <a:off x="742950" y="1241488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453</xdr:row>
      <xdr:rowOff>135256</xdr:rowOff>
    </xdr:from>
    <xdr:to>
      <xdr:col>1</xdr:col>
      <xdr:colOff>2244725</xdr:colOff>
      <xdr:row>453</xdr:row>
      <xdr:rowOff>180975</xdr:rowOff>
    </xdr:to>
    <xdr:sp macro="" textlink="">
      <xdr:nvSpPr>
        <xdr:cNvPr id="132" name="Right Arrow 131"/>
        <xdr:cNvSpPr/>
      </xdr:nvSpPr>
      <xdr:spPr>
        <a:xfrm>
          <a:off x="2120900" y="1237316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543</xdr:row>
      <xdr:rowOff>552450</xdr:rowOff>
    </xdr:from>
    <xdr:to>
      <xdr:col>1</xdr:col>
      <xdr:colOff>636269</xdr:colOff>
      <xdr:row>544</xdr:row>
      <xdr:rowOff>6350</xdr:rowOff>
    </xdr:to>
    <xdr:sp macro="" textlink="">
      <xdr:nvSpPr>
        <xdr:cNvPr id="133" name="Down Arrow 132"/>
        <xdr:cNvSpPr/>
      </xdr:nvSpPr>
      <xdr:spPr>
        <a:xfrm>
          <a:off x="742950" y="1486662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543</xdr:row>
      <xdr:rowOff>135256</xdr:rowOff>
    </xdr:from>
    <xdr:to>
      <xdr:col>1</xdr:col>
      <xdr:colOff>2244725</xdr:colOff>
      <xdr:row>543</xdr:row>
      <xdr:rowOff>180975</xdr:rowOff>
    </xdr:to>
    <xdr:sp macro="" textlink="">
      <xdr:nvSpPr>
        <xdr:cNvPr id="134" name="Right Arrow 133"/>
        <xdr:cNvSpPr/>
      </xdr:nvSpPr>
      <xdr:spPr>
        <a:xfrm>
          <a:off x="2120900" y="1482490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633</xdr:row>
      <xdr:rowOff>552450</xdr:rowOff>
    </xdr:from>
    <xdr:to>
      <xdr:col>1</xdr:col>
      <xdr:colOff>636269</xdr:colOff>
      <xdr:row>634</xdr:row>
      <xdr:rowOff>6350</xdr:rowOff>
    </xdr:to>
    <xdr:sp macro="" textlink="">
      <xdr:nvSpPr>
        <xdr:cNvPr id="135" name="Down Arrow 134"/>
        <xdr:cNvSpPr/>
      </xdr:nvSpPr>
      <xdr:spPr>
        <a:xfrm>
          <a:off x="742950" y="1731835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633</xdr:row>
      <xdr:rowOff>135256</xdr:rowOff>
    </xdr:from>
    <xdr:to>
      <xdr:col>1</xdr:col>
      <xdr:colOff>2244725</xdr:colOff>
      <xdr:row>633</xdr:row>
      <xdr:rowOff>180975</xdr:rowOff>
    </xdr:to>
    <xdr:sp macro="" textlink="">
      <xdr:nvSpPr>
        <xdr:cNvPr id="136" name="Right Arrow 135"/>
        <xdr:cNvSpPr/>
      </xdr:nvSpPr>
      <xdr:spPr>
        <a:xfrm>
          <a:off x="2120900" y="1727663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723</xdr:row>
      <xdr:rowOff>552450</xdr:rowOff>
    </xdr:from>
    <xdr:to>
      <xdr:col>1</xdr:col>
      <xdr:colOff>636269</xdr:colOff>
      <xdr:row>724</xdr:row>
      <xdr:rowOff>6350</xdr:rowOff>
    </xdr:to>
    <xdr:sp macro="" textlink="">
      <xdr:nvSpPr>
        <xdr:cNvPr id="137" name="Down Arrow 136"/>
        <xdr:cNvSpPr/>
      </xdr:nvSpPr>
      <xdr:spPr>
        <a:xfrm>
          <a:off x="742950" y="1977009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723</xdr:row>
      <xdr:rowOff>135256</xdr:rowOff>
    </xdr:from>
    <xdr:to>
      <xdr:col>1</xdr:col>
      <xdr:colOff>2244725</xdr:colOff>
      <xdr:row>723</xdr:row>
      <xdr:rowOff>180975</xdr:rowOff>
    </xdr:to>
    <xdr:sp macro="" textlink="">
      <xdr:nvSpPr>
        <xdr:cNvPr id="138" name="Right Arrow 137"/>
        <xdr:cNvSpPr/>
      </xdr:nvSpPr>
      <xdr:spPr>
        <a:xfrm>
          <a:off x="2120900" y="1972837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813</xdr:row>
      <xdr:rowOff>552450</xdr:rowOff>
    </xdr:from>
    <xdr:to>
      <xdr:col>1</xdr:col>
      <xdr:colOff>636269</xdr:colOff>
      <xdr:row>814</xdr:row>
      <xdr:rowOff>6350</xdr:rowOff>
    </xdr:to>
    <xdr:sp macro="" textlink="">
      <xdr:nvSpPr>
        <xdr:cNvPr id="139" name="Down Arrow 138"/>
        <xdr:cNvSpPr/>
      </xdr:nvSpPr>
      <xdr:spPr>
        <a:xfrm>
          <a:off x="742950" y="2222182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813</xdr:row>
      <xdr:rowOff>135256</xdr:rowOff>
    </xdr:from>
    <xdr:to>
      <xdr:col>1</xdr:col>
      <xdr:colOff>2244725</xdr:colOff>
      <xdr:row>813</xdr:row>
      <xdr:rowOff>180975</xdr:rowOff>
    </xdr:to>
    <xdr:sp macro="" textlink="">
      <xdr:nvSpPr>
        <xdr:cNvPr id="140" name="Right Arrow 139"/>
        <xdr:cNvSpPr/>
      </xdr:nvSpPr>
      <xdr:spPr>
        <a:xfrm>
          <a:off x="2120900" y="2218010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5</xdr:row>
      <xdr:rowOff>552450</xdr:rowOff>
    </xdr:from>
    <xdr:to>
      <xdr:col>39</xdr:col>
      <xdr:colOff>636269</xdr:colOff>
      <xdr:row>6</xdr:row>
      <xdr:rowOff>6350</xdr:rowOff>
    </xdr:to>
    <xdr:sp macro="" textlink="">
      <xdr:nvSpPr>
        <xdr:cNvPr id="141" name="Down Arrow 140"/>
        <xdr:cNvSpPr/>
      </xdr:nvSpPr>
      <xdr:spPr>
        <a:xfrm>
          <a:off x="35404425" y="20574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95</xdr:row>
      <xdr:rowOff>552450</xdr:rowOff>
    </xdr:from>
    <xdr:to>
      <xdr:col>20</xdr:col>
      <xdr:colOff>636269</xdr:colOff>
      <xdr:row>96</xdr:row>
      <xdr:rowOff>6350</xdr:rowOff>
    </xdr:to>
    <xdr:sp macro="" textlink="">
      <xdr:nvSpPr>
        <xdr:cNvPr id="142" name="Down Arrow 141"/>
        <xdr:cNvSpPr/>
      </xdr:nvSpPr>
      <xdr:spPr>
        <a:xfrm>
          <a:off x="19297650" y="265747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95</xdr:row>
      <xdr:rowOff>135256</xdr:rowOff>
    </xdr:from>
    <xdr:to>
      <xdr:col>20</xdr:col>
      <xdr:colOff>2244725</xdr:colOff>
      <xdr:row>95</xdr:row>
      <xdr:rowOff>180975</xdr:rowOff>
    </xdr:to>
    <xdr:sp macro="" textlink="">
      <xdr:nvSpPr>
        <xdr:cNvPr id="143" name="Right Arrow 142"/>
        <xdr:cNvSpPr/>
      </xdr:nvSpPr>
      <xdr:spPr>
        <a:xfrm>
          <a:off x="19551650" y="261575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95</xdr:row>
      <xdr:rowOff>552450</xdr:rowOff>
    </xdr:from>
    <xdr:to>
      <xdr:col>39</xdr:col>
      <xdr:colOff>636269</xdr:colOff>
      <xdr:row>96</xdr:row>
      <xdr:rowOff>6350</xdr:rowOff>
    </xdr:to>
    <xdr:sp macro="" textlink="">
      <xdr:nvSpPr>
        <xdr:cNvPr id="144" name="Down Arrow 143"/>
        <xdr:cNvSpPr/>
      </xdr:nvSpPr>
      <xdr:spPr>
        <a:xfrm>
          <a:off x="35404425" y="265747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95</xdr:row>
      <xdr:rowOff>135256</xdr:rowOff>
    </xdr:from>
    <xdr:to>
      <xdr:col>39</xdr:col>
      <xdr:colOff>2244725</xdr:colOff>
      <xdr:row>95</xdr:row>
      <xdr:rowOff>180975</xdr:rowOff>
    </xdr:to>
    <xdr:sp macro="" textlink="">
      <xdr:nvSpPr>
        <xdr:cNvPr id="145" name="Right Arrow 144"/>
        <xdr:cNvSpPr/>
      </xdr:nvSpPr>
      <xdr:spPr>
        <a:xfrm>
          <a:off x="35658425" y="261575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184</xdr:row>
      <xdr:rowOff>552450</xdr:rowOff>
    </xdr:from>
    <xdr:to>
      <xdr:col>20</xdr:col>
      <xdr:colOff>636269</xdr:colOff>
      <xdr:row>185</xdr:row>
      <xdr:rowOff>6350</xdr:rowOff>
    </xdr:to>
    <xdr:sp macro="" textlink="">
      <xdr:nvSpPr>
        <xdr:cNvPr id="146" name="Down Arrow 145"/>
        <xdr:cNvSpPr/>
      </xdr:nvSpPr>
      <xdr:spPr>
        <a:xfrm>
          <a:off x="19297650" y="508444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184</xdr:row>
      <xdr:rowOff>135256</xdr:rowOff>
    </xdr:from>
    <xdr:to>
      <xdr:col>20</xdr:col>
      <xdr:colOff>2244725</xdr:colOff>
      <xdr:row>184</xdr:row>
      <xdr:rowOff>180975</xdr:rowOff>
    </xdr:to>
    <xdr:sp macro="" textlink="">
      <xdr:nvSpPr>
        <xdr:cNvPr id="147" name="Right Arrow 146"/>
        <xdr:cNvSpPr/>
      </xdr:nvSpPr>
      <xdr:spPr>
        <a:xfrm>
          <a:off x="19551650" y="504272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184</xdr:row>
      <xdr:rowOff>552450</xdr:rowOff>
    </xdr:from>
    <xdr:to>
      <xdr:col>39</xdr:col>
      <xdr:colOff>636269</xdr:colOff>
      <xdr:row>185</xdr:row>
      <xdr:rowOff>6350</xdr:rowOff>
    </xdr:to>
    <xdr:sp macro="" textlink="">
      <xdr:nvSpPr>
        <xdr:cNvPr id="148" name="Down Arrow 147"/>
        <xdr:cNvSpPr/>
      </xdr:nvSpPr>
      <xdr:spPr>
        <a:xfrm>
          <a:off x="35404425" y="508444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184</xdr:row>
      <xdr:rowOff>135256</xdr:rowOff>
    </xdr:from>
    <xdr:to>
      <xdr:col>39</xdr:col>
      <xdr:colOff>2244725</xdr:colOff>
      <xdr:row>184</xdr:row>
      <xdr:rowOff>180975</xdr:rowOff>
    </xdr:to>
    <xdr:sp macro="" textlink="">
      <xdr:nvSpPr>
        <xdr:cNvPr id="149" name="Right Arrow 148"/>
        <xdr:cNvSpPr/>
      </xdr:nvSpPr>
      <xdr:spPr>
        <a:xfrm>
          <a:off x="35658425" y="504272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273</xdr:row>
      <xdr:rowOff>552450</xdr:rowOff>
    </xdr:from>
    <xdr:to>
      <xdr:col>20</xdr:col>
      <xdr:colOff>636269</xdr:colOff>
      <xdr:row>274</xdr:row>
      <xdr:rowOff>6350</xdr:rowOff>
    </xdr:to>
    <xdr:sp macro="" textlink="">
      <xdr:nvSpPr>
        <xdr:cNvPr id="150" name="Down Arrow 149"/>
        <xdr:cNvSpPr/>
      </xdr:nvSpPr>
      <xdr:spPr>
        <a:xfrm>
          <a:off x="19297650" y="751141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273</xdr:row>
      <xdr:rowOff>135256</xdr:rowOff>
    </xdr:from>
    <xdr:to>
      <xdr:col>20</xdr:col>
      <xdr:colOff>2244725</xdr:colOff>
      <xdr:row>273</xdr:row>
      <xdr:rowOff>180975</xdr:rowOff>
    </xdr:to>
    <xdr:sp macro="" textlink="">
      <xdr:nvSpPr>
        <xdr:cNvPr id="151" name="Right Arrow 150"/>
        <xdr:cNvSpPr/>
      </xdr:nvSpPr>
      <xdr:spPr>
        <a:xfrm>
          <a:off x="19551650" y="746969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273</xdr:row>
      <xdr:rowOff>552450</xdr:rowOff>
    </xdr:from>
    <xdr:to>
      <xdr:col>39</xdr:col>
      <xdr:colOff>636269</xdr:colOff>
      <xdr:row>274</xdr:row>
      <xdr:rowOff>6350</xdr:rowOff>
    </xdr:to>
    <xdr:sp macro="" textlink="">
      <xdr:nvSpPr>
        <xdr:cNvPr id="152" name="Down Arrow 151"/>
        <xdr:cNvSpPr/>
      </xdr:nvSpPr>
      <xdr:spPr>
        <a:xfrm>
          <a:off x="35404425" y="751141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273</xdr:row>
      <xdr:rowOff>135256</xdr:rowOff>
    </xdr:from>
    <xdr:to>
      <xdr:col>39</xdr:col>
      <xdr:colOff>2244725</xdr:colOff>
      <xdr:row>273</xdr:row>
      <xdr:rowOff>180975</xdr:rowOff>
    </xdr:to>
    <xdr:sp macro="" textlink="">
      <xdr:nvSpPr>
        <xdr:cNvPr id="153" name="Right Arrow 152"/>
        <xdr:cNvSpPr/>
      </xdr:nvSpPr>
      <xdr:spPr>
        <a:xfrm>
          <a:off x="35658425" y="746969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363</xdr:row>
      <xdr:rowOff>552450</xdr:rowOff>
    </xdr:from>
    <xdr:to>
      <xdr:col>20</xdr:col>
      <xdr:colOff>636269</xdr:colOff>
      <xdr:row>364</xdr:row>
      <xdr:rowOff>6350</xdr:rowOff>
    </xdr:to>
    <xdr:sp macro="" textlink="">
      <xdr:nvSpPr>
        <xdr:cNvPr id="154" name="Down Arrow 153"/>
        <xdr:cNvSpPr/>
      </xdr:nvSpPr>
      <xdr:spPr>
        <a:xfrm>
          <a:off x="19297650" y="996315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363</xdr:row>
      <xdr:rowOff>135256</xdr:rowOff>
    </xdr:from>
    <xdr:to>
      <xdr:col>20</xdr:col>
      <xdr:colOff>2244725</xdr:colOff>
      <xdr:row>363</xdr:row>
      <xdr:rowOff>180975</xdr:rowOff>
    </xdr:to>
    <xdr:sp macro="" textlink="">
      <xdr:nvSpPr>
        <xdr:cNvPr id="155" name="Right Arrow 154"/>
        <xdr:cNvSpPr/>
      </xdr:nvSpPr>
      <xdr:spPr>
        <a:xfrm>
          <a:off x="19551650" y="992143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363</xdr:row>
      <xdr:rowOff>552450</xdr:rowOff>
    </xdr:from>
    <xdr:to>
      <xdr:col>39</xdr:col>
      <xdr:colOff>636269</xdr:colOff>
      <xdr:row>364</xdr:row>
      <xdr:rowOff>6350</xdr:rowOff>
    </xdr:to>
    <xdr:sp macro="" textlink="">
      <xdr:nvSpPr>
        <xdr:cNvPr id="156" name="Down Arrow 155"/>
        <xdr:cNvSpPr/>
      </xdr:nvSpPr>
      <xdr:spPr>
        <a:xfrm>
          <a:off x="35404425" y="996315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363</xdr:row>
      <xdr:rowOff>135256</xdr:rowOff>
    </xdr:from>
    <xdr:to>
      <xdr:col>39</xdr:col>
      <xdr:colOff>2244725</xdr:colOff>
      <xdr:row>363</xdr:row>
      <xdr:rowOff>180975</xdr:rowOff>
    </xdr:to>
    <xdr:sp macro="" textlink="">
      <xdr:nvSpPr>
        <xdr:cNvPr id="157" name="Right Arrow 156"/>
        <xdr:cNvSpPr/>
      </xdr:nvSpPr>
      <xdr:spPr>
        <a:xfrm>
          <a:off x="35658425" y="992143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453</xdr:row>
      <xdr:rowOff>552450</xdr:rowOff>
    </xdr:from>
    <xdr:to>
      <xdr:col>20</xdr:col>
      <xdr:colOff>636269</xdr:colOff>
      <xdr:row>454</xdr:row>
      <xdr:rowOff>6350</xdr:rowOff>
    </xdr:to>
    <xdr:sp macro="" textlink="">
      <xdr:nvSpPr>
        <xdr:cNvPr id="158" name="Down Arrow 157"/>
        <xdr:cNvSpPr/>
      </xdr:nvSpPr>
      <xdr:spPr>
        <a:xfrm>
          <a:off x="19297650" y="1241488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453</xdr:row>
      <xdr:rowOff>135256</xdr:rowOff>
    </xdr:from>
    <xdr:to>
      <xdr:col>20</xdr:col>
      <xdr:colOff>2244725</xdr:colOff>
      <xdr:row>453</xdr:row>
      <xdr:rowOff>180975</xdr:rowOff>
    </xdr:to>
    <xdr:sp macro="" textlink="">
      <xdr:nvSpPr>
        <xdr:cNvPr id="159" name="Right Arrow 158"/>
        <xdr:cNvSpPr/>
      </xdr:nvSpPr>
      <xdr:spPr>
        <a:xfrm>
          <a:off x="19551650" y="1237316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453</xdr:row>
      <xdr:rowOff>552450</xdr:rowOff>
    </xdr:from>
    <xdr:to>
      <xdr:col>39</xdr:col>
      <xdr:colOff>636269</xdr:colOff>
      <xdr:row>454</xdr:row>
      <xdr:rowOff>6350</xdr:rowOff>
    </xdr:to>
    <xdr:sp macro="" textlink="">
      <xdr:nvSpPr>
        <xdr:cNvPr id="160" name="Down Arrow 159"/>
        <xdr:cNvSpPr/>
      </xdr:nvSpPr>
      <xdr:spPr>
        <a:xfrm>
          <a:off x="35404425" y="1241488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453</xdr:row>
      <xdr:rowOff>135256</xdr:rowOff>
    </xdr:from>
    <xdr:to>
      <xdr:col>39</xdr:col>
      <xdr:colOff>2244725</xdr:colOff>
      <xdr:row>453</xdr:row>
      <xdr:rowOff>180975</xdr:rowOff>
    </xdr:to>
    <xdr:sp macro="" textlink="">
      <xdr:nvSpPr>
        <xdr:cNvPr id="161" name="Right Arrow 160"/>
        <xdr:cNvSpPr/>
      </xdr:nvSpPr>
      <xdr:spPr>
        <a:xfrm>
          <a:off x="35658425" y="1237316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543</xdr:row>
      <xdr:rowOff>552450</xdr:rowOff>
    </xdr:from>
    <xdr:to>
      <xdr:col>20</xdr:col>
      <xdr:colOff>636269</xdr:colOff>
      <xdr:row>544</xdr:row>
      <xdr:rowOff>6350</xdr:rowOff>
    </xdr:to>
    <xdr:sp macro="" textlink="">
      <xdr:nvSpPr>
        <xdr:cNvPr id="162" name="Down Arrow 161"/>
        <xdr:cNvSpPr/>
      </xdr:nvSpPr>
      <xdr:spPr>
        <a:xfrm>
          <a:off x="19297650" y="1486662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543</xdr:row>
      <xdr:rowOff>135256</xdr:rowOff>
    </xdr:from>
    <xdr:to>
      <xdr:col>20</xdr:col>
      <xdr:colOff>2244725</xdr:colOff>
      <xdr:row>543</xdr:row>
      <xdr:rowOff>180975</xdr:rowOff>
    </xdr:to>
    <xdr:sp macro="" textlink="">
      <xdr:nvSpPr>
        <xdr:cNvPr id="163" name="Right Arrow 162"/>
        <xdr:cNvSpPr/>
      </xdr:nvSpPr>
      <xdr:spPr>
        <a:xfrm>
          <a:off x="19551650" y="1482490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543</xdr:row>
      <xdr:rowOff>552450</xdr:rowOff>
    </xdr:from>
    <xdr:to>
      <xdr:col>39</xdr:col>
      <xdr:colOff>636269</xdr:colOff>
      <xdr:row>544</xdr:row>
      <xdr:rowOff>6350</xdr:rowOff>
    </xdr:to>
    <xdr:sp macro="" textlink="">
      <xdr:nvSpPr>
        <xdr:cNvPr id="164" name="Down Arrow 163"/>
        <xdr:cNvSpPr/>
      </xdr:nvSpPr>
      <xdr:spPr>
        <a:xfrm>
          <a:off x="35404425" y="1486662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543</xdr:row>
      <xdr:rowOff>135256</xdr:rowOff>
    </xdr:from>
    <xdr:to>
      <xdr:col>39</xdr:col>
      <xdr:colOff>2244725</xdr:colOff>
      <xdr:row>543</xdr:row>
      <xdr:rowOff>180975</xdr:rowOff>
    </xdr:to>
    <xdr:sp macro="" textlink="">
      <xdr:nvSpPr>
        <xdr:cNvPr id="165" name="Right Arrow 164"/>
        <xdr:cNvSpPr/>
      </xdr:nvSpPr>
      <xdr:spPr>
        <a:xfrm>
          <a:off x="35658425" y="1482490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633</xdr:row>
      <xdr:rowOff>552450</xdr:rowOff>
    </xdr:from>
    <xdr:to>
      <xdr:col>20</xdr:col>
      <xdr:colOff>636269</xdr:colOff>
      <xdr:row>634</xdr:row>
      <xdr:rowOff>6350</xdr:rowOff>
    </xdr:to>
    <xdr:sp macro="" textlink="">
      <xdr:nvSpPr>
        <xdr:cNvPr id="166" name="Down Arrow 165"/>
        <xdr:cNvSpPr/>
      </xdr:nvSpPr>
      <xdr:spPr>
        <a:xfrm>
          <a:off x="19297650" y="1731835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633</xdr:row>
      <xdr:rowOff>135256</xdr:rowOff>
    </xdr:from>
    <xdr:to>
      <xdr:col>20</xdr:col>
      <xdr:colOff>2244725</xdr:colOff>
      <xdr:row>633</xdr:row>
      <xdr:rowOff>180975</xdr:rowOff>
    </xdr:to>
    <xdr:sp macro="" textlink="">
      <xdr:nvSpPr>
        <xdr:cNvPr id="167" name="Right Arrow 166"/>
        <xdr:cNvSpPr/>
      </xdr:nvSpPr>
      <xdr:spPr>
        <a:xfrm>
          <a:off x="19551650" y="1727663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633</xdr:row>
      <xdr:rowOff>552450</xdr:rowOff>
    </xdr:from>
    <xdr:to>
      <xdr:col>39</xdr:col>
      <xdr:colOff>636269</xdr:colOff>
      <xdr:row>634</xdr:row>
      <xdr:rowOff>6350</xdr:rowOff>
    </xdr:to>
    <xdr:sp macro="" textlink="">
      <xdr:nvSpPr>
        <xdr:cNvPr id="168" name="Down Arrow 167"/>
        <xdr:cNvSpPr/>
      </xdr:nvSpPr>
      <xdr:spPr>
        <a:xfrm>
          <a:off x="35404425" y="1731835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633</xdr:row>
      <xdr:rowOff>135256</xdr:rowOff>
    </xdr:from>
    <xdr:to>
      <xdr:col>39</xdr:col>
      <xdr:colOff>2244725</xdr:colOff>
      <xdr:row>633</xdr:row>
      <xdr:rowOff>180975</xdr:rowOff>
    </xdr:to>
    <xdr:sp macro="" textlink="">
      <xdr:nvSpPr>
        <xdr:cNvPr id="169" name="Right Arrow 168"/>
        <xdr:cNvSpPr/>
      </xdr:nvSpPr>
      <xdr:spPr>
        <a:xfrm>
          <a:off x="35658425" y="1727663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723</xdr:row>
      <xdr:rowOff>552450</xdr:rowOff>
    </xdr:from>
    <xdr:to>
      <xdr:col>20</xdr:col>
      <xdr:colOff>636269</xdr:colOff>
      <xdr:row>724</xdr:row>
      <xdr:rowOff>6350</xdr:rowOff>
    </xdr:to>
    <xdr:sp macro="" textlink="">
      <xdr:nvSpPr>
        <xdr:cNvPr id="170" name="Down Arrow 169"/>
        <xdr:cNvSpPr/>
      </xdr:nvSpPr>
      <xdr:spPr>
        <a:xfrm>
          <a:off x="19297650" y="1977009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723</xdr:row>
      <xdr:rowOff>135256</xdr:rowOff>
    </xdr:from>
    <xdr:to>
      <xdr:col>20</xdr:col>
      <xdr:colOff>2244725</xdr:colOff>
      <xdr:row>723</xdr:row>
      <xdr:rowOff>180975</xdr:rowOff>
    </xdr:to>
    <xdr:sp macro="" textlink="">
      <xdr:nvSpPr>
        <xdr:cNvPr id="171" name="Right Arrow 170"/>
        <xdr:cNvSpPr/>
      </xdr:nvSpPr>
      <xdr:spPr>
        <a:xfrm>
          <a:off x="19551650" y="1972837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723</xdr:row>
      <xdr:rowOff>552450</xdr:rowOff>
    </xdr:from>
    <xdr:to>
      <xdr:col>39</xdr:col>
      <xdr:colOff>636269</xdr:colOff>
      <xdr:row>724</xdr:row>
      <xdr:rowOff>6350</xdr:rowOff>
    </xdr:to>
    <xdr:sp macro="" textlink="">
      <xdr:nvSpPr>
        <xdr:cNvPr id="172" name="Down Arrow 171"/>
        <xdr:cNvSpPr/>
      </xdr:nvSpPr>
      <xdr:spPr>
        <a:xfrm>
          <a:off x="35404425" y="19770090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723</xdr:row>
      <xdr:rowOff>135256</xdr:rowOff>
    </xdr:from>
    <xdr:to>
      <xdr:col>39</xdr:col>
      <xdr:colOff>2244725</xdr:colOff>
      <xdr:row>723</xdr:row>
      <xdr:rowOff>180975</xdr:rowOff>
    </xdr:to>
    <xdr:sp macro="" textlink="">
      <xdr:nvSpPr>
        <xdr:cNvPr id="173" name="Right Arrow 172"/>
        <xdr:cNvSpPr/>
      </xdr:nvSpPr>
      <xdr:spPr>
        <a:xfrm>
          <a:off x="35658425" y="1972837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813</xdr:row>
      <xdr:rowOff>552450</xdr:rowOff>
    </xdr:from>
    <xdr:to>
      <xdr:col>20</xdr:col>
      <xdr:colOff>636269</xdr:colOff>
      <xdr:row>814</xdr:row>
      <xdr:rowOff>6350</xdr:rowOff>
    </xdr:to>
    <xdr:sp macro="" textlink="">
      <xdr:nvSpPr>
        <xdr:cNvPr id="174" name="Down Arrow 173"/>
        <xdr:cNvSpPr/>
      </xdr:nvSpPr>
      <xdr:spPr>
        <a:xfrm>
          <a:off x="19297650" y="2222182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813</xdr:row>
      <xdr:rowOff>135256</xdr:rowOff>
    </xdr:from>
    <xdr:to>
      <xdr:col>20</xdr:col>
      <xdr:colOff>2244725</xdr:colOff>
      <xdr:row>813</xdr:row>
      <xdr:rowOff>180975</xdr:rowOff>
    </xdr:to>
    <xdr:sp macro="" textlink="">
      <xdr:nvSpPr>
        <xdr:cNvPr id="175" name="Right Arrow 174"/>
        <xdr:cNvSpPr/>
      </xdr:nvSpPr>
      <xdr:spPr>
        <a:xfrm>
          <a:off x="19551650" y="2218010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813</xdr:row>
      <xdr:rowOff>552450</xdr:rowOff>
    </xdr:from>
    <xdr:to>
      <xdr:col>39</xdr:col>
      <xdr:colOff>636269</xdr:colOff>
      <xdr:row>814</xdr:row>
      <xdr:rowOff>6350</xdr:rowOff>
    </xdr:to>
    <xdr:sp macro="" textlink="">
      <xdr:nvSpPr>
        <xdr:cNvPr id="176" name="Down Arrow 175"/>
        <xdr:cNvSpPr/>
      </xdr:nvSpPr>
      <xdr:spPr>
        <a:xfrm>
          <a:off x="35404425" y="222218250"/>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813</xdr:row>
      <xdr:rowOff>135256</xdr:rowOff>
    </xdr:from>
    <xdr:to>
      <xdr:col>39</xdr:col>
      <xdr:colOff>2244725</xdr:colOff>
      <xdr:row>813</xdr:row>
      <xdr:rowOff>180975</xdr:rowOff>
    </xdr:to>
    <xdr:sp macro="" textlink="">
      <xdr:nvSpPr>
        <xdr:cNvPr id="177" name="Right Arrow 176"/>
        <xdr:cNvSpPr/>
      </xdr:nvSpPr>
      <xdr:spPr>
        <a:xfrm>
          <a:off x="35658425" y="2218010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95</xdr:row>
      <xdr:rowOff>552450</xdr:rowOff>
    </xdr:from>
    <xdr:to>
      <xdr:col>1</xdr:col>
      <xdr:colOff>636269</xdr:colOff>
      <xdr:row>96</xdr:row>
      <xdr:rowOff>6350</xdr:rowOff>
    </xdr:to>
    <xdr:sp macro="" textlink="">
      <xdr:nvSpPr>
        <xdr:cNvPr id="178" name="Down Arrow 177"/>
        <xdr:cNvSpPr/>
      </xdr:nvSpPr>
      <xdr:spPr>
        <a:xfrm>
          <a:off x="749300" y="2721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95</xdr:row>
      <xdr:rowOff>552450</xdr:rowOff>
    </xdr:from>
    <xdr:to>
      <xdr:col>20</xdr:col>
      <xdr:colOff>636269</xdr:colOff>
      <xdr:row>96</xdr:row>
      <xdr:rowOff>6350</xdr:rowOff>
    </xdr:to>
    <xdr:sp macro="" textlink="">
      <xdr:nvSpPr>
        <xdr:cNvPr id="179" name="Down Arrow 178"/>
        <xdr:cNvSpPr/>
      </xdr:nvSpPr>
      <xdr:spPr>
        <a:xfrm>
          <a:off x="20205700" y="2721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95</xdr:row>
      <xdr:rowOff>552450</xdr:rowOff>
    </xdr:from>
    <xdr:to>
      <xdr:col>39</xdr:col>
      <xdr:colOff>636269</xdr:colOff>
      <xdr:row>96</xdr:row>
      <xdr:rowOff>6350</xdr:rowOff>
    </xdr:to>
    <xdr:sp macro="" textlink="">
      <xdr:nvSpPr>
        <xdr:cNvPr id="180" name="Down Arrow 179"/>
        <xdr:cNvSpPr/>
      </xdr:nvSpPr>
      <xdr:spPr>
        <a:xfrm>
          <a:off x="37096700" y="2721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184</xdr:row>
      <xdr:rowOff>552450</xdr:rowOff>
    </xdr:from>
    <xdr:to>
      <xdr:col>1</xdr:col>
      <xdr:colOff>636269</xdr:colOff>
      <xdr:row>185</xdr:row>
      <xdr:rowOff>6350</xdr:rowOff>
    </xdr:to>
    <xdr:sp macro="" textlink="">
      <xdr:nvSpPr>
        <xdr:cNvPr id="181" name="Down Arrow 180"/>
        <xdr:cNvSpPr/>
      </xdr:nvSpPr>
      <xdr:spPr>
        <a:xfrm>
          <a:off x="749300" y="5210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184</xdr:row>
      <xdr:rowOff>552450</xdr:rowOff>
    </xdr:from>
    <xdr:to>
      <xdr:col>20</xdr:col>
      <xdr:colOff>636269</xdr:colOff>
      <xdr:row>185</xdr:row>
      <xdr:rowOff>6350</xdr:rowOff>
    </xdr:to>
    <xdr:sp macro="" textlink="">
      <xdr:nvSpPr>
        <xdr:cNvPr id="182" name="Down Arrow 181"/>
        <xdr:cNvSpPr/>
      </xdr:nvSpPr>
      <xdr:spPr>
        <a:xfrm>
          <a:off x="20205700" y="5210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184</xdr:row>
      <xdr:rowOff>552450</xdr:rowOff>
    </xdr:from>
    <xdr:to>
      <xdr:col>39</xdr:col>
      <xdr:colOff>636269</xdr:colOff>
      <xdr:row>185</xdr:row>
      <xdr:rowOff>6350</xdr:rowOff>
    </xdr:to>
    <xdr:sp macro="" textlink="">
      <xdr:nvSpPr>
        <xdr:cNvPr id="183" name="Down Arrow 182"/>
        <xdr:cNvSpPr/>
      </xdr:nvSpPr>
      <xdr:spPr>
        <a:xfrm>
          <a:off x="37096700" y="5210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273</xdr:row>
      <xdr:rowOff>552450</xdr:rowOff>
    </xdr:from>
    <xdr:to>
      <xdr:col>1</xdr:col>
      <xdr:colOff>636269</xdr:colOff>
      <xdr:row>274</xdr:row>
      <xdr:rowOff>6350</xdr:rowOff>
    </xdr:to>
    <xdr:sp macro="" textlink="">
      <xdr:nvSpPr>
        <xdr:cNvPr id="184" name="Down Arrow 183"/>
        <xdr:cNvSpPr/>
      </xdr:nvSpPr>
      <xdr:spPr>
        <a:xfrm>
          <a:off x="749300" y="7700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273</xdr:row>
      <xdr:rowOff>552450</xdr:rowOff>
    </xdr:from>
    <xdr:to>
      <xdr:col>20</xdr:col>
      <xdr:colOff>636269</xdr:colOff>
      <xdr:row>274</xdr:row>
      <xdr:rowOff>6350</xdr:rowOff>
    </xdr:to>
    <xdr:sp macro="" textlink="">
      <xdr:nvSpPr>
        <xdr:cNvPr id="185" name="Down Arrow 184"/>
        <xdr:cNvSpPr/>
      </xdr:nvSpPr>
      <xdr:spPr>
        <a:xfrm>
          <a:off x="20205700" y="7700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273</xdr:row>
      <xdr:rowOff>552450</xdr:rowOff>
    </xdr:from>
    <xdr:to>
      <xdr:col>39</xdr:col>
      <xdr:colOff>636269</xdr:colOff>
      <xdr:row>274</xdr:row>
      <xdr:rowOff>6350</xdr:rowOff>
    </xdr:to>
    <xdr:sp macro="" textlink="">
      <xdr:nvSpPr>
        <xdr:cNvPr id="186" name="Down Arrow 185"/>
        <xdr:cNvSpPr/>
      </xdr:nvSpPr>
      <xdr:spPr>
        <a:xfrm>
          <a:off x="37096700" y="7700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363</xdr:row>
      <xdr:rowOff>552450</xdr:rowOff>
    </xdr:from>
    <xdr:to>
      <xdr:col>1</xdr:col>
      <xdr:colOff>636269</xdr:colOff>
      <xdr:row>364</xdr:row>
      <xdr:rowOff>6350</xdr:rowOff>
    </xdr:to>
    <xdr:sp macro="" textlink="">
      <xdr:nvSpPr>
        <xdr:cNvPr id="187" name="Down Arrow 186"/>
        <xdr:cNvSpPr/>
      </xdr:nvSpPr>
      <xdr:spPr>
        <a:xfrm>
          <a:off x="749300" y="10214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363</xdr:row>
      <xdr:rowOff>552450</xdr:rowOff>
    </xdr:from>
    <xdr:to>
      <xdr:col>20</xdr:col>
      <xdr:colOff>636269</xdr:colOff>
      <xdr:row>364</xdr:row>
      <xdr:rowOff>6350</xdr:rowOff>
    </xdr:to>
    <xdr:sp macro="" textlink="">
      <xdr:nvSpPr>
        <xdr:cNvPr id="188" name="Down Arrow 187"/>
        <xdr:cNvSpPr/>
      </xdr:nvSpPr>
      <xdr:spPr>
        <a:xfrm>
          <a:off x="20205700" y="10214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363</xdr:row>
      <xdr:rowOff>552450</xdr:rowOff>
    </xdr:from>
    <xdr:to>
      <xdr:col>39</xdr:col>
      <xdr:colOff>636269</xdr:colOff>
      <xdr:row>364</xdr:row>
      <xdr:rowOff>6350</xdr:rowOff>
    </xdr:to>
    <xdr:sp macro="" textlink="">
      <xdr:nvSpPr>
        <xdr:cNvPr id="189" name="Down Arrow 188"/>
        <xdr:cNvSpPr/>
      </xdr:nvSpPr>
      <xdr:spPr>
        <a:xfrm>
          <a:off x="37096700" y="10214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453</xdr:row>
      <xdr:rowOff>552450</xdr:rowOff>
    </xdr:from>
    <xdr:to>
      <xdr:col>1</xdr:col>
      <xdr:colOff>636269</xdr:colOff>
      <xdr:row>454</xdr:row>
      <xdr:rowOff>6350</xdr:rowOff>
    </xdr:to>
    <xdr:sp macro="" textlink="">
      <xdr:nvSpPr>
        <xdr:cNvPr id="190" name="Down Arrow 189"/>
        <xdr:cNvSpPr/>
      </xdr:nvSpPr>
      <xdr:spPr>
        <a:xfrm>
          <a:off x="749300" y="127292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453</xdr:row>
      <xdr:rowOff>552450</xdr:rowOff>
    </xdr:from>
    <xdr:to>
      <xdr:col>20</xdr:col>
      <xdr:colOff>636269</xdr:colOff>
      <xdr:row>454</xdr:row>
      <xdr:rowOff>6350</xdr:rowOff>
    </xdr:to>
    <xdr:sp macro="" textlink="">
      <xdr:nvSpPr>
        <xdr:cNvPr id="191" name="Down Arrow 190"/>
        <xdr:cNvSpPr/>
      </xdr:nvSpPr>
      <xdr:spPr>
        <a:xfrm>
          <a:off x="20205700" y="127292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453</xdr:row>
      <xdr:rowOff>552450</xdr:rowOff>
    </xdr:from>
    <xdr:to>
      <xdr:col>39</xdr:col>
      <xdr:colOff>636269</xdr:colOff>
      <xdr:row>454</xdr:row>
      <xdr:rowOff>6350</xdr:rowOff>
    </xdr:to>
    <xdr:sp macro="" textlink="">
      <xdr:nvSpPr>
        <xdr:cNvPr id="192" name="Down Arrow 191"/>
        <xdr:cNvSpPr/>
      </xdr:nvSpPr>
      <xdr:spPr>
        <a:xfrm>
          <a:off x="37096700" y="127292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543</xdr:row>
      <xdr:rowOff>552450</xdr:rowOff>
    </xdr:from>
    <xdr:to>
      <xdr:col>1</xdr:col>
      <xdr:colOff>636269</xdr:colOff>
      <xdr:row>544</xdr:row>
      <xdr:rowOff>6350</xdr:rowOff>
    </xdr:to>
    <xdr:sp macro="" textlink="">
      <xdr:nvSpPr>
        <xdr:cNvPr id="193" name="Down Arrow 192"/>
        <xdr:cNvSpPr/>
      </xdr:nvSpPr>
      <xdr:spPr>
        <a:xfrm>
          <a:off x="749300" y="15243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543</xdr:row>
      <xdr:rowOff>552450</xdr:rowOff>
    </xdr:from>
    <xdr:to>
      <xdr:col>20</xdr:col>
      <xdr:colOff>636269</xdr:colOff>
      <xdr:row>544</xdr:row>
      <xdr:rowOff>6350</xdr:rowOff>
    </xdr:to>
    <xdr:sp macro="" textlink="">
      <xdr:nvSpPr>
        <xdr:cNvPr id="194" name="Down Arrow 193"/>
        <xdr:cNvSpPr/>
      </xdr:nvSpPr>
      <xdr:spPr>
        <a:xfrm>
          <a:off x="20205700" y="15243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543</xdr:row>
      <xdr:rowOff>552450</xdr:rowOff>
    </xdr:from>
    <xdr:to>
      <xdr:col>39</xdr:col>
      <xdr:colOff>636269</xdr:colOff>
      <xdr:row>544</xdr:row>
      <xdr:rowOff>6350</xdr:rowOff>
    </xdr:to>
    <xdr:sp macro="" textlink="">
      <xdr:nvSpPr>
        <xdr:cNvPr id="195" name="Down Arrow 194"/>
        <xdr:cNvSpPr/>
      </xdr:nvSpPr>
      <xdr:spPr>
        <a:xfrm>
          <a:off x="37096700" y="15243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633</xdr:row>
      <xdr:rowOff>552450</xdr:rowOff>
    </xdr:from>
    <xdr:to>
      <xdr:col>1</xdr:col>
      <xdr:colOff>636269</xdr:colOff>
      <xdr:row>634</xdr:row>
      <xdr:rowOff>6350</xdr:rowOff>
    </xdr:to>
    <xdr:sp macro="" textlink="">
      <xdr:nvSpPr>
        <xdr:cNvPr id="196" name="Down Arrow 195"/>
        <xdr:cNvSpPr/>
      </xdr:nvSpPr>
      <xdr:spPr>
        <a:xfrm>
          <a:off x="749300" y="177584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633</xdr:row>
      <xdr:rowOff>552450</xdr:rowOff>
    </xdr:from>
    <xdr:to>
      <xdr:col>20</xdr:col>
      <xdr:colOff>636269</xdr:colOff>
      <xdr:row>634</xdr:row>
      <xdr:rowOff>6350</xdr:rowOff>
    </xdr:to>
    <xdr:sp macro="" textlink="">
      <xdr:nvSpPr>
        <xdr:cNvPr id="197" name="Down Arrow 196"/>
        <xdr:cNvSpPr/>
      </xdr:nvSpPr>
      <xdr:spPr>
        <a:xfrm>
          <a:off x="20205700" y="177584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633</xdr:row>
      <xdr:rowOff>552450</xdr:rowOff>
    </xdr:from>
    <xdr:to>
      <xdr:col>39</xdr:col>
      <xdr:colOff>636269</xdr:colOff>
      <xdr:row>634</xdr:row>
      <xdr:rowOff>6350</xdr:rowOff>
    </xdr:to>
    <xdr:sp macro="" textlink="">
      <xdr:nvSpPr>
        <xdr:cNvPr id="198" name="Down Arrow 197"/>
        <xdr:cNvSpPr/>
      </xdr:nvSpPr>
      <xdr:spPr>
        <a:xfrm>
          <a:off x="37096700" y="177584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723</xdr:row>
      <xdr:rowOff>552450</xdr:rowOff>
    </xdr:from>
    <xdr:to>
      <xdr:col>1</xdr:col>
      <xdr:colOff>636269</xdr:colOff>
      <xdr:row>724</xdr:row>
      <xdr:rowOff>6350</xdr:rowOff>
    </xdr:to>
    <xdr:sp macro="" textlink="">
      <xdr:nvSpPr>
        <xdr:cNvPr id="199" name="Down Arrow 198"/>
        <xdr:cNvSpPr/>
      </xdr:nvSpPr>
      <xdr:spPr>
        <a:xfrm>
          <a:off x="749300" y="20273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723</xdr:row>
      <xdr:rowOff>552450</xdr:rowOff>
    </xdr:from>
    <xdr:to>
      <xdr:col>20</xdr:col>
      <xdr:colOff>636269</xdr:colOff>
      <xdr:row>724</xdr:row>
      <xdr:rowOff>6350</xdr:rowOff>
    </xdr:to>
    <xdr:sp macro="" textlink="">
      <xdr:nvSpPr>
        <xdr:cNvPr id="200" name="Down Arrow 199"/>
        <xdr:cNvSpPr/>
      </xdr:nvSpPr>
      <xdr:spPr>
        <a:xfrm>
          <a:off x="20205700" y="20273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723</xdr:row>
      <xdr:rowOff>552450</xdr:rowOff>
    </xdr:from>
    <xdr:to>
      <xdr:col>39</xdr:col>
      <xdr:colOff>636269</xdr:colOff>
      <xdr:row>724</xdr:row>
      <xdr:rowOff>6350</xdr:rowOff>
    </xdr:to>
    <xdr:sp macro="" textlink="">
      <xdr:nvSpPr>
        <xdr:cNvPr id="201" name="Down Arrow 200"/>
        <xdr:cNvSpPr/>
      </xdr:nvSpPr>
      <xdr:spPr>
        <a:xfrm>
          <a:off x="37096700" y="20273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813</xdr:row>
      <xdr:rowOff>552450</xdr:rowOff>
    </xdr:from>
    <xdr:to>
      <xdr:col>1</xdr:col>
      <xdr:colOff>636269</xdr:colOff>
      <xdr:row>814</xdr:row>
      <xdr:rowOff>6350</xdr:rowOff>
    </xdr:to>
    <xdr:sp macro="" textlink="">
      <xdr:nvSpPr>
        <xdr:cNvPr id="202" name="Down Arrow 201"/>
        <xdr:cNvSpPr/>
      </xdr:nvSpPr>
      <xdr:spPr>
        <a:xfrm>
          <a:off x="749300" y="22787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813</xdr:row>
      <xdr:rowOff>552450</xdr:rowOff>
    </xdr:from>
    <xdr:to>
      <xdr:col>20</xdr:col>
      <xdr:colOff>636269</xdr:colOff>
      <xdr:row>814</xdr:row>
      <xdr:rowOff>6350</xdr:rowOff>
    </xdr:to>
    <xdr:sp macro="" textlink="">
      <xdr:nvSpPr>
        <xdr:cNvPr id="203" name="Down Arrow 202"/>
        <xdr:cNvSpPr/>
      </xdr:nvSpPr>
      <xdr:spPr>
        <a:xfrm>
          <a:off x="20205700" y="22787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813</xdr:row>
      <xdr:rowOff>552450</xdr:rowOff>
    </xdr:from>
    <xdr:to>
      <xdr:col>39</xdr:col>
      <xdr:colOff>636269</xdr:colOff>
      <xdr:row>814</xdr:row>
      <xdr:rowOff>6350</xdr:rowOff>
    </xdr:to>
    <xdr:sp macro="" textlink="">
      <xdr:nvSpPr>
        <xdr:cNvPr id="204" name="Down Arrow 203"/>
        <xdr:cNvSpPr/>
      </xdr:nvSpPr>
      <xdr:spPr>
        <a:xfrm>
          <a:off x="37096700" y="22787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5</xdr:row>
      <xdr:rowOff>552450</xdr:rowOff>
    </xdr:from>
    <xdr:to>
      <xdr:col>1</xdr:col>
      <xdr:colOff>636269</xdr:colOff>
      <xdr:row>6</xdr:row>
      <xdr:rowOff>6350</xdr:rowOff>
    </xdr:to>
    <xdr:sp macro="" textlink="">
      <xdr:nvSpPr>
        <xdr:cNvPr id="205" name="Down Arrow 204"/>
        <xdr:cNvSpPr/>
      </xdr:nvSpPr>
      <xdr:spPr>
        <a:xfrm>
          <a:off x="749300" y="207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5</xdr:row>
      <xdr:rowOff>135256</xdr:rowOff>
    </xdr:from>
    <xdr:to>
      <xdr:col>1</xdr:col>
      <xdr:colOff>2244725</xdr:colOff>
      <xdr:row>5</xdr:row>
      <xdr:rowOff>180975</xdr:rowOff>
    </xdr:to>
    <xdr:sp macro="" textlink="">
      <xdr:nvSpPr>
        <xdr:cNvPr id="206" name="Right Arrow 205"/>
        <xdr:cNvSpPr/>
      </xdr:nvSpPr>
      <xdr:spPr>
        <a:xfrm>
          <a:off x="2127250" y="16529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95</xdr:row>
      <xdr:rowOff>552450</xdr:rowOff>
    </xdr:from>
    <xdr:to>
      <xdr:col>1</xdr:col>
      <xdr:colOff>636269</xdr:colOff>
      <xdr:row>96</xdr:row>
      <xdr:rowOff>6350</xdr:rowOff>
    </xdr:to>
    <xdr:sp macro="" textlink="">
      <xdr:nvSpPr>
        <xdr:cNvPr id="207" name="Down Arrow 206"/>
        <xdr:cNvSpPr/>
      </xdr:nvSpPr>
      <xdr:spPr>
        <a:xfrm>
          <a:off x="749300" y="2721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95</xdr:row>
      <xdr:rowOff>135256</xdr:rowOff>
    </xdr:from>
    <xdr:to>
      <xdr:col>1</xdr:col>
      <xdr:colOff>2244725</xdr:colOff>
      <xdr:row>95</xdr:row>
      <xdr:rowOff>180975</xdr:rowOff>
    </xdr:to>
    <xdr:sp macro="" textlink="">
      <xdr:nvSpPr>
        <xdr:cNvPr id="208" name="Right Arrow 207"/>
        <xdr:cNvSpPr/>
      </xdr:nvSpPr>
      <xdr:spPr>
        <a:xfrm>
          <a:off x="2127250" y="267989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184</xdr:row>
      <xdr:rowOff>552450</xdr:rowOff>
    </xdr:from>
    <xdr:to>
      <xdr:col>1</xdr:col>
      <xdr:colOff>636269</xdr:colOff>
      <xdr:row>185</xdr:row>
      <xdr:rowOff>6350</xdr:rowOff>
    </xdr:to>
    <xdr:sp macro="" textlink="">
      <xdr:nvSpPr>
        <xdr:cNvPr id="209" name="Down Arrow 208"/>
        <xdr:cNvSpPr/>
      </xdr:nvSpPr>
      <xdr:spPr>
        <a:xfrm>
          <a:off x="749300" y="5210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184</xdr:row>
      <xdr:rowOff>135256</xdr:rowOff>
    </xdr:from>
    <xdr:to>
      <xdr:col>1</xdr:col>
      <xdr:colOff>2244725</xdr:colOff>
      <xdr:row>184</xdr:row>
      <xdr:rowOff>180975</xdr:rowOff>
    </xdr:to>
    <xdr:sp macro="" textlink="">
      <xdr:nvSpPr>
        <xdr:cNvPr id="210" name="Right Arrow 209"/>
        <xdr:cNvSpPr/>
      </xdr:nvSpPr>
      <xdr:spPr>
        <a:xfrm>
          <a:off x="2127250" y="516909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273</xdr:row>
      <xdr:rowOff>552450</xdr:rowOff>
    </xdr:from>
    <xdr:to>
      <xdr:col>1</xdr:col>
      <xdr:colOff>636269</xdr:colOff>
      <xdr:row>274</xdr:row>
      <xdr:rowOff>6350</xdr:rowOff>
    </xdr:to>
    <xdr:sp macro="" textlink="">
      <xdr:nvSpPr>
        <xdr:cNvPr id="211" name="Down Arrow 210"/>
        <xdr:cNvSpPr/>
      </xdr:nvSpPr>
      <xdr:spPr>
        <a:xfrm>
          <a:off x="749300" y="7700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273</xdr:row>
      <xdr:rowOff>135256</xdr:rowOff>
    </xdr:from>
    <xdr:to>
      <xdr:col>1</xdr:col>
      <xdr:colOff>2244725</xdr:colOff>
      <xdr:row>273</xdr:row>
      <xdr:rowOff>180975</xdr:rowOff>
    </xdr:to>
    <xdr:sp macro="" textlink="">
      <xdr:nvSpPr>
        <xdr:cNvPr id="212" name="Right Arrow 211"/>
        <xdr:cNvSpPr/>
      </xdr:nvSpPr>
      <xdr:spPr>
        <a:xfrm>
          <a:off x="2127250" y="765829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363</xdr:row>
      <xdr:rowOff>552450</xdr:rowOff>
    </xdr:from>
    <xdr:to>
      <xdr:col>1</xdr:col>
      <xdr:colOff>636269</xdr:colOff>
      <xdr:row>364</xdr:row>
      <xdr:rowOff>6350</xdr:rowOff>
    </xdr:to>
    <xdr:sp macro="" textlink="">
      <xdr:nvSpPr>
        <xdr:cNvPr id="213" name="Down Arrow 212"/>
        <xdr:cNvSpPr/>
      </xdr:nvSpPr>
      <xdr:spPr>
        <a:xfrm>
          <a:off x="749300" y="10214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363</xdr:row>
      <xdr:rowOff>135256</xdr:rowOff>
    </xdr:from>
    <xdr:to>
      <xdr:col>1</xdr:col>
      <xdr:colOff>2244725</xdr:colOff>
      <xdr:row>363</xdr:row>
      <xdr:rowOff>180975</xdr:rowOff>
    </xdr:to>
    <xdr:sp macro="" textlink="">
      <xdr:nvSpPr>
        <xdr:cNvPr id="214" name="Right Arrow 213"/>
        <xdr:cNvSpPr/>
      </xdr:nvSpPr>
      <xdr:spPr>
        <a:xfrm>
          <a:off x="2127250" y="1017289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453</xdr:row>
      <xdr:rowOff>552450</xdr:rowOff>
    </xdr:from>
    <xdr:to>
      <xdr:col>1</xdr:col>
      <xdr:colOff>636269</xdr:colOff>
      <xdr:row>454</xdr:row>
      <xdr:rowOff>6350</xdr:rowOff>
    </xdr:to>
    <xdr:sp macro="" textlink="">
      <xdr:nvSpPr>
        <xdr:cNvPr id="215" name="Down Arrow 214"/>
        <xdr:cNvSpPr/>
      </xdr:nvSpPr>
      <xdr:spPr>
        <a:xfrm>
          <a:off x="749300" y="127292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453</xdr:row>
      <xdr:rowOff>135256</xdr:rowOff>
    </xdr:from>
    <xdr:to>
      <xdr:col>1</xdr:col>
      <xdr:colOff>2244725</xdr:colOff>
      <xdr:row>453</xdr:row>
      <xdr:rowOff>180975</xdr:rowOff>
    </xdr:to>
    <xdr:sp macro="" textlink="">
      <xdr:nvSpPr>
        <xdr:cNvPr id="216" name="Right Arrow 215"/>
        <xdr:cNvSpPr/>
      </xdr:nvSpPr>
      <xdr:spPr>
        <a:xfrm>
          <a:off x="2127250" y="1268749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543</xdr:row>
      <xdr:rowOff>552450</xdr:rowOff>
    </xdr:from>
    <xdr:to>
      <xdr:col>1</xdr:col>
      <xdr:colOff>636269</xdr:colOff>
      <xdr:row>544</xdr:row>
      <xdr:rowOff>6350</xdr:rowOff>
    </xdr:to>
    <xdr:sp macro="" textlink="">
      <xdr:nvSpPr>
        <xdr:cNvPr id="217" name="Down Arrow 216"/>
        <xdr:cNvSpPr/>
      </xdr:nvSpPr>
      <xdr:spPr>
        <a:xfrm>
          <a:off x="749300" y="15243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543</xdr:row>
      <xdr:rowOff>135256</xdr:rowOff>
    </xdr:from>
    <xdr:to>
      <xdr:col>1</xdr:col>
      <xdr:colOff>2244725</xdr:colOff>
      <xdr:row>543</xdr:row>
      <xdr:rowOff>180975</xdr:rowOff>
    </xdr:to>
    <xdr:sp macro="" textlink="">
      <xdr:nvSpPr>
        <xdr:cNvPr id="218" name="Right Arrow 217"/>
        <xdr:cNvSpPr/>
      </xdr:nvSpPr>
      <xdr:spPr>
        <a:xfrm>
          <a:off x="2127250" y="1520209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633</xdr:row>
      <xdr:rowOff>552450</xdr:rowOff>
    </xdr:from>
    <xdr:to>
      <xdr:col>1</xdr:col>
      <xdr:colOff>636269</xdr:colOff>
      <xdr:row>634</xdr:row>
      <xdr:rowOff>6350</xdr:rowOff>
    </xdr:to>
    <xdr:sp macro="" textlink="">
      <xdr:nvSpPr>
        <xdr:cNvPr id="219" name="Down Arrow 218"/>
        <xdr:cNvSpPr/>
      </xdr:nvSpPr>
      <xdr:spPr>
        <a:xfrm>
          <a:off x="749300" y="177584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633</xdr:row>
      <xdr:rowOff>135256</xdr:rowOff>
    </xdr:from>
    <xdr:to>
      <xdr:col>1</xdr:col>
      <xdr:colOff>2244725</xdr:colOff>
      <xdr:row>633</xdr:row>
      <xdr:rowOff>180975</xdr:rowOff>
    </xdr:to>
    <xdr:sp macro="" textlink="">
      <xdr:nvSpPr>
        <xdr:cNvPr id="220" name="Right Arrow 219"/>
        <xdr:cNvSpPr/>
      </xdr:nvSpPr>
      <xdr:spPr>
        <a:xfrm>
          <a:off x="2127250" y="1771669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723</xdr:row>
      <xdr:rowOff>552450</xdr:rowOff>
    </xdr:from>
    <xdr:to>
      <xdr:col>1</xdr:col>
      <xdr:colOff>636269</xdr:colOff>
      <xdr:row>724</xdr:row>
      <xdr:rowOff>6350</xdr:rowOff>
    </xdr:to>
    <xdr:sp macro="" textlink="">
      <xdr:nvSpPr>
        <xdr:cNvPr id="221" name="Down Arrow 220"/>
        <xdr:cNvSpPr/>
      </xdr:nvSpPr>
      <xdr:spPr>
        <a:xfrm>
          <a:off x="749300" y="20273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723</xdr:row>
      <xdr:rowOff>135256</xdr:rowOff>
    </xdr:from>
    <xdr:to>
      <xdr:col>1</xdr:col>
      <xdr:colOff>2244725</xdr:colOff>
      <xdr:row>723</xdr:row>
      <xdr:rowOff>180975</xdr:rowOff>
    </xdr:to>
    <xdr:sp macro="" textlink="">
      <xdr:nvSpPr>
        <xdr:cNvPr id="222" name="Right Arrow 221"/>
        <xdr:cNvSpPr/>
      </xdr:nvSpPr>
      <xdr:spPr>
        <a:xfrm>
          <a:off x="2127250" y="2023129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590550</xdr:colOff>
      <xdr:row>813</xdr:row>
      <xdr:rowOff>552450</xdr:rowOff>
    </xdr:from>
    <xdr:to>
      <xdr:col>1</xdr:col>
      <xdr:colOff>636269</xdr:colOff>
      <xdr:row>814</xdr:row>
      <xdr:rowOff>6350</xdr:rowOff>
    </xdr:to>
    <xdr:sp macro="" textlink="">
      <xdr:nvSpPr>
        <xdr:cNvPr id="223" name="Down Arrow 222"/>
        <xdr:cNvSpPr/>
      </xdr:nvSpPr>
      <xdr:spPr>
        <a:xfrm>
          <a:off x="749300" y="22787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1968500</xdr:colOff>
      <xdr:row>813</xdr:row>
      <xdr:rowOff>135256</xdr:rowOff>
    </xdr:from>
    <xdr:to>
      <xdr:col>1</xdr:col>
      <xdr:colOff>2244725</xdr:colOff>
      <xdr:row>813</xdr:row>
      <xdr:rowOff>180975</xdr:rowOff>
    </xdr:to>
    <xdr:sp macro="" textlink="">
      <xdr:nvSpPr>
        <xdr:cNvPr id="224" name="Right Arrow 223"/>
        <xdr:cNvSpPr/>
      </xdr:nvSpPr>
      <xdr:spPr>
        <a:xfrm>
          <a:off x="2127250" y="22745890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21</xdr:col>
      <xdr:colOff>73477</xdr:colOff>
      <xdr:row>5</xdr:row>
      <xdr:rowOff>525236</xdr:rowOff>
    </xdr:from>
    <xdr:to>
      <xdr:col>21</xdr:col>
      <xdr:colOff>119196</xdr:colOff>
      <xdr:row>5</xdr:row>
      <xdr:rowOff>2455636</xdr:rowOff>
    </xdr:to>
    <xdr:sp macro="" textlink="">
      <xdr:nvSpPr>
        <xdr:cNvPr id="225" name="Down Arrow 224"/>
        <xdr:cNvSpPr/>
      </xdr:nvSpPr>
      <xdr:spPr>
        <a:xfrm>
          <a:off x="20577627" y="2042886"/>
          <a:ext cx="45719" cy="1930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5</xdr:row>
      <xdr:rowOff>135256</xdr:rowOff>
    </xdr:from>
    <xdr:to>
      <xdr:col>20</xdr:col>
      <xdr:colOff>2244725</xdr:colOff>
      <xdr:row>5</xdr:row>
      <xdr:rowOff>180975</xdr:rowOff>
    </xdr:to>
    <xdr:sp macro="" textlink="">
      <xdr:nvSpPr>
        <xdr:cNvPr id="226" name="Right Arrow 225"/>
        <xdr:cNvSpPr/>
      </xdr:nvSpPr>
      <xdr:spPr>
        <a:xfrm>
          <a:off x="20504150" y="1652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5</xdr:row>
      <xdr:rowOff>552450</xdr:rowOff>
    </xdr:from>
    <xdr:to>
      <xdr:col>39</xdr:col>
      <xdr:colOff>636269</xdr:colOff>
      <xdr:row>6</xdr:row>
      <xdr:rowOff>6350</xdr:rowOff>
    </xdr:to>
    <xdr:sp macro="" textlink="">
      <xdr:nvSpPr>
        <xdr:cNvPr id="227" name="Down Arrow 226"/>
        <xdr:cNvSpPr/>
      </xdr:nvSpPr>
      <xdr:spPr>
        <a:xfrm>
          <a:off x="37096700" y="207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95</xdr:row>
      <xdr:rowOff>552450</xdr:rowOff>
    </xdr:from>
    <xdr:to>
      <xdr:col>20</xdr:col>
      <xdr:colOff>636269</xdr:colOff>
      <xdr:row>96</xdr:row>
      <xdr:rowOff>6350</xdr:rowOff>
    </xdr:to>
    <xdr:sp macro="" textlink="">
      <xdr:nvSpPr>
        <xdr:cNvPr id="228" name="Down Arrow 227"/>
        <xdr:cNvSpPr/>
      </xdr:nvSpPr>
      <xdr:spPr>
        <a:xfrm>
          <a:off x="20205700" y="2721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95</xdr:row>
      <xdr:rowOff>135256</xdr:rowOff>
    </xdr:from>
    <xdr:to>
      <xdr:col>20</xdr:col>
      <xdr:colOff>2244725</xdr:colOff>
      <xdr:row>95</xdr:row>
      <xdr:rowOff>180975</xdr:rowOff>
    </xdr:to>
    <xdr:sp macro="" textlink="">
      <xdr:nvSpPr>
        <xdr:cNvPr id="229" name="Right Arrow 228"/>
        <xdr:cNvSpPr/>
      </xdr:nvSpPr>
      <xdr:spPr>
        <a:xfrm>
          <a:off x="20504150" y="26798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95</xdr:row>
      <xdr:rowOff>552450</xdr:rowOff>
    </xdr:from>
    <xdr:to>
      <xdr:col>39</xdr:col>
      <xdr:colOff>636269</xdr:colOff>
      <xdr:row>96</xdr:row>
      <xdr:rowOff>6350</xdr:rowOff>
    </xdr:to>
    <xdr:sp macro="" textlink="">
      <xdr:nvSpPr>
        <xdr:cNvPr id="230" name="Down Arrow 229"/>
        <xdr:cNvSpPr/>
      </xdr:nvSpPr>
      <xdr:spPr>
        <a:xfrm>
          <a:off x="37096700" y="2721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95</xdr:row>
      <xdr:rowOff>135256</xdr:rowOff>
    </xdr:from>
    <xdr:to>
      <xdr:col>39</xdr:col>
      <xdr:colOff>2244725</xdr:colOff>
      <xdr:row>95</xdr:row>
      <xdr:rowOff>180975</xdr:rowOff>
    </xdr:to>
    <xdr:sp macro="" textlink="">
      <xdr:nvSpPr>
        <xdr:cNvPr id="231" name="Right Arrow 230"/>
        <xdr:cNvSpPr/>
      </xdr:nvSpPr>
      <xdr:spPr>
        <a:xfrm>
          <a:off x="37395150" y="26798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184</xdr:row>
      <xdr:rowOff>552450</xdr:rowOff>
    </xdr:from>
    <xdr:to>
      <xdr:col>20</xdr:col>
      <xdr:colOff>636269</xdr:colOff>
      <xdr:row>185</xdr:row>
      <xdr:rowOff>6350</xdr:rowOff>
    </xdr:to>
    <xdr:sp macro="" textlink="">
      <xdr:nvSpPr>
        <xdr:cNvPr id="232" name="Down Arrow 231"/>
        <xdr:cNvSpPr/>
      </xdr:nvSpPr>
      <xdr:spPr>
        <a:xfrm>
          <a:off x="20205700" y="5210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184</xdr:row>
      <xdr:rowOff>135256</xdr:rowOff>
    </xdr:from>
    <xdr:to>
      <xdr:col>20</xdr:col>
      <xdr:colOff>2244725</xdr:colOff>
      <xdr:row>184</xdr:row>
      <xdr:rowOff>180975</xdr:rowOff>
    </xdr:to>
    <xdr:sp macro="" textlink="">
      <xdr:nvSpPr>
        <xdr:cNvPr id="233" name="Right Arrow 232"/>
        <xdr:cNvSpPr/>
      </xdr:nvSpPr>
      <xdr:spPr>
        <a:xfrm>
          <a:off x="20504150" y="51690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184</xdr:row>
      <xdr:rowOff>552450</xdr:rowOff>
    </xdr:from>
    <xdr:to>
      <xdr:col>39</xdr:col>
      <xdr:colOff>636269</xdr:colOff>
      <xdr:row>185</xdr:row>
      <xdr:rowOff>6350</xdr:rowOff>
    </xdr:to>
    <xdr:sp macro="" textlink="">
      <xdr:nvSpPr>
        <xdr:cNvPr id="234" name="Down Arrow 233"/>
        <xdr:cNvSpPr/>
      </xdr:nvSpPr>
      <xdr:spPr>
        <a:xfrm>
          <a:off x="37096700" y="5210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184</xdr:row>
      <xdr:rowOff>135256</xdr:rowOff>
    </xdr:from>
    <xdr:to>
      <xdr:col>39</xdr:col>
      <xdr:colOff>2244725</xdr:colOff>
      <xdr:row>184</xdr:row>
      <xdr:rowOff>180975</xdr:rowOff>
    </xdr:to>
    <xdr:sp macro="" textlink="">
      <xdr:nvSpPr>
        <xdr:cNvPr id="235" name="Right Arrow 234"/>
        <xdr:cNvSpPr/>
      </xdr:nvSpPr>
      <xdr:spPr>
        <a:xfrm>
          <a:off x="37395150" y="51690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273</xdr:row>
      <xdr:rowOff>552450</xdr:rowOff>
    </xdr:from>
    <xdr:to>
      <xdr:col>20</xdr:col>
      <xdr:colOff>636269</xdr:colOff>
      <xdr:row>274</xdr:row>
      <xdr:rowOff>6350</xdr:rowOff>
    </xdr:to>
    <xdr:sp macro="" textlink="">
      <xdr:nvSpPr>
        <xdr:cNvPr id="236" name="Down Arrow 235"/>
        <xdr:cNvSpPr/>
      </xdr:nvSpPr>
      <xdr:spPr>
        <a:xfrm>
          <a:off x="20205700" y="7700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273</xdr:row>
      <xdr:rowOff>135256</xdr:rowOff>
    </xdr:from>
    <xdr:to>
      <xdr:col>20</xdr:col>
      <xdr:colOff>2244725</xdr:colOff>
      <xdr:row>273</xdr:row>
      <xdr:rowOff>180975</xdr:rowOff>
    </xdr:to>
    <xdr:sp macro="" textlink="">
      <xdr:nvSpPr>
        <xdr:cNvPr id="237" name="Right Arrow 236"/>
        <xdr:cNvSpPr/>
      </xdr:nvSpPr>
      <xdr:spPr>
        <a:xfrm>
          <a:off x="20504150" y="76582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273</xdr:row>
      <xdr:rowOff>552450</xdr:rowOff>
    </xdr:from>
    <xdr:to>
      <xdr:col>39</xdr:col>
      <xdr:colOff>636269</xdr:colOff>
      <xdr:row>274</xdr:row>
      <xdr:rowOff>6350</xdr:rowOff>
    </xdr:to>
    <xdr:sp macro="" textlink="">
      <xdr:nvSpPr>
        <xdr:cNvPr id="238" name="Down Arrow 237"/>
        <xdr:cNvSpPr/>
      </xdr:nvSpPr>
      <xdr:spPr>
        <a:xfrm>
          <a:off x="37096700" y="7700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273</xdr:row>
      <xdr:rowOff>135256</xdr:rowOff>
    </xdr:from>
    <xdr:to>
      <xdr:col>39</xdr:col>
      <xdr:colOff>2244725</xdr:colOff>
      <xdr:row>273</xdr:row>
      <xdr:rowOff>180975</xdr:rowOff>
    </xdr:to>
    <xdr:sp macro="" textlink="">
      <xdr:nvSpPr>
        <xdr:cNvPr id="239" name="Right Arrow 238"/>
        <xdr:cNvSpPr/>
      </xdr:nvSpPr>
      <xdr:spPr>
        <a:xfrm>
          <a:off x="37395150" y="76582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363</xdr:row>
      <xdr:rowOff>552450</xdr:rowOff>
    </xdr:from>
    <xdr:to>
      <xdr:col>20</xdr:col>
      <xdr:colOff>636269</xdr:colOff>
      <xdr:row>364</xdr:row>
      <xdr:rowOff>6350</xdr:rowOff>
    </xdr:to>
    <xdr:sp macro="" textlink="">
      <xdr:nvSpPr>
        <xdr:cNvPr id="240" name="Down Arrow 239"/>
        <xdr:cNvSpPr/>
      </xdr:nvSpPr>
      <xdr:spPr>
        <a:xfrm>
          <a:off x="20205700" y="10214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363</xdr:row>
      <xdr:rowOff>135256</xdr:rowOff>
    </xdr:from>
    <xdr:to>
      <xdr:col>20</xdr:col>
      <xdr:colOff>2244725</xdr:colOff>
      <xdr:row>363</xdr:row>
      <xdr:rowOff>180975</xdr:rowOff>
    </xdr:to>
    <xdr:sp macro="" textlink="">
      <xdr:nvSpPr>
        <xdr:cNvPr id="241" name="Right Arrow 240"/>
        <xdr:cNvSpPr/>
      </xdr:nvSpPr>
      <xdr:spPr>
        <a:xfrm>
          <a:off x="20504150" y="101728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363</xdr:row>
      <xdr:rowOff>552450</xdr:rowOff>
    </xdr:from>
    <xdr:to>
      <xdr:col>39</xdr:col>
      <xdr:colOff>636269</xdr:colOff>
      <xdr:row>364</xdr:row>
      <xdr:rowOff>6350</xdr:rowOff>
    </xdr:to>
    <xdr:sp macro="" textlink="">
      <xdr:nvSpPr>
        <xdr:cNvPr id="242" name="Down Arrow 241"/>
        <xdr:cNvSpPr/>
      </xdr:nvSpPr>
      <xdr:spPr>
        <a:xfrm>
          <a:off x="37096700" y="10214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363</xdr:row>
      <xdr:rowOff>135256</xdr:rowOff>
    </xdr:from>
    <xdr:to>
      <xdr:col>39</xdr:col>
      <xdr:colOff>2244725</xdr:colOff>
      <xdr:row>363</xdr:row>
      <xdr:rowOff>180975</xdr:rowOff>
    </xdr:to>
    <xdr:sp macro="" textlink="">
      <xdr:nvSpPr>
        <xdr:cNvPr id="243" name="Right Arrow 242"/>
        <xdr:cNvSpPr/>
      </xdr:nvSpPr>
      <xdr:spPr>
        <a:xfrm>
          <a:off x="37395150" y="101728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453</xdr:row>
      <xdr:rowOff>552450</xdr:rowOff>
    </xdr:from>
    <xdr:to>
      <xdr:col>20</xdr:col>
      <xdr:colOff>636269</xdr:colOff>
      <xdr:row>454</xdr:row>
      <xdr:rowOff>6350</xdr:rowOff>
    </xdr:to>
    <xdr:sp macro="" textlink="">
      <xdr:nvSpPr>
        <xdr:cNvPr id="244" name="Down Arrow 243"/>
        <xdr:cNvSpPr/>
      </xdr:nvSpPr>
      <xdr:spPr>
        <a:xfrm>
          <a:off x="20205700" y="127292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453</xdr:row>
      <xdr:rowOff>135256</xdr:rowOff>
    </xdr:from>
    <xdr:to>
      <xdr:col>20</xdr:col>
      <xdr:colOff>2244725</xdr:colOff>
      <xdr:row>453</xdr:row>
      <xdr:rowOff>180975</xdr:rowOff>
    </xdr:to>
    <xdr:sp macro="" textlink="">
      <xdr:nvSpPr>
        <xdr:cNvPr id="245" name="Right Arrow 244"/>
        <xdr:cNvSpPr/>
      </xdr:nvSpPr>
      <xdr:spPr>
        <a:xfrm>
          <a:off x="20504150" y="126874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453</xdr:row>
      <xdr:rowOff>552450</xdr:rowOff>
    </xdr:from>
    <xdr:to>
      <xdr:col>39</xdr:col>
      <xdr:colOff>636269</xdr:colOff>
      <xdr:row>454</xdr:row>
      <xdr:rowOff>6350</xdr:rowOff>
    </xdr:to>
    <xdr:sp macro="" textlink="">
      <xdr:nvSpPr>
        <xdr:cNvPr id="246" name="Down Arrow 245"/>
        <xdr:cNvSpPr/>
      </xdr:nvSpPr>
      <xdr:spPr>
        <a:xfrm>
          <a:off x="37096700" y="127292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453</xdr:row>
      <xdr:rowOff>135256</xdr:rowOff>
    </xdr:from>
    <xdr:to>
      <xdr:col>39</xdr:col>
      <xdr:colOff>2244725</xdr:colOff>
      <xdr:row>453</xdr:row>
      <xdr:rowOff>180975</xdr:rowOff>
    </xdr:to>
    <xdr:sp macro="" textlink="">
      <xdr:nvSpPr>
        <xdr:cNvPr id="247" name="Right Arrow 246"/>
        <xdr:cNvSpPr/>
      </xdr:nvSpPr>
      <xdr:spPr>
        <a:xfrm>
          <a:off x="37395150" y="126874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543</xdr:row>
      <xdr:rowOff>552450</xdr:rowOff>
    </xdr:from>
    <xdr:to>
      <xdr:col>20</xdr:col>
      <xdr:colOff>636269</xdr:colOff>
      <xdr:row>544</xdr:row>
      <xdr:rowOff>6350</xdr:rowOff>
    </xdr:to>
    <xdr:sp macro="" textlink="">
      <xdr:nvSpPr>
        <xdr:cNvPr id="248" name="Down Arrow 247"/>
        <xdr:cNvSpPr/>
      </xdr:nvSpPr>
      <xdr:spPr>
        <a:xfrm>
          <a:off x="20205700" y="15243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543</xdr:row>
      <xdr:rowOff>135256</xdr:rowOff>
    </xdr:from>
    <xdr:to>
      <xdr:col>20</xdr:col>
      <xdr:colOff>2244725</xdr:colOff>
      <xdr:row>543</xdr:row>
      <xdr:rowOff>180975</xdr:rowOff>
    </xdr:to>
    <xdr:sp macro="" textlink="">
      <xdr:nvSpPr>
        <xdr:cNvPr id="249" name="Right Arrow 248"/>
        <xdr:cNvSpPr/>
      </xdr:nvSpPr>
      <xdr:spPr>
        <a:xfrm>
          <a:off x="20504150" y="152020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543</xdr:row>
      <xdr:rowOff>552450</xdr:rowOff>
    </xdr:from>
    <xdr:to>
      <xdr:col>39</xdr:col>
      <xdr:colOff>636269</xdr:colOff>
      <xdr:row>544</xdr:row>
      <xdr:rowOff>6350</xdr:rowOff>
    </xdr:to>
    <xdr:sp macro="" textlink="">
      <xdr:nvSpPr>
        <xdr:cNvPr id="250" name="Down Arrow 249"/>
        <xdr:cNvSpPr/>
      </xdr:nvSpPr>
      <xdr:spPr>
        <a:xfrm>
          <a:off x="37096700" y="152438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543</xdr:row>
      <xdr:rowOff>135256</xdr:rowOff>
    </xdr:from>
    <xdr:to>
      <xdr:col>39</xdr:col>
      <xdr:colOff>2244725</xdr:colOff>
      <xdr:row>543</xdr:row>
      <xdr:rowOff>180975</xdr:rowOff>
    </xdr:to>
    <xdr:sp macro="" textlink="">
      <xdr:nvSpPr>
        <xdr:cNvPr id="251" name="Right Arrow 250"/>
        <xdr:cNvSpPr/>
      </xdr:nvSpPr>
      <xdr:spPr>
        <a:xfrm>
          <a:off x="37395150" y="152020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633</xdr:row>
      <xdr:rowOff>552450</xdr:rowOff>
    </xdr:from>
    <xdr:to>
      <xdr:col>20</xdr:col>
      <xdr:colOff>636269</xdr:colOff>
      <xdr:row>634</xdr:row>
      <xdr:rowOff>6350</xdr:rowOff>
    </xdr:to>
    <xdr:sp macro="" textlink="">
      <xdr:nvSpPr>
        <xdr:cNvPr id="252" name="Down Arrow 251"/>
        <xdr:cNvSpPr/>
      </xdr:nvSpPr>
      <xdr:spPr>
        <a:xfrm>
          <a:off x="20205700" y="177584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633</xdr:row>
      <xdr:rowOff>135256</xdr:rowOff>
    </xdr:from>
    <xdr:to>
      <xdr:col>20</xdr:col>
      <xdr:colOff>2244725</xdr:colOff>
      <xdr:row>633</xdr:row>
      <xdr:rowOff>180975</xdr:rowOff>
    </xdr:to>
    <xdr:sp macro="" textlink="">
      <xdr:nvSpPr>
        <xdr:cNvPr id="253" name="Right Arrow 252"/>
        <xdr:cNvSpPr/>
      </xdr:nvSpPr>
      <xdr:spPr>
        <a:xfrm>
          <a:off x="20504150" y="177166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633</xdr:row>
      <xdr:rowOff>552450</xdr:rowOff>
    </xdr:from>
    <xdr:to>
      <xdr:col>39</xdr:col>
      <xdr:colOff>636269</xdr:colOff>
      <xdr:row>634</xdr:row>
      <xdr:rowOff>6350</xdr:rowOff>
    </xdr:to>
    <xdr:sp macro="" textlink="">
      <xdr:nvSpPr>
        <xdr:cNvPr id="254" name="Down Arrow 253"/>
        <xdr:cNvSpPr/>
      </xdr:nvSpPr>
      <xdr:spPr>
        <a:xfrm>
          <a:off x="37096700" y="177584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633</xdr:row>
      <xdr:rowOff>135256</xdr:rowOff>
    </xdr:from>
    <xdr:to>
      <xdr:col>39</xdr:col>
      <xdr:colOff>2244725</xdr:colOff>
      <xdr:row>633</xdr:row>
      <xdr:rowOff>180975</xdr:rowOff>
    </xdr:to>
    <xdr:sp macro="" textlink="">
      <xdr:nvSpPr>
        <xdr:cNvPr id="255" name="Right Arrow 254"/>
        <xdr:cNvSpPr/>
      </xdr:nvSpPr>
      <xdr:spPr>
        <a:xfrm>
          <a:off x="37395150" y="177166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723</xdr:row>
      <xdr:rowOff>552450</xdr:rowOff>
    </xdr:from>
    <xdr:to>
      <xdr:col>20</xdr:col>
      <xdr:colOff>636269</xdr:colOff>
      <xdr:row>724</xdr:row>
      <xdr:rowOff>6350</xdr:rowOff>
    </xdr:to>
    <xdr:sp macro="" textlink="">
      <xdr:nvSpPr>
        <xdr:cNvPr id="256" name="Down Arrow 255"/>
        <xdr:cNvSpPr/>
      </xdr:nvSpPr>
      <xdr:spPr>
        <a:xfrm>
          <a:off x="20205700" y="20273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723</xdr:row>
      <xdr:rowOff>135256</xdr:rowOff>
    </xdr:from>
    <xdr:to>
      <xdr:col>20</xdr:col>
      <xdr:colOff>2244725</xdr:colOff>
      <xdr:row>723</xdr:row>
      <xdr:rowOff>180975</xdr:rowOff>
    </xdr:to>
    <xdr:sp macro="" textlink="">
      <xdr:nvSpPr>
        <xdr:cNvPr id="257" name="Right Arrow 256"/>
        <xdr:cNvSpPr/>
      </xdr:nvSpPr>
      <xdr:spPr>
        <a:xfrm>
          <a:off x="20504150" y="202312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723</xdr:row>
      <xdr:rowOff>552450</xdr:rowOff>
    </xdr:from>
    <xdr:to>
      <xdr:col>39</xdr:col>
      <xdr:colOff>636269</xdr:colOff>
      <xdr:row>724</xdr:row>
      <xdr:rowOff>6350</xdr:rowOff>
    </xdr:to>
    <xdr:sp macro="" textlink="">
      <xdr:nvSpPr>
        <xdr:cNvPr id="258" name="Down Arrow 257"/>
        <xdr:cNvSpPr/>
      </xdr:nvSpPr>
      <xdr:spPr>
        <a:xfrm>
          <a:off x="37096700" y="202730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723</xdr:row>
      <xdr:rowOff>135256</xdr:rowOff>
    </xdr:from>
    <xdr:to>
      <xdr:col>39</xdr:col>
      <xdr:colOff>2244725</xdr:colOff>
      <xdr:row>723</xdr:row>
      <xdr:rowOff>180975</xdr:rowOff>
    </xdr:to>
    <xdr:sp macro="" textlink="">
      <xdr:nvSpPr>
        <xdr:cNvPr id="259" name="Right Arrow 258"/>
        <xdr:cNvSpPr/>
      </xdr:nvSpPr>
      <xdr:spPr>
        <a:xfrm>
          <a:off x="37395150" y="202312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590550</xdr:colOff>
      <xdr:row>813</xdr:row>
      <xdr:rowOff>552450</xdr:rowOff>
    </xdr:from>
    <xdr:to>
      <xdr:col>20</xdr:col>
      <xdr:colOff>636269</xdr:colOff>
      <xdr:row>814</xdr:row>
      <xdr:rowOff>6350</xdr:rowOff>
    </xdr:to>
    <xdr:sp macro="" textlink="">
      <xdr:nvSpPr>
        <xdr:cNvPr id="260" name="Down Arrow 259"/>
        <xdr:cNvSpPr/>
      </xdr:nvSpPr>
      <xdr:spPr>
        <a:xfrm>
          <a:off x="20205700" y="22787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20</xdr:col>
      <xdr:colOff>1968500</xdr:colOff>
      <xdr:row>813</xdr:row>
      <xdr:rowOff>135256</xdr:rowOff>
    </xdr:from>
    <xdr:to>
      <xdr:col>20</xdr:col>
      <xdr:colOff>2244725</xdr:colOff>
      <xdr:row>813</xdr:row>
      <xdr:rowOff>180975</xdr:rowOff>
    </xdr:to>
    <xdr:sp macro="" textlink="">
      <xdr:nvSpPr>
        <xdr:cNvPr id="261" name="Right Arrow 260"/>
        <xdr:cNvSpPr/>
      </xdr:nvSpPr>
      <xdr:spPr>
        <a:xfrm>
          <a:off x="20504150" y="227458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590550</xdr:colOff>
      <xdr:row>813</xdr:row>
      <xdr:rowOff>552450</xdr:rowOff>
    </xdr:from>
    <xdr:to>
      <xdr:col>39</xdr:col>
      <xdr:colOff>636269</xdr:colOff>
      <xdr:row>814</xdr:row>
      <xdr:rowOff>6350</xdr:rowOff>
    </xdr:to>
    <xdr:sp macro="" textlink="">
      <xdr:nvSpPr>
        <xdr:cNvPr id="262" name="Down Arrow 261"/>
        <xdr:cNvSpPr/>
      </xdr:nvSpPr>
      <xdr:spPr>
        <a:xfrm>
          <a:off x="37096700" y="227876100"/>
          <a:ext cx="45719" cy="1993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39</xdr:col>
      <xdr:colOff>1968500</xdr:colOff>
      <xdr:row>813</xdr:row>
      <xdr:rowOff>135256</xdr:rowOff>
    </xdr:from>
    <xdr:to>
      <xdr:col>39</xdr:col>
      <xdr:colOff>2244725</xdr:colOff>
      <xdr:row>813</xdr:row>
      <xdr:rowOff>180975</xdr:rowOff>
    </xdr:to>
    <xdr:sp macro="" textlink="">
      <xdr:nvSpPr>
        <xdr:cNvPr id="263" name="Right Arrow 262"/>
        <xdr:cNvSpPr/>
      </xdr:nvSpPr>
      <xdr:spPr>
        <a:xfrm>
          <a:off x="37395150" y="22745890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438150</xdr:colOff>
      <xdr:row>5</xdr:row>
      <xdr:rowOff>333375</xdr:rowOff>
    </xdr:from>
    <xdr:to>
      <xdr:col>1</xdr:col>
      <xdr:colOff>483869</xdr:colOff>
      <xdr:row>5</xdr:row>
      <xdr:rowOff>485775</xdr:rowOff>
    </xdr:to>
    <xdr:sp macro="" textlink="">
      <xdr:nvSpPr>
        <xdr:cNvPr id="2" name="Down Arrow 1"/>
        <xdr:cNvSpPr/>
      </xdr:nvSpPr>
      <xdr:spPr>
        <a:xfrm>
          <a:off x="590550" y="17811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1095375</xdr:colOff>
      <xdr:row>5</xdr:row>
      <xdr:rowOff>87631</xdr:rowOff>
    </xdr:from>
    <xdr:to>
      <xdr:col>1</xdr:col>
      <xdr:colOff>1371600</xdr:colOff>
      <xdr:row>5</xdr:row>
      <xdr:rowOff>133350</xdr:rowOff>
    </xdr:to>
    <xdr:sp macro="" textlink="">
      <xdr:nvSpPr>
        <xdr:cNvPr id="3" name="Right Arrow 2"/>
        <xdr:cNvSpPr/>
      </xdr:nvSpPr>
      <xdr:spPr>
        <a:xfrm>
          <a:off x="1247775" y="1535431"/>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1130300</xdr:colOff>
      <xdr:row>5</xdr:row>
      <xdr:rowOff>473075</xdr:rowOff>
    </xdr:from>
    <xdr:to>
      <xdr:col>1</xdr:col>
      <xdr:colOff>1176019</xdr:colOff>
      <xdr:row>5</xdr:row>
      <xdr:rowOff>625475</xdr:rowOff>
    </xdr:to>
    <xdr:sp macro="" textlink="">
      <xdr:nvSpPr>
        <xdr:cNvPr id="4" name="Down Arrow 3"/>
        <xdr:cNvSpPr/>
      </xdr:nvSpPr>
      <xdr:spPr>
        <a:xfrm>
          <a:off x="1282700" y="19208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2238375</xdr:colOff>
      <xdr:row>5</xdr:row>
      <xdr:rowOff>135256</xdr:rowOff>
    </xdr:from>
    <xdr:to>
      <xdr:col>1</xdr:col>
      <xdr:colOff>2514600</xdr:colOff>
      <xdr:row>5</xdr:row>
      <xdr:rowOff>180975</xdr:rowOff>
    </xdr:to>
    <xdr:sp macro="" textlink="">
      <xdr:nvSpPr>
        <xdr:cNvPr id="5" name="Right Arrow 4"/>
        <xdr:cNvSpPr/>
      </xdr:nvSpPr>
      <xdr:spPr>
        <a:xfrm>
          <a:off x="2390775" y="15830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438150</xdr:colOff>
      <xdr:row>5</xdr:row>
      <xdr:rowOff>333375</xdr:rowOff>
    </xdr:from>
    <xdr:to>
      <xdr:col>22</xdr:col>
      <xdr:colOff>483869</xdr:colOff>
      <xdr:row>5</xdr:row>
      <xdr:rowOff>485775</xdr:rowOff>
    </xdr:to>
    <xdr:sp macro="" textlink="">
      <xdr:nvSpPr>
        <xdr:cNvPr id="6" name="Down Arrow 5"/>
        <xdr:cNvSpPr/>
      </xdr:nvSpPr>
      <xdr:spPr>
        <a:xfrm>
          <a:off x="581025" y="1738313"/>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1095375</xdr:colOff>
      <xdr:row>5</xdr:row>
      <xdr:rowOff>87631</xdr:rowOff>
    </xdr:from>
    <xdr:to>
      <xdr:col>22</xdr:col>
      <xdr:colOff>1371600</xdr:colOff>
      <xdr:row>5</xdr:row>
      <xdr:rowOff>133350</xdr:rowOff>
    </xdr:to>
    <xdr:sp macro="" textlink="">
      <xdr:nvSpPr>
        <xdr:cNvPr id="7" name="Right Arrow 6"/>
        <xdr:cNvSpPr/>
      </xdr:nvSpPr>
      <xdr:spPr>
        <a:xfrm>
          <a:off x="1238250" y="1492569"/>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1130300</xdr:colOff>
      <xdr:row>5</xdr:row>
      <xdr:rowOff>473075</xdr:rowOff>
    </xdr:from>
    <xdr:to>
      <xdr:col>22</xdr:col>
      <xdr:colOff>1176019</xdr:colOff>
      <xdr:row>5</xdr:row>
      <xdr:rowOff>625475</xdr:rowOff>
    </xdr:to>
    <xdr:sp macro="" textlink="">
      <xdr:nvSpPr>
        <xdr:cNvPr id="8" name="Down Arrow 7"/>
        <xdr:cNvSpPr/>
      </xdr:nvSpPr>
      <xdr:spPr>
        <a:xfrm>
          <a:off x="1273175" y="1878013"/>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2238375</xdr:colOff>
      <xdr:row>5</xdr:row>
      <xdr:rowOff>135256</xdr:rowOff>
    </xdr:from>
    <xdr:to>
      <xdr:col>22</xdr:col>
      <xdr:colOff>2514600</xdr:colOff>
      <xdr:row>5</xdr:row>
      <xdr:rowOff>180975</xdr:rowOff>
    </xdr:to>
    <xdr:sp macro="" textlink="">
      <xdr:nvSpPr>
        <xdr:cNvPr id="9" name="Right Arrow 8"/>
        <xdr:cNvSpPr/>
      </xdr:nvSpPr>
      <xdr:spPr>
        <a:xfrm>
          <a:off x="2381250" y="1540194"/>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438150</xdr:colOff>
      <xdr:row>5</xdr:row>
      <xdr:rowOff>333375</xdr:rowOff>
    </xdr:from>
    <xdr:to>
      <xdr:col>43</xdr:col>
      <xdr:colOff>483869</xdr:colOff>
      <xdr:row>5</xdr:row>
      <xdr:rowOff>485775</xdr:rowOff>
    </xdr:to>
    <xdr:sp macro="" textlink="">
      <xdr:nvSpPr>
        <xdr:cNvPr id="10" name="Down Arrow 9"/>
        <xdr:cNvSpPr/>
      </xdr:nvSpPr>
      <xdr:spPr>
        <a:xfrm>
          <a:off x="22250400" y="1738313"/>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438150</xdr:colOff>
      <xdr:row>5</xdr:row>
      <xdr:rowOff>333375</xdr:rowOff>
    </xdr:from>
    <xdr:to>
      <xdr:col>1</xdr:col>
      <xdr:colOff>483869</xdr:colOff>
      <xdr:row>5</xdr:row>
      <xdr:rowOff>485775</xdr:rowOff>
    </xdr:to>
    <xdr:sp macro="" textlink="">
      <xdr:nvSpPr>
        <xdr:cNvPr id="11" name="Down Arrow 10"/>
        <xdr:cNvSpPr/>
      </xdr:nvSpPr>
      <xdr:spPr>
        <a:xfrm>
          <a:off x="590550" y="17811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1095375</xdr:colOff>
      <xdr:row>5</xdr:row>
      <xdr:rowOff>87631</xdr:rowOff>
    </xdr:from>
    <xdr:to>
      <xdr:col>1</xdr:col>
      <xdr:colOff>1371600</xdr:colOff>
      <xdr:row>5</xdr:row>
      <xdr:rowOff>133350</xdr:rowOff>
    </xdr:to>
    <xdr:sp macro="" textlink="">
      <xdr:nvSpPr>
        <xdr:cNvPr id="12" name="Right Arrow 11"/>
        <xdr:cNvSpPr/>
      </xdr:nvSpPr>
      <xdr:spPr>
        <a:xfrm>
          <a:off x="1247775" y="1535431"/>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1130300</xdr:colOff>
      <xdr:row>5</xdr:row>
      <xdr:rowOff>473075</xdr:rowOff>
    </xdr:from>
    <xdr:to>
      <xdr:col>1</xdr:col>
      <xdr:colOff>1176019</xdr:colOff>
      <xdr:row>5</xdr:row>
      <xdr:rowOff>625475</xdr:rowOff>
    </xdr:to>
    <xdr:sp macro="" textlink="">
      <xdr:nvSpPr>
        <xdr:cNvPr id="13" name="Down Arrow 12"/>
        <xdr:cNvSpPr/>
      </xdr:nvSpPr>
      <xdr:spPr>
        <a:xfrm>
          <a:off x="1282700" y="19208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2238375</xdr:colOff>
      <xdr:row>5</xdr:row>
      <xdr:rowOff>135256</xdr:rowOff>
    </xdr:from>
    <xdr:to>
      <xdr:col>1</xdr:col>
      <xdr:colOff>2514600</xdr:colOff>
      <xdr:row>5</xdr:row>
      <xdr:rowOff>180975</xdr:rowOff>
    </xdr:to>
    <xdr:sp macro="" textlink="">
      <xdr:nvSpPr>
        <xdr:cNvPr id="14" name="Right Arrow 13"/>
        <xdr:cNvSpPr/>
      </xdr:nvSpPr>
      <xdr:spPr>
        <a:xfrm>
          <a:off x="1847850" y="15830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438150</xdr:colOff>
      <xdr:row>5</xdr:row>
      <xdr:rowOff>333375</xdr:rowOff>
    </xdr:from>
    <xdr:to>
      <xdr:col>22</xdr:col>
      <xdr:colOff>483869</xdr:colOff>
      <xdr:row>5</xdr:row>
      <xdr:rowOff>485775</xdr:rowOff>
    </xdr:to>
    <xdr:sp macro="" textlink="">
      <xdr:nvSpPr>
        <xdr:cNvPr id="15" name="Down Arrow 14"/>
        <xdr:cNvSpPr/>
      </xdr:nvSpPr>
      <xdr:spPr>
        <a:xfrm>
          <a:off x="20774025" y="17811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1095375</xdr:colOff>
      <xdr:row>5</xdr:row>
      <xdr:rowOff>87631</xdr:rowOff>
    </xdr:from>
    <xdr:to>
      <xdr:col>22</xdr:col>
      <xdr:colOff>1371600</xdr:colOff>
      <xdr:row>5</xdr:row>
      <xdr:rowOff>133350</xdr:rowOff>
    </xdr:to>
    <xdr:sp macro="" textlink="">
      <xdr:nvSpPr>
        <xdr:cNvPr id="16" name="Right Arrow 15"/>
        <xdr:cNvSpPr/>
      </xdr:nvSpPr>
      <xdr:spPr>
        <a:xfrm>
          <a:off x="21431250" y="1535431"/>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1130300</xdr:colOff>
      <xdr:row>5</xdr:row>
      <xdr:rowOff>473075</xdr:rowOff>
    </xdr:from>
    <xdr:to>
      <xdr:col>22</xdr:col>
      <xdr:colOff>1176019</xdr:colOff>
      <xdr:row>5</xdr:row>
      <xdr:rowOff>625475</xdr:rowOff>
    </xdr:to>
    <xdr:sp macro="" textlink="">
      <xdr:nvSpPr>
        <xdr:cNvPr id="17" name="Down Arrow 16"/>
        <xdr:cNvSpPr/>
      </xdr:nvSpPr>
      <xdr:spPr>
        <a:xfrm>
          <a:off x="21466175" y="19208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2238375</xdr:colOff>
      <xdr:row>5</xdr:row>
      <xdr:rowOff>135256</xdr:rowOff>
    </xdr:from>
    <xdr:to>
      <xdr:col>22</xdr:col>
      <xdr:colOff>2514600</xdr:colOff>
      <xdr:row>5</xdr:row>
      <xdr:rowOff>180975</xdr:rowOff>
    </xdr:to>
    <xdr:sp macro="" textlink="">
      <xdr:nvSpPr>
        <xdr:cNvPr id="18" name="Right Arrow 17"/>
        <xdr:cNvSpPr/>
      </xdr:nvSpPr>
      <xdr:spPr>
        <a:xfrm>
          <a:off x="22469475" y="15830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438150</xdr:colOff>
      <xdr:row>5</xdr:row>
      <xdr:rowOff>333375</xdr:rowOff>
    </xdr:from>
    <xdr:to>
      <xdr:col>43</xdr:col>
      <xdr:colOff>483869</xdr:colOff>
      <xdr:row>5</xdr:row>
      <xdr:rowOff>485775</xdr:rowOff>
    </xdr:to>
    <xdr:sp macro="" textlink="">
      <xdr:nvSpPr>
        <xdr:cNvPr id="19" name="Down Arrow 18"/>
        <xdr:cNvSpPr/>
      </xdr:nvSpPr>
      <xdr:spPr>
        <a:xfrm>
          <a:off x="41214675" y="17811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438150</xdr:colOff>
      <xdr:row>5</xdr:row>
      <xdr:rowOff>333375</xdr:rowOff>
    </xdr:from>
    <xdr:to>
      <xdr:col>1</xdr:col>
      <xdr:colOff>483869</xdr:colOff>
      <xdr:row>5</xdr:row>
      <xdr:rowOff>485775</xdr:rowOff>
    </xdr:to>
    <xdr:sp macro="" textlink="">
      <xdr:nvSpPr>
        <xdr:cNvPr id="20" name="Down Arrow 19"/>
        <xdr:cNvSpPr/>
      </xdr:nvSpPr>
      <xdr:spPr>
        <a:xfrm>
          <a:off x="596900" y="17938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1095375</xdr:colOff>
      <xdr:row>5</xdr:row>
      <xdr:rowOff>87631</xdr:rowOff>
    </xdr:from>
    <xdr:to>
      <xdr:col>1</xdr:col>
      <xdr:colOff>1371600</xdr:colOff>
      <xdr:row>5</xdr:row>
      <xdr:rowOff>133350</xdr:rowOff>
    </xdr:to>
    <xdr:sp macro="" textlink="">
      <xdr:nvSpPr>
        <xdr:cNvPr id="21" name="Right Arrow 20"/>
        <xdr:cNvSpPr/>
      </xdr:nvSpPr>
      <xdr:spPr>
        <a:xfrm>
          <a:off x="1254125" y="1548131"/>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1130300</xdr:colOff>
      <xdr:row>5</xdr:row>
      <xdr:rowOff>473075</xdr:rowOff>
    </xdr:from>
    <xdr:to>
      <xdr:col>1</xdr:col>
      <xdr:colOff>1176019</xdr:colOff>
      <xdr:row>5</xdr:row>
      <xdr:rowOff>625475</xdr:rowOff>
    </xdr:to>
    <xdr:sp macro="" textlink="">
      <xdr:nvSpPr>
        <xdr:cNvPr id="22" name="Down Arrow 21"/>
        <xdr:cNvSpPr/>
      </xdr:nvSpPr>
      <xdr:spPr>
        <a:xfrm>
          <a:off x="1289050" y="19335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2238375</xdr:colOff>
      <xdr:row>5</xdr:row>
      <xdr:rowOff>135256</xdr:rowOff>
    </xdr:from>
    <xdr:to>
      <xdr:col>1</xdr:col>
      <xdr:colOff>2514600</xdr:colOff>
      <xdr:row>5</xdr:row>
      <xdr:rowOff>180975</xdr:rowOff>
    </xdr:to>
    <xdr:sp macro="" textlink="">
      <xdr:nvSpPr>
        <xdr:cNvPr id="23" name="Right Arrow 22"/>
        <xdr:cNvSpPr/>
      </xdr:nvSpPr>
      <xdr:spPr>
        <a:xfrm>
          <a:off x="1933575" y="1595756"/>
          <a:ext cx="317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438150</xdr:colOff>
      <xdr:row>5</xdr:row>
      <xdr:rowOff>333375</xdr:rowOff>
    </xdr:from>
    <xdr:to>
      <xdr:col>22</xdr:col>
      <xdr:colOff>483869</xdr:colOff>
      <xdr:row>5</xdr:row>
      <xdr:rowOff>485775</xdr:rowOff>
    </xdr:to>
    <xdr:sp macro="" textlink="">
      <xdr:nvSpPr>
        <xdr:cNvPr id="24" name="Down Arrow 23"/>
        <xdr:cNvSpPr/>
      </xdr:nvSpPr>
      <xdr:spPr>
        <a:xfrm>
          <a:off x="21767800" y="17938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1095375</xdr:colOff>
      <xdr:row>5</xdr:row>
      <xdr:rowOff>87631</xdr:rowOff>
    </xdr:from>
    <xdr:to>
      <xdr:col>22</xdr:col>
      <xdr:colOff>1371600</xdr:colOff>
      <xdr:row>5</xdr:row>
      <xdr:rowOff>133350</xdr:rowOff>
    </xdr:to>
    <xdr:sp macro="" textlink="">
      <xdr:nvSpPr>
        <xdr:cNvPr id="25" name="Right Arrow 24"/>
        <xdr:cNvSpPr/>
      </xdr:nvSpPr>
      <xdr:spPr>
        <a:xfrm>
          <a:off x="22425025" y="1548131"/>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1130300</xdr:colOff>
      <xdr:row>5</xdr:row>
      <xdr:rowOff>473075</xdr:rowOff>
    </xdr:from>
    <xdr:to>
      <xdr:col>22</xdr:col>
      <xdr:colOff>1176019</xdr:colOff>
      <xdr:row>5</xdr:row>
      <xdr:rowOff>625475</xdr:rowOff>
    </xdr:to>
    <xdr:sp macro="" textlink="">
      <xdr:nvSpPr>
        <xdr:cNvPr id="26" name="Down Arrow 25"/>
        <xdr:cNvSpPr/>
      </xdr:nvSpPr>
      <xdr:spPr>
        <a:xfrm>
          <a:off x="22459950" y="19335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2238375</xdr:colOff>
      <xdr:row>5</xdr:row>
      <xdr:rowOff>135256</xdr:rowOff>
    </xdr:from>
    <xdr:to>
      <xdr:col>22</xdr:col>
      <xdr:colOff>2514600</xdr:colOff>
      <xdr:row>5</xdr:row>
      <xdr:rowOff>180975</xdr:rowOff>
    </xdr:to>
    <xdr:sp macro="" textlink="">
      <xdr:nvSpPr>
        <xdr:cNvPr id="27" name="Right Arrow 26"/>
        <xdr:cNvSpPr/>
      </xdr:nvSpPr>
      <xdr:spPr>
        <a:xfrm>
          <a:off x="23561675" y="1595756"/>
          <a:ext cx="317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438150</xdr:colOff>
      <xdr:row>5</xdr:row>
      <xdr:rowOff>333375</xdr:rowOff>
    </xdr:from>
    <xdr:to>
      <xdr:col>43</xdr:col>
      <xdr:colOff>483869</xdr:colOff>
      <xdr:row>5</xdr:row>
      <xdr:rowOff>485775</xdr:rowOff>
    </xdr:to>
    <xdr:sp macro="" textlink="">
      <xdr:nvSpPr>
        <xdr:cNvPr id="28" name="Down Arrow 27"/>
        <xdr:cNvSpPr/>
      </xdr:nvSpPr>
      <xdr:spPr>
        <a:xfrm>
          <a:off x="43211750" y="17938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438150</xdr:colOff>
      <xdr:row>5</xdr:row>
      <xdr:rowOff>333375</xdr:rowOff>
    </xdr:from>
    <xdr:to>
      <xdr:col>1</xdr:col>
      <xdr:colOff>483869</xdr:colOff>
      <xdr:row>5</xdr:row>
      <xdr:rowOff>485775</xdr:rowOff>
    </xdr:to>
    <xdr:sp macro="" textlink="">
      <xdr:nvSpPr>
        <xdr:cNvPr id="2" name="Down Arrow 1"/>
        <xdr:cNvSpPr/>
      </xdr:nvSpPr>
      <xdr:spPr>
        <a:xfrm>
          <a:off x="1219200" y="17811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1587500</xdr:colOff>
      <xdr:row>5</xdr:row>
      <xdr:rowOff>135256</xdr:rowOff>
    </xdr:from>
    <xdr:to>
      <xdr:col>1</xdr:col>
      <xdr:colOff>1863725</xdr:colOff>
      <xdr:row>5</xdr:row>
      <xdr:rowOff>180975</xdr:rowOff>
    </xdr:to>
    <xdr:sp macro="" textlink="">
      <xdr:nvSpPr>
        <xdr:cNvPr id="3" name="Right Arrow 2"/>
        <xdr:cNvSpPr/>
      </xdr:nvSpPr>
      <xdr:spPr>
        <a:xfrm>
          <a:off x="2368550" y="15830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438150</xdr:colOff>
      <xdr:row>5</xdr:row>
      <xdr:rowOff>333375</xdr:rowOff>
    </xdr:from>
    <xdr:to>
      <xdr:col>22</xdr:col>
      <xdr:colOff>483869</xdr:colOff>
      <xdr:row>5</xdr:row>
      <xdr:rowOff>485775</xdr:rowOff>
    </xdr:to>
    <xdr:sp macro="" textlink="">
      <xdr:nvSpPr>
        <xdr:cNvPr id="4" name="Down Arrow 3"/>
        <xdr:cNvSpPr/>
      </xdr:nvSpPr>
      <xdr:spPr>
        <a:xfrm>
          <a:off x="1223963" y="1738313"/>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1587500</xdr:colOff>
      <xdr:row>5</xdr:row>
      <xdr:rowOff>135256</xdr:rowOff>
    </xdr:from>
    <xdr:to>
      <xdr:col>22</xdr:col>
      <xdr:colOff>1863725</xdr:colOff>
      <xdr:row>5</xdr:row>
      <xdr:rowOff>180975</xdr:rowOff>
    </xdr:to>
    <xdr:sp macro="" textlink="">
      <xdr:nvSpPr>
        <xdr:cNvPr id="5" name="Right Arrow 4"/>
        <xdr:cNvSpPr/>
      </xdr:nvSpPr>
      <xdr:spPr>
        <a:xfrm>
          <a:off x="2373313" y="1540194"/>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438150</xdr:colOff>
      <xdr:row>5</xdr:row>
      <xdr:rowOff>333375</xdr:rowOff>
    </xdr:from>
    <xdr:to>
      <xdr:col>43</xdr:col>
      <xdr:colOff>483869</xdr:colOff>
      <xdr:row>5</xdr:row>
      <xdr:rowOff>485775</xdr:rowOff>
    </xdr:to>
    <xdr:sp macro="" textlink="">
      <xdr:nvSpPr>
        <xdr:cNvPr id="6" name="Down Arrow 5"/>
        <xdr:cNvSpPr/>
      </xdr:nvSpPr>
      <xdr:spPr>
        <a:xfrm>
          <a:off x="21059775" y="1738313"/>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1587500</xdr:colOff>
      <xdr:row>5</xdr:row>
      <xdr:rowOff>135256</xdr:rowOff>
    </xdr:from>
    <xdr:to>
      <xdr:col>43</xdr:col>
      <xdr:colOff>1863725</xdr:colOff>
      <xdr:row>5</xdr:row>
      <xdr:rowOff>180975</xdr:rowOff>
    </xdr:to>
    <xdr:sp macro="" textlink="">
      <xdr:nvSpPr>
        <xdr:cNvPr id="7" name="Right Arrow 6"/>
        <xdr:cNvSpPr/>
      </xdr:nvSpPr>
      <xdr:spPr>
        <a:xfrm>
          <a:off x="21990050" y="1540194"/>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438150</xdr:colOff>
      <xdr:row>5</xdr:row>
      <xdr:rowOff>333375</xdr:rowOff>
    </xdr:from>
    <xdr:to>
      <xdr:col>1</xdr:col>
      <xdr:colOff>483869</xdr:colOff>
      <xdr:row>5</xdr:row>
      <xdr:rowOff>485775</xdr:rowOff>
    </xdr:to>
    <xdr:sp macro="" textlink="">
      <xdr:nvSpPr>
        <xdr:cNvPr id="8" name="Down Arrow 7"/>
        <xdr:cNvSpPr/>
      </xdr:nvSpPr>
      <xdr:spPr>
        <a:xfrm>
          <a:off x="1219200" y="17811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1587500</xdr:colOff>
      <xdr:row>5</xdr:row>
      <xdr:rowOff>135256</xdr:rowOff>
    </xdr:from>
    <xdr:to>
      <xdr:col>1</xdr:col>
      <xdr:colOff>1863725</xdr:colOff>
      <xdr:row>5</xdr:row>
      <xdr:rowOff>180975</xdr:rowOff>
    </xdr:to>
    <xdr:sp macro="" textlink="">
      <xdr:nvSpPr>
        <xdr:cNvPr id="9" name="Right Arrow 8"/>
        <xdr:cNvSpPr/>
      </xdr:nvSpPr>
      <xdr:spPr>
        <a:xfrm>
          <a:off x="2368550" y="15830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438150</xdr:colOff>
      <xdr:row>5</xdr:row>
      <xdr:rowOff>333375</xdr:rowOff>
    </xdr:from>
    <xdr:to>
      <xdr:col>22</xdr:col>
      <xdr:colOff>483869</xdr:colOff>
      <xdr:row>5</xdr:row>
      <xdr:rowOff>485775</xdr:rowOff>
    </xdr:to>
    <xdr:sp macro="" textlink="">
      <xdr:nvSpPr>
        <xdr:cNvPr id="10" name="Down Arrow 9"/>
        <xdr:cNvSpPr/>
      </xdr:nvSpPr>
      <xdr:spPr>
        <a:xfrm>
          <a:off x="21135975" y="17811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1587500</xdr:colOff>
      <xdr:row>5</xdr:row>
      <xdr:rowOff>135256</xdr:rowOff>
    </xdr:from>
    <xdr:to>
      <xdr:col>22</xdr:col>
      <xdr:colOff>1863725</xdr:colOff>
      <xdr:row>5</xdr:row>
      <xdr:rowOff>180975</xdr:rowOff>
    </xdr:to>
    <xdr:sp macro="" textlink="">
      <xdr:nvSpPr>
        <xdr:cNvPr id="11" name="Right Arrow 10"/>
        <xdr:cNvSpPr/>
      </xdr:nvSpPr>
      <xdr:spPr>
        <a:xfrm>
          <a:off x="22066250" y="15830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438150</xdr:colOff>
      <xdr:row>5</xdr:row>
      <xdr:rowOff>333375</xdr:rowOff>
    </xdr:from>
    <xdr:to>
      <xdr:col>43</xdr:col>
      <xdr:colOff>483869</xdr:colOff>
      <xdr:row>5</xdr:row>
      <xdr:rowOff>485775</xdr:rowOff>
    </xdr:to>
    <xdr:sp macro="" textlink="">
      <xdr:nvSpPr>
        <xdr:cNvPr id="12" name="Down Arrow 11"/>
        <xdr:cNvSpPr/>
      </xdr:nvSpPr>
      <xdr:spPr>
        <a:xfrm>
          <a:off x="39900225" y="17811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1587500</xdr:colOff>
      <xdr:row>5</xdr:row>
      <xdr:rowOff>135256</xdr:rowOff>
    </xdr:from>
    <xdr:to>
      <xdr:col>43</xdr:col>
      <xdr:colOff>1863725</xdr:colOff>
      <xdr:row>5</xdr:row>
      <xdr:rowOff>180975</xdr:rowOff>
    </xdr:to>
    <xdr:sp macro="" textlink="">
      <xdr:nvSpPr>
        <xdr:cNvPr id="13" name="Right Arrow 12"/>
        <xdr:cNvSpPr/>
      </xdr:nvSpPr>
      <xdr:spPr>
        <a:xfrm>
          <a:off x="40830500" y="15830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438150</xdr:colOff>
      <xdr:row>5</xdr:row>
      <xdr:rowOff>333375</xdr:rowOff>
    </xdr:from>
    <xdr:to>
      <xdr:col>1</xdr:col>
      <xdr:colOff>483869</xdr:colOff>
      <xdr:row>5</xdr:row>
      <xdr:rowOff>485775</xdr:rowOff>
    </xdr:to>
    <xdr:sp macro="" textlink="">
      <xdr:nvSpPr>
        <xdr:cNvPr id="14" name="Down Arrow 13"/>
        <xdr:cNvSpPr/>
      </xdr:nvSpPr>
      <xdr:spPr>
        <a:xfrm>
          <a:off x="1257300" y="17938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1587500</xdr:colOff>
      <xdr:row>5</xdr:row>
      <xdr:rowOff>135256</xdr:rowOff>
    </xdr:from>
    <xdr:to>
      <xdr:col>1</xdr:col>
      <xdr:colOff>1863725</xdr:colOff>
      <xdr:row>5</xdr:row>
      <xdr:rowOff>180975</xdr:rowOff>
    </xdr:to>
    <xdr:sp macro="" textlink="">
      <xdr:nvSpPr>
        <xdr:cNvPr id="15" name="Right Arrow 14"/>
        <xdr:cNvSpPr/>
      </xdr:nvSpPr>
      <xdr:spPr>
        <a:xfrm>
          <a:off x="2406650" y="15957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438150</xdr:colOff>
      <xdr:row>5</xdr:row>
      <xdr:rowOff>333375</xdr:rowOff>
    </xdr:from>
    <xdr:to>
      <xdr:col>22</xdr:col>
      <xdr:colOff>483869</xdr:colOff>
      <xdr:row>5</xdr:row>
      <xdr:rowOff>485775</xdr:rowOff>
    </xdr:to>
    <xdr:sp macro="" textlink="">
      <xdr:nvSpPr>
        <xdr:cNvPr id="16" name="Down Arrow 15"/>
        <xdr:cNvSpPr/>
      </xdr:nvSpPr>
      <xdr:spPr>
        <a:xfrm>
          <a:off x="22110700" y="17938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1587500</xdr:colOff>
      <xdr:row>5</xdr:row>
      <xdr:rowOff>135256</xdr:rowOff>
    </xdr:from>
    <xdr:to>
      <xdr:col>22</xdr:col>
      <xdr:colOff>1863725</xdr:colOff>
      <xdr:row>5</xdr:row>
      <xdr:rowOff>180975</xdr:rowOff>
    </xdr:to>
    <xdr:sp macro="" textlink="">
      <xdr:nvSpPr>
        <xdr:cNvPr id="17" name="Right Arrow 16"/>
        <xdr:cNvSpPr/>
      </xdr:nvSpPr>
      <xdr:spPr>
        <a:xfrm>
          <a:off x="23107650" y="15957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438150</xdr:colOff>
      <xdr:row>5</xdr:row>
      <xdr:rowOff>333375</xdr:rowOff>
    </xdr:from>
    <xdr:to>
      <xdr:col>43</xdr:col>
      <xdr:colOff>483869</xdr:colOff>
      <xdr:row>5</xdr:row>
      <xdr:rowOff>485775</xdr:rowOff>
    </xdr:to>
    <xdr:sp macro="" textlink="">
      <xdr:nvSpPr>
        <xdr:cNvPr id="18" name="Down Arrow 17"/>
        <xdr:cNvSpPr/>
      </xdr:nvSpPr>
      <xdr:spPr>
        <a:xfrm>
          <a:off x="41751250" y="1793875"/>
          <a:ext cx="45719" cy="152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1587500</xdr:colOff>
      <xdr:row>5</xdr:row>
      <xdr:rowOff>135256</xdr:rowOff>
    </xdr:from>
    <xdr:to>
      <xdr:col>43</xdr:col>
      <xdr:colOff>1863725</xdr:colOff>
      <xdr:row>5</xdr:row>
      <xdr:rowOff>180975</xdr:rowOff>
    </xdr:to>
    <xdr:sp macro="" textlink="">
      <xdr:nvSpPr>
        <xdr:cNvPr id="19" name="Right Arrow 18"/>
        <xdr:cNvSpPr/>
      </xdr:nvSpPr>
      <xdr:spPr>
        <a:xfrm>
          <a:off x="42748200" y="15957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542925</xdr:colOff>
      <xdr:row>5</xdr:row>
      <xdr:rowOff>568325</xdr:rowOff>
    </xdr:from>
    <xdr:to>
      <xdr:col>1</xdr:col>
      <xdr:colOff>588644</xdr:colOff>
      <xdr:row>6</xdr:row>
      <xdr:rowOff>69850</xdr:rowOff>
    </xdr:to>
    <xdr:sp macro="" textlink="">
      <xdr:nvSpPr>
        <xdr:cNvPr id="2" name="Down Arrow 1"/>
        <xdr:cNvSpPr/>
      </xdr:nvSpPr>
      <xdr:spPr>
        <a:xfrm>
          <a:off x="695325" y="2063750"/>
          <a:ext cx="45719" cy="4921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1524000</xdr:colOff>
      <xdr:row>5</xdr:row>
      <xdr:rowOff>341631</xdr:rowOff>
    </xdr:from>
    <xdr:to>
      <xdr:col>1</xdr:col>
      <xdr:colOff>1800225</xdr:colOff>
      <xdr:row>5</xdr:row>
      <xdr:rowOff>387350</xdr:rowOff>
    </xdr:to>
    <xdr:sp macro="" textlink="">
      <xdr:nvSpPr>
        <xdr:cNvPr id="3" name="Right Arrow 2"/>
        <xdr:cNvSpPr/>
      </xdr:nvSpPr>
      <xdr:spPr>
        <a:xfrm>
          <a:off x="1676400" y="18370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542925</xdr:colOff>
      <xdr:row>5</xdr:row>
      <xdr:rowOff>620279</xdr:rowOff>
    </xdr:from>
    <xdr:to>
      <xdr:col>22</xdr:col>
      <xdr:colOff>588644</xdr:colOff>
      <xdr:row>6</xdr:row>
      <xdr:rowOff>121804</xdr:rowOff>
    </xdr:to>
    <xdr:sp macro="" textlink="">
      <xdr:nvSpPr>
        <xdr:cNvPr id="4" name="Down Arrow 3"/>
        <xdr:cNvSpPr/>
      </xdr:nvSpPr>
      <xdr:spPr>
        <a:xfrm>
          <a:off x="21013016" y="2109643"/>
          <a:ext cx="45719" cy="111211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1524000</xdr:colOff>
      <xdr:row>5</xdr:row>
      <xdr:rowOff>341631</xdr:rowOff>
    </xdr:from>
    <xdr:to>
      <xdr:col>22</xdr:col>
      <xdr:colOff>1800225</xdr:colOff>
      <xdr:row>5</xdr:row>
      <xdr:rowOff>387350</xdr:rowOff>
    </xdr:to>
    <xdr:sp macro="" textlink="">
      <xdr:nvSpPr>
        <xdr:cNvPr id="5" name="Right Arrow 4"/>
        <xdr:cNvSpPr/>
      </xdr:nvSpPr>
      <xdr:spPr>
        <a:xfrm>
          <a:off x="1679864" y="1830995"/>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542925</xdr:colOff>
      <xdr:row>5</xdr:row>
      <xdr:rowOff>620279</xdr:rowOff>
    </xdr:from>
    <xdr:to>
      <xdr:col>43</xdr:col>
      <xdr:colOff>588644</xdr:colOff>
      <xdr:row>6</xdr:row>
      <xdr:rowOff>121804</xdr:rowOff>
    </xdr:to>
    <xdr:sp macro="" textlink="">
      <xdr:nvSpPr>
        <xdr:cNvPr id="6" name="Down Arrow 5"/>
        <xdr:cNvSpPr/>
      </xdr:nvSpPr>
      <xdr:spPr>
        <a:xfrm>
          <a:off x="21013016" y="2109643"/>
          <a:ext cx="45719" cy="111211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542925</xdr:colOff>
      <xdr:row>5</xdr:row>
      <xdr:rowOff>568325</xdr:rowOff>
    </xdr:from>
    <xdr:to>
      <xdr:col>1</xdr:col>
      <xdr:colOff>588644</xdr:colOff>
      <xdr:row>6</xdr:row>
      <xdr:rowOff>69850</xdr:rowOff>
    </xdr:to>
    <xdr:sp macro="" textlink="">
      <xdr:nvSpPr>
        <xdr:cNvPr id="7" name="Down Arrow 6"/>
        <xdr:cNvSpPr/>
      </xdr:nvSpPr>
      <xdr:spPr>
        <a:xfrm>
          <a:off x="695325" y="2063750"/>
          <a:ext cx="45719" cy="1111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1524000</xdr:colOff>
      <xdr:row>5</xdr:row>
      <xdr:rowOff>341631</xdr:rowOff>
    </xdr:from>
    <xdr:to>
      <xdr:col>1</xdr:col>
      <xdr:colOff>1800225</xdr:colOff>
      <xdr:row>5</xdr:row>
      <xdr:rowOff>387350</xdr:rowOff>
    </xdr:to>
    <xdr:sp macro="" textlink="">
      <xdr:nvSpPr>
        <xdr:cNvPr id="8" name="Right Arrow 7"/>
        <xdr:cNvSpPr/>
      </xdr:nvSpPr>
      <xdr:spPr>
        <a:xfrm>
          <a:off x="1676400" y="1837056"/>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542925</xdr:colOff>
      <xdr:row>5</xdr:row>
      <xdr:rowOff>620279</xdr:rowOff>
    </xdr:from>
    <xdr:to>
      <xdr:col>22</xdr:col>
      <xdr:colOff>588644</xdr:colOff>
      <xdr:row>6</xdr:row>
      <xdr:rowOff>121804</xdr:rowOff>
    </xdr:to>
    <xdr:sp macro="" textlink="">
      <xdr:nvSpPr>
        <xdr:cNvPr id="9" name="Down Arrow 8"/>
        <xdr:cNvSpPr/>
      </xdr:nvSpPr>
      <xdr:spPr>
        <a:xfrm>
          <a:off x="20955000" y="2115704"/>
          <a:ext cx="45719" cy="1111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1524000</xdr:colOff>
      <xdr:row>5</xdr:row>
      <xdr:rowOff>341631</xdr:rowOff>
    </xdr:from>
    <xdr:to>
      <xdr:col>22</xdr:col>
      <xdr:colOff>1800225</xdr:colOff>
      <xdr:row>5</xdr:row>
      <xdr:rowOff>387350</xdr:rowOff>
    </xdr:to>
    <xdr:sp macro="" textlink="">
      <xdr:nvSpPr>
        <xdr:cNvPr id="10" name="Right Arrow 9"/>
        <xdr:cNvSpPr/>
      </xdr:nvSpPr>
      <xdr:spPr>
        <a:xfrm>
          <a:off x="21802725" y="1837056"/>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542925</xdr:colOff>
      <xdr:row>5</xdr:row>
      <xdr:rowOff>620279</xdr:rowOff>
    </xdr:from>
    <xdr:to>
      <xdr:col>43</xdr:col>
      <xdr:colOff>588644</xdr:colOff>
      <xdr:row>6</xdr:row>
      <xdr:rowOff>121804</xdr:rowOff>
    </xdr:to>
    <xdr:sp macro="" textlink="">
      <xdr:nvSpPr>
        <xdr:cNvPr id="11" name="Down Arrow 10"/>
        <xdr:cNvSpPr/>
      </xdr:nvSpPr>
      <xdr:spPr>
        <a:xfrm>
          <a:off x="40233600" y="2115704"/>
          <a:ext cx="17144" cy="1111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542925</xdr:colOff>
      <xdr:row>5</xdr:row>
      <xdr:rowOff>568325</xdr:rowOff>
    </xdr:from>
    <xdr:to>
      <xdr:col>1</xdr:col>
      <xdr:colOff>588644</xdr:colOff>
      <xdr:row>6</xdr:row>
      <xdr:rowOff>69850</xdr:rowOff>
    </xdr:to>
    <xdr:sp macro="" textlink="">
      <xdr:nvSpPr>
        <xdr:cNvPr id="12" name="Down Arrow 11"/>
        <xdr:cNvSpPr/>
      </xdr:nvSpPr>
      <xdr:spPr>
        <a:xfrm>
          <a:off x="701675" y="2079625"/>
          <a:ext cx="45719" cy="1108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542925</xdr:colOff>
      <xdr:row>5</xdr:row>
      <xdr:rowOff>620279</xdr:rowOff>
    </xdr:from>
    <xdr:to>
      <xdr:col>22</xdr:col>
      <xdr:colOff>588644</xdr:colOff>
      <xdr:row>6</xdr:row>
      <xdr:rowOff>121804</xdr:rowOff>
    </xdr:to>
    <xdr:sp macro="" textlink="">
      <xdr:nvSpPr>
        <xdr:cNvPr id="13" name="Down Arrow 12"/>
        <xdr:cNvSpPr/>
      </xdr:nvSpPr>
      <xdr:spPr>
        <a:xfrm>
          <a:off x="21942425" y="2131579"/>
          <a:ext cx="45719" cy="1108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542925</xdr:colOff>
      <xdr:row>5</xdr:row>
      <xdr:rowOff>620279</xdr:rowOff>
    </xdr:from>
    <xdr:to>
      <xdr:col>43</xdr:col>
      <xdr:colOff>588644</xdr:colOff>
      <xdr:row>6</xdr:row>
      <xdr:rowOff>121804</xdr:rowOff>
    </xdr:to>
    <xdr:sp macro="" textlink="">
      <xdr:nvSpPr>
        <xdr:cNvPr id="14" name="Down Arrow 13"/>
        <xdr:cNvSpPr/>
      </xdr:nvSpPr>
      <xdr:spPr>
        <a:xfrm>
          <a:off x="42154475" y="2131579"/>
          <a:ext cx="45719" cy="1108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542925</xdr:colOff>
      <xdr:row>5</xdr:row>
      <xdr:rowOff>568325</xdr:rowOff>
    </xdr:from>
    <xdr:to>
      <xdr:col>1</xdr:col>
      <xdr:colOff>588644</xdr:colOff>
      <xdr:row>6</xdr:row>
      <xdr:rowOff>69850</xdr:rowOff>
    </xdr:to>
    <xdr:sp macro="" textlink="">
      <xdr:nvSpPr>
        <xdr:cNvPr id="15" name="Down Arrow 14"/>
        <xdr:cNvSpPr/>
      </xdr:nvSpPr>
      <xdr:spPr>
        <a:xfrm>
          <a:off x="701675" y="2079625"/>
          <a:ext cx="45719" cy="1108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xdr:col>
      <xdr:colOff>1524000</xdr:colOff>
      <xdr:row>5</xdr:row>
      <xdr:rowOff>341631</xdr:rowOff>
    </xdr:from>
    <xdr:to>
      <xdr:col>1</xdr:col>
      <xdr:colOff>1800225</xdr:colOff>
      <xdr:row>5</xdr:row>
      <xdr:rowOff>387350</xdr:rowOff>
    </xdr:to>
    <xdr:sp macro="" textlink="">
      <xdr:nvSpPr>
        <xdr:cNvPr id="16" name="Right Arrow 15"/>
        <xdr:cNvSpPr/>
      </xdr:nvSpPr>
      <xdr:spPr>
        <a:xfrm>
          <a:off x="1682750" y="1852931"/>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542925</xdr:colOff>
      <xdr:row>5</xdr:row>
      <xdr:rowOff>620279</xdr:rowOff>
    </xdr:from>
    <xdr:to>
      <xdr:col>22</xdr:col>
      <xdr:colOff>588644</xdr:colOff>
      <xdr:row>6</xdr:row>
      <xdr:rowOff>121804</xdr:rowOff>
    </xdr:to>
    <xdr:sp macro="" textlink="">
      <xdr:nvSpPr>
        <xdr:cNvPr id="17" name="Down Arrow 16"/>
        <xdr:cNvSpPr/>
      </xdr:nvSpPr>
      <xdr:spPr>
        <a:xfrm>
          <a:off x="21942425" y="2131579"/>
          <a:ext cx="45719" cy="1108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22</xdr:col>
      <xdr:colOff>1524000</xdr:colOff>
      <xdr:row>5</xdr:row>
      <xdr:rowOff>341631</xdr:rowOff>
    </xdr:from>
    <xdr:to>
      <xdr:col>22</xdr:col>
      <xdr:colOff>1800225</xdr:colOff>
      <xdr:row>5</xdr:row>
      <xdr:rowOff>387350</xdr:rowOff>
    </xdr:to>
    <xdr:sp macro="" textlink="">
      <xdr:nvSpPr>
        <xdr:cNvPr id="18" name="Right Arrow 17"/>
        <xdr:cNvSpPr/>
      </xdr:nvSpPr>
      <xdr:spPr>
        <a:xfrm>
          <a:off x="22853650" y="1852931"/>
          <a:ext cx="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43</xdr:col>
      <xdr:colOff>542925</xdr:colOff>
      <xdr:row>5</xdr:row>
      <xdr:rowOff>620279</xdr:rowOff>
    </xdr:from>
    <xdr:to>
      <xdr:col>43</xdr:col>
      <xdr:colOff>588644</xdr:colOff>
      <xdr:row>6</xdr:row>
      <xdr:rowOff>121804</xdr:rowOff>
    </xdr:to>
    <xdr:sp macro="" textlink="">
      <xdr:nvSpPr>
        <xdr:cNvPr id="19" name="Down Arrow 18"/>
        <xdr:cNvSpPr/>
      </xdr:nvSpPr>
      <xdr:spPr>
        <a:xfrm>
          <a:off x="42154475" y="2131579"/>
          <a:ext cx="45719" cy="1108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ubham.patra/AppData/Local/Microsoft/Windows/INetCache/Content.Outlook/XPPF8BA1/BajajSaralPension%20BI%20-%2011%2002%202022%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eetal.Chanchal/Desktop/SWG/BI_Smart%20Wealth%20Goal_11072020%20(IT-25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eetal.Chanchal/Documents/SPG%20revised%20Rates/V2-Revised%20SPG%20Rates%2020200525/SPG2_Medical_03.06.2020_V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SV calc_ignore"/>
      <sheetName val="ValidData"/>
      <sheetName val="Version Control"/>
      <sheetName val="INPUT"/>
      <sheetName val="OLDValid Data"/>
      <sheetName val="Working"/>
      <sheetName val="Option B"/>
      <sheetName val="Option A"/>
      <sheetName val="SSV"/>
      <sheetName val="SSV methodology"/>
    </sheetNames>
    <sheetDataSet>
      <sheetData sheetId="0" refreshError="1"/>
      <sheetData sheetId="1" refreshError="1"/>
      <sheetData sheetId="2" refreshError="1"/>
      <sheetData sheetId="3" refreshError="1"/>
      <sheetData sheetId="4" refreshError="1">
        <row r="6">
          <cell r="D6" t="str">
            <v>Y</v>
          </cell>
        </row>
        <row r="12">
          <cell r="D12">
            <v>3096111</v>
          </cell>
        </row>
        <row r="14">
          <cell r="D14" t="str">
            <v>N</v>
          </cell>
        </row>
      </sheetData>
      <sheetData sheetId="5" refreshError="1">
        <row r="92">
          <cell r="A92">
            <v>1</v>
          </cell>
          <cell r="B92" t="str">
            <v>Yearly</v>
          </cell>
        </row>
        <row r="93">
          <cell r="A93">
            <v>2</v>
          </cell>
          <cell r="B93" t="str">
            <v>Half - Yearly</v>
          </cell>
        </row>
        <row r="94">
          <cell r="A94">
            <v>4</v>
          </cell>
          <cell r="B94" t="str">
            <v>Quarterly</v>
          </cell>
        </row>
        <row r="95">
          <cell r="A95">
            <v>12</v>
          </cell>
          <cell r="B95" t="str">
            <v>Monthly</v>
          </cell>
        </row>
      </sheetData>
      <sheetData sheetId="6" refreshError="1">
        <row r="9">
          <cell r="E9" t="str">
            <v>PP Band</v>
          </cell>
          <cell r="F9" t="str">
            <v>Index</v>
          </cell>
        </row>
        <row r="10">
          <cell r="E10">
            <v>0</v>
          </cell>
          <cell r="F10">
            <v>1</v>
          </cell>
        </row>
        <row r="11">
          <cell r="E11">
            <v>200000</v>
          </cell>
          <cell r="F11">
            <v>2</v>
          </cell>
        </row>
        <row r="12">
          <cell r="E12">
            <v>500000</v>
          </cell>
          <cell r="F12">
            <v>3</v>
          </cell>
        </row>
        <row r="13">
          <cell r="E13">
            <v>1000000</v>
          </cell>
          <cell r="F13">
            <v>4</v>
          </cell>
        </row>
        <row r="14">
          <cell r="E14">
            <v>2500000</v>
          </cell>
          <cell r="F14">
            <v>5</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
      <sheetName val="Valid Data"/>
      <sheetName val="Charges"/>
      <sheetName val="Scenario1"/>
      <sheetName val="Scenario2_R"/>
      <sheetName val="ERROR"/>
      <sheetName val="Auto Transfer Portfolio"/>
      <sheetName val="Capital Preservation"/>
      <sheetName val="Wheel of Life"/>
      <sheetName val="IRR1 "/>
      <sheetName val="IRR2"/>
      <sheetName val="Glossary of Charges"/>
      <sheetName val="Yield"/>
      <sheetName val="Input"/>
      <sheetName val="PV income benefit"/>
      <sheetName val="PV"/>
      <sheetName val="PV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C22">
            <v>4</v>
          </cell>
        </row>
        <row r="23">
          <cell r="C23">
            <v>200000</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Shee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O59"/>
  <sheetViews>
    <sheetView showGridLines="0" tabSelected="1" zoomScale="73" zoomScaleNormal="70" workbookViewId="0">
      <selection activeCell="K27" sqref="K27"/>
    </sheetView>
  </sheetViews>
  <sheetFormatPr defaultColWidth="8.85546875" defaultRowHeight="12.75" x14ac:dyDescent="0.2"/>
  <cols>
    <col min="1" max="2" width="5.42578125" style="484" customWidth="1"/>
    <col min="3" max="3" width="27" style="484" customWidth="1"/>
    <col min="4" max="4" width="22.5703125" style="484" customWidth="1"/>
    <col min="5" max="5" width="13.85546875" style="484" customWidth="1"/>
    <col min="6" max="6" width="6.42578125" style="484" customWidth="1"/>
    <col min="7" max="7" width="26.85546875" style="484" customWidth="1"/>
    <col min="8" max="8" width="21.42578125" style="484" customWidth="1"/>
    <col min="9" max="9" width="8.85546875" style="484"/>
    <col min="10" max="10" width="28.85546875" style="484" customWidth="1"/>
    <col min="11" max="11" width="21.140625" style="484" customWidth="1"/>
    <col min="12" max="12" width="6.42578125" style="484" customWidth="1"/>
    <col min="13" max="13" width="26.85546875" style="484" customWidth="1"/>
    <col min="14" max="14" width="20.85546875" style="484" customWidth="1"/>
    <col min="15" max="15" width="5.42578125" style="484" customWidth="1"/>
    <col min="16" max="16384" width="8.85546875" style="484"/>
  </cols>
  <sheetData>
    <row r="2" spans="2:15" ht="13.5" thickBot="1" x14ac:dyDescent="0.25"/>
    <row r="3" spans="2:15" ht="19.5" customHeight="1" thickTop="1" x14ac:dyDescent="0.2">
      <c r="B3" s="485"/>
      <c r="C3" s="486"/>
      <c r="D3" s="486"/>
      <c r="E3" s="486"/>
      <c r="F3" s="486"/>
      <c r="G3" s="486"/>
      <c r="H3" s="486"/>
      <c r="I3" s="486"/>
      <c r="J3" s="486"/>
      <c r="K3" s="486"/>
      <c r="L3" s="486"/>
      <c r="M3" s="486"/>
      <c r="N3" s="486"/>
      <c r="O3" s="487"/>
    </row>
    <row r="4" spans="2:15" ht="19.350000000000001" customHeight="1" thickBot="1" x14ac:dyDescent="0.25">
      <c r="B4" s="488"/>
      <c r="C4" s="489"/>
      <c r="D4" s="489"/>
      <c r="E4" s="489"/>
      <c r="F4" s="489"/>
      <c r="G4" s="489"/>
      <c r="H4" s="489"/>
      <c r="I4" s="489"/>
      <c r="J4" s="489"/>
      <c r="K4" s="489"/>
      <c r="L4" s="489"/>
      <c r="M4" s="489"/>
      <c r="N4" s="489"/>
      <c r="O4" s="490"/>
    </row>
    <row r="5" spans="2:15" ht="19.5" customHeight="1" thickTop="1" x14ac:dyDescent="0.2">
      <c r="B5" s="488"/>
      <c r="C5" s="571" t="s">
        <v>599</v>
      </c>
      <c r="D5" s="572"/>
      <c r="E5" s="572"/>
      <c r="F5" s="572"/>
      <c r="G5" s="572"/>
      <c r="H5" s="572"/>
      <c r="I5" s="572"/>
      <c r="J5" s="572"/>
      <c r="K5" s="572"/>
      <c r="L5" s="573"/>
      <c r="M5"/>
      <c r="N5"/>
      <c r="O5" s="490"/>
    </row>
    <row r="6" spans="2:15" ht="42.6" customHeight="1" thickBot="1" x14ac:dyDescent="0.25">
      <c r="B6" s="488"/>
      <c r="C6" s="574" t="s">
        <v>580</v>
      </c>
      <c r="D6" s="575"/>
      <c r="E6" s="575"/>
      <c r="F6" s="575"/>
      <c r="G6" s="575"/>
      <c r="H6" s="575"/>
      <c r="I6" s="575"/>
      <c r="J6" s="575"/>
      <c r="K6" s="575"/>
      <c r="L6" s="576"/>
      <c r="M6"/>
      <c r="N6"/>
      <c r="O6" s="490"/>
    </row>
    <row r="7" spans="2:15" ht="13.5" thickTop="1" x14ac:dyDescent="0.2">
      <c r="B7" s="488"/>
      <c r="C7" s="489"/>
      <c r="D7" s="489"/>
      <c r="E7" s="489"/>
      <c r="F7" s="489"/>
      <c r="G7" s="489"/>
      <c r="H7" s="489"/>
      <c r="I7" s="489"/>
      <c r="J7" s="489"/>
      <c r="K7" s="489"/>
      <c r="L7" s="489"/>
      <c r="M7" s="489"/>
      <c r="N7" s="489"/>
      <c r="O7" s="490"/>
    </row>
    <row r="8" spans="2:15" ht="13.5" thickBot="1" x14ac:dyDescent="0.25">
      <c r="B8" s="488"/>
      <c r="C8" s="489"/>
      <c r="D8" s="489"/>
      <c r="E8" s="489"/>
      <c r="F8" s="489"/>
      <c r="G8" s="489"/>
      <c r="H8" s="489"/>
      <c r="I8" s="489"/>
      <c r="J8" s="489"/>
      <c r="K8" s="489"/>
      <c r="L8" s="489"/>
      <c r="M8" s="489"/>
      <c r="N8" s="489"/>
      <c r="O8" s="490"/>
    </row>
    <row r="9" spans="2:15" ht="20.100000000000001" customHeight="1" thickTop="1" thickBot="1" x14ac:dyDescent="0.25">
      <c r="B9" s="488"/>
      <c r="C9" s="491" t="s">
        <v>402</v>
      </c>
      <c r="D9" s="492" t="s">
        <v>570</v>
      </c>
      <c r="E9" s="493"/>
      <c r="F9" s="493"/>
      <c r="G9" s="494"/>
      <c r="H9" s="494"/>
      <c r="I9" s="493"/>
      <c r="J9" s="495"/>
      <c r="K9" s="495"/>
      <c r="L9" s="495"/>
      <c r="M9" s="495"/>
      <c r="N9" s="495"/>
      <c r="O9" s="496"/>
    </row>
    <row r="10" spans="2:15" ht="19.5" customHeight="1" thickTop="1" thickBot="1" x14ac:dyDescent="0.25">
      <c r="B10" s="488"/>
      <c r="C10" s="493"/>
      <c r="D10" s="493"/>
      <c r="E10" s="493"/>
      <c r="F10" s="493"/>
      <c r="G10" s="493"/>
      <c r="H10" s="493"/>
      <c r="I10" s="493"/>
      <c r="J10" s="493"/>
      <c r="K10" s="493"/>
      <c r="L10" s="493"/>
      <c r="M10" s="493"/>
      <c r="N10" s="493"/>
      <c r="O10" s="496"/>
    </row>
    <row r="11" spans="2:15" ht="19.5" customHeight="1" thickTop="1" thickBot="1" x14ac:dyDescent="0.25">
      <c r="B11" s="488"/>
      <c r="C11" s="491" t="s">
        <v>581</v>
      </c>
      <c r="D11" s="418" t="s">
        <v>617</v>
      </c>
      <c r="E11" s="493"/>
      <c r="F11" s="493"/>
      <c r="G11" s="491" t="s">
        <v>582</v>
      </c>
      <c r="H11" s="418">
        <v>60</v>
      </c>
      <c r="I11" s="493"/>
      <c r="J11" s="497" t="s">
        <v>583</v>
      </c>
      <c r="K11" s="423" t="s">
        <v>618</v>
      </c>
      <c r="L11" s="498"/>
      <c r="M11" s="497" t="s">
        <v>584</v>
      </c>
      <c r="N11" s="423">
        <v>55</v>
      </c>
      <c r="O11" s="496"/>
    </row>
    <row r="12" spans="2:15" ht="19.5" customHeight="1" thickTop="1" thickBot="1" x14ac:dyDescent="0.25">
      <c r="B12" s="488"/>
      <c r="C12" s="493"/>
      <c r="D12" s="493"/>
      <c r="E12" s="493"/>
      <c r="F12" s="493"/>
      <c r="G12" s="493"/>
      <c r="H12" s="501"/>
      <c r="I12" s="493"/>
      <c r="J12" s="493"/>
      <c r="K12" s="493"/>
      <c r="L12" s="493"/>
      <c r="M12" s="493"/>
      <c r="N12" s="493"/>
      <c r="O12" s="496"/>
    </row>
    <row r="13" spans="2:15" ht="19.5" customHeight="1" thickTop="1" thickBot="1" x14ac:dyDescent="0.25">
      <c r="B13" s="488"/>
      <c r="C13" s="491" t="s">
        <v>111</v>
      </c>
      <c r="D13" s="419" t="s">
        <v>82</v>
      </c>
      <c r="E13" s="493"/>
      <c r="F13" s="499"/>
      <c r="G13" s="491" t="s">
        <v>586</v>
      </c>
      <c r="H13" s="422" t="s">
        <v>619</v>
      </c>
      <c r="I13" s="499"/>
      <c r="J13" s="491" t="s">
        <v>587</v>
      </c>
      <c r="K13" s="419" t="s">
        <v>88</v>
      </c>
      <c r="L13" s="493"/>
      <c r="M13" s="493"/>
      <c r="N13" s="493"/>
      <c r="O13" s="496"/>
    </row>
    <row r="14" spans="2:15" ht="19.5" customHeight="1" thickTop="1" thickBot="1" x14ac:dyDescent="0.25">
      <c r="B14" s="488"/>
      <c r="C14" s="493"/>
      <c r="D14" s="493"/>
      <c r="E14" s="493"/>
      <c r="F14" s="493"/>
      <c r="G14" s="493"/>
      <c r="H14" s="493"/>
      <c r="I14" s="493"/>
      <c r="J14" s="493"/>
      <c r="K14" s="493"/>
      <c r="L14" s="493"/>
      <c r="M14" s="493"/>
      <c r="N14" s="493"/>
      <c r="O14" s="496"/>
    </row>
    <row r="15" spans="2:15" ht="19.5" customHeight="1" thickTop="1" thickBot="1" x14ac:dyDescent="0.25">
      <c r="B15" s="488"/>
      <c r="C15" s="491" t="s">
        <v>585</v>
      </c>
      <c r="D15" s="419" t="s">
        <v>90</v>
      </c>
      <c r="E15" s="493"/>
      <c r="F15" s="493"/>
      <c r="G15" s="491" t="s">
        <v>68</v>
      </c>
      <c r="H15" s="419" t="s">
        <v>71</v>
      </c>
      <c r="I15" s="493"/>
      <c r="J15" s="491" t="s">
        <v>110</v>
      </c>
      <c r="K15" s="422" t="s">
        <v>621</v>
      </c>
      <c r="L15" s="499"/>
      <c r="M15" s="499"/>
      <c r="N15" s="499"/>
      <c r="O15" s="496"/>
    </row>
    <row r="16" spans="2:15" ht="19.5" customHeight="1" thickTop="1" thickBot="1" x14ac:dyDescent="0.25">
      <c r="B16" s="488"/>
      <c r="C16" s="493"/>
      <c r="D16" s="500"/>
      <c r="E16" s="493"/>
      <c r="F16" s="493"/>
      <c r="G16" s="493"/>
      <c r="H16" s="493"/>
      <c r="I16" s="493"/>
      <c r="J16" s="493"/>
      <c r="K16" s="493"/>
      <c r="L16" s="493"/>
      <c r="M16" s="493"/>
      <c r="N16" s="493"/>
      <c r="O16" s="496"/>
    </row>
    <row r="17" spans="2:15" ht="19.5" customHeight="1" thickTop="1" thickBot="1" x14ac:dyDescent="0.25">
      <c r="B17" s="488"/>
      <c r="C17" s="491" t="str">
        <f>IF(Premium_Type="Regular Premium",K13&amp;" Premium","Purchase Price")</f>
        <v>Purchase Price</v>
      </c>
      <c r="D17" s="420">
        <v>5000000</v>
      </c>
      <c r="E17" s="421" t="s">
        <v>620</v>
      </c>
      <c r="F17" s="501" t="str">
        <f>IFERROR("  Annuity will be calculated on "&amp;IF(Premium_Type="Regular Premium","Net Annualized Premium = ","Net Purchase Price = ")&amp;IF(E17="excl. GST",G19,G21&amp;" - "&amp;IF(Premium_Type="Regular Premium","4.5%","1.8%")&amp;" GST"),"")</f>
        <v xml:space="preserve">  Annuity will be calculated on Net Purchase Price = 5000000 - 1.8% GST</v>
      </c>
      <c r="G17" s="502"/>
      <c r="H17" s="502"/>
      <c r="I17" s="502"/>
      <c r="J17" s="502"/>
      <c r="K17" s="499"/>
      <c r="L17" s="580"/>
      <c r="M17" s="580"/>
      <c r="N17" s="580"/>
      <c r="O17" s="581"/>
    </row>
    <row r="18" spans="2:15" ht="19.5" customHeight="1" thickTop="1" x14ac:dyDescent="0.2">
      <c r="B18" s="488"/>
      <c r="C18" s="503"/>
      <c r="D18" s="493"/>
      <c r="E18" s="493"/>
      <c r="F18" s="493"/>
      <c r="G18" s="503"/>
      <c r="H18" s="493"/>
      <c r="I18" s="493"/>
      <c r="J18" s="503"/>
      <c r="K18" s="493"/>
      <c r="L18" s="504"/>
      <c r="M18" s="504"/>
      <c r="N18" s="504"/>
      <c r="O18" s="505"/>
    </row>
    <row r="19" spans="2:15" ht="19.5" customHeight="1" x14ac:dyDescent="0.2">
      <c r="B19" s="488"/>
      <c r="C19" s="568" t="str">
        <f>IF(Premium_Type="Regular Premium","Net Annualized Premium","Net Purchase Price")&amp;" payable by customer"</f>
        <v>Net Purchase Price payable by customer</v>
      </c>
      <c r="D19" s="568"/>
      <c r="E19" s="568"/>
      <c r="F19" s="568"/>
      <c r="G19" s="506">
        <f>IF($E$17="incl. GST",'All Options'!$O$97,'All Options'!$L$95)</f>
        <v>4911591.3555992143</v>
      </c>
      <c r="H19" s="507"/>
      <c r="I19" s="507"/>
      <c r="J19" s="508"/>
      <c r="K19" s="508"/>
      <c r="L19" s="509"/>
      <c r="M19" s="509"/>
      <c r="N19" s="509"/>
      <c r="O19" s="505"/>
    </row>
    <row r="20" spans="2:15" ht="19.5" customHeight="1" x14ac:dyDescent="0.2">
      <c r="B20" s="488"/>
      <c r="C20" s="568" t="str">
        <f>"GST"&amp;IF(Premium_Type="Single Premium"," for Single Premium (1.8%)"," for 1st year (4.5%)")</f>
        <v>GST for Single Premium (1.8%)</v>
      </c>
      <c r="D20" s="568"/>
      <c r="E20" s="568"/>
      <c r="F20" s="568"/>
      <c r="G20" s="506">
        <f>IF($E$17="incl. GST",'All Options'!$O$96,'All Options'!$L$96)</f>
        <v>88408.644400785677</v>
      </c>
      <c r="H20" s="568" t="str">
        <f>"GST from 2nd year onwards"&amp;IF(Premium_Type="Single Premium"," (0%)"," (2.25%)")</f>
        <v>GST from 2nd year onwards (0%)</v>
      </c>
      <c r="I20" s="568"/>
      <c r="J20" s="568"/>
      <c r="K20" s="506">
        <f>IF(Premium_Type="Single Premium",0,IF('Annuity Calculator'!$E$17="incl. GST",'All Options'!$O$98,'All Options'!$L$98))</f>
        <v>0</v>
      </c>
      <c r="L20" s="509"/>
      <c r="M20" s="509"/>
      <c r="N20" s="509"/>
      <c r="O20" s="505"/>
    </row>
    <row r="21" spans="2:15" ht="19.5" customHeight="1" x14ac:dyDescent="0.2">
      <c r="B21" s="488"/>
      <c r="C21" s="568" t="str">
        <f>"Gross "&amp;IF(Premium_Type="Regular Premium","Annualized Premium","Purchase Price")&amp;" payable by customer"</f>
        <v>Gross Purchase Price payable by customer</v>
      </c>
      <c r="D21" s="568"/>
      <c r="E21" s="568"/>
      <c r="F21" s="568"/>
      <c r="G21" s="506">
        <f>IF($E$17="incl. GST",'All Options'!$O$95,'All Options'!$L$97)</f>
        <v>5000000</v>
      </c>
      <c r="H21" s="507"/>
      <c r="I21" s="507"/>
      <c r="J21" s="507"/>
      <c r="K21" s="507"/>
      <c r="L21" s="509"/>
      <c r="M21" s="509"/>
      <c r="N21" s="509"/>
      <c r="O21" s="496"/>
    </row>
    <row r="22" spans="2:15" ht="19.5" customHeight="1" thickBot="1" x14ac:dyDescent="0.25">
      <c r="B22" s="510"/>
      <c r="C22" s="511"/>
      <c r="D22" s="511"/>
      <c r="E22" s="511"/>
      <c r="F22" s="511"/>
      <c r="G22" s="511"/>
      <c r="H22" s="511"/>
      <c r="I22" s="511"/>
      <c r="J22" s="511"/>
      <c r="K22" s="512"/>
      <c r="L22" s="511"/>
      <c r="M22" s="511"/>
      <c r="N22" s="511"/>
      <c r="O22" s="513"/>
    </row>
    <row r="23" spans="2:15" ht="14.1" customHeight="1" thickTop="1" x14ac:dyDescent="0.2">
      <c r="B23" s="514"/>
      <c r="C23" s="515"/>
      <c r="D23" s="515"/>
      <c r="E23" s="515"/>
      <c r="F23" s="515"/>
      <c r="G23" s="515"/>
      <c r="H23" s="515"/>
      <c r="I23" s="515"/>
      <c r="J23" s="515"/>
      <c r="K23" s="516"/>
      <c r="L23" s="515"/>
      <c r="M23" s="515"/>
      <c r="N23" s="515"/>
      <c r="O23" s="514"/>
    </row>
    <row r="24" spans="2:15" ht="14.1" customHeight="1" thickBot="1" x14ac:dyDescent="0.25">
      <c r="B24" s="514"/>
      <c r="C24" s="515"/>
      <c r="D24" s="515"/>
      <c r="E24" s="515"/>
      <c r="F24" s="515"/>
      <c r="G24" s="515"/>
      <c r="H24" s="515"/>
      <c r="I24" s="515"/>
      <c r="J24" s="515"/>
      <c r="K24" s="516"/>
      <c r="L24" s="515"/>
      <c r="M24" s="515"/>
      <c r="N24" s="515"/>
      <c r="O24" s="514"/>
    </row>
    <row r="25" spans="2:15" ht="19.5" customHeight="1" thickTop="1" x14ac:dyDescent="0.2">
      <c r="B25" s="582" t="s">
        <v>0</v>
      </c>
      <c r="C25" s="583"/>
      <c r="D25" s="583"/>
      <c r="E25" s="583"/>
      <c r="F25" s="583"/>
      <c r="G25" s="583"/>
      <c r="H25" s="583"/>
      <c r="I25" s="583"/>
      <c r="J25" s="583"/>
      <c r="K25" s="583"/>
      <c r="L25" s="583"/>
      <c r="M25" s="583"/>
      <c r="N25" s="583"/>
      <c r="O25" s="584"/>
    </row>
    <row r="26" spans="2:15" ht="19.5" customHeight="1" thickBot="1" x14ac:dyDescent="0.25">
      <c r="B26" s="585"/>
      <c r="C26" s="586"/>
      <c r="D26" s="586"/>
      <c r="E26" s="586"/>
      <c r="F26" s="586"/>
      <c r="G26" s="586"/>
      <c r="H26" s="586"/>
      <c r="I26" s="586"/>
      <c r="J26" s="586"/>
      <c r="K26" s="586"/>
      <c r="L26" s="586"/>
      <c r="M26" s="586"/>
      <c r="N26" s="586"/>
      <c r="O26" s="587"/>
    </row>
    <row r="27" spans="2:15" ht="19.5" customHeight="1" thickTop="1" x14ac:dyDescent="0.2">
      <c r="B27" s="488"/>
      <c r="C27" s="493"/>
      <c r="D27" s="493"/>
      <c r="E27" s="493"/>
      <c r="F27" s="493"/>
      <c r="G27" s="493"/>
      <c r="H27" s="493"/>
      <c r="I27" s="493"/>
      <c r="J27" s="493"/>
      <c r="K27" s="517"/>
      <c r="L27" s="493"/>
      <c r="M27" s="493"/>
      <c r="N27" s="493"/>
      <c r="O27" s="490"/>
    </row>
    <row r="28" spans="2:15" ht="19.5" customHeight="1" x14ac:dyDescent="0.2">
      <c r="B28" s="488"/>
      <c r="C28" s="493"/>
      <c r="D28" s="493"/>
      <c r="E28" s="493"/>
      <c r="F28" s="493"/>
      <c r="G28" s="493"/>
      <c r="H28" s="493"/>
      <c r="I28" s="493"/>
      <c r="J28" s="493"/>
      <c r="K28" s="517"/>
      <c r="L28" s="493"/>
      <c r="M28" s="493"/>
      <c r="N28" s="493"/>
      <c r="O28" s="490"/>
    </row>
    <row r="29" spans="2:15" ht="27.95" customHeight="1" x14ac:dyDescent="0.2">
      <c r="B29" s="488"/>
      <c r="C29" s="324"/>
      <c r="D29" s="518"/>
      <c r="E29" s="518"/>
      <c r="F29" s="518"/>
      <c r="G29" s="518"/>
      <c r="H29" s="549" t="s">
        <v>571</v>
      </c>
      <c r="I29" s="549"/>
      <c r="J29" s="549"/>
      <c r="K29" s="549"/>
      <c r="L29" s="549"/>
      <c r="M29" s="549"/>
      <c r="N29" s="549"/>
      <c r="O29" s="490"/>
    </row>
    <row r="30" spans="2:15" ht="48" customHeight="1" x14ac:dyDescent="0.2">
      <c r="B30" s="488"/>
      <c r="C30" s="577" t="s">
        <v>604</v>
      </c>
      <c r="D30" s="578"/>
      <c r="E30" s="578"/>
      <c r="F30" s="578"/>
      <c r="G30" s="579"/>
      <c r="H30" s="551" t="s">
        <v>601</v>
      </c>
      <c r="I30" s="551"/>
      <c r="J30" s="519" t="str">
        <f>'Annuity Calculator'!$H$15&amp;" Annuity"</f>
        <v>Monthly Annuity</v>
      </c>
      <c r="K30" s="551" t="s">
        <v>602</v>
      </c>
      <c r="L30" s="551"/>
      <c r="M30" s="519" t="s">
        <v>603</v>
      </c>
      <c r="N30" s="519" t="str">
        <f>'Annuity Calculator'!$H$15&amp;" Annuity %"</f>
        <v>Monthly Annuity %</v>
      </c>
      <c r="O30" s="490"/>
    </row>
    <row r="31" spans="2:15" ht="20.100000000000001" customHeight="1" x14ac:dyDescent="0.2">
      <c r="B31" s="488"/>
      <c r="C31" s="553" t="s">
        <v>93</v>
      </c>
      <c r="D31" s="554"/>
      <c r="E31" s="554"/>
      <c r="F31" s="554"/>
      <c r="G31" s="555"/>
      <c r="H31" s="547">
        <f>'All Options'!D36</f>
        <v>395024.55795677798</v>
      </c>
      <c r="I31" s="547"/>
      <c r="J31" s="520">
        <f>'All Options'!E36</f>
        <v>31799.476915520627</v>
      </c>
      <c r="K31" s="547">
        <f>'All Options'!F36</f>
        <v>381593.72298624751</v>
      </c>
      <c r="L31" s="547"/>
      <c r="M31" s="521">
        <f>'All Options'!G36</f>
        <v>8.0426999999999998E-2</v>
      </c>
      <c r="N31" s="521">
        <f>'All Options'!H36</f>
        <v>7.7692481999999993E-2</v>
      </c>
      <c r="O31" s="490"/>
    </row>
    <row r="32" spans="2:15" ht="20.100000000000001" customHeight="1" x14ac:dyDescent="0.2">
      <c r="B32" s="488"/>
      <c r="C32" s="565" t="s">
        <v>92</v>
      </c>
      <c r="D32" s="566"/>
      <c r="E32" s="566"/>
      <c r="F32" s="566"/>
      <c r="G32" s="567"/>
      <c r="H32" s="548">
        <f>'All Options'!D37</f>
        <v>355285.8546168959</v>
      </c>
      <c r="I32" s="548"/>
      <c r="J32" s="338">
        <f>'All Options'!E37</f>
        <v>28600.511296660119</v>
      </c>
      <c r="K32" s="548">
        <f>'All Options'!F37</f>
        <v>343206.13555992144</v>
      </c>
      <c r="L32" s="548"/>
      <c r="M32" s="339">
        <f>'All Options'!G37</f>
        <v>7.2336200000000003E-2</v>
      </c>
      <c r="N32" s="339">
        <f>'All Options'!H37</f>
        <v>6.9876769200000008E-2</v>
      </c>
      <c r="O32" s="490"/>
    </row>
    <row r="33" spans="2:15" ht="20.100000000000001" customHeight="1" x14ac:dyDescent="0.2">
      <c r="B33" s="488"/>
      <c r="C33" s="553" t="s">
        <v>33</v>
      </c>
      <c r="D33" s="554"/>
      <c r="E33" s="554"/>
      <c r="F33" s="554"/>
      <c r="G33" s="555"/>
      <c r="H33" s="569">
        <f>'All Options'!D38</f>
        <v>391818.27111984283</v>
      </c>
      <c r="I33" s="570"/>
      <c r="J33" s="520">
        <f>'All Options'!E38</f>
        <v>31541.370825147347</v>
      </c>
      <c r="K33" s="547">
        <f>'All Options'!F38</f>
        <v>378496.44990176818</v>
      </c>
      <c r="L33" s="547"/>
      <c r="M33" s="521">
        <f>'All Options'!G38</f>
        <v>7.9774200000000003E-2</v>
      </c>
      <c r="N33" s="521">
        <f>'All Options'!H38</f>
        <v>7.7061877200000004E-2</v>
      </c>
      <c r="O33" s="490"/>
    </row>
    <row r="34" spans="2:15" ht="20.100000000000001" customHeight="1" x14ac:dyDescent="0.2">
      <c r="B34" s="488"/>
      <c r="C34" s="565" t="s">
        <v>34</v>
      </c>
      <c r="D34" s="566"/>
      <c r="E34" s="566"/>
      <c r="F34" s="566"/>
      <c r="G34" s="567"/>
      <c r="H34" s="548">
        <f>'All Options'!D39</f>
        <v>384954.81335952855</v>
      </c>
      <c r="I34" s="548"/>
      <c r="J34" s="338">
        <f>'All Options'!E39</f>
        <v>30988.862475442049</v>
      </c>
      <c r="K34" s="548">
        <f>'All Options'!F39</f>
        <v>371866.3497053046</v>
      </c>
      <c r="L34" s="548"/>
      <c r="M34" s="339">
        <f>'All Options'!G39</f>
        <v>7.837680000000001E-2</v>
      </c>
      <c r="N34" s="339">
        <f>'All Options'!H39</f>
        <v>7.5711988800000019E-2</v>
      </c>
      <c r="O34" s="490"/>
    </row>
    <row r="35" spans="2:15" ht="20.100000000000001" customHeight="1" x14ac:dyDescent="0.2">
      <c r="B35" s="488"/>
      <c r="C35" s="553" t="s">
        <v>35</v>
      </c>
      <c r="D35" s="554"/>
      <c r="E35" s="554"/>
      <c r="F35" s="554"/>
      <c r="G35" s="555"/>
      <c r="H35" s="547">
        <f>'All Options'!D40</f>
        <v>375235.75638506882</v>
      </c>
      <c r="I35" s="547"/>
      <c r="J35" s="520">
        <f>'All Options'!E40</f>
        <v>30206.478388998039</v>
      </c>
      <c r="K35" s="547">
        <f>'All Options'!F40</f>
        <v>362477.74066797644</v>
      </c>
      <c r="L35" s="547"/>
      <c r="M35" s="521">
        <f>'All Options'!G40</f>
        <v>7.6398000000000008E-2</v>
      </c>
      <c r="N35" s="521">
        <f>'All Options'!H40</f>
        <v>7.3800467999999994E-2</v>
      </c>
      <c r="O35" s="490"/>
    </row>
    <row r="36" spans="2:15" ht="20.100000000000001" customHeight="1" x14ac:dyDescent="0.2">
      <c r="B36" s="488"/>
      <c r="C36" s="565" t="s">
        <v>36</v>
      </c>
      <c r="D36" s="566"/>
      <c r="E36" s="566"/>
      <c r="F36" s="566"/>
      <c r="G36" s="567"/>
      <c r="H36" s="548">
        <f>'All Options'!D41</f>
        <v>363462.67190569744</v>
      </c>
      <c r="I36" s="548"/>
      <c r="J36" s="338">
        <f>'All Options'!E41</f>
        <v>29258.745088408643</v>
      </c>
      <c r="K36" s="548">
        <f>'All Options'!F41</f>
        <v>351104.94106090371</v>
      </c>
      <c r="L36" s="548"/>
      <c r="M36" s="339">
        <f>'All Options'!G41</f>
        <v>7.4000999999999997E-2</v>
      </c>
      <c r="N36" s="339">
        <f>'All Options'!H41</f>
        <v>7.1484965999999997E-2</v>
      </c>
      <c r="O36" s="490"/>
    </row>
    <row r="37" spans="2:15" ht="20.100000000000001" customHeight="1" x14ac:dyDescent="0.2">
      <c r="B37" s="488"/>
      <c r="C37" s="553" t="s">
        <v>94</v>
      </c>
      <c r="D37" s="554"/>
      <c r="E37" s="554"/>
      <c r="F37" s="554"/>
      <c r="G37" s="555"/>
      <c r="H37" s="547">
        <f ca="1">'All Options'!D42</f>
        <v>356048.13359528489</v>
      </c>
      <c r="I37" s="547"/>
      <c r="J37" s="520">
        <f ca="1">'All Options'!E42</f>
        <v>28661.874754420434</v>
      </c>
      <c r="K37" s="547">
        <f ca="1">'All Options'!F42</f>
        <v>343942.4970530452</v>
      </c>
      <c r="L37" s="547"/>
      <c r="M37" s="521">
        <f ca="1">'All Options'!G42</f>
        <v>7.2491399999999998E-2</v>
      </c>
      <c r="N37" s="521">
        <f ca="1">'All Options'!H42</f>
        <v>7.0026692399999993E-2</v>
      </c>
      <c r="O37" s="490"/>
    </row>
    <row r="38" spans="2:15" ht="20.100000000000001" customHeight="1" x14ac:dyDescent="0.2">
      <c r="B38" s="488"/>
      <c r="C38" s="565" t="s">
        <v>11</v>
      </c>
      <c r="D38" s="566"/>
      <c r="E38" s="566"/>
      <c r="F38" s="566"/>
      <c r="G38" s="567"/>
      <c r="H38" s="548">
        <f ca="1">'All Options'!D43</f>
        <v>332602.16110019648</v>
      </c>
      <c r="I38" s="548"/>
      <c r="J38" s="338">
        <f ca="1">'All Options'!E43</f>
        <v>26774.473968565817</v>
      </c>
      <c r="K38" s="548">
        <f ca="1">'All Options'!F43</f>
        <v>321293.68762278982</v>
      </c>
      <c r="L38" s="548"/>
      <c r="M38" s="339">
        <f ca="1">'All Options'!G43</f>
        <v>6.7717799999999995E-2</v>
      </c>
      <c r="N38" s="339">
        <f ca="1">'All Options'!H43</f>
        <v>6.5415394799999999E-2</v>
      </c>
      <c r="O38" s="490"/>
    </row>
    <row r="39" spans="2:15" ht="20.100000000000001" customHeight="1" x14ac:dyDescent="0.2">
      <c r="B39" s="488"/>
      <c r="C39" s="553" t="s">
        <v>541</v>
      </c>
      <c r="D39" s="554"/>
      <c r="E39" s="554"/>
      <c r="F39" s="554"/>
      <c r="G39" s="555"/>
      <c r="H39" s="547">
        <f ca="1">'All Options'!D44</f>
        <v>353500</v>
      </c>
      <c r="I39" s="547"/>
      <c r="J39" s="520">
        <f ca="1">'All Options'!E44</f>
        <v>28456.75</v>
      </c>
      <c r="K39" s="547">
        <f ca="1">'All Options'!F44</f>
        <v>341481</v>
      </c>
      <c r="L39" s="547"/>
      <c r="M39" s="521">
        <f ca="1">'All Options'!G44</f>
        <v>7.1972599999999998E-2</v>
      </c>
      <c r="N39" s="521">
        <f ca="1">'All Options'!H44</f>
        <v>6.9525531599999996E-2</v>
      </c>
      <c r="O39" s="490"/>
    </row>
    <row r="40" spans="2:15" ht="20.100000000000001" customHeight="1" x14ac:dyDescent="0.2">
      <c r="B40" s="488"/>
      <c r="C40" s="565" t="s">
        <v>95</v>
      </c>
      <c r="D40" s="566"/>
      <c r="E40" s="566"/>
      <c r="F40" s="566"/>
      <c r="G40" s="567"/>
      <c r="H40" s="548">
        <f>'All Options'!D45</f>
        <v>291571.70923379174</v>
      </c>
      <c r="I40" s="548"/>
      <c r="J40" s="338">
        <f>'All Options'!E45</f>
        <v>23471.522593320235</v>
      </c>
      <c r="K40" s="548">
        <f>'All Options'!F45</f>
        <v>281658.27111984283</v>
      </c>
      <c r="L40" s="548"/>
      <c r="M40" s="339">
        <f>'All Options'!G45</f>
        <v>5.9363999999999993E-2</v>
      </c>
      <c r="N40" s="339">
        <f>'All Options'!H45</f>
        <v>5.7345623999999998E-2</v>
      </c>
      <c r="O40" s="490"/>
    </row>
    <row r="41" spans="2:15" ht="20.100000000000001" customHeight="1" x14ac:dyDescent="0.2">
      <c r="B41" s="488"/>
      <c r="C41" s="553" t="s">
        <v>97</v>
      </c>
      <c r="D41" s="554"/>
      <c r="E41" s="554"/>
      <c r="F41" s="554"/>
      <c r="G41" s="555"/>
      <c r="H41" s="547">
        <f>'All Options'!D46</f>
        <v>283355.59921414545</v>
      </c>
      <c r="I41" s="547"/>
      <c r="J41" s="520">
        <f>'All Options'!E46</f>
        <v>22810.125736738708</v>
      </c>
      <c r="K41" s="547">
        <f>'All Options'!F46</f>
        <v>273721.50884086452</v>
      </c>
      <c r="L41" s="547"/>
      <c r="M41" s="521">
        <f>'All Options'!G46</f>
        <v>5.7691200000000012E-2</v>
      </c>
      <c r="N41" s="521">
        <f>'All Options'!H46</f>
        <v>5.5729699200000017E-2</v>
      </c>
      <c r="O41" s="490"/>
    </row>
    <row r="42" spans="2:15" ht="19.5" customHeight="1" x14ac:dyDescent="0.2">
      <c r="B42" s="488"/>
      <c r="C42" s="493"/>
      <c r="D42" s="493"/>
      <c r="E42" s="493"/>
      <c r="F42" s="493"/>
      <c r="G42" s="493"/>
      <c r="H42" s="493"/>
      <c r="I42" s="489"/>
      <c r="J42" s="489"/>
      <c r="K42" s="489"/>
      <c r="L42" s="493"/>
      <c r="M42" s="493"/>
      <c r="N42" s="493"/>
      <c r="O42" s="490"/>
    </row>
    <row r="43" spans="2:15" ht="19.5" customHeight="1" x14ac:dyDescent="0.2">
      <c r="B43" s="488"/>
      <c r="C43" s="493"/>
      <c r="D43" s="493"/>
      <c r="E43" s="493"/>
      <c r="F43" s="493"/>
      <c r="G43" s="493"/>
      <c r="H43" s="493"/>
      <c r="I43" s="489"/>
      <c r="J43" s="489"/>
      <c r="K43" s="489"/>
      <c r="L43" s="493"/>
      <c r="M43" s="493"/>
      <c r="N43" s="493"/>
      <c r="O43" s="490"/>
    </row>
    <row r="44" spans="2:15" ht="27.95" customHeight="1" x14ac:dyDescent="0.2">
      <c r="B44" s="488"/>
      <c r="C44" s="493"/>
      <c r="D44" s="493"/>
      <c r="E44" s="493"/>
      <c r="F44" s="493"/>
      <c r="G44" s="493"/>
      <c r="H44" s="549" t="s">
        <v>572</v>
      </c>
      <c r="I44" s="549"/>
      <c r="J44" s="549"/>
      <c r="K44" s="549"/>
      <c r="L44" s="549"/>
      <c r="M44" s="549"/>
      <c r="N44" s="549"/>
      <c r="O44" s="490"/>
    </row>
    <row r="45" spans="2:15" ht="48" customHeight="1" x14ac:dyDescent="0.2">
      <c r="B45" s="488"/>
      <c r="C45" s="550" t="s">
        <v>604</v>
      </c>
      <c r="D45" s="550"/>
      <c r="E45" s="550"/>
      <c r="F45" s="550"/>
      <c r="G45" s="550"/>
      <c r="H45" s="551" t="s">
        <v>601</v>
      </c>
      <c r="I45" s="551"/>
      <c r="J45" s="519" t="str">
        <f>'Annuity Calculator'!$H$15&amp;" Annuity"</f>
        <v>Monthly Annuity</v>
      </c>
      <c r="K45" s="551" t="s">
        <v>602</v>
      </c>
      <c r="L45" s="551"/>
      <c r="M45" s="519" t="s">
        <v>603</v>
      </c>
      <c r="N45" s="519" t="str">
        <f>'Annuity Calculator'!$H$15&amp;" Annuity %"</f>
        <v>Monthly Annuity %</v>
      </c>
      <c r="O45" s="490"/>
    </row>
    <row r="46" spans="2:15" ht="19.5" customHeight="1" x14ac:dyDescent="0.2">
      <c r="B46" s="488"/>
      <c r="C46" s="556" t="s">
        <v>93</v>
      </c>
      <c r="D46" s="557"/>
      <c r="E46" s="557"/>
      <c r="F46" s="557"/>
      <c r="G46" s="558"/>
      <c r="H46" s="547">
        <f ca="1">'All Options'!D52</f>
        <v>0</v>
      </c>
      <c r="I46" s="547"/>
      <c r="J46" s="520">
        <f ca="1">'All Options'!E52</f>
        <v>0</v>
      </c>
      <c r="K46" s="547">
        <f ca="1">'All Options'!F52</f>
        <v>0</v>
      </c>
      <c r="L46" s="547"/>
      <c r="M46" s="521">
        <f ca="1">'All Options'!G52</f>
        <v>0</v>
      </c>
      <c r="N46" s="521">
        <f ca="1">'All Options'!H52</f>
        <v>0</v>
      </c>
      <c r="O46" s="490"/>
    </row>
    <row r="47" spans="2:15" ht="19.5" customHeight="1" x14ac:dyDescent="0.2">
      <c r="B47" s="488"/>
      <c r="C47" s="562" t="s">
        <v>92</v>
      </c>
      <c r="D47" s="563"/>
      <c r="E47" s="563"/>
      <c r="F47" s="563"/>
      <c r="G47" s="564"/>
      <c r="H47" s="548">
        <f ca="1">'All Options'!D53</f>
        <v>0</v>
      </c>
      <c r="I47" s="548"/>
      <c r="J47" s="338">
        <f ca="1">'All Options'!E53</f>
        <v>0</v>
      </c>
      <c r="K47" s="548">
        <f ca="1">'All Options'!F53</f>
        <v>0</v>
      </c>
      <c r="L47" s="548"/>
      <c r="M47" s="339">
        <f ca="1">'All Options'!G53</f>
        <v>0</v>
      </c>
      <c r="N47" s="339">
        <f ca="1">'All Options'!H53</f>
        <v>0</v>
      </c>
      <c r="O47" s="490"/>
    </row>
    <row r="48" spans="2:15" ht="19.5" customHeight="1" x14ac:dyDescent="0.2">
      <c r="B48" s="488"/>
      <c r="C48" s="556" t="s">
        <v>541</v>
      </c>
      <c r="D48" s="557"/>
      <c r="E48" s="557"/>
      <c r="F48" s="557"/>
      <c r="G48" s="558"/>
      <c r="H48" s="547">
        <f ca="1">'All Options'!D54</f>
        <v>0</v>
      </c>
      <c r="I48" s="547"/>
      <c r="J48" s="520">
        <f ca="1">'All Options'!E54</f>
        <v>0</v>
      </c>
      <c r="K48" s="547">
        <f ca="1">'All Options'!F54</f>
        <v>0</v>
      </c>
      <c r="L48" s="547"/>
      <c r="M48" s="521">
        <f ca="1">'All Options'!G54</f>
        <v>0</v>
      </c>
      <c r="N48" s="521">
        <f ca="1">'All Options'!H54</f>
        <v>0</v>
      </c>
      <c r="O48" s="490"/>
    </row>
    <row r="49" spans="2:15" ht="19.5" customHeight="1" x14ac:dyDescent="0.2">
      <c r="B49" s="488"/>
      <c r="C49" s="559" t="s">
        <v>95</v>
      </c>
      <c r="D49" s="560"/>
      <c r="E49" s="560"/>
      <c r="F49" s="560"/>
      <c r="G49" s="561"/>
      <c r="H49" s="548">
        <f ca="1">'All Options'!D55</f>
        <v>0</v>
      </c>
      <c r="I49" s="548"/>
      <c r="J49" s="338">
        <f ca="1">'All Options'!E55</f>
        <v>0</v>
      </c>
      <c r="K49" s="548">
        <f ca="1">'All Options'!F55</f>
        <v>0</v>
      </c>
      <c r="L49" s="548"/>
      <c r="M49" s="339">
        <f ca="1">'All Options'!G55</f>
        <v>0</v>
      </c>
      <c r="N49" s="339">
        <f ca="1">'All Options'!H55</f>
        <v>0</v>
      </c>
      <c r="O49" s="490"/>
    </row>
    <row r="50" spans="2:15" ht="19.5" customHeight="1" x14ac:dyDescent="0.2">
      <c r="B50" s="488"/>
      <c r="C50" s="556" t="s">
        <v>97</v>
      </c>
      <c r="D50" s="557"/>
      <c r="E50" s="557"/>
      <c r="F50" s="557"/>
      <c r="G50" s="558"/>
      <c r="H50" s="547">
        <f ca="1">'All Options'!D56</f>
        <v>0</v>
      </c>
      <c r="I50" s="547"/>
      <c r="J50" s="520">
        <f ca="1">'All Options'!E56</f>
        <v>0</v>
      </c>
      <c r="K50" s="547">
        <f ca="1">'All Options'!F56</f>
        <v>0</v>
      </c>
      <c r="L50" s="547"/>
      <c r="M50" s="521">
        <f ca="1">'All Options'!G56</f>
        <v>0</v>
      </c>
      <c r="N50" s="521">
        <f ca="1">'All Options'!H56</f>
        <v>0</v>
      </c>
      <c r="O50" s="490"/>
    </row>
    <row r="51" spans="2:15" ht="19.5" customHeight="1" x14ac:dyDescent="0.2">
      <c r="B51" s="488"/>
      <c r="C51" s="493"/>
      <c r="D51" s="493"/>
      <c r="E51" s="493"/>
      <c r="F51" s="493"/>
      <c r="G51" s="493"/>
      <c r="H51" s="493"/>
      <c r="I51" s="489"/>
      <c r="J51" s="489"/>
      <c r="K51" s="489"/>
      <c r="L51" s="493"/>
      <c r="M51" s="493"/>
      <c r="N51" s="493"/>
      <c r="O51" s="490"/>
    </row>
    <row r="52" spans="2:15" ht="19.5" customHeight="1" x14ac:dyDescent="0.2">
      <c r="B52" s="488"/>
      <c r="C52" s="493"/>
      <c r="D52" s="493"/>
      <c r="E52" s="493"/>
      <c r="F52" s="493"/>
      <c r="G52" s="493"/>
      <c r="H52" s="493"/>
      <c r="I52" s="489"/>
      <c r="J52" s="489"/>
      <c r="K52" s="489"/>
      <c r="L52" s="493"/>
      <c r="M52" s="493"/>
      <c r="N52" s="493"/>
      <c r="O52" s="490"/>
    </row>
    <row r="53" spans="2:15" ht="29.1" customHeight="1" x14ac:dyDescent="0.2">
      <c r="B53" s="488"/>
      <c r="C53" s="493"/>
      <c r="D53" s="493"/>
      <c r="E53" s="493"/>
      <c r="F53" s="493"/>
      <c r="G53" s="493"/>
      <c r="H53" s="549" t="s">
        <v>605</v>
      </c>
      <c r="I53" s="549"/>
      <c r="J53" s="549"/>
      <c r="K53" s="549"/>
      <c r="L53" s="549"/>
      <c r="M53" s="549"/>
      <c r="N53" s="549"/>
      <c r="O53" s="490"/>
    </row>
    <row r="54" spans="2:15" ht="48.6" customHeight="1" x14ac:dyDescent="0.2">
      <c r="B54" s="488"/>
      <c r="C54" s="550" t="s">
        <v>604</v>
      </c>
      <c r="D54" s="550"/>
      <c r="E54" s="550"/>
      <c r="F54" s="550"/>
      <c r="G54" s="550"/>
      <c r="H54" s="551" t="s">
        <v>601</v>
      </c>
      <c r="I54" s="551"/>
      <c r="J54" s="519" t="str">
        <f>'Annuity Calculator'!$H$15&amp;" Annuity"</f>
        <v>Monthly Annuity</v>
      </c>
      <c r="K54" s="551" t="s">
        <v>602</v>
      </c>
      <c r="L54" s="551"/>
      <c r="M54" s="519" t="s">
        <v>603</v>
      </c>
      <c r="N54" s="519" t="str">
        <f>'Annuity Calculator'!$H$15&amp;" Annuity %"</f>
        <v>Monthly Annuity %</v>
      </c>
      <c r="O54" s="490"/>
    </row>
    <row r="55" spans="2:15" ht="19.5" customHeight="1" x14ac:dyDescent="0.2">
      <c r="B55" s="488"/>
      <c r="C55" s="552" t="s">
        <v>93</v>
      </c>
      <c r="D55" s="552"/>
      <c r="E55" s="552"/>
      <c r="F55" s="552"/>
      <c r="G55" s="552"/>
      <c r="H55" s="547">
        <f ca="1">'All Options'!D61</f>
        <v>0</v>
      </c>
      <c r="I55" s="547"/>
      <c r="J55" s="520">
        <f ca="1">'All Options'!E61</f>
        <v>0</v>
      </c>
      <c r="K55" s="547">
        <f ca="1">'All Options'!F61</f>
        <v>0</v>
      </c>
      <c r="L55" s="547"/>
      <c r="M55" s="521">
        <f ca="1">'All Options'!G61</f>
        <v>0</v>
      </c>
      <c r="N55" s="521">
        <f ca="1">'All Options'!H61</f>
        <v>0</v>
      </c>
      <c r="O55" s="490"/>
    </row>
    <row r="56" spans="2:15" ht="19.5" customHeight="1" x14ac:dyDescent="0.2">
      <c r="B56" s="488"/>
      <c r="C56" s="546" t="s">
        <v>92</v>
      </c>
      <c r="D56" s="546"/>
      <c r="E56" s="546"/>
      <c r="F56" s="546"/>
      <c r="G56" s="546"/>
      <c r="H56" s="548">
        <f ca="1">'All Options'!D62</f>
        <v>0</v>
      </c>
      <c r="I56" s="548"/>
      <c r="J56" s="338">
        <f ca="1">'All Options'!E62</f>
        <v>0</v>
      </c>
      <c r="K56" s="548">
        <f ca="1">'All Options'!F62</f>
        <v>0</v>
      </c>
      <c r="L56" s="548"/>
      <c r="M56" s="339">
        <f ca="1">'All Options'!G62</f>
        <v>0</v>
      </c>
      <c r="N56" s="339">
        <f ca="1">'All Options'!H62</f>
        <v>0</v>
      </c>
      <c r="O56" s="490"/>
    </row>
    <row r="57" spans="2:15" ht="20.100000000000001" customHeight="1" x14ac:dyDescent="0.2">
      <c r="B57" s="488"/>
      <c r="C57" s="493"/>
      <c r="D57" s="493"/>
      <c r="E57" s="493"/>
      <c r="F57" s="493"/>
      <c r="G57" s="493"/>
      <c r="H57" s="493"/>
      <c r="I57" s="489"/>
      <c r="J57" s="489"/>
      <c r="K57" s="489"/>
      <c r="L57" s="493"/>
      <c r="M57" s="493"/>
      <c r="N57" s="493"/>
      <c r="O57" s="490"/>
    </row>
    <row r="58" spans="2:15" ht="20.100000000000001" customHeight="1" thickBot="1" x14ac:dyDescent="0.25">
      <c r="B58" s="510"/>
      <c r="C58" s="522"/>
      <c r="D58" s="522"/>
      <c r="E58" s="522"/>
      <c r="F58" s="522"/>
      <c r="G58" s="522"/>
      <c r="H58" s="522"/>
      <c r="I58" s="522"/>
      <c r="J58" s="522"/>
      <c r="K58" s="522"/>
      <c r="L58" s="522"/>
      <c r="M58" s="522"/>
      <c r="N58" s="522"/>
      <c r="O58" s="513"/>
    </row>
    <row r="59" spans="2:15" ht="13.5" thickTop="1" x14ac:dyDescent="0.2"/>
  </sheetData>
  <sheetProtection algorithmName="SHA-512" hashValue="Hdq0UES08gqDkh9vWU6ip6nn4bbIAPh2Z5vAsCg4EIEFfjJaiQdf+QNpIqtAwyC9zZDeaNqHxiTl6WDywZV2Eg==" saltValue="Mb/X4EtLXpMwSp/iM/4ggw==" spinCount="100000" sheet="1" objects="1" scenarios="1"/>
  <mergeCells count="74">
    <mergeCell ref="H20:J20"/>
    <mergeCell ref="C5:L5"/>
    <mergeCell ref="C6:L6"/>
    <mergeCell ref="K40:L40"/>
    <mergeCell ref="K31:L31"/>
    <mergeCell ref="K32:L32"/>
    <mergeCell ref="K33:L33"/>
    <mergeCell ref="K34:L34"/>
    <mergeCell ref="K35:L35"/>
    <mergeCell ref="C30:G30"/>
    <mergeCell ref="L17:O17"/>
    <mergeCell ref="B25:O26"/>
    <mergeCell ref="K30:L30"/>
    <mergeCell ref="H30:I30"/>
    <mergeCell ref="C19:F19"/>
    <mergeCell ref="C20:F20"/>
    <mergeCell ref="C21:F21"/>
    <mergeCell ref="K41:L41"/>
    <mergeCell ref="H31:I31"/>
    <mergeCell ref="H32:I32"/>
    <mergeCell ref="H33:I33"/>
    <mergeCell ref="H34:I34"/>
    <mergeCell ref="H35:I35"/>
    <mergeCell ref="H36:I36"/>
    <mergeCell ref="H37:I37"/>
    <mergeCell ref="H38:I38"/>
    <mergeCell ref="H39:I39"/>
    <mergeCell ref="H40:I40"/>
    <mergeCell ref="H41:I41"/>
    <mergeCell ref="K36:L36"/>
    <mergeCell ref="K37:L37"/>
    <mergeCell ref="K38:L38"/>
    <mergeCell ref="K39:L39"/>
    <mergeCell ref="C41:G41"/>
    <mergeCell ref="H29:N29"/>
    <mergeCell ref="H44:N44"/>
    <mergeCell ref="C45:G45"/>
    <mergeCell ref="H45:I45"/>
    <mergeCell ref="K45:L45"/>
    <mergeCell ref="C36:G36"/>
    <mergeCell ref="C37:G37"/>
    <mergeCell ref="C38:G38"/>
    <mergeCell ref="C39:G39"/>
    <mergeCell ref="C40:G40"/>
    <mergeCell ref="C31:G31"/>
    <mergeCell ref="C32:G32"/>
    <mergeCell ref="C33:G33"/>
    <mergeCell ref="C34:G34"/>
    <mergeCell ref="C35:G35"/>
    <mergeCell ref="C46:G46"/>
    <mergeCell ref="C49:G49"/>
    <mergeCell ref="C50:G50"/>
    <mergeCell ref="C47:G47"/>
    <mergeCell ref="C48:G48"/>
    <mergeCell ref="K46:L46"/>
    <mergeCell ref="K47:L47"/>
    <mergeCell ref="K48:L48"/>
    <mergeCell ref="K49:L49"/>
    <mergeCell ref="K50:L50"/>
    <mergeCell ref="H46:I46"/>
    <mergeCell ref="H47:I47"/>
    <mergeCell ref="H48:I48"/>
    <mergeCell ref="H49:I49"/>
    <mergeCell ref="H50:I50"/>
    <mergeCell ref="H53:N53"/>
    <mergeCell ref="C54:G54"/>
    <mergeCell ref="H54:I54"/>
    <mergeCell ref="K54:L54"/>
    <mergeCell ref="C55:G55"/>
    <mergeCell ref="C56:G56"/>
    <mergeCell ref="H55:I55"/>
    <mergeCell ref="H56:I56"/>
    <mergeCell ref="K55:L55"/>
    <mergeCell ref="K56:L56"/>
  </mergeCells>
  <conditionalFormatting sqref="K11">
    <cfRule type="expression" dxfId="16" priority="9">
      <formula>$H$9="Single Life"</formula>
    </cfRule>
  </conditionalFormatting>
  <conditionalFormatting sqref="N11">
    <cfRule type="expression" dxfId="15" priority="8">
      <formula>$H$9="Single Life"</formula>
    </cfRule>
  </conditionalFormatting>
  <dataValidations count="1">
    <dataValidation type="list" allowBlank="1" showInputMessage="1" showErrorMessage="1" sqref="E17">
      <formula1>"incl. GST, excl. GST"</formula1>
    </dataValidation>
  </dataValidations>
  <pageMargins left="0.7" right="0.7" top="0.75" bottom="0.75" header="0.3" footer="0.3"/>
  <pageSetup orientation="portrait" r:id="rId1"/>
  <ignoredErrors>
    <ignoredError sqref="C20:G21 H20:K20 H31:N41 H46:N50 H55:N56 J54 N54 N45 J45 J30 N30 C19:G19" unlockedFormula="1"/>
  </ignoredErrors>
  <drawing r:id="rId2"/>
  <extLst>
    <ext xmlns:x14="http://schemas.microsoft.com/office/spreadsheetml/2009/9/main" uri="{CCE6A557-97BC-4b89-ADB6-D9C93CAAB3DF}">
      <x14:dataValidations xmlns:xm="http://schemas.microsoft.com/office/excel/2006/main" count="8">
        <x14:dataValidation type="list" errorStyle="information" allowBlank="1" showInputMessage="1" showErrorMessage="1" error="PPT = 1 for Single Premium">
          <x14:formula1>
            <xm:f>'Valid Data-GPG'!$C$55:$C$60</xm:f>
          </x14:formula1>
          <xm:sqref>H13</xm:sqref>
        </x14:dataValidation>
        <x14:dataValidation type="list" allowBlank="1" showInputMessage="1" showErrorMessage="1">
          <x14:formula1>
            <xm:f>'Valid Data-GPG'!$H$92:$H$95</xm:f>
          </x14:formula1>
          <xm:sqref>K13</xm:sqref>
        </x14:dataValidation>
        <x14:dataValidation type="list" allowBlank="1" showInputMessage="1" showErrorMessage="1">
          <x14:formula1>
            <xm:f>'Valid Data-GPG'!$A$161:$A$162</xm:f>
          </x14:formula1>
          <xm:sqref>D15</xm:sqref>
        </x14:dataValidation>
        <x14:dataValidation type="list" allowBlank="1" showInputMessage="1" showErrorMessage="1">
          <x14:formula1>
            <xm:f>'Valid Data-GPG'!$A$168:$A$169</xm:f>
          </x14:formula1>
          <xm:sqref>D13</xm:sqref>
        </x14:dataValidation>
        <x14:dataValidation type="list" allowBlank="1" showInputMessage="1" showErrorMessage="1">
          <x14:formula1>
            <xm:f>'All Options'!$R$71:$R$74</xm:f>
          </x14:formula1>
          <xm:sqref>H15</xm:sqref>
        </x14:dataValidation>
        <x14:dataValidation type="list" errorStyle="information" allowBlank="1" showInputMessage="1" showErrorMessage="1" errorTitle="DEFERMENT RANGE" error="Minimum Deferment = PPT_x000a_Maximum Deferment = 10">
          <x14:formula1>
            <xm:f>'Valid Data-GPG'!$B$37:$B$46</xm:f>
          </x14:formula1>
          <xm:sqref>K15</xm:sqref>
        </x14:dataValidation>
        <x14:dataValidation type="whole" errorStyle="warning" allowBlank="1" showInputMessage="1" showErrorMessage="1" errorTitle="AGE RANGE" error="Please enter valid age as per Annuity Type and Premium Type.">
          <x14:formula1>
            <xm:f>'Valid Data-GPG'!B7</xm:f>
          </x14:formula1>
          <x14:formula2>
            <xm:f>'Valid Data-GPG'!C7</xm:f>
          </x14:formula2>
          <xm:sqref>H11</xm:sqref>
        </x14:dataValidation>
        <x14:dataValidation type="whole" errorStyle="warning" allowBlank="1" showInputMessage="1" showErrorMessage="1" errorTitle="AGE RANGE" error="Please enter valid age as per Annuity Type and Premium Type">
          <x14:formula1>
            <xm:f>'Valid Data-GPG'!B10</xm:f>
          </x14:formula1>
          <x14:formula2>
            <xm:f>'Valid Data-GPG'!C10</xm:f>
          </x14:formula2>
          <xm:sqref>N11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11"/>
  <sheetViews>
    <sheetView workbookViewId="0">
      <selection activeCell="J11" sqref="J11"/>
    </sheetView>
  </sheetViews>
  <sheetFormatPr defaultRowHeight="12.75" x14ac:dyDescent="0.2"/>
  <cols>
    <col min="2" max="2" width="31.140625" customWidth="1"/>
  </cols>
  <sheetData>
    <row r="1" spans="1:2" x14ac:dyDescent="0.2">
      <c r="A1" t="s">
        <v>440</v>
      </c>
      <c r="B1" t="s">
        <v>441</v>
      </c>
    </row>
    <row r="2" spans="1:2" ht="51" x14ac:dyDescent="0.2">
      <c r="A2" t="s">
        <v>443</v>
      </c>
      <c r="B2" s="242" t="s">
        <v>444</v>
      </c>
    </row>
    <row r="3" spans="1:2" x14ac:dyDescent="0.2">
      <c r="A3" t="s">
        <v>442</v>
      </c>
      <c r="B3" s="30" t="s">
        <v>449</v>
      </c>
    </row>
    <row r="5" spans="1:2" x14ac:dyDescent="0.2">
      <c r="A5" t="s">
        <v>528</v>
      </c>
      <c r="B5" t="s">
        <v>529</v>
      </c>
    </row>
    <row r="6" spans="1:2" x14ac:dyDescent="0.2">
      <c r="B6" t="s">
        <v>530</v>
      </c>
    </row>
    <row r="7" spans="1:2" x14ac:dyDescent="0.2">
      <c r="B7" s="30" t="s">
        <v>531</v>
      </c>
    </row>
    <row r="8" spans="1:2" x14ac:dyDescent="0.2">
      <c r="B8" s="30" t="s">
        <v>532</v>
      </c>
    </row>
    <row r="9" spans="1:2" x14ac:dyDescent="0.2">
      <c r="A9" s="30" t="s">
        <v>533</v>
      </c>
      <c r="B9" s="30" t="s">
        <v>534</v>
      </c>
    </row>
    <row r="10" spans="1:2" x14ac:dyDescent="0.2">
      <c r="B10" s="30" t="s">
        <v>535</v>
      </c>
    </row>
    <row r="11" spans="1:2" x14ac:dyDescent="0.2">
      <c r="A11" t="s">
        <v>536</v>
      </c>
      <c r="B11" s="30" t="s">
        <v>537</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W169"/>
  <sheetViews>
    <sheetView zoomScale="96" zoomScaleNormal="85" workbookViewId="0">
      <selection activeCell="C27" sqref="C27:D27"/>
    </sheetView>
  </sheetViews>
  <sheetFormatPr defaultRowHeight="12.75" x14ac:dyDescent="0.2"/>
  <cols>
    <col min="1" max="1" width="16" customWidth="1"/>
    <col min="2" max="2" width="24.42578125" customWidth="1"/>
    <col min="3" max="3" width="22.140625" bestFit="1" customWidth="1"/>
    <col min="4" max="4" width="37" customWidth="1"/>
    <col min="5" max="5" width="20.5703125" customWidth="1"/>
    <col min="6" max="6" width="22.140625" customWidth="1"/>
    <col min="7" max="7" width="12.85546875" customWidth="1"/>
    <col min="8" max="8" width="18.140625" customWidth="1"/>
    <col min="10" max="10" width="8.5703125" customWidth="1"/>
    <col min="11" max="11" width="14.42578125" bestFit="1" customWidth="1"/>
    <col min="13" max="13" width="16" bestFit="1" customWidth="1"/>
  </cols>
  <sheetData>
    <row r="1" spans="1:15" x14ac:dyDescent="0.2">
      <c r="A1" s="64" t="s">
        <v>1</v>
      </c>
      <c r="B1" s="64"/>
      <c r="C1" s="64"/>
      <c r="D1" s="64"/>
      <c r="O1" s="63" t="s">
        <v>102</v>
      </c>
    </row>
    <row r="2" spans="1:15" x14ac:dyDescent="0.2">
      <c r="A2" s="64" t="s">
        <v>77</v>
      </c>
      <c r="B2" s="64" t="s">
        <v>77</v>
      </c>
      <c r="C2" s="64" t="s">
        <v>80</v>
      </c>
      <c r="D2" s="64" t="s">
        <v>80</v>
      </c>
      <c r="O2" s="63" t="s">
        <v>103</v>
      </c>
    </row>
    <row r="3" spans="1:15" x14ac:dyDescent="0.2">
      <c r="A3" s="64" t="s">
        <v>78</v>
      </c>
      <c r="B3" s="64" t="s">
        <v>79</v>
      </c>
      <c r="C3" s="64" t="s">
        <v>78</v>
      </c>
      <c r="D3" s="64" t="s">
        <v>79</v>
      </c>
      <c r="O3" s="63" t="s">
        <v>439</v>
      </c>
    </row>
    <row r="4" spans="1:15" x14ac:dyDescent="0.2">
      <c r="A4" s="64">
        <v>45</v>
      </c>
      <c r="B4" s="64">
        <v>30</v>
      </c>
      <c r="C4" s="64">
        <v>84</v>
      </c>
      <c r="D4" s="64">
        <v>85</v>
      </c>
      <c r="O4" s="63" t="s">
        <v>104</v>
      </c>
    </row>
    <row r="5" spans="1:15" x14ac:dyDescent="0.2">
      <c r="O5" s="166" t="s">
        <v>390</v>
      </c>
    </row>
    <row r="6" spans="1:15" ht="63.75" x14ac:dyDescent="0.2">
      <c r="A6" s="75" t="s">
        <v>37</v>
      </c>
      <c r="B6" s="30" t="s">
        <v>120</v>
      </c>
      <c r="C6" s="30" t="s">
        <v>121</v>
      </c>
      <c r="H6" s="62"/>
      <c r="O6" s="166" t="s">
        <v>405</v>
      </c>
    </row>
    <row r="7" spans="1:15" x14ac:dyDescent="0.2">
      <c r="A7" s="74" t="b">
        <f>AND(Select="Immediate Annuity",'All Options'!E6="Group")</f>
        <v>1</v>
      </c>
      <c r="B7">
        <f>IF(Annuity_Type="Deferred",45,30)</f>
        <v>30</v>
      </c>
      <c r="C7">
        <f>IF(A7,85,IF(A8,D4,IF(Channel="POS",70,C4)))</f>
        <v>85</v>
      </c>
      <c r="O7" s="166" t="s">
        <v>403</v>
      </c>
    </row>
    <row r="8" spans="1:15" x14ac:dyDescent="0.2">
      <c r="A8" s="74" t="b">
        <f>AND(Select="Immediate Annuity",'All Options'!E6="Group")</f>
        <v>1</v>
      </c>
    </row>
    <row r="9" spans="1:15" x14ac:dyDescent="0.2">
      <c r="A9" s="74"/>
      <c r="B9" s="30" t="s">
        <v>122</v>
      </c>
      <c r="C9" s="30" t="s">
        <v>123</v>
      </c>
    </row>
    <row r="10" spans="1:15" x14ac:dyDescent="0.2">
      <c r="A10" s="74"/>
      <c r="B10">
        <f>IF(Annuity_Type="Deferred",45,30)</f>
        <v>30</v>
      </c>
      <c r="C10">
        <f>IF(A7,85,IF(A8,D4,C4))</f>
        <v>85</v>
      </c>
    </row>
    <row r="12" spans="1:15" x14ac:dyDescent="0.2">
      <c r="A12" s="63" t="s">
        <v>91</v>
      </c>
      <c r="B12" s="63" t="s">
        <v>118</v>
      </c>
      <c r="C12" s="63" t="s">
        <v>117</v>
      </c>
      <c r="D12" s="64"/>
      <c r="E12" s="138" t="s">
        <v>202</v>
      </c>
      <c r="F12" s="138"/>
    </row>
    <row r="13" spans="1:15" x14ac:dyDescent="0.2">
      <c r="A13" s="63"/>
      <c r="B13" s="72">
        <f>IF(Select="Immediate Annuity",1,0)</f>
        <v>1</v>
      </c>
      <c r="D13" s="78" t="s">
        <v>90</v>
      </c>
      <c r="E13" s="78" t="s">
        <v>361</v>
      </c>
      <c r="F13" s="64" t="s">
        <v>362</v>
      </c>
      <c r="G13" s="138"/>
    </row>
    <row r="14" spans="1:15" ht="13.5" x14ac:dyDescent="0.25">
      <c r="A14" s="63" t="s">
        <v>5</v>
      </c>
      <c r="B14" s="65" t="s">
        <v>93</v>
      </c>
      <c r="C14" s="63" t="s">
        <v>205</v>
      </c>
      <c r="D14" s="64" t="s">
        <v>93</v>
      </c>
      <c r="E14" s="64" t="s">
        <v>93</v>
      </c>
      <c r="F14" s="64" t="str">
        <f>E14</f>
        <v>Life annuity</v>
      </c>
    </row>
    <row r="15" spans="1:15" ht="13.5" x14ac:dyDescent="0.25">
      <c r="A15" s="63" t="s">
        <v>6</v>
      </c>
      <c r="B15" s="65" t="s">
        <v>92</v>
      </c>
      <c r="C15" s="63" t="s">
        <v>206</v>
      </c>
      <c r="D15" s="64" t="s">
        <v>92</v>
      </c>
      <c r="E15" s="65" t="s">
        <v>92</v>
      </c>
      <c r="F15" s="64" t="str">
        <f>E15</f>
        <v>Life annuity with Return of Purchase Price (ROP) on death of annuitant</v>
      </c>
    </row>
    <row r="16" spans="1:15" ht="13.5" x14ac:dyDescent="0.25">
      <c r="A16" s="730" t="s">
        <v>7</v>
      </c>
      <c r="B16" s="65" t="str">
        <f>IF($B$13=1,"Annuity Certain for minimum 5 years and life thereafter","")</f>
        <v>Annuity Certain for minimum 5 years and life thereafter</v>
      </c>
      <c r="C16" s="730" t="s">
        <v>207</v>
      </c>
      <c r="D16" s="64" t="s">
        <v>33</v>
      </c>
      <c r="E16" s="64"/>
      <c r="F16" s="64"/>
    </row>
    <row r="17" spans="1:6" ht="13.5" x14ac:dyDescent="0.25">
      <c r="A17" s="731"/>
      <c r="B17" s="65" t="str">
        <f>IF($B$13=1,"Annuity Certain for minimum 10 years and life thereafter","")</f>
        <v>Annuity Certain for minimum 10 years and life thereafter</v>
      </c>
      <c r="C17" s="731"/>
      <c r="D17" s="64" t="s">
        <v>34</v>
      </c>
      <c r="E17" s="64"/>
      <c r="F17" s="64"/>
    </row>
    <row r="18" spans="1:6" ht="13.5" x14ac:dyDescent="0.25">
      <c r="A18" s="731"/>
      <c r="B18" s="65" t="str">
        <f>IF($B$13=1,"Annuity Certain for minimum 15 years and life thereafter","")</f>
        <v>Annuity Certain for minimum 15 years and life thereafter</v>
      </c>
      <c r="C18" s="731"/>
      <c r="D18" s="64" t="s">
        <v>35</v>
      </c>
      <c r="E18" s="64"/>
      <c r="F18" s="64"/>
    </row>
    <row r="19" spans="1:6" ht="13.5" x14ac:dyDescent="0.25">
      <c r="A19" s="732"/>
      <c r="B19" s="65" t="str">
        <f>IF($B$13=1,"Annuity Certain for minimum 20 years and life thereafter","")</f>
        <v>Annuity Certain for minimum 20 years and life thereafter</v>
      </c>
      <c r="C19" s="732"/>
      <c r="D19" s="64" t="s">
        <v>36</v>
      </c>
      <c r="E19" s="64"/>
      <c r="F19" s="64"/>
    </row>
    <row r="20" spans="1:6" x14ac:dyDescent="0.2">
      <c r="A20" s="66" t="s">
        <v>8</v>
      </c>
      <c r="B20" s="64" t="str">
        <f>IF(B13=1,"Joint Life Last Survivor with 50% of annuity to spouse","")</f>
        <v>Joint Life Last Survivor with 50% of annuity to spouse</v>
      </c>
      <c r="C20" s="66" t="s">
        <v>208</v>
      </c>
      <c r="D20" s="64" t="s">
        <v>94</v>
      </c>
      <c r="E20" s="64"/>
      <c r="F20" s="64"/>
    </row>
    <row r="21" spans="1:6" ht="13.5" x14ac:dyDescent="0.25">
      <c r="A21" s="66" t="s">
        <v>9</v>
      </c>
      <c r="B21" s="65" t="str">
        <f>IF(B13=1,"Joint Life Last Survivor with 100% of annuity to spouse","")</f>
        <v>Joint Life Last Survivor with 100% of annuity to spouse</v>
      </c>
      <c r="C21" s="66" t="s">
        <v>209</v>
      </c>
      <c r="D21" s="64" t="s">
        <v>11</v>
      </c>
      <c r="E21" s="64"/>
      <c r="F21" s="64"/>
    </row>
    <row r="22" spans="1:6" ht="13.5" x14ac:dyDescent="0.25">
      <c r="A22" s="66" t="s">
        <v>10</v>
      </c>
      <c r="B22" s="65" t="str">
        <f>IF(PremiumType="Regular Premium","","Joint Life Last Survivor with 100% of annuity to spouse &amp; with Return of Purchase Price on death of Last Survivor")</f>
        <v>Joint Life Last Survivor with 100% of annuity to spouse &amp; with Return of Purchase Price on death of Last Survivor</v>
      </c>
      <c r="C22" s="66" t="s">
        <v>210</v>
      </c>
      <c r="D22" s="63" t="s">
        <v>541</v>
      </c>
      <c r="E22" s="65" t="s">
        <v>594</v>
      </c>
      <c r="F22" s="64"/>
    </row>
    <row r="23" spans="1:6" ht="13.5" x14ac:dyDescent="0.25">
      <c r="A23" s="66" t="s">
        <v>96</v>
      </c>
      <c r="B23" s="65" t="str">
        <f>IF(PremiumType="Regular Premium","","Life annuity with Return of Purchase Price (ROP) on death or survival")</f>
        <v>Life annuity with Return of Purchase Price (ROP) on death or survival</v>
      </c>
      <c r="C23" s="66" t="s">
        <v>211</v>
      </c>
      <c r="D23" s="64" t="s">
        <v>95</v>
      </c>
      <c r="E23" s="73" t="s">
        <v>95</v>
      </c>
      <c r="F23" s="64"/>
    </row>
    <row r="24" spans="1:6" ht="13.5" x14ac:dyDescent="0.25">
      <c r="A24" s="66" t="s">
        <v>98</v>
      </c>
      <c r="B24" s="65" t="str">
        <f>IF(PremiumType="Regular Premium","","Life annuity with Return of Purchase Price (ROP) on death or in annual installments on survival")</f>
        <v>Life annuity with Return of Purchase Price (ROP) on death or in annual installments on survival</v>
      </c>
      <c r="C24" s="66" t="s">
        <v>212</v>
      </c>
      <c r="D24" s="64" t="s">
        <v>97</v>
      </c>
      <c r="E24" s="73" t="s">
        <v>97</v>
      </c>
      <c r="F24" s="64"/>
    </row>
    <row r="25" spans="1:6" ht="13.5" x14ac:dyDescent="0.25">
      <c r="A25" s="66" t="s">
        <v>100</v>
      </c>
      <c r="B25" s="73" t="str">
        <f>IF(AND(Select="Immediate Annuity",Channel="NPS"),"Family Pension","")</f>
        <v/>
      </c>
      <c r="C25" s="66" t="s">
        <v>213</v>
      </c>
      <c r="D25" s="137" t="s">
        <v>99</v>
      </c>
      <c r="E25" s="144" t="s">
        <v>359</v>
      </c>
      <c r="F25" s="64"/>
    </row>
    <row r="29" spans="1:6" ht="13.5" thickBot="1" x14ac:dyDescent="0.25">
      <c r="A29" s="30" t="s">
        <v>89</v>
      </c>
    </row>
    <row r="30" spans="1:6" ht="15.75" thickBot="1" x14ac:dyDescent="0.25">
      <c r="A30" s="733" t="s">
        <v>81</v>
      </c>
      <c r="B30" s="735" t="s">
        <v>82</v>
      </c>
      <c r="C30" s="737"/>
      <c r="D30" s="735" t="s">
        <v>83</v>
      </c>
      <c r="E30" s="737"/>
    </row>
    <row r="31" spans="1:6" ht="15.75" thickBot="1" x14ac:dyDescent="0.25">
      <c r="A31" s="734"/>
      <c r="B31" s="59" t="s">
        <v>84</v>
      </c>
      <c r="C31" s="59" t="s">
        <v>85</v>
      </c>
      <c r="D31" s="59" t="s">
        <v>84</v>
      </c>
      <c r="E31" s="59" t="s">
        <v>85</v>
      </c>
    </row>
    <row r="32" spans="1:6" ht="15.75" thickBot="1" x14ac:dyDescent="0.25">
      <c r="A32" s="60" t="s">
        <v>86</v>
      </c>
      <c r="B32" s="61">
        <v>1</v>
      </c>
      <c r="C32" s="61">
        <v>10</v>
      </c>
      <c r="D32" s="61" t="s">
        <v>150</v>
      </c>
      <c r="E32" s="61">
        <v>10</v>
      </c>
    </row>
    <row r="33" spans="1:5" ht="15.75" thickBot="1" x14ac:dyDescent="0.25">
      <c r="A33" s="60" t="s">
        <v>87</v>
      </c>
      <c r="B33" s="738" t="s">
        <v>88</v>
      </c>
      <c r="C33" s="741"/>
      <c r="D33" s="61">
        <v>5</v>
      </c>
      <c r="E33" s="61">
        <v>10</v>
      </c>
    </row>
    <row r="34" spans="1:5" ht="15" x14ac:dyDescent="0.2">
      <c r="A34" s="69"/>
      <c r="B34" s="70"/>
      <c r="C34" s="70"/>
      <c r="D34" s="70"/>
      <c r="E34" s="70"/>
    </row>
    <row r="35" spans="1:5" ht="13.5" x14ac:dyDescent="0.2">
      <c r="A35" s="71" t="s">
        <v>116</v>
      </c>
      <c r="B35" s="30" t="s">
        <v>148</v>
      </c>
      <c r="C35" s="30" t="s">
        <v>149</v>
      </c>
      <c r="D35" s="70"/>
      <c r="E35" s="70"/>
    </row>
    <row r="37" spans="1:5" x14ac:dyDescent="0.2">
      <c r="A37" s="68">
        <f>IF(AND(PremiumType="Single Premium",Select="Deferred Annuity"),1,IF(AND(PremiumType="Regular Premium",Select="Deferred Annuity"),2,0))</f>
        <v>0</v>
      </c>
      <c r="B37" s="64" t="str">
        <f>IF(AND(Select="Deferred Annuity",PremiumType="Single Premium",Age=84),1,IF($A$37=1,B36+1,IF($A$37=2,C37,"0")))</f>
        <v>0</v>
      </c>
      <c r="C37" s="64" t="str">
        <f>IF($A$37=2,IF(C36&gt;=10,"",'All Options'!$E$12),"")</f>
        <v/>
      </c>
    </row>
    <row r="38" spans="1:5" x14ac:dyDescent="0.2">
      <c r="A38" s="64"/>
      <c r="B38" s="64" t="str">
        <f t="shared" ref="B38:B46" si="0">IF(AND(Select="Deferred Annuity",PremiumType="Single Premium",Age=84),1,IF($A$37=1,B37+1,IF($A$37=2,C38,"")))</f>
        <v/>
      </c>
      <c r="C38" s="64" t="str">
        <f>IF($A$37=2,IF(C37&gt;=10,"",C37+1),"")</f>
        <v/>
      </c>
    </row>
    <row r="39" spans="1:5" x14ac:dyDescent="0.2">
      <c r="A39" s="64"/>
      <c r="B39" s="64" t="str">
        <f t="shared" si="0"/>
        <v/>
      </c>
      <c r="C39" s="64" t="str">
        <f t="shared" ref="C39:C46" si="1">IF($A$37=2,IF(C38&gt;=10,"",C38+1),"")</f>
        <v/>
      </c>
    </row>
    <row r="40" spans="1:5" x14ac:dyDescent="0.2">
      <c r="A40" s="64"/>
      <c r="B40" s="64" t="str">
        <f t="shared" si="0"/>
        <v/>
      </c>
      <c r="C40" s="64" t="str">
        <f t="shared" si="1"/>
        <v/>
      </c>
    </row>
    <row r="41" spans="1:5" x14ac:dyDescent="0.2">
      <c r="A41" s="64"/>
      <c r="B41" s="64" t="str">
        <f t="shared" si="0"/>
        <v/>
      </c>
      <c r="C41" s="64" t="str">
        <f t="shared" si="1"/>
        <v/>
      </c>
    </row>
    <row r="42" spans="1:5" x14ac:dyDescent="0.2">
      <c r="A42" s="64"/>
      <c r="B42" s="64" t="str">
        <f t="shared" si="0"/>
        <v/>
      </c>
      <c r="C42" s="64" t="str">
        <f t="shared" si="1"/>
        <v/>
      </c>
    </row>
    <row r="43" spans="1:5" x14ac:dyDescent="0.2">
      <c r="A43" s="64"/>
      <c r="B43" s="64" t="str">
        <f t="shared" si="0"/>
        <v/>
      </c>
      <c r="C43" s="64" t="str">
        <f t="shared" si="1"/>
        <v/>
      </c>
    </row>
    <row r="44" spans="1:5" x14ac:dyDescent="0.2">
      <c r="A44" s="64"/>
      <c r="B44" s="64" t="str">
        <f t="shared" si="0"/>
        <v/>
      </c>
      <c r="C44" s="64" t="str">
        <f t="shared" si="1"/>
        <v/>
      </c>
    </row>
    <row r="45" spans="1:5" x14ac:dyDescent="0.2">
      <c r="A45" s="64"/>
      <c r="B45" s="64" t="str">
        <f t="shared" si="0"/>
        <v/>
      </c>
      <c r="C45" s="64" t="str">
        <f t="shared" si="1"/>
        <v/>
      </c>
    </row>
    <row r="46" spans="1:5" x14ac:dyDescent="0.2">
      <c r="A46" s="64"/>
      <c r="B46" s="64" t="str">
        <f t="shared" si="0"/>
        <v/>
      </c>
      <c r="C46" s="64" t="str">
        <f t="shared" si="1"/>
        <v/>
      </c>
    </row>
    <row r="47" spans="1:5" x14ac:dyDescent="0.2">
      <c r="A47" s="104"/>
      <c r="B47" s="104"/>
    </row>
    <row r="48" spans="1:5" x14ac:dyDescent="0.2">
      <c r="A48" s="104"/>
      <c r="B48" s="104"/>
    </row>
    <row r="49" spans="1:5" x14ac:dyDescent="0.2">
      <c r="A49" s="104"/>
      <c r="B49" s="104"/>
      <c r="C49" s="104"/>
    </row>
    <row r="50" spans="1:5" x14ac:dyDescent="0.2">
      <c r="A50" s="104"/>
      <c r="B50" s="104"/>
      <c r="C50" s="104"/>
    </row>
    <row r="51" spans="1:5" x14ac:dyDescent="0.2">
      <c r="A51" s="104"/>
      <c r="B51" s="104"/>
    </row>
    <row r="53" spans="1:5" x14ac:dyDescent="0.2">
      <c r="A53" s="63" t="s">
        <v>112</v>
      </c>
      <c r="B53" s="105" t="s">
        <v>114</v>
      </c>
    </row>
    <row r="54" spans="1:5" x14ac:dyDescent="0.2">
      <c r="A54" s="63" t="s">
        <v>113</v>
      </c>
      <c r="B54" s="63" t="s">
        <v>115</v>
      </c>
    </row>
    <row r="55" spans="1:5" x14ac:dyDescent="0.2">
      <c r="A55" s="64">
        <f>IF(AND(OR(Select="Deferred Annuity",Select="Immediate Annuity"),PremiumType="Single Premium"),0,1)</f>
        <v>0</v>
      </c>
      <c r="B55" s="64">
        <f>IF(AND(Select="Deferred Annuity",PremiumType="Single Premium",Age=84),1,IF($A$55=1,5,1))</f>
        <v>1</v>
      </c>
      <c r="C55" s="270" t="str">
        <f>IF('Annuity Calculator'!$D$13="Single Premium","1",B55)</f>
        <v>1</v>
      </c>
    </row>
    <row r="56" spans="1:5" x14ac:dyDescent="0.2">
      <c r="A56" s="64"/>
      <c r="B56" s="64">
        <f>IF(AND(Select="Deferred Annuity",PremiumType="Single Premium",Age=84),1,IF($A$55=1,B55+1,1))</f>
        <v>1</v>
      </c>
      <c r="C56" s="270" t="str">
        <f>IF('Annuity Calculator'!$D$13="Single Premium","",B56)</f>
        <v/>
      </c>
    </row>
    <row r="57" spans="1:5" x14ac:dyDescent="0.2">
      <c r="A57" s="64"/>
      <c r="B57" s="64">
        <f>IF(AND(Select="Deferred Annuity",PremiumType="Single Premium",Age=84),1,IF($A$55=1,B56+1,1))</f>
        <v>1</v>
      </c>
      <c r="C57" s="270" t="str">
        <f>IF('Annuity Calculator'!$D$13="Single Premium","",B57)</f>
        <v/>
      </c>
    </row>
    <row r="58" spans="1:5" x14ac:dyDescent="0.2">
      <c r="A58" s="64"/>
      <c r="B58" s="64">
        <f>IF(AND(Select="Deferred Annuity",PremiumType="Single Premium",Age=84),1,IF($A$55=1,B57+1,1))</f>
        <v>1</v>
      </c>
      <c r="C58" s="270" t="str">
        <f>IF('Annuity Calculator'!$D$13="Single Premium","",B58)</f>
        <v/>
      </c>
    </row>
    <row r="59" spans="1:5" x14ac:dyDescent="0.2">
      <c r="A59" s="64"/>
      <c r="B59" s="64">
        <f>IF(AND(Select="Deferred Annuity",PremiumType="Single Premium",Age=84),1,IF($A$55=1,B58+1,1))</f>
        <v>1</v>
      </c>
      <c r="C59" s="270" t="str">
        <f>IF('Annuity Calculator'!$D$13="Single Premium","",B59)</f>
        <v/>
      </c>
    </row>
    <row r="60" spans="1:5" x14ac:dyDescent="0.2">
      <c r="A60" s="64"/>
      <c r="B60" s="64">
        <f>IF(AND(Select="Deferred Annuity",PremiumType="Single Premium",Age=84),1,IF($A$55=1,B59+1,1))</f>
        <v>1</v>
      </c>
      <c r="C60" s="270" t="str">
        <f>IF('Annuity Calculator'!$D$13="Single Premium","",B60)</f>
        <v/>
      </c>
    </row>
    <row r="62" spans="1:5" ht="13.5" thickBot="1" x14ac:dyDescent="0.25"/>
    <row r="63" spans="1:5" ht="30.75" customHeight="1" thickBot="1" x14ac:dyDescent="0.25">
      <c r="A63" s="733" t="s">
        <v>105</v>
      </c>
      <c r="B63" s="735" t="s">
        <v>106</v>
      </c>
      <c r="C63" s="736"/>
      <c r="D63" s="736"/>
      <c r="E63" s="737"/>
    </row>
    <row r="64" spans="1:5" ht="15.75" thickBot="1" x14ac:dyDescent="0.25">
      <c r="A64" s="734"/>
      <c r="B64" s="59" t="s">
        <v>69</v>
      </c>
      <c r="C64" s="59" t="s">
        <v>72</v>
      </c>
      <c r="D64" s="59" t="s">
        <v>70</v>
      </c>
      <c r="E64" s="59" t="s">
        <v>71</v>
      </c>
    </row>
    <row r="65" spans="1:6" ht="15.75" thickBot="1" x14ac:dyDescent="0.25">
      <c r="A65" s="60" t="s">
        <v>108</v>
      </c>
      <c r="B65" s="67">
        <v>12000</v>
      </c>
      <c r="C65" s="67">
        <v>6000</v>
      </c>
      <c r="D65" s="67">
        <v>3000</v>
      </c>
      <c r="E65" s="67">
        <v>1000</v>
      </c>
    </row>
    <row r="66" spans="1:6" ht="15.75" thickBot="1" x14ac:dyDescent="0.25">
      <c r="A66" s="60" t="s">
        <v>85</v>
      </c>
      <c r="B66" s="738" t="s">
        <v>109</v>
      </c>
      <c r="C66" s="739"/>
      <c r="D66" s="739"/>
      <c r="E66" s="740"/>
    </row>
    <row r="68" spans="1:6" hidden="1" x14ac:dyDescent="0.2">
      <c r="A68" s="30" t="s">
        <v>138</v>
      </c>
      <c r="B68" s="121" t="s">
        <v>162</v>
      </c>
    </row>
    <row r="69" spans="1:6" ht="45.75" hidden="1" thickBot="1" x14ac:dyDescent="0.25">
      <c r="A69" s="88" t="s">
        <v>1</v>
      </c>
      <c r="B69" s="89" t="s">
        <v>132</v>
      </c>
      <c r="C69" s="89" t="s">
        <v>133</v>
      </c>
      <c r="D69" s="89" t="s">
        <v>134</v>
      </c>
      <c r="E69" s="89" t="s">
        <v>135</v>
      </c>
      <c r="F69" s="89" t="s">
        <v>136</v>
      </c>
    </row>
    <row r="70" spans="1:6" ht="15.75" hidden="1" thickBot="1" x14ac:dyDescent="0.25">
      <c r="A70" s="90">
        <v>50</v>
      </c>
      <c r="B70" s="727" t="s">
        <v>137</v>
      </c>
      <c r="C70" s="91">
        <v>167750</v>
      </c>
      <c r="D70" s="91">
        <v>149875</v>
      </c>
      <c r="E70" s="91">
        <v>315800</v>
      </c>
      <c r="F70" s="91">
        <v>280900</v>
      </c>
    </row>
    <row r="71" spans="1:6" ht="15.75" hidden="1" thickBot="1" x14ac:dyDescent="0.25">
      <c r="A71" s="90">
        <v>55</v>
      </c>
      <c r="B71" s="728"/>
      <c r="C71" s="91">
        <v>178200</v>
      </c>
      <c r="D71" s="91">
        <v>150375</v>
      </c>
      <c r="E71" s="91">
        <v>343825</v>
      </c>
      <c r="F71" s="91">
        <v>288125</v>
      </c>
    </row>
    <row r="72" spans="1:6" ht="15.75" hidden="1" thickBot="1" x14ac:dyDescent="0.25">
      <c r="A72" s="90">
        <v>60</v>
      </c>
      <c r="B72" s="729"/>
      <c r="C72" s="91">
        <v>192025</v>
      </c>
      <c r="D72" s="91">
        <v>150625</v>
      </c>
      <c r="E72" s="91">
        <v>382225</v>
      </c>
      <c r="F72" s="91">
        <v>292525</v>
      </c>
    </row>
    <row r="75" spans="1:6" x14ac:dyDescent="0.2">
      <c r="A75" s="30"/>
    </row>
    <row r="77" spans="1:6" ht="16.5" x14ac:dyDescent="0.2">
      <c r="A77" s="93"/>
    </row>
    <row r="78" spans="1:6" ht="16.5" x14ac:dyDescent="0.2">
      <c r="A78" s="93"/>
    </row>
    <row r="81" spans="1:8" x14ac:dyDescent="0.2">
      <c r="A81" s="30"/>
    </row>
    <row r="82" spans="1:8" x14ac:dyDescent="0.2">
      <c r="A82" s="43"/>
      <c r="B82" s="43"/>
      <c r="C82" s="43"/>
      <c r="D82" s="43"/>
      <c r="E82" s="43"/>
    </row>
    <row r="84" spans="1:8" ht="33" x14ac:dyDescent="0.2">
      <c r="A84" s="30" t="s">
        <v>143</v>
      </c>
      <c r="B84" s="92" t="s">
        <v>144</v>
      </c>
    </row>
    <row r="85" spans="1:8" ht="13.5" thickBot="1" x14ac:dyDescent="0.25"/>
    <row r="86" spans="1:8" ht="15.75" x14ac:dyDescent="0.2">
      <c r="A86" s="94" t="s">
        <v>141</v>
      </c>
      <c r="B86" s="97">
        <f>6.5%+2%</f>
        <v>8.5000000000000006E-2</v>
      </c>
    </row>
    <row r="87" spans="1:8" ht="16.5" thickBot="1" x14ac:dyDescent="0.25">
      <c r="A87" s="95" t="s">
        <v>142</v>
      </c>
      <c r="B87" s="96">
        <f>(1/(1+B86))</f>
        <v>0.92165898617511521</v>
      </c>
    </row>
    <row r="91" spans="1:8" x14ac:dyDescent="0.2">
      <c r="H91" s="401" t="s">
        <v>593</v>
      </c>
    </row>
    <row r="92" spans="1:8" ht="15.75" x14ac:dyDescent="0.2">
      <c r="A92" s="38">
        <v>1</v>
      </c>
      <c r="B92" s="38" t="s">
        <v>69</v>
      </c>
      <c r="C92" s="38">
        <v>4</v>
      </c>
      <c r="D92" s="38">
        <v>1</v>
      </c>
      <c r="H92" s="270" t="str">
        <f>IF('Annuity Calculator'!$D$13="Single Premium","Single",'Valid Data-GPG'!B92)</f>
        <v>Single</v>
      </c>
    </row>
    <row r="93" spans="1:8" ht="15.75" x14ac:dyDescent="0.2">
      <c r="A93" s="38">
        <v>2</v>
      </c>
      <c r="B93" s="38" t="s">
        <v>72</v>
      </c>
      <c r="C93" s="38">
        <v>5</v>
      </c>
      <c r="D93" s="38">
        <v>2</v>
      </c>
      <c r="H93" s="270" t="str">
        <f>IF('Annuity Calculator'!$D$13="Single Premium","",'Valid Data-GPG'!B93)</f>
        <v/>
      </c>
    </row>
    <row r="94" spans="1:8" ht="15.75" x14ac:dyDescent="0.2">
      <c r="A94" s="38">
        <v>4</v>
      </c>
      <c r="B94" s="38" t="s">
        <v>70</v>
      </c>
      <c r="C94" s="38">
        <v>6</v>
      </c>
      <c r="D94" s="38">
        <v>4</v>
      </c>
      <c r="H94" s="270" t="str">
        <f>IF('Annuity Calculator'!$D$13="Single Premium","",'Valid Data-GPG'!B94)</f>
        <v/>
      </c>
    </row>
    <row r="95" spans="1:8" ht="15.75" x14ac:dyDescent="0.2">
      <c r="A95" s="38">
        <v>12</v>
      </c>
      <c r="B95" s="38" t="s">
        <v>71</v>
      </c>
      <c r="C95" s="38">
        <v>7</v>
      </c>
      <c r="D95" s="38">
        <v>12</v>
      </c>
      <c r="H95" s="270" t="str">
        <f>IF('Annuity Calculator'!$D$13="Single Premium","",'Valid Data-GPG'!B95)</f>
        <v/>
      </c>
    </row>
    <row r="96" spans="1:8" ht="15.75" x14ac:dyDescent="0.2">
      <c r="A96" s="23"/>
      <c r="B96" s="23"/>
      <c r="C96" s="23"/>
      <c r="D96" s="23"/>
    </row>
    <row r="97" spans="1:5" ht="15.75" x14ac:dyDescent="0.2">
      <c r="A97" s="23"/>
      <c r="B97" s="23"/>
      <c r="C97" s="23"/>
      <c r="D97" s="23"/>
      <c r="E97" t="s">
        <v>371</v>
      </c>
    </row>
    <row r="98" spans="1:5" ht="15.75" x14ac:dyDescent="0.2">
      <c r="A98" s="23"/>
      <c r="B98" s="38">
        <v>1</v>
      </c>
      <c r="C98" s="38" t="s">
        <v>69</v>
      </c>
      <c r="D98" s="38">
        <v>2</v>
      </c>
      <c r="E98" s="38">
        <v>1</v>
      </c>
    </row>
    <row r="99" spans="1:5" ht="15.75" x14ac:dyDescent="0.2">
      <c r="A99" s="23"/>
      <c r="B99" s="38">
        <v>2</v>
      </c>
      <c r="C99" s="38" t="s">
        <v>72</v>
      </c>
      <c r="D99" s="38">
        <v>3</v>
      </c>
      <c r="E99" s="38">
        <f>1/2</f>
        <v>0.5</v>
      </c>
    </row>
    <row r="100" spans="1:5" ht="15.75" x14ac:dyDescent="0.2">
      <c r="A100" s="23"/>
      <c r="B100" s="38">
        <v>4</v>
      </c>
      <c r="C100" s="38" t="s">
        <v>70</v>
      </c>
      <c r="D100" s="38">
        <v>4</v>
      </c>
      <c r="E100" s="38">
        <f>1/4</f>
        <v>0.25</v>
      </c>
    </row>
    <row r="101" spans="1:5" ht="15.75" x14ac:dyDescent="0.2">
      <c r="A101" s="23"/>
      <c r="B101" s="38">
        <v>12</v>
      </c>
      <c r="C101" s="38" t="s">
        <v>71</v>
      </c>
      <c r="D101" s="38">
        <v>5</v>
      </c>
      <c r="E101" s="38">
        <f>1/12</f>
        <v>8.3333333333333329E-2</v>
      </c>
    </row>
    <row r="107" spans="1:5" x14ac:dyDescent="0.2">
      <c r="A107" s="30" t="s">
        <v>379</v>
      </c>
    </row>
    <row r="108" spans="1:5" ht="13.5" thickBot="1" x14ac:dyDescent="0.25"/>
    <row r="109" spans="1:5" ht="72" thickBot="1" x14ac:dyDescent="0.25">
      <c r="A109" s="147" t="s">
        <v>375</v>
      </c>
      <c r="B109" s="148" t="s">
        <v>376</v>
      </c>
      <c r="C109" s="148" t="s">
        <v>377</v>
      </c>
    </row>
    <row r="110" spans="1:5" ht="15" thickBot="1" x14ac:dyDescent="0.25">
      <c r="A110" s="149" t="s">
        <v>378</v>
      </c>
      <c r="B110" s="150">
        <v>0.75</v>
      </c>
      <c r="C110" s="150">
        <v>0.9</v>
      </c>
    </row>
    <row r="112" spans="1:5" x14ac:dyDescent="0.2">
      <c r="A112" s="30" t="s">
        <v>381</v>
      </c>
    </row>
    <row r="114" spans="1:10" ht="13.5" thickBot="1" x14ac:dyDescent="0.25"/>
    <row r="115" spans="1:10" ht="15.75" thickBot="1" x14ac:dyDescent="0.25">
      <c r="A115" s="151" t="s">
        <v>87</v>
      </c>
      <c r="B115" s="157" t="s">
        <v>62</v>
      </c>
      <c r="C115" s="152"/>
      <c r="D115" s="152"/>
      <c r="E115" s="152"/>
      <c r="F115" s="152"/>
      <c r="G115" s="152"/>
      <c r="H115" s="152"/>
      <c r="I115" s="152"/>
      <c r="J115" s="158"/>
    </row>
    <row r="116" spans="1:10" ht="15.75" thickBot="1" x14ac:dyDescent="0.25">
      <c r="A116" s="159"/>
      <c r="B116" s="153">
        <v>2</v>
      </c>
      <c r="C116" s="153">
        <v>3</v>
      </c>
      <c r="D116" s="153">
        <v>4</v>
      </c>
      <c r="E116" s="153">
        <v>5</v>
      </c>
      <c r="F116" s="153">
        <v>6</v>
      </c>
      <c r="G116" s="153">
        <v>7</v>
      </c>
      <c r="H116" s="153">
        <v>8</v>
      </c>
      <c r="I116" s="153">
        <v>9</v>
      </c>
      <c r="J116" s="153">
        <v>10</v>
      </c>
    </row>
    <row r="117" spans="1:10" ht="15.75" thickBot="1" x14ac:dyDescent="0.25">
      <c r="A117" s="154">
        <v>5</v>
      </c>
      <c r="B117" s="155">
        <v>0.3</v>
      </c>
      <c r="C117" s="155">
        <v>0.7</v>
      </c>
      <c r="D117" s="155">
        <v>0.9</v>
      </c>
      <c r="E117" s="155">
        <v>0.9</v>
      </c>
      <c r="F117" s="156"/>
      <c r="G117" s="156"/>
      <c r="H117" s="156"/>
      <c r="I117" s="156"/>
      <c r="J117" s="156"/>
    </row>
    <row r="118" spans="1:10" ht="15.75" thickBot="1" x14ac:dyDescent="0.25">
      <c r="A118" s="154">
        <v>6</v>
      </c>
      <c r="B118" s="155">
        <v>0.3</v>
      </c>
      <c r="C118" s="155">
        <v>0.65</v>
      </c>
      <c r="D118" s="155">
        <v>0.8</v>
      </c>
      <c r="E118" s="155">
        <v>0.9</v>
      </c>
      <c r="F118" s="155">
        <v>0.9</v>
      </c>
      <c r="G118" s="156"/>
      <c r="H118" s="156"/>
      <c r="I118" s="156"/>
      <c r="J118" s="156"/>
    </row>
    <row r="119" spans="1:10" ht="15.75" thickBot="1" x14ac:dyDescent="0.25">
      <c r="A119" s="154">
        <v>7</v>
      </c>
      <c r="B119" s="155">
        <v>0.3</v>
      </c>
      <c r="C119" s="155">
        <v>0.6</v>
      </c>
      <c r="D119" s="155">
        <v>0.7</v>
      </c>
      <c r="E119" s="155">
        <v>0.8</v>
      </c>
      <c r="F119" s="155">
        <v>0.9</v>
      </c>
      <c r="G119" s="155">
        <v>0.9</v>
      </c>
      <c r="H119" s="156"/>
      <c r="I119" s="156"/>
      <c r="J119" s="156"/>
    </row>
    <row r="120" spans="1:10" ht="15.75" thickBot="1" x14ac:dyDescent="0.25">
      <c r="A120" s="154">
        <v>8</v>
      </c>
      <c r="B120" s="155">
        <v>0.3</v>
      </c>
      <c r="C120" s="155">
        <v>0.5</v>
      </c>
      <c r="D120" s="155">
        <v>0.6</v>
      </c>
      <c r="E120" s="155">
        <v>0.7</v>
      </c>
      <c r="F120" s="155">
        <v>0.8</v>
      </c>
      <c r="G120" s="155">
        <v>0.9</v>
      </c>
      <c r="H120" s="155">
        <v>0.9</v>
      </c>
      <c r="I120" s="156"/>
      <c r="J120" s="156"/>
    </row>
    <row r="121" spans="1:10" ht="15.75" thickBot="1" x14ac:dyDescent="0.25">
      <c r="A121" s="154">
        <v>9</v>
      </c>
      <c r="B121" s="155">
        <v>0.3</v>
      </c>
      <c r="C121" s="155">
        <v>0.4</v>
      </c>
      <c r="D121" s="155">
        <v>0.5</v>
      </c>
      <c r="E121" s="155">
        <v>0.6</v>
      </c>
      <c r="F121" s="155">
        <v>0.7</v>
      </c>
      <c r="G121" s="155">
        <v>0.8</v>
      </c>
      <c r="H121" s="155">
        <v>0.9</v>
      </c>
      <c r="I121" s="155">
        <v>0.9</v>
      </c>
      <c r="J121" s="156"/>
    </row>
    <row r="122" spans="1:10" ht="15.75" thickBot="1" x14ac:dyDescent="0.25">
      <c r="A122" s="154">
        <v>10</v>
      </c>
      <c r="B122" s="155">
        <v>0.3</v>
      </c>
      <c r="C122" s="155">
        <v>0.35</v>
      </c>
      <c r="D122" s="155">
        <v>0.5</v>
      </c>
      <c r="E122" s="155">
        <v>0.5</v>
      </c>
      <c r="F122" s="155">
        <v>0.6</v>
      </c>
      <c r="G122" s="155">
        <v>0.7</v>
      </c>
      <c r="H122" s="155">
        <v>0.8</v>
      </c>
      <c r="I122" s="155">
        <v>0.9</v>
      </c>
      <c r="J122" s="155">
        <v>0.9</v>
      </c>
    </row>
    <row r="127" spans="1:10" x14ac:dyDescent="0.2">
      <c r="A127" s="30" t="s">
        <v>389</v>
      </c>
    </row>
    <row r="128" spans="1:10" ht="15.75" thickBot="1" x14ac:dyDescent="0.25">
      <c r="C128" s="153" t="s">
        <v>69</v>
      </c>
      <c r="D128" s="153" t="s">
        <v>107</v>
      </c>
      <c r="E128" s="153" t="s">
        <v>70</v>
      </c>
      <c r="F128" s="153" t="s">
        <v>71</v>
      </c>
    </row>
    <row r="129" spans="1:23" ht="15.75" customHeight="1" thickBot="1" x14ac:dyDescent="0.25">
      <c r="B129" s="163" t="s">
        <v>387</v>
      </c>
      <c r="C129" s="720" t="s">
        <v>68</v>
      </c>
      <c r="D129" s="721"/>
      <c r="E129" s="721"/>
      <c r="F129" s="722"/>
    </row>
    <row r="130" spans="1:23" ht="15.75" thickBot="1" x14ac:dyDescent="0.25">
      <c r="B130" s="164"/>
      <c r="C130" s="153">
        <v>1</v>
      </c>
      <c r="D130" s="153">
        <v>2</v>
      </c>
      <c r="E130" s="153">
        <v>4</v>
      </c>
      <c r="F130" s="153">
        <v>12</v>
      </c>
      <c r="J130" t="s">
        <v>436</v>
      </c>
    </row>
    <row r="131" spans="1:23" ht="15.75" thickBot="1" x14ac:dyDescent="0.25">
      <c r="A131" s="164" t="s">
        <v>388</v>
      </c>
      <c r="B131">
        <v>1</v>
      </c>
      <c r="C131" s="165">
        <v>1</v>
      </c>
      <c r="D131" s="165">
        <v>0.49099999999999999</v>
      </c>
      <c r="E131" s="165">
        <v>0.24299999999999999</v>
      </c>
      <c r="F131" s="165">
        <v>8.0500000000000002E-2</v>
      </c>
      <c r="G131">
        <f>100*0.08*12</f>
        <v>96</v>
      </c>
      <c r="J131" s="222">
        <v>1</v>
      </c>
    </row>
    <row r="132" spans="1:23" ht="15.75" thickBot="1" x14ac:dyDescent="0.25">
      <c r="A132" s="164" t="s">
        <v>107</v>
      </c>
      <c r="B132">
        <v>2</v>
      </c>
      <c r="C132" s="165">
        <v>0.98199999999999998</v>
      </c>
      <c r="D132" s="165">
        <v>0.48099999999999998</v>
      </c>
      <c r="E132" s="165">
        <v>0.23799999999999999</v>
      </c>
      <c r="F132" s="165">
        <v>7.85E-2</v>
      </c>
      <c r="J132" s="222">
        <f>IF(OR(Select="Immediate Annuity",AND(Select="Deferred Annuity",PremiumType="Single Premium")),1,2)</f>
        <v>1</v>
      </c>
    </row>
    <row r="133" spans="1:23" ht="15.75" thickBot="1" x14ac:dyDescent="0.25">
      <c r="A133" s="164" t="s">
        <v>70</v>
      </c>
      <c r="B133">
        <v>4</v>
      </c>
      <c r="C133" s="165">
        <v>0.97199999999999998</v>
      </c>
      <c r="D133" s="165">
        <v>0.47399999999999998</v>
      </c>
      <c r="E133" s="165">
        <v>0.23400000000000001</v>
      </c>
      <c r="F133" s="165">
        <v>7.7499999999999999E-2</v>
      </c>
      <c r="J133" s="222">
        <f>IF(OR(Select="Immediate Annuity",AND(Select="Deferred Annuity",PremiumType="Single Premium")),1,4)</f>
        <v>1</v>
      </c>
    </row>
    <row r="134" spans="1:23" ht="15.75" thickBot="1" x14ac:dyDescent="0.25">
      <c r="A134" s="164" t="s">
        <v>71</v>
      </c>
      <c r="B134">
        <v>12</v>
      </c>
      <c r="C134" s="165">
        <v>0.96599999999999997</v>
      </c>
      <c r="D134" s="165">
        <v>0.47099999999999997</v>
      </c>
      <c r="E134" s="165">
        <v>0.23300000000000001</v>
      </c>
      <c r="F134" s="165">
        <v>7.6499999999999999E-2</v>
      </c>
      <c r="J134" s="222">
        <f>IF(OR(Select="Immediate Annuity",AND(Select="Deferred Annuity",PremiumType="Single Premium")),1,12)</f>
        <v>1</v>
      </c>
    </row>
    <row r="138" spans="1:23" ht="15" x14ac:dyDescent="0.25">
      <c r="L138" s="257" t="s">
        <v>448</v>
      </c>
    </row>
    <row r="140" spans="1:23" ht="15.75" thickBot="1" x14ac:dyDescent="0.25">
      <c r="L140" t="b">
        <f>AND(OR(Select="Immediate Annuity",Select="Deferred Annuity"),PremiumType="Single Premium")</f>
        <v>1</v>
      </c>
      <c r="M140" t="b">
        <f>AND(Select="Deferred Annuity",PremiumType="Regular Premium")</f>
        <v>0</v>
      </c>
      <c r="Q140" s="256" t="s">
        <v>447</v>
      </c>
    </row>
    <row r="141" spans="1:23" ht="15.75" customHeight="1" thickBot="1" x14ac:dyDescent="0.25">
      <c r="A141" s="718" t="s">
        <v>111</v>
      </c>
      <c r="B141" s="720" t="s">
        <v>391</v>
      </c>
      <c r="C141" s="721"/>
      <c r="D141" s="722"/>
      <c r="E141" s="720" t="s">
        <v>392</v>
      </c>
      <c r="F141" s="721"/>
      <c r="G141" s="722"/>
      <c r="L141" t="s">
        <v>203</v>
      </c>
      <c r="M141" t="s">
        <v>204</v>
      </c>
    </row>
    <row r="142" spans="1:23" ht="60.75" thickBot="1" x14ac:dyDescent="0.25">
      <c r="A142" s="719"/>
      <c r="B142" s="153" t="s">
        <v>393</v>
      </c>
      <c r="C142" s="153" t="s">
        <v>394</v>
      </c>
      <c r="D142" s="153" t="s">
        <v>395</v>
      </c>
      <c r="E142" s="153" t="s">
        <v>396</v>
      </c>
      <c r="F142" s="153" t="s">
        <v>397</v>
      </c>
      <c r="G142" s="153" t="s">
        <v>395</v>
      </c>
      <c r="K142" t="s">
        <v>103</v>
      </c>
      <c r="L142" s="245">
        <v>0</v>
      </c>
      <c r="M142" s="289">
        <v>1.4999999999999999E-2</v>
      </c>
      <c r="N142" s="254">
        <f>IFERROR(VLOOKUP(Channel,$K$142:$L$146,2,FALSE)*L140,0)+L152</f>
        <v>0</v>
      </c>
      <c r="Q142" s="246" t="s">
        <v>445</v>
      </c>
      <c r="R142" s="247" t="s">
        <v>103</v>
      </c>
      <c r="S142" s="247" t="s">
        <v>409</v>
      </c>
      <c r="T142" s="247" t="s">
        <v>405</v>
      </c>
      <c r="U142" s="247" t="s">
        <v>104</v>
      </c>
      <c r="V142" s="247" t="s">
        <v>390</v>
      </c>
      <c r="W142" s="247" t="s">
        <v>403</v>
      </c>
    </row>
    <row r="143" spans="1:23" ht="15.75" thickBot="1" x14ac:dyDescent="0.25">
      <c r="A143" s="170"/>
      <c r="B143" s="153" t="s">
        <v>404</v>
      </c>
      <c r="C143" s="153" t="s">
        <v>403</v>
      </c>
      <c r="D143" s="153"/>
      <c r="E143" s="153" t="s">
        <v>404</v>
      </c>
      <c r="F143" s="153" t="s">
        <v>403</v>
      </c>
      <c r="G143" s="153"/>
      <c r="K143" s="251" t="s">
        <v>439</v>
      </c>
      <c r="L143" s="172">
        <v>0.01</v>
      </c>
      <c r="M143" s="288">
        <v>1.4999999999999999E-2</v>
      </c>
      <c r="N143" s="258">
        <f>IFERROR(VLOOKUP(Channel,$K$142:$M$146,3,FALSE)*M140,0)+L152</f>
        <v>0</v>
      </c>
      <c r="Q143" s="248" t="s">
        <v>403</v>
      </c>
      <c r="R143" s="249">
        <v>0.01</v>
      </c>
      <c r="S143" s="249">
        <v>0.01</v>
      </c>
      <c r="T143" s="249">
        <v>0.01</v>
      </c>
      <c r="U143" s="249">
        <v>0.01</v>
      </c>
      <c r="V143" s="249">
        <v>0.01</v>
      </c>
      <c r="W143" s="250" t="s">
        <v>73</v>
      </c>
    </row>
    <row r="144" spans="1:23" ht="15.75" thickBot="1" x14ac:dyDescent="0.25">
      <c r="A144" s="167" t="s">
        <v>398</v>
      </c>
      <c r="B144" s="155">
        <v>0.02</v>
      </c>
      <c r="C144" s="168">
        <v>1.4999999999999999E-2</v>
      </c>
      <c r="D144" s="155">
        <v>0.01</v>
      </c>
      <c r="E144" s="723">
        <v>1.4999999999999999E-2</v>
      </c>
      <c r="F144" s="724"/>
      <c r="G144" s="725"/>
      <c r="K144" t="s">
        <v>104</v>
      </c>
      <c r="L144" s="172">
        <v>0</v>
      </c>
      <c r="M144" s="172">
        <v>0</v>
      </c>
      <c r="Q144" s="248" t="s">
        <v>404</v>
      </c>
      <c r="R144" s="250" t="s">
        <v>73</v>
      </c>
      <c r="S144" s="250" t="s">
        <v>73</v>
      </c>
      <c r="T144" s="250" t="s">
        <v>73</v>
      </c>
      <c r="U144" s="250" t="s">
        <v>73</v>
      </c>
      <c r="V144" s="250" t="s">
        <v>73</v>
      </c>
      <c r="W144" s="250" t="s">
        <v>73</v>
      </c>
    </row>
    <row r="145" spans="1:18" x14ac:dyDescent="0.2">
      <c r="K145" t="s">
        <v>390</v>
      </c>
      <c r="L145" s="172">
        <v>0</v>
      </c>
      <c r="M145" s="172">
        <v>0</v>
      </c>
    </row>
    <row r="146" spans="1:18" x14ac:dyDescent="0.2">
      <c r="K146" s="243" t="s">
        <v>403</v>
      </c>
      <c r="L146" s="244">
        <v>1.4999999999999999E-2</v>
      </c>
      <c r="M146" s="288">
        <v>1.4999999999999999E-2</v>
      </c>
      <c r="R146">
        <f>IF('All Options'!E6="NPS",1%,0%)</f>
        <v>0</v>
      </c>
    </row>
    <row r="147" spans="1:18" x14ac:dyDescent="0.2">
      <c r="A147" s="726" t="s">
        <v>399</v>
      </c>
      <c r="B147" s="726"/>
      <c r="C147" s="726"/>
      <c r="D147" s="726"/>
      <c r="E147" s="726"/>
    </row>
    <row r="148" spans="1:18" x14ac:dyDescent="0.2">
      <c r="A148" t="s">
        <v>408</v>
      </c>
    </row>
    <row r="149" spans="1:18" x14ac:dyDescent="0.2">
      <c r="K149" t="b">
        <f>AND(OR(Select="Immediate Annuity", Select="Deferred Annuity"),PremiumType="Single Premium")</f>
        <v>1</v>
      </c>
      <c r="L149" s="258">
        <f>IF('All Options'!$E$6="Group",'Valid Data-GPG'!B144,IF('All Options'!E6="NPS",'Valid Data-GPG'!N142,R146))*K149</f>
        <v>0.02</v>
      </c>
      <c r="M149" s="174">
        <f>L149+L150</f>
        <v>0.02</v>
      </c>
      <c r="Q149" s="252" t="s">
        <v>446</v>
      </c>
    </row>
    <row r="150" spans="1:18" x14ac:dyDescent="0.2">
      <c r="K150" t="b">
        <f>AND(Select="Deferred Annuity",PremiumType="Regular Premium")</f>
        <v>0</v>
      </c>
      <c r="L150" s="258">
        <f>IF('All Options'!$E$6="Group",E144,IF('All Options'!E6="NPS",N143,R146))*K150</f>
        <v>0</v>
      </c>
      <c r="M150" s="173"/>
      <c r="Q150" s="253" t="s">
        <v>103</v>
      </c>
    </row>
    <row r="151" spans="1:18" x14ac:dyDescent="0.2">
      <c r="A151" t="s">
        <v>402</v>
      </c>
      <c r="Q151" s="253" t="s">
        <v>439</v>
      </c>
    </row>
    <row r="152" spans="1:18" x14ac:dyDescent="0.2">
      <c r="A152" s="251" t="s">
        <v>570</v>
      </c>
      <c r="K152" s="30" t="s">
        <v>405</v>
      </c>
      <c r="L152" s="244">
        <f>IF(AND(Select="Deferred Annuity",PremiumType="Single Premium"),5%,IF(AND(Select="Deferred Annuity",PremiumType="Regular Premium"),2.5%,2%))*(Channel="Staff")</f>
        <v>0</v>
      </c>
      <c r="Q152" s="253" t="s">
        <v>104</v>
      </c>
    </row>
    <row r="153" spans="1:18" x14ac:dyDescent="0.2">
      <c r="A153" t="s">
        <v>403</v>
      </c>
      <c r="Q153" s="253" t="s">
        <v>390</v>
      </c>
    </row>
    <row r="154" spans="1:18" x14ac:dyDescent="0.2">
      <c r="Q154" s="252" t="s">
        <v>403</v>
      </c>
    </row>
    <row r="155" spans="1:18" x14ac:dyDescent="0.2">
      <c r="Q155" s="255" t="s">
        <v>405</v>
      </c>
    </row>
    <row r="157" spans="1:18" x14ac:dyDescent="0.2">
      <c r="A157" t="s">
        <v>407</v>
      </c>
    </row>
    <row r="161" spans="1:3" x14ac:dyDescent="0.2">
      <c r="A161" t="s">
        <v>90</v>
      </c>
    </row>
    <row r="162" spans="1:3" x14ac:dyDescent="0.2">
      <c r="A162" s="30" t="s">
        <v>588</v>
      </c>
    </row>
    <row r="164" spans="1:3" x14ac:dyDescent="0.2">
      <c r="C164" s="30"/>
    </row>
    <row r="165" spans="1:3" x14ac:dyDescent="0.2">
      <c r="C165" s="30"/>
    </row>
    <row r="167" spans="1:3" x14ac:dyDescent="0.2">
      <c r="A167" s="349"/>
    </row>
    <row r="168" spans="1:3" x14ac:dyDescent="0.2">
      <c r="A168" t="s">
        <v>82</v>
      </c>
    </row>
    <row r="169" spans="1:3" x14ac:dyDescent="0.2">
      <c r="A169" s="30" t="s">
        <v>83</v>
      </c>
    </row>
  </sheetData>
  <mergeCells count="16">
    <mergeCell ref="C129:F129"/>
    <mergeCell ref="B70:B72"/>
    <mergeCell ref="A16:A19"/>
    <mergeCell ref="A63:A64"/>
    <mergeCell ref="B63:E63"/>
    <mergeCell ref="B66:E66"/>
    <mergeCell ref="A30:A31"/>
    <mergeCell ref="B30:C30"/>
    <mergeCell ref="D30:E30"/>
    <mergeCell ref="B33:C33"/>
    <mergeCell ref="C16:C19"/>
    <mergeCell ref="A141:A142"/>
    <mergeCell ref="B141:D141"/>
    <mergeCell ref="E141:G141"/>
    <mergeCell ref="E144:G144"/>
    <mergeCell ref="A147:E147"/>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06ADCAE5-9687-436F-A3F8-D6F8CEAC46EC}">
            <xm:f>'\Users\Sheetal.Chanchal\Documents\SPG revised Rates\V2-Revised SPG Rates 20200525\[SPG2_Medical_03.06.2020_V2.xlsb]ErrorSheet'!#REF!&lt;&gt;0</xm:f>
            <x14:dxf>
              <font>
                <color theme="0"/>
              </font>
              <fill>
                <patternFill>
                  <fgColor theme="0"/>
                  <bgColor theme="0"/>
                </patternFill>
              </fill>
              <border>
                <left/>
                <right/>
                <top/>
                <bottom/>
                <vertical/>
                <horizontal/>
              </border>
            </x14:dxf>
          </x14:cfRule>
          <xm:sqref>A86:B87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XES36"/>
  <sheetViews>
    <sheetView showGridLines="0" defaultGridColor="0" topLeftCell="A9" colorId="12" workbookViewId="0">
      <selection activeCell="C27" sqref="C27:D27"/>
    </sheetView>
  </sheetViews>
  <sheetFormatPr defaultColWidth="9.140625" defaultRowHeight="15" x14ac:dyDescent="0.3"/>
  <cols>
    <col min="1" max="2" width="9.140625" style="1"/>
    <col min="3" max="3" width="15.5703125" style="1" customWidth="1"/>
    <col min="4" max="4" width="11.140625" style="1" bestFit="1" customWidth="1"/>
    <col min="5" max="5" width="15.140625" style="1" customWidth="1"/>
    <col min="6" max="6" width="14" style="1" customWidth="1"/>
    <col min="7" max="8" width="9.140625" style="1"/>
    <col min="9" max="9" width="18.5703125" style="1" bestFit="1" customWidth="1"/>
    <col min="10" max="10" width="19.140625" style="1" bestFit="1" customWidth="1"/>
    <col min="11" max="11" width="17.42578125" style="1" bestFit="1" customWidth="1"/>
    <col min="12" max="12" width="16.42578125" style="1" bestFit="1" customWidth="1"/>
    <col min="13" max="13" width="20.85546875" style="1" bestFit="1" customWidth="1"/>
    <col min="14" max="14" width="16.42578125" style="1" bestFit="1" customWidth="1"/>
    <col min="15" max="15" width="9.140625" style="1"/>
    <col min="16" max="16" width="16.85546875" style="1" bestFit="1" customWidth="1"/>
    <col min="17" max="17" width="12.140625" style="1" bestFit="1" customWidth="1"/>
    <col min="18" max="19" width="9.140625" style="1"/>
    <col min="20" max="21" width="13.85546875" style="1" bestFit="1" customWidth="1"/>
    <col min="22" max="23" width="9.140625" style="1"/>
    <col min="24" max="24" width="15" style="1" bestFit="1" customWidth="1"/>
    <col min="25" max="16384" width="9.140625" style="1"/>
  </cols>
  <sheetData>
    <row r="1" spans="2:13 16358:16373" ht="15.75" thickBot="1" x14ac:dyDescent="0.35"/>
    <row r="2" spans="2:13 16358:16373" ht="15.75" thickBot="1" x14ac:dyDescent="0.35">
      <c r="B2" s="629" t="s">
        <v>79</v>
      </c>
      <c r="C2" s="630"/>
      <c r="D2" s="630"/>
      <c r="E2" s="630"/>
      <c r="F2" s="631"/>
      <c r="I2" s="629" t="s">
        <v>240</v>
      </c>
      <c r="J2" s="630"/>
      <c r="K2" s="630"/>
      <c r="L2" s="630"/>
      <c r="M2" s="630"/>
    </row>
    <row r="5" spans="2:13 16358:16373" ht="15.75" thickBot="1" x14ac:dyDescent="0.35"/>
    <row r="6" spans="2:13 16358:16373" ht="15.75" thickBot="1" x14ac:dyDescent="0.35">
      <c r="B6" s="623" t="s">
        <v>30</v>
      </c>
      <c r="C6" s="624"/>
      <c r="I6" s="140" t="s">
        <v>257</v>
      </c>
      <c r="L6" s="140" t="s">
        <v>277</v>
      </c>
      <c r="XED6" s="1" t="s">
        <v>238</v>
      </c>
      <c r="XEG6" s="1" t="s">
        <v>239</v>
      </c>
      <c r="XEJ6" s="1" t="s">
        <v>237</v>
      </c>
      <c r="XEN6" s="1" t="s">
        <v>251</v>
      </c>
      <c r="XER6" s="1" t="s">
        <v>253</v>
      </c>
    </row>
    <row r="7" spans="2:13 16358:16373" ht="57" customHeight="1" thickBot="1" x14ac:dyDescent="0.35">
      <c r="B7" s="627"/>
      <c r="C7" s="628"/>
      <c r="E7" s="623" t="s">
        <v>31</v>
      </c>
      <c r="F7" s="624"/>
      <c r="I7" s="623" t="s">
        <v>254</v>
      </c>
      <c r="J7" s="624"/>
      <c r="L7" s="623" t="s">
        <v>254</v>
      </c>
      <c r="M7" s="624"/>
      <c r="XED7" s="623" t="s">
        <v>200</v>
      </c>
      <c r="XEE7" s="624"/>
      <c r="XEG7" s="623" t="s">
        <v>200</v>
      </c>
      <c r="XEH7" s="624"/>
      <c r="XEJ7" s="623" t="s">
        <v>235</v>
      </c>
      <c r="XEK7" s="624"/>
      <c r="XEN7" s="623" t="s">
        <v>235</v>
      </c>
      <c r="XEO7" s="624"/>
      <c r="XER7" s="623" t="s">
        <v>235</v>
      </c>
      <c r="XES7" s="624"/>
    </row>
    <row r="8" spans="2:13 16358:16373" ht="15" customHeight="1" thickBot="1" x14ac:dyDescent="0.35">
      <c r="E8" s="627"/>
      <c r="F8" s="628"/>
      <c r="I8" s="625"/>
      <c r="J8" s="626"/>
      <c r="L8" s="625"/>
      <c r="M8" s="626"/>
      <c r="XED8" s="625"/>
      <c r="XEE8" s="626"/>
      <c r="XEG8" s="625"/>
      <c r="XEH8" s="626"/>
      <c r="XEJ8" s="625"/>
      <c r="XEK8" s="626"/>
      <c r="XEN8" s="625"/>
      <c r="XEO8" s="626"/>
      <c r="XER8" s="625"/>
      <c r="XES8" s="626"/>
    </row>
    <row r="9" spans="2:13 16358:16373" ht="15.75" thickBot="1" x14ac:dyDescent="0.35">
      <c r="B9" s="9" t="s">
        <v>22</v>
      </c>
      <c r="C9" s="8" t="s">
        <v>23</v>
      </c>
      <c r="D9" s="19"/>
      <c r="E9" s="9" t="s">
        <v>24</v>
      </c>
      <c r="F9" s="8" t="s">
        <v>25</v>
      </c>
      <c r="I9" s="627"/>
      <c r="J9" s="628"/>
      <c r="L9" s="627"/>
      <c r="M9" s="628"/>
      <c r="XED9" s="627"/>
      <c r="XEE9" s="628"/>
      <c r="XEG9" s="627"/>
      <c r="XEH9" s="628"/>
      <c r="XEJ9" s="627"/>
      <c r="XEK9" s="628"/>
      <c r="XEN9" s="627"/>
      <c r="XEO9" s="628"/>
      <c r="XER9" s="627"/>
      <c r="XES9" s="628"/>
    </row>
    <row r="10" spans="2:13 16358:16373" ht="15.75" thickBot="1" x14ac:dyDescent="0.35">
      <c r="B10" s="2">
        <v>0</v>
      </c>
      <c r="C10" s="3">
        <v>2</v>
      </c>
      <c r="D10" s="20"/>
      <c r="E10" s="106">
        <v>12000</v>
      </c>
      <c r="F10" s="12">
        <v>1</v>
      </c>
      <c r="I10" s="15" t="s">
        <v>256</v>
      </c>
      <c r="J10" s="16" t="s">
        <v>25</v>
      </c>
      <c r="L10" s="15" t="s">
        <v>256</v>
      </c>
      <c r="M10" s="16" t="s">
        <v>25</v>
      </c>
      <c r="XED10" s="15" t="s">
        <v>201</v>
      </c>
      <c r="XEE10" s="16" t="s">
        <v>25</v>
      </c>
      <c r="XEF10" s="1" t="s">
        <v>252</v>
      </c>
      <c r="XEG10" s="15" t="s">
        <v>201</v>
      </c>
      <c r="XEH10" s="16" t="s">
        <v>25</v>
      </c>
      <c r="XEI10" s="1" t="s">
        <v>252</v>
      </c>
      <c r="XEJ10" s="15" t="s">
        <v>236</v>
      </c>
      <c r="XEK10" s="16" t="s">
        <v>25</v>
      </c>
      <c r="XEL10" s="1" t="s">
        <v>252</v>
      </c>
      <c r="XEN10" s="15" t="s">
        <v>236</v>
      </c>
      <c r="XEO10" s="16" t="s">
        <v>25</v>
      </c>
      <c r="XEP10" s="1" t="s">
        <v>252</v>
      </c>
      <c r="XER10" s="15" t="s">
        <v>236</v>
      </c>
      <c r="XES10" s="16" t="s">
        <v>25</v>
      </c>
    </row>
    <row r="11" spans="2:13 16358:16373" x14ac:dyDescent="0.3">
      <c r="B11" s="4">
        <v>1</v>
      </c>
      <c r="C11" s="5">
        <v>3</v>
      </c>
      <c r="D11" s="20"/>
      <c r="E11" s="10">
        <f>IF(AND(Select="Deferred Annuity",PremiumType="Regular Premium"),200000,500000)</f>
        <v>500000</v>
      </c>
      <c r="F11" s="13">
        <v>2</v>
      </c>
      <c r="I11" s="17" t="s">
        <v>255</v>
      </c>
      <c r="J11" s="18" t="str">
        <f>"DP"&amp;DP&amp;"_OptA_"&amp;"SP"</f>
        <v>DP0_OptA_SP</v>
      </c>
      <c r="L11" s="17" t="s">
        <v>255</v>
      </c>
      <c r="M11" s="18" t="str">
        <f>"DP"&amp;DP&amp;"_OptA_"&amp;"RP_"&amp;"PPT"&amp;PPT</f>
        <v>DP0_OptA_RP_PPT1</v>
      </c>
      <c r="XED11" s="17">
        <v>1</v>
      </c>
      <c r="XEE11" s="18" t="str">
        <f>"DP1_"&amp;"OptA_"&amp;"SP"</f>
        <v>DP1_OptA_SP</v>
      </c>
      <c r="XEF11" s="139" t="str">
        <f>"DP"&amp;DP&amp;"_OptA_"&amp;"SP"</f>
        <v>DP0_OptA_SP</v>
      </c>
      <c r="XEG11" s="17">
        <v>1</v>
      </c>
      <c r="XEH11" s="18" t="str">
        <f>"DP1_"&amp;"OptB_"&amp;"SP"</f>
        <v>DP1_OptB_SP</v>
      </c>
      <c r="XEI11" s="1" t="str">
        <f>"DP"&amp;DP&amp;"_OptB_"&amp;"SP"</f>
        <v>DP0_OptB_SP</v>
      </c>
      <c r="XEJ11" s="17">
        <v>1</v>
      </c>
      <c r="XEK11" s="18" t="str">
        <f>"DP1_"&amp;"OptF_"&amp;VLOOKUP('All Options'!$E$18,'Working-GPG'!$E$9:$F$15,2,TRUE)</f>
        <v>DP1_OptF_3</v>
      </c>
      <c r="XEL11" s="139" t="str">
        <f>"DP"&amp;DP&amp;"_OptF_"&amp;VLOOKUP('All Options'!$E$18,'Working-GPG'!$E$9:$F$15,2,TRUE)</f>
        <v>DP0_OptF_3</v>
      </c>
      <c r="XEN11" s="17">
        <v>1</v>
      </c>
      <c r="XEO11" s="18" t="str">
        <f>"DP1_"&amp;"OptG_"&amp;"SP"</f>
        <v>DP1_OptG_SP</v>
      </c>
      <c r="XEP11" s="139" t="str">
        <f>"DP"&amp;DP&amp;"_OptG_"&amp;"SP"</f>
        <v>DP0_OptG_SP</v>
      </c>
      <c r="XER11" s="17">
        <v>1</v>
      </c>
      <c r="XES11" s="18" t="str">
        <f>"DP1_"&amp;"OptH_"&amp;"SP"</f>
        <v>DP1_OptH_SP</v>
      </c>
    </row>
    <row r="12" spans="2:13 16358:16373" x14ac:dyDescent="0.3">
      <c r="B12" s="4">
        <v>2</v>
      </c>
      <c r="C12" s="5">
        <v>4</v>
      </c>
      <c r="D12" s="20"/>
      <c r="E12" s="10">
        <f>IF(AND(Select="Deferred Annuity",PremiumType="Regular Premium"),500000,2500000)</f>
        <v>2500000</v>
      </c>
      <c r="F12" s="13">
        <v>3</v>
      </c>
      <c r="I12" s="17" t="s">
        <v>239</v>
      </c>
      <c r="J12" s="18" t="str">
        <f>"DP"&amp;DP&amp;"_OptB_"&amp;"SP"</f>
        <v>DP0_OptB_SP</v>
      </c>
      <c r="L12" s="17" t="s">
        <v>239</v>
      </c>
      <c r="M12" s="18" t="str">
        <f>"DP"&amp;DP&amp;"_OptB_"&amp;"RP_"&amp;"PPT"&amp;PPT</f>
        <v>DP0_OptB_RP_PPT1</v>
      </c>
      <c r="XED12" s="4">
        <v>2</v>
      </c>
      <c r="XEE12" s="18" t="str">
        <f>"DP2_"&amp;"OptA_"&amp;"SP"</f>
        <v>DP2_OptA_SP</v>
      </c>
      <c r="XEG12" s="4">
        <v>2</v>
      </c>
      <c r="XEH12" s="18" t="str">
        <f>"DP2_"&amp;"OptB_"&amp;"SP"</f>
        <v>DP2_OptB_SP</v>
      </c>
      <c r="XEJ12" s="4">
        <v>2</v>
      </c>
      <c r="XEK12" s="18" t="str">
        <f>"DP2_"&amp;"OptF_"&amp;VLOOKUP('All Options'!$E$18,'Working-GPG'!$E$9:$F$15,2,TRUE)</f>
        <v>DP2_OptF_3</v>
      </c>
      <c r="XEN12" s="4">
        <v>2</v>
      </c>
      <c r="XEO12" s="18" t="str">
        <f>"DP2_"&amp;"OptG_"&amp;"SP"</f>
        <v>DP2_OptG_SP</v>
      </c>
      <c r="XER12" s="4">
        <v>2</v>
      </c>
      <c r="XES12" s="18" t="str">
        <f>"DP2_"&amp;"OptH_"&amp;"SP"</f>
        <v>DP2_OptH_SP</v>
      </c>
    </row>
    <row r="13" spans="2:13 16358:16373" x14ac:dyDescent="0.3">
      <c r="B13" s="4">
        <v>3</v>
      </c>
      <c r="C13" s="5">
        <v>5</v>
      </c>
      <c r="D13" s="20"/>
      <c r="E13" s="10"/>
      <c r="F13" s="13"/>
      <c r="I13" s="17" t="s">
        <v>237</v>
      </c>
      <c r="J13" s="18" t="str">
        <f>"DP"&amp;DP&amp;"_OptF_"&amp;VLOOKUP('Annuity Calculator'!$G$19,'Working-GPG'!$E$9:$F$15,2,TRUE)</f>
        <v>DP0_OptF_3</v>
      </c>
      <c r="XED13" s="17">
        <v>3</v>
      </c>
      <c r="XEE13" s="18" t="str">
        <f>"DP3_"&amp;"OptA_"&amp;"SP"</f>
        <v>DP3_OptA_SP</v>
      </c>
      <c r="XEG13" s="17">
        <v>3</v>
      </c>
      <c r="XEH13" s="18" t="str">
        <f>"DP3_"&amp;"OptB_"&amp;"SP"</f>
        <v>DP3_OptB_SP</v>
      </c>
      <c r="XEJ13" s="17">
        <v>3</v>
      </c>
      <c r="XEK13" s="18" t="str">
        <f>"DP3_"&amp;"OptF_"&amp;VLOOKUP('All Options'!$E$18,'Working-GPG'!$E$9:$F$15,2,TRUE)</f>
        <v>DP3_OptF_3</v>
      </c>
      <c r="XEN13" s="17">
        <v>3</v>
      </c>
      <c r="XEO13" s="18" t="str">
        <f>"DP3_"&amp;"OptG_"&amp;"SP"</f>
        <v>DP3_OptG_SP</v>
      </c>
      <c r="XER13" s="17">
        <v>3</v>
      </c>
      <c r="XES13" s="18" t="str">
        <f>"DP3_"&amp;"OptH_"&amp;"SP"</f>
        <v>DP3_OptH_SP</v>
      </c>
    </row>
    <row r="14" spans="2:13 16358:16373" ht="15.75" thickBot="1" x14ac:dyDescent="0.35">
      <c r="B14" s="4">
        <v>4</v>
      </c>
      <c r="C14" s="5">
        <v>6</v>
      </c>
      <c r="D14" s="20"/>
      <c r="E14" s="10"/>
      <c r="F14" s="13"/>
      <c r="I14" s="17" t="s">
        <v>251</v>
      </c>
      <c r="J14" s="18" t="str">
        <f>"DP"&amp;DP&amp;"_OptG_"&amp;"SP"</f>
        <v>DP0_OptG_SP</v>
      </c>
      <c r="XED14" s="4">
        <v>4</v>
      </c>
      <c r="XEE14" s="18" t="str">
        <f>"DP4_"&amp;"OptA_"&amp;"SP"</f>
        <v>DP4_OptA_SP</v>
      </c>
      <c r="XEG14" s="4">
        <v>4</v>
      </c>
      <c r="XEH14" s="18" t="str">
        <f>"DP4_"&amp;"OptB_"&amp;"SP"</f>
        <v>DP4_OptB_SP</v>
      </c>
      <c r="XEJ14" s="4">
        <v>4</v>
      </c>
      <c r="XEK14" s="18" t="str">
        <f>"DP4_"&amp;"OptF_"&amp;VLOOKUP('All Options'!$E$18,'Working-GPG'!$E$9:$F$15,2,TRUE)</f>
        <v>DP4_OptF_3</v>
      </c>
      <c r="XEN14" s="4">
        <v>4</v>
      </c>
      <c r="XEO14" s="18" t="str">
        <f>"DP4_"&amp;"OptG_"&amp;"SP"</f>
        <v>DP4_OptG_SP</v>
      </c>
      <c r="XER14" s="4">
        <v>4</v>
      </c>
      <c r="XES14" s="18" t="str">
        <f>"DP4_"&amp;"OptG_"&amp;"SP"</f>
        <v>DP4_OptG_SP</v>
      </c>
    </row>
    <row r="15" spans="2:13 16358:16373" ht="15" customHeight="1" thickBot="1" x14ac:dyDescent="0.35">
      <c r="B15" s="4">
        <v>5</v>
      </c>
      <c r="C15" s="3">
        <v>7</v>
      </c>
      <c r="D15" s="20"/>
      <c r="E15" s="11"/>
      <c r="F15" s="14"/>
      <c r="I15" s="17" t="s">
        <v>253</v>
      </c>
      <c r="J15" s="18" t="str">
        <f>"DP"&amp;DP&amp;"_OptH_"&amp;"SP"</f>
        <v>DP0_OptH_SP</v>
      </c>
      <c r="XED15" s="17">
        <v>5</v>
      </c>
      <c r="XEE15" s="18" t="str">
        <f>"DP5_"&amp;"OptA_"&amp;"SP"</f>
        <v>DP5_OptA_SP</v>
      </c>
      <c r="XEG15" s="17">
        <v>5</v>
      </c>
      <c r="XEH15" s="18" t="str">
        <f>"DP5_"&amp;"OptB_"&amp;"SP"</f>
        <v>DP5_OptB_SP</v>
      </c>
      <c r="XEJ15" s="17">
        <v>5</v>
      </c>
      <c r="XEK15" s="18" t="str">
        <f>"DP5_"&amp;"OptF_"&amp;VLOOKUP('All Options'!$E$18,'Working-GPG'!$E$9:$F$15,2,TRUE)</f>
        <v>DP5_OptF_3</v>
      </c>
      <c r="XEN15" s="17">
        <v>5</v>
      </c>
      <c r="XEO15" s="18" t="str">
        <f>"DP5_"&amp;"OptG_"&amp;"SP"</f>
        <v>DP5_OptG_SP</v>
      </c>
      <c r="XER15" s="17">
        <v>5</v>
      </c>
      <c r="XES15" s="18" t="str">
        <f>"DP5_"&amp;"OptH_"&amp;"SP"</f>
        <v>DP5_OptH_SP</v>
      </c>
    </row>
    <row r="16" spans="2:13 16358:16373" ht="15" customHeight="1" x14ac:dyDescent="0.3">
      <c r="B16" s="4">
        <v>6</v>
      </c>
      <c r="C16" s="5">
        <v>8</v>
      </c>
      <c r="D16" s="19"/>
      <c r="XED16" s="4">
        <v>6</v>
      </c>
      <c r="XEE16" s="18" t="str">
        <f>"DP6_"&amp;"OptA_"&amp;"SP"</f>
        <v>DP6_OptA_SP</v>
      </c>
      <c r="XEG16" s="4">
        <v>6</v>
      </c>
      <c r="XEH16" s="18" t="str">
        <f>"DP6_"&amp;"OptB_"&amp;"SP"</f>
        <v>DP6_OptB_SP</v>
      </c>
      <c r="XEJ16" s="4">
        <v>6</v>
      </c>
      <c r="XEK16" s="18" t="str">
        <f>"DP6_"&amp;"OptF_"&amp;VLOOKUP('All Options'!$E$18,'Working-GPG'!$E$9:$F$15,2,TRUE)</f>
        <v>DP6_OptF_3</v>
      </c>
      <c r="XEN16" s="4">
        <v>6</v>
      </c>
      <c r="XEO16" s="18" t="str">
        <f>"DP6_"&amp;"OptG_"&amp;"SP"</f>
        <v>DP6_OptG_SP</v>
      </c>
      <c r="XER16" s="4">
        <v>6</v>
      </c>
      <c r="XES16" s="18" t="str">
        <f>"DP6_"&amp;"OptH_"&amp;"SP"</f>
        <v>DP6_OptH_SP</v>
      </c>
    </row>
    <row r="17" spans="2:8 16358:16373" x14ac:dyDescent="0.3">
      <c r="B17" s="4">
        <v>7</v>
      </c>
      <c r="C17" s="5">
        <v>9</v>
      </c>
      <c r="D17" s="21"/>
      <c r="XED17" s="17">
        <v>7</v>
      </c>
      <c r="XEE17" s="18" t="str">
        <f>"DP7_"&amp;"OptA_"&amp;"SP"</f>
        <v>DP7_OptA_SP</v>
      </c>
      <c r="XEG17" s="17">
        <v>7</v>
      </c>
      <c r="XEH17" s="18" t="str">
        <f>"DP7_"&amp;"OptB_"&amp;"SP"</f>
        <v>DP7_OptB_SP</v>
      </c>
      <c r="XEJ17" s="17">
        <v>7</v>
      </c>
      <c r="XEK17" s="18" t="str">
        <f>"DP7_"&amp;"OptF_"&amp;VLOOKUP('All Options'!$E$18,'Working-GPG'!$E$9:$F$15,2,TRUE)</f>
        <v>DP7_OptF_3</v>
      </c>
      <c r="XEN17" s="17">
        <v>7</v>
      </c>
      <c r="XEO17" s="18" t="str">
        <f>"DP7_"&amp;"OptG_"&amp;"SP"</f>
        <v>DP7_OptG_SP</v>
      </c>
      <c r="XER17" s="17">
        <v>7</v>
      </c>
      <c r="XES17" s="18" t="str">
        <f>"DP7_"&amp;"OptH_"&amp;"SP"</f>
        <v>DP7_OptH_SP</v>
      </c>
    </row>
    <row r="18" spans="2:8 16358:16373" ht="15.75" thickBot="1" x14ac:dyDescent="0.35">
      <c r="B18" s="4">
        <v>8</v>
      </c>
      <c r="C18" s="5">
        <v>10</v>
      </c>
      <c r="D18" s="19"/>
      <c r="XED18" s="4">
        <v>8</v>
      </c>
      <c r="XEE18" s="18" t="str">
        <f>"DP8_"&amp;"OptA_"&amp;"SP"</f>
        <v>DP8_OptA_SP</v>
      </c>
      <c r="XEG18" s="4">
        <v>8</v>
      </c>
      <c r="XEH18" s="18" t="str">
        <f>"DP8_"&amp;"OptB_"&amp;"SP"</f>
        <v>DP8_OptB_SP</v>
      </c>
      <c r="XEJ18" s="4">
        <v>8</v>
      </c>
      <c r="XEK18" s="18" t="str">
        <f>"DP8_"&amp;"OptF_"&amp;VLOOKUP('All Options'!$E$18,'Working-GPG'!$E$9:$F$15,2,TRUE)</f>
        <v>DP8_OptF_3</v>
      </c>
      <c r="XEN18" s="4">
        <v>8</v>
      </c>
      <c r="XEO18" s="18" t="str">
        <f>"DP8_"&amp;"OptG_"&amp;"SP"</f>
        <v>DP8_OptG_SP</v>
      </c>
      <c r="XER18" s="4">
        <v>8</v>
      </c>
      <c r="XES18" s="18" t="str">
        <f>"DP8_"&amp;"OptH_"&amp;"SP"</f>
        <v>DP8_OptH_SP</v>
      </c>
    </row>
    <row r="19" spans="2:8 16358:16373" ht="15.75" thickBot="1" x14ac:dyDescent="0.35">
      <c r="B19" s="4">
        <v>9</v>
      </c>
      <c r="C19" s="5">
        <v>11</v>
      </c>
      <c r="D19" s="19"/>
      <c r="E19" s="623" t="s">
        <v>32</v>
      </c>
      <c r="F19" s="624"/>
      <c r="XED19" s="17">
        <v>9</v>
      </c>
      <c r="XEE19" s="18" t="str">
        <f>"DP9_"&amp;"OptA_"&amp;"SP"</f>
        <v>DP9_OptA_SP</v>
      </c>
      <c r="XEG19" s="17">
        <v>9</v>
      </c>
      <c r="XEH19" s="18" t="str">
        <f>"DP9_"&amp;"OptB_"&amp;"SP"</f>
        <v>DP9_OptB_SP</v>
      </c>
      <c r="XEJ19" s="17">
        <v>9</v>
      </c>
      <c r="XEK19" s="18" t="str">
        <f>"DP9_"&amp;"OptF_"&amp;VLOOKUP('All Options'!$E$18,'Working-GPG'!$E$9:$F$15,2,TRUE)</f>
        <v>DP9_OptF_3</v>
      </c>
      <c r="XEN19" s="17">
        <v>9</v>
      </c>
      <c r="XEO19" s="18" t="str">
        <f>"DP9_"&amp;"OptG_"&amp;"SP"</f>
        <v>DP9_OptG_SP</v>
      </c>
      <c r="XER19" s="17">
        <v>9</v>
      </c>
      <c r="XES19" s="18" t="str">
        <f>"DP9_"&amp;"OptH_"&amp;"SP"</f>
        <v>DP9_OptH_SP</v>
      </c>
    </row>
    <row r="20" spans="2:8 16358:16373" ht="15" customHeight="1" x14ac:dyDescent="0.3">
      <c r="B20" s="4">
        <v>10</v>
      </c>
      <c r="C20" s="3">
        <v>12</v>
      </c>
      <c r="D20" s="19"/>
      <c r="E20" s="625"/>
      <c r="F20" s="626"/>
      <c r="XED20" s="4">
        <v>10</v>
      </c>
      <c r="XEE20" s="18" t="str">
        <f>"DP10_"&amp;"OptA_"&amp;"SP"</f>
        <v>DP10_OptA_SP</v>
      </c>
      <c r="XEG20" s="4">
        <v>10</v>
      </c>
      <c r="XEH20" s="18" t="str">
        <f>"DP10_"&amp;"OptB_"&amp;"SP"</f>
        <v>DP10_OptB_SP</v>
      </c>
      <c r="XEJ20" s="4">
        <v>10</v>
      </c>
      <c r="XEK20" s="18" t="str">
        <f>"DP10_"&amp;"OptF_"&amp;VLOOKUP('All Options'!$E$18,'Working-GPG'!$E$9:$F$15,2,TRUE)</f>
        <v>DP10_OptF_3</v>
      </c>
      <c r="XEN20" s="4">
        <v>10</v>
      </c>
      <c r="XEO20" s="18" t="str">
        <f>"DP10_"&amp;"OptG_"&amp;"SP"</f>
        <v>DP10_OptG_SP</v>
      </c>
      <c r="XER20" s="4">
        <v>10</v>
      </c>
      <c r="XES20" s="18" t="str">
        <f>"DP10_"&amp;"OptH_"&amp;"SP"</f>
        <v>DP10_OptH_SP</v>
      </c>
    </row>
    <row r="21" spans="2:8 16358:16373" ht="15.75" thickBot="1" x14ac:dyDescent="0.35">
      <c r="B21" s="4">
        <v>11</v>
      </c>
      <c r="C21" s="5">
        <v>13</v>
      </c>
      <c r="D21" s="19"/>
      <c r="E21" s="627"/>
      <c r="F21" s="628"/>
    </row>
    <row r="22" spans="2:8 16358:16373" ht="15.75" thickBot="1" x14ac:dyDescent="0.35">
      <c r="B22" s="4">
        <v>16</v>
      </c>
      <c r="C22" s="5">
        <v>14</v>
      </c>
      <c r="D22" s="19"/>
      <c r="E22" s="15" t="s">
        <v>29</v>
      </c>
      <c r="F22" s="16" t="s">
        <v>25</v>
      </c>
    </row>
    <row r="23" spans="2:8 16358:16373" x14ac:dyDescent="0.3">
      <c r="B23" s="4">
        <v>21</v>
      </c>
      <c r="C23" s="5">
        <v>15</v>
      </c>
      <c r="E23" s="17" t="s">
        <v>28</v>
      </c>
      <c r="F23" s="18" t="str">
        <f>IF('All Options'!$E$14-'All Options'!$E$21&gt;=0,"JLL50_YS_","JLL50_OS_")&amp;VLOOKUP('All Options'!$E$18,'Working-GPG'!$E$9:$F$15,2,TRUE)</f>
        <v>JLL50_YS_3</v>
      </c>
      <c r="H23" s="18" t="str">
        <f>IF('All Options'!$E$14-'All Options'!$E$21&gt;=0,"JLL50_YS_","JLL50_OS_")&amp;VLOOKUP('All Options'!$E$31,'Working-GPG'!$E$9:$F$15,2,TRUE)</f>
        <v>JLL50_YS_3</v>
      </c>
    </row>
    <row r="24" spans="2:8 16358:16373" ht="15.75" thickBot="1" x14ac:dyDescent="0.35">
      <c r="B24" s="4">
        <v>26</v>
      </c>
      <c r="C24" s="5">
        <v>16</v>
      </c>
      <c r="E24" s="4" t="s">
        <v>26</v>
      </c>
      <c r="F24" s="18" t="str">
        <f>"JLL100_"&amp;VLOOKUP('All Options'!$E$18,'Working-GPG'!$E$9:$F$15,2,TRUE)</f>
        <v>JLL100_3</v>
      </c>
      <c r="H24" s="18" t="str">
        <f>"JLL100_"&amp;VLOOKUP('All Options'!$E$31,'Working-GPG'!$E$9:$F$15,2,TRUE)</f>
        <v>JLL100_3</v>
      </c>
    </row>
    <row r="25" spans="2:8 16358:16373" x14ac:dyDescent="0.3">
      <c r="B25" s="4">
        <v>31</v>
      </c>
      <c r="C25" s="3">
        <v>17</v>
      </c>
      <c r="E25" s="4" t="s">
        <v>27</v>
      </c>
      <c r="F25" s="18" t="str">
        <f>"JLLROC_"&amp;VLOOKUP('All Options'!$E$18,'Working-GPG'!$E$9:$F$15,2,TRUE)</f>
        <v>JLLROC_3</v>
      </c>
      <c r="H25" s="18" t="str">
        <f>"JLLROC_"&amp;VLOOKUP('All Options'!$E$31,'Working-GPG'!$E$9:$F$15,2,TRUE)</f>
        <v>JLLROC_3</v>
      </c>
    </row>
    <row r="26" spans="2:8 16358:16373" x14ac:dyDescent="0.3">
      <c r="B26" s="4">
        <v>36</v>
      </c>
      <c r="C26" s="5">
        <v>18</v>
      </c>
      <c r="E26" s="4"/>
      <c r="F26" s="5"/>
    </row>
    <row r="27" spans="2:8 16358:16373" ht="15.75" thickBot="1" x14ac:dyDescent="0.35">
      <c r="B27" s="6">
        <v>41</v>
      </c>
      <c r="C27" s="7">
        <v>19</v>
      </c>
      <c r="E27" s="6"/>
      <c r="F27" s="7"/>
    </row>
    <row r="28" spans="2:8 16358:16373" x14ac:dyDescent="0.3">
      <c r="B28" s="4">
        <v>46</v>
      </c>
      <c r="C28" s="3">
        <v>20</v>
      </c>
    </row>
    <row r="29" spans="2:8 16358:16373" x14ac:dyDescent="0.3">
      <c r="B29" s="4"/>
      <c r="C29" s="5"/>
    </row>
    <row r="30" spans="2:8 16358:16373" ht="15.75" thickBot="1" x14ac:dyDescent="0.35">
      <c r="B30" s="6"/>
      <c r="C30" s="7"/>
    </row>
    <row r="31" spans="2:8 16358:16373" x14ac:dyDescent="0.3">
      <c r="B31" s="4"/>
      <c r="C31" s="3"/>
    </row>
    <row r="32" spans="2:8 16358:16373" x14ac:dyDescent="0.3">
      <c r="B32" s="4"/>
      <c r="C32" s="5"/>
    </row>
    <row r="33" spans="2:3" ht="15.75" thickBot="1" x14ac:dyDescent="0.35">
      <c r="B33" s="6"/>
      <c r="C33" s="7"/>
    </row>
    <row r="34" spans="2:3" x14ac:dyDescent="0.3">
      <c r="B34" s="4"/>
      <c r="C34" s="3"/>
    </row>
    <row r="35" spans="2:3" x14ac:dyDescent="0.3">
      <c r="B35" s="4"/>
      <c r="C35" s="5"/>
    </row>
    <row r="36" spans="2:3" ht="15.75" thickBot="1" x14ac:dyDescent="0.35">
      <c r="B36" s="6"/>
      <c r="C36" s="7"/>
    </row>
  </sheetData>
  <mergeCells count="12">
    <mergeCell ref="XEN7:XEO9"/>
    <mergeCell ref="XER7:XES9"/>
    <mergeCell ref="XEJ7:XEK9"/>
    <mergeCell ref="B6:C7"/>
    <mergeCell ref="E7:F8"/>
    <mergeCell ref="L7:M9"/>
    <mergeCell ref="E19:F21"/>
    <mergeCell ref="B2:F2"/>
    <mergeCell ref="XED7:XEE9"/>
    <mergeCell ref="XEG7:XEH9"/>
    <mergeCell ref="I7:J9"/>
    <mergeCell ref="I2:M2"/>
  </mergeCells>
  <phoneticPr fontId="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W81"/>
  <sheetViews>
    <sheetView showGridLines="0" zoomScale="85" zoomScaleNormal="85" workbookViewId="0">
      <selection activeCell="J27" sqref="J27"/>
    </sheetView>
  </sheetViews>
  <sheetFormatPr defaultColWidth="0" defaultRowHeight="12.75" zeroHeight="1" x14ac:dyDescent="0.2"/>
  <cols>
    <col min="1" max="1" width="8.85546875" style="416" customWidth="1"/>
    <col min="2" max="2" width="8.85546875" style="415" customWidth="1"/>
    <col min="3" max="3" width="2.5703125" style="415" customWidth="1"/>
    <col min="4" max="23" width="8.85546875" style="416" customWidth="1"/>
    <col min="24" max="16384" width="8.85546875" style="416" hidden="1"/>
  </cols>
  <sheetData>
    <row r="1" spans="2:22" ht="13.5" thickBot="1" x14ac:dyDescent="0.25"/>
    <row r="2" spans="2:22" ht="56.1" customHeight="1" thickBot="1" x14ac:dyDescent="0.25">
      <c r="B2" s="742" t="s">
        <v>606</v>
      </c>
      <c r="C2" s="743"/>
      <c r="D2" s="743"/>
      <c r="E2" s="743"/>
      <c r="F2" s="743"/>
      <c r="G2" s="743"/>
      <c r="H2" s="743"/>
      <c r="I2" s="743"/>
      <c r="J2" s="743"/>
      <c r="K2" s="743"/>
      <c r="L2" s="743"/>
      <c r="M2" s="743"/>
      <c r="N2" s="743"/>
      <c r="O2" s="743"/>
      <c r="P2" s="743"/>
      <c r="Q2" s="743"/>
      <c r="R2" s="744"/>
      <c r="S2" s="523"/>
      <c r="T2" s="524"/>
      <c r="U2" s="524"/>
      <c r="V2" s="525"/>
    </row>
    <row r="3" spans="2:22" ht="13.5" thickBot="1" x14ac:dyDescent="0.25"/>
    <row r="4" spans="2:22" ht="15.75" x14ac:dyDescent="0.25">
      <c r="B4" s="745" t="s">
        <v>615</v>
      </c>
      <c r="C4" s="402"/>
      <c r="D4" s="403"/>
      <c r="E4" s="403"/>
      <c r="F4" s="403"/>
      <c r="G4" s="403"/>
      <c r="H4" s="403"/>
      <c r="I4" s="403"/>
      <c r="J4" s="403"/>
      <c r="K4" s="403"/>
      <c r="L4" s="403"/>
      <c r="M4" s="403"/>
      <c r="N4" s="403"/>
      <c r="O4" s="403"/>
      <c r="P4" s="403"/>
      <c r="Q4" s="403"/>
      <c r="R4" s="403"/>
      <c r="S4" s="403"/>
      <c r="T4" s="403"/>
      <c r="U4" s="403"/>
      <c r="V4" s="404"/>
    </row>
    <row r="5" spans="2:22" ht="16.5" thickBot="1" x14ac:dyDescent="0.3">
      <c r="B5" s="746"/>
      <c r="C5" s="405"/>
      <c r="D5" s="406"/>
      <c r="E5" s="406"/>
      <c r="F5" s="406"/>
      <c r="G5" s="406"/>
      <c r="H5" s="406"/>
      <c r="I5" s="406"/>
      <c r="J5" s="406"/>
      <c r="K5" s="406"/>
      <c r="L5" s="406"/>
      <c r="M5" s="406"/>
      <c r="N5" s="406"/>
      <c r="O5" s="406"/>
      <c r="P5" s="406"/>
      <c r="Q5" s="406"/>
      <c r="R5" s="406"/>
      <c r="S5" s="406"/>
      <c r="T5" s="406"/>
      <c r="U5" s="406"/>
      <c r="V5" s="407"/>
    </row>
    <row r="6" spans="2:22" ht="15.75" x14ac:dyDescent="0.25">
      <c r="B6" s="408">
        <v>1</v>
      </c>
      <c r="C6" s="409"/>
      <c r="D6" s="410" t="s">
        <v>607</v>
      </c>
      <c r="E6" s="410"/>
      <c r="F6" s="410"/>
      <c r="G6" s="410"/>
      <c r="H6" s="410"/>
      <c r="I6" s="410"/>
      <c r="J6" s="410"/>
      <c r="K6" s="410"/>
      <c r="L6" s="410"/>
      <c r="M6" s="410"/>
      <c r="N6" s="410"/>
      <c r="O6" s="410"/>
      <c r="P6" s="410"/>
      <c r="Q6" s="410"/>
      <c r="R6" s="410"/>
      <c r="S6" s="410"/>
      <c r="T6" s="410"/>
      <c r="U6" s="410"/>
      <c r="V6" s="411"/>
    </row>
    <row r="7" spans="2:22" ht="15.75" x14ac:dyDescent="0.25">
      <c r="B7" s="408"/>
      <c r="C7" s="409"/>
      <c r="D7" s="410"/>
      <c r="E7" s="410"/>
      <c r="F7" s="410"/>
      <c r="G7" s="410"/>
      <c r="H7" s="410"/>
      <c r="I7" s="410"/>
      <c r="J7" s="410"/>
      <c r="K7" s="410"/>
      <c r="L7" s="410"/>
      <c r="M7" s="410"/>
      <c r="N7" s="410"/>
      <c r="O7" s="410"/>
      <c r="P7" s="410"/>
      <c r="Q7" s="410"/>
      <c r="R7" s="410"/>
      <c r="S7" s="410"/>
      <c r="T7" s="410"/>
      <c r="U7" s="410"/>
      <c r="V7" s="411"/>
    </row>
    <row r="8" spans="2:22" ht="15.75" x14ac:dyDescent="0.25">
      <c r="B8" s="408"/>
      <c r="C8" s="409"/>
      <c r="D8" s="410"/>
      <c r="E8" s="410"/>
      <c r="F8" s="410"/>
      <c r="G8" s="410"/>
      <c r="H8" s="410"/>
      <c r="I8" s="410"/>
      <c r="J8" s="410"/>
      <c r="K8" s="410"/>
      <c r="L8" s="410"/>
      <c r="M8" s="410"/>
      <c r="N8" s="410"/>
      <c r="O8" s="410"/>
      <c r="P8" s="410"/>
      <c r="Q8" s="410"/>
      <c r="R8" s="410"/>
      <c r="S8" s="410"/>
      <c r="T8" s="410"/>
      <c r="U8" s="410"/>
      <c r="V8" s="411"/>
    </row>
    <row r="9" spans="2:22" ht="15.75" x14ac:dyDescent="0.25">
      <c r="B9" s="408"/>
      <c r="C9" s="409"/>
      <c r="D9" s="410"/>
      <c r="E9" s="410"/>
      <c r="F9" s="410"/>
      <c r="G9" s="410"/>
      <c r="H9" s="410"/>
      <c r="I9" s="410"/>
      <c r="J9" s="410"/>
      <c r="K9" s="410"/>
      <c r="L9" s="410"/>
      <c r="M9" s="410"/>
      <c r="N9" s="410"/>
      <c r="O9" s="410"/>
      <c r="P9" s="410"/>
      <c r="Q9" s="410"/>
      <c r="R9" s="410"/>
      <c r="S9" s="410"/>
      <c r="T9" s="410"/>
      <c r="U9" s="410"/>
      <c r="V9" s="411"/>
    </row>
    <row r="10" spans="2:22" ht="15.75" x14ac:dyDescent="0.25">
      <c r="B10" s="408"/>
      <c r="C10" s="409"/>
      <c r="D10" s="410"/>
      <c r="E10" s="410"/>
      <c r="F10" s="410"/>
      <c r="G10" s="410"/>
      <c r="H10" s="410"/>
      <c r="I10" s="410"/>
      <c r="J10" s="410"/>
      <c r="K10" s="410"/>
      <c r="L10" s="410"/>
      <c r="M10" s="410"/>
      <c r="N10" s="410"/>
      <c r="O10" s="410"/>
      <c r="P10" s="410"/>
      <c r="Q10" s="410"/>
      <c r="R10" s="410"/>
      <c r="S10" s="410"/>
      <c r="T10" s="410"/>
      <c r="U10" s="410"/>
      <c r="V10" s="411"/>
    </row>
    <row r="11" spans="2:22" ht="15.75" x14ac:dyDescent="0.25">
      <c r="B11" s="408"/>
      <c r="C11" s="409"/>
      <c r="D11" s="410"/>
      <c r="E11" s="410"/>
      <c r="F11" s="410"/>
      <c r="G11" s="410"/>
      <c r="H11" s="410"/>
      <c r="I11" s="410"/>
      <c r="J11" s="410"/>
      <c r="K11" s="410"/>
      <c r="L11" s="410"/>
      <c r="M11" s="410"/>
      <c r="N11" s="410"/>
      <c r="O11" s="410"/>
      <c r="P11" s="410"/>
      <c r="Q11" s="410"/>
      <c r="R11" s="410"/>
      <c r="S11" s="410"/>
      <c r="T11" s="410"/>
      <c r="U11" s="410"/>
      <c r="V11" s="411"/>
    </row>
    <row r="12" spans="2:22" ht="15.75" x14ac:dyDescent="0.25">
      <c r="B12" s="408"/>
      <c r="C12" s="409"/>
      <c r="D12" s="410"/>
      <c r="E12" s="410"/>
      <c r="F12" s="410"/>
      <c r="G12" s="410"/>
      <c r="H12" s="410"/>
      <c r="I12" s="410"/>
      <c r="J12" s="410"/>
      <c r="K12" s="410"/>
      <c r="L12" s="410"/>
      <c r="M12" s="410"/>
      <c r="N12" s="410"/>
      <c r="O12" s="410"/>
      <c r="P12" s="410"/>
      <c r="Q12" s="410"/>
      <c r="R12" s="410"/>
      <c r="S12" s="410"/>
      <c r="T12" s="410"/>
      <c r="U12" s="410"/>
      <c r="V12" s="411"/>
    </row>
    <row r="13" spans="2:22" ht="15.75" x14ac:dyDescent="0.25">
      <c r="B13" s="408"/>
      <c r="C13" s="409"/>
      <c r="D13" s="410"/>
      <c r="E13" s="410"/>
      <c r="F13" s="410"/>
      <c r="G13" s="410"/>
      <c r="H13" s="410"/>
      <c r="I13" s="410"/>
      <c r="J13" s="410"/>
      <c r="K13" s="410"/>
      <c r="L13" s="410"/>
      <c r="M13" s="410"/>
      <c r="N13" s="410"/>
      <c r="O13" s="410"/>
      <c r="P13" s="410"/>
      <c r="Q13" s="410"/>
      <c r="R13" s="410"/>
      <c r="S13" s="410"/>
      <c r="T13" s="410"/>
      <c r="U13" s="410"/>
      <c r="V13" s="411"/>
    </row>
    <row r="14" spans="2:22" ht="16.5" thickBot="1" x14ac:dyDescent="0.3">
      <c r="B14" s="412"/>
      <c r="C14" s="413"/>
      <c r="D14" s="406"/>
      <c r="E14" s="406"/>
      <c r="F14" s="406"/>
      <c r="G14" s="406"/>
      <c r="H14" s="406"/>
      <c r="I14" s="406"/>
      <c r="J14" s="406"/>
      <c r="K14" s="406"/>
      <c r="L14" s="406"/>
      <c r="M14" s="406"/>
      <c r="N14" s="406"/>
      <c r="O14" s="406"/>
      <c r="P14" s="406"/>
      <c r="Q14" s="406"/>
      <c r="R14" s="406"/>
      <c r="S14" s="406"/>
      <c r="T14" s="406"/>
      <c r="U14" s="406"/>
      <c r="V14" s="407"/>
    </row>
    <row r="15" spans="2:22" ht="15.75" x14ac:dyDescent="0.25">
      <c r="B15" s="408">
        <v>2</v>
      </c>
      <c r="C15" s="409"/>
      <c r="D15" s="410" t="s">
        <v>608</v>
      </c>
      <c r="E15" s="410"/>
      <c r="F15" s="410"/>
      <c r="G15" s="410"/>
      <c r="H15" s="410"/>
      <c r="I15" s="410"/>
      <c r="J15" s="410"/>
      <c r="K15" s="410"/>
      <c r="L15" s="410"/>
      <c r="M15" s="410"/>
      <c r="N15" s="410"/>
      <c r="O15" s="410"/>
      <c r="P15" s="410"/>
      <c r="Q15" s="410"/>
      <c r="R15" s="410"/>
      <c r="S15" s="410"/>
      <c r="T15" s="410"/>
      <c r="U15" s="410"/>
      <c r="V15" s="411"/>
    </row>
    <row r="16" spans="2:22" ht="15.75" x14ac:dyDescent="0.25">
      <c r="B16" s="408"/>
      <c r="C16" s="409"/>
      <c r="D16" s="410"/>
      <c r="E16" s="410"/>
      <c r="F16" s="410"/>
      <c r="G16" s="410"/>
      <c r="H16" s="410"/>
      <c r="I16" s="410"/>
      <c r="J16" s="410"/>
      <c r="K16" s="410"/>
      <c r="L16" s="410"/>
      <c r="M16" s="410"/>
      <c r="N16" s="410"/>
      <c r="O16" s="410"/>
      <c r="P16" s="410"/>
      <c r="Q16" s="410"/>
      <c r="R16" s="410"/>
      <c r="S16" s="410"/>
      <c r="T16" s="410"/>
      <c r="U16" s="410"/>
      <c r="V16" s="411"/>
    </row>
    <row r="17" spans="2:22" ht="15.75" x14ac:dyDescent="0.25">
      <c r="B17" s="408"/>
      <c r="C17" s="409"/>
      <c r="D17" s="410"/>
      <c r="E17" s="410"/>
      <c r="F17" s="410"/>
      <c r="G17" s="410"/>
      <c r="H17" s="410"/>
      <c r="I17" s="410"/>
      <c r="J17" s="410"/>
      <c r="K17" s="410"/>
      <c r="L17" s="410"/>
      <c r="M17" s="410"/>
      <c r="N17" s="410"/>
      <c r="O17" s="410"/>
      <c r="P17" s="410"/>
      <c r="Q17" s="410"/>
      <c r="R17" s="410"/>
      <c r="S17" s="410"/>
      <c r="T17" s="410"/>
      <c r="U17" s="410"/>
      <c r="V17" s="411"/>
    </row>
    <row r="18" spans="2:22" ht="15.75" x14ac:dyDescent="0.25">
      <c r="B18" s="408"/>
      <c r="C18" s="409"/>
      <c r="D18" s="410"/>
      <c r="E18" s="410"/>
      <c r="F18" s="410"/>
      <c r="G18" s="410"/>
      <c r="H18" s="410"/>
      <c r="I18" s="410"/>
      <c r="J18" s="410"/>
      <c r="K18" s="410"/>
      <c r="L18" s="410"/>
      <c r="M18" s="410"/>
      <c r="N18" s="410"/>
      <c r="O18" s="410"/>
      <c r="P18" s="410"/>
      <c r="Q18" s="410"/>
      <c r="R18" s="410"/>
      <c r="S18" s="410"/>
      <c r="T18" s="410"/>
      <c r="U18" s="410"/>
      <c r="V18" s="411"/>
    </row>
    <row r="19" spans="2:22" ht="15.75" x14ac:dyDescent="0.25">
      <c r="B19" s="408"/>
      <c r="C19" s="409"/>
      <c r="D19" s="410"/>
      <c r="E19" s="410"/>
      <c r="F19" s="410"/>
      <c r="G19" s="410"/>
      <c r="H19" s="410"/>
      <c r="I19" s="410"/>
      <c r="J19" s="410"/>
      <c r="K19" s="410"/>
      <c r="L19" s="410"/>
      <c r="M19" s="410"/>
      <c r="N19" s="410"/>
      <c r="O19" s="410"/>
      <c r="P19" s="410"/>
      <c r="Q19" s="410"/>
      <c r="R19" s="410"/>
      <c r="S19" s="410"/>
      <c r="T19" s="410"/>
      <c r="U19" s="410"/>
      <c r="V19" s="411"/>
    </row>
    <row r="20" spans="2:22" ht="15.75" x14ac:dyDescent="0.25">
      <c r="B20" s="408"/>
      <c r="C20" s="409"/>
      <c r="D20" s="410"/>
      <c r="E20" s="410"/>
      <c r="F20" s="410"/>
      <c r="G20" s="410"/>
      <c r="H20" s="410"/>
      <c r="I20" s="410"/>
      <c r="J20" s="410"/>
      <c r="K20" s="410"/>
      <c r="L20" s="410"/>
      <c r="M20" s="410"/>
      <c r="N20" s="410"/>
      <c r="O20" s="410"/>
      <c r="P20" s="410"/>
      <c r="Q20" s="410"/>
      <c r="R20" s="410"/>
      <c r="S20" s="410"/>
      <c r="T20" s="410"/>
      <c r="U20" s="410"/>
      <c r="V20" s="411"/>
    </row>
    <row r="21" spans="2:22" ht="15.75" x14ac:dyDescent="0.25">
      <c r="B21" s="408"/>
      <c r="C21" s="409"/>
      <c r="D21" s="410"/>
      <c r="E21" s="410"/>
      <c r="F21" s="410"/>
      <c r="G21" s="410"/>
      <c r="H21" s="410"/>
      <c r="I21" s="410"/>
      <c r="J21" s="410"/>
      <c r="K21" s="410"/>
      <c r="L21" s="410"/>
      <c r="M21" s="410"/>
      <c r="N21" s="410"/>
      <c r="O21" s="410"/>
      <c r="P21" s="410"/>
      <c r="Q21" s="410"/>
      <c r="R21" s="410"/>
      <c r="S21" s="410"/>
      <c r="T21" s="410"/>
      <c r="U21" s="410"/>
      <c r="V21" s="411"/>
    </row>
    <row r="22" spans="2:22" ht="15.75" x14ac:dyDescent="0.25">
      <c r="B22" s="408"/>
      <c r="C22" s="409"/>
      <c r="D22" s="410"/>
      <c r="E22" s="410"/>
      <c r="F22" s="410"/>
      <c r="G22" s="410"/>
      <c r="H22" s="410"/>
      <c r="I22" s="410"/>
      <c r="J22" s="410"/>
      <c r="K22" s="410"/>
      <c r="L22" s="410"/>
      <c r="M22" s="410"/>
      <c r="N22" s="410"/>
      <c r="O22" s="410"/>
      <c r="P22" s="410"/>
      <c r="Q22" s="410"/>
      <c r="R22" s="410"/>
      <c r="S22" s="410"/>
      <c r="T22" s="410"/>
      <c r="U22" s="410"/>
      <c r="V22" s="411"/>
    </row>
    <row r="23" spans="2:22" ht="15.75" x14ac:dyDescent="0.25">
      <c r="B23" s="408"/>
      <c r="C23" s="409"/>
      <c r="D23" s="410"/>
      <c r="E23" s="410"/>
      <c r="F23" s="410"/>
      <c r="G23" s="410"/>
      <c r="H23" s="410"/>
      <c r="I23" s="410"/>
      <c r="J23" s="410"/>
      <c r="K23" s="410"/>
      <c r="L23" s="410"/>
      <c r="M23" s="410"/>
      <c r="N23" s="410"/>
      <c r="O23" s="410"/>
      <c r="P23" s="410"/>
      <c r="Q23" s="410"/>
      <c r="R23" s="410"/>
      <c r="S23" s="410"/>
      <c r="T23" s="410"/>
      <c r="U23" s="410"/>
      <c r="V23" s="411"/>
    </row>
    <row r="24" spans="2:22" ht="15.75" x14ac:dyDescent="0.25">
      <c r="B24" s="408"/>
      <c r="C24" s="409"/>
      <c r="D24" s="410"/>
      <c r="E24" s="410"/>
      <c r="F24" s="410"/>
      <c r="G24" s="410"/>
      <c r="H24" s="410"/>
      <c r="I24" s="410"/>
      <c r="J24" s="410"/>
      <c r="K24" s="410"/>
      <c r="L24" s="410"/>
      <c r="M24" s="410"/>
      <c r="N24" s="410"/>
      <c r="O24" s="410"/>
      <c r="P24" s="410"/>
      <c r="Q24" s="410"/>
      <c r="R24" s="410"/>
      <c r="S24" s="410"/>
      <c r="T24" s="410"/>
      <c r="U24" s="410"/>
      <c r="V24" s="411"/>
    </row>
    <row r="25" spans="2:22" ht="16.5" thickBot="1" x14ac:dyDescent="0.3">
      <c r="B25" s="412"/>
      <c r="C25" s="413"/>
      <c r="D25" s="406"/>
      <c r="E25" s="406"/>
      <c r="F25" s="406"/>
      <c r="G25" s="406"/>
      <c r="H25" s="406"/>
      <c r="I25" s="406"/>
      <c r="J25" s="406"/>
      <c r="K25" s="406"/>
      <c r="L25" s="406"/>
      <c r="M25" s="406"/>
      <c r="N25" s="406"/>
      <c r="O25" s="406"/>
      <c r="P25" s="406"/>
      <c r="Q25" s="406"/>
      <c r="R25" s="406"/>
      <c r="S25" s="406"/>
      <c r="T25" s="406"/>
      <c r="U25" s="406"/>
      <c r="V25" s="407"/>
    </row>
    <row r="26" spans="2:22" ht="15.75" x14ac:dyDescent="0.25">
      <c r="B26" s="408">
        <v>3</v>
      </c>
      <c r="C26" s="409"/>
      <c r="D26" s="410" t="s">
        <v>609</v>
      </c>
      <c r="E26" s="410"/>
      <c r="F26" s="410"/>
      <c r="G26" s="410"/>
      <c r="H26" s="410"/>
      <c r="I26" s="410"/>
      <c r="J26" s="410"/>
      <c r="K26" s="410"/>
      <c r="L26" s="410"/>
      <c r="M26" s="410"/>
      <c r="N26" s="410"/>
      <c r="O26" s="410"/>
      <c r="P26" s="410"/>
      <c r="Q26" s="410"/>
      <c r="R26" s="410"/>
      <c r="S26" s="410"/>
      <c r="T26" s="410"/>
      <c r="U26" s="410"/>
      <c r="V26" s="411"/>
    </row>
    <row r="27" spans="2:22" ht="15.75" x14ac:dyDescent="0.25">
      <c r="B27" s="408"/>
      <c r="C27" s="409"/>
      <c r="D27" s="410"/>
      <c r="E27" s="410"/>
      <c r="F27" s="410"/>
      <c r="G27" s="410"/>
      <c r="H27" s="410"/>
      <c r="I27" s="410"/>
      <c r="J27" s="410"/>
      <c r="K27" s="410"/>
      <c r="L27" s="410"/>
      <c r="M27" s="410"/>
      <c r="N27" s="410"/>
      <c r="O27" s="410"/>
      <c r="P27" s="410"/>
      <c r="Q27" s="410"/>
      <c r="R27" s="410"/>
      <c r="S27" s="410"/>
      <c r="T27" s="410"/>
      <c r="U27" s="410"/>
      <c r="V27" s="411"/>
    </row>
    <row r="28" spans="2:22" ht="15.75" x14ac:dyDescent="0.25">
      <c r="B28" s="408"/>
      <c r="C28" s="409"/>
      <c r="D28" s="410"/>
      <c r="E28" s="410"/>
      <c r="F28" s="410"/>
      <c r="G28" s="410"/>
      <c r="H28" s="410"/>
      <c r="I28" s="410"/>
      <c r="J28" s="410"/>
      <c r="K28" s="410"/>
      <c r="L28" s="410"/>
      <c r="M28" s="410"/>
      <c r="N28" s="410"/>
      <c r="O28" s="410"/>
      <c r="P28" s="410"/>
      <c r="Q28" s="410"/>
      <c r="R28" s="410"/>
      <c r="S28" s="410"/>
      <c r="T28" s="410"/>
      <c r="U28" s="410"/>
      <c r="V28" s="411"/>
    </row>
    <row r="29" spans="2:22" ht="15.75" x14ac:dyDescent="0.25">
      <c r="B29" s="408"/>
      <c r="C29" s="409"/>
      <c r="D29" s="410"/>
      <c r="E29" s="410"/>
      <c r="F29" s="410"/>
      <c r="G29" s="410"/>
      <c r="H29" s="410"/>
      <c r="I29" s="410"/>
      <c r="J29" s="410"/>
      <c r="K29" s="410"/>
      <c r="L29" s="410"/>
      <c r="M29" s="410"/>
      <c r="N29" s="410"/>
      <c r="O29" s="410"/>
      <c r="P29" s="410"/>
      <c r="Q29" s="410"/>
      <c r="R29" s="410"/>
      <c r="S29" s="410"/>
      <c r="T29" s="410"/>
      <c r="U29" s="410"/>
      <c r="V29" s="411"/>
    </row>
    <row r="30" spans="2:22" ht="15.75" x14ac:dyDescent="0.25">
      <c r="B30" s="408"/>
      <c r="C30" s="409"/>
      <c r="D30" s="410"/>
      <c r="E30" s="410"/>
      <c r="F30" s="410"/>
      <c r="G30" s="410"/>
      <c r="H30" s="410"/>
      <c r="I30" s="410"/>
      <c r="J30" s="410"/>
      <c r="K30" s="410"/>
      <c r="L30" s="410"/>
      <c r="M30" s="410"/>
      <c r="N30" s="410"/>
      <c r="O30" s="410"/>
      <c r="P30" s="410"/>
      <c r="Q30" s="410"/>
      <c r="R30" s="410"/>
      <c r="S30" s="410"/>
      <c r="T30" s="410"/>
      <c r="U30" s="410"/>
      <c r="V30" s="411"/>
    </row>
    <row r="31" spans="2:22" ht="15.75" x14ac:dyDescent="0.25">
      <c r="B31" s="408"/>
      <c r="C31" s="409"/>
      <c r="D31" s="410"/>
      <c r="E31" s="410"/>
      <c r="F31" s="410"/>
      <c r="G31" s="410"/>
      <c r="H31" s="410"/>
      <c r="I31" s="410"/>
      <c r="J31" s="410"/>
      <c r="K31" s="410"/>
      <c r="L31" s="410"/>
      <c r="M31" s="410"/>
      <c r="N31" s="410"/>
      <c r="O31" s="410"/>
      <c r="P31" s="410"/>
      <c r="Q31" s="410"/>
      <c r="R31" s="410"/>
      <c r="S31" s="410"/>
      <c r="T31" s="410"/>
      <c r="U31" s="410"/>
      <c r="V31" s="411"/>
    </row>
    <row r="32" spans="2:22" ht="15.75" x14ac:dyDescent="0.25">
      <c r="B32" s="408"/>
      <c r="C32" s="409"/>
      <c r="D32" s="410"/>
      <c r="E32" s="410"/>
      <c r="F32" s="410"/>
      <c r="G32" s="410"/>
      <c r="H32" s="410"/>
      <c r="I32" s="410"/>
      <c r="J32" s="410"/>
      <c r="K32" s="410"/>
      <c r="L32" s="410"/>
      <c r="M32" s="410"/>
      <c r="N32" s="410"/>
      <c r="O32" s="410"/>
      <c r="P32" s="410"/>
      <c r="Q32" s="410"/>
      <c r="R32" s="410"/>
      <c r="S32" s="410"/>
      <c r="T32" s="410"/>
      <c r="U32" s="410"/>
      <c r="V32" s="411"/>
    </row>
    <row r="33" spans="2:22" ht="15.75" x14ac:dyDescent="0.25">
      <c r="B33" s="408"/>
      <c r="C33" s="409"/>
      <c r="D33" s="410"/>
      <c r="E33" s="410"/>
      <c r="F33" s="410"/>
      <c r="G33" s="410"/>
      <c r="H33" s="410"/>
      <c r="I33" s="410"/>
      <c r="J33" s="410"/>
      <c r="K33" s="410"/>
      <c r="L33" s="410"/>
      <c r="M33" s="410"/>
      <c r="N33" s="410"/>
      <c r="O33" s="410"/>
      <c r="P33" s="410"/>
      <c r="Q33" s="410"/>
      <c r="R33" s="410"/>
      <c r="S33" s="410"/>
      <c r="T33" s="410"/>
      <c r="U33" s="410"/>
      <c r="V33" s="411"/>
    </row>
    <row r="34" spans="2:22" ht="15.75" x14ac:dyDescent="0.25">
      <c r="B34" s="408"/>
      <c r="C34" s="409"/>
      <c r="D34" s="410"/>
      <c r="E34" s="410"/>
      <c r="F34" s="410"/>
      <c r="G34" s="410"/>
      <c r="H34" s="410"/>
      <c r="I34" s="410"/>
      <c r="J34" s="410"/>
      <c r="K34" s="410"/>
      <c r="L34" s="410"/>
      <c r="M34" s="410"/>
      <c r="N34" s="410"/>
      <c r="O34" s="410"/>
      <c r="P34" s="410"/>
      <c r="Q34" s="410"/>
      <c r="R34" s="410"/>
      <c r="S34" s="410"/>
      <c r="T34" s="410"/>
      <c r="U34" s="410"/>
      <c r="V34" s="411"/>
    </row>
    <row r="35" spans="2:22" ht="15.75" x14ac:dyDescent="0.25">
      <c r="B35" s="408"/>
      <c r="C35" s="409"/>
      <c r="D35" s="410"/>
      <c r="E35" s="410"/>
      <c r="F35" s="410"/>
      <c r="G35" s="410"/>
      <c r="H35" s="410"/>
      <c r="I35" s="410"/>
      <c r="J35" s="410"/>
      <c r="K35" s="410"/>
      <c r="L35" s="410"/>
      <c r="M35" s="410"/>
      <c r="N35" s="410"/>
      <c r="O35" s="410"/>
      <c r="P35" s="410"/>
      <c r="Q35" s="410"/>
      <c r="R35" s="410"/>
      <c r="S35" s="410"/>
      <c r="T35" s="410"/>
      <c r="U35" s="410"/>
      <c r="V35" s="411"/>
    </row>
    <row r="36" spans="2:22" ht="16.5" thickBot="1" x14ac:dyDescent="0.3">
      <c r="B36" s="412"/>
      <c r="C36" s="413"/>
      <c r="D36" s="406"/>
      <c r="E36" s="406"/>
      <c r="F36" s="406"/>
      <c r="G36" s="406"/>
      <c r="H36" s="406"/>
      <c r="I36" s="406"/>
      <c r="J36" s="406"/>
      <c r="K36" s="406"/>
      <c r="L36" s="406"/>
      <c r="M36" s="406"/>
      <c r="N36" s="406"/>
      <c r="O36" s="406"/>
      <c r="P36" s="406"/>
      <c r="Q36" s="406"/>
      <c r="R36" s="406"/>
      <c r="S36" s="406"/>
      <c r="T36" s="406"/>
      <c r="U36" s="406"/>
      <c r="V36" s="407"/>
    </row>
    <row r="37" spans="2:22" ht="15.75" x14ac:dyDescent="0.25">
      <c r="B37" s="408">
        <v>4</v>
      </c>
      <c r="C37" s="409"/>
      <c r="D37" s="410" t="s">
        <v>610</v>
      </c>
      <c r="E37" s="410"/>
      <c r="F37" s="410"/>
      <c r="G37" s="410"/>
      <c r="H37" s="410"/>
      <c r="I37" s="410"/>
      <c r="J37" s="410"/>
      <c r="K37" s="410"/>
      <c r="L37" s="410"/>
      <c r="M37" s="410"/>
      <c r="N37" s="410"/>
      <c r="O37" s="410"/>
      <c r="P37" s="410"/>
      <c r="Q37" s="410"/>
      <c r="R37" s="410"/>
      <c r="S37" s="410"/>
      <c r="T37" s="410"/>
      <c r="U37" s="410"/>
      <c r="V37" s="411"/>
    </row>
    <row r="38" spans="2:22" ht="16.5" thickBot="1" x14ac:dyDescent="0.3">
      <c r="B38" s="412"/>
      <c r="C38" s="413"/>
      <c r="D38" s="406"/>
      <c r="E38" s="406"/>
      <c r="F38" s="406"/>
      <c r="G38" s="406"/>
      <c r="H38" s="406"/>
      <c r="I38" s="406"/>
      <c r="J38" s="406"/>
      <c r="K38" s="406"/>
      <c r="L38" s="406"/>
      <c r="M38" s="406"/>
      <c r="N38" s="406"/>
      <c r="O38" s="406"/>
      <c r="P38" s="406"/>
      <c r="Q38" s="406"/>
      <c r="R38" s="406"/>
      <c r="S38" s="406"/>
      <c r="T38" s="406"/>
      <c r="U38" s="406"/>
      <c r="V38" s="407"/>
    </row>
    <row r="39" spans="2:22" ht="15.75" x14ac:dyDescent="0.25">
      <c r="B39" s="408">
        <v>5</v>
      </c>
      <c r="C39" s="409"/>
      <c r="D39" s="410" t="s">
        <v>611</v>
      </c>
      <c r="E39" s="410"/>
      <c r="F39" s="410"/>
      <c r="G39" s="410"/>
      <c r="H39" s="410"/>
      <c r="I39" s="410"/>
      <c r="J39" s="410"/>
      <c r="K39" s="410"/>
      <c r="L39" s="410"/>
      <c r="M39" s="410"/>
      <c r="N39" s="410"/>
      <c r="O39" s="410"/>
      <c r="P39" s="410"/>
      <c r="Q39" s="410"/>
      <c r="R39" s="410"/>
      <c r="S39" s="410"/>
      <c r="T39" s="410"/>
      <c r="U39" s="410"/>
      <c r="V39" s="411"/>
    </row>
    <row r="40" spans="2:22" ht="16.5" thickBot="1" x14ac:dyDescent="0.3">
      <c r="B40" s="412"/>
      <c r="C40" s="413"/>
      <c r="D40" s="406"/>
      <c r="E40" s="406"/>
      <c r="F40" s="406"/>
      <c r="G40" s="406"/>
      <c r="H40" s="406"/>
      <c r="I40" s="406"/>
      <c r="J40" s="406"/>
      <c r="K40" s="406"/>
      <c r="L40" s="406"/>
      <c r="M40" s="406"/>
      <c r="N40" s="406"/>
      <c r="O40" s="406"/>
      <c r="P40" s="406"/>
      <c r="Q40" s="406"/>
      <c r="R40" s="406"/>
      <c r="S40" s="406"/>
      <c r="T40" s="406"/>
      <c r="U40" s="406"/>
      <c r="V40" s="407"/>
    </row>
    <row r="41" spans="2:22" ht="15.75" x14ac:dyDescent="0.25">
      <c r="B41" s="408">
        <v>6</v>
      </c>
      <c r="C41" s="409"/>
      <c r="D41" s="410" t="s">
        <v>612</v>
      </c>
      <c r="E41" s="410"/>
      <c r="F41" s="410"/>
      <c r="G41" s="410"/>
      <c r="H41" s="410"/>
      <c r="I41" s="410"/>
      <c r="J41" s="410"/>
      <c r="K41" s="410"/>
      <c r="L41" s="410"/>
      <c r="M41" s="410"/>
      <c r="N41" s="410"/>
      <c r="O41" s="410"/>
      <c r="P41" s="410"/>
      <c r="Q41" s="410"/>
      <c r="R41" s="410"/>
      <c r="S41" s="410"/>
      <c r="T41" s="410"/>
      <c r="U41" s="410"/>
      <c r="V41" s="411"/>
    </row>
    <row r="42" spans="2:22" ht="15.75" x14ac:dyDescent="0.25">
      <c r="B42" s="408"/>
      <c r="C42" s="409"/>
      <c r="D42" s="410"/>
      <c r="E42" s="410"/>
      <c r="F42" s="410"/>
      <c r="G42" s="410"/>
      <c r="H42" s="410"/>
      <c r="I42" s="410"/>
      <c r="J42" s="410"/>
      <c r="K42" s="410"/>
      <c r="L42" s="410"/>
      <c r="M42" s="410"/>
      <c r="N42" s="410"/>
      <c r="O42" s="410"/>
      <c r="P42" s="410"/>
      <c r="Q42" s="410"/>
      <c r="R42" s="410"/>
      <c r="S42" s="410"/>
      <c r="T42" s="410"/>
      <c r="U42" s="410"/>
      <c r="V42" s="411"/>
    </row>
    <row r="43" spans="2:22" ht="15.75" x14ac:dyDescent="0.25">
      <c r="B43" s="408"/>
      <c r="C43" s="409"/>
      <c r="D43" s="410"/>
      <c r="E43" s="410"/>
      <c r="F43" s="410"/>
      <c r="G43" s="410"/>
      <c r="H43" s="410"/>
      <c r="I43" s="410"/>
      <c r="J43" s="410"/>
      <c r="K43" s="410"/>
      <c r="L43" s="410"/>
      <c r="M43" s="410"/>
      <c r="N43" s="410"/>
      <c r="O43" s="410"/>
      <c r="P43" s="410"/>
      <c r="Q43" s="410"/>
      <c r="R43" s="410"/>
      <c r="S43" s="410"/>
      <c r="T43" s="410"/>
      <c r="U43" s="410"/>
      <c r="V43" s="411"/>
    </row>
    <row r="44" spans="2:22" ht="15.75" x14ac:dyDescent="0.25">
      <c r="B44" s="408"/>
      <c r="C44" s="409"/>
      <c r="D44" s="410"/>
      <c r="E44" s="410"/>
      <c r="F44" s="410"/>
      <c r="G44" s="410"/>
      <c r="H44" s="410"/>
      <c r="I44" s="410"/>
      <c r="J44" s="410"/>
      <c r="K44" s="410"/>
      <c r="L44" s="410"/>
      <c r="M44" s="410"/>
      <c r="N44" s="410"/>
      <c r="O44" s="410"/>
      <c r="P44" s="410"/>
      <c r="Q44" s="410"/>
      <c r="R44" s="410"/>
      <c r="S44" s="410"/>
      <c r="T44" s="410"/>
      <c r="U44" s="410"/>
      <c r="V44" s="411"/>
    </row>
    <row r="45" spans="2:22" ht="15.75" x14ac:dyDescent="0.25">
      <c r="B45" s="408"/>
      <c r="C45" s="409"/>
      <c r="D45" s="410"/>
      <c r="E45" s="410"/>
      <c r="F45" s="410"/>
      <c r="G45" s="410"/>
      <c r="H45" s="410"/>
      <c r="I45" s="410"/>
      <c r="J45" s="410"/>
      <c r="K45" s="410"/>
      <c r="L45" s="410"/>
      <c r="M45" s="410"/>
      <c r="N45" s="410"/>
      <c r="O45" s="410"/>
      <c r="P45" s="410"/>
      <c r="Q45" s="410"/>
      <c r="R45" s="410"/>
      <c r="S45" s="410"/>
      <c r="T45" s="410"/>
      <c r="U45" s="410"/>
      <c r="V45" s="411"/>
    </row>
    <row r="46" spans="2:22" ht="15.75" x14ac:dyDescent="0.25">
      <c r="B46" s="408"/>
      <c r="C46" s="409"/>
      <c r="D46" s="410"/>
      <c r="E46" s="410"/>
      <c r="F46" s="410"/>
      <c r="G46" s="410"/>
      <c r="H46" s="410"/>
      <c r="I46" s="410"/>
      <c r="J46" s="410"/>
      <c r="K46" s="410"/>
      <c r="L46" s="410"/>
      <c r="M46" s="410"/>
      <c r="N46" s="410"/>
      <c r="O46" s="410"/>
      <c r="P46" s="410"/>
      <c r="Q46" s="410"/>
      <c r="R46" s="410"/>
      <c r="S46" s="410"/>
      <c r="T46" s="410"/>
      <c r="U46" s="410"/>
      <c r="V46" s="411"/>
    </row>
    <row r="47" spans="2:22" ht="15.75" x14ac:dyDescent="0.25">
      <c r="B47" s="408"/>
      <c r="C47" s="409"/>
      <c r="D47" s="410"/>
      <c r="E47" s="410"/>
      <c r="F47" s="410"/>
      <c r="G47" s="410"/>
      <c r="H47" s="410"/>
      <c r="I47" s="410"/>
      <c r="J47" s="410"/>
      <c r="K47" s="410"/>
      <c r="L47" s="410"/>
      <c r="M47" s="410"/>
      <c r="N47" s="410"/>
      <c r="O47" s="410"/>
      <c r="P47" s="410"/>
      <c r="Q47" s="410"/>
      <c r="R47" s="410"/>
      <c r="S47" s="410"/>
      <c r="T47" s="410"/>
      <c r="U47" s="410"/>
      <c r="V47" s="411"/>
    </row>
    <row r="48" spans="2:22" ht="15.75" x14ac:dyDescent="0.25">
      <c r="B48" s="408"/>
      <c r="C48" s="409"/>
      <c r="D48" s="410"/>
      <c r="E48" s="410"/>
      <c r="F48" s="410"/>
      <c r="G48" s="410"/>
      <c r="H48" s="410"/>
      <c r="I48" s="410"/>
      <c r="J48" s="410"/>
      <c r="K48" s="410"/>
      <c r="L48" s="410"/>
      <c r="M48" s="410"/>
      <c r="N48" s="410"/>
      <c r="O48" s="410"/>
      <c r="P48" s="410"/>
      <c r="Q48" s="410"/>
      <c r="R48" s="410"/>
      <c r="S48" s="410"/>
      <c r="T48" s="410"/>
      <c r="U48" s="410"/>
      <c r="V48" s="411"/>
    </row>
    <row r="49" spans="2:22" ht="15.75" x14ac:dyDescent="0.25">
      <c r="B49" s="408"/>
      <c r="C49" s="409"/>
      <c r="D49" s="410"/>
      <c r="E49" s="410"/>
      <c r="F49" s="410"/>
      <c r="G49" s="410"/>
      <c r="H49" s="410"/>
      <c r="I49" s="410"/>
      <c r="J49" s="410"/>
      <c r="K49" s="410"/>
      <c r="L49" s="410"/>
      <c r="M49" s="410"/>
      <c r="N49" s="410"/>
      <c r="O49" s="410"/>
      <c r="P49" s="410"/>
      <c r="Q49" s="410"/>
      <c r="R49" s="410"/>
      <c r="S49" s="410"/>
      <c r="T49" s="410"/>
      <c r="U49" s="410"/>
      <c r="V49" s="411"/>
    </row>
    <row r="50" spans="2:22" ht="15.75" x14ac:dyDescent="0.25">
      <c r="B50" s="408"/>
      <c r="C50" s="409"/>
      <c r="D50" s="410"/>
      <c r="E50" s="410"/>
      <c r="F50" s="410"/>
      <c r="G50" s="410"/>
      <c r="H50" s="410"/>
      <c r="I50" s="410"/>
      <c r="J50" s="410"/>
      <c r="K50" s="410"/>
      <c r="L50" s="410"/>
      <c r="M50" s="410"/>
      <c r="N50" s="410"/>
      <c r="O50" s="410"/>
      <c r="P50" s="410"/>
      <c r="Q50" s="410"/>
      <c r="R50" s="410"/>
      <c r="S50" s="410"/>
      <c r="T50" s="410"/>
      <c r="U50" s="410"/>
      <c r="V50" s="411"/>
    </row>
    <row r="51" spans="2:22" ht="16.5" thickBot="1" x14ac:dyDescent="0.3">
      <c r="B51" s="412"/>
      <c r="C51" s="413"/>
      <c r="D51" s="406"/>
      <c r="E51" s="406"/>
      <c r="F51" s="406"/>
      <c r="G51" s="406"/>
      <c r="H51" s="406"/>
      <c r="I51" s="406"/>
      <c r="J51" s="406"/>
      <c r="K51" s="406"/>
      <c r="L51" s="406"/>
      <c r="M51" s="406"/>
      <c r="N51" s="406"/>
      <c r="O51" s="406"/>
      <c r="P51" s="406"/>
      <c r="Q51" s="406"/>
      <c r="R51" s="406"/>
      <c r="S51" s="406"/>
      <c r="T51" s="406"/>
      <c r="U51" s="406"/>
      <c r="V51" s="407"/>
    </row>
    <row r="52" spans="2:22" ht="15.75" x14ac:dyDescent="0.25">
      <c r="B52" s="408">
        <v>7</v>
      </c>
      <c r="C52" s="409"/>
      <c r="D52" s="410" t="s">
        <v>613</v>
      </c>
      <c r="E52" s="410"/>
      <c r="F52" s="410"/>
      <c r="G52" s="410"/>
      <c r="H52" s="410"/>
      <c r="I52" s="410"/>
      <c r="J52" s="410"/>
      <c r="K52" s="410"/>
      <c r="L52" s="410"/>
      <c r="M52" s="410"/>
      <c r="N52" s="410"/>
      <c r="O52" s="410"/>
      <c r="P52" s="410"/>
      <c r="Q52" s="410"/>
      <c r="R52" s="410"/>
      <c r="S52" s="410"/>
      <c r="T52" s="410"/>
      <c r="U52" s="410"/>
      <c r="V52" s="411"/>
    </row>
    <row r="53" spans="2:22" ht="15.75" x14ac:dyDescent="0.25">
      <c r="B53" s="408"/>
      <c r="C53" s="409"/>
      <c r="D53" s="410"/>
      <c r="E53" s="410"/>
      <c r="F53" s="410"/>
      <c r="G53" s="410"/>
      <c r="H53" s="410"/>
      <c r="I53" s="410"/>
      <c r="J53" s="410"/>
      <c r="K53" s="410"/>
      <c r="L53" s="410"/>
      <c r="M53" s="410"/>
      <c r="N53" s="410"/>
      <c r="O53" s="410"/>
      <c r="P53" s="410"/>
      <c r="Q53" s="410"/>
      <c r="R53" s="410"/>
      <c r="S53" s="410"/>
      <c r="T53" s="410"/>
      <c r="U53" s="410"/>
      <c r="V53" s="411"/>
    </row>
    <row r="54" spans="2:22" ht="15.75" x14ac:dyDescent="0.25">
      <c r="B54" s="408"/>
      <c r="C54" s="409"/>
      <c r="D54" s="410"/>
      <c r="E54" s="410"/>
      <c r="F54" s="410"/>
      <c r="G54" s="410"/>
      <c r="H54" s="410"/>
      <c r="I54" s="410"/>
      <c r="J54" s="410"/>
      <c r="K54" s="410"/>
      <c r="L54" s="410"/>
      <c r="M54" s="410"/>
      <c r="N54" s="410"/>
      <c r="O54" s="410"/>
      <c r="P54" s="410"/>
      <c r="Q54" s="410"/>
      <c r="R54" s="410"/>
      <c r="S54" s="410"/>
      <c r="T54" s="410"/>
      <c r="U54" s="410"/>
      <c r="V54" s="411"/>
    </row>
    <row r="55" spans="2:22" ht="15.75" x14ac:dyDescent="0.25">
      <c r="B55" s="408"/>
      <c r="C55" s="409"/>
      <c r="D55" s="410"/>
      <c r="E55" s="410"/>
      <c r="F55" s="410"/>
      <c r="G55" s="410"/>
      <c r="H55" s="410"/>
      <c r="I55" s="410"/>
      <c r="J55" s="410"/>
      <c r="K55" s="410"/>
      <c r="L55" s="410"/>
      <c r="M55" s="410"/>
      <c r="N55" s="410"/>
      <c r="O55" s="410"/>
      <c r="P55" s="410"/>
      <c r="Q55" s="410"/>
      <c r="R55" s="410"/>
      <c r="S55" s="410"/>
      <c r="T55" s="410"/>
      <c r="U55" s="410"/>
      <c r="V55" s="411"/>
    </row>
    <row r="56" spans="2:22" ht="15.75" x14ac:dyDescent="0.25">
      <c r="B56" s="408"/>
      <c r="C56" s="409"/>
      <c r="D56" s="410"/>
      <c r="E56" s="410"/>
      <c r="F56" s="410"/>
      <c r="G56" s="410"/>
      <c r="H56" s="410"/>
      <c r="I56" s="410"/>
      <c r="J56" s="410"/>
      <c r="K56" s="410"/>
      <c r="L56" s="410"/>
      <c r="M56" s="410"/>
      <c r="N56" s="410"/>
      <c r="O56" s="410"/>
      <c r="P56" s="410"/>
      <c r="Q56" s="410"/>
      <c r="R56" s="410"/>
      <c r="S56" s="410"/>
      <c r="T56" s="410"/>
      <c r="U56" s="410"/>
      <c r="V56" s="411"/>
    </row>
    <row r="57" spans="2:22" ht="15.75" x14ac:dyDescent="0.25">
      <c r="B57" s="408"/>
      <c r="C57" s="409"/>
      <c r="D57" s="410"/>
      <c r="E57" s="410"/>
      <c r="F57" s="410"/>
      <c r="G57" s="410"/>
      <c r="H57" s="410"/>
      <c r="I57" s="410"/>
      <c r="J57" s="410"/>
      <c r="K57" s="410"/>
      <c r="L57" s="410"/>
      <c r="M57" s="410"/>
      <c r="N57" s="410"/>
      <c r="O57" s="410"/>
      <c r="P57" s="410"/>
      <c r="Q57" s="410"/>
      <c r="R57" s="410"/>
      <c r="S57" s="410"/>
      <c r="T57" s="410"/>
      <c r="U57" s="410"/>
      <c r="V57" s="411"/>
    </row>
    <row r="58" spans="2:22" ht="15.75" x14ac:dyDescent="0.25">
      <c r="B58" s="408"/>
      <c r="C58" s="409"/>
      <c r="D58" s="410"/>
      <c r="E58" s="410"/>
      <c r="F58" s="410"/>
      <c r="G58" s="410"/>
      <c r="H58" s="410"/>
      <c r="I58" s="410"/>
      <c r="J58" s="410"/>
      <c r="K58" s="410"/>
      <c r="L58" s="410"/>
      <c r="M58" s="410"/>
      <c r="N58" s="410"/>
      <c r="O58" s="410"/>
      <c r="P58" s="410"/>
      <c r="Q58" s="410"/>
      <c r="R58" s="410"/>
      <c r="S58" s="410"/>
      <c r="T58" s="410"/>
      <c r="U58" s="410"/>
      <c r="V58" s="411"/>
    </row>
    <row r="59" spans="2:22" ht="15.75" x14ac:dyDescent="0.25">
      <c r="B59" s="408"/>
      <c r="C59" s="409"/>
      <c r="D59" s="410"/>
      <c r="E59" s="410"/>
      <c r="F59" s="410"/>
      <c r="G59" s="410"/>
      <c r="H59" s="410"/>
      <c r="I59" s="410"/>
      <c r="J59" s="410"/>
      <c r="K59" s="410"/>
      <c r="L59" s="410"/>
      <c r="M59" s="410"/>
      <c r="N59" s="410"/>
      <c r="O59" s="410"/>
      <c r="P59" s="410"/>
      <c r="Q59" s="410"/>
      <c r="R59" s="410"/>
      <c r="S59" s="410"/>
      <c r="T59" s="410"/>
      <c r="U59" s="410"/>
      <c r="V59" s="411"/>
    </row>
    <row r="60" spans="2:22" ht="15.75" x14ac:dyDescent="0.25">
      <c r="B60" s="408"/>
      <c r="C60" s="409"/>
      <c r="D60" s="410"/>
      <c r="E60" s="410"/>
      <c r="F60" s="410"/>
      <c r="G60" s="410"/>
      <c r="H60" s="410"/>
      <c r="I60" s="410"/>
      <c r="J60" s="410"/>
      <c r="K60" s="410"/>
      <c r="L60" s="410"/>
      <c r="M60" s="410"/>
      <c r="N60" s="410"/>
      <c r="O60" s="410"/>
      <c r="P60" s="410"/>
      <c r="Q60" s="410"/>
      <c r="R60" s="410"/>
      <c r="S60" s="410"/>
      <c r="T60" s="410"/>
      <c r="U60" s="410"/>
      <c r="V60" s="411"/>
    </row>
    <row r="61" spans="2:22" ht="15.75" x14ac:dyDescent="0.25">
      <c r="B61" s="408"/>
      <c r="C61" s="409"/>
      <c r="D61" s="410"/>
      <c r="E61" s="410"/>
      <c r="F61" s="410"/>
      <c r="G61" s="410"/>
      <c r="H61" s="410"/>
      <c r="I61" s="410"/>
      <c r="J61" s="410"/>
      <c r="K61" s="410"/>
      <c r="L61" s="410"/>
      <c r="M61" s="410"/>
      <c r="N61" s="410"/>
      <c r="O61" s="410"/>
      <c r="P61" s="410"/>
      <c r="Q61" s="410"/>
      <c r="R61" s="410"/>
      <c r="S61" s="410"/>
      <c r="T61" s="410"/>
      <c r="U61" s="410"/>
      <c r="V61" s="411"/>
    </row>
    <row r="62" spans="2:22" ht="16.5" thickBot="1" x14ac:dyDescent="0.3">
      <c r="B62" s="412"/>
      <c r="C62" s="413"/>
      <c r="D62" s="406"/>
      <c r="E62" s="406"/>
      <c r="F62" s="406"/>
      <c r="G62" s="406"/>
      <c r="H62" s="406"/>
      <c r="I62" s="406"/>
      <c r="J62" s="406"/>
      <c r="K62" s="406"/>
      <c r="L62" s="406"/>
      <c r="M62" s="406"/>
      <c r="N62" s="406"/>
      <c r="O62" s="406"/>
      <c r="P62" s="406"/>
      <c r="Q62" s="406"/>
      <c r="R62" s="406"/>
      <c r="S62" s="406"/>
      <c r="T62" s="406"/>
      <c r="U62" s="406"/>
      <c r="V62" s="407"/>
    </row>
    <row r="63" spans="2:22" ht="15.75" x14ac:dyDescent="0.25">
      <c r="B63" s="408">
        <v>8</v>
      </c>
      <c r="C63" s="409"/>
      <c r="D63" s="410" t="s">
        <v>614</v>
      </c>
      <c r="E63" s="410"/>
      <c r="F63" s="410"/>
      <c r="G63" s="410"/>
      <c r="H63" s="410"/>
      <c r="I63" s="410"/>
      <c r="J63" s="410"/>
      <c r="K63" s="410"/>
      <c r="L63" s="410"/>
      <c r="M63" s="410"/>
      <c r="N63" s="410"/>
      <c r="O63" s="410"/>
      <c r="P63" s="410"/>
      <c r="Q63" s="410"/>
      <c r="R63" s="410"/>
      <c r="S63" s="410"/>
      <c r="T63" s="410"/>
      <c r="U63" s="410"/>
      <c r="V63" s="411"/>
    </row>
    <row r="64" spans="2:22" ht="16.5" thickBot="1" x14ac:dyDescent="0.3">
      <c r="B64" s="412"/>
      <c r="C64" s="413"/>
      <c r="D64" s="406"/>
      <c r="E64" s="406"/>
      <c r="F64" s="406"/>
      <c r="G64" s="406"/>
      <c r="H64" s="406"/>
      <c r="I64" s="406"/>
      <c r="J64" s="406"/>
      <c r="K64" s="406"/>
      <c r="L64" s="406"/>
      <c r="M64" s="406"/>
      <c r="N64" s="406"/>
      <c r="O64" s="406"/>
      <c r="P64" s="406"/>
      <c r="Q64" s="406"/>
      <c r="R64" s="406"/>
      <c r="S64" s="406"/>
      <c r="T64" s="406"/>
      <c r="U64" s="406"/>
      <c r="V64" s="407"/>
    </row>
    <row r="65"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sheetData>
  <sheetProtection password="F774" sheet="1"/>
  <mergeCells count="2">
    <mergeCell ref="B2:R2"/>
    <mergeCell ref="B4:B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G45"/>
  <sheetViews>
    <sheetView workbookViewId="0">
      <selection activeCell="C5" sqref="C5:G45"/>
    </sheetView>
  </sheetViews>
  <sheetFormatPr defaultColWidth="9.140625" defaultRowHeight="12.75" x14ac:dyDescent="0.2"/>
  <cols>
    <col min="1" max="1" width="9.140625" style="107"/>
    <col min="2" max="2" width="8.85546875" style="107" customWidth="1"/>
    <col min="3" max="3" width="11.140625" style="107" customWidth="1"/>
    <col min="4" max="4" width="11.5703125" style="107" customWidth="1"/>
    <col min="5" max="6" width="13" style="107" customWidth="1"/>
    <col min="7" max="7" width="12.85546875" style="107" customWidth="1"/>
    <col min="8" max="16384" width="9.140625" style="107"/>
  </cols>
  <sheetData>
    <row r="1" spans="2:7" x14ac:dyDescent="0.2">
      <c r="B1" s="112"/>
      <c r="C1" s="112"/>
      <c r="D1" s="112"/>
      <c r="E1" s="112"/>
      <c r="F1" s="112"/>
    </row>
    <row r="2" spans="2:7" x14ac:dyDescent="0.2">
      <c r="B2" s="108"/>
      <c r="C2" s="108"/>
      <c r="D2" s="108"/>
    </row>
    <row r="3" spans="2:7" ht="27.75" customHeight="1" x14ac:dyDescent="0.2">
      <c r="B3" s="747" t="s">
        <v>548</v>
      </c>
      <c r="C3" s="747"/>
      <c r="D3" s="747"/>
      <c r="E3" s="748"/>
      <c r="F3" s="748"/>
      <c r="G3" s="749"/>
    </row>
    <row r="4" spans="2:7" ht="25.5" x14ac:dyDescent="0.2">
      <c r="B4" s="109" t="s">
        <v>1</v>
      </c>
      <c r="C4" s="109" t="s">
        <v>327</v>
      </c>
      <c r="D4" s="110" t="s">
        <v>328</v>
      </c>
      <c r="E4" s="110" t="s">
        <v>549</v>
      </c>
      <c r="F4" s="110" t="s">
        <v>550</v>
      </c>
      <c r="G4" s="306" t="s">
        <v>155</v>
      </c>
    </row>
    <row r="5" spans="2:7" ht="15" x14ac:dyDescent="0.25">
      <c r="B5" s="113">
        <v>40</v>
      </c>
      <c r="C5" s="319">
        <v>69.41</v>
      </c>
      <c r="D5" s="319">
        <v>69.92</v>
      </c>
      <c r="E5" s="319">
        <v>70.28</v>
      </c>
      <c r="F5" s="319">
        <v>70.64</v>
      </c>
      <c r="G5" s="319">
        <v>70.940000000000012</v>
      </c>
    </row>
    <row r="6" spans="2:7" ht="15" x14ac:dyDescent="0.25">
      <c r="B6" s="113">
        <f>B5+1</f>
        <v>41</v>
      </c>
      <c r="C6" s="319">
        <v>69.430000000000007</v>
      </c>
      <c r="D6" s="319">
        <v>69.94</v>
      </c>
      <c r="E6" s="319">
        <v>70.31</v>
      </c>
      <c r="F6" s="319">
        <v>70.680000000000007</v>
      </c>
      <c r="G6" s="319">
        <v>70.97</v>
      </c>
    </row>
    <row r="7" spans="2:7" ht="15" x14ac:dyDescent="0.25">
      <c r="B7" s="113">
        <f t="shared" ref="B7:B45" si="0">B6+1</f>
        <v>42</v>
      </c>
      <c r="C7" s="319">
        <v>69.460000000000008</v>
      </c>
      <c r="D7" s="319">
        <v>69.960000000000008</v>
      </c>
      <c r="E7" s="319">
        <v>70.34</v>
      </c>
      <c r="F7" s="319">
        <v>70.710000000000008</v>
      </c>
      <c r="G7" s="319">
        <v>71.010000000000005</v>
      </c>
    </row>
    <row r="8" spans="2:7" ht="14.25" customHeight="1" x14ac:dyDescent="0.25">
      <c r="B8" s="113">
        <f t="shared" si="0"/>
        <v>43</v>
      </c>
      <c r="C8" s="319">
        <v>69.490000000000009</v>
      </c>
      <c r="D8" s="319">
        <v>69.98</v>
      </c>
      <c r="E8" s="319">
        <v>70.37</v>
      </c>
      <c r="F8" s="319">
        <v>70.740000000000009</v>
      </c>
      <c r="G8" s="319">
        <v>71.040000000000006</v>
      </c>
    </row>
    <row r="9" spans="2:7" ht="15" x14ac:dyDescent="0.25">
      <c r="B9" s="113">
        <f t="shared" si="0"/>
        <v>44</v>
      </c>
      <c r="C9" s="319">
        <v>69.510000000000005</v>
      </c>
      <c r="D9" s="319">
        <v>70</v>
      </c>
      <c r="E9" s="319">
        <v>70.39</v>
      </c>
      <c r="F9" s="319">
        <v>70.760000000000005</v>
      </c>
      <c r="G9" s="319">
        <v>71.080000000000013</v>
      </c>
    </row>
    <row r="10" spans="2:7" ht="15" x14ac:dyDescent="0.25">
      <c r="B10" s="113">
        <f t="shared" si="0"/>
        <v>45</v>
      </c>
      <c r="C10" s="319">
        <v>69.53</v>
      </c>
      <c r="D10" s="319">
        <v>70.010000000000005</v>
      </c>
      <c r="E10" s="319">
        <v>70.41</v>
      </c>
      <c r="F10" s="319">
        <v>70.790000000000006</v>
      </c>
      <c r="G10" s="319">
        <v>71.11</v>
      </c>
    </row>
    <row r="11" spans="2:7" ht="15" x14ac:dyDescent="0.25">
      <c r="B11" s="113">
        <f t="shared" si="0"/>
        <v>46</v>
      </c>
      <c r="C11" s="319">
        <v>69.55</v>
      </c>
      <c r="D11" s="319">
        <v>70.03</v>
      </c>
      <c r="E11" s="319">
        <v>70.430000000000007</v>
      </c>
      <c r="F11" s="319">
        <v>70.81</v>
      </c>
      <c r="G11" s="319">
        <v>71.14</v>
      </c>
    </row>
    <row r="12" spans="2:7" ht="15" x14ac:dyDescent="0.25">
      <c r="B12" s="113">
        <f t="shared" si="0"/>
        <v>47</v>
      </c>
      <c r="C12" s="319">
        <v>69.570000000000007</v>
      </c>
      <c r="D12" s="319">
        <v>70.040000000000006</v>
      </c>
      <c r="E12" s="319">
        <v>70.45</v>
      </c>
      <c r="F12" s="319">
        <v>70.84</v>
      </c>
      <c r="G12" s="319">
        <v>71.17</v>
      </c>
    </row>
    <row r="13" spans="2:7" ht="15" x14ac:dyDescent="0.25">
      <c r="B13" s="113">
        <f t="shared" si="0"/>
        <v>48</v>
      </c>
      <c r="C13" s="319">
        <v>69.59</v>
      </c>
      <c r="D13" s="319">
        <v>70.05</v>
      </c>
      <c r="E13" s="319">
        <v>70.47</v>
      </c>
      <c r="F13" s="319">
        <v>70.86</v>
      </c>
      <c r="G13" s="319">
        <v>71.190000000000012</v>
      </c>
    </row>
    <row r="14" spans="2:7" ht="15" x14ac:dyDescent="0.25">
      <c r="B14" s="113">
        <f t="shared" si="0"/>
        <v>49</v>
      </c>
      <c r="C14" s="319">
        <v>69.61</v>
      </c>
      <c r="D14" s="319">
        <v>70.06</v>
      </c>
      <c r="E14" s="319">
        <v>70.490000000000009</v>
      </c>
      <c r="F14" s="319">
        <v>70.88000000000001</v>
      </c>
      <c r="G14" s="319">
        <v>71.22</v>
      </c>
    </row>
    <row r="15" spans="2:7" ht="15" x14ac:dyDescent="0.25">
      <c r="B15" s="113">
        <f t="shared" si="0"/>
        <v>50</v>
      </c>
      <c r="C15" s="319">
        <v>69.63000000000001</v>
      </c>
      <c r="D15" s="319">
        <v>70.070000000000007</v>
      </c>
      <c r="E15" s="319">
        <v>70.510000000000005</v>
      </c>
      <c r="F15" s="319">
        <v>70.900000000000006</v>
      </c>
      <c r="G15" s="319">
        <v>71.25</v>
      </c>
    </row>
    <row r="16" spans="2:7" ht="15" x14ac:dyDescent="0.25">
      <c r="B16" s="113">
        <f t="shared" si="0"/>
        <v>51</v>
      </c>
      <c r="C16" s="319">
        <v>69.64</v>
      </c>
      <c r="D16" s="319">
        <v>70.08</v>
      </c>
      <c r="E16" s="319">
        <v>70.52</v>
      </c>
      <c r="F16" s="319">
        <v>70.930000000000007</v>
      </c>
      <c r="G16" s="319">
        <v>71.28</v>
      </c>
    </row>
    <row r="17" spans="2:7" ht="15" x14ac:dyDescent="0.25">
      <c r="B17" s="113">
        <f t="shared" si="0"/>
        <v>52</v>
      </c>
      <c r="C17" s="319">
        <v>69.66</v>
      </c>
      <c r="D17" s="319">
        <v>70.100000000000009</v>
      </c>
      <c r="E17" s="319">
        <v>70.540000000000006</v>
      </c>
      <c r="F17" s="319">
        <v>70.95</v>
      </c>
      <c r="G17" s="319">
        <v>71.31</v>
      </c>
    </row>
    <row r="18" spans="2:7" ht="15" x14ac:dyDescent="0.25">
      <c r="B18" s="113">
        <f t="shared" si="0"/>
        <v>53</v>
      </c>
      <c r="C18" s="319">
        <v>69.680000000000007</v>
      </c>
      <c r="D18" s="319">
        <v>70.12</v>
      </c>
      <c r="E18" s="319">
        <v>70.56</v>
      </c>
      <c r="F18" s="319">
        <v>70.97</v>
      </c>
      <c r="G18" s="319">
        <v>71.350000000000009</v>
      </c>
    </row>
    <row r="19" spans="2:7" ht="15" x14ac:dyDescent="0.25">
      <c r="B19" s="113">
        <f t="shared" si="0"/>
        <v>54</v>
      </c>
      <c r="C19" s="319">
        <v>69.7</v>
      </c>
      <c r="D19" s="319">
        <v>70.14</v>
      </c>
      <c r="E19" s="319">
        <v>70.58</v>
      </c>
      <c r="F19" s="319">
        <v>71</v>
      </c>
      <c r="G19" s="319">
        <v>71.38000000000001</v>
      </c>
    </row>
    <row r="20" spans="2:7" ht="15" x14ac:dyDescent="0.25">
      <c r="B20" s="113">
        <f t="shared" si="0"/>
        <v>55</v>
      </c>
      <c r="C20" s="319">
        <v>69.72</v>
      </c>
      <c r="D20" s="319">
        <v>70.16</v>
      </c>
      <c r="E20" s="319">
        <v>70.600000000000009</v>
      </c>
      <c r="F20" s="319">
        <v>71.03</v>
      </c>
      <c r="G20" s="319">
        <v>71.42</v>
      </c>
    </row>
    <row r="21" spans="2:7" ht="15" x14ac:dyDescent="0.25">
      <c r="B21" s="113">
        <f t="shared" si="0"/>
        <v>56</v>
      </c>
      <c r="C21" s="319">
        <v>69.740000000000009</v>
      </c>
      <c r="D21" s="319">
        <v>70.180000000000007</v>
      </c>
      <c r="E21" s="319">
        <v>70.62</v>
      </c>
      <c r="F21" s="319">
        <v>71.05</v>
      </c>
      <c r="G21" s="319">
        <v>71.460000000000008</v>
      </c>
    </row>
    <row r="22" spans="2:7" ht="15" x14ac:dyDescent="0.25">
      <c r="B22" s="113">
        <f t="shared" si="0"/>
        <v>57</v>
      </c>
      <c r="C22" s="319">
        <v>69.760000000000005</v>
      </c>
      <c r="D22" s="319">
        <v>70.2</v>
      </c>
      <c r="E22" s="319">
        <v>70.64</v>
      </c>
      <c r="F22" s="319">
        <v>71.08</v>
      </c>
      <c r="G22" s="319">
        <v>71.5</v>
      </c>
    </row>
    <row r="23" spans="2:7" ht="15" x14ac:dyDescent="0.25">
      <c r="B23" s="113">
        <f t="shared" si="0"/>
        <v>58</v>
      </c>
      <c r="C23" s="319">
        <v>69.790000000000006</v>
      </c>
      <c r="D23" s="319">
        <v>70.23</v>
      </c>
      <c r="E23" s="319">
        <v>70.67</v>
      </c>
      <c r="F23" s="319">
        <v>71.11</v>
      </c>
      <c r="G23" s="319">
        <v>71.540000000000006</v>
      </c>
    </row>
    <row r="24" spans="2:7" ht="15" x14ac:dyDescent="0.25">
      <c r="B24" s="113">
        <f t="shared" si="0"/>
        <v>59</v>
      </c>
      <c r="C24" s="319">
        <v>69.81</v>
      </c>
      <c r="D24" s="319">
        <v>70.25</v>
      </c>
      <c r="E24" s="319">
        <v>70.69</v>
      </c>
      <c r="F24" s="319">
        <v>71.13000000000001</v>
      </c>
      <c r="G24" s="319">
        <v>71.580000000000013</v>
      </c>
    </row>
    <row r="25" spans="2:7" ht="15" x14ac:dyDescent="0.25">
      <c r="B25" s="113">
        <f t="shared" si="0"/>
        <v>60</v>
      </c>
      <c r="C25" s="319">
        <v>69.83</v>
      </c>
      <c r="D25" s="319">
        <v>70.27</v>
      </c>
      <c r="E25" s="319">
        <v>70.710000000000008</v>
      </c>
      <c r="F25" s="319">
        <v>71.16</v>
      </c>
      <c r="G25" s="319">
        <v>71.62</v>
      </c>
    </row>
    <row r="26" spans="2:7" ht="15" x14ac:dyDescent="0.25">
      <c r="B26" s="113">
        <f t="shared" si="0"/>
        <v>61</v>
      </c>
      <c r="C26" s="319">
        <v>69.820000000000007</v>
      </c>
      <c r="D26" s="319">
        <v>70.260000000000005</v>
      </c>
      <c r="E26" s="319">
        <v>70.73</v>
      </c>
      <c r="F26" s="319">
        <v>71.19</v>
      </c>
      <c r="G26" s="319">
        <v>71.67</v>
      </c>
    </row>
    <row r="27" spans="2:7" ht="15" x14ac:dyDescent="0.25">
      <c r="B27" s="113">
        <f t="shared" si="0"/>
        <v>62</v>
      </c>
      <c r="C27" s="319">
        <v>69.8</v>
      </c>
      <c r="D27" s="319">
        <v>70.25</v>
      </c>
      <c r="E27" s="319">
        <v>70.760000000000005</v>
      </c>
      <c r="F27" s="319">
        <v>71.22</v>
      </c>
      <c r="G27" s="319">
        <v>71.710000000000008</v>
      </c>
    </row>
    <row r="28" spans="2:7" ht="15" x14ac:dyDescent="0.25">
      <c r="B28" s="113">
        <f t="shared" si="0"/>
        <v>63</v>
      </c>
      <c r="C28" s="319">
        <v>69.760000000000005</v>
      </c>
      <c r="D28" s="319">
        <v>70.23</v>
      </c>
      <c r="E28" s="319">
        <v>70.78</v>
      </c>
      <c r="F28" s="319">
        <v>71.25</v>
      </c>
      <c r="G28" s="319">
        <v>71.760000000000005</v>
      </c>
    </row>
    <row r="29" spans="2:7" ht="15" x14ac:dyDescent="0.25">
      <c r="B29" s="113">
        <f t="shared" si="0"/>
        <v>64</v>
      </c>
      <c r="C29" s="319">
        <v>69.710000000000008</v>
      </c>
      <c r="D29" s="319">
        <v>70.210000000000008</v>
      </c>
      <c r="E29" s="319">
        <v>70.790000000000006</v>
      </c>
      <c r="F29" s="319">
        <v>71.27</v>
      </c>
      <c r="G29" s="319">
        <v>71.800000000000011</v>
      </c>
    </row>
    <row r="30" spans="2:7" ht="15" x14ac:dyDescent="0.25">
      <c r="B30" s="113">
        <f t="shared" si="0"/>
        <v>65</v>
      </c>
      <c r="C30" s="319">
        <v>69.650000000000006</v>
      </c>
      <c r="D30" s="319">
        <v>70.180000000000007</v>
      </c>
      <c r="E30" s="319">
        <v>70.790000000000006</v>
      </c>
      <c r="F30" s="319">
        <v>71.28</v>
      </c>
      <c r="G30" s="319">
        <v>71.830000000000013</v>
      </c>
    </row>
    <row r="31" spans="2:7" ht="15" x14ac:dyDescent="0.25">
      <c r="B31" s="113">
        <f t="shared" si="0"/>
        <v>66</v>
      </c>
      <c r="C31" s="319">
        <v>69.58</v>
      </c>
      <c r="D31" s="319">
        <v>70.150000000000006</v>
      </c>
      <c r="E31" s="319">
        <v>70.8</v>
      </c>
      <c r="F31" s="319">
        <v>71.290000000000006</v>
      </c>
      <c r="G31" s="319">
        <v>71.86</v>
      </c>
    </row>
    <row r="32" spans="2:7" ht="15" x14ac:dyDescent="0.25">
      <c r="B32" s="113">
        <f t="shared" si="0"/>
        <v>67</v>
      </c>
      <c r="C32" s="319">
        <v>69.490000000000009</v>
      </c>
      <c r="D32" s="319">
        <v>70.11</v>
      </c>
      <c r="E32" s="319">
        <v>70.790000000000006</v>
      </c>
      <c r="F32" s="319">
        <v>71.3</v>
      </c>
      <c r="G32" s="319">
        <v>71.89</v>
      </c>
    </row>
    <row r="33" spans="2:7" ht="15" x14ac:dyDescent="0.25">
      <c r="B33" s="113">
        <f t="shared" si="0"/>
        <v>68</v>
      </c>
      <c r="C33" s="319">
        <v>69.39</v>
      </c>
      <c r="D33" s="319">
        <v>70.070000000000007</v>
      </c>
      <c r="E33" s="319">
        <v>70.790000000000006</v>
      </c>
      <c r="F33" s="319">
        <v>71.3</v>
      </c>
      <c r="G33" s="319">
        <v>71.92</v>
      </c>
    </row>
    <row r="34" spans="2:7" ht="15" x14ac:dyDescent="0.25">
      <c r="B34" s="113">
        <f t="shared" si="0"/>
        <v>69</v>
      </c>
      <c r="C34" s="319">
        <v>69.28</v>
      </c>
      <c r="D34" s="319">
        <v>70.02</v>
      </c>
      <c r="E34" s="319">
        <v>70.78</v>
      </c>
      <c r="F34" s="319">
        <v>71.3</v>
      </c>
      <c r="G34" s="319">
        <v>71.95</v>
      </c>
    </row>
    <row r="35" spans="2:7" ht="15" x14ac:dyDescent="0.25">
      <c r="B35" s="113">
        <f t="shared" si="0"/>
        <v>70</v>
      </c>
      <c r="C35" s="319">
        <v>69.16</v>
      </c>
      <c r="D35" s="319">
        <v>69.97</v>
      </c>
      <c r="E35" s="319">
        <v>70.77</v>
      </c>
      <c r="F35" s="319">
        <v>71.3</v>
      </c>
      <c r="G35" s="319">
        <v>71.98</v>
      </c>
    </row>
    <row r="36" spans="2:7" ht="15" x14ac:dyDescent="0.25">
      <c r="B36" s="113">
        <f t="shared" si="0"/>
        <v>71</v>
      </c>
      <c r="C36" s="319">
        <v>69.03</v>
      </c>
      <c r="D36" s="319">
        <v>69.91</v>
      </c>
      <c r="E36" s="319">
        <v>70.75</v>
      </c>
      <c r="F36" s="319">
        <v>71.290000000000006</v>
      </c>
      <c r="G36" s="319">
        <v>72.010000000000005</v>
      </c>
    </row>
    <row r="37" spans="2:7" ht="15" x14ac:dyDescent="0.25">
      <c r="B37" s="113">
        <f t="shared" si="0"/>
        <v>72</v>
      </c>
      <c r="C37" s="319">
        <v>68.88000000000001</v>
      </c>
      <c r="D37" s="319">
        <v>69.850000000000009</v>
      </c>
      <c r="E37" s="319">
        <v>70.73</v>
      </c>
      <c r="F37" s="319">
        <v>71.290000000000006</v>
      </c>
      <c r="G37" s="319">
        <v>72.040000000000006</v>
      </c>
    </row>
    <row r="38" spans="2:7" ht="15" x14ac:dyDescent="0.25">
      <c r="B38" s="113">
        <f t="shared" si="0"/>
        <v>73</v>
      </c>
      <c r="C38" s="319">
        <v>68.72</v>
      </c>
      <c r="D38" s="319">
        <v>69.78</v>
      </c>
      <c r="E38" s="319">
        <v>70.710000000000008</v>
      </c>
      <c r="F38" s="319">
        <v>71.28</v>
      </c>
      <c r="G38" s="319">
        <v>72.080000000000013</v>
      </c>
    </row>
    <row r="39" spans="2:7" ht="15" x14ac:dyDescent="0.25">
      <c r="B39" s="113">
        <f t="shared" si="0"/>
        <v>74</v>
      </c>
      <c r="C39" s="319">
        <v>68.55</v>
      </c>
      <c r="D39" s="319">
        <v>69.710000000000008</v>
      </c>
      <c r="E39" s="319">
        <v>70.680000000000007</v>
      </c>
      <c r="F39" s="319">
        <v>71.27</v>
      </c>
      <c r="G39" s="319">
        <v>72.11</v>
      </c>
    </row>
    <row r="40" spans="2:7" ht="15" x14ac:dyDescent="0.25">
      <c r="B40" s="113">
        <f t="shared" si="0"/>
        <v>75</v>
      </c>
      <c r="C40" s="319">
        <v>68.37</v>
      </c>
      <c r="D40" s="319">
        <v>69.63000000000001</v>
      </c>
      <c r="E40" s="319">
        <v>70.650000000000006</v>
      </c>
      <c r="F40" s="319">
        <v>71.25</v>
      </c>
      <c r="G40" s="319">
        <v>72.14</v>
      </c>
    </row>
    <row r="41" spans="2:7" ht="15" x14ac:dyDescent="0.25">
      <c r="B41" s="113">
        <f t="shared" si="0"/>
        <v>76</v>
      </c>
      <c r="C41" s="319">
        <v>68.180000000000007</v>
      </c>
      <c r="D41" s="319">
        <v>69.55</v>
      </c>
      <c r="E41" s="319">
        <v>70.62</v>
      </c>
      <c r="F41" s="319">
        <v>71.23</v>
      </c>
      <c r="G41" s="319">
        <v>72.17</v>
      </c>
    </row>
    <row r="42" spans="2:7" ht="15" x14ac:dyDescent="0.25">
      <c r="B42" s="113">
        <f t="shared" si="0"/>
        <v>77</v>
      </c>
      <c r="C42" s="319">
        <v>67.98</v>
      </c>
      <c r="D42" s="319">
        <v>69.460000000000008</v>
      </c>
      <c r="E42" s="319">
        <v>70.58</v>
      </c>
      <c r="F42" s="319">
        <v>71.210000000000008</v>
      </c>
      <c r="G42" s="319">
        <v>72.210000000000008</v>
      </c>
    </row>
    <row r="43" spans="2:7" ht="15" x14ac:dyDescent="0.25">
      <c r="B43" s="113">
        <f t="shared" si="0"/>
        <v>78</v>
      </c>
      <c r="C43" s="319">
        <v>67.760000000000005</v>
      </c>
      <c r="D43" s="319">
        <v>69.36</v>
      </c>
      <c r="E43" s="319">
        <v>70.540000000000006</v>
      </c>
      <c r="F43" s="319">
        <v>71.19</v>
      </c>
      <c r="G43" s="319">
        <v>72.25</v>
      </c>
    </row>
    <row r="44" spans="2:7" ht="15" x14ac:dyDescent="0.25">
      <c r="B44" s="113">
        <f t="shared" si="0"/>
        <v>79</v>
      </c>
      <c r="C44" s="319">
        <v>67.53</v>
      </c>
      <c r="D44" s="319">
        <v>69.260000000000005</v>
      </c>
      <c r="E44" s="319">
        <v>70.490000000000009</v>
      </c>
      <c r="F44" s="319">
        <v>71.16</v>
      </c>
      <c r="G44" s="319">
        <v>72.290000000000006</v>
      </c>
    </row>
    <row r="45" spans="2:7" ht="15" x14ac:dyDescent="0.25">
      <c r="B45" s="113">
        <f t="shared" si="0"/>
        <v>80</v>
      </c>
      <c r="C45" s="319">
        <v>67.290000000000006</v>
      </c>
      <c r="D45" s="319">
        <v>69.150000000000006</v>
      </c>
      <c r="E45" s="319">
        <v>70.44</v>
      </c>
      <c r="F45" s="319">
        <v>71.13000000000001</v>
      </c>
      <c r="G45" s="319">
        <v>72.330000000000013</v>
      </c>
    </row>
  </sheetData>
  <mergeCells count="1">
    <mergeCell ref="B3:G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3:CQ47"/>
  <sheetViews>
    <sheetView zoomScale="61" zoomScaleNormal="40" workbookViewId="0">
      <selection activeCell="G32" sqref="G32"/>
    </sheetView>
  </sheetViews>
  <sheetFormatPr defaultColWidth="9.140625" defaultRowHeight="19.5" x14ac:dyDescent="0.25"/>
  <cols>
    <col min="1" max="1" width="2.140625" style="124" customWidth="1"/>
    <col min="2" max="2" width="49.42578125" style="123" bestFit="1" customWidth="1"/>
    <col min="3" max="3" width="13" style="123" customWidth="1"/>
    <col min="4" max="4" width="12.5703125" style="123" customWidth="1"/>
    <col min="5" max="8" width="12.85546875" style="123" bestFit="1" customWidth="1"/>
    <col min="9" max="9" width="13.85546875" style="123" customWidth="1"/>
    <col min="10" max="10" width="14.42578125" style="123" customWidth="1"/>
    <col min="11" max="19" width="12.85546875" style="123" bestFit="1" customWidth="1"/>
    <col min="20" max="20" width="12.85546875" style="123" customWidth="1"/>
    <col min="21" max="21" width="30" style="123" customWidth="1"/>
    <col min="22" max="39" width="12.85546875" style="123" customWidth="1"/>
    <col min="40" max="40" width="37.85546875" style="123" customWidth="1"/>
    <col min="41" max="58" width="12.85546875" style="123" customWidth="1"/>
    <col min="59" max="59" width="38.42578125" style="123" customWidth="1"/>
    <col min="60" max="60" width="11.5703125" style="123" bestFit="1" customWidth="1"/>
    <col min="61" max="76" width="12.85546875" style="123" bestFit="1" customWidth="1"/>
    <col min="77" max="77" width="12.85546875" style="123" customWidth="1"/>
    <col min="78" max="78" width="38.42578125" style="123" customWidth="1"/>
    <col min="79" max="79" width="11.5703125" style="123" bestFit="1" customWidth="1"/>
    <col min="80" max="95" width="12.85546875" style="123" bestFit="1" customWidth="1"/>
    <col min="96" max="16384" width="9.140625" style="124"/>
  </cols>
  <sheetData>
    <row r="3" spans="2:95" x14ac:dyDescent="0.25">
      <c r="B3" s="122"/>
      <c r="C3" s="751" t="s">
        <v>551</v>
      </c>
      <c r="D3" s="752"/>
      <c r="E3" s="752"/>
      <c r="F3" s="752"/>
      <c r="G3" s="752"/>
      <c r="H3" s="752"/>
      <c r="I3" s="752"/>
      <c r="J3" s="752"/>
      <c r="K3" s="752"/>
      <c r="L3" s="752"/>
      <c r="M3" s="752"/>
      <c r="N3" s="752"/>
      <c r="O3" s="752"/>
      <c r="P3" s="752"/>
      <c r="Q3" s="752"/>
      <c r="R3" s="752"/>
      <c r="S3" s="752"/>
      <c r="T3" s="307"/>
      <c r="V3" s="751" t="s">
        <v>551</v>
      </c>
      <c r="W3" s="752"/>
      <c r="X3" s="752"/>
      <c r="Y3" s="752"/>
      <c r="Z3" s="752"/>
      <c r="AA3" s="752"/>
      <c r="AB3" s="752"/>
      <c r="AC3" s="752"/>
      <c r="AD3" s="752"/>
      <c r="AE3" s="752"/>
      <c r="AF3" s="752"/>
      <c r="AG3" s="752"/>
      <c r="AH3" s="752"/>
      <c r="AI3" s="752"/>
      <c r="AJ3" s="752"/>
      <c r="AK3" s="752"/>
      <c r="AL3" s="752"/>
      <c r="AM3" s="307"/>
      <c r="AO3" s="751" t="s">
        <v>551</v>
      </c>
      <c r="AP3" s="752"/>
      <c r="AQ3" s="752"/>
      <c r="AR3" s="752"/>
      <c r="AS3" s="752"/>
      <c r="AT3" s="752"/>
      <c r="AU3" s="752"/>
      <c r="AV3" s="752"/>
      <c r="AW3" s="752"/>
      <c r="AX3" s="752"/>
      <c r="AY3" s="752"/>
      <c r="AZ3" s="752"/>
      <c r="BA3" s="752"/>
      <c r="BB3" s="752"/>
      <c r="BC3" s="752"/>
      <c r="BD3" s="752"/>
      <c r="BE3" s="752"/>
      <c r="BF3" s="307"/>
      <c r="BH3" s="751" t="s">
        <v>551</v>
      </c>
      <c r="BI3" s="752"/>
      <c r="BJ3" s="752"/>
      <c r="BK3" s="752"/>
      <c r="BL3" s="752"/>
      <c r="BM3" s="752"/>
      <c r="BN3" s="752"/>
      <c r="BO3" s="752"/>
      <c r="BP3" s="752"/>
      <c r="BQ3" s="752"/>
      <c r="BR3" s="752"/>
      <c r="BS3" s="752"/>
      <c r="BT3" s="752"/>
      <c r="BU3" s="752"/>
      <c r="BV3" s="752"/>
      <c r="BW3" s="752"/>
      <c r="BX3" s="752"/>
      <c r="BY3" s="307"/>
      <c r="CA3" s="751" t="s">
        <v>551</v>
      </c>
      <c r="CB3" s="752"/>
      <c r="CC3" s="752"/>
      <c r="CD3" s="752"/>
      <c r="CE3" s="752"/>
      <c r="CF3" s="752"/>
      <c r="CG3" s="752"/>
      <c r="CH3" s="752"/>
      <c r="CI3" s="752"/>
      <c r="CJ3" s="752"/>
      <c r="CK3" s="752"/>
      <c r="CL3" s="752"/>
      <c r="CM3" s="752"/>
      <c r="CN3" s="752"/>
      <c r="CO3" s="752"/>
      <c r="CP3" s="752"/>
      <c r="CQ3" s="752"/>
    </row>
    <row r="4" spans="2:95" x14ac:dyDescent="0.25">
      <c r="B4" s="122"/>
      <c r="C4" s="123">
        <v>2</v>
      </c>
      <c r="D4" s="123">
        <v>3</v>
      </c>
      <c r="E4" s="123">
        <v>4</v>
      </c>
      <c r="F4" s="123">
        <v>5</v>
      </c>
      <c r="G4" s="123">
        <v>6</v>
      </c>
      <c r="H4" s="123">
        <v>7</v>
      </c>
      <c r="I4" s="123">
        <v>8</v>
      </c>
      <c r="J4" s="123">
        <v>9</v>
      </c>
      <c r="K4" s="123">
        <v>10</v>
      </c>
      <c r="L4" s="123">
        <v>11</v>
      </c>
      <c r="M4" s="123">
        <v>12</v>
      </c>
      <c r="N4" s="123">
        <v>13</v>
      </c>
      <c r="O4" s="123">
        <v>14</v>
      </c>
      <c r="P4" s="123">
        <v>15</v>
      </c>
      <c r="Q4" s="123">
        <v>16</v>
      </c>
      <c r="R4" s="123">
        <v>17</v>
      </c>
      <c r="S4" s="123">
        <v>18</v>
      </c>
      <c r="V4" s="122"/>
      <c r="AO4" s="122"/>
      <c r="BH4" s="122"/>
      <c r="CA4" s="122"/>
    </row>
    <row r="5" spans="2:95" x14ac:dyDescent="0.25">
      <c r="C5" s="750" t="s">
        <v>552</v>
      </c>
      <c r="D5" s="750"/>
      <c r="E5" s="750"/>
      <c r="F5" s="750"/>
      <c r="G5" s="750"/>
      <c r="H5" s="750"/>
      <c r="I5" s="750"/>
      <c r="J5" s="750"/>
      <c r="K5" s="750"/>
      <c r="L5" s="750"/>
      <c r="M5" s="750"/>
      <c r="N5" s="750"/>
      <c r="O5" s="750"/>
      <c r="P5" s="750"/>
      <c r="Q5" s="750"/>
      <c r="R5" s="750"/>
      <c r="S5" s="750"/>
      <c r="T5" s="308"/>
      <c r="V5" s="750" t="s">
        <v>553</v>
      </c>
      <c r="W5" s="750"/>
      <c r="X5" s="750"/>
      <c r="Y5" s="750"/>
      <c r="Z5" s="750"/>
      <c r="AA5" s="750"/>
      <c r="AB5" s="750"/>
      <c r="AC5" s="750"/>
      <c r="AD5" s="750"/>
      <c r="AE5" s="750"/>
      <c r="AF5" s="750"/>
      <c r="AG5" s="750"/>
      <c r="AH5" s="750"/>
      <c r="AI5" s="750"/>
      <c r="AJ5" s="750"/>
      <c r="AK5" s="750"/>
      <c r="AL5" s="750"/>
      <c r="AM5" s="308"/>
      <c r="AO5" s="750" t="s">
        <v>554</v>
      </c>
      <c r="AP5" s="750"/>
      <c r="AQ5" s="750"/>
      <c r="AR5" s="750"/>
      <c r="AS5" s="750"/>
      <c r="AT5" s="750"/>
      <c r="AU5" s="750"/>
      <c r="AV5" s="750"/>
      <c r="AW5" s="750"/>
      <c r="AX5" s="750"/>
      <c r="AY5" s="750"/>
      <c r="AZ5" s="750"/>
      <c r="BA5" s="750"/>
      <c r="BB5" s="750"/>
      <c r="BC5" s="750"/>
      <c r="BD5" s="750"/>
      <c r="BE5" s="750"/>
      <c r="BF5" s="308"/>
      <c r="BH5" s="750" t="s">
        <v>555</v>
      </c>
      <c r="BI5" s="750"/>
      <c r="BJ5" s="750"/>
      <c r="BK5" s="750"/>
      <c r="BL5" s="750"/>
      <c r="BM5" s="750"/>
      <c r="BN5" s="750"/>
      <c r="BO5" s="750"/>
      <c r="BP5" s="750"/>
      <c r="BQ5" s="750"/>
      <c r="BR5" s="750"/>
      <c r="BS5" s="750"/>
      <c r="BT5" s="750"/>
      <c r="BU5" s="750"/>
      <c r="BV5" s="750"/>
      <c r="BW5" s="750"/>
      <c r="BX5" s="750"/>
      <c r="BY5" s="308"/>
      <c r="CA5" s="750" t="s">
        <v>166</v>
      </c>
      <c r="CB5" s="750"/>
      <c r="CC5" s="750"/>
      <c r="CD5" s="750"/>
      <c r="CE5" s="750"/>
      <c r="CF5" s="750"/>
      <c r="CG5" s="750"/>
      <c r="CH5" s="750"/>
      <c r="CI5" s="750"/>
      <c r="CJ5" s="750"/>
      <c r="CK5" s="750"/>
      <c r="CL5" s="750"/>
      <c r="CM5" s="750"/>
      <c r="CN5" s="750"/>
      <c r="CO5" s="750"/>
      <c r="CP5" s="750"/>
      <c r="CQ5" s="750"/>
    </row>
    <row r="6" spans="2:95" s="130" customFormat="1" ht="97.5" x14ac:dyDescent="0.25">
      <c r="B6" s="125" t="s">
        <v>14</v>
      </c>
      <c r="C6" s="126">
        <v>0</v>
      </c>
      <c r="D6" s="127">
        <v>1</v>
      </c>
      <c r="E6" s="127">
        <v>2</v>
      </c>
      <c r="F6" s="127">
        <v>3</v>
      </c>
      <c r="G6" s="127">
        <v>4</v>
      </c>
      <c r="H6" s="127">
        <v>5</v>
      </c>
      <c r="I6" s="127">
        <v>6</v>
      </c>
      <c r="J6" s="127">
        <v>7</v>
      </c>
      <c r="K6" s="127">
        <v>8</v>
      </c>
      <c r="L6" s="127">
        <v>9</v>
      </c>
      <c r="M6" s="127">
        <v>10</v>
      </c>
      <c r="N6" s="128" t="s">
        <v>15</v>
      </c>
      <c r="O6" s="127" t="s">
        <v>16</v>
      </c>
      <c r="P6" s="127" t="s">
        <v>17</v>
      </c>
      <c r="Q6" s="127" t="s">
        <v>18</v>
      </c>
      <c r="R6" s="127" t="s">
        <v>19</v>
      </c>
      <c r="S6" s="127" t="s">
        <v>20</v>
      </c>
      <c r="T6" s="127"/>
      <c r="U6" s="125" t="s">
        <v>14</v>
      </c>
      <c r="V6" s="131">
        <v>0</v>
      </c>
      <c r="W6" s="129">
        <v>1</v>
      </c>
      <c r="X6" s="129">
        <v>2</v>
      </c>
      <c r="Y6" s="129">
        <v>3</v>
      </c>
      <c r="Z6" s="129">
        <v>4</v>
      </c>
      <c r="AA6" s="129">
        <v>5</v>
      </c>
      <c r="AB6" s="129">
        <v>6</v>
      </c>
      <c r="AC6" s="129">
        <v>7</v>
      </c>
      <c r="AD6" s="129">
        <v>8</v>
      </c>
      <c r="AE6" s="129">
        <v>9</v>
      </c>
      <c r="AF6" s="129">
        <v>10</v>
      </c>
      <c r="AG6" s="132" t="s">
        <v>15</v>
      </c>
      <c r="AH6" s="129" t="s">
        <v>16</v>
      </c>
      <c r="AI6" s="129" t="s">
        <v>17</v>
      </c>
      <c r="AJ6" s="129" t="s">
        <v>18</v>
      </c>
      <c r="AK6" s="129" t="s">
        <v>19</v>
      </c>
      <c r="AL6" s="129" t="s">
        <v>20</v>
      </c>
      <c r="AM6" s="129"/>
      <c r="AN6" s="125" t="s">
        <v>14</v>
      </c>
      <c r="AO6" s="131">
        <v>0</v>
      </c>
      <c r="AP6" s="129">
        <v>1</v>
      </c>
      <c r="AQ6" s="129">
        <v>2</v>
      </c>
      <c r="AR6" s="129">
        <v>3</v>
      </c>
      <c r="AS6" s="129">
        <v>4</v>
      </c>
      <c r="AT6" s="129">
        <v>5</v>
      </c>
      <c r="AU6" s="129">
        <v>6</v>
      </c>
      <c r="AV6" s="129">
        <v>7</v>
      </c>
      <c r="AW6" s="129">
        <v>8</v>
      </c>
      <c r="AX6" s="129">
        <v>9</v>
      </c>
      <c r="AY6" s="129">
        <v>10</v>
      </c>
      <c r="AZ6" s="132" t="s">
        <v>15</v>
      </c>
      <c r="BA6" s="129" t="s">
        <v>16</v>
      </c>
      <c r="BB6" s="129" t="s">
        <v>17</v>
      </c>
      <c r="BC6" s="129" t="s">
        <v>18</v>
      </c>
      <c r="BD6" s="129" t="s">
        <v>19</v>
      </c>
      <c r="BE6" s="129" t="s">
        <v>20</v>
      </c>
      <c r="BF6" s="129"/>
      <c r="BG6" s="125" t="s">
        <v>14</v>
      </c>
      <c r="BH6" s="131">
        <v>0</v>
      </c>
      <c r="BI6" s="129">
        <v>1</v>
      </c>
      <c r="BJ6" s="129">
        <v>2</v>
      </c>
      <c r="BK6" s="129">
        <v>3</v>
      </c>
      <c r="BL6" s="129">
        <v>4</v>
      </c>
      <c r="BM6" s="129">
        <v>5</v>
      </c>
      <c r="BN6" s="129">
        <v>6</v>
      </c>
      <c r="BO6" s="129">
        <v>7</v>
      </c>
      <c r="BP6" s="129">
        <v>8</v>
      </c>
      <c r="BQ6" s="129">
        <v>9</v>
      </c>
      <c r="BR6" s="129">
        <v>10</v>
      </c>
      <c r="BS6" s="132" t="s">
        <v>15</v>
      </c>
      <c r="BT6" s="129" t="s">
        <v>16</v>
      </c>
      <c r="BU6" s="129" t="s">
        <v>17</v>
      </c>
      <c r="BV6" s="129" t="s">
        <v>18</v>
      </c>
      <c r="BW6" s="129" t="s">
        <v>19</v>
      </c>
      <c r="BX6" s="129" t="s">
        <v>20</v>
      </c>
      <c r="BY6" s="129"/>
      <c r="BZ6" s="125" t="s">
        <v>14</v>
      </c>
      <c r="CA6" s="126">
        <v>0</v>
      </c>
      <c r="CB6" s="127">
        <v>1</v>
      </c>
      <c r="CC6" s="127">
        <v>2</v>
      </c>
      <c r="CD6" s="127">
        <v>3</v>
      </c>
      <c r="CE6" s="127">
        <v>4</v>
      </c>
      <c r="CF6" s="127">
        <v>5</v>
      </c>
      <c r="CG6" s="127">
        <v>6</v>
      </c>
      <c r="CH6" s="127">
        <v>7</v>
      </c>
      <c r="CI6" s="127">
        <v>8</v>
      </c>
      <c r="CJ6" s="127">
        <v>9</v>
      </c>
      <c r="CK6" s="127">
        <v>10</v>
      </c>
      <c r="CL6" s="128" t="s">
        <v>15</v>
      </c>
      <c r="CM6" s="127" t="s">
        <v>16</v>
      </c>
      <c r="CN6" s="127" t="s">
        <v>17</v>
      </c>
      <c r="CO6" s="127" t="s">
        <v>18</v>
      </c>
      <c r="CP6" s="127" t="s">
        <v>19</v>
      </c>
      <c r="CQ6" s="127" t="s">
        <v>20</v>
      </c>
    </row>
    <row r="7" spans="2:95" x14ac:dyDescent="0.25">
      <c r="B7" s="532">
        <v>40</v>
      </c>
      <c r="C7" s="539">
        <v>68.55</v>
      </c>
      <c r="D7" s="539">
        <v>68.59</v>
      </c>
      <c r="E7" s="539">
        <v>68.63</v>
      </c>
      <c r="F7" s="539">
        <v>68.66</v>
      </c>
      <c r="G7" s="539">
        <v>68.69</v>
      </c>
      <c r="H7" s="539">
        <v>68.73</v>
      </c>
      <c r="I7" s="539">
        <v>68.759999999999991</v>
      </c>
      <c r="J7" s="539">
        <v>68.789999999999992</v>
      </c>
      <c r="K7" s="539">
        <v>68.81</v>
      </c>
      <c r="L7" s="539">
        <v>68.84</v>
      </c>
      <c r="M7" s="539">
        <v>68.86999999999999</v>
      </c>
      <c r="N7" s="539">
        <v>68.89</v>
      </c>
      <c r="O7" s="539">
        <v>68.98</v>
      </c>
      <c r="P7" s="539">
        <v>69.03</v>
      </c>
      <c r="Q7" s="539">
        <v>69.009999999999991</v>
      </c>
      <c r="R7" s="539">
        <v>68.92</v>
      </c>
      <c r="S7" s="539">
        <v>68.73</v>
      </c>
      <c r="T7" s="540"/>
      <c r="U7" s="532">
        <v>40</v>
      </c>
      <c r="V7" s="539">
        <v>69.06</v>
      </c>
      <c r="W7" s="539">
        <v>69.11</v>
      </c>
      <c r="X7" s="539">
        <v>69.16</v>
      </c>
      <c r="Y7" s="539">
        <v>69.2</v>
      </c>
      <c r="Z7" s="539">
        <v>69.239999999999995</v>
      </c>
      <c r="AA7" s="539">
        <v>69.289999999999992</v>
      </c>
      <c r="AB7" s="539">
        <v>69.319999999999993</v>
      </c>
      <c r="AC7" s="539">
        <v>69.36</v>
      </c>
      <c r="AD7" s="539">
        <v>69.399999999999991</v>
      </c>
      <c r="AE7" s="539">
        <v>69.44</v>
      </c>
      <c r="AF7" s="539">
        <v>69.48</v>
      </c>
      <c r="AG7" s="539">
        <v>69.52</v>
      </c>
      <c r="AH7" s="539">
        <v>69.7</v>
      </c>
      <c r="AI7" s="539">
        <v>69.84</v>
      </c>
      <c r="AJ7" s="539">
        <v>69.91</v>
      </c>
      <c r="AK7" s="539">
        <v>69.899999999999991</v>
      </c>
      <c r="AL7" s="539">
        <v>69.81</v>
      </c>
      <c r="AM7" s="540"/>
      <c r="AN7" s="532">
        <v>40</v>
      </c>
      <c r="AO7" s="539">
        <v>69.429999999999993</v>
      </c>
      <c r="AP7" s="539">
        <v>69.489999999999995</v>
      </c>
      <c r="AQ7" s="539">
        <v>69.539999999999992</v>
      </c>
      <c r="AR7" s="539">
        <v>69.599999999999994</v>
      </c>
      <c r="AS7" s="539">
        <v>69.649999999999991</v>
      </c>
      <c r="AT7" s="539">
        <v>69.7</v>
      </c>
      <c r="AU7" s="539">
        <v>69.739999999999995</v>
      </c>
      <c r="AV7" s="539">
        <v>69.789999999999992</v>
      </c>
      <c r="AW7" s="539">
        <v>69.84</v>
      </c>
      <c r="AX7" s="539">
        <v>69.89</v>
      </c>
      <c r="AY7" s="539">
        <v>69.94</v>
      </c>
      <c r="AZ7" s="539">
        <v>69.989999999999995</v>
      </c>
      <c r="BA7" s="539">
        <v>70.22</v>
      </c>
      <c r="BB7" s="539">
        <v>70.44</v>
      </c>
      <c r="BC7" s="539">
        <v>70.56</v>
      </c>
      <c r="BD7" s="539">
        <v>70.61</v>
      </c>
      <c r="BE7" s="539">
        <v>70.59</v>
      </c>
      <c r="BF7" s="540"/>
      <c r="BG7" s="532">
        <v>40</v>
      </c>
      <c r="BH7" s="539">
        <v>69.789999999999992</v>
      </c>
      <c r="BI7" s="539">
        <v>69.849999999999994</v>
      </c>
      <c r="BJ7" s="539">
        <v>69.899999999999991</v>
      </c>
      <c r="BK7" s="539">
        <v>69.959999999999994</v>
      </c>
      <c r="BL7" s="539">
        <v>70.02</v>
      </c>
      <c r="BM7" s="539">
        <v>70.069999999999993</v>
      </c>
      <c r="BN7" s="539">
        <v>70.11999999999999</v>
      </c>
      <c r="BO7" s="539">
        <v>70.17</v>
      </c>
      <c r="BP7" s="539">
        <v>70.22</v>
      </c>
      <c r="BQ7" s="539">
        <v>70.28</v>
      </c>
      <c r="BR7" s="539">
        <v>70.33</v>
      </c>
      <c r="BS7" s="539">
        <v>70.39</v>
      </c>
      <c r="BT7" s="539">
        <v>70.649999999999991</v>
      </c>
      <c r="BU7" s="539">
        <v>70.88</v>
      </c>
      <c r="BV7" s="539">
        <v>71.039999999999992</v>
      </c>
      <c r="BW7" s="539">
        <v>71.099999999999994</v>
      </c>
      <c r="BX7" s="539">
        <v>71.099999999999994</v>
      </c>
      <c r="BY7" s="540"/>
      <c r="BZ7" s="532">
        <v>40</v>
      </c>
      <c r="CA7" s="541">
        <v>70.08</v>
      </c>
      <c r="CB7" s="541">
        <v>70.14</v>
      </c>
      <c r="CC7" s="541">
        <v>70.2</v>
      </c>
      <c r="CD7" s="541">
        <v>70.260000000000005</v>
      </c>
      <c r="CE7" s="541">
        <v>70.319999999999993</v>
      </c>
      <c r="CF7" s="541">
        <v>70.38</v>
      </c>
      <c r="CG7" s="541">
        <v>70.44</v>
      </c>
      <c r="CH7" s="541">
        <v>70.5</v>
      </c>
      <c r="CI7" s="541">
        <v>70.56</v>
      </c>
      <c r="CJ7" s="541">
        <v>70.61</v>
      </c>
      <c r="CK7" s="541">
        <v>70.680000000000007</v>
      </c>
      <c r="CL7" s="541">
        <v>70.739999999999995</v>
      </c>
      <c r="CM7" s="541">
        <v>71.06</v>
      </c>
      <c r="CN7" s="541">
        <v>71.36</v>
      </c>
      <c r="CO7" s="541">
        <v>71.58</v>
      </c>
      <c r="CP7" s="541">
        <v>71.709999999999994</v>
      </c>
      <c r="CQ7" s="541">
        <v>71.77</v>
      </c>
    </row>
    <row r="8" spans="2:95" x14ac:dyDescent="0.25">
      <c r="B8" s="532">
        <v>41</v>
      </c>
      <c r="C8" s="539">
        <v>68.58</v>
      </c>
      <c r="D8" s="539">
        <v>68.61999999999999</v>
      </c>
      <c r="E8" s="539">
        <v>68.66</v>
      </c>
      <c r="F8" s="539">
        <v>68.69</v>
      </c>
      <c r="G8" s="539">
        <v>68.72</v>
      </c>
      <c r="H8" s="539">
        <v>68.75</v>
      </c>
      <c r="I8" s="539">
        <v>68.78</v>
      </c>
      <c r="J8" s="539">
        <v>68.81</v>
      </c>
      <c r="K8" s="539">
        <v>68.84</v>
      </c>
      <c r="L8" s="539">
        <v>68.86</v>
      </c>
      <c r="M8" s="539">
        <v>68.91</v>
      </c>
      <c r="N8" s="539">
        <v>68.929999999999993</v>
      </c>
      <c r="O8" s="539">
        <v>69.009999999999991</v>
      </c>
      <c r="P8" s="539">
        <v>69.05</v>
      </c>
      <c r="Q8" s="539">
        <v>69.02</v>
      </c>
      <c r="R8" s="539">
        <v>68.91</v>
      </c>
      <c r="S8" s="539">
        <v>68.709999999999994</v>
      </c>
      <c r="T8" s="540"/>
      <c r="U8" s="532">
        <v>41</v>
      </c>
      <c r="V8" s="539">
        <v>69.099999999999994</v>
      </c>
      <c r="W8" s="539">
        <v>69.149999999999991</v>
      </c>
      <c r="X8" s="539">
        <v>69.2</v>
      </c>
      <c r="Y8" s="539">
        <v>69.239999999999995</v>
      </c>
      <c r="Z8" s="539">
        <v>69.28</v>
      </c>
      <c r="AA8" s="539">
        <v>69.31</v>
      </c>
      <c r="AB8" s="539">
        <v>69.36</v>
      </c>
      <c r="AC8" s="539">
        <v>69.399999999999991</v>
      </c>
      <c r="AD8" s="539">
        <v>69.44</v>
      </c>
      <c r="AE8" s="539">
        <v>69.48</v>
      </c>
      <c r="AF8" s="539">
        <v>69.52</v>
      </c>
      <c r="AG8" s="539">
        <v>69.56</v>
      </c>
      <c r="AH8" s="539">
        <v>69.73</v>
      </c>
      <c r="AI8" s="539">
        <v>69.86</v>
      </c>
      <c r="AJ8" s="539">
        <v>69.92</v>
      </c>
      <c r="AK8" s="539">
        <v>69.89</v>
      </c>
      <c r="AL8" s="539">
        <v>69.789999999999992</v>
      </c>
      <c r="AM8" s="540"/>
      <c r="AN8" s="532">
        <v>41</v>
      </c>
      <c r="AO8" s="539">
        <v>69.48</v>
      </c>
      <c r="AP8" s="539">
        <v>69.539999999999992</v>
      </c>
      <c r="AQ8" s="539">
        <v>69.59</v>
      </c>
      <c r="AR8" s="539">
        <v>69.64</v>
      </c>
      <c r="AS8" s="539">
        <v>69.69</v>
      </c>
      <c r="AT8" s="539">
        <v>69.73</v>
      </c>
      <c r="AU8" s="539">
        <v>69.78</v>
      </c>
      <c r="AV8" s="539">
        <v>69.83</v>
      </c>
      <c r="AW8" s="539">
        <v>69.88</v>
      </c>
      <c r="AX8" s="539">
        <v>69.929999999999993</v>
      </c>
      <c r="AY8" s="539">
        <v>69.98</v>
      </c>
      <c r="AZ8" s="539">
        <v>70.03</v>
      </c>
      <c r="BA8" s="539">
        <v>70.27</v>
      </c>
      <c r="BB8" s="539">
        <v>70.48</v>
      </c>
      <c r="BC8" s="539">
        <v>70.58</v>
      </c>
      <c r="BD8" s="539">
        <v>70.61999999999999</v>
      </c>
      <c r="BE8" s="539">
        <v>70.59</v>
      </c>
      <c r="BF8" s="540"/>
      <c r="BG8" s="532">
        <v>41</v>
      </c>
      <c r="BH8" s="539">
        <v>69.84</v>
      </c>
      <c r="BI8" s="539">
        <v>69.899999999999991</v>
      </c>
      <c r="BJ8" s="539">
        <v>69.959999999999994</v>
      </c>
      <c r="BK8" s="539">
        <v>70.009999999999991</v>
      </c>
      <c r="BL8" s="539">
        <v>70.069999999999993</v>
      </c>
      <c r="BM8" s="539">
        <v>70.11</v>
      </c>
      <c r="BN8" s="539">
        <v>70.17</v>
      </c>
      <c r="BO8" s="539">
        <v>70.22</v>
      </c>
      <c r="BP8" s="539">
        <v>70.28</v>
      </c>
      <c r="BQ8" s="539">
        <v>70.33</v>
      </c>
      <c r="BR8" s="539">
        <v>70.38</v>
      </c>
      <c r="BS8" s="539">
        <v>70.44</v>
      </c>
      <c r="BT8" s="539">
        <v>70.7</v>
      </c>
      <c r="BU8" s="539">
        <v>70.92</v>
      </c>
      <c r="BV8" s="539">
        <v>71.06</v>
      </c>
      <c r="BW8" s="539">
        <v>71.11999999999999</v>
      </c>
      <c r="BX8" s="539">
        <v>71.099999999999994</v>
      </c>
      <c r="BY8" s="540"/>
      <c r="BZ8" s="532">
        <v>41</v>
      </c>
      <c r="CA8" s="541">
        <v>70.14</v>
      </c>
      <c r="CB8" s="541">
        <v>70.19</v>
      </c>
      <c r="CC8" s="541">
        <v>70.25</v>
      </c>
      <c r="CD8" s="541">
        <v>70.31</v>
      </c>
      <c r="CE8" s="541">
        <v>70.38</v>
      </c>
      <c r="CF8" s="541">
        <v>70.44</v>
      </c>
      <c r="CG8" s="541">
        <v>70.5</v>
      </c>
      <c r="CH8" s="541">
        <v>70.56</v>
      </c>
      <c r="CI8" s="541">
        <v>70.61</v>
      </c>
      <c r="CJ8" s="541">
        <v>70.67</v>
      </c>
      <c r="CK8" s="541">
        <v>70.739999999999995</v>
      </c>
      <c r="CL8" s="541">
        <v>70.8</v>
      </c>
      <c r="CM8" s="541">
        <v>71.12</v>
      </c>
      <c r="CN8" s="541">
        <v>71.42</v>
      </c>
      <c r="CO8" s="541">
        <v>71.61</v>
      </c>
      <c r="CP8" s="541">
        <v>71.739999999999995</v>
      </c>
      <c r="CQ8" s="541">
        <v>71.790000000000006</v>
      </c>
    </row>
    <row r="9" spans="2:95" x14ac:dyDescent="0.25">
      <c r="B9" s="532">
        <v>42</v>
      </c>
      <c r="C9" s="539">
        <v>68.61999999999999</v>
      </c>
      <c r="D9" s="539">
        <v>68.649999999999991</v>
      </c>
      <c r="E9" s="539">
        <v>68.69</v>
      </c>
      <c r="F9" s="539">
        <v>68.72</v>
      </c>
      <c r="G9" s="539">
        <v>68.75</v>
      </c>
      <c r="H9" s="539">
        <v>68.78</v>
      </c>
      <c r="I9" s="539">
        <v>68.81</v>
      </c>
      <c r="J9" s="539">
        <v>68.83</v>
      </c>
      <c r="K9" s="539">
        <v>68.86</v>
      </c>
      <c r="L9" s="539">
        <v>68.89</v>
      </c>
      <c r="M9" s="539">
        <v>68.94</v>
      </c>
      <c r="N9" s="539">
        <v>68.959999999999994</v>
      </c>
      <c r="O9" s="539">
        <v>69.039999999999992</v>
      </c>
      <c r="P9" s="539">
        <v>69.069999999999993</v>
      </c>
      <c r="Q9" s="539">
        <v>69.02</v>
      </c>
      <c r="R9" s="539">
        <v>68.91</v>
      </c>
      <c r="S9" s="539">
        <v>68.679999999999993</v>
      </c>
      <c r="T9" s="540"/>
      <c r="U9" s="532">
        <v>42</v>
      </c>
      <c r="V9" s="539">
        <v>69.149999999999991</v>
      </c>
      <c r="W9" s="539">
        <v>69.19</v>
      </c>
      <c r="X9" s="539">
        <v>69.239999999999995</v>
      </c>
      <c r="Y9" s="539">
        <v>69.28</v>
      </c>
      <c r="Z9" s="539">
        <v>69.31</v>
      </c>
      <c r="AA9" s="539">
        <v>69.349999999999994</v>
      </c>
      <c r="AB9" s="539">
        <v>69.39</v>
      </c>
      <c r="AC9" s="539">
        <v>69.429999999999993</v>
      </c>
      <c r="AD9" s="539">
        <v>69.47</v>
      </c>
      <c r="AE9" s="539">
        <v>69.509999999999991</v>
      </c>
      <c r="AF9" s="539">
        <v>69.55</v>
      </c>
      <c r="AG9" s="539">
        <v>69.59</v>
      </c>
      <c r="AH9" s="539">
        <v>69.759999999999991</v>
      </c>
      <c r="AI9" s="539">
        <v>69.88</v>
      </c>
      <c r="AJ9" s="539">
        <v>69.92</v>
      </c>
      <c r="AK9" s="539">
        <v>69.89</v>
      </c>
      <c r="AL9" s="539">
        <v>69.759999999999991</v>
      </c>
      <c r="AM9" s="540"/>
      <c r="AN9" s="532">
        <v>42</v>
      </c>
      <c r="AO9" s="539">
        <v>69.53</v>
      </c>
      <c r="AP9" s="539">
        <v>69.59</v>
      </c>
      <c r="AQ9" s="539">
        <v>69.64</v>
      </c>
      <c r="AR9" s="539">
        <v>69.69</v>
      </c>
      <c r="AS9" s="539">
        <v>69.73</v>
      </c>
      <c r="AT9" s="539">
        <v>69.78</v>
      </c>
      <c r="AU9" s="539">
        <v>69.83</v>
      </c>
      <c r="AV9" s="539">
        <v>69.88</v>
      </c>
      <c r="AW9" s="539">
        <v>69.929999999999993</v>
      </c>
      <c r="AX9" s="539">
        <v>69.98</v>
      </c>
      <c r="AY9" s="539">
        <v>70.03</v>
      </c>
      <c r="AZ9" s="539">
        <v>70.08</v>
      </c>
      <c r="BA9" s="539">
        <v>70.319999999999993</v>
      </c>
      <c r="BB9" s="539">
        <v>70.5</v>
      </c>
      <c r="BC9" s="539">
        <v>70.599999999999994</v>
      </c>
      <c r="BD9" s="539">
        <v>70.63</v>
      </c>
      <c r="BE9" s="539">
        <v>70.58</v>
      </c>
      <c r="BF9" s="540"/>
      <c r="BG9" s="532">
        <v>42</v>
      </c>
      <c r="BH9" s="539">
        <v>69.89</v>
      </c>
      <c r="BI9" s="539">
        <v>69.95</v>
      </c>
      <c r="BJ9" s="539">
        <v>70.009999999999991</v>
      </c>
      <c r="BK9" s="539">
        <v>70.06</v>
      </c>
      <c r="BL9" s="539">
        <v>70.11</v>
      </c>
      <c r="BM9" s="539">
        <v>70.16</v>
      </c>
      <c r="BN9" s="539">
        <v>70.22</v>
      </c>
      <c r="BO9" s="539">
        <v>70.27</v>
      </c>
      <c r="BP9" s="539">
        <v>70.33</v>
      </c>
      <c r="BQ9" s="539">
        <v>70.38</v>
      </c>
      <c r="BR9" s="539">
        <v>70.44</v>
      </c>
      <c r="BS9" s="539">
        <v>70.48</v>
      </c>
      <c r="BT9" s="539">
        <v>70.75</v>
      </c>
      <c r="BU9" s="539">
        <v>70.959999999999994</v>
      </c>
      <c r="BV9" s="539">
        <v>71.08</v>
      </c>
      <c r="BW9" s="539">
        <v>71.13</v>
      </c>
      <c r="BX9" s="539">
        <v>71.09</v>
      </c>
      <c r="BY9" s="540"/>
      <c r="BZ9" s="532">
        <v>42</v>
      </c>
      <c r="CA9" s="541">
        <v>70.180000000000007</v>
      </c>
      <c r="CB9" s="541">
        <v>70.25</v>
      </c>
      <c r="CC9" s="541">
        <v>70.31</v>
      </c>
      <c r="CD9" s="541">
        <v>70.37</v>
      </c>
      <c r="CE9" s="541">
        <v>70.430000000000007</v>
      </c>
      <c r="CF9" s="541">
        <v>70.489999999999995</v>
      </c>
      <c r="CG9" s="541">
        <v>70.55</v>
      </c>
      <c r="CH9" s="541">
        <v>70.61</v>
      </c>
      <c r="CI9" s="541">
        <v>70.67</v>
      </c>
      <c r="CJ9" s="541">
        <v>70.73</v>
      </c>
      <c r="CK9" s="541">
        <v>70.8</v>
      </c>
      <c r="CL9" s="541">
        <v>70.87</v>
      </c>
      <c r="CM9" s="541">
        <v>71.180000000000007</v>
      </c>
      <c r="CN9" s="541">
        <v>71.47</v>
      </c>
      <c r="CO9" s="541">
        <v>71.650000000000006</v>
      </c>
      <c r="CP9" s="541">
        <v>71.760000000000005</v>
      </c>
      <c r="CQ9" s="541">
        <v>71.8</v>
      </c>
    </row>
    <row r="10" spans="2:95" x14ac:dyDescent="0.25">
      <c r="B10" s="532">
        <v>43</v>
      </c>
      <c r="C10" s="539">
        <v>68.649999999999991</v>
      </c>
      <c r="D10" s="539">
        <v>68.679999999999993</v>
      </c>
      <c r="E10" s="539">
        <v>68.709999999999994</v>
      </c>
      <c r="F10" s="539">
        <v>68.75</v>
      </c>
      <c r="G10" s="539">
        <v>68.78</v>
      </c>
      <c r="H10" s="539">
        <v>68.8</v>
      </c>
      <c r="I10" s="539">
        <v>68.83</v>
      </c>
      <c r="J10" s="539">
        <v>68.86</v>
      </c>
      <c r="K10" s="539">
        <v>68.88</v>
      </c>
      <c r="L10" s="539">
        <v>68.929999999999993</v>
      </c>
      <c r="M10" s="539">
        <v>68.98</v>
      </c>
      <c r="N10" s="539">
        <v>69</v>
      </c>
      <c r="O10" s="539">
        <v>69.069999999999993</v>
      </c>
      <c r="P10" s="539">
        <v>69.09</v>
      </c>
      <c r="Q10" s="539">
        <v>69.02</v>
      </c>
      <c r="R10" s="539">
        <v>68.899999999999991</v>
      </c>
      <c r="S10" s="539">
        <v>68.649999999999991</v>
      </c>
      <c r="T10" s="540"/>
      <c r="U10" s="532">
        <v>43</v>
      </c>
      <c r="V10" s="539">
        <v>69.19</v>
      </c>
      <c r="W10" s="539">
        <v>69.23</v>
      </c>
      <c r="X10" s="539">
        <v>69.27</v>
      </c>
      <c r="Y10" s="539">
        <v>69.31</v>
      </c>
      <c r="Z10" s="539">
        <v>69.349999999999994</v>
      </c>
      <c r="AA10" s="539">
        <v>69.39</v>
      </c>
      <c r="AB10" s="539">
        <v>69.429999999999993</v>
      </c>
      <c r="AC10" s="539">
        <v>69.47</v>
      </c>
      <c r="AD10" s="539">
        <v>69.509999999999991</v>
      </c>
      <c r="AE10" s="539">
        <v>69.55</v>
      </c>
      <c r="AF10" s="539">
        <v>69.59</v>
      </c>
      <c r="AG10" s="539">
        <v>69.63</v>
      </c>
      <c r="AH10" s="539">
        <v>69.789999999999992</v>
      </c>
      <c r="AI10" s="539">
        <v>69.899999999999991</v>
      </c>
      <c r="AJ10" s="539">
        <v>69.92</v>
      </c>
      <c r="AK10" s="539">
        <v>69.88</v>
      </c>
      <c r="AL10" s="539">
        <v>69.73</v>
      </c>
      <c r="AM10" s="540"/>
      <c r="AN10" s="532">
        <v>43</v>
      </c>
      <c r="AO10" s="539">
        <v>69.58</v>
      </c>
      <c r="AP10" s="539">
        <v>69.63</v>
      </c>
      <c r="AQ10" s="539">
        <v>69.679999999999993</v>
      </c>
      <c r="AR10" s="539">
        <v>69.72</v>
      </c>
      <c r="AS10" s="539">
        <v>69.77</v>
      </c>
      <c r="AT10" s="539">
        <v>69.819999999999993</v>
      </c>
      <c r="AU10" s="539">
        <v>69.88</v>
      </c>
      <c r="AV10" s="539">
        <v>69.929999999999993</v>
      </c>
      <c r="AW10" s="539">
        <v>69.98</v>
      </c>
      <c r="AX10" s="539">
        <v>70.03</v>
      </c>
      <c r="AY10" s="539">
        <v>70.08</v>
      </c>
      <c r="AZ10" s="539">
        <v>70.11999999999999</v>
      </c>
      <c r="BA10" s="539">
        <v>70.36</v>
      </c>
      <c r="BB10" s="539">
        <v>70.53</v>
      </c>
      <c r="BC10" s="539">
        <v>70.61</v>
      </c>
      <c r="BD10" s="539">
        <v>70.64</v>
      </c>
      <c r="BE10" s="539">
        <v>70.56</v>
      </c>
      <c r="BF10" s="540"/>
      <c r="BG10" s="532">
        <v>43</v>
      </c>
      <c r="BH10" s="539">
        <v>69.95</v>
      </c>
      <c r="BI10" s="539">
        <v>70</v>
      </c>
      <c r="BJ10" s="539">
        <v>70.06</v>
      </c>
      <c r="BK10" s="539">
        <v>70.099999999999994</v>
      </c>
      <c r="BL10" s="539">
        <v>70.16</v>
      </c>
      <c r="BM10" s="539">
        <v>70.209999999999994</v>
      </c>
      <c r="BN10" s="539">
        <v>70.27</v>
      </c>
      <c r="BO10" s="539">
        <v>70.319999999999993</v>
      </c>
      <c r="BP10" s="539">
        <v>70.38</v>
      </c>
      <c r="BQ10" s="539">
        <v>70.429999999999993</v>
      </c>
      <c r="BR10" s="539">
        <v>70.48</v>
      </c>
      <c r="BS10" s="539">
        <v>70.539999999999992</v>
      </c>
      <c r="BT10" s="539">
        <v>70.8</v>
      </c>
      <c r="BU10" s="539">
        <v>71</v>
      </c>
      <c r="BV10" s="539">
        <v>71.09</v>
      </c>
      <c r="BW10" s="539">
        <v>71.14</v>
      </c>
      <c r="BX10" s="539">
        <v>71.08</v>
      </c>
      <c r="BY10" s="540"/>
      <c r="BZ10" s="532">
        <v>43</v>
      </c>
      <c r="CA10" s="541">
        <v>70.239999999999995</v>
      </c>
      <c r="CB10" s="541">
        <v>70.3</v>
      </c>
      <c r="CC10" s="541">
        <v>70.36</v>
      </c>
      <c r="CD10" s="541">
        <v>70.430000000000007</v>
      </c>
      <c r="CE10" s="541">
        <v>70.489999999999995</v>
      </c>
      <c r="CF10" s="541">
        <v>70.55</v>
      </c>
      <c r="CG10" s="541">
        <v>70.599999999999994</v>
      </c>
      <c r="CH10" s="541">
        <v>70.67</v>
      </c>
      <c r="CI10" s="541">
        <v>70.73</v>
      </c>
      <c r="CJ10" s="541">
        <v>70.8</v>
      </c>
      <c r="CK10" s="541">
        <v>70.86</v>
      </c>
      <c r="CL10" s="541">
        <v>70.930000000000007</v>
      </c>
      <c r="CM10" s="541">
        <v>71.25</v>
      </c>
      <c r="CN10" s="541">
        <v>71.52</v>
      </c>
      <c r="CO10" s="541">
        <v>71.680000000000007</v>
      </c>
      <c r="CP10" s="541">
        <v>71.790000000000006</v>
      </c>
      <c r="CQ10" s="541">
        <v>71.81</v>
      </c>
    </row>
    <row r="11" spans="2:95" x14ac:dyDescent="0.25">
      <c r="B11" s="532">
        <v>44</v>
      </c>
      <c r="C11" s="539">
        <v>68.679999999999993</v>
      </c>
      <c r="D11" s="539">
        <v>68.709999999999994</v>
      </c>
      <c r="E11" s="539">
        <v>68.739999999999995</v>
      </c>
      <c r="F11" s="539">
        <v>68.77</v>
      </c>
      <c r="G11" s="539">
        <v>68.8</v>
      </c>
      <c r="H11" s="539">
        <v>68.83</v>
      </c>
      <c r="I11" s="539">
        <v>68.86</v>
      </c>
      <c r="J11" s="539">
        <v>68.88</v>
      </c>
      <c r="K11" s="539">
        <v>68.91</v>
      </c>
      <c r="L11" s="539">
        <v>68.97</v>
      </c>
      <c r="M11" s="539">
        <v>69.02</v>
      </c>
      <c r="N11" s="539">
        <v>69.03</v>
      </c>
      <c r="O11" s="539">
        <v>69.09</v>
      </c>
      <c r="P11" s="539">
        <v>69.099999999999994</v>
      </c>
      <c r="Q11" s="539">
        <v>69.02</v>
      </c>
      <c r="R11" s="539">
        <v>68.89</v>
      </c>
      <c r="S11" s="539">
        <v>68.61999999999999</v>
      </c>
      <c r="T11" s="540"/>
      <c r="U11" s="532">
        <v>44</v>
      </c>
      <c r="V11" s="539">
        <v>69.23</v>
      </c>
      <c r="W11" s="539">
        <v>69.27</v>
      </c>
      <c r="X11" s="539">
        <v>69.31</v>
      </c>
      <c r="Y11" s="539">
        <v>69.34</v>
      </c>
      <c r="Z11" s="539">
        <v>69.38</v>
      </c>
      <c r="AA11" s="539">
        <v>69.429999999999993</v>
      </c>
      <c r="AB11" s="539">
        <v>69.47</v>
      </c>
      <c r="AC11" s="539">
        <v>69.509999999999991</v>
      </c>
      <c r="AD11" s="539">
        <v>69.55</v>
      </c>
      <c r="AE11" s="539">
        <v>69.59</v>
      </c>
      <c r="AF11" s="539">
        <v>69.63</v>
      </c>
      <c r="AG11" s="539">
        <v>69.66</v>
      </c>
      <c r="AH11" s="539">
        <v>69.81</v>
      </c>
      <c r="AI11" s="539">
        <v>69.91</v>
      </c>
      <c r="AJ11" s="539">
        <v>69.92</v>
      </c>
      <c r="AK11" s="539">
        <v>69.86999999999999</v>
      </c>
      <c r="AL11" s="539">
        <v>69.7</v>
      </c>
      <c r="AM11" s="540"/>
      <c r="AN11" s="532">
        <v>44</v>
      </c>
      <c r="AO11" s="539">
        <v>69.63</v>
      </c>
      <c r="AP11" s="539">
        <v>69.679999999999993</v>
      </c>
      <c r="AQ11" s="539">
        <v>69.72</v>
      </c>
      <c r="AR11" s="539">
        <v>69.77</v>
      </c>
      <c r="AS11" s="539">
        <v>69.819999999999993</v>
      </c>
      <c r="AT11" s="539">
        <v>69.86999999999999</v>
      </c>
      <c r="AU11" s="539">
        <v>69.92</v>
      </c>
      <c r="AV11" s="539">
        <v>69.97</v>
      </c>
      <c r="AW11" s="539">
        <v>70.02</v>
      </c>
      <c r="AX11" s="539">
        <v>70.08</v>
      </c>
      <c r="AY11" s="539">
        <v>70.11999999999999</v>
      </c>
      <c r="AZ11" s="539">
        <v>70.17</v>
      </c>
      <c r="BA11" s="539">
        <v>70.399999999999991</v>
      </c>
      <c r="BB11" s="539">
        <v>70.56</v>
      </c>
      <c r="BC11" s="539">
        <v>70.61999999999999</v>
      </c>
      <c r="BD11" s="539">
        <v>70.64</v>
      </c>
      <c r="BE11" s="539">
        <v>70.539999999999992</v>
      </c>
      <c r="BF11" s="540"/>
      <c r="BG11" s="532">
        <v>44</v>
      </c>
      <c r="BH11" s="539">
        <v>70</v>
      </c>
      <c r="BI11" s="539">
        <v>70.05</v>
      </c>
      <c r="BJ11" s="539">
        <v>70.099999999999994</v>
      </c>
      <c r="BK11" s="539">
        <v>70.149999999999991</v>
      </c>
      <c r="BL11" s="539">
        <v>70.209999999999994</v>
      </c>
      <c r="BM11" s="539">
        <v>70.259999999999991</v>
      </c>
      <c r="BN11" s="539">
        <v>70.319999999999993</v>
      </c>
      <c r="BO11" s="539">
        <v>70.36999999999999</v>
      </c>
      <c r="BP11" s="539">
        <v>70.429999999999993</v>
      </c>
      <c r="BQ11" s="539">
        <v>70.48</v>
      </c>
      <c r="BR11" s="539">
        <v>70.53</v>
      </c>
      <c r="BS11" s="539">
        <v>70.59</v>
      </c>
      <c r="BT11" s="539">
        <v>70.849999999999994</v>
      </c>
      <c r="BU11" s="539">
        <v>71.02</v>
      </c>
      <c r="BV11" s="539">
        <v>71.11</v>
      </c>
      <c r="BW11" s="539">
        <v>71.149999999999991</v>
      </c>
      <c r="BX11" s="539">
        <v>71.06</v>
      </c>
      <c r="BY11" s="540"/>
      <c r="BZ11" s="532">
        <v>44</v>
      </c>
      <c r="CA11" s="541">
        <v>70.3</v>
      </c>
      <c r="CB11" s="541">
        <v>70.36</v>
      </c>
      <c r="CC11" s="541">
        <v>70.42</v>
      </c>
      <c r="CD11" s="541">
        <v>70.48</v>
      </c>
      <c r="CE11" s="541">
        <v>70.540000000000006</v>
      </c>
      <c r="CF11" s="541">
        <v>70.599999999999994</v>
      </c>
      <c r="CG11" s="541">
        <v>70.66</v>
      </c>
      <c r="CH11" s="541">
        <v>70.73</v>
      </c>
      <c r="CI11" s="541">
        <v>70.790000000000006</v>
      </c>
      <c r="CJ11" s="541">
        <v>70.86</v>
      </c>
      <c r="CK11" s="541">
        <v>70.930000000000007</v>
      </c>
      <c r="CL11" s="541">
        <v>70.98</v>
      </c>
      <c r="CM11" s="541">
        <v>71.31</v>
      </c>
      <c r="CN11" s="541">
        <v>71.56</v>
      </c>
      <c r="CO11" s="541">
        <v>71.709999999999994</v>
      </c>
      <c r="CP11" s="541">
        <v>71.81</v>
      </c>
      <c r="CQ11" s="541">
        <v>71.81</v>
      </c>
    </row>
    <row r="12" spans="2:95" x14ac:dyDescent="0.25">
      <c r="B12" s="532">
        <v>45</v>
      </c>
      <c r="C12" s="539">
        <v>68.7</v>
      </c>
      <c r="D12" s="539">
        <v>68.739999999999995</v>
      </c>
      <c r="E12" s="539">
        <v>68.77</v>
      </c>
      <c r="F12" s="539">
        <v>68.8</v>
      </c>
      <c r="G12" s="539">
        <v>68.819999999999993</v>
      </c>
      <c r="H12" s="539">
        <v>68.849999999999994</v>
      </c>
      <c r="I12" s="539">
        <v>68.88</v>
      </c>
      <c r="J12" s="539">
        <v>68.899999999999991</v>
      </c>
      <c r="K12" s="539">
        <v>68.959999999999994</v>
      </c>
      <c r="L12" s="539">
        <v>69</v>
      </c>
      <c r="M12" s="539">
        <v>69.05</v>
      </c>
      <c r="N12" s="539">
        <v>69.069999999999993</v>
      </c>
      <c r="O12" s="539">
        <v>69.11999999999999</v>
      </c>
      <c r="P12" s="539">
        <v>69.11</v>
      </c>
      <c r="Q12" s="539">
        <v>69.02</v>
      </c>
      <c r="R12" s="539">
        <v>68.86999999999999</v>
      </c>
      <c r="S12" s="539" t="s">
        <v>556</v>
      </c>
      <c r="T12" s="540"/>
      <c r="U12" s="532">
        <v>45</v>
      </c>
      <c r="V12" s="539">
        <v>69.259999999999991</v>
      </c>
      <c r="W12" s="539">
        <v>69.31</v>
      </c>
      <c r="X12" s="539">
        <v>69.34</v>
      </c>
      <c r="Y12" s="539">
        <v>69.38</v>
      </c>
      <c r="Z12" s="539">
        <v>69.42</v>
      </c>
      <c r="AA12" s="539">
        <v>69.459999999999994</v>
      </c>
      <c r="AB12" s="539">
        <v>69.5</v>
      </c>
      <c r="AC12" s="539">
        <v>69.539999999999992</v>
      </c>
      <c r="AD12" s="539">
        <v>69.58</v>
      </c>
      <c r="AE12" s="539">
        <v>69.61999999999999</v>
      </c>
      <c r="AF12" s="539">
        <v>69.66</v>
      </c>
      <c r="AG12" s="539">
        <v>69.7</v>
      </c>
      <c r="AH12" s="539">
        <v>69.84</v>
      </c>
      <c r="AI12" s="539">
        <v>69.92</v>
      </c>
      <c r="AJ12" s="539">
        <v>69.92</v>
      </c>
      <c r="AK12" s="539">
        <v>69.849999999999994</v>
      </c>
      <c r="AL12" s="539" t="s">
        <v>556</v>
      </c>
      <c r="AM12" s="540"/>
      <c r="AN12" s="532">
        <v>45</v>
      </c>
      <c r="AO12" s="539">
        <v>69.67</v>
      </c>
      <c r="AP12" s="539">
        <v>69.709999999999994</v>
      </c>
      <c r="AQ12" s="539">
        <v>69.759999999999991</v>
      </c>
      <c r="AR12" s="539">
        <v>69.81</v>
      </c>
      <c r="AS12" s="539">
        <v>69.86999999999999</v>
      </c>
      <c r="AT12" s="539">
        <v>69.92</v>
      </c>
      <c r="AU12" s="539">
        <v>69.97</v>
      </c>
      <c r="AV12" s="539">
        <v>70.02</v>
      </c>
      <c r="AW12" s="539">
        <v>70.069999999999993</v>
      </c>
      <c r="AX12" s="539">
        <v>70.11</v>
      </c>
      <c r="AY12" s="539">
        <v>70.17</v>
      </c>
      <c r="AZ12" s="539">
        <v>70.22</v>
      </c>
      <c r="BA12" s="539">
        <v>70.44</v>
      </c>
      <c r="BB12" s="539">
        <v>70.58</v>
      </c>
      <c r="BC12" s="539">
        <v>70.64</v>
      </c>
      <c r="BD12" s="539">
        <v>70.64</v>
      </c>
      <c r="BE12" s="539" t="s">
        <v>556</v>
      </c>
      <c r="BF12" s="540"/>
      <c r="BG12" s="532">
        <v>45</v>
      </c>
      <c r="BH12" s="539">
        <v>70.05</v>
      </c>
      <c r="BI12" s="539">
        <v>70.09</v>
      </c>
      <c r="BJ12" s="539">
        <v>70.149999999999991</v>
      </c>
      <c r="BK12" s="539">
        <v>70.2</v>
      </c>
      <c r="BL12" s="539">
        <v>70.259999999999991</v>
      </c>
      <c r="BM12" s="539">
        <v>70.31</v>
      </c>
      <c r="BN12" s="539">
        <v>70.36999999999999</v>
      </c>
      <c r="BO12" s="539">
        <v>70.429999999999993</v>
      </c>
      <c r="BP12" s="539">
        <v>70.48</v>
      </c>
      <c r="BQ12" s="539">
        <v>70.53</v>
      </c>
      <c r="BR12" s="539">
        <v>70.59</v>
      </c>
      <c r="BS12" s="539">
        <v>70.64</v>
      </c>
      <c r="BT12" s="539">
        <v>70.88</v>
      </c>
      <c r="BU12" s="539">
        <v>71.05</v>
      </c>
      <c r="BV12" s="539">
        <v>71.13</v>
      </c>
      <c r="BW12" s="539">
        <v>71.149999999999991</v>
      </c>
      <c r="BX12" s="539" t="s">
        <v>556</v>
      </c>
      <c r="BY12" s="540"/>
      <c r="BZ12" s="532">
        <v>45</v>
      </c>
      <c r="CA12" s="541">
        <v>70.349999999999994</v>
      </c>
      <c r="CB12" s="541">
        <v>70.41</v>
      </c>
      <c r="CC12" s="541">
        <v>70.48</v>
      </c>
      <c r="CD12" s="541">
        <v>70.540000000000006</v>
      </c>
      <c r="CE12" s="541">
        <v>70.59</v>
      </c>
      <c r="CF12" s="541">
        <v>70.66</v>
      </c>
      <c r="CG12" s="541">
        <v>70.72</v>
      </c>
      <c r="CH12" s="541">
        <v>70.790000000000006</v>
      </c>
      <c r="CI12" s="541">
        <v>70.849999999999994</v>
      </c>
      <c r="CJ12" s="541">
        <v>70.92</v>
      </c>
      <c r="CK12" s="541">
        <v>70.98</v>
      </c>
      <c r="CL12" s="541">
        <v>71.05</v>
      </c>
      <c r="CM12" s="541">
        <v>71.36</v>
      </c>
      <c r="CN12" s="541">
        <v>71.599999999999994</v>
      </c>
      <c r="CO12" s="541">
        <v>71.739999999999995</v>
      </c>
      <c r="CP12" s="541">
        <v>71.83</v>
      </c>
      <c r="CQ12" s="541" t="s">
        <v>556</v>
      </c>
    </row>
    <row r="13" spans="2:95" x14ac:dyDescent="0.25">
      <c r="B13" s="532">
        <v>46</v>
      </c>
      <c r="C13" s="539">
        <v>68.73</v>
      </c>
      <c r="D13" s="539">
        <v>68.759999999999991</v>
      </c>
      <c r="E13" s="539">
        <v>68.789999999999992</v>
      </c>
      <c r="F13" s="539">
        <v>68.819999999999993</v>
      </c>
      <c r="G13" s="539">
        <v>68.849999999999994</v>
      </c>
      <c r="H13" s="539">
        <v>68.86999999999999</v>
      </c>
      <c r="I13" s="539">
        <v>68.929999999999993</v>
      </c>
      <c r="J13" s="539">
        <v>68.95</v>
      </c>
      <c r="K13" s="539">
        <v>69</v>
      </c>
      <c r="L13" s="539">
        <v>69.039999999999992</v>
      </c>
      <c r="M13" s="539">
        <v>69.08</v>
      </c>
      <c r="N13" s="539">
        <v>69.09</v>
      </c>
      <c r="O13" s="539">
        <v>69.14</v>
      </c>
      <c r="P13" s="539">
        <v>69.11</v>
      </c>
      <c r="Q13" s="539">
        <v>69.02</v>
      </c>
      <c r="R13" s="539">
        <v>68.849999999999994</v>
      </c>
      <c r="S13" s="539" t="s">
        <v>556</v>
      </c>
      <c r="T13" s="540"/>
      <c r="U13" s="532">
        <v>46</v>
      </c>
      <c r="V13" s="539">
        <v>69.3</v>
      </c>
      <c r="W13" s="539">
        <v>69.33</v>
      </c>
      <c r="X13" s="539">
        <v>69.36999999999999</v>
      </c>
      <c r="Y13" s="539">
        <v>69.42</v>
      </c>
      <c r="Z13" s="539">
        <v>69.459999999999994</v>
      </c>
      <c r="AA13" s="539">
        <v>69.5</v>
      </c>
      <c r="AB13" s="539">
        <v>69.539999999999992</v>
      </c>
      <c r="AC13" s="539">
        <v>69.58</v>
      </c>
      <c r="AD13" s="539">
        <v>69.61999999999999</v>
      </c>
      <c r="AE13" s="539">
        <v>69.66</v>
      </c>
      <c r="AF13" s="539">
        <v>69.69</v>
      </c>
      <c r="AG13" s="539">
        <v>69.72</v>
      </c>
      <c r="AH13" s="539">
        <v>69.86</v>
      </c>
      <c r="AI13" s="539">
        <v>69.92</v>
      </c>
      <c r="AJ13" s="539">
        <v>69.92</v>
      </c>
      <c r="AK13" s="539">
        <v>69.83</v>
      </c>
      <c r="AL13" s="539" t="s">
        <v>556</v>
      </c>
      <c r="AM13" s="540"/>
      <c r="AN13" s="532">
        <v>46</v>
      </c>
      <c r="AO13" s="539">
        <v>69.709999999999994</v>
      </c>
      <c r="AP13" s="539">
        <v>69.759999999999991</v>
      </c>
      <c r="AQ13" s="539">
        <v>69.81</v>
      </c>
      <c r="AR13" s="539">
        <v>69.86</v>
      </c>
      <c r="AS13" s="539">
        <v>69.91</v>
      </c>
      <c r="AT13" s="539">
        <v>69.959999999999994</v>
      </c>
      <c r="AU13" s="539">
        <v>70.02</v>
      </c>
      <c r="AV13" s="539">
        <v>70.069999999999993</v>
      </c>
      <c r="AW13" s="539">
        <v>70.11</v>
      </c>
      <c r="AX13" s="539">
        <v>70.16</v>
      </c>
      <c r="AY13" s="539">
        <v>70.209999999999994</v>
      </c>
      <c r="AZ13" s="539">
        <v>70.259999999999991</v>
      </c>
      <c r="BA13" s="539">
        <v>70.48</v>
      </c>
      <c r="BB13" s="539">
        <v>70.59</v>
      </c>
      <c r="BC13" s="539">
        <v>70.649999999999991</v>
      </c>
      <c r="BD13" s="539">
        <v>70.63</v>
      </c>
      <c r="BE13" s="539" t="s">
        <v>556</v>
      </c>
      <c r="BF13" s="540"/>
      <c r="BG13" s="532">
        <v>46</v>
      </c>
      <c r="BH13" s="539">
        <v>70.09</v>
      </c>
      <c r="BI13" s="539">
        <v>70.14</v>
      </c>
      <c r="BJ13" s="539">
        <v>70.2</v>
      </c>
      <c r="BK13" s="539">
        <v>70.25</v>
      </c>
      <c r="BL13" s="539">
        <v>70.31</v>
      </c>
      <c r="BM13" s="539">
        <v>70.36</v>
      </c>
      <c r="BN13" s="539">
        <v>70.42</v>
      </c>
      <c r="BO13" s="539">
        <v>70.48</v>
      </c>
      <c r="BP13" s="539">
        <v>70.53</v>
      </c>
      <c r="BQ13" s="539">
        <v>70.58</v>
      </c>
      <c r="BR13" s="539">
        <v>70.64</v>
      </c>
      <c r="BS13" s="539">
        <v>70.69</v>
      </c>
      <c r="BT13" s="539">
        <v>70.929999999999993</v>
      </c>
      <c r="BU13" s="539">
        <v>71.069999999999993</v>
      </c>
      <c r="BV13" s="539">
        <v>71.149999999999991</v>
      </c>
      <c r="BW13" s="539">
        <v>71.149999999999991</v>
      </c>
      <c r="BX13" s="539" t="s">
        <v>556</v>
      </c>
      <c r="BY13" s="540"/>
      <c r="BZ13" s="532">
        <v>46</v>
      </c>
      <c r="CA13" s="541">
        <v>70.41</v>
      </c>
      <c r="CB13" s="541">
        <v>70.47</v>
      </c>
      <c r="CC13" s="541">
        <v>70.53</v>
      </c>
      <c r="CD13" s="541">
        <v>70.59</v>
      </c>
      <c r="CE13" s="541">
        <v>70.650000000000006</v>
      </c>
      <c r="CF13" s="541">
        <v>70.72</v>
      </c>
      <c r="CG13" s="541">
        <v>70.78</v>
      </c>
      <c r="CH13" s="541">
        <v>70.849999999999994</v>
      </c>
      <c r="CI13" s="541">
        <v>70.92</v>
      </c>
      <c r="CJ13" s="541">
        <v>70.98</v>
      </c>
      <c r="CK13" s="541">
        <v>71.05</v>
      </c>
      <c r="CL13" s="541">
        <v>71.11</v>
      </c>
      <c r="CM13" s="541">
        <v>71.42</v>
      </c>
      <c r="CN13" s="541">
        <v>71.63</v>
      </c>
      <c r="CO13" s="541">
        <v>71.760000000000005</v>
      </c>
      <c r="CP13" s="541">
        <v>71.849999999999994</v>
      </c>
      <c r="CQ13" s="541" t="s">
        <v>556</v>
      </c>
    </row>
    <row r="14" spans="2:95" x14ac:dyDescent="0.25">
      <c r="B14" s="532">
        <v>47</v>
      </c>
      <c r="C14" s="539">
        <v>68.759999999999991</v>
      </c>
      <c r="D14" s="539">
        <v>68.789999999999992</v>
      </c>
      <c r="E14" s="539">
        <v>68.81</v>
      </c>
      <c r="F14" s="539">
        <v>68.84</v>
      </c>
      <c r="G14" s="539">
        <v>68.86999999999999</v>
      </c>
      <c r="H14" s="539">
        <v>68.92</v>
      </c>
      <c r="I14" s="539">
        <v>68.97</v>
      </c>
      <c r="J14" s="539">
        <v>68.989999999999995</v>
      </c>
      <c r="K14" s="539">
        <v>69.05</v>
      </c>
      <c r="L14" s="539">
        <v>69.069999999999993</v>
      </c>
      <c r="M14" s="539">
        <v>69.11</v>
      </c>
      <c r="N14" s="539">
        <v>69.11999999999999</v>
      </c>
      <c r="O14" s="539">
        <v>69.16</v>
      </c>
      <c r="P14" s="539">
        <v>69.11999999999999</v>
      </c>
      <c r="Q14" s="539">
        <v>69.009999999999991</v>
      </c>
      <c r="R14" s="539">
        <v>68.819999999999993</v>
      </c>
      <c r="S14" s="539" t="s">
        <v>556</v>
      </c>
      <c r="T14" s="540"/>
      <c r="U14" s="532">
        <v>47</v>
      </c>
      <c r="V14" s="539">
        <v>69.33</v>
      </c>
      <c r="W14" s="539">
        <v>69.36999999999999</v>
      </c>
      <c r="X14" s="539">
        <v>69.41</v>
      </c>
      <c r="Y14" s="539">
        <v>69.45</v>
      </c>
      <c r="Z14" s="539">
        <v>69.489999999999995</v>
      </c>
      <c r="AA14" s="539">
        <v>69.53</v>
      </c>
      <c r="AB14" s="539">
        <v>69.569999999999993</v>
      </c>
      <c r="AC14" s="539">
        <v>69.61</v>
      </c>
      <c r="AD14" s="539">
        <v>69.649999999999991</v>
      </c>
      <c r="AE14" s="539">
        <v>69.69</v>
      </c>
      <c r="AF14" s="539">
        <v>69.72</v>
      </c>
      <c r="AG14" s="539">
        <v>69.75</v>
      </c>
      <c r="AH14" s="539">
        <v>69.88</v>
      </c>
      <c r="AI14" s="539">
        <v>69.929999999999993</v>
      </c>
      <c r="AJ14" s="539">
        <v>69.91</v>
      </c>
      <c r="AK14" s="539">
        <v>69.8</v>
      </c>
      <c r="AL14" s="539" t="s">
        <v>556</v>
      </c>
      <c r="AM14" s="540"/>
      <c r="AN14" s="532">
        <v>47</v>
      </c>
      <c r="AO14" s="539">
        <v>69.75</v>
      </c>
      <c r="AP14" s="539">
        <v>69.8</v>
      </c>
      <c r="AQ14" s="539">
        <v>69.849999999999994</v>
      </c>
      <c r="AR14" s="539">
        <v>69.91</v>
      </c>
      <c r="AS14" s="539">
        <v>69.959999999999994</v>
      </c>
      <c r="AT14" s="539">
        <v>70.009999999999991</v>
      </c>
      <c r="AU14" s="539">
        <v>70.06</v>
      </c>
      <c r="AV14" s="539">
        <v>70.11</v>
      </c>
      <c r="AW14" s="539">
        <v>70.16</v>
      </c>
      <c r="AX14" s="539">
        <v>70.209999999999994</v>
      </c>
      <c r="AY14" s="539">
        <v>70.259999999999991</v>
      </c>
      <c r="AZ14" s="539">
        <v>70.31</v>
      </c>
      <c r="BA14" s="539">
        <v>70.5</v>
      </c>
      <c r="BB14" s="539">
        <v>70.61</v>
      </c>
      <c r="BC14" s="539">
        <v>70.66</v>
      </c>
      <c r="BD14" s="539">
        <v>70.61999999999999</v>
      </c>
      <c r="BE14" s="539" t="s">
        <v>556</v>
      </c>
      <c r="BF14" s="540"/>
      <c r="BG14" s="532">
        <v>47</v>
      </c>
      <c r="BH14" s="539">
        <v>70.13</v>
      </c>
      <c r="BI14" s="539">
        <v>70.19</v>
      </c>
      <c r="BJ14" s="539">
        <v>70.239999999999995</v>
      </c>
      <c r="BK14" s="539">
        <v>70.3</v>
      </c>
      <c r="BL14" s="539">
        <v>70.36</v>
      </c>
      <c r="BM14" s="539">
        <v>70.42</v>
      </c>
      <c r="BN14" s="539">
        <v>70.47</v>
      </c>
      <c r="BO14" s="539">
        <v>70.52</v>
      </c>
      <c r="BP14" s="539">
        <v>70.58</v>
      </c>
      <c r="BQ14" s="539">
        <v>70.64</v>
      </c>
      <c r="BR14" s="539">
        <v>70.69</v>
      </c>
      <c r="BS14" s="539">
        <v>70.739999999999995</v>
      </c>
      <c r="BT14" s="539">
        <v>70.97</v>
      </c>
      <c r="BU14" s="539">
        <v>71.09</v>
      </c>
      <c r="BV14" s="539">
        <v>71.16</v>
      </c>
      <c r="BW14" s="539">
        <v>71.14</v>
      </c>
      <c r="BX14" s="539" t="s">
        <v>556</v>
      </c>
      <c r="BY14" s="540"/>
      <c r="BZ14" s="532">
        <v>47</v>
      </c>
      <c r="CA14" s="541">
        <v>70.459999999999994</v>
      </c>
      <c r="CB14" s="541">
        <v>70.53</v>
      </c>
      <c r="CC14" s="541">
        <v>70.58</v>
      </c>
      <c r="CD14" s="541">
        <v>70.64</v>
      </c>
      <c r="CE14" s="541">
        <v>70.709999999999994</v>
      </c>
      <c r="CF14" s="541">
        <v>70.78</v>
      </c>
      <c r="CG14" s="541">
        <v>70.84</v>
      </c>
      <c r="CH14" s="541">
        <v>70.91</v>
      </c>
      <c r="CI14" s="541">
        <v>70.97</v>
      </c>
      <c r="CJ14" s="541">
        <v>71.040000000000006</v>
      </c>
      <c r="CK14" s="541">
        <v>71.11</v>
      </c>
      <c r="CL14" s="541">
        <v>71.17</v>
      </c>
      <c r="CM14" s="541">
        <v>71.48</v>
      </c>
      <c r="CN14" s="541">
        <v>71.66</v>
      </c>
      <c r="CO14" s="541">
        <v>71.790000000000006</v>
      </c>
      <c r="CP14" s="541">
        <v>71.86</v>
      </c>
      <c r="CQ14" s="541" t="s">
        <v>556</v>
      </c>
    </row>
    <row r="15" spans="2:95" x14ac:dyDescent="0.25">
      <c r="B15" s="532">
        <v>48</v>
      </c>
      <c r="C15" s="539">
        <v>68.78</v>
      </c>
      <c r="D15" s="539">
        <v>68.81</v>
      </c>
      <c r="E15" s="539">
        <v>68.84</v>
      </c>
      <c r="F15" s="539">
        <v>68.86</v>
      </c>
      <c r="G15" s="539">
        <v>68.91</v>
      </c>
      <c r="H15" s="539">
        <v>68.97</v>
      </c>
      <c r="I15" s="539">
        <v>69.009999999999991</v>
      </c>
      <c r="J15" s="539">
        <v>69.03</v>
      </c>
      <c r="K15" s="539">
        <v>69.09</v>
      </c>
      <c r="L15" s="539">
        <v>69.09</v>
      </c>
      <c r="M15" s="539">
        <v>69.14</v>
      </c>
      <c r="N15" s="539">
        <v>69.149999999999991</v>
      </c>
      <c r="O15" s="539">
        <v>69.17</v>
      </c>
      <c r="P15" s="539">
        <v>69.11999999999999</v>
      </c>
      <c r="Q15" s="539">
        <v>69</v>
      </c>
      <c r="R15" s="539">
        <v>68.78</v>
      </c>
      <c r="S15" s="539" t="s">
        <v>556</v>
      </c>
      <c r="T15" s="540"/>
      <c r="U15" s="532">
        <v>48</v>
      </c>
      <c r="V15" s="539">
        <v>69.36</v>
      </c>
      <c r="W15" s="539">
        <v>69.399999999999991</v>
      </c>
      <c r="X15" s="539">
        <v>69.44</v>
      </c>
      <c r="Y15" s="539">
        <v>69.489999999999995</v>
      </c>
      <c r="Z15" s="539">
        <v>69.53</v>
      </c>
      <c r="AA15" s="539">
        <v>69.569999999999993</v>
      </c>
      <c r="AB15" s="539">
        <v>69.61</v>
      </c>
      <c r="AC15" s="539">
        <v>69.649999999999991</v>
      </c>
      <c r="AD15" s="539">
        <v>69.69</v>
      </c>
      <c r="AE15" s="539">
        <v>69.709999999999994</v>
      </c>
      <c r="AF15" s="539">
        <v>69.75</v>
      </c>
      <c r="AG15" s="539">
        <v>69.78</v>
      </c>
      <c r="AH15" s="539">
        <v>69.89</v>
      </c>
      <c r="AI15" s="539">
        <v>69.929999999999993</v>
      </c>
      <c r="AJ15" s="539">
        <v>69.899999999999991</v>
      </c>
      <c r="AK15" s="539">
        <v>69.759999999999991</v>
      </c>
      <c r="AL15" s="539" t="s">
        <v>556</v>
      </c>
      <c r="AM15" s="540"/>
      <c r="AN15" s="532">
        <v>48</v>
      </c>
      <c r="AO15" s="539">
        <v>69.789999999999992</v>
      </c>
      <c r="AP15" s="539">
        <v>69.849999999999994</v>
      </c>
      <c r="AQ15" s="539">
        <v>69.899999999999991</v>
      </c>
      <c r="AR15" s="539">
        <v>69.95</v>
      </c>
      <c r="AS15" s="539">
        <v>70</v>
      </c>
      <c r="AT15" s="539">
        <v>70.06</v>
      </c>
      <c r="AU15" s="539">
        <v>70.099999999999994</v>
      </c>
      <c r="AV15" s="539">
        <v>70.149999999999991</v>
      </c>
      <c r="AW15" s="539">
        <v>70.2</v>
      </c>
      <c r="AX15" s="539">
        <v>70.25</v>
      </c>
      <c r="AY15" s="539">
        <v>70.3</v>
      </c>
      <c r="AZ15" s="539">
        <v>70.349999999999994</v>
      </c>
      <c r="BA15" s="539">
        <v>70.53</v>
      </c>
      <c r="BB15" s="539">
        <v>70.61999999999999</v>
      </c>
      <c r="BC15" s="539">
        <v>70.66</v>
      </c>
      <c r="BD15" s="539">
        <v>70.599999999999994</v>
      </c>
      <c r="BE15" s="539" t="s">
        <v>556</v>
      </c>
      <c r="BF15" s="540"/>
      <c r="BG15" s="532">
        <v>48</v>
      </c>
      <c r="BH15" s="539">
        <v>70.179999999999993</v>
      </c>
      <c r="BI15" s="539">
        <v>70.239999999999995</v>
      </c>
      <c r="BJ15" s="539">
        <v>70.289999999999992</v>
      </c>
      <c r="BK15" s="539">
        <v>70.349999999999994</v>
      </c>
      <c r="BL15" s="539">
        <v>70.41</v>
      </c>
      <c r="BM15" s="539">
        <v>70.47</v>
      </c>
      <c r="BN15" s="539">
        <v>70.52</v>
      </c>
      <c r="BO15" s="539">
        <v>70.569999999999993</v>
      </c>
      <c r="BP15" s="539">
        <v>70.63</v>
      </c>
      <c r="BQ15" s="539">
        <v>70.69</v>
      </c>
      <c r="BR15" s="539">
        <v>70.739999999999995</v>
      </c>
      <c r="BS15" s="539">
        <v>70.789999999999992</v>
      </c>
      <c r="BT15" s="539">
        <v>71</v>
      </c>
      <c r="BU15" s="539">
        <v>71.11</v>
      </c>
      <c r="BV15" s="539">
        <v>71.17</v>
      </c>
      <c r="BW15" s="539">
        <v>71.13</v>
      </c>
      <c r="BX15" s="539" t="s">
        <v>556</v>
      </c>
      <c r="BY15" s="540"/>
      <c r="BZ15" s="532">
        <v>48</v>
      </c>
      <c r="CA15" s="541">
        <v>70.52</v>
      </c>
      <c r="CB15" s="541">
        <v>70.569999999999993</v>
      </c>
      <c r="CC15" s="541">
        <v>70.64</v>
      </c>
      <c r="CD15" s="541">
        <v>70.7</v>
      </c>
      <c r="CE15" s="541">
        <v>70.77</v>
      </c>
      <c r="CF15" s="541">
        <v>70.84</v>
      </c>
      <c r="CG15" s="541">
        <v>70.91</v>
      </c>
      <c r="CH15" s="541">
        <v>70.97</v>
      </c>
      <c r="CI15" s="541">
        <v>71.040000000000006</v>
      </c>
      <c r="CJ15" s="541">
        <v>71.099999999999994</v>
      </c>
      <c r="CK15" s="541">
        <v>71.17</v>
      </c>
      <c r="CL15" s="541">
        <v>71.239999999999995</v>
      </c>
      <c r="CM15" s="541">
        <v>71.52</v>
      </c>
      <c r="CN15" s="541">
        <v>71.7</v>
      </c>
      <c r="CO15" s="541">
        <v>71.819999999999993</v>
      </c>
      <c r="CP15" s="541">
        <v>71.87</v>
      </c>
      <c r="CQ15" s="541" t="s">
        <v>556</v>
      </c>
    </row>
    <row r="16" spans="2:95" x14ac:dyDescent="0.25">
      <c r="B16" s="532">
        <v>49</v>
      </c>
      <c r="C16" s="539">
        <v>68.8</v>
      </c>
      <c r="D16" s="539">
        <v>68.83</v>
      </c>
      <c r="E16" s="539">
        <v>68.86</v>
      </c>
      <c r="F16" s="539">
        <v>68.88</v>
      </c>
      <c r="G16" s="539">
        <v>68.959999999999994</v>
      </c>
      <c r="H16" s="539">
        <v>69</v>
      </c>
      <c r="I16" s="539">
        <v>69.06</v>
      </c>
      <c r="J16" s="539">
        <v>69.08</v>
      </c>
      <c r="K16" s="539">
        <v>69.14</v>
      </c>
      <c r="L16" s="539">
        <v>69.11999999999999</v>
      </c>
      <c r="M16" s="539">
        <v>69.16</v>
      </c>
      <c r="N16" s="539">
        <v>69.17</v>
      </c>
      <c r="O16" s="539">
        <v>69.180000000000007</v>
      </c>
      <c r="P16" s="539">
        <v>69.11</v>
      </c>
      <c r="Q16" s="539">
        <v>68.98</v>
      </c>
      <c r="R16" s="539">
        <v>68.739999999999995</v>
      </c>
      <c r="S16" s="539" t="s">
        <v>556</v>
      </c>
      <c r="T16" s="540"/>
      <c r="U16" s="532">
        <v>49</v>
      </c>
      <c r="V16" s="539">
        <v>69.399999999999991</v>
      </c>
      <c r="W16" s="539">
        <v>69.44</v>
      </c>
      <c r="X16" s="539">
        <v>69.48</v>
      </c>
      <c r="Y16" s="539">
        <v>69.52</v>
      </c>
      <c r="Z16" s="539">
        <v>69.56</v>
      </c>
      <c r="AA16" s="539">
        <v>69.599999999999994</v>
      </c>
      <c r="AB16" s="539">
        <v>69.64</v>
      </c>
      <c r="AC16" s="539">
        <v>69.679999999999993</v>
      </c>
      <c r="AD16" s="539">
        <v>69.709999999999994</v>
      </c>
      <c r="AE16" s="539">
        <v>69.739999999999995</v>
      </c>
      <c r="AF16" s="539">
        <v>69.77</v>
      </c>
      <c r="AG16" s="539">
        <v>69.8</v>
      </c>
      <c r="AH16" s="539">
        <v>69.899999999999991</v>
      </c>
      <c r="AI16" s="539">
        <v>69.92</v>
      </c>
      <c r="AJ16" s="539">
        <v>69.88</v>
      </c>
      <c r="AK16" s="539">
        <v>69.72</v>
      </c>
      <c r="AL16" s="539" t="s">
        <v>556</v>
      </c>
      <c r="AM16" s="540"/>
      <c r="AN16" s="532">
        <v>49</v>
      </c>
      <c r="AO16" s="539">
        <v>69.84</v>
      </c>
      <c r="AP16" s="539">
        <v>69.89</v>
      </c>
      <c r="AQ16" s="539">
        <v>69.94</v>
      </c>
      <c r="AR16" s="539">
        <v>70</v>
      </c>
      <c r="AS16" s="539">
        <v>70.05</v>
      </c>
      <c r="AT16" s="539">
        <v>70.09</v>
      </c>
      <c r="AU16" s="539">
        <v>70.149999999999991</v>
      </c>
      <c r="AV16" s="539">
        <v>70.2</v>
      </c>
      <c r="AW16" s="539">
        <v>70.25</v>
      </c>
      <c r="AX16" s="539">
        <v>70.3</v>
      </c>
      <c r="AY16" s="539">
        <v>70.349999999999994</v>
      </c>
      <c r="AZ16" s="539">
        <v>70.39</v>
      </c>
      <c r="BA16" s="539">
        <v>70.55</v>
      </c>
      <c r="BB16" s="539">
        <v>70.63</v>
      </c>
      <c r="BC16" s="539">
        <v>70.66</v>
      </c>
      <c r="BD16" s="539">
        <v>70.569999999999993</v>
      </c>
      <c r="BE16" s="539" t="s">
        <v>556</v>
      </c>
      <c r="BF16" s="540"/>
      <c r="BG16" s="532">
        <v>49</v>
      </c>
      <c r="BH16" s="539">
        <v>70.23</v>
      </c>
      <c r="BI16" s="539">
        <v>70.289999999999992</v>
      </c>
      <c r="BJ16" s="539">
        <v>70.34</v>
      </c>
      <c r="BK16" s="539">
        <v>70.399999999999991</v>
      </c>
      <c r="BL16" s="539">
        <v>70.459999999999994</v>
      </c>
      <c r="BM16" s="539">
        <v>70.509999999999991</v>
      </c>
      <c r="BN16" s="539">
        <v>70.569999999999993</v>
      </c>
      <c r="BO16" s="539">
        <v>70.63</v>
      </c>
      <c r="BP16" s="539">
        <v>70.679999999999993</v>
      </c>
      <c r="BQ16" s="539">
        <v>70.739999999999995</v>
      </c>
      <c r="BR16" s="539">
        <v>70.789999999999992</v>
      </c>
      <c r="BS16" s="539">
        <v>70.84</v>
      </c>
      <c r="BT16" s="539">
        <v>71.03</v>
      </c>
      <c r="BU16" s="539">
        <v>71.11999999999999</v>
      </c>
      <c r="BV16" s="539">
        <v>71.17</v>
      </c>
      <c r="BW16" s="539">
        <v>71.11</v>
      </c>
      <c r="BX16" s="539" t="s">
        <v>556</v>
      </c>
      <c r="BY16" s="540"/>
      <c r="BZ16" s="532">
        <v>49</v>
      </c>
      <c r="CA16" s="541">
        <v>70.569999999999993</v>
      </c>
      <c r="CB16" s="541">
        <v>70.63</v>
      </c>
      <c r="CC16" s="541">
        <v>70.69</v>
      </c>
      <c r="CD16" s="541">
        <v>70.760000000000005</v>
      </c>
      <c r="CE16" s="541">
        <v>70.83</v>
      </c>
      <c r="CF16" s="541">
        <v>70.900000000000006</v>
      </c>
      <c r="CG16" s="541">
        <v>70.959999999999994</v>
      </c>
      <c r="CH16" s="541">
        <v>71.03</v>
      </c>
      <c r="CI16" s="541">
        <v>71.099999999999994</v>
      </c>
      <c r="CJ16" s="541">
        <v>71.17</v>
      </c>
      <c r="CK16" s="541">
        <v>71.23</v>
      </c>
      <c r="CL16" s="541">
        <v>71.3</v>
      </c>
      <c r="CM16" s="541">
        <v>71.56</v>
      </c>
      <c r="CN16" s="541">
        <v>71.73</v>
      </c>
      <c r="CO16" s="541">
        <v>71.84</v>
      </c>
      <c r="CP16" s="541">
        <v>71.87</v>
      </c>
      <c r="CQ16" s="541" t="s">
        <v>556</v>
      </c>
    </row>
    <row r="17" spans="2:95" x14ac:dyDescent="0.25">
      <c r="B17" s="532">
        <v>50</v>
      </c>
      <c r="C17" s="539">
        <v>68.84</v>
      </c>
      <c r="D17" s="539">
        <v>68.86999999999999</v>
      </c>
      <c r="E17" s="539">
        <v>68.91</v>
      </c>
      <c r="F17" s="539">
        <v>68.92</v>
      </c>
      <c r="G17" s="539">
        <v>69</v>
      </c>
      <c r="H17" s="539">
        <v>69.05</v>
      </c>
      <c r="I17" s="539">
        <v>69.099999999999994</v>
      </c>
      <c r="J17" s="539">
        <v>69.11999999999999</v>
      </c>
      <c r="K17" s="539">
        <v>69.179999999999993</v>
      </c>
      <c r="L17" s="539">
        <v>69.149999999999991</v>
      </c>
      <c r="M17" s="539">
        <v>69.19</v>
      </c>
      <c r="N17" s="539">
        <v>69.2</v>
      </c>
      <c r="O17" s="539">
        <v>69.19</v>
      </c>
      <c r="P17" s="539">
        <v>69.11</v>
      </c>
      <c r="Q17" s="539">
        <v>68.959999999999994</v>
      </c>
      <c r="R17" s="539" t="s">
        <v>556</v>
      </c>
      <c r="S17" s="539" t="s">
        <v>556</v>
      </c>
      <c r="T17" s="540"/>
      <c r="U17" s="532">
        <v>50</v>
      </c>
      <c r="V17" s="539">
        <v>69.429999999999993</v>
      </c>
      <c r="W17" s="539">
        <v>69.47</v>
      </c>
      <c r="X17" s="539">
        <v>69.509999999999991</v>
      </c>
      <c r="Y17" s="539">
        <v>69.56</v>
      </c>
      <c r="Z17" s="539">
        <v>69.599999999999994</v>
      </c>
      <c r="AA17" s="539">
        <v>69.64</v>
      </c>
      <c r="AB17" s="539">
        <v>69.679999999999993</v>
      </c>
      <c r="AC17" s="539">
        <v>69.7</v>
      </c>
      <c r="AD17" s="539">
        <v>69.739999999999995</v>
      </c>
      <c r="AE17" s="539">
        <v>69.77</v>
      </c>
      <c r="AF17" s="539">
        <v>69.8</v>
      </c>
      <c r="AG17" s="539">
        <v>69.83</v>
      </c>
      <c r="AH17" s="539">
        <v>69.91</v>
      </c>
      <c r="AI17" s="539">
        <v>69.92</v>
      </c>
      <c r="AJ17" s="539">
        <v>69.86</v>
      </c>
      <c r="AK17" s="539" t="s">
        <v>556</v>
      </c>
      <c r="AL17" s="539" t="s">
        <v>556</v>
      </c>
      <c r="AM17" s="540"/>
      <c r="AN17" s="532">
        <v>50</v>
      </c>
      <c r="AO17" s="539">
        <v>69.88</v>
      </c>
      <c r="AP17" s="539">
        <v>69.929999999999993</v>
      </c>
      <c r="AQ17" s="539">
        <v>69.989999999999995</v>
      </c>
      <c r="AR17" s="539">
        <v>70.039999999999992</v>
      </c>
      <c r="AS17" s="539">
        <v>70.09</v>
      </c>
      <c r="AT17" s="539">
        <v>70.14</v>
      </c>
      <c r="AU17" s="539">
        <v>70.19</v>
      </c>
      <c r="AV17" s="539">
        <v>70.239999999999995</v>
      </c>
      <c r="AW17" s="539">
        <v>70.289999999999992</v>
      </c>
      <c r="AX17" s="539">
        <v>70.34</v>
      </c>
      <c r="AY17" s="539">
        <v>70.39</v>
      </c>
      <c r="AZ17" s="539">
        <v>70.429999999999993</v>
      </c>
      <c r="BA17" s="539">
        <v>70.569999999999993</v>
      </c>
      <c r="BB17" s="539">
        <v>70.649999999999991</v>
      </c>
      <c r="BC17" s="539">
        <v>70.66</v>
      </c>
      <c r="BD17" s="539" t="s">
        <v>556</v>
      </c>
      <c r="BE17" s="539" t="s">
        <v>556</v>
      </c>
      <c r="BF17" s="540"/>
      <c r="BG17" s="532">
        <v>50</v>
      </c>
      <c r="BH17" s="539">
        <v>70.28</v>
      </c>
      <c r="BI17" s="539">
        <v>70.34</v>
      </c>
      <c r="BJ17" s="539">
        <v>70.39</v>
      </c>
      <c r="BK17" s="539">
        <v>70.45</v>
      </c>
      <c r="BL17" s="539">
        <v>70.5</v>
      </c>
      <c r="BM17" s="539">
        <v>70.56</v>
      </c>
      <c r="BN17" s="539">
        <v>70.61999999999999</v>
      </c>
      <c r="BO17" s="539">
        <v>70.679999999999993</v>
      </c>
      <c r="BP17" s="539">
        <v>70.73</v>
      </c>
      <c r="BQ17" s="539">
        <v>70.78</v>
      </c>
      <c r="BR17" s="539">
        <v>70.83</v>
      </c>
      <c r="BS17" s="539">
        <v>70.86999999999999</v>
      </c>
      <c r="BT17" s="539">
        <v>71.05</v>
      </c>
      <c r="BU17" s="539">
        <v>71.14</v>
      </c>
      <c r="BV17" s="539">
        <v>71.17</v>
      </c>
      <c r="BW17" s="539" t="s">
        <v>556</v>
      </c>
      <c r="BX17" s="539" t="s">
        <v>556</v>
      </c>
      <c r="BY17" s="540"/>
      <c r="BZ17" s="532">
        <v>50</v>
      </c>
      <c r="CA17" s="541">
        <v>70.62</v>
      </c>
      <c r="CB17" s="541">
        <v>70.69</v>
      </c>
      <c r="CC17" s="541">
        <v>70.75</v>
      </c>
      <c r="CD17" s="541">
        <v>70.819999999999993</v>
      </c>
      <c r="CE17" s="541">
        <v>70.89</v>
      </c>
      <c r="CF17" s="541">
        <v>70.959999999999994</v>
      </c>
      <c r="CG17" s="541">
        <v>71.02</v>
      </c>
      <c r="CH17" s="541">
        <v>71.09</v>
      </c>
      <c r="CI17" s="541">
        <v>71.16</v>
      </c>
      <c r="CJ17" s="541">
        <v>71.23</v>
      </c>
      <c r="CK17" s="541">
        <v>71.290000000000006</v>
      </c>
      <c r="CL17" s="541">
        <v>71.349999999999994</v>
      </c>
      <c r="CM17" s="541">
        <v>71.599999999999994</v>
      </c>
      <c r="CN17" s="541">
        <v>71.75</v>
      </c>
      <c r="CO17" s="541">
        <v>71.86</v>
      </c>
      <c r="CP17" s="541" t="s">
        <v>556</v>
      </c>
      <c r="CQ17" s="541" t="s">
        <v>556</v>
      </c>
    </row>
    <row r="18" spans="2:95" x14ac:dyDescent="0.25">
      <c r="B18" s="532">
        <v>51</v>
      </c>
      <c r="C18" s="539">
        <v>68.89</v>
      </c>
      <c r="D18" s="539">
        <v>68.92</v>
      </c>
      <c r="E18" s="539">
        <v>68.95</v>
      </c>
      <c r="F18" s="539">
        <v>68.97</v>
      </c>
      <c r="G18" s="539">
        <v>69.039999999999992</v>
      </c>
      <c r="H18" s="539">
        <v>69.099999999999994</v>
      </c>
      <c r="I18" s="539">
        <v>69.149999999999991</v>
      </c>
      <c r="J18" s="539">
        <v>69.17</v>
      </c>
      <c r="K18" s="539">
        <v>69.23</v>
      </c>
      <c r="L18" s="539">
        <v>69.179999999999993</v>
      </c>
      <c r="M18" s="539">
        <v>69.209999999999994</v>
      </c>
      <c r="N18" s="539">
        <v>69.22</v>
      </c>
      <c r="O18" s="539">
        <v>69.19</v>
      </c>
      <c r="P18" s="539">
        <v>69.099999999999994</v>
      </c>
      <c r="Q18" s="539">
        <v>68.929999999999993</v>
      </c>
      <c r="R18" s="539" t="s">
        <v>556</v>
      </c>
      <c r="S18" s="539" t="s">
        <v>556</v>
      </c>
      <c r="T18" s="540"/>
      <c r="U18" s="532">
        <v>51</v>
      </c>
      <c r="V18" s="539">
        <v>69.459999999999994</v>
      </c>
      <c r="W18" s="539">
        <v>69.509999999999991</v>
      </c>
      <c r="X18" s="539">
        <v>69.55</v>
      </c>
      <c r="Y18" s="539">
        <v>69.59</v>
      </c>
      <c r="Z18" s="539">
        <v>69.63</v>
      </c>
      <c r="AA18" s="539">
        <v>69.67</v>
      </c>
      <c r="AB18" s="539">
        <v>69.7</v>
      </c>
      <c r="AC18" s="539">
        <v>69.73</v>
      </c>
      <c r="AD18" s="539">
        <v>69.759999999999991</v>
      </c>
      <c r="AE18" s="539">
        <v>69.8</v>
      </c>
      <c r="AF18" s="539">
        <v>69.819999999999993</v>
      </c>
      <c r="AG18" s="539">
        <v>69.849999999999994</v>
      </c>
      <c r="AH18" s="539">
        <v>69.91</v>
      </c>
      <c r="AI18" s="539">
        <v>69.91</v>
      </c>
      <c r="AJ18" s="539">
        <v>69.83</v>
      </c>
      <c r="AK18" s="539" t="s">
        <v>556</v>
      </c>
      <c r="AL18" s="539" t="s">
        <v>556</v>
      </c>
      <c r="AM18" s="540"/>
      <c r="AN18" s="532">
        <v>51</v>
      </c>
      <c r="AO18" s="539">
        <v>69.929999999999993</v>
      </c>
      <c r="AP18" s="539">
        <v>69.98</v>
      </c>
      <c r="AQ18" s="539">
        <v>70.03</v>
      </c>
      <c r="AR18" s="539">
        <v>70.09</v>
      </c>
      <c r="AS18" s="539">
        <v>70.13</v>
      </c>
      <c r="AT18" s="539">
        <v>70.19</v>
      </c>
      <c r="AU18" s="539">
        <v>70.239999999999995</v>
      </c>
      <c r="AV18" s="539">
        <v>70.289999999999992</v>
      </c>
      <c r="AW18" s="539">
        <v>70.34</v>
      </c>
      <c r="AX18" s="539">
        <v>70.38</v>
      </c>
      <c r="AY18" s="539">
        <v>70.429999999999993</v>
      </c>
      <c r="AZ18" s="539">
        <v>70.47</v>
      </c>
      <c r="BA18" s="539">
        <v>70.59</v>
      </c>
      <c r="BB18" s="539">
        <v>70.649999999999991</v>
      </c>
      <c r="BC18" s="539">
        <v>70.64</v>
      </c>
      <c r="BD18" s="539" t="s">
        <v>556</v>
      </c>
      <c r="BE18" s="539" t="s">
        <v>556</v>
      </c>
      <c r="BF18" s="540"/>
      <c r="BG18" s="532">
        <v>51</v>
      </c>
      <c r="BH18" s="539">
        <v>70.33</v>
      </c>
      <c r="BI18" s="539">
        <v>70.38</v>
      </c>
      <c r="BJ18" s="539">
        <v>70.44</v>
      </c>
      <c r="BK18" s="539">
        <v>70.489999999999995</v>
      </c>
      <c r="BL18" s="539">
        <v>70.55</v>
      </c>
      <c r="BM18" s="539">
        <v>70.61</v>
      </c>
      <c r="BN18" s="539">
        <v>70.67</v>
      </c>
      <c r="BO18" s="539">
        <v>70.72</v>
      </c>
      <c r="BP18" s="539">
        <v>70.78</v>
      </c>
      <c r="BQ18" s="539">
        <v>70.83</v>
      </c>
      <c r="BR18" s="539">
        <v>70.86999999999999</v>
      </c>
      <c r="BS18" s="539">
        <v>70.92</v>
      </c>
      <c r="BT18" s="539">
        <v>71.069999999999993</v>
      </c>
      <c r="BU18" s="539">
        <v>71.149999999999991</v>
      </c>
      <c r="BV18" s="539">
        <v>71.16</v>
      </c>
      <c r="BW18" s="539" t="s">
        <v>556</v>
      </c>
      <c r="BX18" s="539" t="s">
        <v>556</v>
      </c>
      <c r="BY18" s="540"/>
      <c r="BZ18" s="532">
        <v>51</v>
      </c>
      <c r="CA18" s="541">
        <v>70.680000000000007</v>
      </c>
      <c r="CB18" s="541">
        <v>70.739999999999995</v>
      </c>
      <c r="CC18" s="541">
        <v>70.81</v>
      </c>
      <c r="CD18" s="541">
        <v>70.88</v>
      </c>
      <c r="CE18" s="541">
        <v>70.959999999999994</v>
      </c>
      <c r="CF18" s="541">
        <v>71.02</v>
      </c>
      <c r="CG18" s="541">
        <v>71.09</v>
      </c>
      <c r="CH18" s="541">
        <v>71.150000000000006</v>
      </c>
      <c r="CI18" s="541">
        <v>71.22</v>
      </c>
      <c r="CJ18" s="541">
        <v>71.290000000000006</v>
      </c>
      <c r="CK18" s="541">
        <v>71.349999999999994</v>
      </c>
      <c r="CL18" s="541">
        <v>71.41</v>
      </c>
      <c r="CM18" s="541">
        <v>71.63</v>
      </c>
      <c r="CN18" s="541">
        <v>71.78</v>
      </c>
      <c r="CO18" s="541">
        <v>71.87</v>
      </c>
      <c r="CP18" s="541" t="s">
        <v>556</v>
      </c>
      <c r="CQ18" s="541" t="s">
        <v>556</v>
      </c>
    </row>
    <row r="19" spans="2:95" x14ac:dyDescent="0.25">
      <c r="B19" s="532">
        <v>52</v>
      </c>
      <c r="C19" s="539">
        <v>68.929999999999993</v>
      </c>
      <c r="D19" s="539">
        <v>68.959999999999994</v>
      </c>
      <c r="E19" s="539">
        <v>69</v>
      </c>
      <c r="F19" s="539">
        <v>69</v>
      </c>
      <c r="G19" s="539">
        <v>69.09</v>
      </c>
      <c r="H19" s="539">
        <v>69.14</v>
      </c>
      <c r="I19" s="539">
        <v>69.19</v>
      </c>
      <c r="J19" s="539">
        <v>69.209999999999994</v>
      </c>
      <c r="K19" s="539">
        <v>69.27</v>
      </c>
      <c r="L19" s="539">
        <v>69.2</v>
      </c>
      <c r="M19" s="539">
        <v>69.23</v>
      </c>
      <c r="N19" s="539">
        <v>69.239999999999995</v>
      </c>
      <c r="O19" s="539">
        <v>69.19</v>
      </c>
      <c r="P19" s="539">
        <v>69.09</v>
      </c>
      <c r="Q19" s="539">
        <v>68.89</v>
      </c>
      <c r="R19" s="539" t="s">
        <v>556</v>
      </c>
      <c r="S19" s="539" t="s">
        <v>556</v>
      </c>
      <c r="T19" s="540"/>
      <c r="U19" s="532">
        <v>52</v>
      </c>
      <c r="V19" s="539">
        <v>69.5</v>
      </c>
      <c r="W19" s="539">
        <v>69.539999999999992</v>
      </c>
      <c r="X19" s="539">
        <v>69.58</v>
      </c>
      <c r="Y19" s="539">
        <v>69.61999999999999</v>
      </c>
      <c r="Z19" s="539">
        <v>69.66</v>
      </c>
      <c r="AA19" s="539">
        <v>69.7</v>
      </c>
      <c r="AB19" s="539">
        <v>69.73</v>
      </c>
      <c r="AC19" s="539">
        <v>69.759999999999991</v>
      </c>
      <c r="AD19" s="539">
        <v>69.789999999999992</v>
      </c>
      <c r="AE19" s="539">
        <v>69.819999999999993</v>
      </c>
      <c r="AF19" s="539">
        <v>69.84</v>
      </c>
      <c r="AG19" s="539">
        <v>69.86999999999999</v>
      </c>
      <c r="AH19" s="539">
        <v>69.91</v>
      </c>
      <c r="AI19" s="539">
        <v>69.899999999999991</v>
      </c>
      <c r="AJ19" s="539">
        <v>69.789999999999992</v>
      </c>
      <c r="AK19" s="539" t="s">
        <v>556</v>
      </c>
      <c r="AL19" s="539" t="s">
        <v>556</v>
      </c>
      <c r="AM19" s="540"/>
      <c r="AN19" s="532">
        <v>52</v>
      </c>
      <c r="AO19" s="539">
        <v>69.97</v>
      </c>
      <c r="AP19" s="539">
        <v>70.02</v>
      </c>
      <c r="AQ19" s="539">
        <v>70.08</v>
      </c>
      <c r="AR19" s="539">
        <v>70.11999999999999</v>
      </c>
      <c r="AS19" s="539">
        <v>70.179999999999993</v>
      </c>
      <c r="AT19" s="539">
        <v>70.23</v>
      </c>
      <c r="AU19" s="539">
        <v>70.28</v>
      </c>
      <c r="AV19" s="539">
        <v>70.33</v>
      </c>
      <c r="AW19" s="539">
        <v>70.38</v>
      </c>
      <c r="AX19" s="539">
        <v>70.42</v>
      </c>
      <c r="AY19" s="539">
        <v>70.459999999999994</v>
      </c>
      <c r="AZ19" s="539">
        <v>70.489999999999995</v>
      </c>
      <c r="BA19" s="539">
        <v>70.599999999999994</v>
      </c>
      <c r="BB19" s="539">
        <v>70.66</v>
      </c>
      <c r="BC19" s="539">
        <v>70.63</v>
      </c>
      <c r="BD19" s="539" t="s">
        <v>556</v>
      </c>
      <c r="BE19" s="539" t="s">
        <v>556</v>
      </c>
      <c r="BF19" s="540"/>
      <c r="BG19" s="532">
        <v>52</v>
      </c>
      <c r="BH19" s="539">
        <v>70.36999999999999</v>
      </c>
      <c r="BI19" s="539">
        <v>70.429999999999993</v>
      </c>
      <c r="BJ19" s="539">
        <v>70.489999999999995</v>
      </c>
      <c r="BK19" s="539">
        <v>70.55</v>
      </c>
      <c r="BL19" s="539">
        <v>70.599999999999994</v>
      </c>
      <c r="BM19" s="539">
        <v>70.66</v>
      </c>
      <c r="BN19" s="539">
        <v>70.72</v>
      </c>
      <c r="BO19" s="539">
        <v>70.77</v>
      </c>
      <c r="BP19" s="539">
        <v>70.819999999999993</v>
      </c>
      <c r="BQ19" s="539">
        <v>70.86999999999999</v>
      </c>
      <c r="BR19" s="539">
        <v>70.91</v>
      </c>
      <c r="BS19" s="539">
        <v>70.959999999999994</v>
      </c>
      <c r="BT19" s="539">
        <v>71.08</v>
      </c>
      <c r="BU19" s="539">
        <v>71.16</v>
      </c>
      <c r="BV19" s="539">
        <v>71.149999999999991</v>
      </c>
      <c r="BW19" s="539" t="s">
        <v>556</v>
      </c>
      <c r="BX19" s="539" t="s">
        <v>556</v>
      </c>
      <c r="BY19" s="540"/>
      <c r="BZ19" s="532">
        <v>52</v>
      </c>
      <c r="CA19" s="541">
        <v>70.73</v>
      </c>
      <c r="CB19" s="541">
        <v>70.8</v>
      </c>
      <c r="CC19" s="541">
        <v>70.87</v>
      </c>
      <c r="CD19" s="541">
        <v>70.95</v>
      </c>
      <c r="CE19" s="541">
        <v>71.010000000000005</v>
      </c>
      <c r="CF19" s="541">
        <v>71.08</v>
      </c>
      <c r="CG19" s="541">
        <v>71.150000000000006</v>
      </c>
      <c r="CH19" s="541">
        <v>71.22</v>
      </c>
      <c r="CI19" s="541">
        <v>71.28</v>
      </c>
      <c r="CJ19" s="541">
        <v>71.349999999999994</v>
      </c>
      <c r="CK19" s="541">
        <v>71.400000000000006</v>
      </c>
      <c r="CL19" s="541">
        <v>71.459999999999994</v>
      </c>
      <c r="CM19" s="541">
        <v>71.66</v>
      </c>
      <c r="CN19" s="541">
        <v>71.8</v>
      </c>
      <c r="CO19" s="541">
        <v>71.88</v>
      </c>
      <c r="CP19" s="541" t="s">
        <v>556</v>
      </c>
      <c r="CQ19" s="541" t="s">
        <v>556</v>
      </c>
    </row>
    <row r="20" spans="2:95" x14ac:dyDescent="0.25">
      <c r="B20" s="532">
        <v>53</v>
      </c>
      <c r="C20" s="539">
        <v>68.97</v>
      </c>
      <c r="D20" s="539">
        <v>69.009999999999991</v>
      </c>
      <c r="E20" s="539">
        <v>69.039999999999992</v>
      </c>
      <c r="F20" s="539">
        <v>69.05</v>
      </c>
      <c r="G20" s="539">
        <v>69.13</v>
      </c>
      <c r="H20" s="539">
        <v>69.179999999999993</v>
      </c>
      <c r="I20" s="539">
        <v>69.23</v>
      </c>
      <c r="J20" s="539">
        <v>69.25</v>
      </c>
      <c r="K20" s="539">
        <v>69.31</v>
      </c>
      <c r="L20" s="539">
        <v>69.22</v>
      </c>
      <c r="M20" s="539">
        <v>69.25</v>
      </c>
      <c r="N20" s="539">
        <v>69.25</v>
      </c>
      <c r="O20" s="539">
        <v>69.19</v>
      </c>
      <c r="P20" s="539">
        <v>69.069999999999993</v>
      </c>
      <c r="Q20" s="539">
        <v>68.849999999999994</v>
      </c>
      <c r="R20" s="539" t="s">
        <v>556</v>
      </c>
      <c r="S20" s="539" t="s">
        <v>556</v>
      </c>
      <c r="T20" s="540"/>
      <c r="U20" s="532">
        <v>53</v>
      </c>
      <c r="V20" s="539">
        <v>69.53</v>
      </c>
      <c r="W20" s="539">
        <v>69.569999999999993</v>
      </c>
      <c r="X20" s="539">
        <v>69.61</v>
      </c>
      <c r="Y20" s="539">
        <v>69.649999999999991</v>
      </c>
      <c r="Z20" s="539">
        <v>69.69</v>
      </c>
      <c r="AA20" s="539">
        <v>69.72</v>
      </c>
      <c r="AB20" s="539">
        <v>69.75</v>
      </c>
      <c r="AC20" s="539">
        <v>69.78</v>
      </c>
      <c r="AD20" s="539">
        <v>69.81</v>
      </c>
      <c r="AE20" s="539">
        <v>69.84</v>
      </c>
      <c r="AF20" s="539">
        <v>69.86</v>
      </c>
      <c r="AG20" s="539">
        <v>69.88</v>
      </c>
      <c r="AH20" s="539">
        <v>69.91</v>
      </c>
      <c r="AI20" s="539">
        <v>69.88</v>
      </c>
      <c r="AJ20" s="539">
        <v>69.75</v>
      </c>
      <c r="AK20" s="539" t="s">
        <v>556</v>
      </c>
      <c r="AL20" s="539" t="s">
        <v>556</v>
      </c>
      <c r="AM20" s="540"/>
      <c r="AN20" s="532">
        <v>53</v>
      </c>
      <c r="AO20" s="539">
        <v>70.009999999999991</v>
      </c>
      <c r="AP20" s="539">
        <v>70.069999999999993</v>
      </c>
      <c r="AQ20" s="539">
        <v>70.11999999999999</v>
      </c>
      <c r="AR20" s="539">
        <v>70.17</v>
      </c>
      <c r="AS20" s="539">
        <v>70.22</v>
      </c>
      <c r="AT20" s="539">
        <v>70.27</v>
      </c>
      <c r="AU20" s="539">
        <v>70.319999999999993</v>
      </c>
      <c r="AV20" s="539">
        <v>70.36999999999999</v>
      </c>
      <c r="AW20" s="539">
        <v>70.42</v>
      </c>
      <c r="AX20" s="539">
        <v>70.459999999999994</v>
      </c>
      <c r="AY20" s="539">
        <v>70.489999999999995</v>
      </c>
      <c r="AZ20" s="539">
        <v>70.52</v>
      </c>
      <c r="BA20" s="539">
        <v>70.61</v>
      </c>
      <c r="BB20" s="539">
        <v>70.66</v>
      </c>
      <c r="BC20" s="539">
        <v>70.599999999999994</v>
      </c>
      <c r="BD20" s="539" t="s">
        <v>556</v>
      </c>
      <c r="BE20" s="539" t="s">
        <v>556</v>
      </c>
      <c r="BF20" s="540"/>
      <c r="BG20" s="532">
        <v>53</v>
      </c>
      <c r="BH20" s="539">
        <v>70.42</v>
      </c>
      <c r="BI20" s="539">
        <v>70.48</v>
      </c>
      <c r="BJ20" s="539">
        <v>70.539999999999992</v>
      </c>
      <c r="BK20" s="539">
        <v>70.599999999999994</v>
      </c>
      <c r="BL20" s="539">
        <v>70.649999999999991</v>
      </c>
      <c r="BM20" s="539">
        <v>70.709999999999994</v>
      </c>
      <c r="BN20" s="539">
        <v>70.759999999999991</v>
      </c>
      <c r="BO20" s="539">
        <v>70.819999999999993</v>
      </c>
      <c r="BP20" s="539">
        <v>70.86999999999999</v>
      </c>
      <c r="BQ20" s="539">
        <v>70.91</v>
      </c>
      <c r="BR20" s="539">
        <v>70.95</v>
      </c>
      <c r="BS20" s="539">
        <v>70.989999999999995</v>
      </c>
      <c r="BT20" s="539">
        <v>71.099999999999994</v>
      </c>
      <c r="BU20" s="539">
        <v>71.16</v>
      </c>
      <c r="BV20" s="539">
        <v>71.13</v>
      </c>
      <c r="BW20" s="539" t="s">
        <v>556</v>
      </c>
      <c r="BX20" s="539" t="s">
        <v>556</v>
      </c>
      <c r="BY20" s="540"/>
      <c r="BZ20" s="532">
        <v>53</v>
      </c>
      <c r="CA20" s="541">
        <v>70.790000000000006</v>
      </c>
      <c r="CB20" s="541">
        <v>70.86</v>
      </c>
      <c r="CC20" s="541">
        <v>70.94</v>
      </c>
      <c r="CD20" s="541">
        <v>71</v>
      </c>
      <c r="CE20" s="541">
        <v>71.069999999999993</v>
      </c>
      <c r="CF20" s="541">
        <v>71.14</v>
      </c>
      <c r="CG20" s="541">
        <v>71.209999999999994</v>
      </c>
      <c r="CH20" s="541">
        <v>71.28</v>
      </c>
      <c r="CI20" s="541">
        <v>71.34</v>
      </c>
      <c r="CJ20" s="541">
        <v>71.400000000000006</v>
      </c>
      <c r="CK20" s="541">
        <v>71.459999999999994</v>
      </c>
      <c r="CL20" s="541">
        <v>71.510000000000005</v>
      </c>
      <c r="CM20" s="541">
        <v>71.69</v>
      </c>
      <c r="CN20" s="541">
        <v>71.83</v>
      </c>
      <c r="CO20" s="541">
        <v>71.88</v>
      </c>
      <c r="CP20" s="541" t="s">
        <v>556</v>
      </c>
      <c r="CQ20" s="541" t="s">
        <v>556</v>
      </c>
    </row>
    <row r="21" spans="2:95" x14ac:dyDescent="0.25">
      <c r="B21" s="532">
        <v>54</v>
      </c>
      <c r="C21" s="539">
        <v>69.02</v>
      </c>
      <c r="D21" s="539">
        <v>69.039999999999992</v>
      </c>
      <c r="E21" s="539">
        <v>69.08</v>
      </c>
      <c r="F21" s="539">
        <v>69.09</v>
      </c>
      <c r="G21" s="539">
        <v>69.17</v>
      </c>
      <c r="H21" s="539">
        <v>69.22</v>
      </c>
      <c r="I21" s="539">
        <v>69.27</v>
      </c>
      <c r="J21" s="539">
        <v>69.289999999999992</v>
      </c>
      <c r="K21" s="539">
        <v>69.34</v>
      </c>
      <c r="L21" s="539">
        <v>69.23</v>
      </c>
      <c r="M21" s="539">
        <v>69.259999999999991</v>
      </c>
      <c r="N21" s="539">
        <v>69.25</v>
      </c>
      <c r="O21" s="539">
        <v>69.179999999999993</v>
      </c>
      <c r="P21" s="539">
        <v>69.05</v>
      </c>
      <c r="Q21" s="539">
        <v>68.8</v>
      </c>
      <c r="R21" s="539" t="s">
        <v>556</v>
      </c>
      <c r="S21" s="539" t="s">
        <v>556</v>
      </c>
      <c r="T21" s="540"/>
      <c r="U21" s="532">
        <v>54</v>
      </c>
      <c r="V21" s="539">
        <v>69.56</v>
      </c>
      <c r="W21" s="539">
        <v>69.599999999999994</v>
      </c>
      <c r="X21" s="539">
        <v>69.64</v>
      </c>
      <c r="Y21" s="539">
        <v>69.679999999999993</v>
      </c>
      <c r="Z21" s="539">
        <v>69.709999999999994</v>
      </c>
      <c r="AA21" s="539">
        <v>69.739999999999995</v>
      </c>
      <c r="AB21" s="539">
        <v>69.78</v>
      </c>
      <c r="AC21" s="539">
        <v>69.81</v>
      </c>
      <c r="AD21" s="539">
        <v>69.83</v>
      </c>
      <c r="AE21" s="539">
        <v>69.849999999999994</v>
      </c>
      <c r="AF21" s="539">
        <v>69.86999999999999</v>
      </c>
      <c r="AG21" s="539">
        <v>69.88</v>
      </c>
      <c r="AH21" s="539">
        <v>69.899999999999991</v>
      </c>
      <c r="AI21" s="539">
        <v>69.86</v>
      </c>
      <c r="AJ21" s="539">
        <v>69.7</v>
      </c>
      <c r="AK21" s="539" t="s">
        <v>556</v>
      </c>
      <c r="AL21" s="539" t="s">
        <v>556</v>
      </c>
      <c r="AM21" s="540"/>
      <c r="AN21" s="532">
        <v>54</v>
      </c>
      <c r="AO21" s="539">
        <v>70.06</v>
      </c>
      <c r="AP21" s="539">
        <v>70.099999999999994</v>
      </c>
      <c r="AQ21" s="539">
        <v>70.16</v>
      </c>
      <c r="AR21" s="539">
        <v>70.209999999999994</v>
      </c>
      <c r="AS21" s="539">
        <v>70.259999999999991</v>
      </c>
      <c r="AT21" s="539">
        <v>70.31</v>
      </c>
      <c r="AU21" s="539">
        <v>70.36</v>
      </c>
      <c r="AV21" s="539">
        <v>70.41</v>
      </c>
      <c r="AW21" s="539">
        <v>70.45</v>
      </c>
      <c r="AX21" s="539">
        <v>70.48</v>
      </c>
      <c r="AY21" s="539">
        <v>70.509999999999991</v>
      </c>
      <c r="AZ21" s="539">
        <v>70.539999999999992</v>
      </c>
      <c r="BA21" s="539">
        <v>70.61999999999999</v>
      </c>
      <c r="BB21" s="539">
        <v>70.649999999999991</v>
      </c>
      <c r="BC21" s="539">
        <v>70.569999999999993</v>
      </c>
      <c r="BD21" s="539" t="s">
        <v>556</v>
      </c>
      <c r="BE21" s="539" t="s">
        <v>556</v>
      </c>
      <c r="BF21" s="540"/>
      <c r="BG21" s="532">
        <v>54</v>
      </c>
      <c r="BH21" s="539">
        <v>70.47</v>
      </c>
      <c r="BI21" s="539">
        <v>70.53</v>
      </c>
      <c r="BJ21" s="539">
        <v>70.59</v>
      </c>
      <c r="BK21" s="539">
        <v>70.64</v>
      </c>
      <c r="BL21" s="539">
        <v>70.7</v>
      </c>
      <c r="BM21" s="539">
        <v>70.759999999999991</v>
      </c>
      <c r="BN21" s="539">
        <v>70.81</v>
      </c>
      <c r="BO21" s="539">
        <v>70.86</v>
      </c>
      <c r="BP21" s="539">
        <v>70.899999999999991</v>
      </c>
      <c r="BQ21" s="539">
        <v>70.95</v>
      </c>
      <c r="BR21" s="539">
        <v>70.98</v>
      </c>
      <c r="BS21" s="539">
        <v>71.009999999999991</v>
      </c>
      <c r="BT21" s="539">
        <v>71.11</v>
      </c>
      <c r="BU21" s="539">
        <v>71.16</v>
      </c>
      <c r="BV21" s="539">
        <v>71.11</v>
      </c>
      <c r="BW21" s="539" t="s">
        <v>556</v>
      </c>
      <c r="BX21" s="539" t="s">
        <v>556</v>
      </c>
      <c r="BY21" s="540"/>
      <c r="BZ21" s="532">
        <v>54</v>
      </c>
      <c r="CA21" s="541">
        <v>70.849999999999994</v>
      </c>
      <c r="CB21" s="541">
        <v>70.930000000000007</v>
      </c>
      <c r="CC21" s="541">
        <v>70.989999999999995</v>
      </c>
      <c r="CD21" s="541">
        <v>71.06</v>
      </c>
      <c r="CE21" s="541">
        <v>71.13</v>
      </c>
      <c r="CF21" s="541">
        <v>71.2</v>
      </c>
      <c r="CG21" s="541">
        <v>71.27</v>
      </c>
      <c r="CH21" s="541">
        <v>71.34</v>
      </c>
      <c r="CI21" s="541">
        <v>71.39</v>
      </c>
      <c r="CJ21" s="541">
        <v>71.459999999999994</v>
      </c>
      <c r="CK21" s="541">
        <v>71.510000000000005</v>
      </c>
      <c r="CL21" s="541">
        <v>71.55</v>
      </c>
      <c r="CM21" s="541">
        <v>71.72</v>
      </c>
      <c r="CN21" s="541">
        <v>71.84</v>
      </c>
      <c r="CO21" s="541">
        <v>71.88</v>
      </c>
      <c r="CP21" s="541" t="s">
        <v>556</v>
      </c>
      <c r="CQ21" s="541" t="s">
        <v>556</v>
      </c>
    </row>
    <row r="22" spans="2:95" x14ac:dyDescent="0.25">
      <c r="B22" s="532">
        <v>55</v>
      </c>
      <c r="C22" s="539">
        <v>69.05</v>
      </c>
      <c r="D22" s="539">
        <v>69.09</v>
      </c>
      <c r="E22" s="539">
        <v>69.11999999999999</v>
      </c>
      <c r="F22" s="539">
        <v>69.13</v>
      </c>
      <c r="G22" s="539">
        <v>69.22</v>
      </c>
      <c r="H22" s="539">
        <v>69.259999999999991</v>
      </c>
      <c r="I22" s="539">
        <v>69.31</v>
      </c>
      <c r="J22" s="539">
        <v>69.33</v>
      </c>
      <c r="K22" s="539">
        <v>69.36999999999999</v>
      </c>
      <c r="L22" s="539">
        <v>69.239999999999995</v>
      </c>
      <c r="M22" s="539">
        <v>69.259999999999991</v>
      </c>
      <c r="N22" s="539">
        <v>69.25</v>
      </c>
      <c r="O22" s="539">
        <v>69.17</v>
      </c>
      <c r="P22" s="539">
        <v>69.02</v>
      </c>
      <c r="Q22" s="539" t="s">
        <v>556</v>
      </c>
      <c r="R22" s="539" t="s">
        <v>556</v>
      </c>
      <c r="S22" s="539" t="s">
        <v>556</v>
      </c>
      <c r="T22" s="540"/>
      <c r="U22" s="532">
        <v>55</v>
      </c>
      <c r="V22" s="539">
        <v>69.59</v>
      </c>
      <c r="W22" s="539">
        <v>69.63</v>
      </c>
      <c r="X22" s="539">
        <v>69.67</v>
      </c>
      <c r="Y22" s="539">
        <v>69.7</v>
      </c>
      <c r="Z22" s="539">
        <v>69.739999999999995</v>
      </c>
      <c r="AA22" s="539">
        <v>69.77</v>
      </c>
      <c r="AB22" s="539">
        <v>69.8</v>
      </c>
      <c r="AC22" s="539">
        <v>69.83</v>
      </c>
      <c r="AD22" s="539">
        <v>69.849999999999994</v>
      </c>
      <c r="AE22" s="539">
        <v>69.86</v>
      </c>
      <c r="AF22" s="539">
        <v>69.86999999999999</v>
      </c>
      <c r="AG22" s="539">
        <v>69.88</v>
      </c>
      <c r="AH22" s="539">
        <v>69.89</v>
      </c>
      <c r="AI22" s="539">
        <v>69.83</v>
      </c>
      <c r="AJ22" s="539" t="s">
        <v>556</v>
      </c>
      <c r="AK22" s="539" t="s">
        <v>556</v>
      </c>
      <c r="AL22" s="539" t="s">
        <v>556</v>
      </c>
      <c r="AM22" s="540"/>
      <c r="AN22" s="532">
        <v>55</v>
      </c>
      <c r="AO22" s="539">
        <v>70.09</v>
      </c>
      <c r="AP22" s="539">
        <v>70.149999999999991</v>
      </c>
      <c r="AQ22" s="539">
        <v>70.2</v>
      </c>
      <c r="AR22" s="539">
        <v>70.25</v>
      </c>
      <c r="AS22" s="539">
        <v>70.31</v>
      </c>
      <c r="AT22" s="539">
        <v>70.349999999999994</v>
      </c>
      <c r="AU22" s="539">
        <v>70.399999999999991</v>
      </c>
      <c r="AV22" s="539">
        <v>70.45</v>
      </c>
      <c r="AW22" s="539">
        <v>70.48</v>
      </c>
      <c r="AX22" s="539">
        <v>70.509999999999991</v>
      </c>
      <c r="AY22" s="539">
        <v>70.53</v>
      </c>
      <c r="AZ22" s="539">
        <v>70.55</v>
      </c>
      <c r="BA22" s="539">
        <v>70.63</v>
      </c>
      <c r="BB22" s="539">
        <v>70.64</v>
      </c>
      <c r="BC22" s="539" t="s">
        <v>556</v>
      </c>
      <c r="BD22" s="539" t="s">
        <v>556</v>
      </c>
      <c r="BE22" s="539" t="s">
        <v>556</v>
      </c>
      <c r="BF22" s="540"/>
      <c r="BG22" s="532">
        <v>55</v>
      </c>
      <c r="BH22" s="539">
        <v>70.509999999999991</v>
      </c>
      <c r="BI22" s="539">
        <v>70.569999999999993</v>
      </c>
      <c r="BJ22" s="539">
        <v>70.63</v>
      </c>
      <c r="BK22" s="539">
        <v>70.69</v>
      </c>
      <c r="BL22" s="539">
        <v>70.75</v>
      </c>
      <c r="BM22" s="539">
        <v>70.8</v>
      </c>
      <c r="BN22" s="539">
        <v>70.86</v>
      </c>
      <c r="BO22" s="539">
        <v>70.89</v>
      </c>
      <c r="BP22" s="539">
        <v>70.94</v>
      </c>
      <c r="BQ22" s="539">
        <v>70.98</v>
      </c>
      <c r="BR22" s="539">
        <v>71</v>
      </c>
      <c r="BS22" s="539">
        <v>71.03</v>
      </c>
      <c r="BT22" s="539">
        <v>71.11999999999999</v>
      </c>
      <c r="BU22" s="539">
        <v>71.16</v>
      </c>
      <c r="BV22" s="539" t="s">
        <v>556</v>
      </c>
      <c r="BW22" s="539" t="s">
        <v>556</v>
      </c>
      <c r="BX22" s="539" t="s">
        <v>556</v>
      </c>
      <c r="BY22" s="540"/>
      <c r="BZ22" s="532">
        <v>55</v>
      </c>
      <c r="CA22" s="541">
        <v>70.91</v>
      </c>
      <c r="CB22" s="541">
        <v>70.98</v>
      </c>
      <c r="CC22" s="541">
        <v>71.05</v>
      </c>
      <c r="CD22" s="541">
        <v>71.12</v>
      </c>
      <c r="CE22" s="541">
        <v>71.19</v>
      </c>
      <c r="CF22" s="541">
        <v>71.260000000000005</v>
      </c>
      <c r="CG22" s="541">
        <v>71.33</v>
      </c>
      <c r="CH22" s="541">
        <v>71.39</v>
      </c>
      <c r="CI22" s="541">
        <v>71.45</v>
      </c>
      <c r="CJ22" s="541">
        <v>71.5</v>
      </c>
      <c r="CK22" s="541">
        <v>71.55</v>
      </c>
      <c r="CL22" s="541">
        <v>71.59</v>
      </c>
      <c r="CM22" s="541">
        <v>71.739999999999995</v>
      </c>
      <c r="CN22" s="541">
        <v>71.86</v>
      </c>
      <c r="CO22" s="541" t="s">
        <v>556</v>
      </c>
      <c r="CP22" s="541" t="s">
        <v>556</v>
      </c>
      <c r="CQ22" s="541" t="s">
        <v>556</v>
      </c>
    </row>
    <row r="23" spans="2:95" x14ac:dyDescent="0.25">
      <c r="B23" s="532">
        <v>56</v>
      </c>
      <c r="C23" s="539">
        <v>69.099999999999994</v>
      </c>
      <c r="D23" s="539">
        <v>69.13</v>
      </c>
      <c r="E23" s="539">
        <v>69.16</v>
      </c>
      <c r="F23" s="539">
        <v>69.179999999999993</v>
      </c>
      <c r="G23" s="539">
        <v>69.259999999999991</v>
      </c>
      <c r="H23" s="539">
        <v>69.3</v>
      </c>
      <c r="I23" s="539">
        <v>69.349999999999994</v>
      </c>
      <c r="J23" s="539">
        <v>69.36</v>
      </c>
      <c r="K23" s="539">
        <v>69.39</v>
      </c>
      <c r="L23" s="539">
        <v>69.25</v>
      </c>
      <c r="M23" s="539">
        <v>69.27</v>
      </c>
      <c r="N23" s="539">
        <v>69.25</v>
      </c>
      <c r="O23" s="539">
        <v>69.16</v>
      </c>
      <c r="P23" s="539">
        <v>68.98</v>
      </c>
      <c r="Q23" s="539" t="s">
        <v>556</v>
      </c>
      <c r="R23" s="539" t="s">
        <v>556</v>
      </c>
      <c r="S23" s="539" t="s">
        <v>556</v>
      </c>
      <c r="T23" s="540"/>
      <c r="U23" s="532">
        <v>56</v>
      </c>
      <c r="V23" s="539">
        <v>69.61999999999999</v>
      </c>
      <c r="W23" s="539">
        <v>69.66</v>
      </c>
      <c r="X23" s="539">
        <v>69.7</v>
      </c>
      <c r="Y23" s="539">
        <v>69.73</v>
      </c>
      <c r="Z23" s="539">
        <v>69.759999999999991</v>
      </c>
      <c r="AA23" s="539">
        <v>69.789999999999992</v>
      </c>
      <c r="AB23" s="539">
        <v>69.819999999999993</v>
      </c>
      <c r="AC23" s="539">
        <v>69.84</v>
      </c>
      <c r="AD23" s="539">
        <v>69.86</v>
      </c>
      <c r="AE23" s="539">
        <v>69.86999999999999</v>
      </c>
      <c r="AF23" s="539">
        <v>69.88</v>
      </c>
      <c r="AG23" s="539">
        <v>69.88</v>
      </c>
      <c r="AH23" s="539">
        <v>69.88</v>
      </c>
      <c r="AI23" s="539">
        <v>69.789999999999992</v>
      </c>
      <c r="AJ23" s="539" t="s">
        <v>556</v>
      </c>
      <c r="AK23" s="539" t="s">
        <v>556</v>
      </c>
      <c r="AL23" s="539" t="s">
        <v>556</v>
      </c>
      <c r="AM23" s="540"/>
      <c r="AN23" s="532">
        <v>56</v>
      </c>
      <c r="AO23" s="539">
        <v>70.14</v>
      </c>
      <c r="AP23" s="539">
        <v>70.19</v>
      </c>
      <c r="AQ23" s="539">
        <v>70.239999999999995</v>
      </c>
      <c r="AR23" s="539">
        <v>70.3</v>
      </c>
      <c r="AS23" s="539">
        <v>70.349999999999994</v>
      </c>
      <c r="AT23" s="539">
        <v>70.39</v>
      </c>
      <c r="AU23" s="539">
        <v>70.44</v>
      </c>
      <c r="AV23" s="539">
        <v>70.48</v>
      </c>
      <c r="AW23" s="539">
        <v>70.5</v>
      </c>
      <c r="AX23" s="539">
        <v>70.52</v>
      </c>
      <c r="AY23" s="539">
        <v>70.539999999999992</v>
      </c>
      <c r="AZ23" s="539">
        <v>70.56</v>
      </c>
      <c r="BA23" s="539">
        <v>70.63</v>
      </c>
      <c r="BB23" s="539">
        <v>70.61999999999999</v>
      </c>
      <c r="BC23" s="539" t="s">
        <v>556</v>
      </c>
      <c r="BD23" s="539" t="s">
        <v>556</v>
      </c>
      <c r="BE23" s="539" t="s">
        <v>556</v>
      </c>
      <c r="BF23" s="540"/>
      <c r="BG23" s="532">
        <v>56</v>
      </c>
      <c r="BH23" s="539">
        <v>70.56</v>
      </c>
      <c r="BI23" s="539">
        <v>70.61999999999999</v>
      </c>
      <c r="BJ23" s="539">
        <v>70.679999999999993</v>
      </c>
      <c r="BK23" s="539">
        <v>70.739999999999995</v>
      </c>
      <c r="BL23" s="539">
        <v>70.789999999999992</v>
      </c>
      <c r="BM23" s="539">
        <v>70.849999999999994</v>
      </c>
      <c r="BN23" s="539">
        <v>70.89</v>
      </c>
      <c r="BO23" s="539">
        <v>70.929999999999993</v>
      </c>
      <c r="BP23" s="539">
        <v>70.97</v>
      </c>
      <c r="BQ23" s="539">
        <v>71</v>
      </c>
      <c r="BR23" s="539">
        <v>71.02</v>
      </c>
      <c r="BS23" s="539">
        <v>71.05</v>
      </c>
      <c r="BT23" s="539">
        <v>71.13</v>
      </c>
      <c r="BU23" s="539">
        <v>71.149999999999991</v>
      </c>
      <c r="BV23" s="539" t="s">
        <v>556</v>
      </c>
      <c r="BW23" s="539" t="s">
        <v>556</v>
      </c>
      <c r="BX23" s="539" t="s">
        <v>556</v>
      </c>
      <c r="BY23" s="540"/>
      <c r="BZ23" s="532">
        <v>56</v>
      </c>
      <c r="CA23" s="541">
        <v>70.959999999999994</v>
      </c>
      <c r="CB23" s="541">
        <v>71.040000000000006</v>
      </c>
      <c r="CC23" s="541">
        <v>71.11</v>
      </c>
      <c r="CD23" s="541">
        <v>71.180000000000007</v>
      </c>
      <c r="CE23" s="541">
        <v>71.25</v>
      </c>
      <c r="CF23" s="541">
        <v>71.319999999999993</v>
      </c>
      <c r="CG23" s="541">
        <v>71.38</v>
      </c>
      <c r="CH23" s="541">
        <v>71.44</v>
      </c>
      <c r="CI23" s="541">
        <v>71.5</v>
      </c>
      <c r="CJ23" s="541">
        <v>71.540000000000006</v>
      </c>
      <c r="CK23" s="541">
        <v>71.58</v>
      </c>
      <c r="CL23" s="541">
        <v>71.61</v>
      </c>
      <c r="CM23" s="541">
        <v>71.760000000000005</v>
      </c>
      <c r="CN23" s="541">
        <v>71.87</v>
      </c>
      <c r="CO23" s="541" t="s">
        <v>556</v>
      </c>
      <c r="CP23" s="541" t="s">
        <v>556</v>
      </c>
      <c r="CQ23" s="541" t="s">
        <v>556</v>
      </c>
    </row>
    <row r="24" spans="2:95" x14ac:dyDescent="0.25">
      <c r="B24" s="532">
        <v>57</v>
      </c>
      <c r="C24" s="539">
        <v>69.14</v>
      </c>
      <c r="D24" s="539">
        <v>69.17</v>
      </c>
      <c r="E24" s="539">
        <v>69.2</v>
      </c>
      <c r="F24" s="539">
        <v>69.209999999999994</v>
      </c>
      <c r="G24" s="539">
        <v>69.289999999999992</v>
      </c>
      <c r="H24" s="539">
        <v>69.34</v>
      </c>
      <c r="I24" s="539">
        <v>69.38</v>
      </c>
      <c r="J24" s="539">
        <v>69.36999999999999</v>
      </c>
      <c r="K24" s="539">
        <v>69.41</v>
      </c>
      <c r="L24" s="539">
        <v>69.25</v>
      </c>
      <c r="M24" s="539">
        <v>69.259999999999991</v>
      </c>
      <c r="N24" s="539">
        <v>69.25</v>
      </c>
      <c r="O24" s="539">
        <v>69.14</v>
      </c>
      <c r="P24" s="539">
        <v>68.94</v>
      </c>
      <c r="Q24" s="539" t="s">
        <v>556</v>
      </c>
      <c r="R24" s="539" t="s">
        <v>556</v>
      </c>
      <c r="S24" s="539" t="s">
        <v>556</v>
      </c>
      <c r="T24" s="540"/>
      <c r="U24" s="532">
        <v>57</v>
      </c>
      <c r="V24" s="539">
        <v>69.649999999999991</v>
      </c>
      <c r="W24" s="539">
        <v>69.69</v>
      </c>
      <c r="X24" s="539">
        <v>69.72</v>
      </c>
      <c r="Y24" s="539">
        <v>69.75</v>
      </c>
      <c r="Z24" s="539">
        <v>69.78</v>
      </c>
      <c r="AA24" s="539">
        <v>69.81</v>
      </c>
      <c r="AB24" s="539">
        <v>69.83</v>
      </c>
      <c r="AC24" s="539">
        <v>69.849999999999994</v>
      </c>
      <c r="AD24" s="539">
        <v>69.86</v>
      </c>
      <c r="AE24" s="539">
        <v>69.86999999999999</v>
      </c>
      <c r="AF24" s="539">
        <v>69.86999999999999</v>
      </c>
      <c r="AG24" s="539">
        <v>69.88</v>
      </c>
      <c r="AH24" s="539">
        <v>69.86</v>
      </c>
      <c r="AI24" s="539">
        <v>69.75</v>
      </c>
      <c r="AJ24" s="539" t="s">
        <v>556</v>
      </c>
      <c r="AK24" s="539" t="s">
        <v>556</v>
      </c>
      <c r="AL24" s="539" t="s">
        <v>556</v>
      </c>
      <c r="AM24" s="540"/>
      <c r="AN24" s="532">
        <v>57</v>
      </c>
      <c r="AO24" s="539">
        <v>70.179999999999993</v>
      </c>
      <c r="AP24" s="539">
        <v>70.23</v>
      </c>
      <c r="AQ24" s="539">
        <v>70.28</v>
      </c>
      <c r="AR24" s="539">
        <v>70.33</v>
      </c>
      <c r="AS24" s="539">
        <v>70.38</v>
      </c>
      <c r="AT24" s="539">
        <v>70.429999999999993</v>
      </c>
      <c r="AU24" s="539">
        <v>70.47</v>
      </c>
      <c r="AV24" s="539">
        <v>70.489999999999995</v>
      </c>
      <c r="AW24" s="539">
        <v>70.52</v>
      </c>
      <c r="AX24" s="539">
        <v>70.539999999999992</v>
      </c>
      <c r="AY24" s="539">
        <v>70.55</v>
      </c>
      <c r="AZ24" s="539">
        <v>70.569999999999993</v>
      </c>
      <c r="BA24" s="539">
        <v>70.63</v>
      </c>
      <c r="BB24" s="539">
        <v>70.599999999999994</v>
      </c>
      <c r="BC24" s="539" t="s">
        <v>556</v>
      </c>
      <c r="BD24" s="539" t="s">
        <v>556</v>
      </c>
      <c r="BE24" s="539" t="s">
        <v>556</v>
      </c>
      <c r="BF24" s="540"/>
      <c r="BG24" s="532">
        <v>57</v>
      </c>
      <c r="BH24" s="539">
        <v>70.61</v>
      </c>
      <c r="BI24" s="539">
        <v>70.67</v>
      </c>
      <c r="BJ24" s="539">
        <v>70.73</v>
      </c>
      <c r="BK24" s="539">
        <v>70.78</v>
      </c>
      <c r="BL24" s="539">
        <v>70.84</v>
      </c>
      <c r="BM24" s="539">
        <v>70.88</v>
      </c>
      <c r="BN24" s="539">
        <v>70.92</v>
      </c>
      <c r="BO24" s="539">
        <v>70.959999999999994</v>
      </c>
      <c r="BP24" s="539">
        <v>70.989999999999995</v>
      </c>
      <c r="BQ24" s="539">
        <v>71.02</v>
      </c>
      <c r="BR24" s="539">
        <v>71.039999999999992</v>
      </c>
      <c r="BS24" s="539">
        <v>71.06</v>
      </c>
      <c r="BT24" s="539">
        <v>71.14</v>
      </c>
      <c r="BU24" s="539">
        <v>71.13</v>
      </c>
      <c r="BV24" s="539" t="s">
        <v>556</v>
      </c>
      <c r="BW24" s="539" t="s">
        <v>556</v>
      </c>
      <c r="BX24" s="539" t="s">
        <v>556</v>
      </c>
      <c r="BY24" s="540"/>
      <c r="BZ24" s="532">
        <v>57</v>
      </c>
      <c r="CA24" s="541">
        <v>71.02</v>
      </c>
      <c r="CB24" s="541">
        <v>71.099999999999994</v>
      </c>
      <c r="CC24" s="541">
        <v>71.17</v>
      </c>
      <c r="CD24" s="541">
        <v>71.239999999999995</v>
      </c>
      <c r="CE24" s="541">
        <v>71.31</v>
      </c>
      <c r="CF24" s="541">
        <v>71.37</v>
      </c>
      <c r="CG24" s="541">
        <v>71.430000000000007</v>
      </c>
      <c r="CH24" s="541">
        <v>71.489999999999995</v>
      </c>
      <c r="CI24" s="541">
        <v>71.53</v>
      </c>
      <c r="CJ24" s="541">
        <v>71.569999999999993</v>
      </c>
      <c r="CK24" s="541">
        <v>71.61</v>
      </c>
      <c r="CL24" s="541">
        <v>71.64</v>
      </c>
      <c r="CM24" s="541">
        <v>71.790000000000006</v>
      </c>
      <c r="CN24" s="541">
        <v>71.87</v>
      </c>
      <c r="CO24" s="541" t="s">
        <v>556</v>
      </c>
      <c r="CP24" s="541" t="s">
        <v>556</v>
      </c>
      <c r="CQ24" s="541" t="s">
        <v>556</v>
      </c>
    </row>
    <row r="25" spans="2:95" x14ac:dyDescent="0.25">
      <c r="B25" s="532">
        <v>58</v>
      </c>
      <c r="C25" s="539">
        <v>69.179999999999993</v>
      </c>
      <c r="D25" s="539">
        <v>69.209999999999994</v>
      </c>
      <c r="E25" s="539">
        <v>69.239999999999995</v>
      </c>
      <c r="F25" s="539">
        <v>69.25</v>
      </c>
      <c r="G25" s="539">
        <v>69.33</v>
      </c>
      <c r="H25" s="539">
        <v>69.36999999999999</v>
      </c>
      <c r="I25" s="539">
        <v>69.39</v>
      </c>
      <c r="J25" s="539">
        <v>69.39</v>
      </c>
      <c r="K25" s="539">
        <v>69.42</v>
      </c>
      <c r="L25" s="539">
        <v>69.239999999999995</v>
      </c>
      <c r="M25" s="539">
        <v>69.25</v>
      </c>
      <c r="N25" s="539">
        <v>69.239999999999995</v>
      </c>
      <c r="O25" s="539">
        <v>69.11</v>
      </c>
      <c r="P25" s="539">
        <v>68.89</v>
      </c>
      <c r="Q25" s="539" t="s">
        <v>556</v>
      </c>
      <c r="R25" s="539" t="s">
        <v>556</v>
      </c>
      <c r="S25" s="539" t="s">
        <v>556</v>
      </c>
      <c r="T25" s="540"/>
      <c r="U25" s="532">
        <v>58</v>
      </c>
      <c r="V25" s="539">
        <v>69.679999999999993</v>
      </c>
      <c r="W25" s="539">
        <v>69.7</v>
      </c>
      <c r="X25" s="539">
        <v>69.739999999999995</v>
      </c>
      <c r="Y25" s="539">
        <v>69.77</v>
      </c>
      <c r="Z25" s="539">
        <v>69.8</v>
      </c>
      <c r="AA25" s="539">
        <v>69.819999999999993</v>
      </c>
      <c r="AB25" s="539">
        <v>69.84</v>
      </c>
      <c r="AC25" s="539">
        <v>69.849999999999994</v>
      </c>
      <c r="AD25" s="539">
        <v>69.86</v>
      </c>
      <c r="AE25" s="539">
        <v>69.86</v>
      </c>
      <c r="AF25" s="539">
        <v>69.86</v>
      </c>
      <c r="AG25" s="539">
        <v>69.86999999999999</v>
      </c>
      <c r="AH25" s="539">
        <v>69.83</v>
      </c>
      <c r="AI25" s="539">
        <v>69.7</v>
      </c>
      <c r="AJ25" s="539" t="s">
        <v>556</v>
      </c>
      <c r="AK25" s="539" t="s">
        <v>556</v>
      </c>
      <c r="AL25" s="539" t="s">
        <v>556</v>
      </c>
      <c r="AM25" s="540"/>
      <c r="AN25" s="532">
        <v>58</v>
      </c>
      <c r="AO25" s="539">
        <v>70.22</v>
      </c>
      <c r="AP25" s="539">
        <v>70.27</v>
      </c>
      <c r="AQ25" s="539">
        <v>70.319999999999993</v>
      </c>
      <c r="AR25" s="539">
        <v>70.36999999999999</v>
      </c>
      <c r="AS25" s="539">
        <v>70.42</v>
      </c>
      <c r="AT25" s="539">
        <v>70.459999999999994</v>
      </c>
      <c r="AU25" s="539">
        <v>70.48</v>
      </c>
      <c r="AV25" s="539">
        <v>70.509999999999991</v>
      </c>
      <c r="AW25" s="539">
        <v>70.53</v>
      </c>
      <c r="AX25" s="539">
        <v>70.539999999999992</v>
      </c>
      <c r="AY25" s="539">
        <v>70.56</v>
      </c>
      <c r="AZ25" s="539">
        <v>70.58</v>
      </c>
      <c r="BA25" s="539">
        <v>70.61999999999999</v>
      </c>
      <c r="BB25" s="539">
        <v>70.56</v>
      </c>
      <c r="BC25" s="539" t="s">
        <v>556</v>
      </c>
      <c r="BD25" s="539" t="s">
        <v>556</v>
      </c>
      <c r="BE25" s="539" t="s">
        <v>556</v>
      </c>
      <c r="BF25" s="540"/>
      <c r="BG25" s="532">
        <v>58</v>
      </c>
      <c r="BH25" s="539">
        <v>70.649999999999991</v>
      </c>
      <c r="BI25" s="539">
        <v>70.709999999999994</v>
      </c>
      <c r="BJ25" s="539">
        <v>70.77</v>
      </c>
      <c r="BK25" s="539">
        <v>70.83</v>
      </c>
      <c r="BL25" s="539">
        <v>70.86999999999999</v>
      </c>
      <c r="BM25" s="539">
        <v>70.91</v>
      </c>
      <c r="BN25" s="539">
        <v>70.95</v>
      </c>
      <c r="BO25" s="539">
        <v>70.98</v>
      </c>
      <c r="BP25" s="539">
        <v>71.009999999999991</v>
      </c>
      <c r="BQ25" s="539">
        <v>71.03</v>
      </c>
      <c r="BR25" s="539">
        <v>71.05</v>
      </c>
      <c r="BS25" s="539">
        <v>71.069999999999993</v>
      </c>
      <c r="BT25" s="539">
        <v>71.13</v>
      </c>
      <c r="BU25" s="539">
        <v>71.099999999999994</v>
      </c>
      <c r="BV25" s="539" t="s">
        <v>556</v>
      </c>
      <c r="BW25" s="539" t="s">
        <v>556</v>
      </c>
      <c r="BX25" s="539" t="s">
        <v>556</v>
      </c>
      <c r="BY25" s="540"/>
      <c r="BZ25" s="532">
        <v>58</v>
      </c>
      <c r="CA25" s="541">
        <v>71.08</v>
      </c>
      <c r="CB25" s="541">
        <v>71.150000000000006</v>
      </c>
      <c r="CC25" s="541">
        <v>71.23</v>
      </c>
      <c r="CD25" s="541">
        <v>71.3</v>
      </c>
      <c r="CE25" s="541">
        <v>71.36</v>
      </c>
      <c r="CF25" s="541">
        <v>71.42</v>
      </c>
      <c r="CG25" s="541">
        <v>71.48</v>
      </c>
      <c r="CH25" s="541">
        <v>71.53</v>
      </c>
      <c r="CI25" s="541">
        <v>71.569999999999993</v>
      </c>
      <c r="CJ25" s="541">
        <v>71.599999999999994</v>
      </c>
      <c r="CK25" s="541">
        <v>71.63</v>
      </c>
      <c r="CL25" s="541">
        <v>71.67</v>
      </c>
      <c r="CM25" s="541">
        <v>71.8</v>
      </c>
      <c r="CN25" s="541">
        <v>71.87</v>
      </c>
      <c r="CO25" s="541" t="s">
        <v>556</v>
      </c>
      <c r="CP25" s="541" t="s">
        <v>556</v>
      </c>
      <c r="CQ25" s="541" t="s">
        <v>556</v>
      </c>
    </row>
    <row r="26" spans="2:95" x14ac:dyDescent="0.25">
      <c r="B26" s="532">
        <v>59</v>
      </c>
      <c r="C26" s="539">
        <v>69.22</v>
      </c>
      <c r="D26" s="539">
        <v>69.25</v>
      </c>
      <c r="E26" s="539">
        <v>69.28</v>
      </c>
      <c r="F26" s="539">
        <v>69.289999999999992</v>
      </c>
      <c r="G26" s="539">
        <v>69.36</v>
      </c>
      <c r="H26" s="539">
        <v>69.39</v>
      </c>
      <c r="I26" s="539">
        <v>69.41</v>
      </c>
      <c r="J26" s="539">
        <v>69.399999999999991</v>
      </c>
      <c r="K26" s="539">
        <v>69.42</v>
      </c>
      <c r="L26" s="539">
        <v>69.23</v>
      </c>
      <c r="M26" s="539">
        <v>69.239999999999995</v>
      </c>
      <c r="N26" s="539">
        <v>69.22</v>
      </c>
      <c r="O26" s="539">
        <v>69.08</v>
      </c>
      <c r="P26" s="539">
        <v>68.83</v>
      </c>
      <c r="Q26" s="539" t="s">
        <v>556</v>
      </c>
      <c r="R26" s="539" t="s">
        <v>556</v>
      </c>
      <c r="S26" s="539" t="s">
        <v>556</v>
      </c>
      <c r="T26" s="540"/>
      <c r="U26" s="532">
        <v>59</v>
      </c>
      <c r="V26" s="539">
        <v>69.7</v>
      </c>
      <c r="W26" s="539">
        <v>69.73</v>
      </c>
      <c r="X26" s="539">
        <v>69.759999999999991</v>
      </c>
      <c r="Y26" s="539">
        <v>69.789999999999992</v>
      </c>
      <c r="Z26" s="539">
        <v>69.81</v>
      </c>
      <c r="AA26" s="539">
        <v>69.83</v>
      </c>
      <c r="AB26" s="539">
        <v>69.84</v>
      </c>
      <c r="AC26" s="539">
        <v>69.84</v>
      </c>
      <c r="AD26" s="539">
        <v>69.849999999999994</v>
      </c>
      <c r="AE26" s="539">
        <v>69.849999999999994</v>
      </c>
      <c r="AF26" s="539">
        <v>69.849999999999994</v>
      </c>
      <c r="AG26" s="539">
        <v>69.849999999999994</v>
      </c>
      <c r="AH26" s="539">
        <v>69.8</v>
      </c>
      <c r="AI26" s="539">
        <v>69.64</v>
      </c>
      <c r="AJ26" s="539" t="s">
        <v>556</v>
      </c>
      <c r="AK26" s="539" t="s">
        <v>556</v>
      </c>
      <c r="AL26" s="539" t="s">
        <v>556</v>
      </c>
      <c r="AM26" s="540"/>
      <c r="AN26" s="532">
        <v>59</v>
      </c>
      <c r="AO26" s="539">
        <v>70.259999999999991</v>
      </c>
      <c r="AP26" s="539">
        <v>70.31</v>
      </c>
      <c r="AQ26" s="539">
        <v>70.36</v>
      </c>
      <c r="AR26" s="539">
        <v>70.41</v>
      </c>
      <c r="AS26" s="539">
        <v>70.45</v>
      </c>
      <c r="AT26" s="539">
        <v>70.48</v>
      </c>
      <c r="AU26" s="539">
        <v>70.5</v>
      </c>
      <c r="AV26" s="539">
        <v>70.52</v>
      </c>
      <c r="AW26" s="539">
        <v>70.53</v>
      </c>
      <c r="AX26" s="539">
        <v>70.55</v>
      </c>
      <c r="AY26" s="539">
        <v>70.56</v>
      </c>
      <c r="AZ26" s="539">
        <v>70.58</v>
      </c>
      <c r="BA26" s="539">
        <v>70.599999999999994</v>
      </c>
      <c r="BB26" s="539">
        <v>70.52</v>
      </c>
      <c r="BC26" s="539" t="s">
        <v>556</v>
      </c>
      <c r="BD26" s="539" t="s">
        <v>556</v>
      </c>
      <c r="BE26" s="539" t="s">
        <v>556</v>
      </c>
      <c r="BF26" s="540"/>
      <c r="BG26" s="532">
        <v>59</v>
      </c>
      <c r="BH26" s="539">
        <v>70.7</v>
      </c>
      <c r="BI26" s="539">
        <v>70.759999999999991</v>
      </c>
      <c r="BJ26" s="539">
        <v>70.81</v>
      </c>
      <c r="BK26" s="539">
        <v>70.86999999999999</v>
      </c>
      <c r="BL26" s="539">
        <v>70.899999999999991</v>
      </c>
      <c r="BM26" s="539">
        <v>70.94</v>
      </c>
      <c r="BN26" s="539">
        <v>70.97</v>
      </c>
      <c r="BO26" s="539">
        <v>71</v>
      </c>
      <c r="BP26" s="539">
        <v>71.02</v>
      </c>
      <c r="BQ26" s="539">
        <v>71.039999999999992</v>
      </c>
      <c r="BR26" s="539">
        <v>71.06</v>
      </c>
      <c r="BS26" s="539">
        <v>71.069999999999993</v>
      </c>
      <c r="BT26" s="539">
        <v>71.11999999999999</v>
      </c>
      <c r="BU26" s="539">
        <v>71.069999999999993</v>
      </c>
      <c r="BV26" s="539" t="s">
        <v>556</v>
      </c>
      <c r="BW26" s="539" t="s">
        <v>556</v>
      </c>
      <c r="BX26" s="539" t="s">
        <v>556</v>
      </c>
      <c r="BY26" s="540"/>
      <c r="BZ26" s="532">
        <v>59</v>
      </c>
      <c r="CA26" s="541">
        <v>71.14</v>
      </c>
      <c r="CB26" s="541">
        <v>71.209999999999994</v>
      </c>
      <c r="CC26" s="541">
        <v>71.290000000000006</v>
      </c>
      <c r="CD26" s="541">
        <v>71.349999999999994</v>
      </c>
      <c r="CE26" s="541">
        <v>71.41</v>
      </c>
      <c r="CF26" s="541">
        <v>71.47</v>
      </c>
      <c r="CG26" s="541">
        <v>71.52</v>
      </c>
      <c r="CH26" s="541">
        <v>71.56</v>
      </c>
      <c r="CI26" s="541">
        <v>71.59</v>
      </c>
      <c r="CJ26" s="541">
        <v>71.63</v>
      </c>
      <c r="CK26" s="541">
        <v>71.66</v>
      </c>
      <c r="CL26" s="541">
        <v>71.69</v>
      </c>
      <c r="CM26" s="541">
        <v>71.819999999999993</v>
      </c>
      <c r="CN26" s="541">
        <v>71.86</v>
      </c>
      <c r="CO26" s="541" t="s">
        <v>556</v>
      </c>
      <c r="CP26" s="541" t="s">
        <v>556</v>
      </c>
      <c r="CQ26" s="541" t="s">
        <v>556</v>
      </c>
    </row>
    <row r="27" spans="2:95" x14ac:dyDescent="0.25">
      <c r="B27" s="532">
        <v>60</v>
      </c>
      <c r="C27" s="539">
        <v>69.25</v>
      </c>
      <c r="D27" s="539">
        <v>69.28</v>
      </c>
      <c r="E27" s="539">
        <v>69.31</v>
      </c>
      <c r="F27" s="539">
        <v>69.319999999999993</v>
      </c>
      <c r="G27" s="539">
        <v>69.38</v>
      </c>
      <c r="H27" s="539">
        <v>69.399999999999991</v>
      </c>
      <c r="I27" s="539">
        <v>69.41</v>
      </c>
      <c r="J27" s="539">
        <v>69.399999999999991</v>
      </c>
      <c r="K27" s="539">
        <v>69.429999999999993</v>
      </c>
      <c r="L27" s="539">
        <v>69.22</v>
      </c>
      <c r="M27" s="539">
        <v>69.23</v>
      </c>
      <c r="N27" s="539">
        <v>69.2</v>
      </c>
      <c r="O27" s="539">
        <v>69.039999999999992</v>
      </c>
      <c r="P27" s="539" t="s">
        <v>556</v>
      </c>
      <c r="Q27" s="539" t="s">
        <v>556</v>
      </c>
      <c r="R27" s="539" t="s">
        <v>556</v>
      </c>
      <c r="S27" s="539" t="s">
        <v>556</v>
      </c>
      <c r="T27" s="540"/>
      <c r="U27" s="532">
        <v>60</v>
      </c>
      <c r="V27" s="539">
        <v>69.709999999999994</v>
      </c>
      <c r="W27" s="539">
        <v>69.739999999999995</v>
      </c>
      <c r="X27" s="539">
        <v>69.77</v>
      </c>
      <c r="Y27" s="539">
        <v>69.8</v>
      </c>
      <c r="Z27" s="539">
        <v>69.81</v>
      </c>
      <c r="AA27" s="539">
        <v>69.819999999999993</v>
      </c>
      <c r="AB27" s="539">
        <v>69.83</v>
      </c>
      <c r="AC27" s="539">
        <v>69.84</v>
      </c>
      <c r="AD27" s="539">
        <v>69.84</v>
      </c>
      <c r="AE27" s="539">
        <v>69.84</v>
      </c>
      <c r="AF27" s="539">
        <v>69.84</v>
      </c>
      <c r="AG27" s="539">
        <v>69.83</v>
      </c>
      <c r="AH27" s="539">
        <v>69.759999999999991</v>
      </c>
      <c r="AI27" s="539" t="s">
        <v>556</v>
      </c>
      <c r="AJ27" s="539" t="s">
        <v>556</v>
      </c>
      <c r="AK27" s="539" t="s">
        <v>556</v>
      </c>
      <c r="AL27" s="539" t="s">
        <v>556</v>
      </c>
      <c r="AM27" s="540"/>
      <c r="AN27" s="532">
        <v>60</v>
      </c>
      <c r="AO27" s="539">
        <v>70.289999999999992</v>
      </c>
      <c r="AP27" s="539">
        <v>70.34</v>
      </c>
      <c r="AQ27" s="539">
        <v>70.39</v>
      </c>
      <c r="AR27" s="539">
        <v>70.44</v>
      </c>
      <c r="AS27" s="539">
        <v>70.47</v>
      </c>
      <c r="AT27" s="539">
        <v>70.489999999999995</v>
      </c>
      <c r="AU27" s="539">
        <v>70.5</v>
      </c>
      <c r="AV27" s="539">
        <v>70.52</v>
      </c>
      <c r="AW27" s="539">
        <v>70.539999999999992</v>
      </c>
      <c r="AX27" s="539">
        <v>70.55</v>
      </c>
      <c r="AY27" s="539">
        <v>70.56</v>
      </c>
      <c r="AZ27" s="539">
        <v>70.569999999999993</v>
      </c>
      <c r="BA27" s="539">
        <v>70.58</v>
      </c>
      <c r="BB27" s="539" t="s">
        <v>556</v>
      </c>
      <c r="BC27" s="539" t="s">
        <v>556</v>
      </c>
      <c r="BD27" s="539" t="s">
        <v>556</v>
      </c>
      <c r="BE27" s="539" t="s">
        <v>556</v>
      </c>
      <c r="BF27" s="540"/>
      <c r="BG27" s="532">
        <v>60</v>
      </c>
      <c r="BH27" s="539">
        <v>70.739999999999995</v>
      </c>
      <c r="BI27" s="539">
        <v>70.8</v>
      </c>
      <c r="BJ27" s="539">
        <v>70.849999999999994</v>
      </c>
      <c r="BK27" s="539">
        <v>70.89</v>
      </c>
      <c r="BL27" s="539">
        <v>70.929999999999993</v>
      </c>
      <c r="BM27" s="539">
        <v>70.959999999999994</v>
      </c>
      <c r="BN27" s="539">
        <v>70.989999999999995</v>
      </c>
      <c r="BO27" s="539">
        <v>71.009999999999991</v>
      </c>
      <c r="BP27" s="539">
        <v>71.03</v>
      </c>
      <c r="BQ27" s="539">
        <v>71.05</v>
      </c>
      <c r="BR27" s="539">
        <v>71.06</v>
      </c>
      <c r="BS27" s="539">
        <v>71.08</v>
      </c>
      <c r="BT27" s="539">
        <v>71.11</v>
      </c>
      <c r="BU27" s="539" t="s">
        <v>556</v>
      </c>
      <c r="BV27" s="539" t="s">
        <v>556</v>
      </c>
      <c r="BW27" s="539" t="s">
        <v>556</v>
      </c>
      <c r="BX27" s="539" t="s">
        <v>556</v>
      </c>
      <c r="BY27" s="540"/>
      <c r="BZ27" s="532">
        <v>60</v>
      </c>
      <c r="CA27" s="541">
        <v>71.2</v>
      </c>
      <c r="CB27" s="541">
        <v>71.27</v>
      </c>
      <c r="CC27" s="541">
        <v>71.34</v>
      </c>
      <c r="CD27" s="541">
        <v>71.400000000000006</v>
      </c>
      <c r="CE27" s="541">
        <v>71.459999999999994</v>
      </c>
      <c r="CF27" s="541">
        <v>71.510000000000005</v>
      </c>
      <c r="CG27" s="541">
        <v>71.55</v>
      </c>
      <c r="CH27" s="541">
        <v>71.58</v>
      </c>
      <c r="CI27" s="541">
        <v>71.62</v>
      </c>
      <c r="CJ27" s="541">
        <v>71.650000000000006</v>
      </c>
      <c r="CK27" s="541">
        <v>71.680000000000007</v>
      </c>
      <c r="CL27" s="541">
        <v>71.709999999999994</v>
      </c>
      <c r="CM27" s="541">
        <v>71.819999999999993</v>
      </c>
      <c r="CN27" s="541" t="s">
        <v>556</v>
      </c>
      <c r="CO27" s="541" t="s">
        <v>556</v>
      </c>
      <c r="CP27" s="541" t="s">
        <v>556</v>
      </c>
      <c r="CQ27" s="541" t="s">
        <v>556</v>
      </c>
    </row>
    <row r="28" spans="2:95" x14ac:dyDescent="0.25">
      <c r="B28" s="532">
        <v>61</v>
      </c>
      <c r="C28" s="539">
        <v>69.239999999999995</v>
      </c>
      <c r="D28" s="539">
        <v>69.27</v>
      </c>
      <c r="E28" s="539">
        <v>69.3</v>
      </c>
      <c r="F28" s="539">
        <v>69.3</v>
      </c>
      <c r="G28" s="539">
        <v>69.36</v>
      </c>
      <c r="H28" s="539">
        <v>69.38</v>
      </c>
      <c r="I28" s="539">
        <v>69.39</v>
      </c>
      <c r="J28" s="539">
        <v>69.38</v>
      </c>
      <c r="K28" s="539">
        <v>69.41</v>
      </c>
      <c r="L28" s="539">
        <v>69.2</v>
      </c>
      <c r="M28" s="539">
        <v>69.2</v>
      </c>
      <c r="N28" s="539">
        <v>69.17</v>
      </c>
      <c r="O28" s="539">
        <v>68.959999999999994</v>
      </c>
      <c r="P28" s="539" t="s">
        <v>556</v>
      </c>
      <c r="Q28" s="539" t="s">
        <v>556</v>
      </c>
      <c r="R28" s="539" t="s">
        <v>556</v>
      </c>
      <c r="S28" s="539" t="s">
        <v>556</v>
      </c>
      <c r="T28" s="540"/>
      <c r="U28" s="532">
        <v>61</v>
      </c>
      <c r="V28" s="539">
        <v>69.73</v>
      </c>
      <c r="W28" s="539">
        <v>69.759999999999991</v>
      </c>
      <c r="X28" s="539">
        <v>69.78</v>
      </c>
      <c r="Y28" s="539">
        <v>69.8</v>
      </c>
      <c r="Z28" s="539">
        <v>69.81</v>
      </c>
      <c r="AA28" s="539">
        <v>69.819999999999993</v>
      </c>
      <c r="AB28" s="539">
        <v>69.819999999999993</v>
      </c>
      <c r="AC28" s="539">
        <v>69.819999999999993</v>
      </c>
      <c r="AD28" s="539">
        <v>69.819999999999993</v>
      </c>
      <c r="AE28" s="539">
        <v>69.819999999999993</v>
      </c>
      <c r="AF28" s="539">
        <v>69.81</v>
      </c>
      <c r="AG28" s="539">
        <v>69.81</v>
      </c>
      <c r="AH28" s="539">
        <v>69.709999999999994</v>
      </c>
      <c r="AI28" s="539" t="s">
        <v>556</v>
      </c>
      <c r="AJ28" s="539" t="s">
        <v>556</v>
      </c>
      <c r="AK28" s="539" t="s">
        <v>556</v>
      </c>
      <c r="AL28" s="539" t="s">
        <v>556</v>
      </c>
      <c r="AM28" s="540"/>
      <c r="AN28" s="532">
        <v>61</v>
      </c>
      <c r="AO28" s="539">
        <v>70.33</v>
      </c>
      <c r="AP28" s="539">
        <v>70.38</v>
      </c>
      <c r="AQ28" s="539">
        <v>70.42</v>
      </c>
      <c r="AR28" s="539">
        <v>70.459999999999994</v>
      </c>
      <c r="AS28" s="539">
        <v>70.48</v>
      </c>
      <c r="AT28" s="539">
        <v>70.489999999999995</v>
      </c>
      <c r="AU28" s="539">
        <v>70.509999999999991</v>
      </c>
      <c r="AV28" s="539">
        <v>70.52</v>
      </c>
      <c r="AW28" s="539">
        <v>70.539999999999992</v>
      </c>
      <c r="AX28" s="539">
        <v>70.55</v>
      </c>
      <c r="AY28" s="539">
        <v>70.56</v>
      </c>
      <c r="AZ28" s="539">
        <v>70.569999999999993</v>
      </c>
      <c r="BA28" s="539">
        <v>70.55</v>
      </c>
      <c r="BB28" s="539" t="s">
        <v>556</v>
      </c>
      <c r="BC28" s="539" t="s">
        <v>556</v>
      </c>
      <c r="BD28" s="539" t="s">
        <v>556</v>
      </c>
      <c r="BE28" s="539" t="s">
        <v>556</v>
      </c>
      <c r="BF28" s="540"/>
      <c r="BG28" s="532">
        <v>61</v>
      </c>
      <c r="BH28" s="539">
        <v>70.78</v>
      </c>
      <c r="BI28" s="539">
        <v>70.84</v>
      </c>
      <c r="BJ28" s="539">
        <v>70.88</v>
      </c>
      <c r="BK28" s="539">
        <v>70.92</v>
      </c>
      <c r="BL28" s="539">
        <v>70.95</v>
      </c>
      <c r="BM28" s="539">
        <v>70.97</v>
      </c>
      <c r="BN28" s="539">
        <v>71</v>
      </c>
      <c r="BO28" s="539">
        <v>71.009999999999991</v>
      </c>
      <c r="BP28" s="539">
        <v>71.03</v>
      </c>
      <c r="BQ28" s="539">
        <v>71.05</v>
      </c>
      <c r="BR28" s="539">
        <v>71.06</v>
      </c>
      <c r="BS28" s="539">
        <v>71.08</v>
      </c>
      <c r="BT28" s="539">
        <v>71.09</v>
      </c>
      <c r="BU28" s="539" t="s">
        <v>556</v>
      </c>
      <c r="BV28" s="539" t="s">
        <v>556</v>
      </c>
      <c r="BW28" s="539" t="s">
        <v>556</v>
      </c>
      <c r="BX28" s="539" t="s">
        <v>556</v>
      </c>
      <c r="BY28" s="540"/>
      <c r="BZ28" s="532">
        <v>61</v>
      </c>
      <c r="CA28" s="541">
        <v>71.25</v>
      </c>
      <c r="CB28" s="541">
        <v>71.33</v>
      </c>
      <c r="CC28" s="541">
        <v>71.39</v>
      </c>
      <c r="CD28" s="541">
        <v>71.44</v>
      </c>
      <c r="CE28" s="541">
        <v>71.489999999999995</v>
      </c>
      <c r="CF28" s="541">
        <v>71.540000000000006</v>
      </c>
      <c r="CG28" s="541">
        <v>71.569999999999993</v>
      </c>
      <c r="CH28" s="541">
        <v>71.599999999999994</v>
      </c>
      <c r="CI28" s="541">
        <v>71.64</v>
      </c>
      <c r="CJ28" s="541">
        <v>71.67</v>
      </c>
      <c r="CK28" s="541">
        <v>71.7</v>
      </c>
      <c r="CL28" s="541">
        <v>71.73</v>
      </c>
      <c r="CM28" s="541">
        <v>71.819999999999993</v>
      </c>
      <c r="CN28" s="541" t="s">
        <v>556</v>
      </c>
      <c r="CO28" s="541" t="s">
        <v>556</v>
      </c>
      <c r="CP28" s="541" t="s">
        <v>556</v>
      </c>
      <c r="CQ28" s="541" t="s">
        <v>556</v>
      </c>
    </row>
    <row r="29" spans="2:95" x14ac:dyDescent="0.25">
      <c r="B29" s="532">
        <v>62</v>
      </c>
      <c r="C29" s="539">
        <v>69.209999999999994</v>
      </c>
      <c r="D29" s="539">
        <v>69.239999999999995</v>
      </c>
      <c r="E29" s="539">
        <v>69.27</v>
      </c>
      <c r="F29" s="539">
        <v>69.27</v>
      </c>
      <c r="G29" s="539">
        <v>69.33</v>
      </c>
      <c r="H29" s="539">
        <v>69.34</v>
      </c>
      <c r="I29" s="539">
        <v>69.349999999999994</v>
      </c>
      <c r="J29" s="539">
        <v>69.34</v>
      </c>
      <c r="K29" s="539">
        <v>69.36</v>
      </c>
      <c r="L29" s="539">
        <v>69.149999999999991</v>
      </c>
      <c r="M29" s="539">
        <v>69.149999999999991</v>
      </c>
      <c r="N29" s="539">
        <v>69.11</v>
      </c>
      <c r="O29" s="539">
        <v>68.789999999999992</v>
      </c>
      <c r="P29" s="539" t="s">
        <v>556</v>
      </c>
      <c r="Q29" s="539" t="s">
        <v>556</v>
      </c>
      <c r="R29" s="539" t="s">
        <v>556</v>
      </c>
      <c r="S29" s="539" t="s">
        <v>556</v>
      </c>
      <c r="T29" s="540"/>
      <c r="U29" s="532">
        <v>62</v>
      </c>
      <c r="V29" s="539">
        <v>69.739999999999995</v>
      </c>
      <c r="W29" s="539">
        <v>69.77</v>
      </c>
      <c r="X29" s="539">
        <v>69.78</v>
      </c>
      <c r="Y29" s="539">
        <v>69.789999999999992</v>
      </c>
      <c r="Z29" s="539">
        <v>69.8</v>
      </c>
      <c r="AA29" s="539">
        <v>69.8</v>
      </c>
      <c r="AB29" s="539">
        <v>69.8</v>
      </c>
      <c r="AC29" s="539">
        <v>69.8</v>
      </c>
      <c r="AD29" s="539">
        <v>69.8</v>
      </c>
      <c r="AE29" s="539">
        <v>69.789999999999992</v>
      </c>
      <c r="AF29" s="539">
        <v>69.789999999999992</v>
      </c>
      <c r="AG29" s="539">
        <v>69.77</v>
      </c>
      <c r="AH29" s="539">
        <v>69.66</v>
      </c>
      <c r="AI29" s="539" t="s">
        <v>556</v>
      </c>
      <c r="AJ29" s="539" t="s">
        <v>556</v>
      </c>
      <c r="AK29" s="539" t="s">
        <v>556</v>
      </c>
      <c r="AL29" s="539" t="s">
        <v>556</v>
      </c>
      <c r="AM29" s="540"/>
      <c r="AN29" s="532">
        <v>62</v>
      </c>
      <c r="AO29" s="539">
        <v>70.36</v>
      </c>
      <c r="AP29" s="539">
        <v>70.399999999999991</v>
      </c>
      <c r="AQ29" s="539">
        <v>70.44</v>
      </c>
      <c r="AR29" s="539">
        <v>70.47</v>
      </c>
      <c r="AS29" s="539">
        <v>70.48</v>
      </c>
      <c r="AT29" s="539">
        <v>70.489999999999995</v>
      </c>
      <c r="AU29" s="539">
        <v>70.509999999999991</v>
      </c>
      <c r="AV29" s="539">
        <v>70.52</v>
      </c>
      <c r="AW29" s="539">
        <v>70.53</v>
      </c>
      <c r="AX29" s="539">
        <v>70.539999999999992</v>
      </c>
      <c r="AY29" s="539">
        <v>70.55</v>
      </c>
      <c r="AZ29" s="539">
        <v>70.55</v>
      </c>
      <c r="BA29" s="539">
        <v>70.52</v>
      </c>
      <c r="BB29" s="539" t="s">
        <v>556</v>
      </c>
      <c r="BC29" s="539" t="s">
        <v>556</v>
      </c>
      <c r="BD29" s="539" t="s">
        <v>556</v>
      </c>
      <c r="BE29" s="539" t="s">
        <v>556</v>
      </c>
      <c r="BF29" s="540"/>
      <c r="BG29" s="532">
        <v>62</v>
      </c>
      <c r="BH29" s="539">
        <v>70.819999999999993</v>
      </c>
      <c r="BI29" s="539">
        <v>70.86999999999999</v>
      </c>
      <c r="BJ29" s="539">
        <v>70.899999999999991</v>
      </c>
      <c r="BK29" s="539">
        <v>70.94</v>
      </c>
      <c r="BL29" s="539">
        <v>70.959999999999994</v>
      </c>
      <c r="BM29" s="539">
        <v>70.98</v>
      </c>
      <c r="BN29" s="539">
        <v>71</v>
      </c>
      <c r="BO29" s="539">
        <v>71.02</v>
      </c>
      <c r="BP29" s="539">
        <v>71.03</v>
      </c>
      <c r="BQ29" s="539">
        <v>71.05</v>
      </c>
      <c r="BR29" s="539">
        <v>71.06</v>
      </c>
      <c r="BS29" s="539">
        <v>71.069999999999993</v>
      </c>
      <c r="BT29" s="539">
        <v>71.06</v>
      </c>
      <c r="BU29" s="539" t="s">
        <v>556</v>
      </c>
      <c r="BV29" s="539" t="s">
        <v>556</v>
      </c>
      <c r="BW29" s="539" t="s">
        <v>556</v>
      </c>
      <c r="BX29" s="539" t="s">
        <v>556</v>
      </c>
      <c r="BY29" s="540"/>
      <c r="BZ29" s="532">
        <v>62</v>
      </c>
      <c r="CA29" s="541">
        <v>71.31</v>
      </c>
      <c r="CB29" s="541">
        <v>71.37</v>
      </c>
      <c r="CC29" s="541">
        <v>71.430000000000007</v>
      </c>
      <c r="CD29" s="541">
        <v>71.48</v>
      </c>
      <c r="CE29" s="541">
        <v>71.52</v>
      </c>
      <c r="CF29" s="541">
        <v>71.56</v>
      </c>
      <c r="CG29" s="541">
        <v>71.59</v>
      </c>
      <c r="CH29" s="541">
        <v>71.62</v>
      </c>
      <c r="CI29" s="541">
        <v>71.650000000000006</v>
      </c>
      <c r="CJ29" s="541">
        <v>71.680000000000007</v>
      </c>
      <c r="CK29" s="541">
        <v>71.709999999999994</v>
      </c>
      <c r="CL29" s="541">
        <v>71.739999999999995</v>
      </c>
      <c r="CM29" s="541">
        <v>71.819999999999993</v>
      </c>
      <c r="CN29" s="541" t="s">
        <v>556</v>
      </c>
      <c r="CO29" s="541" t="s">
        <v>556</v>
      </c>
      <c r="CP29" s="541" t="s">
        <v>556</v>
      </c>
      <c r="CQ29" s="541" t="s">
        <v>556</v>
      </c>
    </row>
    <row r="30" spans="2:95" x14ac:dyDescent="0.25">
      <c r="B30" s="532">
        <v>63</v>
      </c>
      <c r="C30" s="539">
        <v>69.17</v>
      </c>
      <c r="D30" s="539">
        <v>69.2</v>
      </c>
      <c r="E30" s="539">
        <v>69.22</v>
      </c>
      <c r="F30" s="539">
        <v>69.23</v>
      </c>
      <c r="G30" s="539">
        <v>69.28</v>
      </c>
      <c r="H30" s="539">
        <v>69.289999999999992</v>
      </c>
      <c r="I30" s="539">
        <v>69.289999999999992</v>
      </c>
      <c r="J30" s="539">
        <v>69.27</v>
      </c>
      <c r="K30" s="539">
        <v>69.289999999999992</v>
      </c>
      <c r="L30" s="539">
        <v>69.08</v>
      </c>
      <c r="M30" s="539">
        <v>69.069999999999993</v>
      </c>
      <c r="N30" s="539">
        <v>69.02</v>
      </c>
      <c r="O30" s="539">
        <v>68.539999999999992</v>
      </c>
      <c r="P30" s="539" t="s">
        <v>556</v>
      </c>
      <c r="Q30" s="539" t="s">
        <v>556</v>
      </c>
      <c r="R30" s="539" t="s">
        <v>556</v>
      </c>
      <c r="S30" s="539" t="s">
        <v>556</v>
      </c>
      <c r="T30" s="540"/>
      <c r="U30" s="532">
        <v>63</v>
      </c>
      <c r="V30" s="539">
        <v>69.75</v>
      </c>
      <c r="W30" s="539">
        <v>69.77</v>
      </c>
      <c r="X30" s="539">
        <v>69.78</v>
      </c>
      <c r="Y30" s="539">
        <v>69.78</v>
      </c>
      <c r="Z30" s="539">
        <v>69.78</v>
      </c>
      <c r="AA30" s="539">
        <v>69.78</v>
      </c>
      <c r="AB30" s="539">
        <v>69.78</v>
      </c>
      <c r="AC30" s="539">
        <v>69.77</v>
      </c>
      <c r="AD30" s="539">
        <v>69.77</v>
      </c>
      <c r="AE30" s="539">
        <v>69.759999999999991</v>
      </c>
      <c r="AF30" s="539">
        <v>69.75</v>
      </c>
      <c r="AG30" s="539">
        <v>69.73</v>
      </c>
      <c r="AH30" s="539">
        <v>69.59</v>
      </c>
      <c r="AI30" s="539" t="s">
        <v>556</v>
      </c>
      <c r="AJ30" s="539" t="s">
        <v>556</v>
      </c>
      <c r="AK30" s="539" t="s">
        <v>556</v>
      </c>
      <c r="AL30" s="539" t="s">
        <v>556</v>
      </c>
      <c r="AM30" s="540"/>
      <c r="AN30" s="532">
        <v>63</v>
      </c>
      <c r="AO30" s="539">
        <v>70.39</v>
      </c>
      <c r="AP30" s="539">
        <v>70.42</v>
      </c>
      <c r="AQ30" s="539">
        <v>70.45</v>
      </c>
      <c r="AR30" s="539">
        <v>70.47</v>
      </c>
      <c r="AS30" s="539">
        <v>70.48</v>
      </c>
      <c r="AT30" s="539">
        <v>70.489999999999995</v>
      </c>
      <c r="AU30" s="539">
        <v>70.5</v>
      </c>
      <c r="AV30" s="539">
        <v>70.509999999999991</v>
      </c>
      <c r="AW30" s="539">
        <v>70.52</v>
      </c>
      <c r="AX30" s="539">
        <v>70.53</v>
      </c>
      <c r="AY30" s="539">
        <v>70.53</v>
      </c>
      <c r="AZ30" s="539">
        <v>70.53</v>
      </c>
      <c r="BA30" s="539">
        <v>70.47</v>
      </c>
      <c r="BB30" s="539" t="s">
        <v>556</v>
      </c>
      <c r="BC30" s="539" t="s">
        <v>556</v>
      </c>
      <c r="BD30" s="539" t="s">
        <v>556</v>
      </c>
      <c r="BE30" s="539" t="s">
        <v>556</v>
      </c>
      <c r="BF30" s="540"/>
      <c r="BG30" s="532">
        <v>63</v>
      </c>
      <c r="BH30" s="539">
        <v>70.849999999999994</v>
      </c>
      <c r="BI30" s="539">
        <v>70.89</v>
      </c>
      <c r="BJ30" s="539">
        <v>70.92</v>
      </c>
      <c r="BK30" s="539">
        <v>70.94</v>
      </c>
      <c r="BL30" s="539">
        <v>70.959999999999994</v>
      </c>
      <c r="BM30" s="539">
        <v>70.98</v>
      </c>
      <c r="BN30" s="539">
        <v>71</v>
      </c>
      <c r="BO30" s="539">
        <v>71.009999999999991</v>
      </c>
      <c r="BP30" s="539">
        <v>71.03</v>
      </c>
      <c r="BQ30" s="539">
        <v>71.039999999999992</v>
      </c>
      <c r="BR30" s="539">
        <v>71.05</v>
      </c>
      <c r="BS30" s="539">
        <v>71.05</v>
      </c>
      <c r="BT30" s="539">
        <v>71.009999999999991</v>
      </c>
      <c r="BU30" s="539" t="s">
        <v>556</v>
      </c>
      <c r="BV30" s="539" t="s">
        <v>556</v>
      </c>
      <c r="BW30" s="539" t="s">
        <v>556</v>
      </c>
      <c r="BX30" s="539" t="s">
        <v>556</v>
      </c>
      <c r="BY30" s="540"/>
      <c r="BZ30" s="532">
        <v>63</v>
      </c>
      <c r="CA30" s="541">
        <v>71.349999999999994</v>
      </c>
      <c r="CB30" s="541">
        <v>71.41</v>
      </c>
      <c r="CC30" s="541">
        <v>71.459999999999994</v>
      </c>
      <c r="CD30" s="541">
        <v>71.510000000000005</v>
      </c>
      <c r="CE30" s="541">
        <v>71.540000000000006</v>
      </c>
      <c r="CF30" s="541">
        <v>71.569999999999993</v>
      </c>
      <c r="CG30" s="541">
        <v>71.61</v>
      </c>
      <c r="CH30" s="541">
        <v>71.64</v>
      </c>
      <c r="CI30" s="541">
        <v>71.67</v>
      </c>
      <c r="CJ30" s="541">
        <v>71.7</v>
      </c>
      <c r="CK30" s="541">
        <v>71.72</v>
      </c>
      <c r="CL30" s="541">
        <v>71.739999999999995</v>
      </c>
      <c r="CM30" s="541">
        <v>71.8</v>
      </c>
      <c r="CN30" s="541" t="s">
        <v>556</v>
      </c>
      <c r="CO30" s="541" t="s">
        <v>556</v>
      </c>
      <c r="CP30" s="541" t="s">
        <v>556</v>
      </c>
      <c r="CQ30" s="541" t="s">
        <v>556</v>
      </c>
    </row>
    <row r="31" spans="2:95" x14ac:dyDescent="0.25">
      <c r="B31" s="532">
        <v>64</v>
      </c>
      <c r="C31" s="539">
        <v>69.11999999999999</v>
      </c>
      <c r="D31" s="539">
        <v>69.14</v>
      </c>
      <c r="E31" s="539">
        <v>69.16</v>
      </c>
      <c r="F31" s="539">
        <v>69.16</v>
      </c>
      <c r="G31" s="539">
        <v>69.209999999999994</v>
      </c>
      <c r="H31" s="539">
        <v>69.22</v>
      </c>
      <c r="I31" s="539">
        <v>69.209999999999994</v>
      </c>
      <c r="J31" s="539">
        <v>69.179999999999993</v>
      </c>
      <c r="K31" s="539">
        <v>69.19</v>
      </c>
      <c r="L31" s="539">
        <v>68.98</v>
      </c>
      <c r="M31" s="539">
        <v>68.959999999999994</v>
      </c>
      <c r="N31" s="539">
        <v>68.899999999999991</v>
      </c>
      <c r="O31" s="539">
        <v>68.209999999999994</v>
      </c>
      <c r="P31" s="539" t="s">
        <v>556</v>
      </c>
      <c r="Q31" s="539" t="s">
        <v>556</v>
      </c>
      <c r="R31" s="539" t="s">
        <v>556</v>
      </c>
      <c r="S31" s="539" t="s">
        <v>556</v>
      </c>
      <c r="T31" s="540"/>
      <c r="U31" s="532">
        <v>64</v>
      </c>
      <c r="V31" s="539">
        <v>69.75</v>
      </c>
      <c r="W31" s="539">
        <v>69.759999999999991</v>
      </c>
      <c r="X31" s="539">
        <v>69.759999999999991</v>
      </c>
      <c r="Y31" s="539">
        <v>69.759999999999991</v>
      </c>
      <c r="Z31" s="539">
        <v>69.759999999999991</v>
      </c>
      <c r="AA31" s="539">
        <v>69.75</v>
      </c>
      <c r="AB31" s="539">
        <v>69.75</v>
      </c>
      <c r="AC31" s="539">
        <v>69.739999999999995</v>
      </c>
      <c r="AD31" s="539">
        <v>69.73</v>
      </c>
      <c r="AE31" s="539">
        <v>69.72</v>
      </c>
      <c r="AF31" s="539">
        <v>69.7</v>
      </c>
      <c r="AG31" s="539">
        <v>69.69</v>
      </c>
      <c r="AH31" s="539">
        <v>69.5</v>
      </c>
      <c r="AI31" s="539" t="s">
        <v>556</v>
      </c>
      <c r="AJ31" s="539" t="s">
        <v>556</v>
      </c>
      <c r="AK31" s="539" t="s">
        <v>556</v>
      </c>
      <c r="AL31" s="539" t="s">
        <v>556</v>
      </c>
      <c r="AM31" s="540"/>
      <c r="AN31" s="532">
        <v>64</v>
      </c>
      <c r="AO31" s="539">
        <v>70.399999999999991</v>
      </c>
      <c r="AP31" s="539">
        <v>70.429999999999993</v>
      </c>
      <c r="AQ31" s="539">
        <v>70.45</v>
      </c>
      <c r="AR31" s="539">
        <v>70.459999999999994</v>
      </c>
      <c r="AS31" s="539">
        <v>70.48</v>
      </c>
      <c r="AT31" s="539">
        <v>70.48</v>
      </c>
      <c r="AU31" s="539">
        <v>70.489999999999995</v>
      </c>
      <c r="AV31" s="539">
        <v>70.489999999999995</v>
      </c>
      <c r="AW31" s="539">
        <v>70.5</v>
      </c>
      <c r="AX31" s="539">
        <v>70.5</v>
      </c>
      <c r="AY31" s="539">
        <v>70.5</v>
      </c>
      <c r="AZ31" s="539">
        <v>70.5</v>
      </c>
      <c r="BA31" s="539">
        <v>70.41</v>
      </c>
      <c r="BB31" s="539" t="s">
        <v>556</v>
      </c>
      <c r="BC31" s="539" t="s">
        <v>556</v>
      </c>
      <c r="BD31" s="539" t="s">
        <v>556</v>
      </c>
      <c r="BE31" s="539" t="s">
        <v>556</v>
      </c>
      <c r="BF31" s="540"/>
      <c r="BG31" s="532">
        <v>64</v>
      </c>
      <c r="BH31" s="539">
        <v>70.86999999999999</v>
      </c>
      <c r="BI31" s="539">
        <v>70.899999999999991</v>
      </c>
      <c r="BJ31" s="539">
        <v>70.92</v>
      </c>
      <c r="BK31" s="539">
        <v>70.94</v>
      </c>
      <c r="BL31" s="539">
        <v>70.959999999999994</v>
      </c>
      <c r="BM31" s="539">
        <v>70.98</v>
      </c>
      <c r="BN31" s="539">
        <v>70.989999999999995</v>
      </c>
      <c r="BO31" s="539">
        <v>71</v>
      </c>
      <c r="BP31" s="539">
        <v>71.009999999999991</v>
      </c>
      <c r="BQ31" s="539">
        <v>71.02</v>
      </c>
      <c r="BR31" s="539">
        <v>71.02</v>
      </c>
      <c r="BS31" s="539">
        <v>71.02</v>
      </c>
      <c r="BT31" s="539">
        <v>70.959999999999994</v>
      </c>
      <c r="BU31" s="539" t="s">
        <v>556</v>
      </c>
      <c r="BV31" s="539" t="s">
        <v>556</v>
      </c>
      <c r="BW31" s="539" t="s">
        <v>556</v>
      </c>
      <c r="BX31" s="539" t="s">
        <v>556</v>
      </c>
      <c r="BY31" s="540"/>
      <c r="BZ31" s="532">
        <v>64</v>
      </c>
      <c r="CA31" s="541">
        <v>71.39</v>
      </c>
      <c r="CB31" s="541">
        <v>71.44</v>
      </c>
      <c r="CC31" s="541">
        <v>71.489999999999995</v>
      </c>
      <c r="CD31" s="541">
        <v>71.52</v>
      </c>
      <c r="CE31" s="541">
        <v>71.56</v>
      </c>
      <c r="CF31" s="541">
        <v>71.59</v>
      </c>
      <c r="CG31" s="541">
        <v>71.62</v>
      </c>
      <c r="CH31" s="541">
        <v>71.64</v>
      </c>
      <c r="CI31" s="541">
        <v>71.67</v>
      </c>
      <c r="CJ31" s="541">
        <v>71.7</v>
      </c>
      <c r="CK31" s="541">
        <v>71.72</v>
      </c>
      <c r="CL31" s="541">
        <v>71.739999999999995</v>
      </c>
      <c r="CM31" s="541">
        <v>71.77</v>
      </c>
      <c r="CN31" s="541" t="s">
        <v>556</v>
      </c>
      <c r="CO31" s="541" t="s">
        <v>556</v>
      </c>
      <c r="CP31" s="541" t="s">
        <v>556</v>
      </c>
      <c r="CQ31" s="541" t="s">
        <v>556</v>
      </c>
    </row>
    <row r="32" spans="2:95" x14ac:dyDescent="0.25">
      <c r="B32" s="532">
        <v>65</v>
      </c>
      <c r="C32" s="539">
        <v>69.11999999999999</v>
      </c>
      <c r="D32" s="539">
        <v>69.069999999999993</v>
      </c>
      <c r="E32" s="539">
        <v>69.09</v>
      </c>
      <c r="F32" s="539">
        <v>69.09</v>
      </c>
      <c r="G32" s="539">
        <v>69.13</v>
      </c>
      <c r="H32" s="539">
        <v>69.13</v>
      </c>
      <c r="I32" s="539">
        <v>69.11</v>
      </c>
      <c r="J32" s="539">
        <v>69.08</v>
      </c>
      <c r="K32" s="539">
        <v>69.069999999999993</v>
      </c>
      <c r="L32" s="539">
        <v>68.86999999999999</v>
      </c>
      <c r="M32" s="539">
        <v>68.83</v>
      </c>
      <c r="N32" s="539">
        <v>68.75</v>
      </c>
      <c r="O32" s="539" t="s">
        <v>556</v>
      </c>
      <c r="P32" s="539" t="s">
        <v>556</v>
      </c>
      <c r="Q32" s="539" t="s">
        <v>556</v>
      </c>
      <c r="R32" s="539" t="s">
        <v>556</v>
      </c>
      <c r="S32" s="539" t="s">
        <v>556</v>
      </c>
      <c r="T32" s="540"/>
      <c r="U32" s="532">
        <v>65</v>
      </c>
      <c r="V32" s="539">
        <v>69.73</v>
      </c>
      <c r="W32" s="539">
        <v>69.739999999999995</v>
      </c>
      <c r="X32" s="539">
        <v>69.73</v>
      </c>
      <c r="Y32" s="539">
        <v>69.73</v>
      </c>
      <c r="Z32" s="539">
        <v>69.73</v>
      </c>
      <c r="AA32" s="539">
        <v>69.72</v>
      </c>
      <c r="AB32" s="539">
        <v>69.709999999999994</v>
      </c>
      <c r="AC32" s="539">
        <v>69.7</v>
      </c>
      <c r="AD32" s="539">
        <v>69.69</v>
      </c>
      <c r="AE32" s="539">
        <v>69.67</v>
      </c>
      <c r="AF32" s="539">
        <v>69.649999999999991</v>
      </c>
      <c r="AG32" s="539">
        <v>69.61999999999999</v>
      </c>
      <c r="AH32" s="539" t="s">
        <v>556</v>
      </c>
      <c r="AI32" s="539" t="s">
        <v>556</v>
      </c>
      <c r="AJ32" s="539" t="s">
        <v>556</v>
      </c>
      <c r="AK32" s="539" t="s">
        <v>556</v>
      </c>
      <c r="AL32" s="539" t="s">
        <v>556</v>
      </c>
      <c r="AM32" s="540"/>
      <c r="AN32" s="532">
        <v>65</v>
      </c>
      <c r="AO32" s="539">
        <v>70.41</v>
      </c>
      <c r="AP32" s="539">
        <v>70.429999999999993</v>
      </c>
      <c r="AQ32" s="539">
        <v>70.44</v>
      </c>
      <c r="AR32" s="539">
        <v>70.45</v>
      </c>
      <c r="AS32" s="539">
        <v>70.459999999999994</v>
      </c>
      <c r="AT32" s="539">
        <v>70.47</v>
      </c>
      <c r="AU32" s="539">
        <v>70.47</v>
      </c>
      <c r="AV32" s="539">
        <v>70.48</v>
      </c>
      <c r="AW32" s="539">
        <v>70.48</v>
      </c>
      <c r="AX32" s="539">
        <v>70.48</v>
      </c>
      <c r="AY32" s="539">
        <v>70.47</v>
      </c>
      <c r="AZ32" s="539">
        <v>70.459999999999994</v>
      </c>
      <c r="BA32" s="539" t="s">
        <v>556</v>
      </c>
      <c r="BB32" s="539" t="s">
        <v>556</v>
      </c>
      <c r="BC32" s="539" t="s">
        <v>556</v>
      </c>
      <c r="BD32" s="539" t="s">
        <v>556</v>
      </c>
      <c r="BE32" s="539" t="s">
        <v>556</v>
      </c>
      <c r="BF32" s="540"/>
      <c r="BG32" s="532">
        <v>65</v>
      </c>
      <c r="BH32" s="539">
        <v>70.88</v>
      </c>
      <c r="BI32" s="539">
        <v>70.899999999999991</v>
      </c>
      <c r="BJ32" s="539">
        <v>70.92</v>
      </c>
      <c r="BK32" s="539">
        <v>70.94</v>
      </c>
      <c r="BL32" s="539">
        <v>70.95</v>
      </c>
      <c r="BM32" s="539">
        <v>70.959999999999994</v>
      </c>
      <c r="BN32" s="539">
        <v>70.97</v>
      </c>
      <c r="BO32" s="539">
        <v>70.98</v>
      </c>
      <c r="BP32" s="539">
        <v>70.989999999999995</v>
      </c>
      <c r="BQ32" s="539">
        <v>70.989999999999995</v>
      </c>
      <c r="BR32" s="539">
        <v>70.989999999999995</v>
      </c>
      <c r="BS32" s="539">
        <v>70.989999999999995</v>
      </c>
      <c r="BT32" s="539" t="s">
        <v>556</v>
      </c>
      <c r="BU32" s="539" t="s">
        <v>556</v>
      </c>
      <c r="BV32" s="539" t="s">
        <v>556</v>
      </c>
      <c r="BW32" s="539" t="s">
        <v>556</v>
      </c>
      <c r="BX32" s="539" t="s">
        <v>556</v>
      </c>
      <c r="BY32" s="540"/>
      <c r="BZ32" s="532">
        <v>65</v>
      </c>
      <c r="CA32" s="541">
        <v>71.42</v>
      </c>
      <c r="CB32" s="541">
        <v>71.47</v>
      </c>
      <c r="CC32" s="541">
        <v>71.5</v>
      </c>
      <c r="CD32" s="541">
        <v>71.540000000000006</v>
      </c>
      <c r="CE32" s="541">
        <v>71.56</v>
      </c>
      <c r="CF32" s="541">
        <v>71.59</v>
      </c>
      <c r="CG32" s="541">
        <v>71.62</v>
      </c>
      <c r="CH32" s="541">
        <v>71.650000000000006</v>
      </c>
      <c r="CI32" s="541">
        <v>71.67</v>
      </c>
      <c r="CJ32" s="541">
        <v>71.69</v>
      </c>
      <c r="CK32" s="541">
        <v>71.709999999999994</v>
      </c>
      <c r="CL32" s="541">
        <v>71.73</v>
      </c>
      <c r="CM32" s="541" t="s">
        <v>556</v>
      </c>
      <c r="CN32" s="541" t="s">
        <v>556</v>
      </c>
      <c r="CO32" s="541" t="s">
        <v>556</v>
      </c>
      <c r="CP32" s="541" t="s">
        <v>556</v>
      </c>
      <c r="CQ32" s="541" t="s">
        <v>556</v>
      </c>
    </row>
    <row r="33" spans="2:95" x14ac:dyDescent="0.25">
      <c r="B33" s="532">
        <v>66</v>
      </c>
      <c r="C33" s="539">
        <v>69.11999999999999</v>
      </c>
      <c r="D33" s="539">
        <v>68.989999999999995</v>
      </c>
      <c r="E33" s="539">
        <v>69</v>
      </c>
      <c r="F33" s="539">
        <v>68.989999999999995</v>
      </c>
      <c r="G33" s="539">
        <v>69.02</v>
      </c>
      <c r="H33" s="539">
        <v>69.02</v>
      </c>
      <c r="I33" s="539">
        <v>68.989999999999995</v>
      </c>
      <c r="J33" s="539">
        <v>68.95</v>
      </c>
      <c r="K33" s="539">
        <v>68.92</v>
      </c>
      <c r="L33" s="539">
        <v>68.73</v>
      </c>
      <c r="M33" s="539">
        <v>68.67</v>
      </c>
      <c r="N33" s="539">
        <v>68.569999999999993</v>
      </c>
      <c r="O33" s="539" t="s">
        <v>556</v>
      </c>
      <c r="P33" s="539" t="s">
        <v>556</v>
      </c>
      <c r="Q33" s="539" t="s">
        <v>556</v>
      </c>
      <c r="R33" s="539" t="s">
        <v>556</v>
      </c>
      <c r="S33" s="539" t="s">
        <v>556</v>
      </c>
      <c r="T33" s="540"/>
      <c r="U33" s="532">
        <v>66</v>
      </c>
      <c r="V33" s="539">
        <v>69.709999999999994</v>
      </c>
      <c r="W33" s="539">
        <v>69.709999999999994</v>
      </c>
      <c r="X33" s="539">
        <v>69.7</v>
      </c>
      <c r="Y33" s="539">
        <v>69.7</v>
      </c>
      <c r="Z33" s="539">
        <v>69.7</v>
      </c>
      <c r="AA33" s="539">
        <v>69.679999999999993</v>
      </c>
      <c r="AB33" s="539">
        <v>69.67</v>
      </c>
      <c r="AC33" s="539">
        <v>69.649999999999991</v>
      </c>
      <c r="AD33" s="539">
        <v>69.63</v>
      </c>
      <c r="AE33" s="539">
        <v>69.599999999999994</v>
      </c>
      <c r="AF33" s="539">
        <v>69.569999999999993</v>
      </c>
      <c r="AG33" s="539">
        <v>69.539999999999992</v>
      </c>
      <c r="AH33" s="539" t="s">
        <v>556</v>
      </c>
      <c r="AI33" s="539" t="s">
        <v>556</v>
      </c>
      <c r="AJ33" s="539" t="s">
        <v>556</v>
      </c>
      <c r="AK33" s="539" t="s">
        <v>556</v>
      </c>
      <c r="AL33" s="539" t="s">
        <v>556</v>
      </c>
      <c r="AM33" s="540"/>
      <c r="AN33" s="532">
        <v>66</v>
      </c>
      <c r="AO33" s="539">
        <v>70.399999999999991</v>
      </c>
      <c r="AP33" s="539">
        <v>70.42</v>
      </c>
      <c r="AQ33" s="539">
        <v>70.429999999999993</v>
      </c>
      <c r="AR33" s="539">
        <v>70.429999999999993</v>
      </c>
      <c r="AS33" s="539">
        <v>70.44</v>
      </c>
      <c r="AT33" s="539">
        <v>70.44</v>
      </c>
      <c r="AU33" s="539">
        <v>70.45</v>
      </c>
      <c r="AV33" s="539">
        <v>70.45</v>
      </c>
      <c r="AW33" s="539">
        <v>70.44</v>
      </c>
      <c r="AX33" s="539">
        <v>70.429999999999993</v>
      </c>
      <c r="AY33" s="539">
        <v>70.42</v>
      </c>
      <c r="AZ33" s="539">
        <v>70.399999999999991</v>
      </c>
      <c r="BA33" s="539" t="s">
        <v>556</v>
      </c>
      <c r="BB33" s="539" t="s">
        <v>556</v>
      </c>
      <c r="BC33" s="539" t="s">
        <v>556</v>
      </c>
      <c r="BD33" s="539" t="s">
        <v>556</v>
      </c>
      <c r="BE33" s="539" t="s">
        <v>556</v>
      </c>
      <c r="BF33" s="540"/>
      <c r="BG33" s="532">
        <v>66</v>
      </c>
      <c r="BH33" s="539">
        <v>70.88</v>
      </c>
      <c r="BI33" s="539">
        <v>70.899999999999991</v>
      </c>
      <c r="BJ33" s="539">
        <v>70.91</v>
      </c>
      <c r="BK33" s="539">
        <v>70.92</v>
      </c>
      <c r="BL33" s="539">
        <v>70.929999999999993</v>
      </c>
      <c r="BM33" s="539">
        <v>70.94</v>
      </c>
      <c r="BN33" s="539">
        <v>70.95</v>
      </c>
      <c r="BO33" s="539">
        <v>70.959999999999994</v>
      </c>
      <c r="BP33" s="539">
        <v>70.959999999999994</v>
      </c>
      <c r="BQ33" s="539">
        <v>70.95</v>
      </c>
      <c r="BR33" s="539">
        <v>70.95</v>
      </c>
      <c r="BS33" s="539">
        <v>70.94</v>
      </c>
      <c r="BT33" s="539" t="s">
        <v>556</v>
      </c>
      <c r="BU33" s="539" t="s">
        <v>556</v>
      </c>
      <c r="BV33" s="539" t="s">
        <v>556</v>
      </c>
      <c r="BW33" s="539" t="s">
        <v>556</v>
      </c>
      <c r="BX33" s="539" t="s">
        <v>556</v>
      </c>
      <c r="BY33" s="540"/>
      <c r="BZ33" s="532">
        <v>66</v>
      </c>
      <c r="CA33" s="541">
        <v>71.44</v>
      </c>
      <c r="CB33" s="541">
        <v>71.48</v>
      </c>
      <c r="CC33" s="541">
        <v>71.510000000000005</v>
      </c>
      <c r="CD33" s="541">
        <v>71.540000000000006</v>
      </c>
      <c r="CE33" s="541">
        <v>71.569999999999993</v>
      </c>
      <c r="CF33" s="541">
        <v>71.59</v>
      </c>
      <c r="CG33" s="541">
        <v>71.62</v>
      </c>
      <c r="CH33" s="541">
        <v>71.64</v>
      </c>
      <c r="CI33" s="541">
        <v>71.66</v>
      </c>
      <c r="CJ33" s="541">
        <v>71.680000000000007</v>
      </c>
      <c r="CK33" s="541">
        <v>71.69</v>
      </c>
      <c r="CL33" s="541">
        <v>71.7</v>
      </c>
      <c r="CM33" s="541" t="s">
        <v>556</v>
      </c>
      <c r="CN33" s="541" t="s">
        <v>556</v>
      </c>
      <c r="CO33" s="541" t="s">
        <v>556</v>
      </c>
      <c r="CP33" s="541" t="s">
        <v>556</v>
      </c>
      <c r="CQ33" s="541" t="s">
        <v>556</v>
      </c>
    </row>
    <row r="34" spans="2:95" x14ac:dyDescent="0.25">
      <c r="B34" s="532">
        <v>67</v>
      </c>
      <c r="C34" s="539">
        <v>69.11999999999999</v>
      </c>
      <c r="D34" s="539">
        <v>68.899999999999991</v>
      </c>
      <c r="E34" s="539">
        <v>68.899999999999991</v>
      </c>
      <c r="F34" s="539">
        <v>68.88</v>
      </c>
      <c r="G34" s="539">
        <v>68.91</v>
      </c>
      <c r="H34" s="539">
        <v>68.89</v>
      </c>
      <c r="I34" s="539">
        <v>68.849999999999994</v>
      </c>
      <c r="J34" s="539">
        <v>68.8</v>
      </c>
      <c r="K34" s="539">
        <v>68.759999999999991</v>
      </c>
      <c r="L34" s="539">
        <v>68.56</v>
      </c>
      <c r="M34" s="539">
        <v>68.48</v>
      </c>
      <c r="N34" s="539">
        <v>68.36</v>
      </c>
      <c r="O34" s="539" t="s">
        <v>556</v>
      </c>
      <c r="P34" s="539" t="s">
        <v>556</v>
      </c>
      <c r="Q34" s="539" t="s">
        <v>556</v>
      </c>
      <c r="R34" s="539" t="s">
        <v>556</v>
      </c>
      <c r="S34" s="539" t="s">
        <v>556</v>
      </c>
      <c r="T34" s="540"/>
      <c r="U34" s="532">
        <v>67</v>
      </c>
      <c r="V34" s="539">
        <v>69.69</v>
      </c>
      <c r="W34" s="539">
        <v>69.679999999999993</v>
      </c>
      <c r="X34" s="539">
        <v>69.67</v>
      </c>
      <c r="Y34" s="539">
        <v>69.66</v>
      </c>
      <c r="Z34" s="539">
        <v>69.649999999999991</v>
      </c>
      <c r="AA34" s="539">
        <v>69.63</v>
      </c>
      <c r="AB34" s="539">
        <v>69.61</v>
      </c>
      <c r="AC34" s="539">
        <v>69.58</v>
      </c>
      <c r="AD34" s="539">
        <v>69.55</v>
      </c>
      <c r="AE34" s="539">
        <v>69.52</v>
      </c>
      <c r="AF34" s="539">
        <v>69.48</v>
      </c>
      <c r="AG34" s="539">
        <v>69.44</v>
      </c>
      <c r="AH34" s="539" t="s">
        <v>556</v>
      </c>
      <c r="AI34" s="539" t="s">
        <v>556</v>
      </c>
      <c r="AJ34" s="539" t="s">
        <v>556</v>
      </c>
      <c r="AK34" s="539" t="s">
        <v>556</v>
      </c>
      <c r="AL34" s="539" t="s">
        <v>556</v>
      </c>
      <c r="AM34" s="540"/>
      <c r="AN34" s="532">
        <v>67</v>
      </c>
      <c r="AO34" s="539">
        <v>70.39</v>
      </c>
      <c r="AP34" s="539">
        <v>70.399999999999991</v>
      </c>
      <c r="AQ34" s="539">
        <v>70.399999999999991</v>
      </c>
      <c r="AR34" s="539">
        <v>70.41</v>
      </c>
      <c r="AS34" s="539">
        <v>70.41</v>
      </c>
      <c r="AT34" s="539">
        <v>70.41</v>
      </c>
      <c r="AU34" s="539">
        <v>70.41</v>
      </c>
      <c r="AV34" s="539">
        <v>70.399999999999991</v>
      </c>
      <c r="AW34" s="539">
        <v>70.39</v>
      </c>
      <c r="AX34" s="539">
        <v>70.36999999999999</v>
      </c>
      <c r="AY34" s="539">
        <v>70.349999999999994</v>
      </c>
      <c r="AZ34" s="539">
        <v>70.33</v>
      </c>
      <c r="BA34" s="539" t="s">
        <v>556</v>
      </c>
      <c r="BB34" s="539" t="s">
        <v>556</v>
      </c>
      <c r="BC34" s="539" t="s">
        <v>556</v>
      </c>
      <c r="BD34" s="539" t="s">
        <v>556</v>
      </c>
      <c r="BE34" s="539" t="s">
        <v>556</v>
      </c>
      <c r="BF34" s="540"/>
      <c r="BG34" s="532">
        <v>67</v>
      </c>
      <c r="BH34" s="539">
        <v>70.86999999999999</v>
      </c>
      <c r="BI34" s="539">
        <v>70.88</v>
      </c>
      <c r="BJ34" s="539">
        <v>70.89</v>
      </c>
      <c r="BK34" s="539">
        <v>70.899999999999991</v>
      </c>
      <c r="BL34" s="539">
        <v>70.91</v>
      </c>
      <c r="BM34" s="539">
        <v>70.92</v>
      </c>
      <c r="BN34" s="539">
        <v>70.92</v>
      </c>
      <c r="BO34" s="539">
        <v>70.92</v>
      </c>
      <c r="BP34" s="539">
        <v>70.91</v>
      </c>
      <c r="BQ34" s="539">
        <v>70.899999999999991</v>
      </c>
      <c r="BR34" s="539">
        <v>70.89</v>
      </c>
      <c r="BS34" s="539">
        <v>70.86999999999999</v>
      </c>
      <c r="BT34" s="539" t="s">
        <v>556</v>
      </c>
      <c r="BU34" s="539" t="s">
        <v>556</v>
      </c>
      <c r="BV34" s="539" t="s">
        <v>556</v>
      </c>
      <c r="BW34" s="539" t="s">
        <v>556</v>
      </c>
      <c r="BX34" s="539" t="s">
        <v>556</v>
      </c>
      <c r="BY34" s="540"/>
      <c r="BZ34" s="532">
        <v>67</v>
      </c>
      <c r="CA34" s="541">
        <v>71.459999999999994</v>
      </c>
      <c r="CB34" s="541">
        <v>71.489999999999995</v>
      </c>
      <c r="CC34" s="541">
        <v>71.510000000000005</v>
      </c>
      <c r="CD34" s="541">
        <v>71.540000000000006</v>
      </c>
      <c r="CE34" s="541">
        <v>71.56</v>
      </c>
      <c r="CF34" s="541">
        <v>71.59</v>
      </c>
      <c r="CG34" s="541">
        <v>71.61</v>
      </c>
      <c r="CH34" s="541">
        <v>71.63</v>
      </c>
      <c r="CI34" s="541">
        <v>71.64</v>
      </c>
      <c r="CJ34" s="541">
        <v>71.650000000000006</v>
      </c>
      <c r="CK34" s="541">
        <v>71.66</v>
      </c>
      <c r="CL34" s="541">
        <v>71.67</v>
      </c>
      <c r="CM34" s="541" t="s">
        <v>556</v>
      </c>
      <c r="CN34" s="541" t="s">
        <v>556</v>
      </c>
      <c r="CO34" s="541" t="s">
        <v>556</v>
      </c>
      <c r="CP34" s="541" t="s">
        <v>556</v>
      </c>
      <c r="CQ34" s="541" t="s">
        <v>556</v>
      </c>
    </row>
    <row r="35" spans="2:95" x14ac:dyDescent="0.25">
      <c r="B35" s="532">
        <v>68</v>
      </c>
      <c r="C35" s="539">
        <v>68.78</v>
      </c>
      <c r="D35" s="539">
        <v>68.789999999999992</v>
      </c>
      <c r="E35" s="539">
        <v>68.78</v>
      </c>
      <c r="F35" s="539">
        <v>68.759999999999991</v>
      </c>
      <c r="G35" s="539">
        <v>68.77</v>
      </c>
      <c r="H35" s="539">
        <v>68.739999999999995</v>
      </c>
      <c r="I35" s="539">
        <v>68.7</v>
      </c>
      <c r="J35" s="539">
        <v>68.63</v>
      </c>
      <c r="K35" s="539">
        <v>68.569999999999993</v>
      </c>
      <c r="L35" s="539">
        <v>68.38</v>
      </c>
      <c r="M35" s="539">
        <v>68.27</v>
      </c>
      <c r="N35" s="539">
        <v>68.13</v>
      </c>
      <c r="O35" s="539" t="s">
        <v>556</v>
      </c>
      <c r="P35" s="539" t="s">
        <v>556</v>
      </c>
      <c r="Q35" s="539" t="s">
        <v>556</v>
      </c>
      <c r="R35" s="539" t="s">
        <v>556</v>
      </c>
      <c r="S35" s="539" t="s">
        <v>556</v>
      </c>
      <c r="T35" s="540"/>
      <c r="U35" s="532">
        <v>68</v>
      </c>
      <c r="V35" s="539">
        <v>69.649999999999991</v>
      </c>
      <c r="W35" s="539">
        <v>69.64</v>
      </c>
      <c r="X35" s="539">
        <v>69.61999999999999</v>
      </c>
      <c r="Y35" s="539">
        <v>69.599999999999994</v>
      </c>
      <c r="Z35" s="539">
        <v>69.58</v>
      </c>
      <c r="AA35" s="539">
        <v>69.56</v>
      </c>
      <c r="AB35" s="539">
        <v>69.53</v>
      </c>
      <c r="AC35" s="539">
        <v>69.5</v>
      </c>
      <c r="AD35" s="539">
        <v>69.47</v>
      </c>
      <c r="AE35" s="539">
        <v>69.42</v>
      </c>
      <c r="AF35" s="539">
        <v>69.38</v>
      </c>
      <c r="AG35" s="539">
        <v>69.319999999999993</v>
      </c>
      <c r="AH35" s="539" t="s">
        <v>556</v>
      </c>
      <c r="AI35" s="539" t="s">
        <v>556</v>
      </c>
      <c r="AJ35" s="539" t="s">
        <v>556</v>
      </c>
      <c r="AK35" s="539" t="s">
        <v>556</v>
      </c>
      <c r="AL35" s="539" t="s">
        <v>556</v>
      </c>
      <c r="AM35" s="540"/>
      <c r="AN35" s="532">
        <v>68</v>
      </c>
      <c r="AO35" s="539">
        <v>70.36999999999999</v>
      </c>
      <c r="AP35" s="539">
        <v>70.36999999999999</v>
      </c>
      <c r="AQ35" s="539">
        <v>70.36999999999999</v>
      </c>
      <c r="AR35" s="539">
        <v>70.36999999999999</v>
      </c>
      <c r="AS35" s="539">
        <v>70.36999999999999</v>
      </c>
      <c r="AT35" s="539">
        <v>70.36</v>
      </c>
      <c r="AU35" s="539">
        <v>70.349999999999994</v>
      </c>
      <c r="AV35" s="539">
        <v>70.34</v>
      </c>
      <c r="AW35" s="539">
        <v>70.319999999999993</v>
      </c>
      <c r="AX35" s="539">
        <v>70.3</v>
      </c>
      <c r="AY35" s="539">
        <v>70.27</v>
      </c>
      <c r="AZ35" s="539">
        <v>70.239999999999995</v>
      </c>
      <c r="BA35" s="539" t="s">
        <v>556</v>
      </c>
      <c r="BB35" s="539" t="s">
        <v>556</v>
      </c>
      <c r="BC35" s="539" t="s">
        <v>556</v>
      </c>
      <c r="BD35" s="539" t="s">
        <v>556</v>
      </c>
      <c r="BE35" s="539" t="s">
        <v>556</v>
      </c>
      <c r="BF35" s="540"/>
      <c r="BG35" s="532">
        <v>68</v>
      </c>
      <c r="BH35" s="539">
        <v>70.86</v>
      </c>
      <c r="BI35" s="539">
        <v>70.86999999999999</v>
      </c>
      <c r="BJ35" s="539">
        <v>70.86999999999999</v>
      </c>
      <c r="BK35" s="539">
        <v>70.86999999999999</v>
      </c>
      <c r="BL35" s="539">
        <v>70.88</v>
      </c>
      <c r="BM35" s="539">
        <v>70.88</v>
      </c>
      <c r="BN35" s="539">
        <v>70.86999999999999</v>
      </c>
      <c r="BO35" s="539">
        <v>70.86999999999999</v>
      </c>
      <c r="BP35" s="539">
        <v>70.86999999999999</v>
      </c>
      <c r="BQ35" s="539">
        <v>70.849999999999994</v>
      </c>
      <c r="BR35" s="539">
        <v>70.83</v>
      </c>
      <c r="BS35" s="539">
        <v>70.8</v>
      </c>
      <c r="BT35" s="539" t="s">
        <v>556</v>
      </c>
      <c r="BU35" s="539" t="s">
        <v>556</v>
      </c>
      <c r="BV35" s="539" t="s">
        <v>556</v>
      </c>
      <c r="BW35" s="539" t="s">
        <v>556</v>
      </c>
      <c r="BX35" s="539" t="s">
        <v>556</v>
      </c>
      <c r="BY35" s="540"/>
      <c r="BZ35" s="532">
        <v>68</v>
      </c>
      <c r="CA35" s="541">
        <v>71.459999999999994</v>
      </c>
      <c r="CB35" s="541">
        <v>71.48</v>
      </c>
      <c r="CC35" s="541">
        <v>71.510000000000005</v>
      </c>
      <c r="CD35" s="541">
        <v>71.53</v>
      </c>
      <c r="CE35" s="541">
        <v>71.55</v>
      </c>
      <c r="CF35" s="541">
        <v>71.569999999999993</v>
      </c>
      <c r="CG35" s="541">
        <v>71.59</v>
      </c>
      <c r="CH35" s="541">
        <v>71.599999999999994</v>
      </c>
      <c r="CI35" s="541">
        <v>71.61</v>
      </c>
      <c r="CJ35" s="541">
        <v>71.62</v>
      </c>
      <c r="CK35" s="541">
        <v>71.62</v>
      </c>
      <c r="CL35" s="541">
        <v>71.62</v>
      </c>
      <c r="CM35" s="541" t="s">
        <v>556</v>
      </c>
      <c r="CN35" s="541" t="s">
        <v>556</v>
      </c>
      <c r="CO35" s="541" t="s">
        <v>556</v>
      </c>
      <c r="CP35" s="541" t="s">
        <v>556</v>
      </c>
      <c r="CQ35" s="541" t="s">
        <v>556</v>
      </c>
    </row>
    <row r="36" spans="2:95" x14ac:dyDescent="0.25">
      <c r="B36" s="532">
        <v>69</v>
      </c>
      <c r="C36" s="539">
        <v>68.67</v>
      </c>
      <c r="D36" s="539">
        <v>68.66</v>
      </c>
      <c r="E36" s="539">
        <v>68.649999999999991</v>
      </c>
      <c r="F36" s="539">
        <v>68.61999999999999</v>
      </c>
      <c r="G36" s="539">
        <v>68.61999999999999</v>
      </c>
      <c r="H36" s="539">
        <v>68.58</v>
      </c>
      <c r="I36" s="539">
        <v>68.52</v>
      </c>
      <c r="J36" s="539">
        <v>68.429999999999993</v>
      </c>
      <c r="K36" s="539">
        <v>68.349999999999994</v>
      </c>
      <c r="L36" s="539">
        <v>68.17</v>
      </c>
      <c r="M36" s="539">
        <v>68.03</v>
      </c>
      <c r="N36" s="539">
        <v>67.86</v>
      </c>
      <c r="O36" s="539" t="s">
        <v>556</v>
      </c>
      <c r="P36" s="539" t="s">
        <v>556</v>
      </c>
      <c r="Q36" s="539" t="s">
        <v>556</v>
      </c>
      <c r="R36" s="539" t="s">
        <v>556</v>
      </c>
      <c r="S36" s="539" t="s">
        <v>556</v>
      </c>
      <c r="T36" s="540"/>
      <c r="U36" s="532">
        <v>69</v>
      </c>
      <c r="V36" s="539">
        <v>69.599999999999994</v>
      </c>
      <c r="W36" s="539">
        <v>69.58</v>
      </c>
      <c r="X36" s="539">
        <v>69.56</v>
      </c>
      <c r="Y36" s="539">
        <v>69.539999999999992</v>
      </c>
      <c r="Z36" s="539">
        <v>69.509999999999991</v>
      </c>
      <c r="AA36" s="539">
        <v>69.48</v>
      </c>
      <c r="AB36" s="539">
        <v>69.45</v>
      </c>
      <c r="AC36" s="539">
        <v>69.41</v>
      </c>
      <c r="AD36" s="539">
        <v>69.36</v>
      </c>
      <c r="AE36" s="539">
        <v>69.31</v>
      </c>
      <c r="AF36" s="539">
        <v>69.259999999999991</v>
      </c>
      <c r="AG36" s="539">
        <v>69.2</v>
      </c>
      <c r="AH36" s="539" t="s">
        <v>556</v>
      </c>
      <c r="AI36" s="539" t="s">
        <v>556</v>
      </c>
      <c r="AJ36" s="539" t="s">
        <v>556</v>
      </c>
      <c r="AK36" s="539" t="s">
        <v>556</v>
      </c>
      <c r="AL36" s="539" t="s">
        <v>556</v>
      </c>
      <c r="AM36" s="540"/>
      <c r="AN36" s="532">
        <v>69</v>
      </c>
      <c r="AO36" s="539">
        <v>70.33</v>
      </c>
      <c r="AP36" s="539">
        <v>70.33</v>
      </c>
      <c r="AQ36" s="539">
        <v>70.33</v>
      </c>
      <c r="AR36" s="539">
        <v>70.33</v>
      </c>
      <c r="AS36" s="539">
        <v>70.319999999999993</v>
      </c>
      <c r="AT36" s="539">
        <v>70.31</v>
      </c>
      <c r="AU36" s="539">
        <v>70.289999999999992</v>
      </c>
      <c r="AV36" s="539">
        <v>70.27</v>
      </c>
      <c r="AW36" s="539">
        <v>70.239999999999995</v>
      </c>
      <c r="AX36" s="539">
        <v>70.209999999999994</v>
      </c>
      <c r="AY36" s="539">
        <v>70.179999999999993</v>
      </c>
      <c r="AZ36" s="539">
        <v>70.13</v>
      </c>
      <c r="BA36" s="539" t="s">
        <v>556</v>
      </c>
      <c r="BB36" s="539" t="s">
        <v>556</v>
      </c>
      <c r="BC36" s="539" t="s">
        <v>556</v>
      </c>
      <c r="BD36" s="539" t="s">
        <v>556</v>
      </c>
      <c r="BE36" s="539" t="s">
        <v>556</v>
      </c>
      <c r="BF36" s="540"/>
      <c r="BG36" s="532">
        <v>69</v>
      </c>
      <c r="BH36" s="539">
        <v>70.84</v>
      </c>
      <c r="BI36" s="539">
        <v>70.84</v>
      </c>
      <c r="BJ36" s="539">
        <v>70.849999999999994</v>
      </c>
      <c r="BK36" s="539">
        <v>70.849999999999994</v>
      </c>
      <c r="BL36" s="539">
        <v>70.849999999999994</v>
      </c>
      <c r="BM36" s="539">
        <v>70.84</v>
      </c>
      <c r="BN36" s="539">
        <v>70.83</v>
      </c>
      <c r="BO36" s="539">
        <v>70.81</v>
      </c>
      <c r="BP36" s="539">
        <v>70.789999999999992</v>
      </c>
      <c r="BQ36" s="539">
        <v>70.77</v>
      </c>
      <c r="BR36" s="539">
        <v>70.739999999999995</v>
      </c>
      <c r="BS36" s="539">
        <v>70.7</v>
      </c>
      <c r="BT36" s="539" t="s">
        <v>556</v>
      </c>
      <c r="BU36" s="539" t="s">
        <v>556</v>
      </c>
      <c r="BV36" s="539" t="s">
        <v>556</v>
      </c>
      <c r="BW36" s="539" t="s">
        <v>556</v>
      </c>
      <c r="BX36" s="539" t="s">
        <v>556</v>
      </c>
      <c r="BY36" s="540"/>
      <c r="BZ36" s="532">
        <v>69</v>
      </c>
      <c r="CA36" s="541">
        <v>71.45</v>
      </c>
      <c r="CB36" s="541">
        <v>71.47</v>
      </c>
      <c r="CC36" s="541">
        <v>71.5</v>
      </c>
      <c r="CD36" s="541">
        <v>71.52</v>
      </c>
      <c r="CE36" s="541">
        <v>71.53</v>
      </c>
      <c r="CF36" s="541">
        <v>71.55</v>
      </c>
      <c r="CG36" s="541">
        <v>71.56</v>
      </c>
      <c r="CH36" s="541">
        <v>71.56</v>
      </c>
      <c r="CI36" s="541">
        <v>71.569999999999993</v>
      </c>
      <c r="CJ36" s="541">
        <v>71.569999999999993</v>
      </c>
      <c r="CK36" s="541">
        <v>71.56</v>
      </c>
      <c r="CL36" s="541">
        <v>71.55</v>
      </c>
      <c r="CM36" s="541" t="s">
        <v>556</v>
      </c>
      <c r="CN36" s="541" t="s">
        <v>556</v>
      </c>
      <c r="CO36" s="541" t="s">
        <v>556</v>
      </c>
      <c r="CP36" s="541" t="s">
        <v>556</v>
      </c>
      <c r="CQ36" s="541" t="s">
        <v>556</v>
      </c>
    </row>
    <row r="37" spans="2:95" x14ac:dyDescent="0.25">
      <c r="B37" s="532">
        <v>70</v>
      </c>
      <c r="C37" s="539">
        <v>68.539999999999992</v>
      </c>
      <c r="D37" s="539">
        <v>68.53</v>
      </c>
      <c r="E37" s="539">
        <v>68.509999999999991</v>
      </c>
      <c r="F37" s="539">
        <v>68.47</v>
      </c>
      <c r="G37" s="539">
        <v>68.45</v>
      </c>
      <c r="H37" s="539">
        <v>68.399999999999991</v>
      </c>
      <c r="I37" s="539">
        <v>68.319999999999993</v>
      </c>
      <c r="J37" s="539">
        <v>68.22</v>
      </c>
      <c r="K37" s="539">
        <v>68.11</v>
      </c>
      <c r="L37" s="539">
        <v>67.929999999999993</v>
      </c>
      <c r="M37" s="539">
        <v>67.77</v>
      </c>
      <c r="N37" s="539" t="s">
        <v>556</v>
      </c>
      <c r="O37" s="539" t="s">
        <v>556</v>
      </c>
      <c r="P37" s="539" t="s">
        <v>556</v>
      </c>
      <c r="Q37" s="539" t="s">
        <v>556</v>
      </c>
      <c r="R37" s="539" t="s">
        <v>556</v>
      </c>
      <c r="S37" s="539" t="s">
        <v>556</v>
      </c>
      <c r="T37" s="540"/>
      <c r="U37" s="532">
        <v>70</v>
      </c>
      <c r="V37" s="539">
        <v>69.539999999999992</v>
      </c>
      <c r="W37" s="539">
        <v>69.509999999999991</v>
      </c>
      <c r="X37" s="539">
        <v>69.489999999999995</v>
      </c>
      <c r="Y37" s="539">
        <v>69.459999999999994</v>
      </c>
      <c r="Z37" s="539">
        <v>69.42</v>
      </c>
      <c r="AA37" s="539">
        <v>69.39</v>
      </c>
      <c r="AB37" s="539">
        <v>69.34</v>
      </c>
      <c r="AC37" s="539">
        <v>69.3</v>
      </c>
      <c r="AD37" s="539">
        <v>69.25</v>
      </c>
      <c r="AE37" s="539">
        <v>69.179999999999993</v>
      </c>
      <c r="AF37" s="539">
        <v>69.11999999999999</v>
      </c>
      <c r="AG37" s="539" t="s">
        <v>556</v>
      </c>
      <c r="AH37" s="539" t="s">
        <v>556</v>
      </c>
      <c r="AI37" s="539" t="s">
        <v>556</v>
      </c>
      <c r="AJ37" s="539" t="s">
        <v>556</v>
      </c>
      <c r="AK37" s="539" t="s">
        <v>556</v>
      </c>
      <c r="AL37" s="539" t="s">
        <v>556</v>
      </c>
      <c r="AM37" s="540"/>
      <c r="AN37" s="532">
        <v>70</v>
      </c>
      <c r="AO37" s="539">
        <v>70.289999999999992</v>
      </c>
      <c r="AP37" s="539">
        <v>70.289999999999992</v>
      </c>
      <c r="AQ37" s="539">
        <v>70.28</v>
      </c>
      <c r="AR37" s="539">
        <v>70.27</v>
      </c>
      <c r="AS37" s="539">
        <v>70.25</v>
      </c>
      <c r="AT37" s="539">
        <v>70.23</v>
      </c>
      <c r="AU37" s="539">
        <v>70.209999999999994</v>
      </c>
      <c r="AV37" s="539">
        <v>70.179999999999993</v>
      </c>
      <c r="AW37" s="539">
        <v>70.149999999999991</v>
      </c>
      <c r="AX37" s="539">
        <v>70.11</v>
      </c>
      <c r="AY37" s="539">
        <v>70.069999999999993</v>
      </c>
      <c r="AZ37" s="539" t="s">
        <v>556</v>
      </c>
      <c r="BA37" s="539" t="s">
        <v>556</v>
      </c>
      <c r="BB37" s="539" t="s">
        <v>556</v>
      </c>
      <c r="BC37" s="539" t="s">
        <v>556</v>
      </c>
      <c r="BD37" s="539" t="s">
        <v>556</v>
      </c>
      <c r="BE37" s="539" t="s">
        <v>556</v>
      </c>
      <c r="BF37" s="540"/>
      <c r="BG37" s="532">
        <v>70</v>
      </c>
      <c r="BH37" s="539">
        <v>70.81</v>
      </c>
      <c r="BI37" s="539">
        <v>70.81</v>
      </c>
      <c r="BJ37" s="539">
        <v>70.8</v>
      </c>
      <c r="BK37" s="539">
        <v>70.8</v>
      </c>
      <c r="BL37" s="539">
        <v>70.789999999999992</v>
      </c>
      <c r="BM37" s="539">
        <v>70.77</v>
      </c>
      <c r="BN37" s="539">
        <v>70.759999999999991</v>
      </c>
      <c r="BO37" s="539">
        <v>70.73</v>
      </c>
      <c r="BP37" s="539">
        <v>70.709999999999994</v>
      </c>
      <c r="BQ37" s="539">
        <v>70.67</v>
      </c>
      <c r="BR37" s="539">
        <v>70.63</v>
      </c>
      <c r="BS37" s="539" t="s">
        <v>556</v>
      </c>
      <c r="BT37" s="539" t="s">
        <v>556</v>
      </c>
      <c r="BU37" s="539" t="s">
        <v>556</v>
      </c>
      <c r="BV37" s="539" t="s">
        <v>556</v>
      </c>
      <c r="BW37" s="539" t="s">
        <v>556</v>
      </c>
      <c r="BX37" s="539" t="s">
        <v>556</v>
      </c>
      <c r="BY37" s="540"/>
      <c r="BZ37" s="532">
        <v>70</v>
      </c>
      <c r="CA37" s="541">
        <v>71.44</v>
      </c>
      <c r="CB37" s="541">
        <v>71.459999999999994</v>
      </c>
      <c r="CC37" s="541">
        <v>71.48</v>
      </c>
      <c r="CD37" s="541">
        <v>71.489999999999995</v>
      </c>
      <c r="CE37" s="541">
        <v>71.5</v>
      </c>
      <c r="CF37" s="541">
        <v>71.510000000000005</v>
      </c>
      <c r="CG37" s="541">
        <v>71.510000000000005</v>
      </c>
      <c r="CH37" s="541">
        <v>71.52</v>
      </c>
      <c r="CI37" s="541">
        <v>71.510000000000005</v>
      </c>
      <c r="CJ37" s="541">
        <v>71.5</v>
      </c>
      <c r="CK37" s="541">
        <v>71.489999999999995</v>
      </c>
      <c r="CL37" s="541" t="s">
        <v>556</v>
      </c>
      <c r="CM37" s="541" t="s">
        <v>556</v>
      </c>
      <c r="CN37" s="541" t="s">
        <v>556</v>
      </c>
      <c r="CO37" s="541" t="s">
        <v>556</v>
      </c>
      <c r="CP37" s="541" t="s">
        <v>556</v>
      </c>
      <c r="CQ37" s="541" t="s">
        <v>556</v>
      </c>
    </row>
    <row r="38" spans="2:95" x14ac:dyDescent="0.25">
      <c r="B38" s="532">
        <v>71</v>
      </c>
      <c r="C38" s="539">
        <v>68.399999999999991</v>
      </c>
      <c r="D38" s="539">
        <v>68.38</v>
      </c>
      <c r="E38" s="539">
        <v>68.349999999999994</v>
      </c>
      <c r="F38" s="539">
        <v>68.3</v>
      </c>
      <c r="G38" s="539">
        <v>68.27</v>
      </c>
      <c r="H38" s="539">
        <v>68.2</v>
      </c>
      <c r="I38" s="539">
        <v>68.11</v>
      </c>
      <c r="J38" s="539">
        <v>67.989999999999995</v>
      </c>
      <c r="K38" s="539">
        <v>67.849999999999994</v>
      </c>
      <c r="L38" s="539">
        <v>67.679999999999993</v>
      </c>
      <c r="M38" s="539" t="s">
        <v>556</v>
      </c>
      <c r="N38" s="539" t="s">
        <v>556</v>
      </c>
      <c r="O38" s="539" t="s">
        <v>556</v>
      </c>
      <c r="P38" s="539" t="s">
        <v>556</v>
      </c>
      <c r="Q38" s="539" t="s">
        <v>556</v>
      </c>
      <c r="R38" s="539" t="s">
        <v>556</v>
      </c>
      <c r="S38" s="539" t="s">
        <v>556</v>
      </c>
      <c r="T38" s="540"/>
      <c r="U38" s="532">
        <v>71</v>
      </c>
      <c r="V38" s="539">
        <v>69.47</v>
      </c>
      <c r="W38" s="539">
        <v>69.44</v>
      </c>
      <c r="X38" s="539">
        <v>69.399999999999991</v>
      </c>
      <c r="Y38" s="539">
        <v>69.36</v>
      </c>
      <c r="Z38" s="539">
        <v>69.319999999999993</v>
      </c>
      <c r="AA38" s="539">
        <v>69.28</v>
      </c>
      <c r="AB38" s="539">
        <v>69.23</v>
      </c>
      <c r="AC38" s="539">
        <v>69.17</v>
      </c>
      <c r="AD38" s="539">
        <v>69.099999999999994</v>
      </c>
      <c r="AE38" s="539">
        <v>69.03</v>
      </c>
      <c r="AF38" s="539" t="s">
        <v>556</v>
      </c>
      <c r="AG38" s="539" t="s">
        <v>556</v>
      </c>
      <c r="AH38" s="539" t="s">
        <v>556</v>
      </c>
      <c r="AI38" s="539" t="s">
        <v>556</v>
      </c>
      <c r="AJ38" s="539" t="s">
        <v>556</v>
      </c>
      <c r="AK38" s="539" t="s">
        <v>556</v>
      </c>
      <c r="AL38" s="539" t="s">
        <v>556</v>
      </c>
      <c r="AM38" s="540"/>
      <c r="AN38" s="532">
        <v>71</v>
      </c>
      <c r="AO38" s="539">
        <v>70.239999999999995</v>
      </c>
      <c r="AP38" s="539">
        <v>70.23</v>
      </c>
      <c r="AQ38" s="539">
        <v>70.22</v>
      </c>
      <c r="AR38" s="539">
        <v>70.2</v>
      </c>
      <c r="AS38" s="539">
        <v>70.179999999999993</v>
      </c>
      <c r="AT38" s="539">
        <v>70.149999999999991</v>
      </c>
      <c r="AU38" s="539">
        <v>70.11999999999999</v>
      </c>
      <c r="AV38" s="539">
        <v>70.09</v>
      </c>
      <c r="AW38" s="539">
        <v>70.039999999999992</v>
      </c>
      <c r="AX38" s="539">
        <v>69.989999999999995</v>
      </c>
      <c r="AY38" s="539" t="s">
        <v>556</v>
      </c>
      <c r="AZ38" s="539" t="s">
        <v>556</v>
      </c>
      <c r="BA38" s="539" t="s">
        <v>556</v>
      </c>
      <c r="BB38" s="539" t="s">
        <v>556</v>
      </c>
      <c r="BC38" s="539" t="s">
        <v>556</v>
      </c>
      <c r="BD38" s="539" t="s">
        <v>556</v>
      </c>
      <c r="BE38" s="539" t="s">
        <v>556</v>
      </c>
      <c r="BF38" s="540"/>
      <c r="BG38" s="532">
        <v>71</v>
      </c>
      <c r="BH38" s="539">
        <v>70.759999999999991</v>
      </c>
      <c r="BI38" s="539">
        <v>70.759999999999991</v>
      </c>
      <c r="BJ38" s="539">
        <v>70.75</v>
      </c>
      <c r="BK38" s="539">
        <v>70.739999999999995</v>
      </c>
      <c r="BL38" s="539">
        <v>70.72</v>
      </c>
      <c r="BM38" s="539">
        <v>70.7</v>
      </c>
      <c r="BN38" s="539">
        <v>70.67</v>
      </c>
      <c r="BO38" s="539">
        <v>70.64</v>
      </c>
      <c r="BP38" s="539">
        <v>70.599999999999994</v>
      </c>
      <c r="BQ38" s="539">
        <v>70.56</v>
      </c>
      <c r="BR38" s="539" t="s">
        <v>556</v>
      </c>
      <c r="BS38" s="539" t="s">
        <v>556</v>
      </c>
      <c r="BT38" s="539" t="s">
        <v>556</v>
      </c>
      <c r="BU38" s="539" t="s">
        <v>556</v>
      </c>
      <c r="BV38" s="539" t="s">
        <v>556</v>
      </c>
      <c r="BW38" s="539" t="s">
        <v>556</v>
      </c>
      <c r="BX38" s="539" t="s">
        <v>556</v>
      </c>
      <c r="BY38" s="540"/>
      <c r="BZ38" s="532">
        <v>71</v>
      </c>
      <c r="CA38" s="541">
        <v>71.42</v>
      </c>
      <c r="CB38" s="541">
        <v>71.430000000000007</v>
      </c>
      <c r="CC38" s="541">
        <v>71.45</v>
      </c>
      <c r="CD38" s="541">
        <v>71.45</v>
      </c>
      <c r="CE38" s="541">
        <v>71.459999999999994</v>
      </c>
      <c r="CF38" s="541">
        <v>71.459999999999994</v>
      </c>
      <c r="CG38" s="541">
        <v>71.459999999999994</v>
      </c>
      <c r="CH38" s="541">
        <v>71.45</v>
      </c>
      <c r="CI38" s="541">
        <v>71.44</v>
      </c>
      <c r="CJ38" s="541">
        <v>71.42</v>
      </c>
      <c r="CK38" s="541" t="s">
        <v>556</v>
      </c>
      <c r="CL38" s="541" t="s">
        <v>556</v>
      </c>
      <c r="CM38" s="541" t="s">
        <v>556</v>
      </c>
      <c r="CN38" s="541" t="s">
        <v>556</v>
      </c>
      <c r="CO38" s="541" t="s">
        <v>556</v>
      </c>
      <c r="CP38" s="541" t="s">
        <v>556</v>
      </c>
      <c r="CQ38" s="541" t="s">
        <v>556</v>
      </c>
    </row>
    <row r="39" spans="2:95" x14ac:dyDescent="0.25">
      <c r="B39" s="532">
        <v>72</v>
      </c>
      <c r="C39" s="539">
        <v>68.239999999999995</v>
      </c>
      <c r="D39" s="539">
        <v>68.209999999999994</v>
      </c>
      <c r="E39" s="539">
        <v>68.179999999999993</v>
      </c>
      <c r="F39" s="539">
        <v>68.11</v>
      </c>
      <c r="G39" s="539">
        <v>68.069999999999993</v>
      </c>
      <c r="H39" s="539">
        <v>67.98</v>
      </c>
      <c r="I39" s="539">
        <v>67.86999999999999</v>
      </c>
      <c r="J39" s="539">
        <v>67.73</v>
      </c>
      <c r="K39" s="539">
        <v>67.569999999999993</v>
      </c>
      <c r="L39" s="539" t="s">
        <v>556</v>
      </c>
      <c r="M39" s="539" t="s">
        <v>556</v>
      </c>
      <c r="N39" s="539" t="s">
        <v>556</v>
      </c>
      <c r="O39" s="539" t="s">
        <v>556</v>
      </c>
      <c r="P39" s="539" t="s">
        <v>556</v>
      </c>
      <c r="Q39" s="539" t="s">
        <v>556</v>
      </c>
      <c r="R39" s="539" t="s">
        <v>556</v>
      </c>
      <c r="S39" s="539" t="s">
        <v>556</v>
      </c>
      <c r="T39" s="540"/>
      <c r="U39" s="532">
        <v>72</v>
      </c>
      <c r="V39" s="539">
        <v>69.38</v>
      </c>
      <c r="W39" s="539">
        <v>69.34</v>
      </c>
      <c r="X39" s="539">
        <v>69.31</v>
      </c>
      <c r="Y39" s="539">
        <v>69.259999999999991</v>
      </c>
      <c r="Z39" s="539">
        <v>69.209999999999994</v>
      </c>
      <c r="AA39" s="539">
        <v>69.149999999999991</v>
      </c>
      <c r="AB39" s="539">
        <v>69.09</v>
      </c>
      <c r="AC39" s="539">
        <v>69.02</v>
      </c>
      <c r="AD39" s="539">
        <v>68.94</v>
      </c>
      <c r="AE39" s="539" t="s">
        <v>556</v>
      </c>
      <c r="AF39" s="539" t="s">
        <v>556</v>
      </c>
      <c r="AG39" s="539" t="s">
        <v>556</v>
      </c>
      <c r="AH39" s="539" t="s">
        <v>556</v>
      </c>
      <c r="AI39" s="539" t="s">
        <v>556</v>
      </c>
      <c r="AJ39" s="539" t="s">
        <v>556</v>
      </c>
      <c r="AK39" s="539" t="s">
        <v>556</v>
      </c>
      <c r="AL39" s="539" t="s">
        <v>556</v>
      </c>
      <c r="AM39" s="540"/>
      <c r="AN39" s="532">
        <v>72</v>
      </c>
      <c r="AO39" s="539">
        <v>70.179999999999993</v>
      </c>
      <c r="AP39" s="539">
        <v>70.16</v>
      </c>
      <c r="AQ39" s="539">
        <v>70.14</v>
      </c>
      <c r="AR39" s="539">
        <v>70.11</v>
      </c>
      <c r="AS39" s="539">
        <v>70.09</v>
      </c>
      <c r="AT39" s="539">
        <v>70.05</v>
      </c>
      <c r="AU39" s="539">
        <v>70.009999999999991</v>
      </c>
      <c r="AV39" s="539">
        <v>69.959999999999994</v>
      </c>
      <c r="AW39" s="539">
        <v>69.91</v>
      </c>
      <c r="AX39" s="539" t="s">
        <v>556</v>
      </c>
      <c r="AY39" s="539" t="s">
        <v>556</v>
      </c>
      <c r="AZ39" s="539" t="s">
        <v>556</v>
      </c>
      <c r="BA39" s="539" t="s">
        <v>556</v>
      </c>
      <c r="BB39" s="539" t="s">
        <v>556</v>
      </c>
      <c r="BC39" s="539" t="s">
        <v>556</v>
      </c>
      <c r="BD39" s="539" t="s">
        <v>556</v>
      </c>
      <c r="BE39" s="539" t="s">
        <v>556</v>
      </c>
      <c r="BF39" s="540"/>
      <c r="BG39" s="532">
        <v>72</v>
      </c>
      <c r="BH39" s="539">
        <v>70.709999999999994</v>
      </c>
      <c r="BI39" s="539">
        <v>70.7</v>
      </c>
      <c r="BJ39" s="539">
        <v>70.679999999999993</v>
      </c>
      <c r="BK39" s="539">
        <v>70.66</v>
      </c>
      <c r="BL39" s="539">
        <v>70.63</v>
      </c>
      <c r="BM39" s="539">
        <v>70.599999999999994</v>
      </c>
      <c r="BN39" s="539">
        <v>70.569999999999993</v>
      </c>
      <c r="BO39" s="539">
        <v>70.53</v>
      </c>
      <c r="BP39" s="539">
        <v>70.48</v>
      </c>
      <c r="BQ39" s="539" t="s">
        <v>556</v>
      </c>
      <c r="BR39" s="539" t="s">
        <v>556</v>
      </c>
      <c r="BS39" s="539" t="s">
        <v>556</v>
      </c>
      <c r="BT39" s="539" t="s">
        <v>556</v>
      </c>
      <c r="BU39" s="539" t="s">
        <v>556</v>
      </c>
      <c r="BV39" s="539" t="s">
        <v>556</v>
      </c>
      <c r="BW39" s="539" t="s">
        <v>556</v>
      </c>
      <c r="BX39" s="539" t="s">
        <v>556</v>
      </c>
      <c r="BY39" s="540"/>
      <c r="BZ39" s="532">
        <v>72</v>
      </c>
      <c r="CA39" s="541">
        <v>71.39</v>
      </c>
      <c r="CB39" s="541">
        <v>71.400000000000006</v>
      </c>
      <c r="CC39" s="541">
        <v>71.400000000000006</v>
      </c>
      <c r="CD39" s="541">
        <v>71.400000000000006</v>
      </c>
      <c r="CE39" s="541">
        <v>71.400000000000006</v>
      </c>
      <c r="CF39" s="541">
        <v>71.400000000000006</v>
      </c>
      <c r="CG39" s="541">
        <v>71.39</v>
      </c>
      <c r="CH39" s="541">
        <v>71.37</v>
      </c>
      <c r="CI39" s="541">
        <v>71.349999999999994</v>
      </c>
      <c r="CJ39" s="541" t="s">
        <v>556</v>
      </c>
      <c r="CK39" s="541" t="s">
        <v>556</v>
      </c>
      <c r="CL39" s="541" t="s">
        <v>556</v>
      </c>
      <c r="CM39" s="541" t="s">
        <v>556</v>
      </c>
      <c r="CN39" s="541" t="s">
        <v>556</v>
      </c>
      <c r="CO39" s="541" t="s">
        <v>556</v>
      </c>
      <c r="CP39" s="541" t="s">
        <v>556</v>
      </c>
      <c r="CQ39" s="541" t="s">
        <v>556</v>
      </c>
    </row>
    <row r="40" spans="2:95" x14ac:dyDescent="0.25">
      <c r="B40" s="532">
        <v>73</v>
      </c>
      <c r="C40" s="539">
        <v>68.08</v>
      </c>
      <c r="D40" s="539">
        <v>68.039999999999992</v>
      </c>
      <c r="E40" s="539">
        <v>67.989999999999995</v>
      </c>
      <c r="F40" s="539">
        <v>67.91</v>
      </c>
      <c r="G40" s="539">
        <v>67.849999999999994</v>
      </c>
      <c r="H40" s="539">
        <v>67.75</v>
      </c>
      <c r="I40" s="539">
        <v>67.61999999999999</v>
      </c>
      <c r="J40" s="539">
        <v>67.459999999999994</v>
      </c>
      <c r="K40" s="539" t="s">
        <v>556</v>
      </c>
      <c r="L40" s="539" t="s">
        <v>556</v>
      </c>
      <c r="M40" s="539" t="s">
        <v>556</v>
      </c>
      <c r="N40" s="539" t="s">
        <v>556</v>
      </c>
      <c r="O40" s="539" t="s">
        <v>556</v>
      </c>
      <c r="P40" s="539" t="s">
        <v>556</v>
      </c>
      <c r="Q40" s="539" t="s">
        <v>556</v>
      </c>
      <c r="R40" s="539" t="s">
        <v>556</v>
      </c>
      <c r="S40" s="539" t="s">
        <v>556</v>
      </c>
      <c r="T40" s="540"/>
      <c r="U40" s="532">
        <v>73</v>
      </c>
      <c r="V40" s="539">
        <v>69.289999999999992</v>
      </c>
      <c r="W40" s="539">
        <v>69.25</v>
      </c>
      <c r="X40" s="539">
        <v>69.19</v>
      </c>
      <c r="Y40" s="539">
        <v>69.13</v>
      </c>
      <c r="Z40" s="539">
        <v>69.069999999999993</v>
      </c>
      <c r="AA40" s="539">
        <v>69</v>
      </c>
      <c r="AB40" s="539">
        <v>68.92</v>
      </c>
      <c r="AC40" s="539">
        <v>68.849999999999994</v>
      </c>
      <c r="AD40" s="539" t="s">
        <v>556</v>
      </c>
      <c r="AE40" s="539" t="s">
        <v>556</v>
      </c>
      <c r="AF40" s="539" t="s">
        <v>556</v>
      </c>
      <c r="AG40" s="539" t="s">
        <v>556</v>
      </c>
      <c r="AH40" s="539" t="s">
        <v>556</v>
      </c>
      <c r="AI40" s="539" t="s">
        <v>556</v>
      </c>
      <c r="AJ40" s="539" t="s">
        <v>556</v>
      </c>
      <c r="AK40" s="539" t="s">
        <v>556</v>
      </c>
      <c r="AL40" s="539" t="s">
        <v>556</v>
      </c>
      <c r="AM40" s="540"/>
      <c r="AN40" s="532">
        <v>73</v>
      </c>
      <c r="AO40" s="539">
        <v>70.11</v>
      </c>
      <c r="AP40" s="539">
        <v>70.09</v>
      </c>
      <c r="AQ40" s="539">
        <v>70.06</v>
      </c>
      <c r="AR40" s="539">
        <v>70.02</v>
      </c>
      <c r="AS40" s="539">
        <v>69.98</v>
      </c>
      <c r="AT40" s="539">
        <v>69.929999999999993</v>
      </c>
      <c r="AU40" s="539">
        <v>69.88</v>
      </c>
      <c r="AV40" s="539">
        <v>69.819999999999993</v>
      </c>
      <c r="AW40" s="539" t="s">
        <v>556</v>
      </c>
      <c r="AX40" s="539" t="s">
        <v>556</v>
      </c>
      <c r="AY40" s="539" t="s">
        <v>556</v>
      </c>
      <c r="AZ40" s="539" t="s">
        <v>556</v>
      </c>
      <c r="BA40" s="539" t="s">
        <v>556</v>
      </c>
      <c r="BB40" s="539" t="s">
        <v>556</v>
      </c>
      <c r="BC40" s="539" t="s">
        <v>556</v>
      </c>
      <c r="BD40" s="539" t="s">
        <v>556</v>
      </c>
      <c r="BE40" s="539" t="s">
        <v>556</v>
      </c>
      <c r="BF40" s="540"/>
      <c r="BG40" s="532">
        <v>73</v>
      </c>
      <c r="BH40" s="539">
        <v>70.64</v>
      </c>
      <c r="BI40" s="539">
        <v>70.61999999999999</v>
      </c>
      <c r="BJ40" s="539">
        <v>70.599999999999994</v>
      </c>
      <c r="BK40" s="539">
        <v>70.569999999999993</v>
      </c>
      <c r="BL40" s="539">
        <v>70.53</v>
      </c>
      <c r="BM40" s="539">
        <v>70.489999999999995</v>
      </c>
      <c r="BN40" s="539">
        <v>70.45</v>
      </c>
      <c r="BO40" s="539">
        <v>70.399999999999991</v>
      </c>
      <c r="BP40" s="539" t="s">
        <v>556</v>
      </c>
      <c r="BQ40" s="539" t="s">
        <v>556</v>
      </c>
      <c r="BR40" s="539" t="s">
        <v>556</v>
      </c>
      <c r="BS40" s="539" t="s">
        <v>556</v>
      </c>
      <c r="BT40" s="539" t="s">
        <v>556</v>
      </c>
      <c r="BU40" s="539" t="s">
        <v>556</v>
      </c>
      <c r="BV40" s="539" t="s">
        <v>556</v>
      </c>
      <c r="BW40" s="539" t="s">
        <v>556</v>
      </c>
      <c r="BX40" s="539" t="s">
        <v>556</v>
      </c>
      <c r="BY40" s="540"/>
      <c r="BZ40" s="532">
        <v>73</v>
      </c>
      <c r="CA40" s="541">
        <v>71.349999999999994</v>
      </c>
      <c r="CB40" s="541">
        <v>71.349999999999994</v>
      </c>
      <c r="CC40" s="541">
        <v>71.349999999999994</v>
      </c>
      <c r="CD40" s="541">
        <v>71.349999999999994</v>
      </c>
      <c r="CE40" s="541">
        <v>71.34</v>
      </c>
      <c r="CF40" s="541">
        <v>71.33</v>
      </c>
      <c r="CG40" s="541">
        <v>71.31</v>
      </c>
      <c r="CH40" s="541">
        <v>71.28</v>
      </c>
      <c r="CI40" s="541" t="s">
        <v>556</v>
      </c>
      <c r="CJ40" s="541" t="s">
        <v>556</v>
      </c>
      <c r="CK40" s="541" t="s">
        <v>556</v>
      </c>
      <c r="CL40" s="541" t="s">
        <v>556</v>
      </c>
      <c r="CM40" s="541" t="s">
        <v>556</v>
      </c>
      <c r="CN40" s="541" t="s">
        <v>556</v>
      </c>
      <c r="CO40" s="541" t="s">
        <v>556</v>
      </c>
      <c r="CP40" s="541" t="s">
        <v>556</v>
      </c>
      <c r="CQ40" s="541" t="s">
        <v>556</v>
      </c>
    </row>
    <row r="41" spans="2:95" x14ac:dyDescent="0.25">
      <c r="B41" s="532">
        <v>74</v>
      </c>
      <c r="C41" s="539">
        <v>67.899999999999991</v>
      </c>
      <c r="D41" s="539">
        <v>67.849999999999994</v>
      </c>
      <c r="E41" s="539">
        <v>67.789999999999992</v>
      </c>
      <c r="F41" s="539">
        <v>67.7</v>
      </c>
      <c r="G41" s="539">
        <v>67.61999999999999</v>
      </c>
      <c r="H41" s="539">
        <v>67.5</v>
      </c>
      <c r="I41" s="539">
        <v>67.349999999999994</v>
      </c>
      <c r="J41" s="539" t="s">
        <v>556</v>
      </c>
      <c r="K41" s="539" t="s">
        <v>556</v>
      </c>
      <c r="L41" s="539" t="s">
        <v>556</v>
      </c>
      <c r="M41" s="539" t="s">
        <v>556</v>
      </c>
      <c r="N41" s="539" t="s">
        <v>556</v>
      </c>
      <c r="O41" s="539" t="s">
        <v>556</v>
      </c>
      <c r="P41" s="539" t="s">
        <v>556</v>
      </c>
      <c r="Q41" s="539" t="s">
        <v>556</v>
      </c>
      <c r="R41" s="539" t="s">
        <v>556</v>
      </c>
      <c r="S41" s="539" t="s">
        <v>556</v>
      </c>
      <c r="T41" s="540"/>
      <c r="U41" s="532">
        <v>74</v>
      </c>
      <c r="V41" s="539">
        <v>69.179999999999993</v>
      </c>
      <c r="W41" s="539">
        <v>69.11999999999999</v>
      </c>
      <c r="X41" s="539">
        <v>69.06</v>
      </c>
      <c r="Y41" s="539">
        <v>68.989999999999995</v>
      </c>
      <c r="Z41" s="539">
        <v>68.92</v>
      </c>
      <c r="AA41" s="539">
        <v>68.84</v>
      </c>
      <c r="AB41" s="539">
        <v>68.739999999999995</v>
      </c>
      <c r="AC41" s="539" t="s">
        <v>556</v>
      </c>
      <c r="AD41" s="539" t="s">
        <v>556</v>
      </c>
      <c r="AE41" s="539" t="s">
        <v>556</v>
      </c>
      <c r="AF41" s="539" t="s">
        <v>556</v>
      </c>
      <c r="AG41" s="539" t="s">
        <v>556</v>
      </c>
      <c r="AH41" s="539" t="s">
        <v>556</v>
      </c>
      <c r="AI41" s="539" t="s">
        <v>556</v>
      </c>
      <c r="AJ41" s="539" t="s">
        <v>556</v>
      </c>
      <c r="AK41" s="539" t="s">
        <v>556</v>
      </c>
      <c r="AL41" s="539" t="s">
        <v>556</v>
      </c>
      <c r="AM41" s="540"/>
      <c r="AN41" s="532">
        <v>74</v>
      </c>
      <c r="AO41" s="539">
        <v>70.03</v>
      </c>
      <c r="AP41" s="539">
        <v>69.989999999999995</v>
      </c>
      <c r="AQ41" s="539">
        <v>69.95</v>
      </c>
      <c r="AR41" s="539">
        <v>69.899999999999991</v>
      </c>
      <c r="AS41" s="539">
        <v>69.849999999999994</v>
      </c>
      <c r="AT41" s="539">
        <v>69.789999999999992</v>
      </c>
      <c r="AU41" s="539">
        <v>69.72</v>
      </c>
      <c r="AV41" s="539" t="s">
        <v>556</v>
      </c>
      <c r="AW41" s="539" t="s">
        <v>556</v>
      </c>
      <c r="AX41" s="539" t="s">
        <v>556</v>
      </c>
      <c r="AY41" s="539" t="s">
        <v>556</v>
      </c>
      <c r="AZ41" s="539" t="s">
        <v>556</v>
      </c>
      <c r="BA41" s="539" t="s">
        <v>556</v>
      </c>
      <c r="BB41" s="539" t="s">
        <v>556</v>
      </c>
      <c r="BC41" s="539" t="s">
        <v>556</v>
      </c>
      <c r="BD41" s="539" t="s">
        <v>556</v>
      </c>
      <c r="BE41" s="539" t="s">
        <v>556</v>
      </c>
      <c r="BF41" s="540"/>
      <c r="BG41" s="532">
        <v>74</v>
      </c>
      <c r="BH41" s="539">
        <v>70.56</v>
      </c>
      <c r="BI41" s="539">
        <v>70.53</v>
      </c>
      <c r="BJ41" s="539">
        <v>70.489999999999995</v>
      </c>
      <c r="BK41" s="539">
        <v>70.47</v>
      </c>
      <c r="BL41" s="539">
        <v>70.42</v>
      </c>
      <c r="BM41" s="539">
        <v>70.36999999999999</v>
      </c>
      <c r="BN41" s="539">
        <v>70.31</v>
      </c>
      <c r="BO41" s="539" t="s">
        <v>556</v>
      </c>
      <c r="BP41" s="539" t="s">
        <v>556</v>
      </c>
      <c r="BQ41" s="539" t="s">
        <v>556</v>
      </c>
      <c r="BR41" s="539" t="s">
        <v>556</v>
      </c>
      <c r="BS41" s="539" t="s">
        <v>556</v>
      </c>
      <c r="BT41" s="539" t="s">
        <v>556</v>
      </c>
      <c r="BU41" s="539" t="s">
        <v>556</v>
      </c>
      <c r="BV41" s="539" t="s">
        <v>556</v>
      </c>
      <c r="BW41" s="539" t="s">
        <v>556</v>
      </c>
      <c r="BX41" s="539" t="s">
        <v>556</v>
      </c>
      <c r="BY41" s="540"/>
      <c r="BZ41" s="532">
        <v>74</v>
      </c>
      <c r="CA41" s="541">
        <v>71.3</v>
      </c>
      <c r="CB41" s="541">
        <v>71.3</v>
      </c>
      <c r="CC41" s="541">
        <v>71.290000000000006</v>
      </c>
      <c r="CD41" s="541">
        <v>71.27</v>
      </c>
      <c r="CE41" s="541">
        <v>71.25</v>
      </c>
      <c r="CF41" s="541">
        <v>71.23</v>
      </c>
      <c r="CG41" s="541">
        <v>71.2</v>
      </c>
      <c r="CH41" s="541" t="s">
        <v>556</v>
      </c>
      <c r="CI41" s="541" t="s">
        <v>556</v>
      </c>
      <c r="CJ41" s="541" t="s">
        <v>556</v>
      </c>
      <c r="CK41" s="541" t="s">
        <v>556</v>
      </c>
      <c r="CL41" s="541" t="s">
        <v>556</v>
      </c>
      <c r="CM41" s="541" t="s">
        <v>556</v>
      </c>
      <c r="CN41" s="541" t="s">
        <v>556</v>
      </c>
      <c r="CO41" s="541" t="s">
        <v>556</v>
      </c>
      <c r="CP41" s="541" t="s">
        <v>556</v>
      </c>
      <c r="CQ41" s="541" t="s">
        <v>556</v>
      </c>
    </row>
    <row r="42" spans="2:95" x14ac:dyDescent="0.25">
      <c r="B42" s="532">
        <v>75</v>
      </c>
      <c r="C42" s="539">
        <v>67.709999999999994</v>
      </c>
      <c r="D42" s="539">
        <v>67.649999999999991</v>
      </c>
      <c r="E42" s="539">
        <v>67.569999999999993</v>
      </c>
      <c r="F42" s="539">
        <v>67.47</v>
      </c>
      <c r="G42" s="539">
        <v>67.36999999999999</v>
      </c>
      <c r="H42" s="539">
        <v>67.23</v>
      </c>
      <c r="I42" s="539" t="s">
        <v>556</v>
      </c>
      <c r="J42" s="539" t="s">
        <v>556</v>
      </c>
      <c r="K42" s="539" t="s">
        <v>556</v>
      </c>
      <c r="L42" s="539" t="s">
        <v>556</v>
      </c>
      <c r="M42" s="539" t="s">
        <v>556</v>
      </c>
      <c r="N42" s="539" t="s">
        <v>556</v>
      </c>
      <c r="O42" s="539" t="s">
        <v>556</v>
      </c>
      <c r="P42" s="539" t="s">
        <v>556</v>
      </c>
      <c r="Q42" s="539" t="s">
        <v>556</v>
      </c>
      <c r="R42" s="539" t="s">
        <v>556</v>
      </c>
      <c r="S42" s="539" t="s">
        <v>556</v>
      </c>
      <c r="T42" s="540"/>
      <c r="U42" s="532">
        <v>75</v>
      </c>
      <c r="V42" s="539">
        <v>69.039999999999992</v>
      </c>
      <c r="W42" s="539">
        <v>68.97</v>
      </c>
      <c r="X42" s="539">
        <v>68.91</v>
      </c>
      <c r="Y42" s="539">
        <v>68.819999999999993</v>
      </c>
      <c r="Z42" s="539">
        <v>68.73</v>
      </c>
      <c r="AA42" s="539">
        <v>68.64</v>
      </c>
      <c r="AB42" s="539" t="s">
        <v>556</v>
      </c>
      <c r="AC42" s="539" t="s">
        <v>556</v>
      </c>
      <c r="AD42" s="539" t="s">
        <v>556</v>
      </c>
      <c r="AE42" s="539" t="s">
        <v>556</v>
      </c>
      <c r="AF42" s="539" t="s">
        <v>556</v>
      </c>
      <c r="AG42" s="539" t="s">
        <v>556</v>
      </c>
      <c r="AH42" s="539" t="s">
        <v>556</v>
      </c>
      <c r="AI42" s="539" t="s">
        <v>556</v>
      </c>
      <c r="AJ42" s="539" t="s">
        <v>556</v>
      </c>
      <c r="AK42" s="539" t="s">
        <v>556</v>
      </c>
      <c r="AL42" s="539" t="s">
        <v>556</v>
      </c>
      <c r="AM42" s="540"/>
      <c r="AN42" s="532">
        <v>75</v>
      </c>
      <c r="AO42" s="539">
        <v>69.92</v>
      </c>
      <c r="AP42" s="539">
        <v>69.86999999999999</v>
      </c>
      <c r="AQ42" s="539">
        <v>69.819999999999993</v>
      </c>
      <c r="AR42" s="539">
        <v>69.759999999999991</v>
      </c>
      <c r="AS42" s="539">
        <v>69.7</v>
      </c>
      <c r="AT42" s="539">
        <v>69.63</v>
      </c>
      <c r="AU42" s="539" t="s">
        <v>556</v>
      </c>
      <c r="AV42" s="539" t="s">
        <v>556</v>
      </c>
      <c r="AW42" s="539" t="s">
        <v>556</v>
      </c>
      <c r="AX42" s="539" t="s">
        <v>556</v>
      </c>
      <c r="AY42" s="539" t="s">
        <v>556</v>
      </c>
      <c r="AZ42" s="539" t="s">
        <v>556</v>
      </c>
      <c r="BA42" s="539" t="s">
        <v>556</v>
      </c>
      <c r="BB42" s="539" t="s">
        <v>556</v>
      </c>
      <c r="BC42" s="539" t="s">
        <v>556</v>
      </c>
      <c r="BD42" s="539" t="s">
        <v>556</v>
      </c>
      <c r="BE42" s="539" t="s">
        <v>556</v>
      </c>
      <c r="BF42" s="540"/>
      <c r="BG42" s="532">
        <v>75</v>
      </c>
      <c r="BH42" s="539">
        <v>70.47</v>
      </c>
      <c r="BI42" s="539">
        <v>70.429999999999993</v>
      </c>
      <c r="BJ42" s="539">
        <v>70.39</v>
      </c>
      <c r="BK42" s="539">
        <v>70.34</v>
      </c>
      <c r="BL42" s="539">
        <v>70.28</v>
      </c>
      <c r="BM42" s="539">
        <v>70.209999999999994</v>
      </c>
      <c r="BN42" s="539" t="s">
        <v>556</v>
      </c>
      <c r="BO42" s="539" t="s">
        <v>556</v>
      </c>
      <c r="BP42" s="539" t="s">
        <v>556</v>
      </c>
      <c r="BQ42" s="539" t="s">
        <v>556</v>
      </c>
      <c r="BR42" s="539" t="s">
        <v>556</v>
      </c>
      <c r="BS42" s="539" t="s">
        <v>556</v>
      </c>
      <c r="BT42" s="539" t="s">
        <v>556</v>
      </c>
      <c r="BU42" s="539" t="s">
        <v>556</v>
      </c>
      <c r="BV42" s="539" t="s">
        <v>556</v>
      </c>
      <c r="BW42" s="539" t="s">
        <v>556</v>
      </c>
      <c r="BX42" s="539" t="s">
        <v>556</v>
      </c>
      <c r="BY42" s="540"/>
      <c r="BZ42" s="532">
        <v>75</v>
      </c>
      <c r="CA42" s="541">
        <v>71.23</v>
      </c>
      <c r="CB42" s="541">
        <v>71.22</v>
      </c>
      <c r="CC42" s="541">
        <v>71.2</v>
      </c>
      <c r="CD42" s="541">
        <v>71.180000000000007</v>
      </c>
      <c r="CE42" s="541">
        <v>71.150000000000006</v>
      </c>
      <c r="CF42" s="541">
        <v>71.11</v>
      </c>
      <c r="CG42" s="541" t="s">
        <v>556</v>
      </c>
      <c r="CH42" s="541" t="s">
        <v>556</v>
      </c>
      <c r="CI42" s="541" t="s">
        <v>556</v>
      </c>
      <c r="CJ42" s="541" t="s">
        <v>556</v>
      </c>
      <c r="CK42" s="541" t="s">
        <v>556</v>
      </c>
      <c r="CL42" s="541" t="s">
        <v>556</v>
      </c>
      <c r="CM42" s="541" t="s">
        <v>556</v>
      </c>
      <c r="CN42" s="541" t="s">
        <v>556</v>
      </c>
      <c r="CO42" s="541" t="s">
        <v>556</v>
      </c>
      <c r="CP42" s="541" t="s">
        <v>556</v>
      </c>
      <c r="CQ42" s="541" t="s">
        <v>556</v>
      </c>
    </row>
    <row r="43" spans="2:95" x14ac:dyDescent="0.25">
      <c r="B43" s="532">
        <v>76</v>
      </c>
      <c r="C43" s="539">
        <v>67.5</v>
      </c>
      <c r="D43" s="539">
        <v>67.429999999999993</v>
      </c>
      <c r="E43" s="539">
        <v>67.349999999999994</v>
      </c>
      <c r="F43" s="539">
        <v>67.23</v>
      </c>
      <c r="G43" s="539">
        <v>67.11</v>
      </c>
      <c r="H43" s="539" t="s">
        <v>556</v>
      </c>
      <c r="I43" s="539" t="s">
        <v>556</v>
      </c>
      <c r="J43" s="539" t="s">
        <v>556</v>
      </c>
      <c r="K43" s="539" t="s">
        <v>556</v>
      </c>
      <c r="L43" s="539" t="s">
        <v>556</v>
      </c>
      <c r="M43" s="539" t="s">
        <v>556</v>
      </c>
      <c r="N43" s="539" t="s">
        <v>556</v>
      </c>
      <c r="O43" s="539" t="s">
        <v>556</v>
      </c>
      <c r="P43" s="539" t="s">
        <v>556</v>
      </c>
      <c r="Q43" s="539" t="s">
        <v>556</v>
      </c>
      <c r="R43" s="539" t="s">
        <v>556</v>
      </c>
      <c r="S43" s="539" t="s">
        <v>556</v>
      </c>
      <c r="T43" s="540"/>
      <c r="U43" s="532">
        <v>76</v>
      </c>
      <c r="V43" s="539">
        <v>68.899999999999991</v>
      </c>
      <c r="W43" s="539">
        <v>68.819999999999993</v>
      </c>
      <c r="X43" s="539">
        <v>68.73</v>
      </c>
      <c r="Y43" s="539">
        <v>68.63</v>
      </c>
      <c r="Z43" s="539">
        <v>68.53</v>
      </c>
      <c r="AA43" s="539" t="s">
        <v>556</v>
      </c>
      <c r="AB43" s="539" t="s">
        <v>556</v>
      </c>
      <c r="AC43" s="539" t="s">
        <v>556</v>
      </c>
      <c r="AD43" s="539" t="s">
        <v>556</v>
      </c>
      <c r="AE43" s="539" t="s">
        <v>556</v>
      </c>
      <c r="AF43" s="539" t="s">
        <v>556</v>
      </c>
      <c r="AG43" s="539" t="s">
        <v>556</v>
      </c>
      <c r="AH43" s="539" t="s">
        <v>556</v>
      </c>
      <c r="AI43" s="539" t="s">
        <v>556</v>
      </c>
      <c r="AJ43" s="539" t="s">
        <v>556</v>
      </c>
      <c r="AK43" s="539" t="s">
        <v>556</v>
      </c>
      <c r="AL43" s="539" t="s">
        <v>556</v>
      </c>
      <c r="AM43" s="540"/>
      <c r="AN43" s="532">
        <v>76</v>
      </c>
      <c r="AO43" s="539">
        <v>69.789999999999992</v>
      </c>
      <c r="AP43" s="539">
        <v>69.739999999999995</v>
      </c>
      <c r="AQ43" s="539">
        <v>69.679999999999993</v>
      </c>
      <c r="AR43" s="539">
        <v>69.61</v>
      </c>
      <c r="AS43" s="539">
        <v>69.53</v>
      </c>
      <c r="AT43" s="539" t="s">
        <v>556</v>
      </c>
      <c r="AU43" s="539" t="s">
        <v>556</v>
      </c>
      <c r="AV43" s="539" t="s">
        <v>556</v>
      </c>
      <c r="AW43" s="539" t="s">
        <v>556</v>
      </c>
      <c r="AX43" s="539" t="s">
        <v>556</v>
      </c>
      <c r="AY43" s="539" t="s">
        <v>556</v>
      </c>
      <c r="AZ43" s="539" t="s">
        <v>556</v>
      </c>
      <c r="BA43" s="539" t="s">
        <v>556</v>
      </c>
      <c r="BB43" s="539" t="s">
        <v>556</v>
      </c>
      <c r="BC43" s="539" t="s">
        <v>556</v>
      </c>
      <c r="BD43" s="539" t="s">
        <v>556</v>
      </c>
      <c r="BE43" s="539" t="s">
        <v>556</v>
      </c>
      <c r="BF43" s="540"/>
      <c r="BG43" s="532">
        <v>76</v>
      </c>
      <c r="BH43" s="539">
        <v>70.36</v>
      </c>
      <c r="BI43" s="539">
        <v>70.3</v>
      </c>
      <c r="BJ43" s="539">
        <v>70.25</v>
      </c>
      <c r="BK43" s="539">
        <v>70.179999999999993</v>
      </c>
      <c r="BL43" s="539">
        <v>70.11</v>
      </c>
      <c r="BM43" s="539" t="s">
        <v>556</v>
      </c>
      <c r="BN43" s="539" t="s">
        <v>556</v>
      </c>
      <c r="BO43" s="539" t="s">
        <v>556</v>
      </c>
      <c r="BP43" s="539" t="s">
        <v>556</v>
      </c>
      <c r="BQ43" s="539" t="s">
        <v>556</v>
      </c>
      <c r="BR43" s="539" t="s">
        <v>556</v>
      </c>
      <c r="BS43" s="539" t="s">
        <v>556</v>
      </c>
      <c r="BT43" s="539" t="s">
        <v>556</v>
      </c>
      <c r="BU43" s="539" t="s">
        <v>556</v>
      </c>
      <c r="BV43" s="539" t="s">
        <v>556</v>
      </c>
      <c r="BW43" s="539" t="s">
        <v>556</v>
      </c>
      <c r="BX43" s="539" t="s">
        <v>556</v>
      </c>
      <c r="BY43" s="540"/>
      <c r="BZ43" s="532">
        <v>76</v>
      </c>
      <c r="CA43" s="541">
        <v>71.150000000000006</v>
      </c>
      <c r="CB43" s="541">
        <v>71.13</v>
      </c>
      <c r="CC43" s="541">
        <v>71.099999999999994</v>
      </c>
      <c r="CD43" s="541">
        <v>71.06</v>
      </c>
      <c r="CE43" s="541">
        <v>71.02</v>
      </c>
      <c r="CF43" s="541" t="s">
        <v>556</v>
      </c>
      <c r="CG43" s="541" t="s">
        <v>556</v>
      </c>
      <c r="CH43" s="541" t="s">
        <v>556</v>
      </c>
      <c r="CI43" s="541" t="s">
        <v>556</v>
      </c>
      <c r="CJ43" s="541" t="s">
        <v>556</v>
      </c>
      <c r="CK43" s="541" t="s">
        <v>556</v>
      </c>
      <c r="CL43" s="541" t="s">
        <v>556</v>
      </c>
      <c r="CM43" s="541" t="s">
        <v>556</v>
      </c>
      <c r="CN43" s="541" t="s">
        <v>556</v>
      </c>
      <c r="CO43" s="541" t="s">
        <v>556</v>
      </c>
      <c r="CP43" s="541" t="s">
        <v>556</v>
      </c>
      <c r="CQ43" s="541" t="s">
        <v>556</v>
      </c>
    </row>
    <row r="44" spans="2:95" x14ac:dyDescent="0.25">
      <c r="B44" s="532">
        <v>77</v>
      </c>
      <c r="C44" s="539">
        <v>67.289999999999992</v>
      </c>
      <c r="D44" s="539">
        <v>67.2</v>
      </c>
      <c r="E44" s="539">
        <v>67.099999999999994</v>
      </c>
      <c r="F44" s="539">
        <v>66.97</v>
      </c>
      <c r="G44" s="539" t="s">
        <v>556</v>
      </c>
      <c r="H44" s="539" t="s">
        <v>556</v>
      </c>
      <c r="I44" s="539" t="s">
        <v>556</v>
      </c>
      <c r="J44" s="539" t="s">
        <v>556</v>
      </c>
      <c r="K44" s="539" t="s">
        <v>556</v>
      </c>
      <c r="L44" s="539" t="s">
        <v>556</v>
      </c>
      <c r="M44" s="539" t="s">
        <v>556</v>
      </c>
      <c r="N44" s="539" t="s">
        <v>556</v>
      </c>
      <c r="O44" s="539" t="s">
        <v>556</v>
      </c>
      <c r="P44" s="539" t="s">
        <v>556</v>
      </c>
      <c r="Q44" s="539" t="s">
        <v>556</v>
      </c>
      <c r="R44" s="539" t="s">
        <v>556</v>
      </c>
      <c r="S44" s="539" t="s">
        <v>556</v>
      </c>
      <c r="T44" s="540"/>
      <c r="U44" s="532">
        <v>77</v>
      </c>
      <c r="V44" s="539">
        <v>68.72</v>
      </c>
      <c r="W44" s="539">
        <v>68.61999999999999</v>
      </c>
      <c r="X44" s="539">
        <v>68.53</v>
      </c>
      <c r="Y44" s="539">
        <v>68.41</v>
      </c>
      <c r="Z44" s="539" t="s">
        <v>556</v>
      </c>
      <c r="AA44" s="539" t="s">
        <v>556</v>
      </c>
      <c r="AB44" s="539" t="s">
        <v>556</v>
      </c>
      <c r="AC44" s="539" t="s">
        <v>556</v>
      </c>
      <c r="AD44" s="539" t="s">
        <v>556</v>
      </c>
      <c r="AE44" s="539" t="s">
        <v>556</v>
      </c>
      <c r="AF44" s="539" t="s">
        <v>556</v>
      </c>
      <c r="AG44" s="539" t="s">
        <v>556</v>
      </c>
      <c r="AH44" s="539" t="s">
        <v>556</v>
      </c>
      <c r="AI44" s="539" t="s">
        <v>556</v>
      </c>
      <c r="AJ44" s="539" t="s">
        <v>556</v>
      </c>
      <c r="AK44" s="539" t="s">
        <v>556</v>
      </c>
      <c r="AL44" s="539" t="s">
        <v>556</v>
      </c>
      <c r="AM44" s="540"/>
      <c r="AN44" s="532">
        <v>77</v>
      </c>
      <c r="AO44" s="539">
        <v>69.66</v>
      </c>
      <c r="AP44" s="539">
        <v>69.59</v>
      </c>
      <c r="AQ44" s="539">
        <v>69.509999999999991</v>
      </c>
      <c r="AR44" s="539">
        <v>69.42</v>
      </c>
      <c r="AS44" s="539" t="s">
        <v>556</v>
      </c>
      <c r="AT44" s="539" t="s">
        <v>556</v>
      </c>
      <c r="AU44" s="539" t="s">
        <v>556</v>
      </c>
      <c r="AV44" s="539" t="s">
        <v>556</v>
      </c>
      <c r="AW44" s="539" t="s">
        <v>556</v>
      </c>
      <c r="AX44" s="539" t="s">
        <v>556</v>
      </c>
      <c r="AY44" s="539" t="s">
        <v>556</v>
      </c>
      <c r="AZ44" s="539" t="s">
        <v>556</v>
      </c>
      <c r="BA44" s="539" t="s">
        <v>556</v>
      </c>
      <c r="BB44" s="539" t="s">
        <v>556</v>
      </c>
      <c r="BC44" s="539" t="s">
        <v>556</v>
      </c>
      <c r="BD44" s="539" t="s">
        <v>556</v>
      </c>
      <c r="BE44" s="539" t="s">
        <v>556</v>
      </c>
      <c r="BF44" s="540"/>
      <c r="BG44" s="532">
        <v>77</v>
      </c>
      <c r="BH44" s="539">
        <v>70.22</v>
      </c>
      <c r="BI44" s="539">
        <v>70.16</v>
      </c>
      <c r="BJ44" s="539">
        <v>70.09</v>
      </c>
      <c r="BK44" s="539">
        <v>70.02</v>
      </c>
      <c r="BL44" s="539" t="s">
        <v>556</v>
      </c>
      <c r="BM44" s="539" t="s">
        <v>556</v>
      </c>
      <c r="BN44" s="539" t="s">
        <v>556</v>
      </c>
      <c r="BO44" s="539" t="s">
        <v>556</v>
      </c>
      <c r="BP44" s="539" t="s">
        <v>556</v>
      </c>
      <c r="BQ44" s="539" t="s">
        <v>556</v>
      </c>
      <c r="BR44" s="539" t="s">
        <v>556</v>
      </c>
      <c r="BS44" s="539" t="s">
        <v>556</v>
      </c>
      <c r="BT44" s="539" t="s">
        <v>556</v>
      </c>
      <c r="BU44" s="539" t="s">
        <v>556</v>
      </c>
      <c r="BV44" s="539" t="s">
        <v>556</v>
      </c>
      <c r="BW44" s="539" t="s">
        <v>556</v>
      </c>
      <c r="BX44" s="539" t="s">
        <v>556</v>
      </c>
      <c r="BY44" s="540"/>
      <c r="BZ44" s="532">
        <v>77</v>
      </c>
      <c r="CA44" s="541">
        <v>71.05</v>
      </c>
      <c r="CB44" s="541">
        <v>71.010000000000005</v>
      </c>
      <c r="CC44" s="541">
        <v>70.97</v>
      </c>
      <c r="CD44" s="541">
        <v>70.94</v>
      </c>
      <c r="CE44" s="541" t="s">
        <v>556</v>
      </c>
      <c r="CF44" s="541" t="s">
        <v>556</v>
      </c>
      <c r="CG44" s="541" t="s">
        <v>556</v>
      </c>
      <c r="CH44" s="541" t="s">
        <v>556</v>
      </c>
      <c r="CI44" s="541" t="s">
        <v>556</v>
      </c>
      <c r="CJ44" s="541" t="s">
        <v>556</v>
      </c>
      <c r="CK44" s="541" t="s">
        <v>556</v>
      </c>
      <c r="CL44" s="541" t="s">
        <v>556</v>
      </c>
      <c r="CM44" s="541" t="s">
        <v>556</v>
      </c>
      <c r="CN44" s="541" t="s">
        <v>556</v>
      </c>
      <c r="CO44" s="541" t="s">
        <v>556</v>
      </c>
      <c r="CP44" s="541" t="s">
        <v>556</v>
      </c>
      <c r="CQ44" s="541" t="s">
        <v>556</v>
      </c>
    </row>
    <row r="45" spans="2:95" x14ac:dyDescent="0.25">
      <c r="B45" s="532">
        <v>78</v>
      </c>
      <c r="C45" s="539">
        <v>67.06</v>
      </c>
      <c r="D45" s="539">
        <v>66.959999999999994</v>
      </c>
      <c r="E45" s="539">
        <v>66.849999999999994</v>
      </c>
      <c r="F45" s="539" t="s">
        <v>556</v>
      </c>
      <c r="G45" s="539" t="s">
        <v>556</v>
      </c>
      <c r="H45" s="539" t="s">
        <v>556</v>
      </c>
      <c r="I45" s="539" t="s">
        <v>556</v>
      </c>
      <c r="J45" s="539" t="s">
        <v>556</v>
      </c>
      <c r="K45" s="539" t="s">
        <v>556</v>
      </c>
      <c r="L45" s="539" t="s">
        <v>556</v>
      </c>
      <c r="M45" s="539" t="s">
        <v>556</v>
      </c>
      <c r="N45" s="539" t="s">
        <v>556</v>
      </c>
      <c r="O45" s="539" t="s">
        <v>556</v>
      </c>
      <c r="P45" s="539" t="s">
        <v>556</v>
      </c>
      <c r="Q45" s="539" t="s">
        <v>556</v>
      </c>
      <c r="R45" s="539" t="s">
        <v>556</v>
      </c>
      <c r="S45" s="539" t="s">
        <v>556</v>
      </c>
      <c r="T45" s="540"/>
      <c r="U45" s="532">
        <v>78</v>
      </c>
      <c r="V45" s="539">
        <v>68.53</v>
      </c>
      <c r="W45" s="539">
        <v>68.42</v>
      </c>
      <c r="X45" s="539">
        <v>68.289999999999992</v>
      </c>
      <c r="Y45" s="539" t="s">
        <v>556</v>
      </c>
      <c r="Z45" s="539" t="s">
        <v>556</v>
      </c>
      <c r="AA45" s="539" t="s">
        <v>556</v>
      </c>
      <c r="AB45" s="539" t="s">
        <v>556</v>
      </c>
      <c r="AC45" s="539" t="s">
        <v>556</v>
      </c>
      <c r="AD45" s="539" t="s">
        <v>556</v>
      </c>
      <c r="AE45" s="539" t="s">
        <v>556</v>
      </c>
      <c r="AF45" s="539" t="s">
        <v>556</v>
      </c>
      <c r="AG45" s="539" t="s">
        <v>556</v>
      </c>
      <c r="AH45" s="539" t="s">
        <v>556</v>
      </c>
      <c r="AI45" s="539" t="s">
        <v>556</v>
      </c>
      <c r="AJ45" s="539" t="s">
        <v>556</v>
      </c>
      <c r="AK45" s="539" t="s">
        <v>556</v>
      </c>
      <c r="AL45" s="539" t="s">
        <v>556</v>
      </c>
      <c r="AM45" s="540"/>
      <c r="AN45" s="532">
        <v>78</v>
      </c>
      <c r="AO45" s="539">
        <v>69.489999999999995</v>
      </c>
      <c r="AP45" s="539">
        <v>69.399999999999991</v>
      </c>
      <c r="AQ45" s="539">
        <v>69.31</v>
      </c>
      <c r="AR45" s="539" t="s">
        <v>556</v>
      </c>
      <c r="AS45" s="539" t="s">
        <v>556</v>
      </c>
      <c r="AT45" s="539" t="s">
        <v>556</v>
      </c>
      <c r="AU45" s="539" t="s">
        <v>556</v>
      </c>
      <c r="AV45" s="539" t="s">
        <v>556</v>
      </c>
      <c r="AW45" s="539" t="s">
        <v>556</v>
      </c>
      <c r="AX45" s="539" t="s">
        <v>556</v>
      </c>
      <c r="AY45" s="539" t="s">
        <v>556</v>
      </c>
      <c r="AZ45" s="539" t="s">
        <v>556</v>
      </c>
      <c r="BA45" s="539" t="s">
        <v>556</v>
      </c>
      <c r="BB45" s="539" t="s">
        <v>556</v>
      </c>
      <c r="BC45" s="539" t="s">
        <v>556</v>
      </c>
      <c r="BD45" s="539" t="s">
        <v>556</v>
      </c>
      <c r="BE45" s="539" t="s">
        <v>556</v>
      </c>
      <c r="BF45" s="540"/>
      <c r="BG45" s="532">
        <v>78</v>
      </c>
      <c r="BH45" s="539">
        <v>70.069999999999993</v>
      </c>
      <c r="BI45" s="539">
        <v>69.989999999999995</v>
      </c>
      <c r="BJ45" s="539">
        <v>69.91</v>
      </c>
      <c r="BK45" s="539" t="s">
        <v>556</v>
      </c>
      <c r="BL45" s="539" t="s">
        <v>556</v>
      </c>
      <c r="BM45" s="539" t="s">
        <v>556</v>
      </c>
      <c r="BN45" s="539" t="s">
        <v>556</v>
      </c>
      <c r="BO45" s="539" t="s">
        <v>556</v>
      </c>
      <c r="BP45" s="539" t="s">
        <v>556</v>
      </c>
      <c r="BQ45" s="539" t="s">
        <v>556</v>
      </c>
      <c r="BR45" s="539" t="s">
        <v>556</v>
      </c>
      <c r="BS45" s="539" t="s">
        <v>556</v>
      </c>
      <c r="BT45" s="539" t="s">
        <v>556</v>
      </c>
      <c r="BU45" s="539" t="s">
        <v>556</v>
      </c>
      <c r="BV45" s="539" t="s">
        <v>556</v>
      </c>
      <c r="BW45" s="539" t="s">
        <v>556</v>
      </c>
      <c r="BX45" s="539" t="s">
        <v>556</v>
      </c>
      <c r="BY45" s="540"/>
      <c r="BZ45" s="532">
        <v>78</v>
      </c>
      <c r="CA45" s="541">
        <v>70.94</v>
      </c>
      <c r="CB45" s="541">
        <v>70.89</v>
      </c>
      <c r="CC45" s="541">
        <v>70.84</v>
      </c>
      <c r="CD45" s="541" t="s">
        <v>556</v>
      </c>
      <c r="CE45" s="541" t="s">
        <v>556</v>
      </c>
      <c r="CF45" s="541" t="s">
        <v>556</v>
      </c>
      <c r="CG45" s="541" t="s">
        <v>556</v>
      </c>
      <c r="CH45" s="541" t="s">
        <v>556</v>
      </c>
      <c r="CI45" s="541" t="s">
        <v>556</v>
      </c>
      <c r="CJ45" s="541" t="s">
        <v>556</v>
      </c>
      <c r="CK45" s="541" t="s">
        <v>556</v>
      </c>
      <c r="CL45" s="541" t="s">
        <v>556</v>
      </c>
      <c r="CM45" s="541" t="s">
        <v>556</v>
      </c>
      <c r="CN45" s="541" t="s">
        <v>556</v>
      </c>
      <c r="CO45" s="541" t="s">
        <v>556</v>
      </c>
      <c r="CP45" s="541" t="s">
        <v>556</v>
      </c>
      <c r="CQ45" s="541" t="s">
        <v>556</v>
      </c>
    </row>
    <row r="46" spans="2:95" x14ac:dyDescent="0.25">
      <c r="B46" s="532">
        <v>79</v>
      </c>
      <c r="C46" s="539">
        <v>66.819999999999993</v>
      </c>
      <c r="D46" s="539">
        <v>66.709999999999994</v>
      </c>
      <c r="E46" s="539" t="s">
        <v>556</v>
      </c>
      <c r="F46" s="539" t="s">
        <v>556</v>
      </c>
      <c r="G46" s="539" t="s">
        <v>556</v>
      </c>
      <c r="H46" s="539" t="s">
        <v>556</v>
      </c>
      <c r="I46" s="539" t="s">
        <v>556</v>
      </c>
      <c r="J46" s="539" t="s">
        <v>556</v>
      </c>
      <c r="K46" s="539" t="s">
        <v>556</v>
      </c>
      <c r="L46" s="539" t="s">
        <v>556</v>
      </c>
      <c r="M46" s="539" t="s">
        <v>556</v>
      </c>
      <c r="N46" s="539" t="s">
        <v>556</v>
      </c>
      <c r="O46" s="539" t="s">
        <v>556</v>
      </c>
      <c r="P46" s="539" t="s">
        <v>556</v>
      </c>
      <c r="Q46" s="539" t="s">
        <v>556</v>
      </c>
      <c r="R46" s="539" t="s">
        <v>556</v>
      </c>
      <c r="S46" s="539" t="s">
        <v>556</v>
      </c>
      <c r="T46" s="540"/>
      <c r="U46" s="532">
        <v>79</v>
      </c>
      <c r="V46" s="539">
        <v>68.3</v>
      </c>
      <c r="W46" s="539">
        <v>68.17</v>
      </c>
      <c r="X46" s="539" t="s">
        <v>556</v>
      </c>
      <c r="Y46" s="539" t="s">
        <v>556</v>
      </c>
      <c r="Z46" s="539" t="s">
        <v>556</v>
      </c>
      <c r="AA46" s="539" t="s">
        <v>556</v>
      </c>
      <c r="AB46" s="539" t="s">
        <v>556</v>
      </c>
      <c r="AC46" s="539" t="s">
        <v>556</v>
      </c>
      <c r="AD46" s="539" t="s">
        <v>556</v>
      </c>
      <c r="AE46" s="539" t="s">
        <v>556</v>
      </c>
      <c r="AF46" s="539" t="s">
        <v>556</v>
      </c>
      <c r="AG46" s="539" t="s">
        <v>556</v>
      </c>
      <c r="AH46" s="539" t="s">
        <v>556</v>
      </c>
      <c r="AI46" s="539" t="s">
        <v>556</v>
      </c>
      <c r="AJ46" s="539" t="s">
        <v>556</v>
      </c>
      <c r="AK46" s="539" t="s">
        <v>556</v>
      </c>
      <c r="AL46" s="539" t="s">
        <v>556</v>
      </c>
      <c r="AM46" s="540"/>
      <c r="AN46" s="532">
        <v>79</v>
      </c>
      <c r="AO46" s="539">
        <v>69.3</v>
      </c>
      <c r="AP46" s="539">
        <v>69.2</v>
      </c>
      <c r="AQ46" s="539" t="s">
        <v>556</v>
      </c>
      <c r="AR46" s="539" t="s">
        <v>556</v>
      </c>
      <c r="AS46" s="539" t="s">
        <v>556</v>
      </c>
      <c r="AT46" s="539" t="s">
        <v>556</v>
      </c>
      <c r="AU46" s="539" t="s">
        <v>556</v>
      </c>
      <c r="AV46" s="539" t="s">
        <v>556</v>
      </c>
      <c r="AW46" s="539" t="s">
        <v>556</v>
      </c>
      <c r="AX46" s="539" t="s">
        <v>556</v>
      </c>
      <c r="AY46" s="539" t="s">
        <v>556</v>
      </c>
      <c r="AZ46" s="539" t="s">
        <v>556</v>
      </c>
      <c r="BA46" s="539" t="s">
        <v>556</v>
      </c>
      <c r="BB46" s="539" t="s">
        <v>556</v>
      </c>
      <c r="BC46" s="539" t="s">
        <v>556</v>
      </c>
      <c r="BD46" s="539" t="s">
        <v>556</v>
      </c>
      <c r="BE46" s="539" t="s">
        <v>556</v>
      </c>
      <c r="BF46" s="540"/>
      <c r="BG46" s="532">
        <v>79</v>
      </c>
      <c r="BH46" s="539">
        <v>69.89</v>
      </c>
      <c r="BI46" s="539">
        <v>69.789999999999992</v>
      </c>
      <c r="BJ46" s="539" t="s">
        <v>556</v>
      </c>
      <c r="BK46" s="539" t="s">
        <v>556</v>
      </c>
      <c r="BL46" s="539" t="s">
        <v>556</v>
      </c>
      <c r="BM46" s="539" t="s">
        <v>556</v>
      </c>
      <c r="BN46" s="539" t="s">
        <v>556</v>
      </c>
      <c r="BO46" s="539" t="s">
        <v>556</v>
      </c>
      <c r="BP46" s="539" t="s">
        <v>556</v>
      </c>
      <c r="BQ46" s="539" t="s">
        <v>556</v>
      </c>
      <c r="BR46" s="539" t="s">
        <v>556</v>
      </c>
      <c r="BS46" s="539" t="s">
        <v>556</v>
      </c>
      <c r="BT46" s="539" t="s">
        <v>556</v>
      </c>
      <c r="BU46" s="539" t="s">
        <v>556</v>
      </c>
      <c r="BV46" s="539" t="s">
        <v>556</v>
      </c>
      <c r="BW46" s="539" t="s">
        <v>556</v>
      </c>
      <c r="BX46" s="539" t="s">
        <v>556</v>
      </c>
      <c r="BY46" s="540"/>
      <c r="BZ46" s="532">
        <v>79</v>
      </c>
      <c r="CA46" s="541">
        <v>70.790000000000006</v>
      </c>
      <c r="CB46" s="541">
        <v>70.73</v>
      </c>
      <c r="CC46" s="541" t="s">
        <v>556</v>
      </c>
      <c r="CD46" s="541" t="s">
        <v>556</v>
      </c>
      <c r="CE46" s="541" t="s">
        <v>556</v>
      </c>
      <c r="CF46" s="541" t="s">
        <v>556</v>
      </c>
      <c r="CG46" s="541" t="s">
        <v>556</v>
      </c>
      <c r="CH46" s="541" t="s">
        <v>556</v>
      </c>
      <c r="CI46" s="541" t="s">
        <v>556</v>
      </c>
      <c r="CJ46" s="541" t="s">
        <v>556</v>
      </c>
      <c r="CK46" s="541" t="s">
        <v>556</v>
      </c>
      <c r="CL46" s="541" t="s">
        <v>556</v>
      </c>
      <c r="CM46" s="541" t="s">
        <v>556</v>
      </c>
      <c r="CN46" s="541" t="s">
        <v>556</v>
      </c>
      <c r="CO46" s="541" t="s">
        <v>556</v>
      </c>
      <c r="CP46" s="541" t="s">
        <v>556</v>
      </c>
      <c r="CQ46" s="541" t="s">
        <v>556</v>
      </c>
    </row>
    <row r="47" spans="2:95" x14ac:dyDescent="0.25">
      <c r="B47" s="532">
        <v>80</v>
      </c>
      <c r="C47" s="539">
        <v>66.569999999999993</v>
      </c>
      <c r="D47" s="539" t="s">
        <v>556</v>
      </c>
      <c r="E47" s="539" t="s">
        <v>556</v>
      </c>
      <c r="F47" s="539" t="s">
        <v>556</v>
      </c>
      <c r="G47" s="539" t="s">
        <v>556</v>
      </c>
      <c r="H47" s="539" t="s">
        <v>556</v>
      </c>
      <c r="I47" s="539" t="s">
        <v>556</v>
      </c>
      <c r="J47" s="539" t="s">
        <v>556</v>
      </c>
      <c r="K47" s="539" t="s">
        <v>556</v>
      </c>
      <c r="L47" s="539" t="s">
        <v>556</v>
      </c>
      <c r="M47" s="539" t="s">
        <v>556</v>
      </c>
      <c r="N47" s="539" t="s">
        <v>556</v>
      </c>
      <c r="O47" s="539" t="s">
        <v>556</v>
      </c>
      <c r="P47" s="539" t="s">
        <v>556</v>
      </c>
      <c r="Q47" s="539" t="s">
        <v>556</v>
      </c>
      <c r="R47" s="539" t="s">
        <v>556</v>
      </c>
      <c r="S47" s="539" t="s">
        <v>556</v>
      </c>
      <c r="T47" s="540"/>
      <c r="U47" s="532">
        <v>80</v>
      </c>
      <c r="V47" s="539">
        <v>68.05</v>
      </c>
      <c r="W47" s="539" t="s">
        <v>556</v>
      </c>
      <c r="X47" s="539" t="s">
        <v>556</v>
      </c>
      <c r="Y47" s="539" t="s">
        <v>556</v>
      </c>
      <c r="Z47" s="539" t="s">
        <v>556</v>
      </c>
      <c r="AA47" s="539" t="s">
        <v>556</v>
      </c>
      <c r="AB47" s="539" t="s">
        <v>556</v>
      </c>
      <c r="AC47" s="539" t="s">
        <v>556</v>
      </c>
      <c r="AD47" s="539" t="s">
        <v>556</v>
      </c>
      <c r="AE47" s="539" t="s">
        <v>556</v>
      </c>
      <c r="AF47" s="539" t="s">
        <v>556</v>
      </c>
      <c r="AG47" s="539" t="s">
        <v>556</v>
      </c>
      <c r="AH47" s="539" t="s">
        <v>556</v>
      </c>
      <c r="AI47" s="539" t="s">
        <v>556</v>
      </c>
      <c r="AJ47" s="539" t="s">
        <v>556</v>
      </c>
      <c r="AK47" s="539" t="s">
        <v>556</v>
      </c>
      <c r="AL47" s="539" t="s">
        <v>556</v>
      </c>
      <c r="AM47" s="540"/>
      <c r="AN47" s="532">
        <v>80</v>
      </c>
      <c r="AO47" s="539">
        <v>69.08</v>
      </c>
      <c r="AP47" s="539" t="s">
        <v>556</v>
      </c>
      <c r="AQ47" s="539" t="s">
        <v>556</v>
      </c>
      <c r="AR47" s="539" t="s">
        <v>556</v>
      </c>
      <c r="AS47" s="539" t="s">
        <v>556</v>
      </c>
      <c r="AT47" s="539" t="s">
        <v>556</v>
      </c>
      <c r="AU47" s="539" t="s">
        <v>556</v>
      </c>
      <c r="AV47" s="539" t="s">
        <v>556</v>
      </c>
      <c r="AW47" s="539" t="s">
        <v>556</v>
      </c>
      <c r="AX47" s="539" t="s">
        <v>556</v>
      </c>
      <c r="AY47" s="539" t="s">
        <v>556</v>
      </c>
      <c r="AZ47" s="539" t="s">
        <v>556</v>
      </c>
      <c r="BA47" s="539" t="s">
        <v>556</v>
      </c>
      <c r="BB47" s="539" t="s">
        <v>556</v>
      </c>
      <c r="BC47" s="539" t="s">
        <v>556</v>
      </c>
      <c r="BD47" s="539" t="s">
        <v>556</v>
      </c>
      <c r="BE47" s="539" t="s">
        <v>556</v>
      </c>
      <c r="BF47" s="540"/>
      <c r="BG47" s="532">
        <v>80</v>
      </c>
      <c r="BH47" s="539">
        <v>69.69</v>
      </c>
      <c r="BI47" s="539" t="s">
        <v>556</v>
      </c>
      <c r="BJ47" s="539" t="s">
        <v>556</v>
      </c>
      <c r="BK47" s="539" t="s">
        <v>556</v>
      </c>
      <c r="BL47" s="539" t="s">
        <v>556</v>
      </c>
      <c r="BM47" s="539" t="s">
        <v>556</v>
      </c>
      <c r="BN47" s="539" t="s">
        <v>556</v>
      </c>
      <c r="BO47" s="539" t="s">
        <v>556</v>
      </c>
      <c r="BP47" s="539" t="s">
        <v>556</v>
      </c>
      <c r="BQ47" s="539" t="s">
        <v>556</v>
      </c>
      <c r="BR47" s="539" t="s">
        <v>556</v>
      </c>
      <c r="BS47" s="539" t="s">
        <v>556</v>
      </c>
      <c r="BT47" s="539" t="s">
        <v>556</v>
      </c>
      <c r="BU47" s="539" t="s">
        <v>556</v>
      </c>
      <c r="BV47" s="539" t="s">
        <v>556</v>
      </c>
      <c r="BW47" s="539" t="s">
        <v>556</v>
      </c>
      <c r="BX47" s="539" t="s">
        <v>556</v>
      </c>
      <c r="BY47" s="540"/>
      <c r="BZ47" s="532">
        <v>80</v>
      </c>
      <c r="CA47" s="541">
        <v>70.63</v>
      </c>
      <c r="CB47" s="541" t="s">
        <v>556</v>
      </c>
      <c r="CC47" s="541" t="s">
        <v>556</v>
      </c>
      <c r="CD47" s="541" t="s">
        <v>556</v>
      </c>
      <c r="CE47" s="541" t="s">
        <v>556</v>
      </c>
      <c r="CF47" s="541" t="s">
        <v>556</v>
      </c>
      <c r="CG47" s="541" t="s">
        <v>556</v>
      </c>
      <c r="CH47" s="541" t="s">
        <v>556</v>
      </c>
      <c r="CI47" s="541" t="s">
        <v>556</v>
      </c>
      <c r="CJ47" s="541" t="s">
        <v>556</v>
      </c>
      <c r="CK47" s="541" t="s">
        <v>556</v>
      </c>
      <c r="CL47" s="541" t="s">
        <v>556</v>
      </c>
      <c r="CM47" s="541" t="s">
        <v>556</v>
      </c>
      <c r="CN47" s="541" t="s">
        <v>556</v>
      </c>
      <c r="CO47" s="541" t="s">
        <v>556</v>
      </c>
      <c r="CP47" s="541" t="s">
        <v>556</v>
      </c>
      <c r="CQ47" s="541" t="s">
        <v>556</v>
      </c>
    </row>
  </sheetData>
  <mergeCells count="10">
    <mergeCell ref="C3:S3"/>
    <mergeCell ref="V3:AL3"/>
    <mergeCell ref="AO3:BE3"/>
    <mergeCell ref="BH3:BX3"/>
    <mergeCell ref="CA3:CQ3"/>
    <mergeCell ref="C5:S5"/>
    <mergeCell ref="V5:AL5"/>
    <mergeCell ref="AO5:BE5"/>
    <mergeCell ref="BH5:BX5"/>
    <mergeCell ref="CA5:CQ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H651"/>
  <sheetViews>
    <sheetView workbookViewId="0">
      <selection sqref="A1:BH1048576"/>
    </sheetView>
  </sheetViews>
  <sheetFormatPr defaultColWidth="8.85546875" defaultRowHeight="12.75" x14ac:dyDescent="0.2"/>
  <cols>
    <col min="1" max="16384" width="8.85546875" style="429"/>
  </cols>
  <sheetData>
    <row r="1" spans="1:60" ht="15" x14ac:dyDescent="0.3">
      <c r="A1" s="145" t="s">
        <v>320</v>
      </c>
      <c r="B1" s="425" t="s">
        <v>284</v>
      </c>
      <c r="C1" s="425"/>
      <c r="D1" s="425"/>
      <c r="E1" s="426"/>
      <c r="F1" s="426"/>
      <c r="G1" s="426"/>
      <c r="H1" s="426"/>
      <c r="I1" s="426"/>
      <c r="J1" s="427" t="s">
        <v>151</v>
      </c>
      <c r="K1" s="426"/>
      <c r="L1" s="425"/>
      <c r="M1" s="425"/>
      <c r="N1" s="425"/>
      <c r="O1" s="426"/>
      <c r="P1" s="426"/>
      <c r="Q1" s="426"/>
      <c r="R1" s="426"/>
      <c r="S1" s="426"/>
      <c r="T1" s="427" t="s">
        <v>151</v>
      </c>
      <c r="U1" s="426"/>
      <c r="V1" s="425"/>
      <c r="W1" s="425"/>
      <c r="X1" s="425"/>
      <c r="Y1" s="426"/>
      <c r="Z1" s="426"/>
      <c r="AA1" s="426"/>
      <c r="AB1" s="426"/>
      <c r="AC1" s="426"/>
      <c r="AD1" s="427" t="s">
        <v>151</v>
      </c>
      <c r="AE1" s="426"/>
      <c r="AF1" s="425"/>
      <c r="AG1" s="425"/>
      <c r="AH1" s="425"/>
      <c r="AI1" s="426"/>
      <c r="AJ1" s="426"/>
      <c r="AK1" s="426"/>
      <c r="AL1" s="426"/>
      <c r="AM1" s="426"/>
      <c r="AN1" s="427" t="s">
        <v>151</v>
      </c>
      <c r="AO1" s="426"/>
      <c r="AP1" s="425"/>
      <c r="AQ1" s="425"/>
      <c r="AR1" s="425"/>
      <c r="AS1" s="428"/>
      <c r="AT1" s="426"/>
      <c r="AU1" s="426"/>
      <c r="AV1" s="426"/>
      <c r="AW1" s="426"/>
      <c r="AX1" s="427" t="s">
        <v>151</v>
      </c>
      <c r="AY1" s="426"/>
      <c r="AZ1" s="425"/>
      <c r="BA1" s="425"/>
      <c r="BB1" s="425"/>
      <c r="BC1" s="426"/>
      <c r="BD1" s="426"/>
      <c r="BE1" s="426"/>
      <c r="BF1" s="426"/>
      <c r="BG1" s="426"/>
      <c r="BH1" s="427" t="s">
        <v>151</v>
      </c>
    </row>
    <row r="2" spans="1:60" x14ac:dyDescent="0.2">
      <c r="B2" s="430" t="s">
        <v>278</v>
      </c>
      <c r="C2" s="426"/>
      <c r="D2" s="426"/>
      <c r="E2" s="426"/>
      <c r="F2" s="426"/>
      <c r="G2" s="426"/>
      <c r="H2" s="426"/>
      <c r="I2" s="426"/>
      <c r="J2" s="426"/>
      <c r="K2" s="426"/>
      <c r="L2" s="430" t="s">
        <v>279</v>
      </c>
      <c r="M2" s="426"/>
      <c r="N2" s="426"/>
      <c r="O2" s="426"/>
      <c r="P2" s="426"/>
      <c r="Q2" s="426"/>
      <c r="R2" s="426"/>
      <c r="S2" s="426"/>
      <c r="T2" s="426"/>
      <c r="U2" s="426"/>
      <c r="V2" s="430" t="s">
        <v>280</v>
      </c>
      <c r="W2" s="426"/>
      <c r="X2" s="426"/>
      <c r="Y2" s="426"/>
      <c r="Z2" s="426"/>
      <c r="AA2" s="426"/>
      <c r="AB2" s="426"/>
      <c r="AC2" s="426"/>
      <c r="AD2" s="426"/>
      <c r="AE2" s="426"/>
      <c r="AF2" s="430" t="s">
        <v>281</v>
      </c>
      <c r="AG2" s="426"/>
      <c r="AH2" s="426"/>
      <c r="AI2" s="426"/>
      <c r="AJ2" s="426"/>
      <c r="AK2" s="426"/>
      <c r="AL2" s="426"/>
      <c r="AM2" s="426"/>
      <c r="AN2" s="426"/>
      <c r="AO2" s="426"/>
      <c r="AP2" s="430" t="s">
        <v>282</v>
      </c>
      <c r="AQ2" s="426"/>
      <c r="AR2" s="426"/>
      <c r="AS2" s="426"/>
      <c r="AT2" s="426"/>
      <c r="AU2" s="426"/>
      <c r="AV2" s="426"/>
      <c r="AW2" s="426"/>
      <c r="AX2" s="426"/>
      <c r="AY2" s="426"/>
      <c r="AZ2" s="430" t="s">
        <v>283</v>
      </c>
      <c r="BA2" s="426"/>
      <c r="BB2" s="426"/>
      <c r="BC2" s="426"/>
      <c r="BD2" s="426"/>
      <c r="BE2" s="426"/>
      <c r="BF2" s="426"/>
      <c r="BG2" s="426"/>
      <c r="BH2" s="426"/>
    </row>
    <row r="3" spans="1:60" ht="13.7" customHeight="1" x14ac:dyDescent="0.2">
      <c r="B3" s="544" t="s">
        <v>268</v>
      </c>
      <c r="C3" s="545"/>
      <c r="D3" s="545"/>
      <c r="E3" s="545"/>
      <c r="F3" s="542"/>
      <c r="G3" s="542"/>
      <c r="H3" s="542"/>
      <c r="I3" s="542"/>
      <c r="J3" s="543"/>
      <c r="K3" s="426"/>
      <c r="L3" s="544" t="s">
        <v>269</v>
      </c>
      <c r="M3" s="545"/>
      <c r="N3" s="545"/>
      <c r="O3" s="545"/>
      <c r="P3" s="542"/>
      <c r="Q3" s="542"/>
      <c r="R3" s="542"/>
      <c r="S3" s="542"/>
      <c r="T3" s="543"/>
      <c r="U3" s="426"/>
      <c r="V3" s="544" t="s">
        <v>270</v>
      </c>
      <c r="W3" s="545"/>
      <c r="X3" s="545"/>
      <c r="Y3" s="545"/>
      <c r="Z3" s="542"/>
      <c r="AA3" s="542"/>
      <c r="AB3" s="542"/>
      <c r="AC3" s="542"/>
      <c r="AD3" s="543"/>
      <c r="AE3" s="426"/>
      <c r="AF3" s="544" t="s">
        <v>271</v>
      </c>
      <c r="AG3" s="545"/>
      <c r="AH3" s="545"/>
      <c r="AI3" s="545"/>
      <c r="AJ3" s="542"/>
      <c r="AK3" s="542"/>
      <c r="AL3" s="542"/>
      <c r="AM3" s="542"/>
      <c r="AN3" s="543"/>
      <c r="AO3" s="426"/>
      <c r="AP3" s="544" t="s">
        <v>272</v>
      </c>
      <c r="AQ3" s="545"/>
      <c r="AR3" s="545"/>
      <c r="AS3" s="545"/>
      <c r="AT3" s="542"/>
      <c r="AU3" s="542"/>
      <c r="AV3" s="542"/>
      <c r="AW3" s="542"/>
      <c r="AX3" s="543"/>
      <c r="AY3" s="426"/>
      <c r="AZ3" s="544" t="s">
        <v>273</v>
      </c>
      <c r="BA3" s="545"/>
      <c r="BB3" s="545"/>
      <c r="BC3" s="545"/>
      <c r="BD3" s="542"/>
      <c r="BE3" s="542"/>
      <c r="BF3" s="542"/>
      <c r="BG3" s="542"/>
      <c r="BH3" s="543"/>
    </row>
    <row r="4" spans="1:60" ht="25.5" x14ac:dyDescent="0.2">
      <c r="B4" s="141" t="s">
        <v>1</v>
      </c>
      <c r="C4" s="141" t="s">
        <v>274</v>
      </c>
      <c r="D4" s="141" t="s">
        <v>275</v>
      </c>
      <c r="E4" s="141" t="s">
        <v>276</v>
      </c>
      <c r="F4" s="431"/>
      <c r="G4" s="141"/>
      <c r="H4" s="141"/>
      <c r="I4" s="141"/>
      <c r="J4" s="141"/>
      <c r="K4" s="426"/>
      <c r="L4" s="141" t="s">
        <v>1</v>
      </c>
      <c r="M4" s="141" t="s">
        <v>274</v>
      </c>
      <c r="N4" s="141" t="s">
        <v>275</v>
      </c>
      <c r="O4" s="141" t="s">
        <v>276</v>
      </c>
      <c r="P4" s="431"/>
      <c r="Q4" s="141"/>
      <c r="R4" s="141"/>
      <c r="S4" s="141"/>
      <c r="T4" s="141"/>
      <c r="U4" s="426"/>
      <c r="V4" s="141" t="s">
        <v>1</v>
      </c>
      <c r="W4" s="141" t="s">
        <v>274</v>
      </c>
      <c r="X4" s="141" t="s">
        <v>275</v>
      </c>
      <c r="Y4" s="141" t="s">
        <v>276</v>
      </c>
      <c r="Z4" s="431"/>
      <c r="AA4" s="141"/>
      <c r="AB4" s="141"/>
      <c r="AC4" s="141"/>
      <c r="AD4" s="141"/>
      <c r="AE4" s="426"/>
      <c r="AF4" s="141" t="s">
        <v>1</v>
      </c>
      <c r="AG4" s="141" t="s">
        <v>274</v>
      </c>
      <c r="AH4" s="141" t="s">
        <v>275</v>
      </c>
      <c r="AI4" s="141" t="s">
        <v>276</v>
      </c>
      <c r="AJ4" s="431"/>
      <c r="AK4" s="141"/>
      <c r="AL4" s="141"/>
      <c r="AM4" s="141"/>
      <c r="AN4" s="141"/>
      <c r="AO4" s="426"/>
      <c r="AP4" s="141" t="s">
        <v>1</v>
      </c>
      <c r="AQ4" s="141" t="s">
        <v>274</v>
      </c>
      <c r="AR4" s="141" t="s">
        <v>275</v>
      </c>
      <c r="AS4" s="141" t="s">
        <v>276</v>
      </c>
      <c r="AT4" s="431"/>
      <c r="AU4" s="141"/>
      <c r="AV4" s="141"/>
      <c r="AW4" s="141"/>
      <c r="AX4" s="141"/>
      <c r="AY4" s="426"/>
      <c r="AZ4" s="141" t="s">
        <v>1</v>
      </c>
      <c r="BA4" s="141" t="s">
        <v>274</v>
      </c>
      <c r="BB4" s="141" t="s">
        <v>275</v>
      </c>
      <c r="BC4" s="141" t="s">
        <v>276</v>
      </c>
      <c r="BD4" s="431"/>
      <c r="BE4" s="141"/>
      <c r="BF4" s="141"/>
      <c r="BG4" s="141"/>
      <c r="BH4" s="141"/>
    </row>
    <row r="5" spans="1:60" x14ac:dyDescent="0.2">
      <c r="A5" s="426"/>
      <c r="B5" s="113">
        <v>0</v>
      </c>
      <c r="C5" s="432">
        <v>64.87</v>
      </c>
      <c r="D5" s="432">
        <v>65.34</v>
      </c>
      <c r="E5" s="432">
        <v>65.67</v>
      </c>
      <c r="F5" s="426"/>
      <c r="G5" s="426"/>
      <c r="H5" s="426"/>
      <c r="I5" s="426"/>
      <c r="J5" s="426"/>
      <c r="K5" s="426"/>
      <c r="L5" s="113">
        <v>0</v>
      </c>
      <c r="M5" s="432">
        <v>68.41</v>
      </c>
      <c r="N5" s="432">
        <v>68.97</v>
      </c>
      <c r="O5" s="432">
        <v>69.319999999999993</v>
      </c>
      <c r="P5" s="426"/>
      <c r="Q5" s="426"/>
      <c r="R5" s="426"/>
      <c r="S5" s="426"/>
      <c r="T5" s="426"/>
      <c r="U5" s="426"/>
      <c r="V5" s="113">
        <v>0</v>
      </c>
      <c r="W5" s="432">
        <v>72.11</v>
      </c>
      <c r="X5" s="432">
        <v>72.760000000000005</v>
      </c>
      <c r="Y5" s="432">
        <v>73.150000000000006</v>
      </c>
      <c r="Z5" s="426"/>
      <c r="AA5" s="426"/>
      <c r="AB5" s="426"/>
      <c r="AC5" s="426"/>
      <c r="AD5" s="426"/>
      <c r="AE5" s="426"/>
      <c r="AF5" s="113">
        <v>0</v>
      </c>
      <c r="AG5" s="432">
        <v>75.98</v>
      </c>
      <c r="AH5" s="432">
        <v>76.73</v>
      </c>
      <c r="AI5" s="432">
        <v>77.150000000000006</v>
      </c>
      <c r="AJ5" s="426"/>
      <c r="AK5" s="426"/>
      <c r="AL5" s="426"/>
      <c r="AM5" s="426"/>
      <c r="AN5" s="426"/>
      <c r="AO5" s="426"/>
      <c r="AP5" s="113">
        <v>0</v>
      </c>
      <c r="AQ5" s="432">
        <v>80.03</v>
      </c>
      <c r="AR5" s="432">
        <v>80.88</v>
      </c>
      <c r="AS5" s="432">
        <v>81.33</v>
      </c>
      <c r="AT5" s="426"/>
      <c r="AU5" s="426"/>
      <c r="AV5" s="426"/>
      <c r="AW5" s="426"/>
      <c r="AX5" s="426"/>
      <c r="AY5" s="426"/>
      <c r="AZ5" s="113">
        <v>0</v>
      </c>
      <c r="BA5" s="432">
        <v>84.25</v>
      </c>
      <c r="BB5" s="432">
        <v>85.21</v>
      </c>
      <c r="BC5" s="432">
        <v>85.7</v>
      </c>
      <c r="BD5" s="426"/>
      <c r="BE5" s="426"/>
      <c r="BF5" s="426"/>
      <c r="BG5" s="426"/>
      <c r="BH5" s="426"/>
    </row>
    <row r="6" spans="1:60" x14ac:dyDescent="0.2">
      <c r="A6" s="433"/>
      <c r="B6" s="113">
        <v>1</v>
      </c>
      <c r="C6" s="432">
        <v>64.989999999999995</v>
      </c>
      <c r="D6" s="432">
        <v>65.47</v>
      </c>
      <c r="E6" s="432">
        <v>65.8</v>
      </c>
      <c r="F6" s="426"/>
      <c r="G6" s="426"/>
      <c r="H6" s="426"/>
      <c r="I6" s="426"/>
      <c r="J6" s="426"/>
      <c r="K6" s="433"/>
      <c r="L6" s="113">
        <v>1</v>
      </c>
      <c r="M6" s="432">
        <v>68.55</v>
      </c>
      <c r="N6" s="432">
        <v>69.11</v>
      </c>
      <c r="O6" s="432">
        <v>69.47</v>
      </c>
      <c r="P6" s="426"/>
      <c r="Q6" s="426"/>
      <c r="R6" s="426"/>
      <c r="S6" s="426"/>
      <c r="T6" s="426"/>
      <c r="U6" s="433"/>
      <c r="V6" s="113">
        <v>1</v>
      </c>
      <c r="W6" s="432">
        <v>72.27</v>
      </c>
      <c r="X6" s="432">
        <v>72.92</v>
      </c>
      <c r="Y6" s="432">
        <v>73.31</v>
      </c>
      <c r="Z6" s="426"/>
      <c r="AA6" s="426"/>
      <c r="AB6" s="426"/>
      <c r="AC6" s="426"/>
      <c r="AD6" s="426"/>
      <c r="AE6" s="433"/>
      <c r="AF6" s="113">
        <v>1</v>
      </c>
      <c r="AG6" s="432">
        <v>76.16</v>
      </c>
      <c r="AH6" s="432">
        <v>76.91</v>
      </c>
      <c r="AI6" s="432">
        <v>77.33</v>
      </c>
      <c r="AJ6" s="426"/>
      <c r="AK6" s="426"/>
      <c r="AL6" s="426"/>
      <c r="AM6" s="426"/>
      <c r="AN6" s="426"/>
      <c r="AO6" s="433"/>
      <c r="AP6" s="113">
        <v>1</v>
      </c>
      <c r="AQ6" s="432">
        <v>80.22</v>
      </c>
      <c r="AR6" s="432">
        <v>81.08</v>
      </c>
      <c r="AS6" s="432">
        <v>81.53</v>
      </c>
      <c r="AT6" s="426"/>
      <c r="AU6" s="426"/>
      <c r="AV6" s="426"/>
      <c r="AW6" s="426"/>
      <c r="AX6" s="426"/>
      <c r="AY6" s="433"/>
      <c r="AZ6" s="113">
        <v>1</v>
      </c>
      <c r="BA6" s="432">
        <v>84.47</v>
      </c>
      <c r="BB6" s="432">
        <v>85.44</v>
      </c>
      <c r="BC6" s="432">
        <v>85.93</v>
      </c>
      <c r="BD6" s="426"/>
      <c r="BE6" s="426"/>
      <c r="BF6" s="426"/>
      <c r="BG6" s="426"/>
      <c r="BH6" s="426"/>
    </row>
    <row r="7" spans="1:60" x14ac:dyDescent="0.2">
      <c r="A7" s="433"/>
      <c r="B7" s="113">
        <v>2</v>
      </c>
      <c r="C7" s="432">
        <v>65.13</v>
      </c>
      <c r="D7" s="432">
        <v>65.599999999999994</v>
      </c>
      <c r="E7" s="432">
        <v>65.930000000000007</v>
      </c>
      <c r="F7" s="426"/>
      <c r="G7" s="426"/>
      <c r="H7" s="426"/>
      <c r="I7" s="426"/>
      <c r="J7" s="426"/>
      <c r="K7" s="433"/>
      <c r="L7" s="113">
        <v>2</v>
      </c>
      <c r="M7" s="432">
        <v>68.7</v>
      </c>
      <c r="N7" s="432">
        <v>69.260000000000005</v>
      </c>
      <c r="O7" s="432">
        <v>69.62</v>
      </c>
      <c r="P7" s="426"/>
      <c r="Q7" s="426"/>
      <c r="R7" s="426"/>
      <c r="S7" s="426"/>
      <c r="T7" s="426"/>
      <c r="U7" s="433"/>
      <c r="V7" s="113">
        <v>2</v>
      </c>
      <c r="W7" s="432">
        <v>72.44</v>
      </c>
      <c r="X7" s="432">
        <v>73.09</v>
      </c>
      <c r="Y7" s="432">
        <v>73.48</v>
      </c>
      <c r="Z7" s="426"/>
      <c r="AA7" s="426"/>
      <c r="AB7" s="426"/>
      <c r="AC7" s="426"/>
      <c r="AD7" s="426"/>
      <c r="AE7" s="433"/>
      <c r="AF7" s="113">
        <v>2</v>
      </c>
      <c r="AG7" s="432">
        <v>76.34</v>
      </c>
      <c r="AH7" s="432">
        <v>77.099999999999994</v>
      </c>
      <c r="AI7" s="432">
        <v>77.52</v>
      </c>
      <c r="AJ7" s="426"/>
      <c r="AK7" s="426"/>
      <c r="AL7" s="426"/>
      <c r="AM7" s="426"/>
      <c r="AN7" s="426"/>
      <c r="AO7" s="433"/>
      <c r="AP7" s="113">
        <v>2</v>
      </c>
      <c r="AQ7" s="432">
        <v>80.430000000000007</v>
      </c>
      <c r="AR7" s="432">
        <v>81.290000000000006</v>
      </c>
      <c r="AS7" s="432">
        <v>81.739999999999995</v>
      </c>
      <c r="AT7" s="426"/>
      <c r="AU7" s="426"/>
      <c r="AV7" s="426"/>
      <c r="AW7" s="426"/>
      <c r="AX7" s="426"/>
      <c r="AY7" s="433"/>
      <c r="AZ7" s="113">
        <v>2</v>
      </c>
      <c r="BA7" s="432">
        <v>84.69</v>
      </c>
      <c r="BB7" s="432">
        <v>85.67</v>
      </c>
      <c r="BC7" s="432">
        <v>86.16</v>
      </c>
      <c r="BD7" s="426"/>
      <c r="BE7" s="426"/>
      <c r="BF7" s="426"/>
      <c r="BG7" s="426"/>
      <c r="BH7" s="426"/>
    </row>
    <row r="8" spans="1:60" x14ac:dyDescent="0.2">
      <c r="A8" s="433"/>
      <c r="B8" s="113">
        <v>3</v>
      </c>
      <c r="C8" s="432">
        <v>65.260000000000005</v>
      </c>
      <c r="D8" s="432">
        <v>65.739999999999995</v>
      </c>
      <c r="E8" s="432">
        <v>66.069999999999993</v>
      </c>
      <c r="F8" s="426"/>
      <c r="G8" s="426"/>
      <c r="H8" s="426"/>
      <c r="I8" s="426"/>
      <c r="J8" s="426"/>
      <c r="K8" s="433"/>
      <c r="L8" s="113">
        <v>3</v>
      </c>
      <c r="M8" s="432">
        <v>68.849999999999994</v>
      </c>
      <c r="N8" s="432">
        <v>69.42</v>
      </c>
      <c r="O8" s="432">
        <v>69.78</v>
      </c>
      <c r="P8" s="426"/>
      <c r="Q8" s="426"/>
      <c r="R8" s="426"/>
      <c r="S8" s="426"/>
      <c r="T8" s="426"/>
      <c r="U8" s="433"/>
      <c r="V8" s="113">
        <v>3</v>
      </c>
      <c r="W8" s="432">
        <v>72.61</v>
      </c>
      <c r="X8" s="432">
        <v>73.260000000000005</v>
      </c>
      <c r="Y8" s="432">
        <v>73.650000000000006</v>
      </c>
      <c r="Z8" s="426"/>
      <c r="AA8" s="426"/>
      <c r="AB8" s="426"/>
      <c r="AC8" s="426"/>
      <c r="AD8" s="426"/>
      <c r="AE8" s="433"/>
      <c r="AF8" s="113">
        <v>3</v>
      </c>
      <c r="AG8" s="432">
        <v>76.540000000000006</v>
      </c>
      <c r="AH8" s="432">
        <v>77.290000000000006</v>
      </c>
      <c r="AI8" s="432">
        <v>77.709999999999994</v>
      </c>
      <c r="AJ8" s="426"/>
      <c r="AK8" s="426"/>
      <c r="AL8" s="426"/>
      <c r="AM8" s="426"/>
      <c r="AN8" s="426"/>
      <c r="AO8" s="433"/>
      <c r="AP8" s="113">
        <v>3</v>
      </c>
      <c r="AQ8" s="432">
        <v>80.64</v>
      </c>
      <c r="AR8" s="432">
        <v>81.5</v>
      </c>
      <c r="AS8" s="432">
        <v>81.96</v>
      </c>
      <c r="AT8" s="426"/>
      <c r="AU8" s="426"/>
      <c r="AV8" s="426"/>
      <c r="AW8" s="426"/>
      <c r="AX8" s="426"/>
      <c r="AY8" s="433"/>
      <c r="AZ8" s="113">
        <v>3</v>
      </c>
      <c r="BA8" s="432">
        <v>84.93</v>
      </c>
      <c r="BB8" s="432">
        <v>85.91</v>
      </c>
      <c r="BC8" s="432">
        <v>86.4</v>
      </c>
      <c r="BD8" s="426"/>
      <c r="BE8" s="426"/>
      <c r="BF8" s="426"/>
      <c r="BG8" s="426"/>
      <c r="BH8" s="426"/>
    </row>
    <row r="9" spans="1:60" x14ac:dyDescent="0.2">
      <c r="A9" s="433"/>
      <c r="B9" s="113">
        <v>4</v>
      </c>
      <c r="C9" s="432">
        <v>65.41</v>
      </c>
      <c r="D9" s="432">
        <v>65.89</v>
      </c>
      <c r="E9" s="432">
        <v>66.22</v>
      </c>
      <c r="F9" s="426"/>
      <c r="G9" s="426"/>
      <c r="H9" s="426"/>
      <c r="I9" s="426"/>
      <c r="J9" s="426"/>
      <c r="K9" s="433"/>
      <c r="L9" s="113">
        <v>4</v>
      </c>
      <c r="M9" s="432">
        <v>69.010000000000005</v>
      </c>
      <c r="N9" s="432">
        <v>69.58</v>
      </c>
      <c r="O9" s="432">
        <v>69.94</v>
      </c>
      <c r="P9" s="426"/>
      <c r="Q9" s="426"/>
      <c r="R9" s="426"/>
      <c r="S9" s="426"/>
      <c r="T9" s="426"/>
      <c r="U9" s="433"/>
      <c r="V9" s="113">
        <v>4</v>
      </c>
      <c r="W9" s="432">
        <v>72.790000000000006</v>
      </c>
      <c r="X9" s="432">
        <v>73.45</v>
      </c>
      <c r="Y9" s="432">
        <v>73.84</v>
      </c>
      <c r="Z9" s="426"/>
      <c r="AA9" s="426"/>
      <c r="AB9" s="426"/>
      <c r="AC9" s="426"/>
      <c r="AD9" s="426"/>
      <c r="AE9" s="433"/>
      <c r="AF9" s="113">
        <v>4</v>
      </c>
      <c r="AG9" s="432">
        <v>76.73</v>
      </c>
      <c r="AH9" s="432">
        <v>77.489999999999995</v>
      </c>
      <c r="AI9" s="432">
        <v>77.92</v>
      </c>
      <c r="AJ9" s="426"/>
      <c r="AK9" s="426"/>
      <c r="AL9" s="426"/>
      <c r="AM9" s="426"/>
      <c r="AN9" s="426"/>
      <c r="AO9" s="433"/>
      <c r="AP9" s="113">
        <v>4</v>
      </c>
      <c r="AQ9" s="432">
        <v>80.86</v>
      </c>
      <c r="AR9" s="432">
        <v>81.73</v>
      </c>
      <c r="AS9" s="432">
        <v>82.19</v>
      </c>
      <c r="AT9" s="426"/>
      <c r="AU9" s="426"/>
      <c r="AV9" s="426"/>
      <c r="AW9" s="426"/>
      <c r="AX9" s="426"/>
      <c r="AY9" s="433"/>
      <c r="AZ9" s="113">
        <v>4</v>
      </c>
      <c r="BA9" s="432">
        <v>85.17</v>
      </c>
      <c r="BB9" s="432">
        <v>86.16</v>
      </c>
      <c r="BC9" s="432">
        <v>86.65</v>
      </c>
      <c r="BD9" s="426"/>
      <c r="BE9" s="426"/>
      <c r="BF9" s="426"/>
      <c r="BG9" s="426"/>
      <c r="BH9" s="426"/>
    </row>
    <row r="10" spans="1:60" x14ac:dyDescent="0.2">
      <c r="A10" s="433"/>
      <c r="B10" s="113">
        <v>5</v>
      </c>
      <c r="C10" s="432">
        <v>65.56</v>
      </c>
      <c r="D10" s="432">
        <v>66.040000000000006</v>
      </c>
      <c r="E10" s="432">
        <v>66.37</v>
      </c>
      <c r="F10" s="426"/>
      <c r="G10" s="426"/>
      <c r="H10" s="426"/>
      <c r="I10" s="426"/>
      <c r="J10" s="426"/>
      <c r="K10" s="433"/>
      <c r="L10" s="113">
        <v>5</v>
      </c>
      <c r="M10" s="432">
        <v>69.180000000000007</v>
      </c>
      <c r="N10" s="432">
        <v>69.75</v>
      </c>
      <c r="O10" s="432">
        <v>70.11</v>
      </c>
      <c r="P10" s="426"/>
      <c r="Q10" s="426"/>
      <c r="R10" s="426"/>
      <c r="S10" s="426"/>
      <c r="T10" s="426"/>
      <c r="U10" s="433"/>
      <c r="V10" s="113">
        <v>5</v>
      </c>
      <c r="W10" s="432">
        <v>72.97</v>
      </c>
      <c r="X10" s="432">
        <v>73.63</v>
      </c>
      <c r="Y10" s="432">
        <v>74.03</v>
      </c>
      <c r="Z10" s="426"/>
      <c r="AA10" s="426"/>
      <c r="AB10" s="426"/>
      <c r="AC10" s="426"/>
      <c r="AD10" s="426"/>
      <c r="AE10" s="433"/>
      <c r="AF10" s="113">
        <v>5</v>
      </c>
      <c r="AG10" s="432">
        <v>76.94</v>
      </c>
      <c r="AH10" s="432">
        <v>77.7</v>
      </c>
      <c r="AI10" s="432">
        <v>78.13</v>
      </c>
      <c r="AJ10" s="426"/>
      <c r="AK10" s="426"/>
      <c r="AL10" s="426"/>
      <c r="AM10" s="426"/>
      <c r="AN10" s="426"/>
      <c r="AO10" s="433"/>
      <c r="AP10" s="113">
        <v>5</v>
      </c>
      <c r="AQ10" s="432">
        <v>81.09</v>
      </c>
      <c r="AR10" s="432">
        <v>81.96</v>
      </c>
      <c r="AS10" s="432">
        <v>82.42</v>
      </c>
      <c r="AT10" s="426"/>
      <c r="AU10" s="426"/>
      <c r="AV10" s="426"/>
      <c r="AW10" s="426"/>
      <c r="AX10" s="426"/>
      <c r="AY10" s="433"/>
      <c r="AZ10" s="113">
        <v>5</v>
      </c>
      <c r="BA10" s="432">
        <v>85.43</v>
      </c>
      <c r="BB10" s="432">
        <v>86.42</v>
      </c>
      <c r="BC10" s="432">
        <v>86.91</v>
      </c>
      <c r="BD10" s="426"/>
      <c r="BE10" s="426"/>
      <c r="BF10" s="426"/>
      <c r="BG10" s="426"/>
      <c r="BH10" s="426"/>
    </row>
    <row r="11" spans="1:60" x14ac:dyDescent="0.2">
      <c r="A11" s="433"/>
      <c r="B11" s="113">
        <v>6</v>
      </c>
      <c r="C11" s="432">
        <v>65.709999999999994</v>
      </c>
      <c r="D11" s="432">
        <v>66.2</v>
      </c>
      <c r="E11" s="432">
        <v>66.53</v>
      </c>
      <c r="F11" s="426"/>
      <c r="G11" s="426"/>
      <c r="H11" s="426"/>
      <c r="I11" s="426"/>
      <c r="J11" s="426"/>
      <c r="K11" s="433"/>
      <c r="L11" s="113">
        <v>6</v>
      </c>
      <c r="M11" s="432">
        <v>69.349999999999994</v>
      </c>
      <c r="N11" s="432">
        <v>69.92</v>
      </c>
      <c r="O11" s="432">
        <v>70.290000000000006</v>
      </c>
      <c r="P11" s="426"/>
      <c r="Q11" s="426"/>
      <c r="R11" s="426"/>
      <c r="S11" s="426"/>
      <c r="T11" s="426"/>
      <c r="U11" s="433"/>
      <c r="V11" s="113">
        <v>6</v>
      </c>
      <c r="W11" s="432">
        <v>73.16</v>
      </c>
      <c r="X11" s="432">
        <v>73.83</v>
      </c>
      <c r="Y11" s="432">
        <v>74.22</v>
      </c>
      <c r="Z11" s="426"/>
      <c r="AA11" s="426"/>
      <c r="AB11" s="426"/>
      <c r="AC11" s="426"/>
      <c r="AD11" s="426"/>
      <c r="AE11" s="433"/>
      <c r="AF11" s="113">
        <v>6</v>
      </c>
      <c r="AG11" s="432">
        <v>77.150000000000006</v>
      </c>
      <c r="AH11" s="432">
        <v>77.92</v>
      </c>
      <c r="AI11" s="432">
        <v>78.349999999999994</v>
      </c>
      <c r="AJ11" s="426"/>
      <c r="AK11" s="426"/>
      <c r="AL11" s="426"/>
      <c r="AM11" s="426"/>
      <c r="AN11" s="426"/>
      <c r="AO11" s="433"/>
      <c r="AP11" s="113">
        <v>6</v>
      </c>
      <c r="AQ11" s="432">
        <v>81.33</v>
      </c>
      <c r="AR11" s="432">
        <v>82.2</v>
      </c>
      <c r="AS11" s="432">
        <v>82.67</v>
      </c>
      <c r="AT11" s="426"/>
      <c r="AU11" s="426"/>
      <c r="AV11" s="426"/>
      <c r="AW11" s="426"/>
      <c r="AX11" s="426"/>
      <c r="AY11" s="433"/>
      <c r="AZ11" s="113">
        <v>6</v>
      </c>
      <c r="BA11" s="432">
        <v>85.69</v>
      </c>
      <c r="BB11" s="432">
        <v>86.68</v>
      </c>
      <c r="BC11" s="432">
        <v>87.19</v>
      </c>
      <c r="BD11" s="426"/>
      <c r="BE11" s="426"/>
      <c r="BF11" s="426"/>
      <c r="BG11" s="426"/>
      <c r="BH11" s="426"/>
    </row>
    <row r="12" spans="1:60" x14ac:dyDescent="0.2">
      <c r="A12" s="433"/>
      <c r="B12" s="113">
        <v>7</v>
      </c>
      <c r="C12" s="432">
        <v>65.87</v>
      </c>
      <c r="D12" s="432">
        <v>66.36</v>
      </c>
      <c r="E12" s="432">
        <v>66.7</v>
      </c>
      <c r="F12" s="426"/>
      <c r="G12" s="426"/>
      <c r="H12" s="426"/>
      <c r="I12" s="426"/>
      <c r="J12" s="426"/>
      <c r="K12" s="433"/>
      <c r="L12" s="113">
        <v>7</v>
      </c>
      <c r="M12" s="432">
        <v>69.53</v>
      </c>
      <c r="N12" s="432">
        <v>70.11</v>
      </c>
      <c r="O12" s="432">
        <v>70.47</v>
      </c>
      <c r="P12" s="426"/>
      <c r="Q12" s="426"/>
      <c r="R12" s="426"/>
      <c r="S12" s="426"/>
      <c r="T12" s="426"/>
      <c r="U12" s="433"/>
      <c r="V12" s="113">
        <v>7</v>
      </c>
      <c r="W12" s="432">
        <v>73.36</v>
      </c>
      <c r="X12" s="432">
        <v>74.03</v>
      </c>
      <c r="Y12" s="432">
        <v>74.430000000000007</v>
      </c>
      <c r="Z12" s="426"/>
      <c r="AA12" s="426"/>
      <c r="AB12" s="426"/>
      <c r="AC12" s="426"/>
      <c r="AD12" s="426"/>
      <c r="AE12" s="433"/>
      <c r="AF12" s="113">
        <v>7</v>
      </c>
      <c r="AG12" s="432">
        <v>77.38</v>
      </c>
      <c r="AH12" s="432">
        <v>78.150000000000006</v>
      </c>
      <c r="AI12" s="432">
        <v>78.58</v>
      </c>
      <c r="AJ12" s="426"/>
      <c r="AK12" s="426"/>
      <c r="AL12" s="426"/>
      <c r="AM12" s="426"/>
      <c r="AN12" s="426"/>
      <c r="AO12" s="433"/>
      <c r="AP12" s="113">
        <v>7</v>
      </c>
      <c r="AQ12" s="432">
        <v>81.58</v>
      </c>
      <c r="AR12" s="432">
        <v>82.46</v>
      </c>
      <c r="AS12" s="432">
        <v>82.92</v>
      </c>
      <c r="AT12" s="426"/>
      <c r="AU12" s="426"/>
      <c r="AV12" s="426"/>
      <c r="AW12" s="426"/>
      <c r="AX12" s="426"/>
      <c r="AY12" s="433"/>
      <c r="AZ12" s="113">
        <v>7</v>
      </c>
      <c r="BA12" s="432">
        <v>85.97</v>
      </c>
      <c r="BB12" s="432">
        <v>86.97</v>
      </c>
      <c r="BC12" s="432">
        <v>87.47</v>
      </c>
      <c r="BD12" s="426"/>
      <c r="BE12" s="426"/>
      <c r="BF12" s="426"/>
      <c r="BG12" s="426"/>
      <c r="BH12" s="426"/>
    </row>
    <row r="13" spans="1:60" x14ac:dyDescent="0.2">
      <c r="A13" s="433"/>
      <c r="B13" s="113">
        <v>8</v>
      </c>
      <c r="C13" s="432">
        <v>66.040000000000006</v>
      </c>
      <c r="D13" s="432">
        <v>66.53</v>
      </c>
      <c r="E13" s="432">
        <v>66.87</v>
      </c>
      <c r="F13" s="426"/>
      <c r="G13" s="426"/>
      <c r="H13" s="426"/>
      <c r="I13" s="426"/>
      <c r="J13" s="426"/>
      <c r="K13" s="433"/>
      <c r="L13" s="113">
        <v>8</v>
      </c>
      <c r="M13" s="432">
        <v>69.72</v>
      </c>
      <c r="N13" s="432">
        <v>70.3</v>
      </c>
      <c r="O13" s="432">
        <v>70.66</v>
      </c>
      <c r="P13" s="426"/>
      <c r="Q13" s="426"/>
      <c r="R13" s="426"/>
      <c r="S13" s="426"/>
      <c r="T13" s="426"/>
      <c r="U13" s="433"/>
      <c r="V13" s="113">
        <v>8</v>
      </c>
      <c r="W13" s="432">
        <v>73.569999999999993</v>
      </c>
      <c r="X13" s="432">
        <v>74.239999999999995</v>
      </c>
      <c r="Y13" s="432">
        <v>74.64</v>
      </c>
      <c r="Z13" s="426"/>
      <c r="AA13" s="426"/>
      <c r="AB13" s="426"/>
      <c r="AC13" s="426"/>
      <c r="AD13" s="426"/>
      <c r="AE13" s="433"/>
      <c r="AF13" s="113">
        <v>8</v>
      </c>
      <c r="AG13" s="432">
        <v>77.61</v>
      </c>
      <c r="AH13" s="432">
        <v>78.38</v>
      </c>
      <c r="AI13" s="432">
        <v>78.81</v>
      </c>
      <c r="AJ13" s="426"/>
      <c r="AK13" s="426"/>
      <c r="AL13" s="426"/>
      <c r="AM13" s="426"/>
      <c r="AN13" s="426"/>
      <c r="AO13" s="433"/>
      <c r="AP13" s="113">
        <v>8</v>
      </c>
      <c r="AQ13" s="432">
        <v>81.84</v>
      </c>
      <c r="AR13" s="432">
        <v>82.72</v>
      </c>
      <c r="AS13" s="432">
        <v>83.19</v>
      </c>
      <c r="AT13" s="426"/>
      <c r="AU13" s="426"/>
      <c r="AV13" s="426"/>
      <c r="AW13" s="426"/>
      <c r="AX13" s="426"/>
      <c r="AY13" s="433"/>
      <c r="AZ13" s="113">
        <v>8</v>
      </c>
      <c r="BA13" s="432">
        <v>86.26</v>
      </c>
      <c r="BB13" s="432">
        <v>87.26</v>
      </c>
      <c r="BC13" s="432">
        <v>87.76</v>
      </c>
      <c r="BD13" s="426"/>
      <c r="BE13" s="426"/>
      <c r="BF13" s="426"/>
      <c r="BG13" s="426"/>
      <c r="BH13" s="426"/>
    </row>
    <row r="14" spans="1:60" x14ac:dyDescent="0.2">
      <c r="A14" s="433"/>
      <c r="B14" s="113">
        <v>9</v>
      </c>
      <c r="C14" s="432">
        <v>66.22</v>
      </c>
      <c r="D14" s="432">
        <v>66.709999999999994</v>
      </c>
      <c r="E14" s="432">
        <v>67.040000000000006</v>
      </c>
      <c r="F14" s="426"/>
      <c r="G14" s="426"/>
      <c r="H14" s="426"/>
      <c r="I14" s="426"/>
      <c r="J14" s="426"/>
      <c r="K14" s="433"/>
      <c r="L14" s="113">
        <v>9</v>
      </c>
      <c r="M14" s="432">
        <v>69.91</v>
      </c>
      <c r="N14" s="432">
        <v>70.489999999999995</v>
      </c>
      <c r="O14" s="432">
        <v>70.86</v>
      </c>
      <c r="P14" s="426"/>
      <c r="Q14" s="426"/>
      <c r="R14" s="426"/>
      <c r="S14" s="426"/>
      <c r="T14" s="426"/>
      <c r="U14" s="433"/>
      <c r="V14" s="113">
        <v>9</v>
      </c>
      <c r="W14" s="432">
        <v>73.790000000000006</v>
      </c>
      <c r="X14" s="432">
        <v>74.459999999999994</v>
      </c>
      <c r="Y14" s="432">
        <v>74.86</v>
      </c>
      <c r="Z14" s="426"/>
      <c r="AA14" s="426"/>
      <c r="AB14" s="426"/>
      <c r="AC14" s="426"/>
      <c r="AD14" s="426"/>
      <c r="AE14" s="433"/>
      <c r="AF14" s="113">
        <v>9</v>
      </c>
      <c r="AG14" s="432">
        <v>77.849999999999994</v>
      </c>
      <c r="AH14" s="432">
        <v>78.63</v>
      </c>
      <c r="AI14" s="432">
        <v>79.06</v>
      </c>
      <c r="AJ14" s="426"/>
      <c r="AK14" s="426"/>
      <c r="AL14" s="426"/>
      <c r="AM14" s="426"/>
      <c r="AN14" s="426"/>
      <c r="AO14" s="433"/>
      <c r="AP14" s="113">
        <v>9</v>
      </c>
      <c r="AQ14" s="432">
        <v>82.11</v>
      </c>
      <c r="AR14" s="432">
        <v>82.99</v>
      </c>
      <c r="AS14" s="432">
        <v>83.46</v>
      </c>
      <c r="AT14" s="426"/>
      <c r="AU14" s="426"/>
      <c r="AV14" s="426"/>
      <c r="AW14" s="426"/>
      <c r="AX14" s="426"/>
      <c r="AY14" s="433"/>
      <c r="AZ14" s="113">
        <v>9</v>
      </c>
      <c r="BA14" s="432">
        <v>86.56</v>
      </c>
      <c r="BB14" s="432">
        <v>87.56</v>
      </c>
      <c r="BC14" s="432">
        <v>88.07</v>
      </c>
      <c r="BD14" s="426"/>
      <c r="BE14" s="426"/>
      <c r="BF14" s="426"/>
      <c r="BG14" s="426"/>
      <c r="BH14" s="426"/>
    </row>
    <row r="15" spans="1:60" x14ac:dyDescent="0.2">
      <c r="A15" s="433"/>
      <c r="B15" s="113">
        <v>10</v>
      </c>
      <c r="C15" s="432">
        <v>66.400000000000006</v>
      </c>
      <c r="D15" s="432">
        <v>66.89</v>
      </c>
      <c r="E15" s="432">
        <v>67.23</v>
      </c>
      <c r="F15" s="426"/>
      <c r="G15" s="426"/>
      <c r="H15" s="426"/>
      <c r="I15" s="426"/>
      <c r="J15" s="426"/>
      <c r="K15" s="433"/>
      <c r="L15" s="113">
        <v>10</v>
      </c>
      <c r="M15" s="432">
        <v>70.12</v>
      </c>
      <c r="N15" s="432">
        <v>70.7</v>
      </c>
      <c r="O15" s="432">
        <v>71.069999999999993</v>
      </c>
      <c r="P15" s="426"/>
      <c r="Q15" s="426"/>
      <c r="R15" s="426"/>
      <c r="S15" s="426"/>
      <c r="T15" s="426"/>
      <c r="U15" s="433"/>
      <c r="V15" s="113">
        <v>10</v>
      </c>
      <c r="W15" s="432">
        <v>74.02</v>
      </c>
      <c r="X15" s="432">
        <v>74.69</v>
      </c>
      <c r="Y15" s="432">
        <v>75.09</v>
      </c>
      <c r="Z15" s="426"/>
      <c r="AA15" s="426"/>
      <c r="AB15" s="426"/>
      <c r="AC15" s="426"/>
      <c r="AD15" s="426"/>
      <c r="AE15" s="433"/>
      <c r="AF15" s="113">
        <v>10</v>
      </c>
      <c r="AG15" s="432">
        <v>78.099999999999994</v>
      </c>
      <c r="AH15" s="432">
        <v>78.88</v>
      </c>
      <c r="AI15" s="432">
        <v>79.319999999999993</v>
      </c>
      <c r="AJ15" s="426"/>
      <c r="AK15" s="426"/>
      <c r="AL15" s="426"/>
      <c r="AM15" s="426"/>
      <c r="AN15" s="426"/>
      <c r="AO15" s="433"/>
      <c r="AP15" s="113">
        <v>10</v>
      </c>
      <c r="AQ15" s="432">
        <v>82.39</v>
      </c>
      <c r="AR15" s="432">
        <v>83.28</v>
      </c>
      <c r="AS15" s="432">
        <v>83.75</v>
      </c>
      <c r="AT15" s="426"/>
      <c r="AU15" s="426"/>
      <c r="AV15" s="426"/>
      <c r="AW15" s="426"/>
      <c r="AX15" s="426"/>
      <c r="AY15" s="433"/>
      <c r="AZ15" s="113">
        <v>10</v>
      </c>
      <c r="BA15" s="432">
        <v>86.87</v>
      </c>
      <c r="BB15" s="432">
        <v>87.88</v>
      </c>
      <c r="BC15" s="432">
        <v>88.39</v>
      </c>
      <c r="BD15" s="426"/>
      <c r="BE15" s="426"/>
      <c r="BF15" s="426"/>
      <c r="BG15" s="426"/>
      <c r="BH15" s="426"/>
    </row>
    <row r="16" spans="1:60" x14ac:dyDescent="0.2">
      <c r="A16" s="433"/>
      <c r="B16" s="113">
        <v>11</v>
      </c>
      <c r="C16" s="432">
        <v>66.59</v>
      </c>
      <c r="D16" s="432">
        <v>67.08</v>
      </c>
      <c r="E16" s="432">
        <v>67.42</v>
      </c>
      <c r="F16" s="426"/>
      <c r="G16" s="426"/>
      <c r="H16" s="426"/>
      <c r="I16" s="426"/>
      <c r="J16" s="426"/>
      <c r="K16" s="433"/>
      <c r="L16" s="113">
        <v>11</v>
      </c>
      <c r="M16" s="432">
        <v>70.33</v>
      </c>
      <c r="N16" s="432">
        <v>70.91</v>
      </c>
      <c r="O16" s="432">
        <v>71.28</v>
      </c>
      <c r="P16" s="426"/>
      <c r="Q16" s="426"/>
      <c r="R16" s="426"/>
      <c r="S16" s="426"/>
      <c r="T16" s="426"/>
      <c r="U16" s="433"/>
      <c r="V16" s="113">
        <v>11</v>
      </c>
      <c r="W16" s="432">
        <v>74.25</v>
      </c>
      <c r="X16" s="432">
        <v>74.930000000000007</v>
      </c>
      <c r="Y16" s="432">
        <v>75.34</v>
      </c>
      <c r="Z16" s="426"/>
      <c r="AA16" s="426"/>
      <c r="AB16" s="426"/>
      <c r="AC16" s="426"/>
      <c r="AD16" s="426"/>
      <c r="AE16" s="433"/>
      <c r="AF16" s="113">
        <v>11</v>
      </c>
      <c r="AG16" s="432">
        <v>78.37</v>
      </c>
      <c r="AH16" s="432">
        <v>79.150000000000006</v>
      </c>
      <c r="AI16" s="432">
        <v>79.59</v>
      </c>
      <c r="AJ16" s="426"/>
      <c r="AK16" s="426"/>
      <c r="AL16" s="426"/>
      <c r="AM16" s="426"/>
      <c r="AN16" s="426"/>
      <c r="AO16" s="433"/>
      <c r="AP16" s="113">
        <v>11</v>
      </c>
      <c r="AQ16" s="432">
        <v>82.68</v>
      </c>
      <c r="AR16" s="432">
        <v>83.58</v>
      </c>
      <c r="AS16" s="432">
        <v>84.05</v>
      </c>
      <c r="AT16" s="426"/>
      <c r="AU16" s="426"/>
      <c r="AV16" s="426"/>
      <c r="AW16" s="426"/>
      <c r="AX16" s="426"/>
      <c r="AY16" s="433"/>
      <c r="AZ16" s="113">
        <v>11</v>
      </c>
      <c r="BA16" s="432">
        <v>87.19</v>
      </c>
      <c r="BB16" s="432">
        <v>88.21</v>
      </c>
      <c r="BC16" s="432">
        <v>88.73</v>
      </c>
      <c r="BD16" s="426"/>
      <c r="BE16" s="426"/>
      <c r="BF16" s="426"/>
      <c r="BG16" s="426"/>
      <c r="BH16" s="426"/>
    </row>
    <row r="17" spans="1:60" x14ac:dyDescent="0.2">
      <c r="A17" s="433"/>
      <c r="B17" s="113">
        <v>12</v>
      </c>
      <c r="C17" s="432">
        <v>66.78</v>
      </c>
      <c r="D17" s="432">
        <v>67.28</v>
      </c>
      <c r="E17" s="432">
        <v>67.62</v>
      </c>
      <c r="F17" s="426"/>
      <c r="G17" s="426"/>
      <c r="H17" s="426"/>
      <c r="I17" s="426"/>
      <c r="J17" s="426"/>
      <c r="K17" s="433"/>
      <c r="L17" s="113">
        <v>12</v>
      </c>
      <c r="M17" s="432">
        <v>70.55</v>
      </c>
      <c r="N17" s="432">
        <v>71.14</v>
      </c>
      <c r="O17" s="432">
        <v>71.510000000000005</v>
      </c>
      <c r="P17" s="426"/>
      <c r="Q17" s="426"/>
      <c r="R17" s="426"/>
      <c r="S17" s="426"/>
      <c r="T17" s="426"/>
      <c r="U17" s="433"/>
      <c r="V17" s="113">
        <v>12</v>
      </c>
      <c r="W17" s="432">
        <v>74.5</v>
      </c>
      <c r="X17" s="432">
        <v>75.180000000000007</v>
      </c>
      <c r="Y17" s="432">
        <v>75.59</v>
      </c>
      <c r="Z17" s="426"/>
      <c r="AA17" s="426"/>
      <c r="AB17" s="426"/>
      <c r="AC17" s="426"/>
      <c r="AD17" s="426"/>
      <c r="AE17" s="433"/>
      <c r="AF17" s="113">
        <v>12</v>
      </c>
      <c r="AG17" s="432">
        <v>78.64</v>
      </c>
      <c r="AH17" s="432">
        <v>79.430000000000007</v>
      </c>
      <c r="AI17" s="432">
        <v>79.87</v>
      </c>
      <c r="AJ17" s="426"/>
      <c r="AK17" s="426"/>
      <c r="AL17" s="426"/>
      <c r="AM17" s="426"/>
      <c r="AN17" s="426"/>
      <c r="AO17" s="433"/>
      <c r="AP17" s="113">
        <v>12</v>
      </c>
      <c r="AQ17" s="432">
        <v>82.98</v>
      </c>
      <c r="AR17" s="432">
        <v>83.88</v>
      </c>
      <c r="AS17" s="432">
        <v>84.36</v>
      </c>
      <c r="AT17" s="426"/>
      <c r="AU17" s="426"/>
      <c r="AV17" s="426"/>
      <c r="AW17" s="426"/>
      <c r="AX17" s="426"/>
      <c r="AY17" s="433"/>
      <c r="AZ17" s="113">
        <v>12</v>
      </c>
      <c r="BA17" s="432">
        <v>87.53</v>
      </c>
      <c r="BB17" s="432">
        <v>88.55</v>
      </c>
      <c r="BC17" s="432">
        <v>89.07</v>
      </c>
      <c r="BD17" s="426"/>
      <c r="BE17" s="426"/>
      <c r="BF17" s="426"/>
      <c r="BG17" s="426"/>
      <c r="BH17" s="426"/>
    </row>
    <row r="18" spans="1:60" x14ac:dyDescent="0.2">
      <c r="A18" s="433"/>
      <c r="B18" s="113">
        <v>13</v>
      </c>
      <c r="C18" s="432">
        <v>66.989999999999995</v>
      </c>
      <c r="D18" s="432">
        <v>67.489999999999995</v>
      </c>
      <c r="E18" s="432">
        <v>67.83</v>
      </c>
      <c r="F18" s="426"/>
      <c r="G18" s="426"/>
      <c r="H18" s="426"/>
      <c r="I18" s="426"/>
      <c r="J18" s="426"/>
      <c r="K18" s="433"/>
      <c r="L18" s="113">
        <v>13</v>
      </c>
      <c r="M18" s="432">
        <v>70.78</v>
      </c>
      <c r="N18" s="432">
        <v>71.37</v>
      </c>
      <c r="O18" s="432">
        <v>71.739999999999995</v>
      </c>
      <c r="P18" s="426"/>
      <c r="Q18" s="426"/>
      <c r="R18" s="426"/>
      <c r="S18" s="426"/>
      <c r="T18" s="426"/>
      <c r="U18" s="433"/>
      <c r="V18" s="113">
        <v>13</v>
      </c>
      <c r="W18" s="432">
        <v>74.75</v>
      </c>
      <c r="X18" s="432">
        <v>75.44</v>
      </c>
      <c r="Y18" s="432">
        <v>75.849999999999994</v>
      </c>
      <c r="Z18" s="426"/>
      <c r="AA18" s="426"/>
      <c r="AB18" s="426"/>
      <c r="AC18" s="426"/>
      <c r="AD18" s="426"/>
      <c r="AE18" s="433"/>
      <c r="AF18" s="113">
        <v>13</v>
      </c>
      <c r="AG18" s="432">
        <v>78.92</v>
      </c>
      <c r="AH18" s="432">
        <v>79.72</v>
      </c>
      <c r="AI18" s="432">
        <v>80.16</v>
      </c>
      <c r="AJ18" s="426"/>
      <c r="AK18" s="426"/>
      <c r="AL18" s="426"/>
      <c r="AM18" s="426"/>
      <c r="AN18" s="426"/>
      <c r="AO18" s="433"/>
      <c r="AP18" s="113">
        <v>13</v>
      </c>
      <c r="AQ18" s="432">
        <v>83.3</v>
      </c>
      <c r="AR18" s="432">
        <v>84.2</v>
      </c>
      <c r="AS18" s="432">
        <v>84.68</v>
      </c>
      <c r="AT18" s="426"/>
      <c r="AU18" s="426"/>
      <c r="AV18" s="426"/>
      <c r="AW18" s="426"/>
      <c r="AX18" s="426"/>
      <c r="AY18" s="433"/>
      <c r="AZ18" s="113">
        <v>13</v>
      </c>
      <c r="BA18" s="432">
        <v>87.88</v>
      </c>
      <c r="BB18" s="432">
        <v>88.91</v>
      </c>
      <c r="BC18" s="432">
        <v>89.43</v>
      </c>
      <c r="BD18" s="426"/>
      <c r="BE18" s="426"/>
      <c r="BF18" s="426"/>
      <c r="BG18" s="426"/>
      <c r="BH18" s="426"/>
    </row>
    <row r="19" spans="1:60" x14ac:dyDescent="0.2">
      <c r="A19" s="433"/>
      <c r="B19" s="113">
        <v>14</v>
      </c>
      <c r="C19" s="432">
        <v>67.2</v>
      </c>
      <c r="D19" s="432">
        <v>67.709999999999994</v>
      </c>
      <c r="E19" s="432">
        <v>68.05</v>
      </c>
      <c r="F19" s="426"/>
      <c r="G19" s="426"/>
      <c r="H19" s="426"/>
      <c r="I19" s="426"/>
      <c r="J19" s="426"/>
      <c r="K19" s="433"/>
      <c r="L19" s="113">
        <v>14</v>
      </c>
      <c r="M19" s="432">
        <v>71.010000000000005</v>
      </c>
      <c r="N19" s="432">
        <v>71.61</v>
      </c>
      <c r="O19" s="432">
        <v>71.989999999999995</v>
      </c>
      <c r="P19" s="426"/>
      <c r="Q19" s="426"/>
      <c r="R19" s="426"/>
      <c r="S19" s="426"/>
      <c r="T19" s="426"/>
      <c r="U19" s="433"/>
      <c r="V19" s="113">
        <v>14</v>
      </c>
      <c r="W19" s="432">
        <v>75.02</v>
      </c>
      <c r="X19" s="432">
        <v>75.709999999999994</v>
      </c>
      <c r="Y19" s="432">
        <v>76.12</v>
      </c>
      <c r="Z19" s="426"/>
      <c r="AA19" s="426"/>
      <c r="AB19" s="426"/>
      <c r="AC19" s="426"/>
      <c r="AD19" s="426"/>
      <c r="AE19" s="433"/>
      <c r="AF19" s="113">
        <v>14</v>
      </c>
      <c r="AG19" s="432">
        <v>79.22</v>
      </c>
      <c r="AH19" s="432">
        <v>80.02</v>
      </c>
      <c r="AI19" s="432">
        <v>80.459999999999994</v>
      </c>
      <c r="AJ19" s="426"/>
      <c r="AK19" s="426"/>
      <c r="AL19" s="426"/>
      <c r="AM19" s="426"/>
      <c r="AN19" s="426"/>
      <c r="AO19" s="433"/>
      <c r="AP19" s="113">
        <v>14</v>
      </c>
      <c r="AQ19" s="432">
        <v>83.62</v>
      </c>
      <c r="AR19" s="432">
        <v>84.54</v>
      </c>
      <c r="AS19" s="432">
        <v>85.02</v>
      </c>
      <c r="AT19" s="426"/>
      <c r="AU19" s="426"/>
      <c r="AV19" s="426"/>
      <c r="AW19" s="426"/>
      <c r="AX19" s="426"/>
      <c r="AY19" s="433"/>
      <c r="AZ19" s="113">
        <v>14</v>
      </c>
      <c r="BA19" s="432">
        <v>88.24</v>
      </c>
      <c r="BB19" s="432">
        <v>89.28</v>
      </c>
      <c r="BC19" s="432">
        <v>89.8</v>
      </c>
      <c r="BD19" s="426"/>
      <c r="BE19" s="426"/>
      <c r="BF19" s="426"/>
      <c r="BG19" s="426"/>
      <c r="BH19" s="426"/>
    </row>
    <row r="20" spans="1:60" x14ac:dyDescent="0.2">
      <c r="A20" s="433"/>
      <c r="B20" s="113">
        <v>15</v>
      </c>
      <c r="C20" s="432">
        <v>67.42</v>
      </c>
      <c r="D20" s="432">
        <v>67.930000000000007</v>
      </c>
      <c r="E20" s="432">
        <v>68.28</v>
      </c>
      <c r="F20" s="426"/>
      <c r="G20" s="426"/>
      <c r="H20" s="426"/>
      <c r="I20" s="426"/>
      <c r="J20" s="426"/>
      <c r="K20" s="433"/>
      <c r="L20" s="113">
        <v>15</v>
      </c>
      <c r="M20" s="432">
        <v>71.260000000000005</v>
      </c>
      <c r="N20" s="432">
        <v>71.86</v>
      </c>
      <c r="O20" s="432">
        <v>72.239999999999995</v>
      </c>
      <c r="P20" s="426"/>
      <c r="Q20" s="426"/>
      <c r="R20" s="426"/>
      <c r="S20" s="426"/>
      <c r="T20" s="426"/>
      <c r="U20" s="433"/>
      <c r="V20" s="113">
        <v>15</v>
      </c>
      <c r="W20" s="432">
        <v>75.290000000000006</v>
      </c>
      <c r="X20" s="432">
        <v>75.989999999999995</v>
      </c>
      <c r="Y20" s="432">
        <v>76.400000000000006</v>
      </c>
      <c r="Z20" s="426"/>
      <c r="AA20" s="426"/>
      <c r="AB20" s="426"/>
      <c r="AC20" s="426"/>
      <c r="AD20" s="426"/>
      <c r="AE20" s="433"/>
      <c r="AF20" s="113">
        <v>15</v>
      </c>
      <c r="AG20" s="432">
        <v>79.52</v>
      </c>
      <c r="AH20" s="432">
        <v>80.33</v>
      </c>
      <c r="AI20" s="432">
        <v>80.77</v>
      </c>
      <c r="AJ20" s="426"/>
      <c r="AK20" s="426"/>
      <c r="AL20" s="426"/>
      <c r="AM20" s="426"/>
      <c r="AN20" s="426"/>
      <c r="AO20" s="433"/>
      <c r="AP20" s="113">
        <v>15</v>
      </c>
      <c r="AQ20" s="432">
        <v>83.96</v>
      </c>
      <c r="AR20" s="432">
        <v>84.88</v>
      </c>
      <c r="AS20" s="432">
        <v>85.37</v>
      </c>
      <c r="AT20" s="426"/>
      <c r="AU20" s="426"/>
      <c r="AV20" s="426"/>
      <c r="AW20" s="426"/>
      <c r="AX20" s="426"/>
      <c r="AY20" s="433"/>
      <c r="AZ20" s="113">
        <v>15</v>
      </c>
      <c r="BA20" s="432">
        <v>88.62</v>
      </c>
      <c r="BB20" s="432">
        <v>89.66</v>
      </c>
      <c r="BC20" s="432">
        <v>90.18</v>
      </c>
      <c r="BD20" s="426"/>
      <c r="BE20" s="426"/>
      <c r="BF20" s="426"/>
      <c r="BG20" s="426"/>
      <c r="BH20" s="426"/>
    </row>
    <row r="21" spans="1:60" x14ac:dyDescent="0.2">
      <c r="A21" s="433"/>
      <c r="B21" s="113">
        <v>16</v>
      </c>
      <c r="C21" s="432">
        <v>67.650000000000006</v>
      </c>
      <c r="D21" s="432">
        <v>68.17</v>
      </c>
      <c r="E21" s="432">
        <v>68.510000000000005</v>
      </c>
      <c r="F21" s="426"/>
      <c r="G21" s="426"/>
      <c r="H21" s="426"/>
      <c r="I21" s="426"/>
      <c r="J21" s="426"/>
      <c r="K21" s="433"/>
      <c r="L21" s="113">
        <v>16</v>
      </c>
      <c r="M21" s="432">
        <v>71.52</v>
      </c>
      <c r="N21" s="432">
        <v>72.12</v>
      </c>
      <c r="O21" s="432">
        <v>72.5</v>
      </c>
      <c r="P21" s="426"/>
      <c r="Q21" s="426"/>
      <c r="R21" s="426"/>
      <c r="S21" s="426"/>
      <c r="T21" s="426"/>
      <c r="U21" s="433"/>
      <c r="V21" s="113">
        <v>16</v>
      </c>
      <c r="W21" s="432">
        <v>75.58</v>
      </c>
      <c r="X21" s="432">
        <v>76.28</v>
      </c>
      <c r="Y21" s="432">
        <v>76.69</v>
      </c>
      <c r="Z21" s="426"/>
      <c r="AA21" s="426"/>
      <c r="AB21" s="426"/>
      <c r="AC21" s="426"/>
      <c r="AD21" s="426"/>
      <c r="AE21" s="433"/>
      <c r="AF21" s="113">
        <v>16</v>
      </c>
      <c r="AG21" s="432">
        <v>79.84</v>
      </c>
      <c r="AH21" s="432">
        <v>80.650000000000006</v>
      </c>
      <c r="AI21" s="432">
        <v>81.099999999999994</v>
      </c>
      <c r="AJ21" s="426"/>
      <c r="AK21" s="426"/>
      <c r="AL21" s="426"/>
      <c r="AM21" s="426"/>
      <c r="AN21" s="426"/>
      <c r="AO21" s="433"/>
      <c r="AP21" s="113">
        <v>16</v>
      </c>
      <c r="AQ21" s="432">
        <v>84.31</v>
      </c>
      <c r="AR21" s="432">
        <v>85.24</v>
      </c>
      <c r="AS21" s="432">
        <v>85.73</v>
      </c>
      <c r="AT21" s="426"/>
      <c r="AU21" s="426"/>
      <c r="AV21" s="426"/>
      <c r="AW21" s="426"/>
      <c r="AX21" s="426"/>
      <c r="AY21" s="433"/>
      <c r="AZ21" s="113">
        <v>16</v>
      </c>
      <c r="BA21" s="432">
        <v>89.01</v>
      </c>
      <c r="BB21" s="432">
        <v>90.06</v>
      </c>
      <c r="BC21" s="432">
        <v>90.59</v>
      </c>
      <c r="BD21" s="426"/>
      <c r="BE21" s="426"/>
      <c r="BF21" s="426"/>
      <c r="BG21" s="426"/>
      <c r="BH21" s="426"/>
    </row>
    <row r="22" spans="1:60" x14ac:dyDescent="0.2">
      <c r="A22" s="433"/>
      <c r="B22" s="113">
        <v>17</v>
      </c>
      <c r="C22" s="432">
        <v>67.89</v>
      </c>
      <c r="D22" s="432">
        <v>68.41</v>
      </c>
      <c r="E22" s="432">
        <v>68.760000000000005</v>
      </c>
      <c r="F22" s="426"/>
      <c r="G22" s="426"/>
      <c r="H22" s="426"/>
      <c r="I22" s="426"/>
      <c r="J22" s="426"/>
      <c r="K22" s="433"/>
      <c r="L22" s="113">
        <v>17</v>
      </c>
      <c r="M22" s="432">
        <v>71.790000000000006</v>
      </c>
      <c r="N22" s="432">
        <v>72.39</v>
      </c>
      <c r="O22" s="432">
        <v>72.77</v>
      </c>
      <c r="P22" s="426"/>
      <c r="Q22" s="426"/>
      <c r="R22" s="426"/>
      <c r="S22" s="426"/>
      <c r="T22" s="426"/>
      <c r="U22" s="433"/>
      <c r="V22" s="113">
        <v>17</v>
      </c>
      <c r="W22" s="432">
        <v>75.87</v>
      </c>
      <c r="X22" s="432">
        <v>76.58</v>
      </c>
      <c r="Y22" s="432">
        <v>77</v>
      </c>
      <c r="Z22" s="426"/>
      <c r="AA22" s="426"/>
      <c r="AB22" s="426"/>
      <c r="AC22" s="426"/>
      <c r="AD22" s="426"/>
      <c r="AE22" s="433"/>
      <c r="AF22" s="113">
        <v>17</v>
      </c>
      <c r="AG22" s="432">
        <v>80.17</v>
      </c>
      <c r="AH22" s="432">
        <v>80.98</v>
      </c>
      <c r="AI22" s="432">
        <v>81.44</v>
      </c>
      <c r="AJ22" s="426"/>
      <c r="AK22" s="426"/>
      <c r="AL22" s="426"/>
      <c r="AM22" s="426"/>
      <c r="AN22" s="426"/>
      <c r="AO22" s="433"/>
      <c r="AP22" s="113">
        <v>17</v>
      </c>
      <c r="AQ22" s="432">
        <v>84.68</v>
      </c>
      <c r="AR22" s="432">
        <v>85.61</v>
      </c>
      <c r="AS22" s="432">
        <v>86.1</v>
      </c>
      <c r="AT22" s="426"/>
      <c r="AU22" s="426"/>
      <c r="AV22" s="426"/>
      <c r="AW22" s="426"/>
      <c r="AX22" s="426"/>
      <c r="AY22" s="433"/>
      <c r="AZ22" s="113">
        <v>17</v>
      </c>
      <c r="BA22" s="432">
        <v>89.41</v>
      </c>
      <c r="BB22" s="432">
        <v>90.47</v>
      </c>
      <c r="BC22" s="432">
        <v>91</v>
      </c>
      <c r="BD22" s="426"/>
      <c r="BE22" s="426"/>
      <c r="BF22" s="426"/>
      <c r="BG22" s="426"/>
      <c r="BH22" s="426"/>
    </row>
    <row r="23" spans="1:60" x14ac:dyDescent="0.2">
      <c r="A23" s="433"/>
      <c r="B23" s="113">
        <v>18</v>
      </c>
      <c r="C23" s="432">
        <v>68.14</v>
      </c>
      <c r="D23" s="432">
        <v>68.66</v>
      </c>
      <c r="E23" s="432">
        <v>69.010000000000005</v>
      </c>
      <c r="F23" s="426"/>
      <c r="G23" s="426"/>
      <c r="H23" s="426"/>
      <c r="I23" s="426"/>
      <c r="J23" s="426"/>
      <c r="K23" s="433"/>
      <c r="L23" s="113">
        <v>18</v>
      </c>
      <c r="M23" s="432">
        <v>72.06</v>
      </c>
      <c r="N23" s="432">
        <v>72.67</v>
      </c>
      <c r="O23" s="432">
        <v>73.06</v>
      </c>
      <c r="P23" s="426"/>
      <c r="Q23" s="426"/>
      <c r="R23" s="426"/>
      <c r="S23" s="426"/>
      <c r="T23" s="426"/>
      <c r="U23" s="433"/>
      <c r="V23" s="113">
        <v>18</v>
      </c>
      <c r="W23" s="432">
        <v>76.180000000000007</v>
      </c>
      <c r="X23" s="432">
        <v>76.89</v>
      </c>
      <c r="Y23" s="432">
        <v>77.31</v>
      </c>
      <c r="Z23" s="426"/>
      <c r="AA23" s="426"/>
      <c r="AB23" s="426"/>
      <c r="AC23" s="426"/>
      <c r="AD23" s="426"/>
      <c r="AE23" s="433"/>
      <c r="AF23" s="113">
        <v>18</v>
      </c>
      <c r="AG23" s="432">
        <v>80.510000000000005</v>
      </c>
      <c r="AH23" s="432">
        <v>81.33</v>
      </c>
      <c r="AI23" s="432">
        <v>81.790000000000006</v>
      </c>
      <c r="AJ23" s="426"/>
      <c r="AK23" s="426"/>
      <c r="AL23" s="426"/>
      <c r="AM23" s="426"/>
      <c r="AN23" s="426"/>
      <c r="AO23" s="433"/>
      <c r="AP23" s="113">
        <v>18</v>
      </c>
      <c r="AQ23" s="432">
        <v>85.06</v>
      </c>
      <c r="AR23" s="432">
        <v>86</v>
      </c>
      <c r="AS23" s="432">
        <v>86.49</v>
      </c>
      <c r="AT23" s="426"/>
      <c r="AU23" s="426"/>
      <c r="AV23" s="426"/>
      <c r="AW23" s="426"/>
      <c r="AX23" s="426"/>
      <c r="AY23" s="433"/>
      <c r="AZ23" s="113">
        <v>18</v>
      </c>
      <c r="BA23" s="432">
        <v>89.84</v>
      </c>
      <c r="BB23" s="432">
        <v>90.9</v>
      </c>
      <c r="BC23" s="432">
        <v>91.44</v>
      </c>
      <c r="BD23" s="426"/>
      <c r="BE23" s="426"/>
      <c r="BF23" s="426"/>
      <c r="BG23" s="426"/>
      <c r="BH23" s="426"/>
    </row>
    <row r="24" spans="1:60" x14ac:dyDescent="0.2">
      <c r="A24" s="433"/>
      <c r="B24" s="113">
        <v>19</v>
      </c>
      <c r="C24" s="432">
        <v>68.400000000000006</v>
      </c>
      <c r="D24" s="432">
        <v>68.92</v>
      </c>
      <c r="E24" s="432">
        <v>69.28</v>
      </c>
      <c r="F24" s="426"/>
      <c r="G24" s="426"/>
      <c r="H24" s="426"/>
      <c r="I24" s="426"/>
      <c r="J24" s="426"/>
      <c r="K24" s="433"/>
      <c r="L24" s="113">
        <v>19</v>
      </c>
      <c r="M24" s="432">
        <v>72.349999999999994</v>
      </c>
      <c r="N24" s="432">
        <v>72.959999999999994</v>
      </c>
      <c r="O24" s="432">
        <v>73.349999999999994</v>
      </c>
      <c r="P24" s="426"/>
      <c r="Q24" s="426"/>
      <c r="R24" s="426"/>
      <c r="S24" s="426"/>
      <c r="T24" s="426"/>
      <c r="U24" s="433"/>
      <c r="V24" s="113">
        <v>19</v>
      </c>
      <c r="W24" s="432">
        <v>76.5</v>
      </c>
      <c r="X24" s="432">
        <v>77.22</v>
      </c>
      <c r="Y24" s="432">
        <v>77.64</v>
      </c>
      <c r="Z24" s="426"/>
      <c r="AA24" s="426"/>
      <c r="AB24" s="426"/>
      <c r="AC24" s="426"/>
      <c r="AD24" s="426"/>
      <c r="AE24" s="433"/>
      <c r="AF24" s="113">
        <v>19</v>
      </c>
      <c r="AG24" s="432">
        <v>80.87</v>
      </c>
      <c r="AH24" s="432">
        <v>81.69</v>
      </c>
      <c r="AI24" s="432">
        <v>82.15</v>
      </c>
      <c r="AJ24" s="426"/>
      <c r="AK24" s="426"/>
      <c r="AL24" s="426"/>
      <c r="AM24" s="426"/>
      <c r="AN24" s="426"/>
      <c r="AO24" s="433"/>
      <c r="AP24" s="113">
        <v>19</v>
      </c>
      <c r="AQ24" s="432">
        <v>85.46</v>
      </c>
      <c r="AR24" s="432">
        <v>86.4</v>
      </c>
      <c r="AS24" s="432">
        <v>86.9</v>
      </c>
      <c r="AT24" s="426"/>
      <c r="AU24" s="426"/>
      <c r="AV24" s="426"/>
      <c r="AW24" s="426"/>
      <c r="AX24" s="426"/>
      <c r="AY24" s="433"/>
      <c r="AZ24" s="113">
        <v>19</v>
      </c>
      <c r="BA24" s="432">
        <v>90.28</v>
      </c>
      <c r="BB24" s="432">
        <v>91.35</v>
      </c>
      <c r="BC24" s="432">
        <v>91.89</v>
      </c>
      <c r="BD24" s="426"/>
      <c r="BE24" s="426"/>
      <c r="BF24" s="426"/>
      <c r="BG24" s="426"/>
      <c r="BH24" s="426"/>
    </row>
    <row r="25" spans="1:60" x14ac:dyDescent="0.2">
      <c r="A25" s="433"/>
      <c r="B25" s="113">
        <v>20</v>
      </c>
      <c r="C25" s="432">
        <v>68.67</v>
      </c>
      <c r="D25" s="432">
        <v>69.2</v>
      </c>
      <c r="E25" s="432">
        <v>69.55</v>
      </c>
      <c r="F25" s="426"/>
      <c r="G25" s="426"/>
      <c r="H25" s="426"/>
      <c r="I25" s="426"/>
      <c r="J25" s="426"/>
      <c r="K25" s="433"/>
      <c r="L25" s="113">
        <v>20</v>
      </c>
      <c r="M25" s="432">
        <v>72.650000000000006</v>
      </c>
      <c r="N25" s="432">
        <v>73.27</v>
      </c>
      <c r="O25" s="432">
        <v>73.66</v>
      </c>
      <c r="P25" s="426"/>
      <c r="Q25" s="426"/>
      <c r="R25" s="426"/>
      <c r="S25" s="426"/>
      <c r="T25" s="426"/>
      <c r="U25" s="433"/>
      <c r="V25" s="113">
        <v>20</v>
      </c>
      <c r="W25" s="432">
        <v>76.84</v>
      </c>
      <c r="X25" s="432">
        <v>77.56</v>
      </c>
      <c r="Y25" s="432">
        <v>77.98</v>
      </c>
      <c r="Z25" s="426"/>
      <c r="AA25" s="426"/>
      <c r="AB25" s="426"/>
      <c r="AC25" s="426"/>
      <c r="AD25" s="426"/>
      <c r="AE25" s="433"/>
      <c r="AF25" s="113">
        <v>20</v>
      </c>
      <c r="AG25" s="432">
        <v>81.239999999999995</v>
      </c>
      <c r="AH25" s="432">
        <v>82.07</v>
      </c>
      <c r="AI25" s="432">
        <v>82.53</v>
      </c>
      <c r="AJ25" s="426"/>
      <c r="AK25" s="426"/>
      <c r="AL25" s="426"/>
      <c r="AM25" s="426"/>
      <c r="AN25" s="426"/>
      <c r="AO25" s="433"/>
      <c r="AP25" s="113">
        <v>20</v>
      </c>
      <c r="AQ25" s="432">
        <v>85.87</v>
      </c>
      <c r="AR25" s="432">
        <v>86.83</v>
      </c>
      <c r="AS25" s="432">
        <v>87.33</v>
      </c>
      <c r="AT25" s="426"/>
      <c r="AU25" s="426"/>
      <c r="AV25" s="426"/>
      <c r="AW25" s="426"/>
      <c r="AX25" s="426"/>
      <c r="AY25" s="433"/>
      <c r="AZ25" s="113">
        <v>20</v>
      </c>
      <c r="BA25" s="432">
        <v>90.75</v>
      </c>
      <c r="BB25" s="432">
        <v>91.83</v>
      </c>
      <c r="BC25" s="432">
        <v>92.37</v>
      </c>
      <c r="BD25" s="426"/>
      <c r="BE25" s="426"/>
      <c r="BF25" s="426"/>
      <c r="BG25" s="426"/>
      <c r="BH25" s="426"/>
    </row>
    <row r="26" spans="1:60" x14ac:dyDescent="0.2">
      <c r="A26" s="433"/>
      <c r="B26" s="113">
        <v>21</v>
      </c>
      <c r="C26" s="432">
        <v>68.95</v>
      </c>
      <c r="D26" s="432">
        <v>69.48</v>
      </c>
      <c r="E26" s="432">
        <v>69.84</v>
      </c>
      <c r="F26" s="426"/>
      <c r="G26" s="426"/>
      <c r="H26" s="426"/>
      <c r="I26" s="426"/>
      <c r="J26" s="426"/>
      <c r="K26" s="433"/>
      <c r="L26" s="113">
        <v>21</v>
      </c>
      <c r="M26" s="432">
        <v>72.959999999999994</v>
      </c>
      <c r="N26" s="432">
        <v>73.59</v>
      </c>
      <c r="O26" s="432">
        <v>73.98</v>
      </c>
      <c r="P26" s="426"/>
      <c r="Q26" s="426"/>
      <c r="R26" s="426"/>
      <c r="S26" s="426"/>
      <c r="T26" s="426"/>
      <c r="U26" s="433"/>
      <c r="V26" s="113">
        <v>21</v>
      </c>
      <c r="W26" s="432">
        <v>77.180000000000007</v>
      </c>
      <c r="X26" s="432">
        <v>77.91</v>
      </c>
      <c r="Y26" s="432">
        <v>78.34</v>
      </c>
      <c r="Z26" s="426"/>
      <c r="AA26" s="426"/>
      <c r="AB26" s="426"/>
      <c r="AC26" s="426"/>
      <c r="AD26" s="426"/>
      <c r="AE26" s="433"/>
      <c r="AF26" s="113">
        <v>21</v>
      </c>
      <c r="AG26" s="432">
        <v>81.63</v>
      </c>
      <c r="AH26" s="432">
        <v>82.47</v>
      </c>
      <c r="AI26" s="432">
        <v>82.93</v>
      </c>
      <c r="AJ26" s="426"/>
      <c r="AK26" s="426"/>
      <c r="AL26" s="426"/>
      <c r="AM26" s="426"/>
      <c r="AN26" s="426"/>
      <c r="AO26" s="433"/>
      <c r="AP26" s="113">
        <v>21</v>
      </c>
      <c r="AQ26" s="432">
        <v>86.31</v>
      </c>
      <c r="AR26" s="432">
        <v>87.27</v>
      </c>
      <c r="AS26" s="432">
        <v>87.77</v>
      </c>
      <c r="AT26" s="426"/>
      <c r="AU26" s="426"/>
      <c r="AV26" s="426"/>
      <c r="AW26" s="426"/>
      <c r="AX26" s="426"/>
      <c r="AY26" s="433"/>
      <c r="AZ26" s="113">
        <v>21</v>
      </c>
      <c r="BA26" s="432">
        <v>91.23</v>
      </c>
      <c r="BB26" s="432">
        <v>92.32</v>
      </c>
      <c r="BC26" s="432">
        <v>92.87</v>
      </c>
      <c r="BD26" s="426"/>
      <c r="BE26" s="426"/>
      <c r="BF26" s="426"/>
      <c r="BG26" s="426"/>
      <c r="BH26" s="426"/>
    </row>
    <row r="27" spans="1:60" x14ac:dyDescent="0.2">
      <c r="A27" s="433"/>
      <c r="B27" s="113">
        <v>22</v>
      </c>
      <c r="C27" s="432">
        <v>69.239999999999995</v>
      </c>
      <c r="D27" s="432">
        <v>69.77</v>
      </c>
      <c r="E27" s="432">
        <v>70.13</v>
      </c>
      <c r="F27" s="426"/>
      <c r="G27" s="426"/>
      <c r="H27" s="426"/>
      <c r="I27" s="426"/>
      <c r="J27" s="426"/>
      <c r="K27" s="433"/>
      <c r="L27" s="113">
        <v>22</v>
      </c>
      <c r="M27" s="432">
        <v>73.290000000000006</v>
      </c>
      <c r="N27" s="432">
        <v>73.92</v>
      </c>
      <c r="O27" s="432">
        <v>74.31</v>
      </c>
      <c r="P27" s="426"/>
      <c r="Q27" s="426"/>
      <c r="R27" s="426"/>
      <c r="S27" s="426"/>
      <c r="T27" s="426"/>
      <c r="U27" s="433"/>
      <c r="V27" s="113">
        <v>22</v>
      </c>
      <c r="W27" s="432">
        <v>77.55</v>
      </c>
      <c r="X27" s="432">
        <v>78.28</v>
      </c>
      <c r="Y27" s="432">
        <v>78.709999999999994</v>
      </c>
      <c r="Z27" s="426"/>
      <c r="AA27" s="426"/>
      <c r="AB27" s="426"/>
      <c r="AC27" s="426"/>
      <c r="AD27" s="426"/>
      <c r="AE27" s="433"/>
      <c r="AF27" s="113">
        <v>22</v>
      </c>
      <c r="AG27" s="432">
        <v>82.04</v>
      </c>
      <c r="AH27" s="432">
        <v>82.89</v>
      </c>
      <c r="AI27" s="432">
        <v>83.35</v>
      </c>
      <c r="AJ27" s="426"/>
      <c r="AK27" s="426"/>
      <c r="AL27" s="426"/>
      <c r="AM27" s="426"/>
      <c r="AN27" s="426"/>
      <c r="AO27" s="433"/>
      <c r="AP27" s="113">
        <v>22</v>
      </c>
      <c r="AQ27" s="432">
        <v>86.77</v>
      </c>
      <c r="AR27" s="432">
        <v>87.73</v>
      </c>
      <c r="AS27" s="432">
        <v>88.24</v>
      </c>
      <c r="AT27" s="426"/>
      <c r="AU27" s="426"/>
      <c r="AV27" s="426"/>
      <c r="AW27" s="426"/>
      <c r="AX27" s="426"/>
      <c r="AY27" s="433"/>
      <c r="AZ27" s="113">
        <v>22</v>
      </c>
      <c r="BA27" s="432">
        <v>91.74</v>
      </c>
      <c r="BB27" s="432">
        <v>92.84</v>
      </c>
      <c r="BC27" s="432">
        <v>93.4</v>
      </c>
      <c r="BD27" s="426"/>
      <c r="BE27" s="426"/>
      <c r="BF27" s="426"/>
      <c r="BG27" s="426"/>
      <c r="BH27" s="426"/>
    </row>
    <row r="28" spans="1:60" x14ac:dyDescent="0.2">
      <c r="A28" s="433"/>
      <c r="B28" s="113">
        <v>23</v>
      </c>
      <c r="C28" s="432">
        <v>69.540000000000006</v>
      </c>
      <c r="D28" s="432">
        <v>70.08</v>
      </c>
      <c r="E28" s="432">
        <v>70.45</v>
      </c>
      <c r="F28" s="426"/>
      <c r="G28" s="426"/>
      <c r="H28" s="426"/>
      <c r="I28" s="426"/>
      <c r="J28" s="426"/>
      <c r="K28" s="433"/>
      <c r="L28" s="113">
        <v>23</v>
      </c>
      <c r="M28" s="432">
        <v>73.63</v>
      </c>
      <c r="N28" s="432">
        <v>74.260000000000005</v>
      </c>
      <c r="O28" s="432">
        <v>74.66</v>
      </c>
      <c r="P28" s="426"/>
      <c r="Q28" s="426"/>
      <c r="R28" s="426"/>
      <c r="S28" s="426"/>
      <c r="T28" s="426"/>
      <c r="U28" s="433"/>
      <c r="V28" s="113">
        <v>23</v>
      </c>
      <c r="W28" s="432">
        <v>77.930000000000007</v>
      </c>
      <c r="X28" s="432">
        <v>78.67</v>
      </c>
      <c r="Y28" s="432">
        <v>79.099999999999994</v>
      </c>
      <c r="Z28" s="426"/>
      <c r="AA28" s="426"/>
      <c r="AB28" s="426"/>
      <c r="AC28" s="426"/>
      <c r="AD28" s="426"/>
      <c r="AE28" s="433"/>
      <c r="AF28" s="113">
        <v>23</v>
      </c>
      <c r="AG28" s="432">
        <v>82.47</v>
      </c>
      <c r="AH28" s="432">
        <v>83.32</v>
      </c>
      <c r="AI28" s="432">
        <v>83.79</v>
      </c>
      <c r="AJ28" s="426"/>
      <c r="AK28" s="426"/>
      <c r="AL28" s="426"/>
      <c r="AM28" s="426"/>
      <c r="AN28" s="426"/>
      <c r="AO28" s="433"/>
      <c r="AP28" s="113">
        <v>23</v>
      </c>
      <c r="AQ28" s="432">
        <v>87.25</v>
      </c>
      <c r="AR28" s="432">
        <v>88.22</v>
      </c>
      <c r="AS28" s="432">
        <v>88.73</v>
      </c>
      <c r="AT28" s="426"/>
      <c r="AU28" s="426"/>
      <c r="AV28" s="426"/>
      <c r="AW28" s="426"/>
      <c r="AX28" s="426"/>
      <c r="AY28" s="433"/>
      <c r="AZ28" s="113">
        <v>23</v>
      </c>
      <c r="BA28" s="432">
        <v>92.28</v>
      </c>
      <c r="BB28" s="432">
        <v>93.39</v>
      </c>
      <c r="BC28" s="432">
        <v>93.95</v>
      </c>
      <c r="BD28" s="426"/>
      <c r="BE28" s="426"/>
      <c r="BF28" s="426"/>
      <c r="BG28" s="426"/>
      <c r="BH28" s="426"/>
    </row>
    <row r="29" spans="1:60" x14ac:dyDescent="0.2">
      <c r="A29" s="433"/>
      <c r="B29" s="113">
        <v>24</v>
      </c>
      <c r="C29" s="432">
        <v>69.86</v>
      </c>
      <c r="D29" s="432">
        <v>70.41</v>
      </c>
      <c r="E29" s="432">
        <v>70.77</v>
      </c>
      <c r="F29" s="426"/>
      <c r="G29" s="426"/>
      <c r="H29" s="426"/>
      <c r="I29" s="426"/>
      <c r="J29" s="426"/>
      <c r="K29" s="433"/>
      <c r="L29" s="113">
        <v>24</v>
      </c>
      <c r="M29" s="432">
        <v>73.989999999999995</v>
      </c>
      <c r="N29" s="432">
        <v>74.63</v>
      </c>
      <c r="O29" s="432">
        <v>75.03</v>
      </c>
      <c r="P29" s="426"/>
      <c r="Q29" s="426"/>
      <c r="R29" s="426"/>
      <c r="S29" s="426"/>
      <c r="T29" s="426"/>
      <c r="U29" s="433"/>
      <c r="V29" s="113">
        <v>24</v>
      </c>
      <c r="W29" s="432">
        <v>78.33</v>
      </c>
      <c r="X29" s="432">
        <v>79.08</v>
      </c>
      <c r="Y29" s="432">
        <v>79.510000000000005</v>
      </c>
      <c r="Z29" s="426"/>
      <c r="AA29" s="426"/>
      <c r="AB29" s="426"/>
      <c r="AC29" s="426"/>
      <c r="AD29" s="426"/>
      <c r="AE29" s="433"/>
      <c r="AF29" s="113">
        <v>24</v>
      </c>
      <c r="AG29" s="432">
        <v>82.92</v>
      </c>
      <c r="AH29" s="432">
        <v>83.78</v>
      </c>
      <c r="AI29" s="432">
        <v>84.25</v>
      </c>
      <c r="AJ29" s="426"/>
      <c r="AK29" s="426"/>
      <c r="AL29" s="426"/>
      <c r="AM29" s="426"/>
      <c r="AN29" s="426"/>
      <c r="AO29" s="433"/>
      <c r="AP29" s="113">
        <v>24</v>
      </c>
      <c r="AQ29" s="432">
        <v>87.75</v>
      </c>
      <c r="AR29" s="432">
        <v>88.74</v>
      </c>
      <c r="AS29" s="432">
        <v>89.25</v>
      </c>
      <c r="AT29" s="426"/>
      <c r="AU29" s="426"/>
      <c r="AV29" s="426"/>
      <c r="AW29" s="426"/>
      <c r="AX29" s="426"/>
      <c r="AY29" s="433"/>
      <c r="AZ29" s="113">
        <v>24</v>
      </c>
      <c r="BA29" s="432">
        <v>92.85</v>
      </c>
      <c r="BB29" s="432">
        <v>93.97</v>
      </c>
      <c r="BC29" s="432">
        <v>94.53</v>
      </c>
      <c r="BD29" s="426"/>
      <c r="BE29" s="426"/>
      <c r="BF29" s="426"/>
      <c r="BG29" s="426"/>
      <c r="BH29" s="426"/>
    </row>
    <row r="30" spans="1:60" x14ac:dyDescent="0.2">
      <c r="A30" s="433"/>
      <c r="B30" s="113">
        <v>25</v>
      </c>
      <c r="C30" s="432">
        <v>70.2</v>
      </c>
      <c r="D30" s="432">
        <v>70.75</v>
      </c>
      <c r="E30" s="432">
        <v>71.11</v>
      </c>
      <c r="F30" s="426"/>
      <c r="G30" s="426"/>
      <c r="H30" s="426"/>
      <c r="I30" s="426"/>
      <c r="J30" s="426"/>
      <c r="K30" s="433"/>
      <c r="L30" s="113">
        <v>25</v>
      </c>
      <c r="M30" s="432">
        <v>74.36</v>
      </c>
      <c r="N30" s="432">
        <v>75.010000000000005</v>
      </c>
      <c r="O30" s="432">
        <v>75.41</v>
      </c>
      <c r="P30" s="426"/>
      <c r="Q30" s="426"/>
      <c r="R30" s="426"/>
      <c r="S30" s="426"/>
      <c r="T30" s="426"/>
      <c r="U30" s="433"/>
      <c r="V30" s="113">
        <v>25</v>
      </c>
      <c r="W30" s="432">
        <v>78.760000000000005</v>
      </c>
      <c r="X30" s="432">
        <v>79.510000000000005</v>
      </c>
      <c r="Y30" s="432">
        <v>79.95</v>
      </c>
      <c r="Z30" s="426"/>
      <c r="AA30" s="426"/>
      <c r="AB30" s="426"/>
      <c r="AC30" s="426"/>
      <c r="AD30" s="426"/>
      <c r="AE30" s="433"/>
      <c r="AF30" s="113">
        <v>25</v>
      </c>
      <c r="AG30" s="432">
        <v>83.39</v>
      </c>
      <c r="AH30" s="432">
        <v>84.26</v>
      </c>
      <c r="AI30" s="432">
        <v>84.74</v>
      </c>
      <c r="AJ30" s="426"/>
      <c r="AK30" s="426"/>
      <c r="AL30" s="426"/>
      <c r="AM30" s="426"/>
      <c r="AN30" s="426"/>
      <c r="AO30" s="433"/>
      <c r="AP30" s="113">
        <v>25</v>
      </c>
      <c r="AQ30" s="432">
        <v>88.28</v>
      </c>
      <c r="AR30" s="432">
        <v>89.28</v>
      </c>
      <c r="AS30" s="432">
        <v>89.8</v>
      </c>
      <c r="AT30" s="426"/>
      <c r="AU30" s="426"/>
      <c r="AV30" s="426"/>
      <c r="AW30" s="426"/>
      <c r="AX30" s="426"/>
      <c r="AY30" s="433"/>
      <c r="AZ30" s="113">
        <v>25</v>
      </c>
      <c r="BA30" s="432">
        <v>93.44</v>
      </c>
      <c r="BB30" s="432">
        <v>94.57</v>
      </c>
      <c r="BC30" s="432">
        <v>95.13</v>
      </c>
      <c r="BD30" s="426"/>
      <c r="BE30" s="426"/>
      <c r="BF30" s="426"/>
      <c r="BG30" s="426"/>
      <c r="BH30" s="426"/>
    </row>
    <row r="31" spans="1:60" x14ac:dyDescent="0.2">
      <c r="A31" s="433"/>
      <c r="B31" s="113">
        <v>26</v>
      </c>
      <c r="C31" s="432">
        <v>70.55</v>
      </c>
      <c r="D31" s="432">
        <v>71.099999999999994</v>
      </c>
      <c r="E31" s="432">
        <v>71.47</v>
      </c>
      <c r="F31" s="426"/>
      <c r="G31" s="426"/>
      <c r="H31" s="426"/>
      <c r="I31" s="426"/>
      <c r="J31" s="426"/>
      <c r="K31" s="433"/>
      <c r="L31" s="113">
        <v>26</v>
      </c>
      <c r="M31" s="432">
        <v>74.760000000000005</v>
      </c>
      <c r="N31" s="432">
        <v>75.41</v>
      </c>
      <c r="O31" s="432">
        <v>75.81</v>
      </c>
      <c r="P31" s="426"/>
      <c r="Q31" s="426"/>
      <c r="R31" s="426"/>
      <c r="S31" s="426"/>
      <c r="T31" s="426"/>
      <c r="U31" s="433"/>
      <c r="V31" s="113">
        <v>26</v>
      </c>
      <c r="W31" s="432">
        <v>79.2</v>
      </c>
      <c r="X31" s="432">
        <v>79.959999999999994</v>
      </c>
      <c r="Y31" s="432">
        <v>80.400000000000006</v>
      </c>
      <c r="Z31" s="426"/>
      <c r="AA31" s="426"/>
      <c r="AB31" s="426"/>
      <c r="AC31" s="426"/>
      <c r="AD31" s="426"/>
      <c r="AE31" s="433"/>
      <c r="AF31" s="113">
        <v>26</v>
      </c>
      <c r="AG31" s="432">
        <v>83.89</v>
      </c>
      <c r="AH31" s="432">
        <v>84.77</v>
      </c>
      <c r="AI31" s="432">
        <v>85.25</v>
      </c>
      <c r="AJ31" s="426"/>
      <c r="AK31" s="426"/>
      <c r="AL31" s="426"/>
      <c r="AM31" s="426"/>
      <c r="AN31" s="426"/>
      <c r="AO31" s="433"/>
      <c r="AP31" s="113">
        <v>26</v>
      </c>
      <c r="AQ31" s="432">
        <v>88.84</v>
      </c>
      <c r="AR31" s="432">
        <v>89.84</v>
      </c>
      <c r="AS31" s="432">
        <v>90.37</v>
      </c>
      <c r="AT31" s="426"/>
      <c r="AU31" s="426"/>
      <c r="AV31" s="426"/>
      <c r="AW31" s="426"/>
      <c r="AX31" s="426"/>
      <c r="AY31" s="433"/>
      <c r="AZ31" s="113">
        <v>26</v>
      </c>
      <c r="BA31" s="432">
        <v>94.06</v>
      </c>
      <c r="BB31" s="432">
        <v>95.2</v>
      </c>
      <c r="BC31" s="432">
        <v>95.77</v>
      </c>
      <c r="BD31" s="426"/>
      <c r="BE31" s="426"/>
      <c r="BF31" s="426"/>
      <c r="BG31" s="426"/>
      <c r="BH31" s="426"/>
    </row>
    <row r="32" spans="1:60" x14ac:dyDescent="0.2">
      <c r="A32" s="433"/>
      <c r="B32" s="113">
        <v>27</v>
      </c>
      <c r="C32" s="432">
        <v>70.92</v>
      </c>
      <c r="D32" s="432">
        <v>71.48</v>
      </c>
      <c r="E32" s="432">
        <v>71.849999999999994</v>
      </c>
      <c r="F32" s="426"/>
      <c r="G32" s="426"/>
      <c r="H32" s="426"/>
      <c r="I32" s="426"/>
      <c r="J32" s="426"/>
      <c r="K32" s="433"/>
      <c r="L32" s="113">
        <v>27</v>
      </c>
      <c r="M32" s="432">
        <v>75.17</v>
      </c>
      <c r="N32" s="432">
        <v>75.83</v>
      </c>
      <c r="O32" s="432">
        <v>76.239999999999995</v>
      </c>
      <c r="P32" s="426"/>
      <c r="Q32" s="426"/>
      <c r="R32" s="426"/>
      <c r="S32" s="426"/>
      <c r="T32" s="426"/>
      <c r="U32" s="433"/>
      <c r="V32" s="113">
        <v>27</v>
      </c>
      <c r="W32" s="432">
        <v>79.66</v>
      </c>
      <c r="X32" s="432">
        <v>80.430000000000007</v>
      </c>
      <c r="Y32" s="432">
        <v>80.88</v>
      </c>
      <c r="Z32" s="426"/>
      <c r="AA32" s="426"/>
      <c r="AB32" s="426"/>
      <c r="AC32" s="426"/>
      <c r="AD32" s="426"/>
      <c r="AE32" s="433"/>
      <c r="AF32" s="113">
        <v>27</v>
      </c>
      <c r="AG32" s="432">
        <v>84.41</v>
      </c>
      <c r="AH32" s="432">
        <v>85.3</v>
      </c>
      <c r="AI32" s="432">
        <v>85.78</v>
      </c>
      <c r="AJ32" s="426"/>
      <c r="AK32" s="426"/>
      <c r="AL32" s="426"/>
      <c r="AM32" s="426"/>
      <c r="AN32" s="426"/>
      <c r="AO32" s="433"/>
      <c r="AP32" s="113">
        <v>27</v>
      </c>
      <c r="AQ32" s="432">
        <v>89.42</v>
      </c>
      <c r="AR32" s="432">
        <v>90.43</v>
      </c>
      <c r="AS32" s="432">
        <v>90.96</v>
      </c>
      <c r="AT32" s="426"/>
      <c r="AU32" s="426"/>
      <c r="AV32" s="426"/>
      <c r="AW32" s="426"/>
      <c r="AX32" s="426"/>
      <c r="AY32" s="433"/>
      <c r="AZ32" s="113">
        <v>27</v>
      </c>
      <c r="BA32" s="432">
        <v>94.7</v>
      </c>
      <c r="BB32" s="432">
        <v>95.86</v>
      </c>
      <c r="BC32" s="432">
        <v>96.44</v>
      </c>
      <c r="BD32" s="426"/>
      <c r="BE32" s="426"/>
      <c r="BF32" s="426"/>
      <c r="BG32" s="426"/>
      <c r="BH32" s="426"/>
    </row>
    <row r="33" spans="1:60" x14ac:dyDescent="0.2">
      <c r="A33" s="433"/>
      <c r="B33" s="113">
        <v>28</v>
      </c>
      <c r="C33" s="432">
        <v>71.31</v>
      </c>
      <c r="D33" s="432">
        <v>71.87</v>
      </c>
      <c r="E33" s="432">
        <v>72.25</v>
      </c>
      <c r="F33" s="426"/>
      <c r="G33" s="426"/>
      <c r="H33" s="426"/>
      <c r="I33" s="426"/>
      <c r="J33" s="426"/>
      <c r="K33" s="433"/>
      <c r="L33" s="113">
        <v>28</v>
      </c>
      <c r="M33" s="432">
        <v>75.61</v>
      </c>
      <c r="N33" s="432">
        <v>76.27</v>
      </c>
      <c r="O33" s="432">
        <v>76.680000000000007</v>
      </c>
      <c r="P33" s="426"/>
      <c r="Q33" s="426"/>
      <c r="R33" s="426"/>
      <c r="S33" s="426"/>
      <c r="T33" s="426"/>
      <c r="U33" s="433"/>
      <c r="V33" s="113">
        <v>28</v>
      </c>
      <c r="W33" s="432">
        <v>80.150000000000006</v>
      </c>
      <c r="X33" s="432">
        <v>80.930000000000007</v>
      </c>
      <c r="Y33" s="432">
        <v>81.38</v>
      </c>
      <c r="Z33" s="426"/>
      <c r="AA33" s="426"/>
      <c r="AB33" s="426"/>
      <c r="AC33" s="426"/>
      <c r="AD33" s="426"/>
      <c r="AE33" s="433"/>
      <c r="AF33" s="113">
        <v>28</v>
      </c>
      <c r="AG33" s="432">
        <v>84.96</v>
      </c>
      <c r="AH33" s="432">
        <v>85.85</v>
      </c>
      <c r="AI33" s="432">
        <v>86.34</v>
      </c>
      <c r="AJ33" s="426"/>
      <c r="AK33" s="426"/>
      <c r="AL33" s="426"/>
      <c r="AM33" s="426"/>
      <c r="AN33" s="426"/>
      <c r="AO33" s="433"/>
      <c r="AP33" s="113">
        <v>28</v>
      </c>
      <c r="AQ33" s="432">
        <v>90.03</v>
      </c>
      <c r="AR33" s="432">
        <v>91.05</v>
      </c>
      <c r="AS33" s="432">
        <v>91.59</v>
      </c>
      <c r="AT33" s="426"/>
      <c r="AU33" s="426"/>
      <c r="AV33" s="426"/>
      <c r="AW33" s="426"/>
      <c r="AX33" s="426"/>
      <c r="AY33" s="433"/>
      <c r="AZ33" s="113">
        <v>28</v>
      </c>
      <c r="BA33" s="432">
        <v>95.38</v>
      </c>
      <c r="BB33" s="432">
        <v>96.55</v>
      </c>
      <c r="BC33" s="432">
        <v>97.13</v>
      </c>
      <c r="BD33" s="426"/>
      <c r="BE33" s="426"/>
      <c r="BF33" s="426"/>
      <c r="BG33" s="426"/>
      <c r="BH33" s="426"/>
    </row>
    <row r="34" spans="1:60" x14ac:dyDescent="0.2">
      <c r="A34" s="433"/>
      <c r="B34" s="113">
        <v>29</v>
      </c>
      <c r="C34" s="432">
        <v>71.709999999999994</v>
      </c>
      <c r="D34" s="432">
        <v>72.290000000000006</v>
      </c>
      <c r="E34" s="432">
        <v>72.66</v>
      </c>
      <c r="F34" s="426"/>
      <c r="G34" s="426"/>
      <c r="H34" s="426"/>
      <c r="I34" s="426"/>
      <c r="J34" s="426"/>
      <c r="K34" s="433"/>
      <c r="L34" s="113">
        <v>29</v>
      </c>
      <c r="M34" s="432">
        <v>76.069999999999993</v>
      </c>
      <c r="N34" s="432">
        <v>76.739999999999995</v>
      </c>
      <c r="O34" s="432">
        <v>77.150000000000006</v>
      </c>
      <c r="P34" s="426"/>
      <c r="Q34" s="426"/>
      <c r="R34" s="426"/>
      <c r="S34" s="426"/>
      <c r="T34" s="426"/>
      <c r="U34" s="433"/>
      <c r="V34" s="113">
        <v>29</v>
      </c>
      <c r="W34" s="432">
        <v>80.66</v>
      </c>
      <c r="X34" s="432">
        <v>81.45</v>
      </c>
      <c r="Y34" s="432">
        <v>81.900000000000006</v>
      </c>
      <c r="Z34" s="426"/>
      <c r="AA34" s="426"/>
      <c r="AB34" s="426"/>
      <c r="AC34" s="426"/>
      <c r="AD34" s="426"/>
      <c r="AE34" s="433"/>
      <c r="AF34" s="113">
        <v>29</v>
      </c>
      <c r="AG34" s="432">
        <v>85.53</v>
      </c>
      <c r="AH34" s="432">
        <v>86.43</v>
      </c>
      <c r="AI34" s="432">
        <v>86.93</v>
      </c>
      <c r="AJ34" s="426"/>
      <c r="AK34" s="426"/>
      <c r="AL34" s="426"/>
      <c r="AM34" s="426"/>
      <c r="AN34" s="426"/>
      <c r="AO34" s="433"/>
      <c r="AP34" s="113">
        <v>29</v>
      </c>
      <c r="AQ34" s="432">
        <v>90.66</v>
      </c>
      <c r="AR34" s="432">
        <v>91.7</v>
      </c>
      <c r="AS34" s="432">
        <v>92.24</v>
      </c>
      <c r="AT34" s="426"/>
      <c r="AU34" s="426"/>
      <c r="AV34" s="426"/>
      <c r="AW34" s="426"/>
      <c r="AX34" s="426"/>
      <c r="AY34" s="433"/>
      <c r="AZ34" s="113">
        <v>29</v>
      </c>
      <c r="BA34" s="432">
        <v>96.09</v>
      </c>
      <c r="BB34" s="432">
        <v>97.27</v>
      </c>
      <c r="BC34" s="432">
        <v>97.86</v>
      </c>
      <c r="BD34" s="426"/>
      <c r="BE34" s="426"/>
      <c r="BF34" s="426"/>
      <c r="BG34" s="426"/>
      <c r="BH34" s="426"/>
    </row>
    <row r="35" spans="1:60" x14ac:dyDescent="0.2">
      <c r="A35" s="433"/>
      <c r="B35" s="113">
        <v>30</v>
      </c>
      <c r="C35" s="432">
        <v>72.14</v>
      </c>
      <c r="D35" s="432">
        <v>72.72</v>
      </c>
      <c r="E35" s="432">
        <v>73.099999999999994</v>
      </c>
      <c r="F35" s="426"/>
      <c r="G35" s="426"/>
      <c r="H35" s="426"/>
      <c r="I35" s="426"/>
      <c r="J35" s="426"/>
      <c r="K35" s="433"/>
      <c r="L35" s="113">
        <v>30</v>
      </c>
      <c r="M35" s="432">
        <v>76.540000000000006</v>
      </c>
      <c r="N35" s="432">
        <v>77.22</v>
      </c>
      <c r="O35" s="432">
        <v>77.64</v>
      </c>
      <c r="P35" s="426"/>
      <c r="Q35" s="426"/>
      <c r="R35" s="426"/>
      <c r="S35" s="426"/>
      <c r="T35" s="426"/>
      <c r="U35" s="433"/>
      <c r="V35" s="113">
        <v>30</v>
      </c>
      <c r="W35" s="432">
        <v>81.2</v>
      </c>
      <c r="X35" s="432">
        <v>81.99</v>
      </c>
      <c r="Y35" s="432">
        <v>82.45</v>
      </c>
      <c r="Z35" s="426"/>
      <c r="AA35" s="426"/>
      <c r="AB35" s="426"/>
      <c r="AC35" s="426"/>
      <c r="AD35" s="426"/>
      <c r="AE35" s="433"/>
      <c r="AF35" s="113">
        <v>30</v>
      </c>
      <c r="AG35" s="432">
        <v>86.12</v>
      </c>
      <c r="AH35" s="432">
        <v>87.04</v>
      </c>
      <c r="AI35" s="432">
        <v>87.54</v>
      </c>
      <c r="AJ35" s="426"/>
      <c r="AK35" s="426"/>
      <c r="AL35" s="426"/>
      <c r="AM35" s="426"/>
      <c r="AN35" s="426"/>
      <c r="AO35" s="433"/>
      <c r="AP35" s="113">
        <v>30</v>
      </c>
      <c r="AQ35" s="432">
        <v>91.33</v>
      </c>
      <c r="AR35" s="432">
        <v>92.38</v>
      </c>
      <c r="AS35" s="432">
        <v>92.92</v>
      </c>
      <c r="AT35" s="426"/>
      <c r="AU35" s="426"/>
      <c r="AV35" s="426"/>
      <c r="AW35" s="426"/>
      <c r="AX35" s="426"/>
      <c r="AY35" s="433"/>
      <c r="AZ35" s="113">
        <v>30</v>
      </c>
      <c r="BA35" s="432">
        <v>96.83</v>
      </c>
      <c r="BB35" s="432">
        <v>98.03</v>
      </c>
      <c r="BC35" s="432">
        <v>98.62</v>
      </c>
      <c r="BD35" s="426"/>
      <c r="BE35" s="426"/>
      <c r="BF35" s="426"/>
      <c r="BG35" s="426"/>
      <c r="BH35" s="426"/>
    </row>
    <row r="36" spans="1:60" x14ac:dyDescent="0.2">
      <c r="A36" s="433"/>
      <c r="B36" s="113">
        <v>31</v>
      </c>
      <c r="C36" s="432">
        <v>72.59</v>
      </c>
      <c r="D36" s="432">
        <v>73.180000000000007</v>
      </c>
      <c r="E36" s="432">
        <v>73.56</v>
      </c>
      <c r="F36" s="426"/>
      <c r="G36" s="426"/>
      <c r="H36" s="426"/>
      <c r="I36" s="426"/>
      <c r="J36" s="426"/>
      <c r="K36" s="433"/>
      <c r="L36" s="113">
        <v>31</v>
      </c>
      <c r="M36" s="432">
        <v>77.05</v>
      </c>
      <c r="N36" s="432">
        <v>77.739999999999995</v>
      </c>
      <c r="O36" s="432">
        <v>78.16</v>
      </c>
      <c r="P36" s="426"/>
      <c r="Q36" s="426"/>
      <c r="R36" s="426"/>
      <c r="S36" s="426"/>
      <c r="T36" s="426"/>
      <c r="U36" s="433"/>
      <c r="V36" s="113">
        <v>31</v>
      </c>
      <c r="W36" s="432">
        <v>81.760000000000005</v>
      </c>
      <c r="X36" s="432">
        <v>82.56</v>
      </c>
      <c r="Y36" s="432">
        <v>83.02</v>
      </c>
      <c r="Z36" s="426"/>
      <c r="AA36" s="426"/>
      <c r="AB36" s="426"/>
      <c r="AC36" s="426"/>
      <c r="AD36" s="426"/>
      <c r="AE36" s="433"/>
      <c r="AF36" s="113">
        <v>31</v>
      </c>
      <c r="AG36" s="432">
        <v>86.75</v>
      </c>
      <c r="AH36" s="432">
        <v>87.68</v>
      </c>
      <c r="AI36" s="432">
        <v>88.18</v>
      </c>
      <c r="AJ36" s="426"/>
      <c r="AK36" s="426"/>
      <c r="AL36" s="426"/>
      <c r="AM36" s="426"/>
      <c r="AN36" s="426"/>
      <c r="AO36" s="433"/>
      <c r="AP36" s="113">
        <v>31</v>
      </c>
      <c r="AQ36" s="432">
        <v>92.02</v>
      </c>
      <c r="AR36" s="432">
        <v>93.09</v>
      </c>
      <c r="AS36" s="432">
        <v>93.64</v>
      </c>
      <c r="AT36" s="426"/>
      <c r="AU36" s="426"/>
      <c r="AV36" s="426"/>
      <c r="AW36" s="426"/>
      <c r="AX36" s="426"/>
      <c r="AY36" s="433"/>
      <c r="AZ36" s="113">
        <v>31</v>
      </c>
      <c r="BA36" s="432">
        <v>97.6</v>
      </c>
      <c r="BB36" s="432">
        <v>98.82</v>
      </c>
      <c r="BC36" s="432">
        <v>99.41</v>
      </c>
      <c r="BD36" s="426"/>
      <c r="BE36" s="426"/>
      <c r="BF36" s="426"/>
      <c r="BG36" s="426"/>
      <c r="BH36" s="426"/>
    </row>
    <row r="37" spans="1:60" x14ac:dyDescent="0.2">
      <c r="A37" s="433"/>
      <c r="B37" s="113">
        <v>32</v>
      </c>
      <c r="C37" s="432">
        <v>73.06</v>
      </c>
      <c r="D37" s="432">
        <v>73.650000000000006</v>
      </c>
      <c r="E37" s="432">
        <v>74.040000000000006</v>
      </c>
      <c r="F37" s="426"/>
      <c r="G37" s="426"/>
      <c r="H37" s="426"/>
      <c r="I37" s="426"/>
      <c r="J37" s="426"/>
      <c r="K37" s="433"/>
      <c r="L37" s="113">
        <v>32</v>
      </c>
      <c r="M37" s="432">
        <v>77.569999999999993</v>
      </c>
      <c r="N37" s="432">
        <v>78.27</v>
      </c>
      <c r="O37" s="432">
        <v>78.69</v>
      </c>
      <c r="P37" s="426"/>
      <c r="Q37" s="426"/>
      <c r="R37" s="426"/>
      <c r="S37" s="426"/>
      <c r="T37" s="426"/>
      <c r="U37" s="433"/>
      <c r="V37" s="113">
        <v>32</v>
      </c>
      <c r="W37" s="432">
        <v>82.35</v>
      </c>
      <c r="X37" s="432">
        <v>83.16</v>
      </c>
      <c r="Y37" s="432">
        <v>83.62</v>
      </c>
      <c r="Z37" s="426"/>
      <c r="AA37" s="426"/>
      <c r="AB37" s="426"/>
      <c r="AC37" s="426"/>
      <c r="AD37" s="426"/>
      <c r="AE37" s="433"/>
      <c r="AF37" s="113">
        <v>32</v>
      </c>
      <c r="AG37" s="432">
        <v>87.4</v>
      </c>
      <c r="AH37" s="432">
        <v>88.34</v>
      </c>
      <c r="AI37" s="432">
        <v>88.85</v>
      </c>
      <c r="AJ37" s="426"/>
      <c r="AK37" s="426"/>
      <c r="AL37" s="426"/>
      <c r="AM37" s="426"/>
      <c r="AN37" s="426"/>
      <c r="AO37" s="433"/>
      <c r="AP37" s="113">
        <v>32</v>
      </c>
      <c r="AQ37" s="432">
        <v>92.75</v>
      </c>
      <c r="AR37" s="432">
        <v>93.83</v>
      </c>
      <c r="AS37" s="432">
        <v>94.38</v>
      </c>
      <c r="AT37" s="426"/>
      <c r="AU37" s="426"/>
      <c r="AV37" s="426"/>
      <c r="AW37" s="426"/>
      <c r="AX37" s="426"/>
      <c r="AY37" s="433"/>
      <c r="AZ37" s="113">
        <v>32</v>
      </c>
      <c r="BA37" s="432">
        <v>98.41</v>
      </c>
      <c r="BB37" s="432">
        <v>99.64</v>
      </c>
      <c r="BC37" s="432">
        <v>100.24</v>
      </c>
      <c r="BD37" s="426"/>
      <c r="BE37" s="426"/>
      <c r="BF37" s="426"/>
      <c r="BG37" s="426"/>
      <c r="BH37" s="426"/>
    </row>
    <row r="38" spans="1:60" x14ac:dyDescent="0.2">
      <c r="A38" s="433"/>
      <c r="B38" s="113">
        <v>33</v>
      </c>
      <c r="C38" s="432">
        <v>73.56</v>
      </c>
      <c r="D38" s="432">
        <v>74.150000000000006</v>
      </c>
      <c r="E38" s="432">
        <v>74.540000000000006</v>
      </c>
      <c r="F38" s="426"/>
      <c r="G38" s="426"/>
      <c r="H38" s="426"/>
      <c r="I38" s="426"/>
      <c r="J38" s="426"/>
      <c r="K38" s="433"/>
      <c r="L38" s="113">
        <v>33</v>
      </c>
      <c r="M38" s="432">
        <v>78.12</v>
      </c>
      <c r="N38" s="432">
        <v>78.83</v>
      </c>
      <c r="O38" s="432">
        <v>79.260000000000005</v>
      </c>
      <c r="P38" s="426"/>
      <c r="Q38" s="426"/>
      <c r="R38" s="426"/>
      <c r="S38" s="426"/>
      <c r="T38" s="426"/>
      <c r="U38" s="433"/>
      <c r="V38" s="113">
        <v>33</v>
      </c>
      <c r="W38" s="432">
        <v>82.96</v>
      </c>
      <c r="X38" s="432">
        <v>83.78</v>
      </c>
      <c r="Y38" s="432">
        <v>84.25</v>
      </c>
      <c r="Z38" s="426"/>
      <c r="AA38" s="426"/>
      <c r="AB38" s="426"/>
      <c r="AC38" s="426"/>
      <c r="AD38" s="426"/>
      <c r="AE38" s="433"/>
      <c r="AF38" s="113">
        <v>33</v>
      </c>
      <c r="AG38" s="432">
        <v>88.08</v>
      </c>
      <c r="AH38" s="432">
        <v>89.04</v>
      </c>
      <c r="AI38" s="432">
        <v>89.55</v>
      </c>
      <c r="AJ38" s="426"/>
      <c r="AK38" s="426"/>
      <c r="AL38" s="426"/>
      <c r="AM38" s="426"/>
      <c r="AN38" s="426"/>
      <c r="AO38" s="433"/>
      <c r="AP38" s="113">
        <v>33</v>
      </c>
      <c r="AQ38" s="432">
        <v>93.51</v>
      </c>
      <c r="AR38" s="432">
        <v>94.6</v>
      </c>
      <c r="AS38" s="432">
        <v>95.16</v>
      </c>
      <c r="AT38" s="426"/>
      <c r="AU38" s="426"/>
      <c r="AV38" s="426"/>
      <c r="AW38" s="426"/>
      <c r="AX38" s="426"/>
      <c r="AY38" s="433"/>
      <c r="AZ38" s="113">
        <v>33</v>
      </c>
      <c r="BA38" s="432">
        <v>99.25</v>
      </c>
      <c r="BB38" s="432">
        <v>100.49</v>
      </c>
      <c r="BC38" s="432">
        <v>101.1</v>
      </c>
      <c r="BD38" s="426"/>
      <c r="BE38" s="426"/>
      <c r="BF38" s="426"/>
      <c r="BG38" s="426"/>
      <c r="BH38" s="426"/>
    </row>
    <row r="39" spans="1:60" x14ac:dyDescent="0.2">
      <c r="A39" s="433"/>
      <c r="B39" s="113">
        <v>34</v>
      </c>
      <c r="C39" s="432">
        <v>74.069999999999993</v>
      </c>
      <c r="D39" s="432">
        <v>74.680000000000007</v>
      </c>
      <c r="E39" s="432">
        <v>75.069999999999993</v>
      </c>
      <c r="F39" s="426"/>
      <c r="G39" s="426"/>
      <c r="H39" s="426"/>
      <c r="I39" s="426"/>
      <c r="J39" s="426"/>
      <c r="K39" s="433"/>
      <c r="L39" s="113">
        <v>34</v>
      </c>
      <c r="M39" s="432">
        <v>78.7</v>
      </c>
      <c r="N39" s="432">
        <v>79.41</v>
      </c>
      <c r="O39" s="432">
        <v>79.849999999999994</v>
      </c>
      <c r="P39" s="426"/>
      <c r="Q39" s="426"/>
      <c r="R39" s="426"/>
      <c r="S39" s="426"/>
      <c r="T39" s="426"/>
      <c r="U39" s="433"/>
      <c r="V39" s="113">
        <v>34</v>
      </c>
      <c r="W39" s="432">
        <v>83.6</v>
      </c>
      <c r="X39" s="432">
        <v>84.44</v>
      </c>
      <c r="Y39" s="432">
        <v>84.91</v>
      </c>
      <c r="Z39" s="426"/>
      <c r="AA39" s="426"/>
      <c r="AB39" s="426"/>
      <c r="AC39" s="426"/>
      <c r="AD39" s="426"/>
      <c r="AE39" s="433"/>
      <c r="AF39" s="113">
        <v>34</v>
      </c>
      <c r="AG39" s="432">
        <v>88.8</v>
      </c>
      <c r="AH39" s="432">
        <v>89.76</v>
      </c>
      <c r="AI39" s="432">
        <v>90.28</v>
      </c>
      <c r="AJ39" s="426"/>
      <c r="AK39" s="426"/>
      <c r="AL39" s="426"/>
      <c r="AM39" s="426"/>
      <c r="AN39" s="426"/>
      <c r="AO39" s="433"/>
      <c r="AP39" s="113">
        <v>34</v>
      </c>
      <c r="AQ39" s="432">
        <v>94.3</v>
      </c>
      <c r="AR39" s="432">
        <v>95.41</v>
      </c>
      <c r="AS39" s="432">
        <v>95.97</v>
      </c>
      <c r="AT39" s="426"/>
      <c r="AU39" s="426"/>
      <c r="AV39" s="426"/>
      <c r="AW39" s="426"/>
      <c r="AX39" s="426"/>
      <c r="AY39" s="433"/>
      <c r="AZ39" s="113">
        <v>34</v>
      </c>
      <c r="BA39" s="432">
        <v>100.12</v>
      </c>
      <c r="BB39" s="432">
        <v>101.39</v>
      </c>
      <c r="BC39" s="432">
        <v>102</v>
      </c>
      <c r="BD39" s="426"/>
      <c r="BE39" s="426"/>
      <c r="BF39" s="426"/>
      <c r="BG39" s="426"/>
      <c r="BH39" s="426"/>
    </row>
    <row r="40" spans="1:60" x14ac:dyDescent="0.2">
      <c r="A40" s="433"/>
      <c r="B40" s="113">
        <v>35</v>
      </c>
      <c r="C40" s="432">
        <v>74.61</v>
      </c>
      <c r="D40" s="432">
        <v>75.23</v>
      </c>
      <c r="E40" s="432">
        <v>75.62</v>
      </c>
      <c r="F40" s="426"/>
      <c r="G40" s="426"/>
      <c r="H40" s="426"/>
      <c r="I40" s="426"/>
      <c r="J40" s="426"/>
      <c r="K40" s="433"/>
      <c r="L40" s="113">
        <v>35</v>
      </c>
      <c r="M40" s="432">
        <v>79.3</v>
      </c>
      <c r="N40" s="432">
        <v>80.03</v>
      </c>
      <c r="O40" s="432">
        <v>80.459999999999994</v>
      </c>
      <c r="P40" s="426"/>
      <c r="Q40" s="426"/>
      <c r="R40" s="426"/>
      <c r="S40" s="426"/>
      <c r="T40" s="426"/>
      <c r="U40" s="433"/>
      <c r="V40" s="113">
        <v>35</v>
      </c>
      <c r="W40" s="432">
        <v>84.27</v>
      </c>
      <c r="X40" s="432">
        <v>85.12</v>
      </c>
      <c r="Y40" s="432">
        <v>85.6</v>
      </c>
      <c r="Z40" s="426"/>
      <c r="AA40" s="426"/>
      <c r="AB40" s="426"/>
      <c r="AC40" s="426"/>
      <c r="AD40" s="426"/>
      <c r="AE40" s="433"/>
      <c r="AF40" s="113">
        <v>35</v>
      </c>
      <c r="AG40" s="432">
        <v>89.54</v>
      </c>
      <c r="AH40" s="432">
        <v>90.52</v>
      </c>
      <c r="AI40" s="432">
        <v>91.04</v>
      </c>
      <c r="AJ40" s="426"/>
      <c r="AK40" s="426"/>
      <c r="AL40" s="426"/>
      <c r="AM40" s="426"/>
      <c r="AN40" s="426"/>
      <c r="AO40" s="433"/>
      <c r="AP40" s="113">
        <v>35</v>
      </c>
      <c r="AQ40" s="432">
        <v>95.13</v>
      </c>
      <c r="AR40" s="432">
        <v>96.25</v>
      </c>
      <c r="AS40" s="432">
        <v>96.82</v>
      </c>
      <c r="AT40" s="426"/>
      <c r="AU40" s="426"/>
      <c r="AV40" s="426"/>
      <c r="AW40" s="426"/>
      <c r="AX40" s="426"/>
      <c r="AY40" s="433"/>
      <c r="AZ40" s="113">
        <v>35</v>
      </c>
      <c r="BA40" s="432">
        <v>101.04</v>
      </c>
      <c r="BB40" s="432">
        <v>102.33</v>
      </c>
      <c r="BC40" s="432">
        <v>102.95</v>
      </c>
      <c r="BD40" s="426"/>
      <c r="BE40" s="426"/>
      <c r="BF40" s="426"/>
      <c r="BG40" s="426"/>
      <c r="BH40" s="426"/>
    </row>
    <row r="41" spans="1:60" x14ac:dyDescent="0.2">
      <c r="A41" s="433"/>
      <c r="B41" s="113">
        <v>36</v>
      </c>
      <c r="C41" s="432">
        <v>75.180000000000007</v>
      </c>
      <c r="D41" s="432">
        <v>75.8</v>
      </c>
      <c r="E41" s="432">
        <v>76.2</v>
      </c>
      <c r="F41" s="426"/>
      <c r="G41" s="426"/>
      <c r="H41" s="426"/>
      <c r="I41" s="426"/>
      <c r="J41" s="426"/>
      <c r="K41" s="433"/>
      <c r="L41" s="113">
        <v>36</v>
      </c>
      <c r="M41" s="432">
        <v>79.930000000000007</v>
      </c>
      <c r="N41" s="432">
        <v>80.67</v>
      </c>
      <c r="O41" s="432">
        <v>81.11</v>
      </c>
      <c r="P41" s="426"/>
      <c r="Q41" s="426"/>
      <c r="R41" s="426"/>
      <c r="S41" s="426"/>
      <c r="T41" s="426"/>
      <c r="U41" s="433"/>
      <c r="V41" s="113">
        <v>36</v>
      </c>
      <c r="W41" s="432">
        <v>84.97</v>
      </c>
      <c r="X41" s="432">
        <v>85.83</v>
      </c>
      <c r="Y41" s="432">
        <v>86.31</v>
      </c>
      <c r="Z41" s="426"/>
      <c r="AA41" s="426"/>
      <c r="AB41" s="426"/>
      <c r="AC41" s="426"/>
      <c r="AD41" s="426"/>
      <c r="AE41" s="433"/>
      <c r="AF41" s="113">
        <v>36</v>
      </c>
      <c r="AG41" s="432">
        <v>90.32</v>
      </c>
      <c r="AH41" s="432">
        <v>91.31</v>
      </c>
      <c r="AI41" s="432">
        <v>91.84</v>
      </c>
      <c r="AJ41" s="426"/>
      <c r="AK41" s="426"/>
      <c r="AL41" s="426"/>
      <c r="AM41" s="426"/>
      <c r="AN41" s="426"/>
      <c r="AO41" s="433"/>
      <c r="AP41" s="113">
        <v>36</v>
      </c>
      <c r="AQ41" s="432">
        <v>95.99</v>
      </c>
      <c r="AR41" s="432">
        <v>97.13</v>
      </c>
      <c r="AS41" s="432">
        <v>97.71</v>
      </c>
      <c r="AT41" s="426"/>
      <c r="AU41" s="426"/>
      <c r="AV41" s="426"/>
      <c r="AW41" s="426"/>
      <c r="AX41" s="426"/>
      <c r="AY41" s="433"/>
      <c r="AZ41" s="113">
        <v>36</v>
      </c>
      <c r="BA41" s="432">
        <v>102.01</v>
      </c>
      <c r="BB41" s="432">
        <v>103.31</v>
      </c>
      <c r="BC41" s="432">
        <v>103.94</v>
      </c>
      <c r="BD41" s="426"/>
      <c r="BE41" s="426"/>
      <c r="BF41" s="426"/>
      <c r="BG41" s="426"/>
      <c r="BH41" s="426"/>
    </row>
    <row r="42" spans="1:60" x14ac:dyDescent="0.2">
      <c r="A42" s="433"/>
      <c r="B42" s="113">
        <v>37</v>
      </c>
      <c r="C42" s="432">
        <v>75.77</v>
      </c>
      <c r="D42" s="432">
        <v>76.400000000000006</v>
      </c>
      <c r="E42" s="432">
        <v>76.81</v>
      </c>
      <c r="F42" s="426"/>
      <c r="G42" s="426"/>
      <c r="H42" s="426"/>
      <c r="I42" s="426"/>
      <c r="J42" s="426"/>
      <c r="K42" s="433"/>
      <c r="L42" s="113">
        <v>37</v>
      </c>
      <c r="M42" s="432">
        <v>80.59</v>
      </c>
      <c r="N42" s="432">
        <v>81.34</v>
      </c>
      <c r="O42" s="432">
        <v>81.78</v>
      </c>
      <c r="P42" s="426"/>
      <c r="Q42" s="426"/>
      <c r="R42" s="426"/>
      <c r="S42" s="426"/>
      <c r="T42" s="426"/>
      <c r="U42" s="433"/>
      <c r="V42" s="113">
        <v>37</v>
      </c>
      <c r="W42" s="432">
        <v>85.71</v>
      </c>
      <c r="X42" s="432">
        <v>86.58</v>
      </c>
      <c r="Y42" s="432">
        <v>87.07</v>
      </c>
      <c r="Z42" s="426"/>
      <c r="AA42" s="426"/>
      <c r="AB42" s="426"/>
      <c r="AC42" s="426"/>
      <c r="AD42" s="426"/>
      <c r="AE42" s="433"/>
      <c r="AF42" s="113">
        <v>37</v>
      </c>
      <c r="AG42" s="432">
        <v>91.14</v>
      </c>
      <c r="AH42" s="432">
        <v>92.15</v>
      </c>
      <c r="AI42" s="432">
        <v>92.68</v>
      </c>
      <c r="AJ42" s="426"/>
      <c r="AK42" s="426"/>
      <c r="AL42" s="426"/>
      <c r="AM42" s="426"/>
      <c r="AN42" s="426"/>
      <c r="AO42" s="433"/>
      <c r="AP42" s="113">
        <v>37</v>
      </c>
      <c r="AQ42" s="432">
        <v>96.9</v>
      </c>
      <c r="AR42" s="432">
        <v>98.06</v>
      </c>
      <c r="AS42" s="432">
        <v>98.64</v>
      </c>
      <c r="AT42" s="426"/>
      <c r="AU42" s="426"/>
      <c r="AV42" s="426"/>
      <c r="AW42" s="426"/>
      <c r="AX42" s="426"/>
      <c r="AY42" s="433"/>
      <c r="AZ42" s="113">
        <v>37</v>
      </c>
      <c r="BA42" s="432">
        <v>103.01</v>
      </c>
      <c r="BB42" s="432">
        <v>104.34</v>
      </c>
      <c r="BC42" s="432">
        <v>104.97</v>
      </c>
      <c r="BD42" s="426"/>
      <c r="BE42" s="426"/>
      <c r="BF42" s="426"/>
      <c r="BG42" s="426"/>
      <c r="BH42" s="426"/>
    </row>
    <row r="43" spans="1:60" x14ac:dyDescent="0.2">
      <c r="A43" s="433"/>
      <c r="B43" s="113">
        <v>38</v>
      </c>
      <c r="C43" s="432">
        <v>76.39</v>
      </c>
      <c r="D43" s="432">
        <v>77.03</v>
      </c>
      <c r="E43" s="432">
        <v>77.44</v>
      </c>
      <c r="F43" s="426"/>
      <c r="G43" s="426"/>
      <c r="H43" s="426"/>
      <c r="I43" s="426"/>
      <c r="J43" s="426"/>
      <c r="K43" s="433"/>
      <c r="L43" s="113">
        <v>38</v>
      </c>
      <c r="M43" s="432">
        <v>81.28</v>
      </c>
      <c r="N43" s="432">
        <v>82.04</v>
      </c>
      <c r="O43" s="432">
        <v>82.49</v>
      </c>
      <c r="P43" s="426"/>
      <c r="Q43" s="426"/>
      <c r="R43" s="426"/>
      <c r="S43" s="426"/>
      <c r="T43" s="426"/>
      <c r="U43" s="433"/>
      <c r="V43" s="113">
        <v>38</v>
      </c>
      <c r="W43" s="432">
        <v>86.48</v>
      </c>
      <c r="X43" s="432">
        <v>87.37</v>
      </c>
      <c r="Y43" s="432">
        <v>87.86</v>
      </c>
      <c r="Z43" s="426"/>
      <c r="AA43" s="426"/>
      <c r="AB43" s="426"/>
      <c r="AC43" s="426"/>
      <c r="AD43" s="426"/>
      <c r="AE43" s="433"/>
      <c r="AF43" s="113">
        <v>38</v>
      </c>
      <c r="AG43" s="432">
        <v>92</v>
      </c>
      <c r="AH43" s="432">
        <v>93.02</v>
      </c>
      <c r="AI43" s="432">
        <v>93.56</v>
      </c>
      <c r="AJ43" s="426"/>
      <c r="AK43" s="426"/>
      <c r="AL43" s="426"/>
      <c r="AM43" s="426"/>
      <c r="AN43" s="426"/>
      <c r="AO43" s="433"/>
      <c r="AP43" s="113">
        <v>38</v>
      </c>
      <c r="AQ43" s="432">
        <v>97.86</v>
      </c>
      <c r="AR43" s="432">
        <v>99.03</v>
      </c>
      <c r="AS43" s="432">
        <v>99.62</v>
      </c>
      <c r="AT43" s="426"/>
      <c r="AU43" s="426"/>
      <c r="AV43" s="426"/>
      <c r="AW43" s="426"/>
      <c r="AX43" s="426"/>
      <c r="AY43" s="433"/>
      <c r="AZ43" s="113">
        <v>38</v>
      </c>
      <c r="BA43" s="432">
        <v>104.07</v>
      </c>
      <c r="BB43" s="432">
        <v>105.41</v>
      </c>
      <c r="BC43" s="432">
        <v>106.05</v>
      </c>
      <c r="BD43" s="426"/>
      <c r="BE43" s="426"/>
      <c r="BF43" s="426"/>
      <c r="BG43" s="426"/>
      <c r="BH43" s="426"/>
    </row>
    <row r="44" spans="1:60" x14ac:dyDescent="0.2">
      <c r="A44" s="433"/>
      <c r="B44" s="113">
        <v>39</v>
      </c>
      <c r="C44" s="432">
        <v>77.040000000000006</v>
      </c>
      <c r="D44" s="432">
        <v>77.7</v>
      </c>
      <c r="E44" s="432">
        <v>78.11</v>
      </c>
      <c r="F44" s="426"/>
      <c r="G44" s="426"/>
      <c r="H44" s="426"/>
      <c r="I44" s="426"/>
      <c r="J44" s="426"/>
      <c r="K44" s="433"/>
      <c r="L44" s="113">
        <v>39</v>
      </c>
      <c r="M44" s="432">
        <v>82.01</v>
      </c>
      <c r="N44" s="432">
        <v>82.78</v>
      </c>
      <c r="O44" s="432">
        <v>83.24</v>
      </c>
      <c r="P44" s="426"/>
      <c r="Q44" s="426"/>
      <c r="R44" s="426"/>
      <c r="S44" s="426"/>
      <c r="T44" s="426"/>
      <c r="U44" s="433"/>
      <c r="V44" s="113">
        <v>39</v>
      </c>
      <c r="W44" s="432">
        <v>87.29</v>
      </c>
      <c r="X44" s="432">
        <v>88.19</v>
      </c>
      <c r="Y44" s="432">
        <v>88.69</v>
      </c>
      <c r="Z44" s="426"/>
      <c r="AA44" s="426"/>
      <c r="AB44" s="426"/>
      <c r="AC44" s="426"/>
      <c r="AD44" s="426"/>
      <c r="AE44" s="433"/>
      <c r="AF44" s="113">
        <v>39</v>
      </c>
      <c r="AG44" s="432">
        <v>92.9</v>
      </c>
      <c r="AH44" s="432">
        <v>93.94</v>
      </c>
      <c r="AI44" s="432">
        <v>94.49</v>
      </c>
      <c r="AJ44" s="426"/>
      <c r="AK44" s="426"/>
      <c r="AL44" s="426"/>
      <c r="AM44" s="426"/>
      <c r="AN44" s="426"/>
      <c r="AO44" s="433"/>
      <c r="AP44" s="113">
        <v>39</v>
      </c>
      <c r="AQ44" s="432">
        <v>98.85</v>
      </c>
      <c r="AR44" s="432">
        <v>100.05</v>
      </c>
      <c r="AS44" s="432">
        <v>100.65</v>
      </c>
      <c r="AT44" s="426"/>
      <c r="AU44" s="426"/>
      <c r="AV44" s="426"/>
      <c r="AW44" s="426"/>
      <c r="AX44" s="426"/>
      <c r="AY44" s="433"/>
      <c r="AZ44" s="113">
        <v>39</v>
      </c>
      <c r="BA44" s="432">
        <v>105.17</v>
      </c>
      <c r="BB44" s="432">
        <v>106.54</v>
      </c>
      <c r="BC44" s="432">
        <v>107.18</v>
      </c>
      <c r="BD44" s="426"/>
      <c r="BE44" s="426"/>
      <c r="BF44" s="426"/>
      <c r="BG44" s="426"/>
      <c r="BH44" s="426"/>
    </row>
    <row r="45" spans="1:60" x14ac:dyDescent="0.2">
      <c r="A45" s="433"/>
      <c r="B45" s="113">
        <v>40</v>
      </c>
      <c r="C45" s="432">
        <v>77.73</v>
      </c>
      <c r="D45" s="432">
        <v>78.39</v>
      </c>
      <c r="E45" s="432">
        <v>78.81</v>
      </c>
      <c r="F45" s="426"/>
      <c r="G45" s="426"/>
      <c r="H45" s="426"/>
      <c r="I45" s="426"/>
      <c r="J45" s="426"/>
      <c r="K45" s="433"/>
      <c r="L45" s="113">
        <v>40</v>
      </c>
      <c r="M45" s="432">
        <v>82.78</v>
      </c>
      <c r="N45" s="432">
        <v>83.56</v>
      </c>
      <c r="O45" s="432">
        <v>84.02</v>
      </c>
      <c r="P45" s="426"/>
      <c r="Q45" s="426"/>
      <c r="R45" s="426"/>
      <c r="S45" s="426"/>
      <c r="T45" s="426"/>
      <c r="U45" s="433"/>
      <c r="V45" s="113">
        <v>40</v>
      </c>
      <c r="W45" s="432">
        <v>88.14</v>
      </c>
      <c r="X45" s="432">
        <v>89.06</v>
      </c>
      <c r="Y45" s="432">
        <v>89.56</v>
      </c>
      <c r="Z45" s="426"/>
      <c r="AA45" s="426"/>
      <c r="AB45" s="426"/>
      <c r="AC45" s="426"/>
      <c r="AD45" s="426"/>
      <c r="AE45" s="433"/>
      <c r="AF45" s="113">
        <v>40</v>
      </c>
      <c r="AG45" s="432">
        <v>93.84</v>
      </c>
      <c r="AH45" s="432">
        <v>94.9</v>
      </c>
      <c r="AI45" s="432">
        <v>95.45</v>
      </c>
      <c r="AJ45" s="426"/>
      <c r="AK45" s="426"/>
      <c r="AL45" s="426"/>
      <c r="AM45" s="426"/>
      <c r="AN45" s="426"/>
      <c r="AO45" s="433"/>
      <c r="AP45" s="113">
        <v>40</v>
      </c>
      <c r="AQ45" s="432">
        <v>99.9</v>
      </c>
      <c r="AR45" s="432">
        <v>101.11</v>
      </c>
      <c r="AS45" s="432">
        <v>101.71</v>
      </c>
      <c r="AT45" s="426"/>
      <c r="AU45" s="426"/>
      <c r="AV45" s="426"/>
      <c r="AW45" s="426"/>
      <c r="AX45" s="426"/>
      <c r="AY45" s="433"/>
      <c r="AZ45" s="113">
        <v>40</v>
      </c>
      <c r="BA45" s="432">
        <v>106.31</v>
      </c>
      <c r="BB45" s="432">
        <v>107.71</v>
      </c>
      <c r="BC45" s="432">
        <v>108.36</v>
      </c>
      <c r="BD45" s="426"/>
      <c r="BE45" s="426"/>
      <c r="BF45" s="426"/>
      <c r="BG45" s="426"/>
      <c r="BH45" s="426"/>
    </row>
    <row r="46" spans="1:60" x14ac:dyDescent="0.2">
      <c r="A46" s="433"/>
      <c r="B46" s="113">
        <v>41</v>
      </c>
      <c r="C46" s="432">
        <v>78.45</v>
      </c>
      <c r="D46" s="432">
        <v>79.13</v>
      </c>
      <c r="E46" s="432">
        <v>79.55</v>
      </c>
      <c r="F46" s="426"/>
      <c r="G46" s="426"/>
      <c r="H46" s="426"/>
      <c r="I46" s="426"/>
      <c r="J46" s="426"/>
      <c r="K46" s="433"/>
      <c r="L46" s="113">
        <v>41</v>
      </c>
      <c r="M46" s="432">
        <v>83.58</v>
      </c>
      <c r="N46" s="432">
        <v>84.38</v>
      </c>
      <c r="O46" s="432">
        <v>84.84</v>
      </c>
      <c r="P46" s="426"/>
      <c r="Q46" s="426"/>
      <c r="R46" s="426"/>
      <c r="S46" s="426"/>
      <c r="T46" s="426"/>
      <c r="U46" s="433"/>
      <c r="V46" s="113">
        <v>41</v>
      </c>
      <c r="W46" s="432">
        <v>89.04</v>
      </c>
      <c r="X46" s="432">
        <v>89.97</v>
      </c>
      <c r="Y46" s="432">
        <v>90.47</v>
      </c>
      <c r="Z46" s="426"/>
      <c r="AA46" s="426"/>
      <c r="AB46" s="426"/>
      <c r="AC46" s="426"/>
      <c r="AD46" s="426"/>
      <c r="AE46" s="433"/>
      <c r="AF46" s="113">
        <v>41</v>
      </c>
      <c r="AG46" s="432">
        <v>94.83</v>
      </c>
      <c r="AH46" s="432">
        <v>95.91</v>
      </c>
      <c r="AI46" s="432">
        <v>96.46</v>
      </c>
      <c r="AJ46" s="426"/>
      <c r="AK46" s="426"/>
      <c r="AL46" s="426"/>
      <c r="AM46" s="426"/>
      <c r="AN46" s="426"/>
      <c r="AO46" s="433"/>
      <c r="AP46" s="113">
        <v>41</v>
      </c>
      <c r="AQ46" s="432">
        <v>100.98</v>
      </c>
      <c r="AR46" s="432">
        <v>102.22</v>
      </c>
      <c r="AS46" s="432">
        <v>102.83</v>
      </c>
      <c r="AT46" s="426"/>
      <c r="AU46" s="426"/>
      <c r="AV46" s="426"/>
      <c r="AW46" s="426"/>
      <c r="AX46" s="426"/>
      <c r="AY46" s="433"/>
      <c r="AZ46" s="113">
        <v>41</v>
      </c>
      <c r="BA46" s="432">
        <v>107.51</v>
      </c>
      <c r="BB46" s="432">
        <v>108.92</v>
      </c>
      <c r="BC46" s="432">
        <v>109.59</v>
      </c>
      <c r="BD46" s="426"/>
      <c r="BE46" s="426"/>
      <c r="BF46" s="426"/>
      <c r="BG46" s="426"/>
      <c r="BH46" s="426"/>
    </row>
    <row r="47" spans="1:60" x14ac:dyDescent="0.2">
      <c r="A47" s="433"/>
      <c r="B47" s="113">
        <v>42</v>
      </c>
      <c r="C47" s="432">
        <v>79.209999999999994</v>
      </c>
      <c r="D47" s="432">
        <v>79.900000000000006</v>
      </c>
      <c r="E47" s="432">
        <v>80.33</v>
      </c>
      <c r="F47" s="426"/>
      <c r="G47" s="426"/>
      <c r="H47" s="426"/>
      <c r="I47" s="426"/>
      <c r="J47" s="426"/>
      <c r="K47" s="433"/>
      <c r="L47" s="113">
        <v>42</v>
      </c>
      <c r="M47" s="432">
        <v>84.43</v>
      </c>
      <c r="N47" s="432">
        <v>85.24</v>
      </c>
      <c r="O47" s="432">
        <v>85.71</v>
      </c>
      <c r="P47" s="426"/>
      <c r="Q47" s="426"/>
      <c r="R47" s="426"/>
      <c r="S47" s="426"/>
      <c r="T47" s="426"/>
      <c r="U47" s="433"/>
      <c r="V47" s="113">
        <v>42</v>
      </c>
      <c r="W47" s="432">
        <v>89.97</v>
      </c>
      <c r="X47" s="432">
        <v>90.92</v>
      </c>
      <c r="Y47" s="432">
        <v>91.43</v>
      </c>
      <c r="Z47" s="426"/>
      <c r="AA47" s="426"/>
      <c r="AB47" s="426"/>
      <c r="AC47" s="426"/>
      <c r="AD47" s="426"/>
      <c r="AE47" s="433"/>
      <c r="AF47" s="113">
        <v>42</v>
      </c>
      <c r="AG47" s="432">
        <v>95.86</v>
      </c>
      <c r="AH47" s="432">
        <v>96.96</v>
      </c>
      <c r="AI47" s="432">
        <v>97.52</v>
      </c>
      <c r="AJ47" s="426"/>
      <c r="AK47" s="426"/>
      <c r="AL47" s="426"/>
      <c r="AM47" s="426"/>
      <c r="AN47" s="426"/>
      <c r="AO47" s="433"/>
      <c r="AP47" s="113">
        <v>42</v>
      </c>
      <c r="AQ47" s="432">
        <v>102.12</v>
      </c>
      <c r="AR47" s="432">
        <v>103.38</v>
      </c>
      <c r="AS47" s="432">
        <v>103.99</v>
      </c>
      <c r="AT47" s="426"/>
      <c r="AU47" s="426"/>
      <c r="AV47" s="426"/>
      <c r="AW47" s="426"/>
      <c r="AX47" s="426"/>
      <c r="AY47" s="433"/>
      <c r="AZ47" s="113">
        <v>42</v>
      </c>
      <c r="BA47" s="432">
        <v>108.74</v>
      </c>
      <c r="BB47" s="432">
        <v>110.19</v>
      </c>
      <c r="BC47" s="432">
        <v>110.85</v>
      </c>
      <c r="BD47" s="426"/>
      <c r="BE47" s="426"/>
      <c r="BF47" s="426"/>
      <c r="BG47" s="426"/>
      <c r="BH47" s="426"/>
    </row>
    <row r="48" spans="1:60" x14ac:dyDescent="0.2">
      <c r="A48" s="433"/>
      <c r="B48" s="113">
        <v>43</v>
      </c>
      <c r="C48" s="432">
        <v>80.010000000000005</v>
      </c>
      <c r="D48" s="432">
        <v>80.709999999999994</v>
      </c>
      <c r="E48" s="432">
        <v>81.14</v>
      </c>
      <c r="F48" s="426"/>
      <c r="G48" s="426"/>
      <c r="H48" s="426"/>
      <c r="I48" s="426"/>
      <c r="J48" s="426"/>
      <c r="K48" s="433"/>
      <c r="L48" s="113">
        <v>43</v>
      </c>
      <c r="M48" s="432">
        <v>85.31</v>
      </c>
      <c r="N48" s="432">
        <v>86.14</v>
      </c>
      <c r="O48" s="432">
        <v>86.61</v>
      </c>
      <c r="P48" s="426"/>
      <c r="Q48" s="426"/>
      <c r="R48" s="426"/>
      <c r="S48" s="426"/>
      <c r="T48" s="426"/>
      <c r="U48" s="433"/>
      <c r="V48" s="113">
        <v>43</v>
      </c>
      <c r="W48" s="432">
        <v>90.95</v>
      </c>
      <c r="X48" s="432">
        <v>91.91</v>
      </c>
      <c r="Y48" s="432">
        <v>92.43</v>
      </c>
      <c r="Z48" s="426"/>
      <c r="AA48" s="426"/>
      <c r="AB48" s="426"/>
      <c r="AC48" s="426"/>
      <c r="AD48" s="426"/>
      <c r="AE48" s="433"/>
      <c r="AF48" s="113">
        <v>43</v>
      </c>
      <c r="AG48" s="432">
        <v>96.94</v>
      </c>
      <c r="AH48" s="432">
        <v>98.06</v>
      </c>
      <c r="AI48" s="432">
        <v>98.62</v>
      </c>
      <c r="AJ48" s="426"/>
      <c r="AK48" s="426"/>
      <c r="AL48" s="426"/>
      <c r="AM48" s="426"/>
      <c r="AN48" s="426"/>
      <c r="AO48" s="433"/>
      <c r="AP48" s="113">
        <v>43</v>
      </c>
      <c r="AQ48" s="432">
        <v>103.29</v>
      </c>
      <c r="AR48" s="432">
        <v>104.58</v>
      </c>
      <c r="AS48" s="432">
        <v>105.2</v>
      </c>
      <c r="AT48" s="426"/>
      <c r="AU48" s="426"/>
      <c r="AV48" s="426"/>
      <c r="AW48" s="426"/>
      <c r="AX48" s="426"/>
      <c r="AY48" s="433"/>
      <c r="AZ48" s="113">
        <v>43</v>
      </c>
      <c r="BA48" s="432">
        <v>110.01</v>
      </c>
      <c r="BB48" s="432">
        <v>111.49</v>
      </c>
      <c r="BC48" s="432">
        <v>112.16</v>
      </c>
      <c r="BD48" s="426"/>
      <c r="BE48" s="426"/>
      <c r="BF48" s="426"/>
      <c r="BG48" s="426"/>
      <c r="BH48" s="426"/>
    </row>
    <row r="49" spans="1:60" x14ac:dyDescent="0.2">
      <c r="A49" s="433"/>
      <c r="B49" s="113">
        <v>44</v>
      </c>
      <c r="C49" s="432">
        <v>80.849999999999994</v>
      </c>
      <c r="D49" s="432">
        <v>81.56</v>
      </c>
      <c r="E49" s="432">
        <v>82</v>
      </c>
      <c r="F49" s="426"/>
      <c r="G49" s="426"/>
      <c r="H49" s="426"/>
      <c r="I49" s="426"/>
      <c r="J49" s="426"/>
      <c r="K49" s="433"/>
      <c r="L49" s="113">
        <v>44</v>
      </c>
      <c r="M49" s="432">
        <v>86.24</v>
      </c>
      <c r="N49" s="432">
        <v>87.08</v>
      </c>
      <c r="O49" s="432">
        <v>87.56</v>
      </c>
      <c r="P49" s="426"/>
      <c r="Q49" s="426"/>
      <c r="R49" s="426"/>
      <c r="S49" s="426"/>
      <c r="T49" s="426"/>
      <c r="U49" s="433"/>
      <c r="V49" s="113">
        <v>44</v>
      </c>
      <c r="W49" s="432">
        <v>91.97</v>
      </c>
      <c r="X49" s="432">
        <v>92.95</v>
      </c>
      <c r="Y49" s="432">
        <v>93.48</v>
      </c>
      <c r="Z49" s="426"/>
      <c r="AA49" s="426"/>
      <c r="AB49" s="426"/>
      <c r="AC49" s="426"/>
      <c r="AD49" s="426"/>
      <c r="AE49" s="433"/>
      <c r="AF49" s="113">
        <v>44</v>
      </c>
      <c r="AG49" s="432">
        <v>98.05</v>
      </c>
      <c r="AH49" s="432">
        <v>99.2</v>
      </c>
      <c r="AI49" s="432">
        <v>99.77</v>
      </c>
      <c r="AJ49" s="426"/>
      <c r="AK49" s="426"/>
      <c r="AL49" s="426"/>
      <c r="AM49" s="426"/>
      <c r="AN49" s="426"/>
      <c r="AO49" s="433"/>
      <c r="AP49" s="113">
        <v>44</v>
      </c>
      <c r="AQ49" s="432">
        <v>104.5</v>
      </c>
      <c r="AR49" s="432">
        <v>105.81</v>
      </c>
      <c r="AS49" s="432">
        <v>106.44</v>
      </c>
      <c r="AT49" s="426"/>
      <c r="AU49" s="426"/>
      <c r="AV49" s="426"/>
      <c r="AW49" s="426"/>
      <c r="AX49" s="426"/>
      <c r="AY49" s="433"/>
      <c r="AZ49" s="113">
        <v>44</v>
      </c>
      <c r="BA49" s="432">
        <v>111.33</v>
      </c>
      <c r="BB49" s="432">
        <v>112.83</v>
      </c>
      <c r="BC49" s="432">
        <v>113.51</v>
      </c>
      <c r="BD49" s="426"/>
      <c r="BE49" s="426"/>
      <c r="BF49" s="426"/>
      <c r="BG49" s="426"/>
      <c r="BH49" s="426"/>
    </row>
    <row r="50" spans="1:60" x14ac:dyDescent="0.2">
      <c r="A50" s="433"/>
      <c r="B50" s="113">
        <v>45</v>
      </c>
      <c r="C50" s="432">
        <v>81.73</v>
      </c>
      <c r="D50" s="432">
        <v>82.45</v>
      </c>
      <c r="E50" s="432">
        <v>82.89</v>
      </c>
      <c r="F50" s="426"/>
      <c r="G50" s="426"/>
      <c r="H50" s="426"/>
      <c r="I50" s="426"/>
      <c r="J50" s="426"/>
      <c r="K50" s="433"/>
      <c r="L50" s="113">
        <v>45</v>
      </c>
      <c r="M50" s="432">
        <v>87.2</v>
      </c>
      <c r="N50" s="432">
        <v>88.07</v>
      </c>
      <c r="O50" s="432">
        <v>88.55</v>
      </c>
      <c r="P50" s="426"/>
      <c r="Q50" s="426"/>
      <c r="R50" s="426"/>
      <c r="S50" s="426"/>
      <c r="T50" s="426"/>
      <c r="U50" s="433"/>
      <c r="V50" s="113">
        <v>45</v>
      </c>
      <c r="W50" s="432">
        <v>93.03</v>
      </c>
      <c r="X50" s="432">
        <v>94.03</v>
      </c>
      <c r="Y50" s="432">
        <v>94.56</v>
      </c>
      <c r="Z50" s="426"/>
      <c r="AA50" s="426"/>
      <c r="AB50" s="426"/>
      <c r="AC50" s="426"/>
      <c r="AD50" s="426"/>
      <c r="AE50" s="433"/>
      <c r="AF50" s="113">
        <v>45</v>
      </c>
      <c r="AG50" s="432">
        <v>99.21</v>
      </c>
      <c r="AH50" s="432">
        <v>100.37</v>
      </c>
      <c r="AI50" s="432">
        <v>100.95</v>
      </c>
      <c r="AJ50" s="426"/>
      <c r="AK50" s="426"/>
      <c r="AL50" s="426"/>
      <c r="AM50" s="426"/>
      <c r="AN50" s="426"/>
      <c r="AO50" s="433"/>
      <c r="AP50" s="113">
        <v>45</v>
      </c>
      <c r="AQ50" s="432">
        <v>105.75</v>
      </c>
      <c r="AR50" s="432">
        <v>107.09</v>
      </c>
      <c r="AS50" s="432">
        <v>107.72</v>
      </c>
      <c r="AT50" s="426"/>
      <c r="AU50" s="426"/>
      <c r="AV50" s="426"/>
      <c r="AW50" s="426"/>
      <c r="AX50" s="426"/>
      <c r="AY50" s="433"/>
      <c r="AZ50" s="113">
        <v>45</v>
      </c>
      <c r="BA50" s="432">
        <v>112.68</v>
      </c>
      <c r="BB50" s="432">
        <v>114.22</v>
      </c>
      <c r="BC50" s="432">
        <v>114.91</v>
      </c>
      <c r="BD50" s="426"/>
      <c r="BE50" s="426"/>
      <c r="BF50" s="426"/>
      <c r="BG50" s="426"/>
      <c r="BH50" s="426"/>
    </row>
    <row r="51" spans="1:60" x14ac:dyDescent="0.2">
      <c r="A51" s="433"/>
      <c r="B51" s="113">
        <v>46</v>
      </c>
      <c r="C51" s="432">
        <v>82.64</v>
      </c>
      <c r="D51" s="432">
        <v>83.39</v>
      </c>
      <c r="E51" s="432">
        <v>83.83</v>
      </c>
      <c r="F51" s="426"/>
      <c r="G51" s="426"/>
      <c r="H51" s="426"/>
      <c r="I51" s="426"/>
      <c r="J51" s="426"/>
      <c r="K51" s="433"/>
      <c r="L51" s="113">
        <v>46</v>
      </c>
      <c r="M51" s="432">
        <v>88.21</v>
      </c>
      <c r="N51" s="432">
        <v>89.09</v>
      </c>
      <c r="O51" s="432">
        <v>89.58</v>
      </c>
      <c r="P51" s="426"/>
      <c r="Q51" s="426"/>
      <c r="R51" s="426"/>
      <c r="S51" s="426"/>
      <c r="T51" s="426"/>
      <c r="U51" s="433"/>
      <c r="V51" s="113">
        <v>46</v>
      </c>
      <c r="W51" s="432">
        <v>94.12</v>
      </c>
      <c r="X51" s="432">
        <v>95.15</v>
      </c>
      <c r="Y51" s="432">
        <v>95.69</v>
      </c>
      <c r="Z51" s="426"/>
      <c r="AA51" s="426"/>
      <c r="AB51" s="426"/>
      <c r="AC51" s="426"/>
      <c r="AD51" s="426"/>
      <c r="AE51" s="433"/>
      <c r="AF51" s="113">
        <v>46</v>
      </c>
      <c r="AG51" s="432">
        <v>100.4</v>
      </c>
      <c r="AH51" s="432">
        <v>101.59</v>
      </c>
      <c r="AI51" s="432">
        <v>102.17</v>
      </c>
      <c r="AJ51" s="426"/>
      <c r="AK51" s="426"/>
      <c r="AL51" s="426"/>
      <c r="AM51" s="426"/>
      <c r="AN51" s="426"/>
      <c r="AO51" s="433"/>
      <c r="AP51" s="113">
        <v>46</v>
      </c>
      <c r="AQ51" s="432">
        <v>107.05</v>
      </c>
      <c r="AR51" s="432">
        <v>108.42</v>
      </c>
      <c r="AS51" s="432">
        <v>109.06</v>
      </c>
      <c r="AT51" s="426"/>
      <c r="AU51" s="426"/>
      <c r="AV51" s="426"/>
      <c r="AW51" s="426"/>
      <c r="AX51" s="426"/>
      <c r="AY51" s="433"/>
      <c r="AZ51" s="113">
        <v>46</v>
      </c>
      <c r="BA51" s="432">
        <v>114.1</v>
      </c>
      <c r="BB51" s="432">
        <v>115.66</v>
      </c>
      <c r="BC51" s="432">
        <v>116.36</v>
      </c>
      <c r="BD51" s="426"/>
      <c r="BE51" s="426"/>
      <c r="BF51" s="426"/>
      <c r="BG51" s="426"/>
      <c r="BH51" s="426"/>
    </row>
    <row r="52" spans="1:60" x14ac:dyDescent="0.2">
      <c r="A52" s="433"/>
      <c r="B52" s="113">
        <v>47</v>
      </c>
      <c r="C52" s="432">
        <v>83.6</v>
      </c>
      <c r="D52" s="432">
        <v>84.36</v>
      </c>
      <c r="E52" s="432">
        <v>84.81</v>
      </c>
      <c r="F52" s="426"/>
      <c r="G52" s="426"/>
      <c r="H52" s="426"/>
      <c r="I52" s="426"/>
      <c r="J52" s="426"/>
      <c r="K52" s="433"/>
      <c r="L52" s="113">
        <v>47</v>
      </c>
      <c r="M52" s="432">
        <v>89.26</v>
      </c>
      <c r="N52" s="432">
        <v>90.15</v>
      </c>
      <c r="O52" s="432">
        <v>90.65</v>
      </c>
      <c r="P52" s="426"/>
      <c r="Q52" s="426"/>
      <c r="R52" s="426"/>
      <c r="S52" s="426"/>
      <c r="T52" s="426"/>
      <c r="U52" s="433"/>
      <c r="V52" s="113">
        <v>47</v>
      </c>
      <c r="W52" s="432">
        <v>95.26</v>
      </c>
      <c r="X52" s="432">
        <v>96.31</v>
      </c>
      <c r="Y52" s="432">
        <v>96.85</v>
      </c>
      <c r="Z52" s="426"/>
      <c r="AA52" s="426"/>
      <c r="AB52" s="426"/>
      <c r="AC52" s="426"/>
      <c r="AD52" s="426"/>
      <c r="AE52" s="433"/>
      <c r="AF52" s="113">
        <v>47</v>
      </c>
      <c r="AG52" s="432">
        <v>101.64</v>
      </c>
      <c r="AH52" s="432">
        <v>102.86</v>
      </c>
      <c r="AI52" s="432">
        <v>103.45</v>
      </c>
      <c r="AJ52" s="426"/>
      <c r="AK52" s="426"/>
      <c r="AL52" s="426"/>
      <c r="AM52" s="426"/>
      <c r="AN52" s="426"/>
      <c r="AO52" s="433"/>
      <c r="AP52" s="113">
        <v>47</v>
      </c>
      <c r="AQ52" s="432">
        <v>108.41</v>
      </c>
      <c r="AR52" s="432">
        <v>109.81</v>
      </c>
      <c r="AS52" s="432">
        <v>110.45</v>
      </c>
      <c r="AT52" s="426"/>
      <c r="AU52" s="426"/>
      <c r="AV52" s="426"/>
      <c r="AW52" s="426"/>
      <c r="AX52" s="426"/>
      <c r="AY52" s="433"/>
      <c r="AZ52" s="113">
        <v>47</v>
      </c>
      <c r="BA52" s="432">
        <v>115.57</v>
      </c>
      <c r="BB52" s="432">
        <v>117.17</v>
      </c>
      <c r="BC52" s="432">
        <v>117.87</v>
      </c>
      <c r="BD52" s="426"/>
      <c r="BE52" s="426"/>
      <c r="BF52" s="426"/>
      <c r="BG52" s="426"/>
      <c r="BH52" s="426"/>
    </row>
    <row r="53" spans="1:60" x14ac:dyDescent="0.2">
      <c r="A53" s="433"/>
      <c r="B53" s="113">
        <v>48</v>
      </c>
      <c r="C53" s="432">
        <v>84.59</v>
      </c>
      <c r="D53" s="432">
        <v>85.37</v>
      </c>
      <c r="E53" s="432">
        <v>85.82</v>
      </c>
      <c r="F53" s="426"/>
      <c r="G53" s="426"/>
      <c r="H53" s="426"/>
      <c r="I53" s="426"/>
      <c r="J53" s="426"/>
      <c r="K53" s="433"/>
      <c r="L53" s="113">
        <v>48</v>
      </c>
      <c r="M53" s="432">
        <v>90.34</v>
      </c>
      <c r="N53" s="432">
        <v>91.26</v>
      </c>
      <c r="O53" s="432">
        <v>91.76</v>
      </c>
      <c r="P53" s="426"/>
      <c r="Q53" s="426"/>
      <c r="R53" s="426"/>
      <c r="S53" s="426"/>
      <c r="T53" s="426"/>
      <c r="U53" s="433"/>
      <c r="V53" s="113">
        <v>48</v>
      </c>
      <c r="W53" s="432">
        <v>96.45</v>
      </c>
      <c r="X53" s="432">
        <v>97.52</v>
      </c>
      <c r="Y53" s="432">
        <v>98.07</v>
      </c>
      <c r="Z53" s="426"/>
      <c r="AA53" s="426"/>
      <c r="AB53" s="426"/>
      <c r="AC53" s="426"/>
      <c r="AD53" s="426"/>
      <c r="AE53" s="433"/>
      <c r="AF53" s="113">
        <v>48</v>
      </c>
      <c r="AG53" s="432">
        <v>102.94</v>
      </c>
      <c r="AH53" s="432">
        <v>104.18</v>
      </c>
      <c r="AI53" s="432">
        <v>104.78</v>
      </c>
      <c r="AJ53" s="426"/>
      <c r="AK53" s="426"/>
      <c r="AL53" s="426"/>
      <c r="AM53" s="426"/>
      <c r="AN53" s="426"/>
      <c r="AO53" s="433"/>
      <c r="AP53" s="113">
        <v>48</v>
      </c>
      <c r="AQ53" s="432">
        <v>109.82</v>
      </c>
      <c r="AR53" s="432">
        <v>111.25</v>
      </c>
      <c r="AS53" s="432">
        <v>111.9</v>
      </c>
      <c r="AT53" s="426"/>
      <c r="AU53" s="426"/>
      <c r="AV53" s="426"/>
      <c r="AW53" s="426"/>
      <c r="AX53" s="426"/>
      <c r="AY53" s="433"/>
      <c r="AZ53" s="113">
        <v>48</v>
      </c>
      <c r="BA53" s="432">
        <v>117.12</v>
      </c>
      <c r="BB53" s="432">
        <v>118.76</v>
      </c>
      <c r="BC53" s="432">
        <v>119.46</v>
      </c>
      <c r="BD53" s="426"/>
      <c r="BE53" s="426"/>
      <c r="BF53" s="426"/>
      <c r="BG53" s="426"/>
      <c r="BH53" s="426"/>
    </row>
    <row r="54" spans="1:60" x14ac:dyDescent="0.2">
      <c r="A54" s="433"/>
      <c r="B54" s="113">
        <v>49</v>
      </c>
      <c r="C54" s="432">
        <v>85.63</v>
      </c>
      <c r="D54" s="432">
        <v>86.43</v>
      </c>
      <c r="E54" s="432">
        <v>86.88</v>
      </c>
      <c r="F54" s="426"/>
      <c r="G54" s="426"/>
      <c r="H54" s="426"/>
      <c r="I54" s="426"/>
      <c r="J54" s="426"/>
      <c r="K54" s="433"/>
      <c r="L54" s="113">
        <v>49</v>
      </c>
      <c r="M54" s="432">
        <v>91.47</v>
      </c>
      <c r="N54" s="432">
        <v>92.42</v>
      </c>
      <c r="O54" s="432">
        <v>92.92</v>
      </c>
      <c r="P54" s="426"/>
      <c r="Q54" s="426"/>
      <c r="R54" s="426"/>
      <c r="S54" s="426"/>
      <c r="T54" s="426"/>
      <c r="U54" s="433"/>
      <c r="V54" s="113">
        <v>49</v>
      </c>
      <c r="W54" s="432">
        <v>97.69</v>
      </c>
      <c r="X54" s="432">
        <v>98.79</v>
      </c>
      <c r="Y54" s="432">
        <v>99.34</v>
      </c>
      <c r="Z54" s="426"/>
      <c r="AA54" s="426"/>
      <c r="AB54" s="426"/>
      <c r="AC54" s="426"/>
      <c r="AD54" s="426"/>
      <c r="AE54" s="433"/>
      <c r="AF54" s="113">
        <v>49</v>
      </c>
      <c r="AG54" s="432">
        <v>104.3</v>
      </c>
      <c r="AH54" s="432">
        <v>105.57</v>
      </c>
      <c r="AI54" s="432">
        <v>106.17</v>
      </c>
      <c r="AJ54" s="426"/>
      <c r="AK54" s="426"/>
      <c r="AL54" s="426"/>
      <c r="AM54" s="426"/>
      <c r="AN54" s="426"/>
      <c r="AO54" s="433"/>
      <c r="AP54" s="113">
        <v>49</v>
      </c>
      <c r="AQ54" s="432">
        <v>111.32</v>
      </c>
      <c r="AR54" s="432">
        <v>112.78</v>
      </c>
      <c r="AS54" s="432">
        <v>113.43</v>
      </c>
      <c r="AT54" s="426"/>
      <c r="AU54" s="426"/>
      <c r="AV54" s="426"/>
      <c r="AW54" s="426"/>
      <c r="AX54" s="426"/>
      <c r="AY54" s="433"/>
      <c r="AZ54" s="113">
        <v>49</v>
      </c>
      <c r="BA54" s="432">
        <v>118.75</v>
      </c>
      <c r="BB54" s="432">
        <v>120.42</v>
      </c>
      <c r="BC54" s="432">
        <v>121.13</v>
      </c>
      <c r="BD54" s="426"/>
      <c r="BE54" s="426"/>
      <c r="BF54" s="426"/>
      <c r="BG54" s="426"/>
      <c r="BH54" s="426"/>
    </row>
    <row r="55" spans="1:60" x14ac:dyDescent="0.2">
      <c r="A55" s="433"/>
      <c r="B55" s="113">
        <v>50</v>
      </c>
      <c r="C55" s="432">
        <v>86.71</v>
      </c>
      <c r="D55" s="432">
        <v>87.53</v>
      </c>
      <c r="E55" s="432">
        <v>87.99</v>
      </c>
      <c r="F55" s="426"/>
      <c r="G55" s="426"/>
      <c r="H55" s="426"/>
      <c r="I55" s="434"/>
      <c r="J55" s="435"/>
      <c r="K55" s="433"/>
      <c r="L55" s="113">
        <v>50</v>
      </c>
      <c r="M55" s="432">
        <v>92.66</v>
      </c>
      <c r="N55" s="432">
        <v>93.63</v>
      </c>
      <c r="O55" s="432">
        <v>94.13</v>
      </c>
      <c r="P55" s="426"/>
      <c r="Q55" s="426"/>
      <c r="R55" s="426"/>
      <c r="S55" s="434"/>
      <c r="T55" s="435"/>
      <c r="U55" s="433"/>
      <c r="V55" s="113">
        <v>50</v>
      </c>
      <c r="W55" s="432">
        <v>99</v>
      </c>
      <c r="X55" s="432">
        <v>100.12</v>
      </c>
      <c r="Y55" s="432">
        <v>100.68</v>
      </c>
      <c r="Z55" s="426"/>
      <c r="AA55" s="426"/>
      <c r="AB55" s="426"/>
      <c r="AC55" s="434"/>
      <c r="AD55" s="435"/>
      <c r="AE55" s="433"/>
      <c r="AF55" s="113">
        <v>50</v>
      </c>
      <c r="AG55" s="432">
        <v>105.73</v>
      </c>
      <c r="AH55" s="432">
        <v>107.04</v>
      </c>
      <c r="AI55" s="432">
        <v>107.64</v>
      </c>
      <c r="AJ55" s="426"/>
      <c r="AK55" s="426"/>
      <c r="AL55" s="426"/>
      <c r="AM55" s="434"/>
      <c r="AN55" s="435"/>
      <c r="AO55" s="433"/>
      <c r="AP55" s="113">
        <v>50</v>
      </c>
      <c r="AQ55" s="432">
        <v>112.89</v>
      </c>
      <c r="AR55" s="432">
        <v>114.38</v>
      </c>
      <c r="AS55" s="432">
        <v>115.04</v>
      </c>
      <c r="AT55" s="426"/>
      <c r="AU55" s="426"/>
      <c r="AV55" s="426"/>
      <c r="AW55" s="434"/>
      <c r="AX55" s="435"/>
      <c r="AY55" s="433"/>
      <c r="AZ55" s="113">
        <v>50</v>
      </c>
      <c r="BA55" s="432">
        <v>120.46</v>
      </c>
      <c r="BB55" s="432">
        <v>122.17</v>
      </c>
      <c r="BC55" s="432">
        <v>122.89</v>
      </c>
      <c r="BD55" s="426"/>
      <c r="BE55" s="426"/>
      <c r="BF55" s="426"/>
      <c r="BG55" s="434"/>
      <c r="BH55" s="435"/>
    </row>
    <row r="56" spans="1:60" x14ac:dyDescent="0.2">
      <c r="A56" s="426"/>
      <c r="B56" s="113">
        <v>51</v>
      </c>
      <c r="C56" s="432">
        <v>87.85</v>
      </c>
      <c r="D56" s="432">
        <v>88.69</v>
      </c>
      <c r="E56" s="432">
        <v>89.15</v>
      </c>
      <c r="F56" s="426"/>
      <c r="G56" s="426"/>
      <c r="H56" s="426"/>
      <c r="I56" s="426"/>
      <c r="J56" s="436"/>
      <c r="K56" s="426"/>
      <c r="L56" s="113">
        <v>51</v>
      </c>
      <c r="M56" s="432">
        <v>93.92</v>
      </c>
      <c r="N56" s="432">
        <v>94.9</v>
      </c>
      <c r="O56" s="432">
        <v>95.41</v>
      </c>
      <c r="P56" s="426"/>
      <c r="Q56" s="426"/>
      <c r="R56" s="426"/>
      <c r="S56" s="426"/>
      <c r="T56" s="436"/>
      <c r="U56" s="426"/>
      <c r="V56" s="113">
        <v>51</v>
      </c>
      <c r="W56" s="432">
        <v>100.38</v>
      </c>
      <c r="X56" s="432">
        <v>101.53</v>
      </c>
      <c r="Y56" s="432">
        <v>102.09</v>
      </c>
      <c r="Z56" s="426"/>
      <c r="AA56" s="426"/>
      <c r="AB56" s="426"/>
      <c r="AC56" s="426"/>
      <c r="AD56" s="436"/>
      <c r="AE56" s="426"/>
      <c r="AF56" s="113">
        <v>51</v>
      </c>
      <c r="AG56" s="432">
        <v>107.25</v>
      </c>
      <c r="AH56" s="432">
        <v>108.59</v>
      </c>
      <c r="AI56" s="432">
        <v>109.19</v>
      </c>
      <c r="AJ56" s="426"/>
      <c r="AK56" s="426"/>
      <c r="AL56" s="426"/>
      <c r="AM56" s="426"/>
      <c r="AN56" s="436"/>
      <c r="AO56" s="426"/>
      <c r="AP56" s="113">
        <v>51</v>
      </c>
      <c r="AQ56" s="432">
        <v>114.54</v>
      </c>
      <c r="AR56" s="432">
        <v>116.08</v>
      </c>
      <c r="AS56" s="432">
        <v>116.74</v>
      </c>
      <c r="AT56" s="426"/>
      <c r="AU56" s="426"/>
      <c r="AV56" s="426"/>
      <c r="AW56" s="426"/>
      <c r="AX56" s="436"/>
      <c r="AY56" s="426"/>
      <c r="AZ56" s="113">
        <v>51</v>
      </c>
      <c r="BA56" s="432">
        <v>122.27</v>
      </c>
      <c r="BB56" s="432">
        <v>124.03</v>
      </c>
      <c r="BC56" s="432">
        <v>124.75</v>
      </c>
      <c r="BD56" s="426"/>
      <c r="BE56" s="426"/>
      <c r="BF56" s="426"/>
      <c r="BG56" s="426"/>
      <c r="BH56" s="436"/>
    </row>
    <row r="57" spans="1:60" x14ac:dyDescent="0.2">
      <c r="A57" s="426"/>
      <c r="B57" s="113">
        <v>52</v>
      </c>
      <c r="C57" s="432">
        <v>89.05</v>
      </c>
      <c r="D57" s="432">
        <v>89.91</v>
      </c>
      <c r="E57" s="432">
        <v>90.38</v>
      </c>
      <c r="F57" s="426"/>
      <c r="G57" s="426"/>
      <c r="H57" s="426"/>
      <c r="I57" s="426"/>
      <c r="J57" s="426"/>
      <c r="K57" s="426"/>
      <c r="L57" s="113">
        <v>52</v>
      </c>
      <c r="M57" s="432">
        <v>95.24</v>
      </c>
      <c r="N57" s="432">
        <v>96.25</v>
      </c>
      <c r="O57" s="432">
        <v>96.77</v>
      </c>
      <c r="P57" s="426"/>
      <c r="Q57" s="426"/>
      <c r="R57" s="426"/>
      <c r="S57" s="426"/>
      <c r="T57" s="426"/>
      <c r="U57" s="426"/>
      <c r="V57" s="113">
        <v>52</v>
      </c>
      <c r="W57" s="432">
        <v>101.84</v>
      </c>
      <c r="X57" s="432">
        <v>103.02</v>
      </c>
      <c r="Y57" s="432">
        <v>103.58</v>
      </c>
      <c r="Z57" s="426"/>
      <c r="AA57" s="426"/>
      <c r="AB57" s="426"/>
      <c r="AC57" s="426"/>
      <c r="AD57" s="426"/>
      <c r="AE57" s="426"/>
      <c r="AF57" s="113">
        <v>52</v>
      </c>
      <c r="AG57" s="432">
        <v>108.85</v>
      </c>
      <c r="AH57" s="432">
        <v>110.22</v>
      </c>
      <c r="AI57" s="432">
        <v>110.84</v>
      </c>
      <c r="AJ57" s="426"/>
      <c r="AK57" s="426"/>
      <c r="AL57" s="426"/>
      <c r="AM57" s="426"/>
      <c r="AN57" s="426"/>
      <c r="AO57" s="426"/>
      <c r="AP57" s="113">
        <v>52</v>
      </c>
      <c r="AQ57" s="432">
        <v>116.3</v>
      </c>
      <c r="AR57" s="432">
        <v>117.87</v>
      </c>
      <c r="AS57" s="432">
        <v>118.54</v>
      </c>
      <c r="AT57" s="426"/>
      <c r="AU57" s="426"/>
      <c r="AV57" s="426"/>
      <c r="AW57" s="426"/>
      <c r="AX57" s="426"/>
      <c r="AY57" s="426"/>
      <c r="AZ57" s="113">
        <v>52</v>
      </c>
      <c r="BA57" s="432">
        <v>124.23</v>
      </c>
      <c r="BB57" s="432">
        <v>126.03</v>
      </c>
      <c r="BC57" s="432">
        <v>126.76</v>
      </c>
      <c r="BD57" s="426"/>
      <c r="BE57" s="426"/>
      <c r="BF57" s="426"/>
      <c r="BG57" s="426"/>
      <c r="BH57" s="426"/>
    </row>
    <row r="58" spans="1:60" x14ac:dyDescent="0.2">
      <c r="A58" s="426"/>
      <c r="B58" s="113">
        <v>53</v>
      </c>
      <c r="C58" s="432">
        <v>90.32</v>
      </c>
      <c r="D58" s="432">
        <v>91.2</v>
      </c>
      <c r="E58" s="432">
        <v>91.68</v>
      </c>
      <c r="F58" s="426"/>
      <c r="G58" s="426"/>
      <c r="H58" s="426"/>
      <c r="I58" s="426"/>
      <c r="J58" s="426"/>
      <c r="K58" s="426"/>
      <c r="L58" s="113">
        <v>53</v>
      </c>
      <c r="M58" s="432">
        <v>96.65</v>
      </c>
      <c r="N58" s="432">
        <v>97.69</v>
      </c>
      <c r="O58" s="432">
        <v>98.21</v>
      </c>
      <c r="P58" s="426"/>
      <c r="Q58" s="426"/>
      <c r="R58" s="426"/>
      <c r="S58" s="426"/>
      <c r="T58" s="426"/>
      <c r="U58" s="426"/>
      <c r="V58" s="113">
        <v>53</v>
      </c>
      <c r="W58" s="432">
        <v>103.39</v>
      </c>
      <c r="X58" s="432">
        <v>104.6</v>
      </c>
      <c r="Y58" s="432">
        <v>105.17</v>
      </c>
      <c r="Z58" s="426"/>
      <c r="AA58" s="426"/>
      <c r="AB58" s="426"/>
      <c r="AC58" s="426"/>
      <c r="AD58" s="426"/>
      <c r="AE58" s="426"/>
      <c r="AF58" s="113">
        <v>53</v>
      </c>
      <c r="AG58" s="432">
        <v>110.55</v>
      </c>
      <c r="AH58" s="432">
        <v>111.96</v>
      </c>
      <c r="AI58" s="432">
        <v>112.58</v>
      </c>
      <c r="AJ58" s="426"/>
      <c r="AK58" s="426"/>
      <c r="AL58" s="426"/>
      <c r="AM58" s="426"/>
      <c r="AN58" s="426"/>
      <c r="AO58" s="426"/>
      <c r="AP58" s="113">
        <v>53</v>
      </c>
      <c r="AQ58" s="432">
        <v>118.21</v>
      </c>
      <c r="AR58" s="432">
        <v>119.82</v>
      </c>
      <c r="AS58" s="432">
        <v>120.5</v>
      </c>
      <c r="AT58" s="426"/>
      <c r="AU58" s="426"/>
      <c r="AV58" s="426"/>
      <c r="AW58" s="426"/>
      <c r="AX58" s="426"/>
      <c r="AY58" s="426"/>
      <c r="AZ58" s="113">
        <v>53</v>
      </c>
      <c r="BA58" s="432">
        <v>126.4</v>
      </c>
      <c r="BB58" s="432">
        <v>128.25</v>
      </c>
      <c r="BC58" s="432">
        <v>128.97999999999999</v>
      </c>
      <c r="BD58" s="426"/>
      <c r="BE58" s="426"/>
      <c r="BF58" s="426"/>
      <c r="BG58" s="426"/>
      <c r="BH58" s="426"/>
    </row>
    <row r="59" spans="1:60" x14ac:dyDescent="0.2">
      <c r="A59" s="426"/>
      <c r="B59" s="113">
        <v>54</v>
      </c>
      <c r="C59" s="432">
        <v>91.67</v>
      </c>
      <c r="D59" s="432">
        <v>92.58</v>
      </c>
      <c r="E59" s="432">
        <v>93.05</v>
      </c>
      <c r="F59" s="426"/>
      <c r="G59" s="426"/>
      <c r="H59" s="426"/>
      <c r="I59" s="426"/>
      <c r="J59" s="426"/>
      <c r="K59" s="426"/>
      <c r="L59" s="113">
        <v>54</v>
      </c>
      <c r="M59" s="432">
        <v>98.14</v>
      </c>
      <c r="N59" s="432">
        <v>99.21</v>
      </c>
      <c r="O59" s="432">
        <v>99.73</v>
      </c>
      <c r="P59" s="426"/>
      <c r="Q59" s="426"/>
      <c r="R59" s="426"/>
      <c r="S59" s="426"/>
      <c r="T59" s="426"/>
      <c r="U59" s="426"/>
      <c r="V59" s="113">
        <v>54</v>
      </c>
      <c r="W59" s="432">
        <v>105.03</v>
      </c>
      <c r="X59" s="432">
        <v>106.28</v>
      </c>
      <c r="Y59" s="432">
        <v>106.85</v>
      </c>
      <c r="Z59" s="426"/>
      <c r="AA59" s="426"/>
      <c r="AB59" s="426"/>
      <c r="AC59" s="426"/>
      <c r="AD59" s="426"/>
      <c r="AE59" s="426"/>
      <c r="AF59" s="113">
        <v>54</v>
      </c>
      <c r="AG59" s="432">
        <v>112.4</v>
      </c>
      <c r="AH59" s="432">
        <v>113.85</v>
      </c>
      <c r="AI59" s="432">
        <v>114.47</v>
      </c>
      <c r="AJ59" s="426"/>
      <c r="AK59" s="426"/>
      <c r="AL59" s="426"/>
      <c r="AM59" s="426"/>
      <c r="AN59" s="426"/>
      <c r="AO59" s="426"/>
      <c r="AP59" s="113">
        <v>54</v>
      </c>
      <c r="AQ59" s="432">
        <v>120.31</v>
      </c>
      <c r="AR59" s="432">
        <v>121.98</v>
      </c>
      <c r="AS59" s="432">
        <v>122.65</v>
      </c>
      <c r="AT59" s="426"/>
      <c r="AU59" s="426"/>
      <c r="AV59" s="426"/>
      <c r="AW59" s="426"/>
      <c r="AX59" s="426"/>
      <c r="AY59" s="426"/>
      <c r="AZ59" s="113">
        <v>54</v>
      </c>
      <c r="BA59" s="432">
        <v>128.75</v>
      </c>
      <c r="BB59" s="432">
        <v>130.66</v>
      </c>
      <c r="BC59" s="432">
        <v>131.4</v>
      </c>
      <c r="BD59" s="426"/>
      <c r="BE59" s="426"/>
      <c r="BF59" s="426"/>
      <c r="BG59" s="426"/>
      <c r="BH59" s="426"/>
    </row>
    <row r="60" spans="1:60" x14ac:dyDescent="0.2">
      <c r="A60" s="426"/>
      <c r="B60" s="113">
        <v>55</v>
      </c>
      <c r="C60" s="432">
        <v>93.1</v>
      </c>
      <c r="D60" s="432">
        <v>94.04</v>
      </c>
      <c r="E60" s="432">
        <v>94.52</v>
      </c>
      <c r="F60" s="426"/>
      <c r="G60" s="426"/>
      <c r="H60" s="426"/>
      <c r="I60" s="426"/>
      <c r="J60" s="426"/>
      <c r="K60" s="426"/>
      <c r="L60" s="113">
        <v>55</v>
      </c>
      <c r="M60" s="432">
        <v>99.72</v>
      </c>
      <c r="N60" s="432">
        <v>100.82</v>
      </c>
      <c r="O60" s="432">
        <v>101.35</v>
      </c>
      <c r="P60" s="426"/>
      <c r="Q60" s="426"/>
      <c r="R60" s="426"/>
      <c r="S60" s="426"/>
      <c r="T60" s="426"/>
      <c r="U60" s="426"/>
      <c r="V60" s="113">
        <v>55</v>
      </c>
      <c r="W60" s="432">
        <v>106.82</v>
      </c>
      <c r="X60" s="432">
        <v>108.1</v>
      </c>
      <c r="Y60" s="432">
        <v>108.68</v>
      </c>
      <c r="Z60" s="426"/>
      <c r="AA60" s="426"/>
      <c r="AB60" s="426"/>
      <c r="AC60" s="426"/>
      <c r="AD60" s="426"/>
      <c r="AE60" s="426"/>
      <c r="AF60" s="113">
        <v>55</v>
      </c>
      <c r="AG60" s="432">
        <v>114.45</v>
      </c>
      <c r="AH60" s="432">
        <v>115.93</v>
      </c>
      <c r="AI60" s="432">
        <v>116.56</v>
      </c>
      <c r="AJ60" s="426"/>
      <c r="AK60" s="426"/>
      <c r="AL60" s="426"/>
      <c r="AM60" s="426"/>
      <c r="AN60" s="426"/>
      <c r="AO60" s="426"/>
      <c r="AP60" s="113">
        <v>55</v>
      </c>
      <c r="AQ60" s="432">
        <v>122.61</v>
      </c>
      <c r="AR60" s="432">
        <v>124.32</v>
      </c>
      <c r="AS60" s="432">
        <v>125</v>
      </c>
      <c r="AT60" s="426"/>
      <c r="AU60" s="426"/>
      <c r="AV60" s="426"/>
      <c r="AW60" s="426"/>
      <c r="AX60" s="426"/>
      <c r="AY60" s="426"/>
      <c r="AZ60" s="113">
        <v>55</v>
      </c>
      <c r="BA60" s="432">
        <v>131.29</v>
      </c>
      <c r="BB60" s="432">
        <v>133.25</v>
      </c>
      <c r="BC60" s="432">
        <v>134</v>
      </c>
      <c r="BD60" s="426"/>
      <c r="BE60" s="426"/>
      <c r="BF60" s="426"/>
      <c r="BG60" s="426"/>
      <c r="BH60" s="426"/>
    </row>
    <row r="61" spans="1:60" x14ac:dyDescent="0.2">
      <c r="A61" s="426"/>
      <c r="B61" s="113">
        <v>56</v>
      </c>
      <c r="C61" s="432">
        <v>94.63</v>
      </c>
      <c r="D61" s="432">
        <v>95.59</v>
      </c>
      <c r="E61" s="432">
        <v>96.08</v>
      </c>
      <c r="F61" s="426"/>
      <c r="G61" s="426"/>
      <c r="H61" s="426"/>
      <c r="I61" s="426"/>
      <c r="J61" s="426"/>
      <c r="K61" s="426"/>
      <c r="L61" s="113">
        <v>56</v>
      </c>
      <c r="M61" s="432">
        <v>101.45</v>
      </c>
      <c r="N61" s="432">
        <v>102.58</v>
      </c>
      <c r="O61" s="432">
        <v>103.11</v>
      </c>
      <c r="P61" s="426"/>
      <c r="Q61" s="426"/>
      <c r="R61" s="426"/>
      <c r="S61" s="426"/>
      <c r="T61" s="426"/>
      <c r="U61" s="426"/>
      <c r="V61" s="113">
        <v>56</v>
      </c>
      <c r="W61" s="432">
        <v>108.8</v>
      </c>
      <c r="X61" s="432">
        <v>110.12</v>
      </c>
      <c r="Y61" s="432">
        <v>110.7</v>
      </c>
      <c r="Z61" s="426"/>
      <c r="AA61" s="426"/>
      <c r="AB61" s="426"/>
      <c r="AC61" s="426"/>
      <c r="AD61" s="426"/>
      <c r="AE61" s="426"/>
      <c r="AF61" s="113">
        <v>56</v>
      </c>
      <c r="AG61" s="432">
        <v>116.67</v>
      </c>
      <c r="AH61" s="432">
        <v>118.21</v>
      </c>
      <c r="AI61" s="432">
        <v>118.84</v>
      </c>
      <c r="AJ61" s="426"/>
      <c r="AK61" s="426"/>
      <c r="AL61" s="426"/>
      <c r="AM61" s="426"/>
      <c r="AN61" s="426"/>
      <c r="AO61" s="426"/>
      <c r="AP61" s="113">
        <v>56</v>
      </c>
      <c r="AQ61" s="432">
        <v>125.08</v>
      </c>
      <c r="AR61" s="432">
        <v>126.85</v>
      </c>
      <c r="AS61" s="432">
        <v>127.54</v>
      </c>
      <c r="AT61" s="426"/>
      <c r="AU61" s="426"/>
      <c r="AV61" s="426"/>
      <c r="AW61" s="426"/>
      <c r="AX61" s="426"/>
      <c r="AY61" s="426"/>
      <c r="AZ61" s="113">
        <v>56</v>
      </c>
      <c r="BA61" s="432">
        <v>133.99</v>
      </c>
      <c r="BB61" s="432">
        <v>136.01</v>
      </c>
      <c r="BC61" s="432">
        <v>136.76</v>
      </c>
      <c r="BD61" s="426"/>
      <c r="BE61" s="426"/>
      <c r="BF61" s="426"/>
      <c r="BG61" s="426"/>
      <c r="BH61" s="426"/>
    </row>
    <row r="62" spans="1:60" x14ac:dyDescent="0.2">
      <c r="A62" s="426"/>
      <c r="B62" s="113">
        <v>57</v>
      </c>
      <c r="C62" s="432">
        <v>96.29</v>
      </c>
      <c r="D62" s="432">
        <v>97.29</v>
      </c>
      <c r="E62" s="432">
        <v>97.77</v>
      </c>
      <c r="F62" s="426"/>
      <c r="G62" s="426"/>
      <c r="H62" s="426"/>
      <c r="I62" s="426"/>
      <c r="J62" s="426"/>
      <c r="K62" s="426"/>
      <c r="L62" s="113">
        <v>57</v>
      </c>
      <c r="M62" s="432">
        <v>103.36</v>
      </c>
      <c r="N62" s="432">
        <v>104.53</v>
      </c>
      <c r="O62" s="432">
        <v>105.07</v>
      </c>
      <c r="P62" s="426"/>
      <c r="Q62" s="426"/>
      <c r="R62" s="426"/>
      <c r="S62" s="426"/>
      <c r="T62" s="426"/>
      <c r="U62" s="426"/>
      <c r="V62" s="113">
        <v>57</v>
      </c>
      <c r="W62" s="432">
        <v>110.96</v>
      </c>
      <c r="X62" s="432">
        <v>112.33</v>
      </c>
      <c r="Y62" s="432">
        <v>112.91</v>
      </c>
      <c r="Z62" s="426"/>
      <c r="AA62" s="426"/>
      <c r="AB62" s="426"/>
      <c r="AC62" s="426"/>
      <c r="AD62" s="426"/>
      <c r="AE62" s="426"/>
      <c r="AF62" s="113">
        <v>57</v>
      </c>
      <c r="AG62" s="432">
        <v>119.08</v>
      </c>
      <c r="AH62" s="432">
        <v>120.67</v>
      </c>
      <c r="AI62" s="432">
        <v>121.31</v>
      </c>
      <c r="AJ62" s="426"/>
      <c r="AK62" s="426"/>
      <c r="AL62" s="426"/>
      <c r="AM62" s="426"/>
      <c r="AN62" s="426"/>
      <c r="AO62" s="426"/>
      <c r="AP62" s="113">
        <v>57</v>
      </c>
      <c r="AQ62" s="432">
        <v>127.72</v>
      </c>
      <c r="AR62" s="432">
        <v>129.54</v>
      </c>
      <c r="AS62" s="432">
        <v>130.24</v>
      </c>
      <c r="AT62" s="426"/>
      <c r="AU62" s="426"/>
      <c r="AV62" s="426"/>
      <c r="AW62" s="426"/>
      <c r="AX62" s="426"/>
      <c r="AY62" s="426"/>
      <c r="AZ62" s="113">
        <v>57</v>
      </c>
      <c r="BA62" s="432">
        <v>136.83000000000001</v>
      </c>
      <c r="BB62" s="432">
        <v>138.91999999999999</v>
      </c>
      <c r="BC62" s="432">
        <v>139.66999999999999</v>
      </c>
      <c r="BD62" s="426"/>
      <c r="BE62" s="426"/>
      <c r="BF62" s="426"/>
      <c r="BG62" s="426"/>
      <c r="BH62" s="426"/>
    </row>
    <row r="63" spans="1:60" x14ac:dyDescent="0.2">
      <c r="A63" s="426"/>
      <c r="B63" s="113">
        <v>58</v>
      </c>
      <c r="C63" s="432">
        <v>98.14</v>
      </c>
      <c r="D63" s="432">
        <v>99.16</v>
      </c>
      <c r="E63" s="432">
        <v>99.65</v>
      </c>
      <c r="F63" s="426"/>
      <c r="G63" s="426"/>
      <c r="H63" s="426"/>
      <c r="I63" s="426"/>
      <c r="J63" s="426"/>
      <c r="K63" s="426"/>
      <c r="L63" s="113">
        <v>58</v>
      </c>
      <c r="M63" s="432">
        <v>105.45</v>
      </c>
      <c r="N63" s="432">
        <v>106.66</v>
      </c>
      <c r="O63" s="432">
        <v>107.2</v>
      </c>
      <c r="P63" s="426"/>
      <c r="Q63" s="426"/>
      <c r="R63" s="426"/>
      <c r="S63" s="426"/>
      <c r="T63" s="426"/>
      <c r="U63" s="426"/>
      <c r="V63" s="113">
        <v>58</v>
      </c>
      <c r="W63" s="432">
        <v>113.29</v>
      </c>
      <c r="X63" s="432">
        <v>114.71</v>
      </c>
      <c r="Y63" s="432">
        <v>115.3</v>
      </c>
      <c r="Z63" s="426"/>
      <c r="AA63" s="426"/>
      <c r="AB63" s="426"/>
      <c r="AC63" s="426"/>
      <c r="AD63" s="426"/>
      <c r="AE63" s="426"/>
      <c r="AF63" s="113">
        <v>58</v>
      </c>
      <c r="AG63" s="432">
        <v>121.65</v>
      </c>
      <c r="AH63" s="432">
        <v>123.3</v>
      </c>
      <c r="AI63" s="432">
        <v>123.94</v>
      </c>
      <c r="AJ63" s="426"/>
      <c r="AK63" s="426"/>
      <c r="AL63" s="426"/>
      <c r="AM63" s="426"/>
      <c r="AN63" s="426"/>
      <c r="AO63" s="426"/>
      <c r="AP63" s="113">
        <v>58</v>
      </c>
      <c r="AQ63" s="432">
        <v>130.5</v>
      </c>
      <c r="AR63" s="432">
        <v>132.38999999999999</v>
      </c>
      <c r="AS63" s="432">
        <v>133.09</v>
      </c>
      <c r="AT63" s="426"/>
      <c r="AU63" s="426"/>
      <c r="AV63" s="426"/>
      <c r="AW63" s="426"/>
      <c r="AX63" s="426"/>
      <c r="AY63" s="426"/>
      <c r="AZ63" s="113">
        <v>58</v>
      </c>
      <c r="BA63" s="432">
        <v>139.79</v>
      </c>
      <c r="BB63" s="432">
        <v>141.94999999999999</v>
      </c>
      <c r="BC63" s="432">
        <v>142.71</v>
      </c>
      <c r="BD63" s="426"/>
      <c r="BE63" s="426"/>
      <c r="BF63" s="426"/>
      <c r="BG63" s="426"/>
      <c r="BH63" s="426"/>
    </row>
    <row r="64" spans="1:60" x14ac:dyDescent="0.2">
      <c r="A64" s="426"/>
      <c r="B64" s="113">
        <v>59</v>
      </c>
      <c r="C64" s="432">
        <v>100.15</v>
      </c>
      <c r="D64" s="432">
        <v>101.22</v>
      </c>
      <c r="E64" s="432">
        <v>101.71</v>
      </c>
      <c r="F64" s="426"/>
      <c r="G64" s="426"/>
      <c r="H64" s="426"/>
      <c r="I64" s="426"/>
      <c r="J64" s="426"/>
      <c r="K64" s="426"/>
      <c r="L64" s="113">
        <v>59</v>
      </c>
      <c r="M64" s="432">
        <v>107.71</v>
      </c>
      <c r="N64" s="432">
        <v>108.97</v>
      </c>
      <c r="O64" s="432">
        <v>109.51</v>
      </c>
      <c r="P64" s="426"/>
      <c r="Q64" s="426"/>
      <c r="R64" s="426"/>
      <c r="S64" s="426"/>
      <c r="T64" s="426"/>
      <c r="U64" s="426"/>
      <c r="V64" s="113">
        <v>59</v>
      </c>
      <c r="W64" s="432">
        <v>115.79</v>
      </c>
      <c r="X64" s="432">
        <v>117.26</v>
      </c>
      <c r="Y64" s="432">
        <v>117.85</v>
      </c>
      <c r="Z64" s="426"/>
      <c r="AA64" s="426"/>
      <c r="AB64" s="426"/>
      <c r="AC64" s="426"/>
      <c r="AD64" s="426"/>
      <c r="AE64" s="426"/>
      <c r="AF64" s="113">
        <v>59</v>
      </c>
      <c r="AG64" s="432">
        <v>124.38</v>
      </c>
      <c r="AH64" s="432">
        <v>126.08</v>
      </c>
      <c r="AI64" s="432">
        <v>126.73</v>
      </c>
      <c r="AJ64" s="426"/>
      <c r="AK64" s="426"/>
      <c r="AL64" s="426"/>
      <c r="AM64" s="426"/>
      <c r="AN64" s="426"/>
      <c r="AO64" s="426"/>
      <c r="AP64" s="113">
        <v>59</v>
      </c>
      <c r="AQ64" s="432">
        <v>133.41999999999999</v>
      </c>
      <c r="AR64" s="432">
        <v>135.37</v>
      </c>
      <c r="AS64" s="432">
        <v>136.08000000000001</v>
      </c>
      <c r="AT64" s="426"/>
      <c r="AU64" s="426"/>
      <c r="AV64" s="426"/>
      <c r="AW64" s="426"/>
      <c r="AX64" s="426"/>
      <c r="AY64" s="426"/>
      <c r="AZ64" s="113">
        <v>59</v>
      </c>
      <c r="BA64" s="432">
        <v>142.84</v>
      </c>
      <c r="BB64" s="432">
        <v>145.07</v>
      </c>
      <c r="BC64" s="432">
        <v>145.83000000000001</v>
      </c>
      <c r="BD64" s="426"/>
      <c r="BE64" s="426"/>
      <c r="BF64" s="426"/>
      <c r="BG64" s="426"/>
      <c r="BH64" s="426"/>
    </row>
    <row r="65" spans="1:60" x14ac:dyDescent="0.2">
      <c r="A65" s="426"/>
      <c r="B65" s="113">
        <v>60</v>
      </c>
      <c r="C65" s="432">
        <v>102.34</v>
      </c>
      <c r="D65" s="432">
        <v>103.44</v>
      </c>
      <c r="E65" s="432">
        <v>103.94</v>
      </c>
      <c r="F65" s="426"/>
      <c r="G65" s="426"/>
      <c r="H65" s="426"/>
      <c r="I65" s="426"/>
      <c r="J65" s="426"/>
      <c r="K65" s="426"/>
      <c r="L65" s="113">
        <v>60</v>
      </c>
      <c r="M65" s="432">
        <v>110.14</v>
      </c>
      <c r="N65" s="432">
        <v>111.44</v>
      </c>
      <c r="O65" s="432">
        <v>111.99</v>
      </c>
      <c r="P65" s="426"/>
      <c r="Q65" s="426"/>
      <c r="R65" s="426"/>
      <c r="S65" s="426"/>
      <c r="T65" s="426"/>
      <c r="U65" s="426"/>
      <c r="V65" s="113">
        <v>60</v>
      </c>
      <c r="W65" s="432">
        <v>118.45</v>
      </c>
      <c r="X65" s="432">
        <v>119.97</v>
      </c>
      <c r="Y65" s="432">
        <v>120.57</v>
      </c>
      <c r="Z65" s="426"/>
      <c r="AA65" s="426"/>
      <c r="AB65" s="426"/>
      <c r="AC65" s="426"/>
      <c r="AD65" s="426"/>
      <c r="AE65" s="426"/>
      <c r="AF65" s="113">
        <v>60</v>
      </c>
      <c r="AG65" s="432">
        <v>127.24</v>
      </c>
      <c r="AH65" s="432">
        <v>129</v>
      </c>
      <c r="AI65" s="432">
        <v>129.65</v>
      </c>
      <c r="AJ65" s="426"/>
      <c r="AK65" s="426"/>
      <c r="AL65" s="426"/>
      <c r="AM65" s="426"/>
      <c r="AN65" s="426"/>
      <c r="AO65" s="426"/>
      <c r="AP65" s="113">
        <v>60</v>
      </c>
      <c r="AQ65" s="432">
        <v>136.44</v>
      </c>
      <c r="AR65" s="432">
        <v>138.46</v>
      </c>
      <c r="AS65" s="432">
        <v>139.16</v>
      </c>
      <c r="AT65" s="426"/>
      <c r="AU65" s="426"/>
      <c r="AV65" s="426"/>
      <c r="AW65" s="426"/>
      <c r="AX65" s="426"/>
      <c r="AY65" s="426"/>
      <c r="AZ65" s="113">
        <v>60</v>
      </c>
      <c r="BA65" s="432">
        <v>145.94999999999999</v>
      </c>
      <c r="BB65" s="432">
        <v>148.24</v>
      </c>
      <c r="BC65" s="432">
        <v>149.01</v>
      </c>
      <c r="BD65" s="426"/>
      <c r="BE65" s="426"/>
      <c r="BF65" s="426"/>
      <c r="BG65" s="426"/>
      <c r="BH65" s="426"/>
    </row>
    <row r="66" spans="1:60" x14ac:dyDescent="0.2">
      <c r="A66" s="426"/>
      <c r="B66" s="113">
        <v>61</v>
      </c>
      <c r="C66" s="432">
        <v>104.68</v>
      </c>
      <c r="D66" s="432">
        <v>105.83</v>
      </c>
      <c r="E66" s="432">
        <v>106.33</v>
      </c>
      <c r="F66" s="426"/>
      <c r="G66" s="426"/>
      <c r="H66" s="426"/>
      <c r="I66" s="426"/>
      <c r="J66" s="426"/>
      <c r="K66" s="426"/>
      <c r="L66" s="113">
        <v>61</v>
      </c>
      <c r="M66" s="432">
        <v>112.72</v>
      </c>
      <c r="N66" s="432">
        <v>114.07</v>
      </c>
      <c r="O66" s="432">
        <v>114.62</v>
      </c>
      <c r="P66" s="426"/>
      <c r="Q66" s="426"/>
      <c r="R66" s="426"/>
      <c r="S66" s="426"/>
      <c r="T66" s="426"/>
      <c r="U66" s="426"/>
      <c r="V66" s="113">
        <v>61</v>
      </c>
      <c r="W66" s="432">
        <v>121.24</v>
      </c>
      <c r="X66" s="432">
        <v>122.82</v>
      </c>
      <c r="Y66" s="432">
        <v>123.42</v>
      </c>
      <c r="Z66" s="426"/>
      <c r="AA66" s="426"/>
      <c r="AB66" s="426"/>
      <c r="AC66" s="426"/>
      <c r="AD66" s="426"/>
      <c r="AE66" s="426"/>
      <c r="AF66" s="113">
        <v>61</v>
      </c>
      <c r="AG66" s="432">
        <v>130.21</v>
      </c>
      <c r="AH66" s="432">
        <v>132.03</v>
      </c>
      <c r="AI66" s="432">
        <v>132.69</v>
      </c>
      <c r="AJ66" s="426"/>
      <c r="AK66" s="426"/>
      <c r="AL66" s="426"/>
      <c r="AM66" s="426"/>
      <c r="AN66" s="426"/>
      <c r="AO66" s="426"/>
      <c r="AP66" s="113">
        <v>61</v>
      </c>
      <c r="AQ66" s="432">
        <v>139.52000000000001</v>
      </c>
      <c r="AR66" s="432">
        <v>141.61000000000001</v>
      </c>
      <c r="AS66" s="432">
        <v>142.32</v>
      </c>
      <c r="AT66" s="426"/>
      <c r="AU66" s="426"/>
      <c r="AV66" s="426"/>
      <c r="AW66" s="426"/>
      <c r="AX66" s="426"/>
      <c r="AY66" s="426"/>
      <c r="AZ66" s="113">
        <v>61</v>
      </c>
      <c r="BA66" s="432">
        <v>149.06</v>
      </c>
      <c r="BB66" s="432">
        <v>151.43</v>
      </c>
      <c r="BC66" s="432">
        <v>152.19999999999999</v>
      </c>
      <c r="BD66" s="426"/>
      <c r="BE66" s="426"/>
      <c r="BF66" s="426"/>
      <c r="BG66" s="426"/>
      <c r="BH66" s="426"/>
    </row>
    <row r="67" spans="1:60" x14ac:dyDescent="0.2">
      <c r="A67" s="426"/>
      <c r="B67" s="113">
        <v>62</v>
      </c>
      <c r="C67" s="432">
        <v>107.18</v>
      </c>
      <c r="D67" s="432">
        <v>108.38</v>
      </c>
      <c r="E67" s="432">
        <v>108.88</v>
      </c>
      <c r="F67" s="426"/>
      <c r="G67" s="426"/>
      <c r="H67" s="426"/>
      <c r="I67" s="426"/>
      <c r="J67" s="426"/>
      <c r="K67" s="426"/>
      <c r="L67" s="113">
        <v>62</v>
      </c>
      <c r="M67" s="432">
        <v>115.44</v>
      </c>
      <c r="N67" s="432">
        <v>116.85</v>
      </c>
      <c r="O67" s="432">
        <v>117.4</v>
      </c>
      <c r="P67" s="426"/>
      <c r="Q67" s="426"/>
      <c r="R67" s="426"/>
      <c r="S67" s="426"/>
      <c r="T67" s="426"/>
      <c r="U67" s="426"/>
      <c r="V67" s="113">
        <v>62</v>
      </c>
      <c r="W67" s="432">
        <v>124.16</v>
      </c>
      <c r="X67" s="432">
        <v>125.79</v>
      </c>
      <c r="Y67" s="432">
        <v>126.4</v>
      </c>
      <c r="Z67" s="426"/>
      <c r="AA67" s="426"/>
      <c r="AB67" s="426"/>
      <c r="AC67" s="426"/>
      <c r="AD67" s="426"/>
      <c r="AE67" s="426"/>
      <c r="AF67" s="113">
        <v>62</v>
      </c>
      <c r="AG67" s="432">
        <v>133.26</v>
      </c>
      <c r="AH67" s="432">
        <v>135.15</v>
      </c>
      <c r="AI67" s="432">
        <v>135.81</v>
      </c>
      <c r="AJ67" s="426"/>
      <c r="AK67" s="426"/>
      <c r="AL67" s="426"/>
      <c r="AM67" s="426"/>
      <c r="AN67" s="426"/>
      <c r="AO67" s="426"/>
      <c r="AP67" s="113">
        <v>62</v>
      </c>
      <c r="AQ67" s="432">
        <v>142.63999999999999</v>
      </c>
      <c r="AR67" s="432">
        <v>144.79</v>
      </c>
      <c r="AS67" s="432">
        <v>145.51</v>
      </c>
      <c r="AT67" s="426"/>
      <c r="AU67" s="426"/>
      <c r="AV67" s="426"/>
      <c r="AW67" s="426"/>
      <c r="AX67" s="426"/>
      <c r="AY67" s="426"/>
      <c r="AZ67" s="113">
        <v>62</v>
      </c>
      <c r="BA67" s="432">
        <v>152.13999999999999</v>
      </c>
      <c r="BB67" s="432">
        <v>154.57</v>
      </c>
      <c r="BC67" s="432">
        <v>155.35</v>
      </c>
      <c r="BD67" s="426"/>
      <c r="BE67" s="426"/>
      <c r="BF67" s="426"/>
      <c r="BG67" s="426"/>
      <c r="BH67" s="426"/>
    </row>
    <row r="68" spans="1:60" x14ac:dyDescent="0.2">
      <c r="A68" s="426"/>
      <c r="B68" s="113">
        <v>63</v>
      </c>
      <c r="C68" s="432">
        <v>109.83</v>
      </c>
      <c r="D68" s="432">
        <v>111.07</v>
      </c>
      <c r="E68" s="432">
        <v>111.58</v>
      </c>
      <c r="F68" s="426"/>
      <c r="G68" s="426"/>
      <c r="H68" s="426"/>
      <c r="I68" s="426"/>
      <c r="J68" s="426"/>
      <c r="K68" s="426"/>
      <c r="L68" s="113">
        <v>63</v>
      </c>
      <c r="M68" s="432">
        <v>118.29</v>
      </c>
      <c r="N68" s="432">
        <v>119.75</v>
      </c>
      <c r="O68" s="432">
        <v>120.31</v>
      </c>
      <c r="P68" s="426"/>
      <c r="Q68" s="426"/>
      <c r="R68" s="426"/>
      <c r="S68" s="426"/>
      <c r="T68" s="426"/>
      <c r="U68" s="426"/>
      <c r="V68" s="113">
        <v>63</v>
      </c>
      <c r="W68" s="432">
        <v>127.17</v>
      </c>
      <c r="X68" s="432">
        <v>128.87</v>
      </c>
      <c r="Y68" s="432">
        <v>129.47999999999999</v>
      </c>
      <c r="Z68" s="426"/>
      <c r="AA68" s="426"/>
      <c r="AB68" s="426"/>
      <c r="AC68" s="426"/>
      <c r="AD68" s="426"/>
      <c r="AE68" s="426"/>
      <c r="AF68" s="113">
        <v>63</v>
      </c>
      <c r="AG68" s="432">
        <v>136.37</v>
      </c>
      <c r="AH68" s="432">
        <v>138.33000000000001</v>
      </c>
      <c r="AI68" s="432">
        <v>138.99</v>
      </c>
      <c r="AJ68" s="426"/>
      <c r="AK68" s="426"/>
      <c r="AL68" s="426"/>
      <c r="AM68" s="426"/>
      <c r="AN68" s="426"/>
      <c r="AO68" s="426"/>
      <c r="AP68" s="113">
        <v>63</v>
      </c>
      <c r="AQ68" s="432">
        <v>145.76</v>
      </c>
      <c r="AR68" s="432">
        <v>147.97999999999999</v>
      </c>
      <c r="AS68" s="432">
        <v>148.69999999999999</v>
      </c>
      <c r="AT68" s="426"/>
      <c r="AU68" s="426"/>
      <c r="AV68" s="426"/>
      <c r="AW68" s="426"/>
      <c r="AX68" s="426"/>
      <c r="AY68" s="426"/>
      <c r="AZ68" s="113">
        <v>63</v>
      </c>
      <c r="BA68" s="432">
        <v>155.13999999999999</v>
      </c>
      <c r="BB68" s="432">
        <v>157.63999999999999</v>
      </c>
      <c r="BC68" s="432">
        <v>158.41999999999999</v>
      </c>
      <c r="BD68" s="426"/>
      <c r="BE68" s="426"/>
      <c r="BF68" s="426"/>
      <c r="BG68" s="426"/>
      <c r="BH68" s="426"/>
    </row>
    <row r="69" spans="1:60" x14ac:dyDescent="0.2">
      <c r="A69" s="426"/>
      <c r="B69" s="113">
        <v>64</v>
      </c>
      <c r="C69" s="432">
        <v>112.62</v>
      </c>
      <c r="D69" s="432">
        <v>113.91</v>
      </c>
      <c r="E69" s="432">
        <v>114.42</v>
      </c>
      <c r="F69" s="426"/>
      <c r="G69" s="426"/>
      <c r="H69" s="426"/>
      <c r="I69" s="426"/>
      <c r="J69" s="426"/>
      <c r="K69" s="426"/>
      <c r="L69" s="113">
        <v>64</v>
      </c>
      <c r="M69" s="432">
        <v>121.27</v>
      </c>
      <c r="N69" s="432">
        <v>122.79</v>
      </c>
      <c r="O69" s="432">
        <v>123.35</v>
      </c>
      <c r="P69" s="426"/>
      <c r="Q69" s="426"/>
      <c r="R69" s="426"/>
      <c r="S69" s="426"/>
      <c r="T69" s="426"/>
      <c r="U69" s="426"/>
      <c r="V69" s="113">
        <v>64</v>
      </c>
      <c r="W69" s="432">
        <v>130.28</v>
      </c>
      <c r="X69" s="432">
        <v>132.04</v>
      </c>
      <c r="Y69" s="432">
        <v>132.65</v>
      </c>
      <c r="Z69" s="426"/>
      <c r="AA69" s="426"/>
      <c r="AB69" s="426"/>
      <c r="AC69" s="426"/>
      <c r="AD69" s="426"/>
      <c r="AE69" s="426"/>
      <c r="AF69" s="113">
        <v>64</v>
      </c>
      <c r="AG69" s="432">
        <v>139.53</v>
      </c>
      <c r="AH69" s="432">
        <v>141.55000000000001</v>
      </c>
      <c r="AI69" s="432">
        <v>142.21</v>
      </c>
      <c r="AJ69" s="426"/>
      <c r="AK69" s="426"/>
      <c r="AL69" s="426"/>
      <c r="AM69" s="426"/>
      <c r="AN69" s="426"/>
      <c r="AO69" s="426"/>
      <c r="AP69" s="113">
        <v>64</v>
      </c>
      <c r="AQ69" s="432">
        <v>148.84</v>
      </c>
      <c r="AR69" s="432">
        <v>151.13</v>
      </c>
      <c r="AS69" s="432">
        <v>151.86000000000001</v>
      </c>
      <c r="AT69" s="426"/>
      <c r="AU69" s="426"/>
      <c r="AV69" s="426"/>
      <c r="AW69" s="426"/>
      <c r="AX69" s="426"/>
      <c r="AY69" s="426"/>
      <c r="AZ69" s="113">
        <v>64</v>
      </c>
      <c r="BA69" s="432">
        <v>158.01</v>
      </c>
      <c r="BB69" s="432">
        <v>160.58000000000001</v>
      </c>
      <c r="BC69" s="432">
        <v>161.36000000000001</v>
      </c>
      <c r="BD69" s="426"/>
      <c r="BE69" s="426"/>
      <c r="BF69" s="426"/>
      <c r="BG69" s="426"/>
      <c r="BH69" s="426"/>
    </row>
    <row r="70" spans="1:60" x14ac:dyDescent="0.2">
      <c r="A70" s="426"/>
      <c r="B70" s="113">
        <v>65</v>
      </c>
      <c r="C70" s="432">
        <v>115.55</v>
      </c>
      <c r="D70" s="432">
        <v>116.9</v>
      </c>
      <c r="E70" s="432">
        <v>117.41</v>
      </c>
      <c r="F70" s="426"/>
      <c r="G70" s="426"/>
      <c r="H70" s="426"/>
      <c r="I70" s="426"/>
      <c r="J70" s="426"/>
      <c r="K70" s="426"/>
      <c r="L70" s="113">
        <v>65</v>
      </c>
      <c r="M70" s="432">
        <v>124.36</v>
      </c>
      <c r="N70" s="432">
        <v>125.94</v>
      </c>
      <c r="O70" s="432">
        <v>126.5</v>
      </c>
      <c r="P70" s="426"/>
      <c r="Q70" s="426"/>
      <c r="R70" s="426"/>
      <c r="S70" s="426"/>
      <c r="T70" s="426"/>
      <c r="U70" s="426"/>
      <c r="V70" s="113">
        <v>65</v>
      </c>
      <c r="W70" s="432">
        <v>133.46</v>
      </c>
      <c r="X70" s="432">
        <v>135.29</v>
      </c>
      <c r="Y70" s="432">
        <v>135.9</v>
      </c>
      <c r="Z70" s="426"/>
      <c r="AA70" s="426"/>
      <c r="AB70" s="426"/>
      <c r="AC70" s="426"/>
      <c r="AD70" s="426"/>
      <c r="AE70" s="426"/>
      <c r="AF70" s="113">
        <v>65</v>
      </c>
      <c r="AG70" s="432">
        <v>142.69999999999999</v>
      </c>
      <c r="AH70" s="432">
        <v>144.79</v>
      </c>
      <c r="AI70" s="432">
        <v>145.46</v>
      </c>
      <c r="AJ70" s="426"/>
      <c r="AK70" s="426"/>
      <c r="AL70" s="426"/>
      <c r="AM70" s="426"/>
      <c r="AN70" s="426"/>
      <c r="AO70" s="426"/>
      <c r="AP70" s="113">
        <v>65</v>
      </c>
      <c r="AQ70" s="432">
        <v>151.87</v>
      </c>
      <c r="AR70" s="432">
        <v>154.22</v>
      </c>
      <c r="AS70" s="432">
        <v>154.94999999999999</v>
      </c>
      <c r="AT70" s="426"/>
      <c r="AU70" s="426"/>
      <c r="AV70" s="426"/>
      <c r="AW70" s="426"/>
      <c r="AX70" s="426"/>
      <c r="AY70" s="426"/>
      <c r="AZ70" s="113">
        <v>65</v>
      </c>
      <c r="BA70" s="432">
        <v>160.72</v>
      </c>
      <c r="BB70" s="432">
        <v>163.35</v>
      </c>
      <c r="BC70" s="432">
        <v>164.13</v>
      </c>
      <c r="BD70" s="426"/>
      <c r="BE70" s="426"/>
      <c r="BF70" s="426"/>
      <c r="BG70" s="426"/>
      <c r="BH70" s="426"/>
    </row>
    <row r="71" spans="1:60" x14ac:dyDescent="0.2">
      <c r="A71" s="426"/>
      <c r="B71" s="113">
        <v>66</v>
      </c>
      <c r="C71" s="432">
        <v>118.62</v>
      </c>
      <c r="D71" s="432">
        <v>120.03</v>
      </c>
      <c r="E71" s="432">
        <v>120.55</v>
      </c>
      <c r="F71" s="426"/>
      <c r="G71" s="426"/>
      <c r="H71" s="426"/>
      <c r="I71" s="426"/>
      <c r="J71" s="426"/>
      <c r="K71" s="426"/>
      <c r="L71" s="113">
        <v>66</v>
      </c>
      <c r="M71" s="432">
        <v>127.56</v>
      </c>
      <c r="N71" s="432">
        <v>129.21</v>
      </c>
      <c r="O71" s="432">
        <v>129.77000000000001</v>
      </c>
      <c r="P71" s="426"/>
      <c r="Q71" s="426"/>
      <c r="R71" s="426"/>
      <c r="S71" s="426"/>
      <c r="T71" s="426"/>
      <c r="U71" s="426"/>
      <c r="V71" s="113">
        <v>66</v>
      </c>
      <c r="W71" s="432">
        <v>136.69999999999999</v>
      </c>
      <c r="X71" s="432">
        <v>138.6</v>
      </c>
      <c r="Y71" s="432">
        <v>139.22</v>
      </c>
      <c r="Z71" s="426"/>
      <c r="AA71" s="426"/>
      <c r="AB71" s="426"/>
      <c r="AC71" s="426"/>
      <c r="AD71" s="426"/>
      <c r="AE71" s="426"/>
      <c r="AF71" s="113">
        <v>66</v>
      </c>
      <c r="AG71" s="432">
        <v>145.86000000000001</v>
      </c>
      <c r="AH71" s="432">
        <v>148.02000000000001</v>
      </c>
      <c r="AI71" s="432">
        <v>148.69</v>
      </c>
      <c r="AJ71" s="426"/>
      <c r="AK71" s="426"/>
      <c r="AL71" s="426"/>
      <c r="AM71" s="426"/>
      <c r="AN71" s="426"/>
      <c r="AO71" s="426"/>
      <c r="AP71" s="113">
        <v>66</v>
      </c>
      <c r="AQ71" s="432">
        <v>154.79</v>
      </c>
      <c r="AR71" s="432">
        <v>157.21</v>
      </c>
      <c r="AS71" s="432">
        <v>157.94</v>
      </c>
      <c r="AT71" s="426"/>
      <c r="AU71" s="426"/>
      <c r="AV71" s="426"/>
      <c r="AW71" s="426"/>
      <c r="AX71" s="426"/>
      <c r="AY71" s="426"/>
      <c r="AZ71" s="113">
        <v>66</v>
      </c>
      <c r="BA71" s="432">
        <v>163.22</v>
      </c>
      <c r="BB71" s="432">
        <v>165.9</v>
      </c>
      <c r="BC71" s="432">
        <v>166.68</v>
      </c>
      <c r="BD71" s="426"/>
      <c r="BE71" s="426"/>
      <c r="BF71" s="426"/>
      <c r="BG71" s="426"/>
      <c r="BH71" s="426"/>
    </row>
    <row r="72" spans="1:60" x14ac:dyDescent="0.2">
      <c r="A72" s="426"/>
      <c r="B72" s="113">
        <v>67</v>
      </c>
      <c r="C72" s="432">
        <v>121.83</v>
      </c>
      <c r="D72" s="432">
        <v>123.3</v>
      </c>
      <c r="E72" s="432">
        <v>123.81</v>
      </c>
      <c r="F72" s="426"/>
      <c r="G72" s="426"/>
      <c r="H72" s="426"/>
      <c r="I72" s="426"/>
      <c r="J72" s="426"/>
      <c r="K72" s="426"/>
      <c r="L72" s="113">
        <v>67</v>
      </c>
      <c r="M72" s="432">
        <v>130.86000000000001</v>
      </c>
      <c r="N72" s="432">
        <v>132.57</v>
      </c>
      <c r="O72" s="432">
        <v>133.13</v>
      </c>
      <c r="P72" s="426"/>
      <c r="Q72" s="426"/>
      <c r="R72" s="426"/>
      <c r="S72" s="426"/>
      <c r="T72" s="426"/>
      <c r="U72" s="426"/>
      <c r="V72" s="113">
        <v>67</v>
      </c>
      <c r="W72" s="432">
        <v>139.97999999999999</v>
      </c>
      <c r="X72" s="432">
        <v>141.94999999999999</v>
      </c>
      <c r="Y72" s="432">
        <v>142.57</v>
      </c>
      <c r="Z72" s="426"/>
      <c r="AA72" s="426"/>
      <c r="AB72" s="426"/>
      <c r="AC72" s="426"/>
      <c r="AD72" s="426"/>
      <c r="AE72" s="426"/>
      <c r="AF72" s="113">
        <v>67</v>
      </c>
      <c r="AG72" s="432">
        <v>148.97999999999999</v>
      </c>
      <c r="AH72" s="432">
        <v>151.19999999999999</v>
      </c>
      <c r="AI72" s="432">
        <v>151.88</v>
      </c>
      <c r="AJ72" s="426"/>
      <c r="AK72" s="426"/>
      <c r="AL72" s="426"/>
      <c r="AM72" s="426"/>
      <c r="AN72" s="426"/>
      <c r="AO72" s="426"/>
      <c r="AP72" s="113">
        <v>67</v>
      </c>
      <c r="AQ72" s="432">
        <v>157.58000000000001</v>
      </c>
      <c r="AR72" s="432">
        <v>160.06</v>
      </c>
      <c r="AS72" s="432">
        <v>160.78</v>
      </c>
      <c r="AT72" s="426"/>
      <c r="AU72" s="426"/>
      <c r="AV72" s="426"/>
      <c r="AW72" s="426"/>
      <c r="AX72" s="426"/>
      <c r="AY72" s="426"/>
      <c r="AZ72" s="113">
        <v>67</v>
      </c>
      <c r="BA72" s="432">
        <v>165.47</v>
      </c>
      <c r="BB72" s="432">
        <v>168.19</v>
      </c>
      <c r="BC72" s="432">
        <v>168.97</v>
      </c>
      <c r="BD72" s="426"/>
      <c r="BE72" s="426"/>
      <c r="BF72" s="426"/>
      <c r="BG72" s="426"/>
      <c r="BH72" s="426"/>
    </row>
    <row r="73" spans="1:60" x14ac:dyDescent="0.2">
      <c r="A73" s="426"/>
      <c r="B73" s="113">
        <v>68</v>
      </c>
      <c r="C73" s="432">
        <v>125.16</v>
      </c>
      <c r="D73" s="432">
        <v>126.69</v>
      </c>
      <c r="E73" s="432">
        <v>127.21</v>
      </c>
      <c r="F73" s="426"/>
      <c r="G73" s="426"/>
      <c r="H73" s="426"/>
      <c r="I73" s="426"/>
      <c r="J73" s="426"/>
      <c r="K73" s="426"/>
      <c r="L73" s="113">
        <v>68</v>
      </c>
      <c r="M73" s="432">
        <v>134.22999999999999</v>
      </c>
      <c r="N73" s="432">
        <v>136.01</v>
      </c>
      <c r="O73" s="432">
        <v>136.58000000000001</v>
      </c>
      <c r="P73" s="426"/>
      <c r="Q73" s="426"/>
      <c r="R73" s="426"/>
      <c r="S73" s="426"/>
      <c r="T73" s="426"/>
      <c r="U73" s="426"/>
      <c r="V73" s="113">
        <v>68</v>
      </c>
      <c r="W73" s="432">
        <v>143.28</v>
      </c>
      <c r="X73" s="432">
        <v>145.31</v>
      </c>
      <c r="Y73" s="432">
        <v>145.93</v>
      </c>
      <c r="Z73" s="426"/>
      <c r="AA73" s="426"/>
      <c r="AB73" s="426"/>
      <c r="AC73" s="426"/>
      <c r="AD73" s="426"/>
      <c r="AE73" s="426"/>
      <c r="AF73" s="113">
        <v>68</v>
      </c>
      <c r="AG73" s="432">
        <v>152.03</v>
      </c>
      <c r="AH73" s="432">
        <v>154.31</v>
      </c>
      <c r="AI73" s="432">
        <v>154.99</v>
      </c>
      <c r="AJ73" s="426"/>
      <c r="AK73" s="426"/>
      <c r="AL73" s="426"/>
      <c r="AM73" s="426"/>
      <c r="AN73" s="426"/>
      <c r="AO73" s="426"/>
      <c r="AP73" s="113">
        <v>68</v>
      </c>
      <c r="AQ73" s="432">
        <v>160.19</v>
      </c>
      <c r="AR73" s="432">
        <v>162.71</v>
      </c>
      <c r="AS73" s="432">
        <v>163.44</v>
      </c>
      <c r="AT73" s="426"/>
      <c r="AU73" s="426"/>
      <c r="AV73" s="426"/>
      <c r="AW73" s="426"/>
      <c r="AX73" s="426"/>
      <c r="AY73" s="426"/>
      <c r="AZ73" s="113">
        <v>68</v>
      </c>
      <c r="BA73" s="432">
        <v>167.41</v>
      </c>
      <c r="BB73" s="432">
        <v>170.17</v>
      </c>
      <c r="BC73" s="432">
        <v>170.95</v>
      </c>
      <c r="BD73" s="426"/>
      <c r="BE73" s="426"/>
      <c r="BF73" s="426"/>
      <c r="BG73" s="426"/>
      <c r="BH73" s="426"/>
    </row>
    <row r="74" spans="1:60" x14ac:dyDescent="0.2">
      <c r="A74" s="426"/>
      <c r="B74" s="113">
        <v>69</v>
      </c>
      <c r="C74" s="432">
        <v>128.61000000000001</v>
      </c>
      <c r="D74" s="432">
        <v>130.19999999999999</v>
      </c>
      <c r="E74" s="432">
        <v>130.72999999999999</v>
      </c>
      <c r="F74" s="426"/>
      <c r="G74" s="426"/>
      <c r="H74" s="426"/>
      <c r="I74" s="426"/>
      <c r="J74" s="426"/>
      <c r="K74" s="426"/>
      <c r="L74" s="113">
        <v>69</v>
      </c>
      <c r="M74" s="432">
        <v>137.68</v>
      </c>
      <c r="N74" s="432">
        <v>139.52000000000001</v>
      </c>
      <c r="O74" s="432">
        <v>140.09</v>
      </c>
      <c r="P74" s="426"/>
      <c r="Q74" s="426"/>
      <c r="R74" s="426"/>
      <c r="S74" s="426"/>
      <c r="T74" s="426"/>
      <c r="U74" s="426"/>
      <c r="V74" s="113">
        <v>69</v>
      </c>
      <c r="W74" s="432">
        <v>146.57</v>
      </c>
      <c r="X74" s="432">
        <v>148.66</v>
      </c>
      <c r="Y74" s="432">
        <v>149.28</v>
      </c>
      <c r="Z74" s="426"/>
      <c r="AA74" s="426"/>
      <c r="AB74" s="426"/>
      <c r="AC74" s="426"/>
      <c r="AD74" s="426"/>
      <c r="AE74" s="426"/>
      <c r="AF74" s="113">
        <v>69</v>
      </c>
      <c r="AG74" s="432">
        <v>154.97999999999999</v>
      </c>
      <c r="AH74" s="432">
        <v>157.31</v>
      </c>
      <c r="AI74" s="432">
        <v>157.99</v>
      </c>
      <c r="AJ74" s="426"/>
      <c r="AK74" s="426"/>
      <c r="AL74" s="426"/>
      <c r="AM74" s="426"/>
      <c r="AN74" s="426"/>
      <c r="AO74" s="426"/>
      <c r="AP74" s="113">
        <v>69</v>
      </c>
      <c r="AQ74" s="432">
        <v>162.56</v>
      </c>
      <c r="AR74" s="432">
        <v>165.14</v>
      </c>
      <c r="AS74" s="432">
        <v>165.87</v>
      </c>
      <c r="AT74" s="426"/>
      <c r="AU74" s="426"/>
      <c r="AV74" s="426"/>
      <c r="AW74" s="426"/>
      <c r="AX74" s="426"/>
      <c r="AY74" s="426"/>
      <c r="AZ74" s="113">
        <v>69</v>
      </c>
      <c r="BA74" s="432">
        <v>169</v>
      </c>
      <c r="BB74" s="432">
        <v>171.79</v>
      </c>
      <c r="BC74" s="432">
        <v>172.57</v>
      </c>
      <c r="BD74" s="426"/>
      <c r="BE74" s="426"/>
      <c r="BF74" s="426"/>
      <c r="BG74" s="426"/>
      <c r="BH74" s="426"/>
    </row>
    <row r="75" spans="1:60" x14ac:dyDescent="0.2">
      <c r="A75" s="426"/>
      <c r="B75" s="113">
        <v>70</v>
      </c>
      <c r="C75" s="432">
        <v>132.16999999999999</v>
      </c>
      <c r="D75" s="432">
        <v>133.83000000000001</v>
      </c>
      <c r="E75" s="432">
        <v>134.35</v>
      </c>
      <c r="F75" s="426"/>
      <c r="G75" s="426"/>
      <c r="H75" s="426"/>
      <c r="I75" s="426"/>
      <c r="J75" s="426"/>
      <c r="K75" s="426"/>
      <c r="L75" s="113">
        <v>70</v>
      </c>
      <c r="M75" s="432">
        <v>141.16999999999999</v>
      </c>
      <c r="N75" s="432">
        <v>143.07</v>
      </c>
      <c r="O75" s="432">
        <v>143.65</v>
      </c>
      <c r="P75" s="426"/>
      <c r="Q75" s="426"/>
      <c r="R75" s="426"/>
      <c r="S75" s="426"/>
      <c r="T75" s="426"/>
      <c r="U75" s="426"/>
      <c r="V75" s="113">
        <v>70</v>
      </c>
      <c r="W75" s="432">
        <v>149.82</v>
      </c>
      <c r="X75" s="432">
        <v>151.97</v>
      </c>
      <c r="Y75" s="432">
        <v>152.6</v>
      </c>
      <c r="Z75" s="426"/>
      <c r="AA75" s="426"/>
      <c r="AB75" s="426"/>
      <c r="AC75" s="426"/>
      <c r="AD75" s="426"/>
      <c r="AE75" s="426"/>
      <c r="AF75" s="113">
        <v>70</v>
      </c>
      <c r="AG75" s="432">
        <v>157.77000000000001</v>
      </c>
      <c r="AH75" s="432">
        <v>160.16</v>
      </c>
      <c r="AI75" s="432">
        <v>160.84</v>
      </c>
      <c r="AJ75" s="426"/>
      <c r="AK75" s="426"/>
      <c r="AL75" s="426"/>
      <c r="AM75" s="426"/>
      <c r="AN75" s="426"/>
      <c r="AO75" s="426"/>
      <c r="AP75" s="113">
        <v>70</v>
      </c>
      <c r="AQ75" s="432">
        <v>164.67</v>
      </c>
      <c r="AR75" s="432">
        <v>167.29</v>
      </c>
      <c r="AS75" s="432">
        <v>168.02</v>
      </c>
      <c r="AT75" s="426"/>
      <c r="AU75" s="426"/>
      <c r="AV75" s="426"/>
      <c r="AW75" s="426"/>
      <c r="AX75" s="426"/>
      <c r="AY75" s="426"/>
      <c r="AZ75" s="113">
        <v>70</v>
      </c>
      <c r="BA75" s="432">
        <v>170.19</v>
      </c>
      <c r="BB75" s="432">
        <v>173.01</v>
      </c>
      <c r="BC75" s="432">
        <v>173.78</v>
      </c>
      <c r="BD75" s="426"/>
      <c r="BE75" s="426"/>
      <c r="BF75" s="426"/>
      <c r="BG75" s="426"/>
      <c r="BH75" s="426"/>
    </row>
    <row r="76" spans="1:60" x14ac:dyDescent="0.2">
      <c r="A76" s="426"/>
      <c r="B76" s="113">
        <v>71</v>
      </c>
      <c r="C76" s="432">
        <v>135.82</v>
      </c>
      <c r="D76" s="432">
        <v>137.54</v>
      </c>
      <c r="E76" s="432">
        <v>138.07</v>
      </c>
      <c r="F76" s="426"/>
      <c r="G76" s="426"/>
      <c r="H76" s="426"/>
      <c r="I76" s="426"/>
      <c r="J76" s="426"/>
      <c r="K76" s="426"/>
      <c r="L76" s="113">
        <v>71</v>
      </c>
      <c r="M76" s="432">
        <v>144.69</v>
      </c>
      <c r="N76" s="432">
        <v>146.65</v>
      </c>
      <c r="O76" s="432">
        <v>147.22999999999999</v>
      </c>
      <c r="P76" s="426"/>
      <c r="Q76" s="426"/>
      <c r="R76" s="426"/>
      <c r="S76" s="426"/>
      <c r="T76" s="426"/>
      <c r="U76" s="426"/>
      <c r="V76" s="113">
        <v>71</v>
      </c>
      <c r="W76" s="432">
        <v>152.99</v>
      </c>
      <c r="X76" s="432">
        <v>155.19999999999999</v>
      </c>
      <c r="Y76" s="432">
        <v>155.83000000000001</v>
      </c>
      <c r="Z76" s="426"/>
      <c r="AA76" s="426"/>
      <c r="AB76" s="426"/>
      <c r="AC76" s="426"/>
      <c r="AD76" s="426"/>
      <c r="AE76" s="426"/>
      <c r="AF76" s="113">
        <v>71</v>
      </c>
      <c r="AG76" s="432">
        <v>160.37</v>
      </c>
      <c r="AH76" s="432">
        <v>162.81</v>
      </c>
      <c r="AI76" s="432">
        <v>163.49</v>
      </c>
      <c r="AJ76" s="426"/>
      <c r="AK76" s="426"/>
      <c r="AL76" s="426"/>
      <c r="AM76" s="426"/>
      <c r="AN76" s="426"/>
      <c r="AO76" s="426"/>
      <c r="AP76" s="113">
        <v>71</v>
      </c>
      <c r="AQ76" s="432">
        <v>166.46</v>
      </c>
      <c r="AR76" s="432">
        <v>169.11</v>
      </c>
      <c r="AS76" s="432">
        <v>169.84</v>
      </c>
      <c r="AT76" s="426"/>
      <c r="AU76" s="426"/>
      <c r="AV76" s="426"/>
      <c r="AW76" s="426"/>
      <c r="AX76" s="426"/>
      <c r="AY76" s="426"/>
      <c r="AZ76" s="113">
        <v>71</v>
      </c>
      <c r="BA76" s="432">
        <v>170.94</v>
      </c>
      <c r="BB76" s="432">
        <v>173.77</v>
      </c>
      <c r="BC76" s="432">
        <v>174.54</v>
      </c>
      <c r="BD76" s="426"/>
      <c r="BE76" s="426"/>
      <c r="BF76" s="426"/>
      <c r="BG76" s="426"/>
      <c r="BH76" s="426"/>
    </row>
    <row r="77" spans="1:60" x14ac:dyDescent="0.2">
      <c r="A77" s="426"/>
      <c r="B77" s="113">
        <v>72</v>
      </c>
      <c r="C77" s="432">
        <v>139.56</v>
      </c>
      <c r="D77" s="432">
        <v>141.35</v>
      </c>
      <c r="E77" s="432">
        <v>141.88</v>
      </c>
      <c r="F77" s="426"/>
      <c r="G77" s="426"/>
      <c r="H77" s="426"/>
      <c r="I77" s="426"/>
      <c r="J77" s="426"/>
      <c r="K77" s="426"/>
      <c r="L77" s="113">
        <v>72</v>
      </c>
      <c r="M77" s="432">
        <v>148.19999999999999</v>
      </c>
      <c r="N77" s="432">
        <v>150.22999999999999</v>
      </c>
      <c r="O77" s="432">
        <v>150.81</v>
      </c>
      <c r="P77" s="426"/>
      <c r="Q77" s="426"/>
      <c r="R77" s="426"/>
      <c r="S77" s="426"/>
      <c r="T77" s="426"/>
      <c r="U77" s="426"/>
      <c r="V77" s="113">
        <v>72</v>
      </c>
      <c r="W77" s="432">
        <v>156.06</v>
      </c>
      <c r="X77" s="432">
        <v>158.32</v>
      </c>
      <c r="Y77" s="432">
        <v>158.94999999999999</v>
      </c>
      <c r="Z77" s="426"/>
      <c r="AA77" s="426"/>
      <c r="AB77" s="426"/>
      <c r="AC77" s="426"/>
      <c r="AD77" s="426"/>
      <c r="AE77" s="426"/>
      <c r="AF77" s="113">
        <v>72</v>
      </c>
      <c r="AG77" s="432">
        <v>162.74</v>
      </c>
      <c r="AH77" s="432">
        <v>165.22</v>
      </c>
      <c r="AI77" s="432">
        <v>165.9</v>
      </c>
      <c r="AJ77" s="426"/>
      <c r="AK77" s="426"/>
      <c r="AL77" s="426"/>
      <c r="AM77" s="426"/>
      <c r="AN77" s="426"/>
      <c r="AO77" s="426"/>
      <c r="AP77" s="113">
        <v>72</v>
      </c>
      <c r="AQ77" s="432">
        <v>167.89</v>
      </c>
      <c r="AR77" s="432">
        <v>170.56</v>
      </c>
      <c r="AS77" s="432">
        <v>171.28</v>
      </c>
      <c r="AT77" s="426"/>
      <c r="AU77" s="426"/>
      <c r="AV77" s="426"/>
      <c r="AW77" s="426"/>
      <c r="AX77" s="426"/>
      <c r="AY77" s="426"/>
      <c r="AZ77" s="113">
        <v>72</v>
      </c>
      <c r="BA77" s="432">
        <v>171.22</v>
      </c>
      <c r="BB77" s="432">
        <v>174.05</v>
      </c>
      <c r="BC77" s="432">
        <v>174.82</v>
      </c>
      <c r="BD77" s="426"/>
      <c r="BE77" s="426"/>
      <c r="BF77" s="426"/>
      <c r="BG77" s="426"/>
      <c r="BH77" s="426"/>
    </row>
    <row r="78" spans="1:60" x14ac:dyDescent="0.2">
      <c r="A78" s="426"/>
      <c r="B78" s="113">
        <v>73</v>
      </c>
      <c r="C78" s="432">
        <v>143.37</v>
      </c>
      <c r="D78" s="432">
        <v>145.21</v>
      </c>
      <c r="E78" s="432">
        <v>145.75</v>
      </c>
      <c r="F78" s="426"/>
      <c r="G78" s="426"/>
      <c r="H78" s="426"/>
      <c r="I78" s="426"/>
      <c r="J78" s="426"/>
      <c r="K78" s="426"/>
      <c r="L78" s="113">
        <v>73</v>
      </c>
      <c r="M78" s="432">
        <v>151.69999999999999</v>
      </c>
      <c r="N78" s="432">
        <v>153.77000000000001</v>
      </c>
      <c r="O78" s="432">
        <v>154.36000000000001</v>
      </c>
      <c r="P78" s="426"/>
      <c r="Q78" s="426"/>
      <c r="R78" s="426"/>
      <c r="S78" s="426"/>
      <c r="T78" s="426"/>
      <c r="U78" s="426"/>
      <c r="V78" s="113">
        <v>73</v>
      </c>
      <c r="W78" s="432">
        <v>158.97999999999999</v>
      </c>
      <c r="X78" s="432">
        <v>161.29</v>
      </c>
      <c r="Y78" s="432">
        <v>161.93</v>
      </c>
      <c r="Z78" s="426"/>
      <c r="AA78" s="426"/>
      <c r="AB78" s="426"/>
      <c r="AC78" s="426"/>
      <c r="AD78" s="426"/>
      <c r="AE78" s="426"/>
      <c r="AF78" s="113">
        <v>73</v>
      </c>
      <c r="AG78" s="432">
        <v>164.83</v>
      </c>
      <c r="AH78" s="432">
        <v>167.34</v>
      </c>
      <c r="AI78" s="432">
        <v>168.03</v>
      </c>
      <c r="AJ78" s="426"/>
      <c r="AK78" s="426"/>
      <c r="AL78" s="426"/>
      <c r="AM78" s="426"/>
      <c r="AN78" s="426"/>
      <c r="AO78" s="426"/>
      <c r="AP78" s="113">
        <v>73</v>
      </c>
      <c r="AQ78" s="432">
        <v>168.91</v>
      </c>
      <c r="AR78" s="432">
        <v>171.59</v>
      </c>
      <c r="AS78" s="432">
        <v>172.32</v>
      </c>
      <c r="AT78" s="426"/>
      <c r="AU78" s="426"/>
      <c r="AV78" s="426"/>
      <c r="AW78" s="426"/>
      <c r="AX78" s="426"/>
      <c r="AY78" s="426"/>
      <c r="AZ78" s="113">
        <v>73</v>
      </c>
      <c r="BA78" s="432">
        <v>170.99</v>
      </c>
      <c r="BB78" s="432">
        <v>173.81</v>
      </c>
      <c r="BC78" s="432">
        <v>174.57</v>
      </c>
      <c r="BD78" s="426"/>
      <c r="BE78" s="426"/>
      <c r="BF78" s="426"/>
      <c r="BG78" s="426"/>
      <c r="BH78" s="426"/>
    </row>
    <row r="79" spans="1:60" x14ac:dyDescent="0.2">
      <c r="A79" s="426"/>
      <c r="B79" s="113">
        <v>74</v>
      </c>
      <c r="C79" s="432">
        <v>147.22999999999999</v>
      </c>
      <c r="D79" s="432">
        <v>149.13</v>
      </c>
      <c r="E79" s="432">
        <v>149.66999999999999</v>
      </c>
      <c r="F79" s="426"/>
      <c r="G79" s="426"/>
      <c r="H79" s="426"/>
      <c r="I79" s="426"/>
      <c r="J79" s="426"/>
      <c r="K79" s="426"/>
      <c r="L79" s="113">
        <v>74</v>
      </c>
      <c r="M79" s="432">
        <v>155.13</v>
      </c>
      <c r="N79" s="432">
        <v>157.26</v>
      </c>
      <c r="O79" s="432">
        <v>157.85</v>
      </c>
      <c r="P79" s="426"/>
      <c r="Q79" s="426"/>
      <c r="R79" s="426"/>
      <c r="S79" s="426"/>
      <c r="T79" s="426"/>
      <c r="U79" s="426"/>
      <c r="V79" s="113">
        <v>74</v>
      </c>
      <c r="W79" s="432">
        <v>161.72</v>
      </c>
      <c r="X79" s="432">
        <v>164.07</v>
      </c>
      <c r="Y79" s="432">
        <v>164.71</v>
      </c>
      <c r="Z79" s="426"/>
      <c r="AA79" s="426"/>
      <c r="AB79" s="426"/>
      <c r="AC79" s="426"/>
      <c r="AD79" s="426"/>
      <c r="AE79" s="426"/>
      <c r="AF79" s="113">
        <v>74</v>
      </c>
      <c r="AG79" s="432">
        <v>166.61</v>
      </c>
      <c r="AH79" s="432">
        <v>169.14</v>
      </c>
      <c r="AI79" s="432">
        <v>169.83</v>
      </c>
      <c r="AJ79" s="426"/>
      <c r="AK79" s="426"/>
      <c r="AL79" s="426"/>
      <c r="AM79" s="426"/>
      <c r="AN79" s="426"/>
      <c r="AO79" s="426"/>
      <c r="AP79" s="113">
        <v>74</v>
      </c>
      <c r="AQ79" s="432">
        <v>169.48</v>
      </c>
      <c r="AR79" s="432">
        <v>172.18</v>
      </c>
      <c r="AS79" s="432">
        <v>172.91</v>
      </c>
      <c r="AT79" s="426"/>
      <c r="AU79" s="426"/>
      <c r="AV79" s="426"/>
      <c r="AW79" s="426"/>
      <c r="AX79" s="426"/>
      <c r="AY79" s="426"/>
      <c r="AZ79" s="113">
        <v>74</v>
      </c>
      <c r="BA79" s="432">
        <v>170.23</v>
      </c>
      <c r="BB79" s="432">
        <v>173.04</v>
      </c>
      <c r="BC79" s="432">
        <v>173.8</v>
      </c>
      <c r="BD79" s="426"/>
      <c r="BE79" s="426"/>
      <c r="BF79" s="426"/>
      <c r="BG79" s="426"/>
      <c r="BH79" s="426"/>
    </row>
    <row r="80" spans="1:60" x14ac:dyDescent="0.2">
      <c r="A80" s="426"/>
      <c r="B80" s="113">
        <v>75</v>
      </c>
      <c r="C80" s="432">
        <v>151.12</v>
      </c>
      <c r="D80" s="432">
        <v>153.07</v>
      </c>
      <c r="E80" s="432">
        <v>153.62</v>
      </c>
      <c r="F80" s="426"/>
      <c r="G80" s="426"/>
      <c r="H80" s="426"/>
      <c r="I80" s="426"/>
      <c r="J80" s="426"/>
      <c r="K80" s="426"/>
      <c r="L80" s="113">
        <v>75</v>
      </c>
      <c r="M80" s="432">
        <v>158.47</v>
      </c>
      <c r="N80" s="432">
        <v>160.65</v>
      </c>
      <c r="O80" s="432">
        <v>161.24</v>
      </c>
      <c r="P80" s="426"/>
      <c r="Q80" s="426"/>
      <c r="R80" s="426"/>
      <c r="S80" s="426"/>
      <c r="T80" s="426"/>
      <c r="U80" s="426"/>
      <c r="V80" s="113">
        <v>75</v>
      </c>
      <c r="W80" s="432">
        <v>164.23</v>
      </c>
      <c r="X80" s="432">
        <v>166.61</v>
      </c>
      <c r="Y80" s="432">
        <v>167.26</v>
      </c>
      <c r="Z80" s="426"/>
      <c r="AA80" s="426"/>
      <c r="AB80" s="426"/>
      <c r="AC80" s="426"/>
      <c r="AD80" s="426"/>
      <c r="AE80" s="426"/>
      <c r="AF80" s="113">
        <v>75</v>
      </c>
      <c r="AG80" s="432">
        <v>168.01</v>
      </c>
      <c r="AH80" s="432">
        <v>170.57</v>
      </c>
      <c r="AI80" s="432">
        <v>171.26</v>
      </c>
      <c r="AJ80" s="426"/>
      <c r="AK80" s="426"/>
      <c r="AL80" s="426"/>
      <c r="AM80" s="426"/>
      <c r="AN80" s="426"/>
      <c r="AO80" s="426"/>
      <c r="AP80" s="113">
        <v>75</v>
      </c>
      <c r="AQ80" s="432">
        <v>169.59</v>
      </c>
      <c r="AR80" s="432">
        <v>172.28</v>
      </c>
      <c r="AS80" s="432">
        <v>173.01</v>
      </c>
      <c r="AT80" s="426"/>
      <c r="AU80" s="426"/>
      <c r="AV80" s="426"/>
      <c r="AW80" s="426"/>
      <c r="AX80" s="426"/>
      <c r="AY80" s="426"/>
      <c r="AZ80" s="113">
        <v>75</v>
      </c>
      <c r="BA80" s="432">
        <v>168.93</v>
      </c>
      <c r="BB80" s="432">
        <v>171.72</v>
      </c>
      <c r="BC80" s="432">
        <v>172.47</v>
      </c>
      <c r="BD80" s="426"/>
      <c r="BE80" s="426"/>
      <c r="BF80" s="426"/>
      <c r="BG80" s="426"/>
      <c r="BH80" s="426"/>
    </row>
    <row r="81" spans="1:60" x14ac:dyDescent="0.2">
      <c r="A81" s="426"/>
      <c r="B81" s="113">
        <v>76</v>
      </c>
      <c r="C81" s="432">
        <v>155.01</v>
      </c>
      <c r="D81" s="432">
        <v>157.01</v>
      </c>
      <c r="E81" s="432">
        <v>157.56</v>
      </c>
      <c r="F81" s="426"/>
      <c r="G81" s="426"/>
      <c r="H81" s="426"/>
      <c r="I81" s="426"/>
      <c r="J81" s="426"/>
      <c r="K81" s="426"/>
      <c r="L81" s="113">
        <v>76</v>
      </c>
      <c r="M81" s="432">
        <v>161.69</v>
      </c>
      <c r="N81" s="432">
        <v>163.9</v>
      </c>
      <c r="O81" s="432">
        <v>164.51</v>
      </c>
      <c r="P81" s="426"/>
      <c r="Q81" s="426"/>
      <c r="R81" s="426"/>
      <c r="S81" s="426"/>
      <c r="T81" s="426"/>
      <c r="U81" s="426"/>
      <c r="V81" s="113">
        <v>76</v>
      </c>
      <c r="W81" s="432">
        <v>166.47</v>
      </c>
      <c r="X81" s="432">
        <v>168.88</v>
      </c>
      <c r="Y81" s="432">
        <v>169.53</v>
      </c>
      <c r="Z81" s="426"/>
      <c r="AA81" s="426"/>
      <c r="AB81" s="426"/>
      <c r="AC81" s="426"/>
      <c r="AD81" s="426"/>
      <c r="AE81" s="426"/>
      <c r="AF81" s="113">
        <v>76</v>
      </c>
      <c r="AG81" s="432">
        <v>169.01</v>
      </c>
      <c r="AH81" s="432">
        <v>171.59</v>
      </c>
      <c r="AI81" s="432">
        <v>172.27</v>
      </c>
      <c r="AJ81" s="426"/>
      <c r="AK81" s="426"/>
      <c r="AL81" s="426"/>
      <c r="AM81" s="426"/>
      <c r="AN81" s="426"/>
      <c r="AO81" s="426"/>
      <c r="AP81" s="113">
        <v>76</v>
      </c>
      <c r="AQ81" s="432">
        <v>169.19</v>
      </c>
      <c r="AR81" s="432">
        <v>171.88</v>
      </c>
      <c r="AS81" s="432">
        <v>172.6</v>
      </c>
      <c r="AT81" s="426"/>
      <c r="AU81" s="426"/>
      <c r="AV81" s="426"/>
      <c r="AW81" s="426"/>
      <c r="AX81" s="426"/>
      <c r="AY81" s="426"/>
      <c r="AZ81" s="113">
        <v>76</v>
      </c>
      <c r="BA81" s="432">
        <v>167.09</v>
      </c>
      <c r="BB81" s="432">
        <v>169.85</v>
      </c>
      <c r="BC81" s="432">
        <v>170.59</v>
      </c>
      <c r="BD81" s="426"/>
      <c r="BE81" s="426"/>
      <c r="BF81" s="426"/>
      <c r="BG81" s="426"/>
      <c r="BH81" s="426"/>
    </row>
    <row r="82" spans="1:60" x14ac:dyDescent="0.2">
      <c r="A82" s="426"/>
      <c r="B82" s="113">
        <v>77</v>
      </c>
      <c r="C82" s="432">
        <v>158.87</v>
      </c>
      <c r="D82" s="432">
        <v>160.91</v>
      </c>
      <c r="E82" s="432">
        <v>161.47</v>
      </c>
      <c r="F82" s="426"/>
      <c r="G82" s="426"/>
      <c r="H82" s="426"/>
      <c r="I82" s="426"/>
      <c r="J82" s="426"/>
      <c r="K82" s="426"/>
      <c r="L82" s="113">
        <v>77</v>
      </c>
      <c r="M82" s="432">
        <v>164.73</v>
      </c>
      <c r="N82" s="432">
        <v>166.99</v>
      </c>
      <c r="O82" s="432">
        <v>167.59</v>
      </c>
      <c r="P82" s="426"/>
      <c r="Q82" s="426"/>
      <c r="R82" s="426"/>
      <c r="S82" s="426"/>
      <c r="T82" s="426"/>
      <c r="U82" s="426"/>
      <c r="V82" s="113">
        <v>77</v>
      </c>
      <c r="W82" s="432">
        <v>168.39</v>
      </c>
      <c r="X82" s="432">
        <v>170.83</v>
      </c>
      <c r="Y82" s="432">
        <v>171.48</v>
      </c>
      <c r="Z82" s="426"/>
      <c r="AA82" s="426"/>
      <c r="AB82" s="426"/>
      <c r="AC82" s="426"/>
      <c r="AD82" s="426"/>
      <c r="AE82" s="426"/>
      <c r="AF82" s="113">
        <v>77</v>
      </c>
      <c r="AG82" s="432">
        <v>169.57</v>
      </c>
      <c r="AH82" s="432">
        <v>172.15</v>
      </c>
      <c r="AI82" s="432">
        <v>172.84</v>
      </c>
      <c r="AJ82" s="426"/>
      <c r="AK82" s="426"/>
      <c r="AL82" s="426"/>
      <c r="AM82" s="426"/>
      <c r="AN82" s="426"/>
      <c r="AO82" s="426"/>
      <c r="AP82" s="113">
        <v>77</v>
      </c>
      <c r="AQ82" s="432">
        <v>168.27</v>
      </c>
      <c r="AR82" s="432">
        <v>170.94</v>
      </c>
      <c r="AS82" s="432">
        <v>171.66</v>
      </c>
      <c r="AT82" s="426"/>
      <c r="AU82" s="426"/>
      <c r="AV82" s="426"/>
      <c r="AW82" s="426"/>
      <c r="AX82" s="426"/>
      <c r="AY82" s="426"/>
      <c r="AZ82" s="113">
        <v>77</v>
      </c>
      <c r="BA82" s="432">
        <v>164.71</v>
      </c>
      <c r="BB82" s="432">
        <v>167.43</v>
      </c>
      <c r="BC82" s="432">
        <v>168.16</v>
      </c>
      <c r="BD82" s="426"/>
      <c r="BE82" s="426"/>
      <c r="BF82" s="426"/>
      <c r="BG82" s="426"/>
      <c r="BH82" s="426"/>
    </row>
    <row r="83" spans="1:60" x14ac:dyDescent="0.2">
      <c r="A83" s="426"/>
      <c r="B83" s="113">
        <v>78</v>
      </c>
      <c r="C83" s="432">
        <v>162.66999999999999</v>
      </c>
      <c r="D83" s="432">
        <v>164.76</v>
      </c>
      <c r="E83" s="432">
        <v>165.32</v>
      </c>
      <c r="F83" s="426"/>
      <c r="G83" s="426"/>
      <c r="H83" s="426"/>
      <c r="I83" s="426"/>
      <c r="J83" s="426"/>
      <c r="K83" s="426"/>
      <c r="L83" s="113">
        <v>78</v>
      </c>
      <c r="M83" s="432">
        <v>167.57</v>
      </c>
      <c r="N83" s="432">
        <v>169.86</v>
      </c>
      <c r="O83" s="432">
        <v>170.47</v>
      </c>
      <c r="P83" s="426"/>
      <c r="Q83" s="426"/>
      <c r="R83" s="426"/>
      <c r="S83" s="426"/>
      <c r="T83" s="426"/>
      <c r="U83" s="426"/>
      <c r="V83" s="113">
        <v>78</v>
      </c>
      <c r="W83" s="432">
        <v>169.95</v>
      </c>
      <c r="X83" s="432">
        <v>172.41</v>
      </c>
      <c r="Y83" s="432">
        <v>173.06</v>
      </c>
      <c r="Z83" s="426"/>
      <c r="AA83" s="426"/>
      <c r="AB83" s="426"/>
      <c r="AC83" s="426"/>
      <c r="AD83" s="426"/>
      <c r="AE83" s="426"/>
      <c r="AF83" s="113">
        <v>78</v>
      </c>
      <c r="AG83" s="432">
        <v>169.66</v>
      </c>
      <c r="AH83" s="432">
        <v>172.24</v>
      </c>
      <c r="AI83" s="432">
        <v>172.92</v>
      </c>
      <c r="AJ83" s="426"/>
      <c r="AK83" s="426"/>
      <c r="AL83" s="426"/>
      <c r="AM83" s="426"/>
      <c r="AN83" s="426"/>
      <c r="AO83" s="426"/>
      <c r="AP83" s="113">
        <v>78</v>
      </c>
      <c r="AQ83" s="432">
        <v>166.82</v>
      </c>
      <c r="AR83" s="432">
        <v>169.47</v>
      </c>
      <c r="AS83" s="432">
        <v>170.18</v>
      </c>
      <c r="AT83" s="426"/>
      <c r="AU83" s="426"/>
      <c r="AV83" s="426"/>
      <c r="AW83" s="426"/>
      <c r="AX83" s="426"/>
      <c r="AY83" s="426"/>
      <c r="AZ83" s="113">
        <v>78</v>
      </c>
      <c r="BA83" s="432">
        <v>161.82</v>
      </c>
      <c r="BB83" s="432">
        <v>164.5</v>
      </c>
      <c r="BC83" s="432">
        <v>165.22</v>
      </c>
      <c r="BD83" s="426"/>
      <c r="BE83" s="426"/>
      <c r="BF83" s="426"/>
      <c r="BG83" s="426"/>
      <c r="BH83" s="426"/>
    </row>
    <row r="84" spans="1:60" x14ac:dyDescent="0.2">
      <c r="A84" s="426"/>
      <c r="B84" s="113">
        <v>79</v>
      </c>
      <c r="C84" s="432">
        <v>166.38</v>
      </c>
      <c r="D84" s="432">
        <v>168.51</v>
      </c>
      <c r="E84" s="432">
        <v>169.08</v>
      </c>
      <c r="F84" s="426"/>
      <c r="G84" s="426"/>
      <c r="H84" s="426"/>
      <c r="I84" s="426"/>
      <c r="J84" s="426"/>
      <c r="K84" s="426"/>
      <c r="L84" s="113">
        <v>79</v>
      </c>
      <c r="M84" s="432">
        <v>170.15</v>
      </c>
      <c r="N84" s="432">
        <v>172.47</v>
      </c>
      <c r="O84" s="432">
        <v>173.09</v>
      </c>
      <c r="P84" s="426"/>
      <c r="Q84" s="426"/>
      <c r="R84" s="426"/>
      <c r="S84" s="426"/>
      <c r="T84" s="426"/>
      <c r="U84" s="426"/>
      <c r="V84" s="113">
        <v>79</v>
      </c>
      <c r="W84" s="432">
        <v>171.11</v>
      </c>
      <c r="X84" s="432">
        <v>173.58</v>
      </c>
      <c r="Y84" s="432">
        <v>174.24</v>
      </c>
      <c r="Z84" s="426"/>
      <c r="AA84" s="426"/>
      <c r="AB84" s="426"/>
      <c r="AC84" s="426"/>
      <c r="AD84" s="426"/>
      <c r="AE84" s="426"/>
      <c r="AF84" s="113">
        <v>79</v>
      </c>
      <c r="AG84" s="432">
        <v>169.24</v>
      </c>
      <c r="AH84" s="432">
        <v>171.82</v>
      </c>
      <c r="AI84" s="432">
        <v>172.5</v>
      </c>
      <c r="AJ84" s="426"/>
      <c r="AK84" s="426"/>
      <c r="AL84" s="426"/>
      <c r="AM84" s="426"/>
      <c r="AN84" s="426"/>
      <c r="AO84" s="426"/>
      <c r="AP84" s="113">
        <v>79</v>
      </c>
      <c r="AQ84" s="432">
        <v>164.84</v>
      </c>
      <c r="AR84" s="432">
        <v>167.46</v>
      </c>
      <c r="AS84" s="432">
        <v>168.17</v>
      </c>
      <c r="AT84" s="426"/>
      <c r="AU84" s="426"/>
      <c r="AV84" s="426"/>
      <c r="AW84" s="426"/>
      <c r="AX84" s="426"/>
      <c r="AY84" s="426"/>
      <c r="AZ84" s="113">
        <v>79</v>
      </c>
      <c r="BA84" s="432">
        <v>158.44</v>
      </c>
      <c r="BB84" s="432">
        <v>161.07</v>
      </c>
      <c r="BC84" s="432">
        <v>161.78</v>
      </c>
      <c r="BD84" s="426"/>
      <c r="BE84" s="426"/>
      <c r="BF84" s="426"/>
      <c r="BG84" s="426"/>
      <c r="BH84" s="426"/>
    </row>
    <row r="85" spans="1:60" x14ac:dyDescent="0.2">
      <c r="A85" s="426"/>
      <c r="B85" s="113">
        <v>80</v>
      </c>
      <c r="C85" s="432">
        <v>169.97</v>
      </c>
      <c r="D85" s="432">
        <v>172.13</v>
      </c>
      <c r="E85" s="432">
        <v>172.71</v>
      </c>
      <c r="F85" s="426"/>
      <c r="G85" s="426"/>
      <c r="H85" s="426"/>
      <c r="I85" s="426"/>
      <c r="J85" s="426"/>
      <c r="K85" s="426"/>
      <c r="L85" s="113">
        <v>80</v>
      </c>
      <c r="M85" s="432">
        <v>172.44</v>
      </c>
      <c r="N85" s="432">
        <v>174.78</v>
      </c>
      <c r="O85" s="432">
        <v>175.41</v>
      </c>
      <c r="P85" s="426"/>
      <c r="Q85" s="426"/>
      <c r="R85" s="426"/>
      <c r="S85" s="426"/>
      <c r="T85" s="426"/>
      <c r="U85" s="426"/>
      <c r="V85" s="113">
        <v>80</v>
      </c>
      <c r="W85" s="432">
        <v>171.84</v>
      </c>
      <c r="X85" s="432">
        <v>174.32</v>
      </c>
      <c r="Y85" s="432">
        <v>174.98</v>
      </c>
      <c r="Z85" s="426"/>
      <c r="AA85" s="426"/>
      <c r="AB85" s="426"/>
      <c r="AC85" s="426"/>
      <c r="AD85" s="426"/>
      <c r="AE85" s="426"/>
      <c r="AF85" s="113">
        <v>80</v>
      </c>
      <c r="AG85" s="432">
        <v>168.31</v>
      </c>
      <c r="AH85" s="432">
        <v>170.88</v>
      </c>
      <c r="AI85" s="432">
        <v>171.56</v>
      </c>
      <c r="AJ85" s="426"/>
      <c r="AK85" s="426"/>
      <c r="AL85" s="426"/>
      <c r="AM85" s="426"/>
      <c r="AN85" s="426"/>
      <c r="AO85" s="426"/>
      <c r="AP85" s="113">
        <v>80</v>
      </c>
      <c r="AQ85" s="432">
        <v>162.34</v>
      </c>
      <c r="AR85" s="432">
        <v>164.93</v>
      </c>
      <c r="AS85" s="432">
        <v>165.63</v>
      </c>
      <c r="AT85" s="426"/>
      <c r="AU85" s="426"/>
      <c r="AV85" s="426"/>
      <c r="AW85" s="426"/>
      <c r="AX85" s="426"/>
      <c r="AY85" s="426"/>
      <c r="AZ85" s="113">
        <v>80</v>
      </c>
      <c r="BA85" s="432">
        <v>154.62</v>
      </c>
      <c r="BB85" s="432">
        <v>157.18</v>
      </c>
      <c r="BC85" s="432">
        <v>157.88</v>
      </c>
      <c r="BD85" s="426"/>
      <c r="BE85" s="426"/>
      <c r="BF85" s="426"/>
      <c r="BG85" s="426"/>
      <c r="BH85" s="426"/>
    </row>
    <row r="86" spans="1:60" x14ac:dyDescent="0.2">
      <c r="A86" s="426"/>
      <c r="B86" s="113">
        <v>81</v>
      </c>
      <c r="C86" s="432">
        <v>173.38</v>
      </c>
      <c r="D86" s="432">
        <v>175.58</v>
      </c>
      <c r="E86" s="432">
        <v>176.16</v>
      </c>
      <c r="F86" s="426"/>
      <c r="G86" s="426"/>
      <c r="H86" s="426"/>
      <c r="I86" s="426"/>
      <c r="J86" s="426"/>
      <c r="K86" s="426"/>
      <c r="L86" s="113">
        <v>81</v>
      </c>
      <c r="M86" s="432">
        <v>174.39</v>
      </c>
      <c r="N86" s="432">
        <v>176.76</v>
      </c>
      <c r="O86" s="432">
        <v>177.38</v>
      </c>
      <c r="P86" s="426"/>
      <c r="Q86" s="426"/>
      <c r="R86" s="426"/>
      <c r="S86" s="426"/>
      <c r="T86" s="426"/>
      <c r="U86" s="426"/>
      <c r="V86" s="113">
        <v>81</v>
      </c>
      <c r="W86" s="432">
        <v>172.1</v>
      </c>
      <c r="X86" s="432">
        <v>174.58</v>
      </c>
      <c r="Y86" s="432">
        <v>175.24</v>
      </c>
      <c r="Z86" s="426"/>
      <c r="AA86" s="426"/>
      <c r="AB86" s="426"/>
      <c r="AC86" s="426"/>
      <c r="AD86" s="426"/>
      <c r="AE86" s="426"/>
      <c r="AF86" s="113">
        <v>81</v>
      </c>
      <c r="AG86" s="432">
        <v>166.86</v>
      </c>
      <c r="AH86" s="432">
        <v>169.41</v>
      </c>
      <c r="AI86" s="432">
        <v>170.09</v>
      </c>
      <c r="AJ86" s="426"/>
      <c r="AK86" s="426"/>
      <c r="AL86" s="426"/>
      <c r="AM86" s="426"/>
      <c r="AN86" s="426"/>
      <c r="AO86" s="426"/>
      <c r="AP86" s="113">
        <v>81</v>
      </c>
      <c r="AQ86" s="432">
        <v>159.35</v>
      </c>
      <c r="AR86" s="432">
        <v>161.9</v>
      </c>
      <c r="AS86" s="432">
        <v>162.59</v>
      </c>
      <c r="AT86" s="426"/>
      <c r="AU86" s="426"/>
      <c r="AV86" s="426"/>
      <c r="AW86" s="426"/>
      <c r="AX86" s="426"/>
      <c r="AY86" s="426"/>
      <c r="AZ86" s="113">
        <v>81</v>
      </c>
      <c r="BA86" s="432">
        <v>150.38</v>
      </c>
      <c r="BB86" s="432">
        <v>152.88999999999999</v>
      </c>
      <c r="BC86" s="432">
        <v>153.58000000000001</v>
      </c>
      <c r="BD86" s="426"/>
      <c r="BE86" s="426"/>
      <c r="BF86" s="426"/>
      <c r="BG86" s="426"/>
      <c r="BH86" s="426"/>
    </row>
    <row r="87" spans="1:60" x14ac:dyDescent="0.2">
      <c r="A87" s="426"/>
      <c r="B87" s="113">
        <v>82</v>
      </c>
      <c r="C87" s="432">
        <v>176.59</v>
      </c>
      <c r="D87" s="432">
        <v>178.81</v>
      </c>
      <c r="E87" s="432">
        <v>179.4</v>
      </c>
      <c r="F87" s="426"/>
      <c r="G87" s="426"/>
      <c r="H87" s="426"/>
      <c r="I87" s="426"/>
      <c r="J87" s="426"/>
      <c r="K87" s="426"/>
      <c r="L87" s="113">
        <v>82</v>
      </c>
      <c r="M87" s="432">
        <v>175.96</v>
      </c>
      <c r="N87" s="432">
        <v>178.34</v>
      </c>
      <c r="O87" s="432">
        <v>178.97</v>
      </c>
      <c r="P87" s="426"/>
      <c r="Q87" s="426"/>
      <c r="R87" s="426"/>
      <c r="S87" s="426"/>
      <c r="T87" s="426"/>
      <c r="U87" s="426"/>
      <c r="V87" s="113">
        <v>82</v>
      </c>
      <c r="W87" s="432">
        <v>171.87</v>
      </c>
      <c r="X87" s="432">
        <v>174.35</v>
      </c>
      <c r="Y87" s="432">
        <v>175.01</v>
      </c>
      <c r="Z87" s="426"/>
      <c r="AA87" s="426"/>
      <c r="AB87" s="426"/>
      <c r="AC87" s="426"/>
      <c r="AD87" s="426"/>
      <c r="AE87" s="426"/>
      <c r="AF87" s="113">
        <v>82</v>
      </c>
      <c r="AG87" s="432">
        <v>164.89</v>
      </c>
      <c r="AH87" s="432">
        <v>167.41</v>
      </c>
      <c r="AI87" s="432">
        <v>168.08</v>
      </c>
      <c r="AJ87" s="426"/>
      <c r="AK87" s="426"/>
      <c r="AL87" s="426"/>
      <c r="AM87" s="426"/>
      <c r="AN87" s="426"/>
      <c r="AO87" s="426"/>
      <c r="AP87" s="113">
        <v>82</v>
      </c>
      <c r="AQ87" s="432">
        <v>155.88</v>
      </c>
      <c r="AR87" s="432">
        <v>158.38999999999999</v>
      </c>
      <c r="AS87" s="432">
        <v>159.07</v>
      </c>
      <c r="AT87" s="426"/>
      <c r="AU87" s="426"/>
      <c r="AV87" s="426"/>
      <c r="AW87" s="426"/>
      <c r="AX87" s="426"/>
      <c r="AY87" s="426"/>
      <c r="AZ87" s="113">
        <v>82</v>
      </c>
      <c r="BA87" s="432">
        <v>145.79</v>
      </c>
      <c r="BB87" s="432">
        <v>148.22999999999999</v>
      </c>
      <c r="BC87" s="432">
        <v>148.91</v>
      </c>
      <c r="BD87" s="426"/>
      <c r="BE87" s="426"/>
      <c r="BF87" s="426"/>
      <c r="BG87" s="426"/>
      <c r="BH87" s="426"/>
    </row>
    <row r="88" spans="1:60" x14ac:dyDescent="0.2">
      <c r="A88" s="426"/>
      <c r="B88" s="113">
        <v>83</v>
      </c>
      <c r="C88" s="432">
        <v>179.54</v>
      </c>
      <c r="D88" s="432">
        <v>181.79</v>
      </c>
      <c r="E88" s="432">
        <v>182.39</v>
      </c>
      <c r="F88" s="426"/>
      <c r="G88" s="426"/>
      <c r="H88" s="426"/>
      <c r="I88" s="426"/>
      <c r="J88" s="426"/>
      <c r="K88" s="426"/>
      <c r="L88" s="113">
        <v>83</v>
      </c>
      <c r="M88" s="432">
        <v>177.11</v>
      </c>
      <c r="N88" s="432">
        <v>179.51</v>
      </c>
      <c r="O88" s="432">
        <v>180.14</v>
      </c>
      <c r="P88" s="426"/>
      <c r="Q88" s="426"/>
      <c r="R88" s="426"/>
      <c r="S88" s="426"/>
      <c r="T88" s="426"/>
      <c r="U88" s="426"/>
      <c r="V88" s="113">
        <v>83</v>
      </c>
      <c r="W88" s="432">
        <v>171.12</v>
      </c>
      <c r="X88" s="432">
        <v>173.6</v>
      </c>
      <c r="Y88" s="432">
        <v>174.26</v>
      </c>
      <c r="Z88" s="426"/>
      <c r="AA88" s="426"/>
      <c r="AB88" s="426"/>
      <c r="AC88" s="426"/>
      <c r="AD88" s="426"/>
      <c r="AE88" s="426"/>
      <c r="AF88" s="113">
        <v>83</v>
      </c>
      <c r="AG88" s="432">
        <v>162.4</v>
      </c>
      <c r="AH88" s="432">
        <v>164.89</v>
      </c>
      <c r="AI88" s="432">
        <v>165.56</v>
      </c>
      <c r="AJ88" s="426"/>
      <c r="AK88" s="426"/>
      <c r="AL88" s="426"/>
      <c r="AM88" s="426"/>
      <c r="AN88" s="426"/>
      <c r="AO88" s="426"/>
      <c r="AP88" s="113">
        <v>83</v>
      </c>
      <c r="AQ88" s="432">
        <v>151.99</v>
      </c>
      <c r="AR88" s="432">
        <v>154.44</v>
      </c>
      <c r="AS88" s="432">
        <v>155.12</v>
      </c>
      <c r="AT88" s="426"/>
      <c r="AU88" s="426"/>
      <c r="AV88" s="426"/>
      <c r="AW88" s="426"/>
      <c r="AX88" s="426"/>
      <c r="AY88" s="426"/>
      <c r="AZ88" s="113">
        <v>83</v>
      </c>
      <c r="BA88" s="432">
        <v>140.88999999999999</v>
      </c>
      <c r="BB88" s="432">
        <v>143.28</v>
      </c>
      <c r="BC88" s="432">
        <v>143.94</v>
      </c>
      <c r="BD88" s="426"/>
      <c r="BE88" s="426"/>
      <c r="BF88" s="426"/>
      <c r="BG88" s="426"/>
      <c r="BH88" s="426"/>
    </row>
    <row r="89" spans="1:60" x14ac:dyDescent="0.2">
      <c r="A89" s="426"/>
      <c r="B89" s="113">
        <v>84</v>
      </c>
      <c r="C89" s="432">
        <v>182.2</v>
      </c>
      <c r="D89" s="432">
        <v>184.48</v>
      </c>
      <c r="E89" s="432">
        <v>185.08</v>
      </c>
      <c r="F89" s="426"/>
      <c r="G89" s="426"/>
      <c r="H89" s="426"/>
      <c r="I89" s="426"/>
      <c r="J89" s="426"/>
      <c r="K89" s="426"/>
      <c r="L89" s="113">
        <v>84</v>
      </c>
      <c r="M89" s="432">
        <v>177.81</v>
      </c>
      <c r="N89" s="432">
        <v>180.21</v>
      </c>
      <c r="O89" s="432">
        <v>180.85</v>
      </c>
      <c r="P89" s="426"/>
      <c r="Q89" s="426"/>
      <c r="R89" s="426"/>
      <c r="S89" s="426"/>
      <c r="T89" s="426"/>
      <c r="U89" s="426"/>
      <c r="V89" s="113">
        <v>84</v>
      </c>
      <c r="W89" s="432">
        <v>169.86</v>
      </c>
      <c r="X89" s="432">
        <v>172.32</v>
      </c>
      <c r="Y89" s="432">
        <v>172.98</v>
      </c>
      <c r="Z89" s="426"/>
      <c r="AA89" s="426"/>
      <c r="AB89" s="426"/>
      <c r="AC89" s="426"/>
      <c r="AD89" s="426"/>
      <c r="AE89" s="426"/>
      <c r="AF89" s="113">
        <v>84</v>
      </c>
      <c r="AG89" s="432">
        <v>159.41999999999999</v>
      </c>
      <c r="AH89" s="432">
        <v>161.88</v>
      </c>
      <c r="AI89" s="432">
        <v>162.55000000000001</v>
      </c>
      <c r="AJ89" s="426"/>
      <c r="AK89" s="426"/>
      <c r="AL89" s="426"/>
      <c r="AM89" s="426"/>
      <c r="AN89" s="426"/>
      <c r="AO89" s="426"/>
      <c r="AP89" s="113">
        <v>84</v>
      </c>
      <c r="AQ89" s="432">
        <v>147.71</v>
      </c>
      <c r="AR89" s="432">
        <v>150.11000000000001</v>
      </c>
      <c r="AS89" s="432">
        <v>150.77000000000001</v>
      </c>
      <c r="AT89" s="426"/>
      <c r="AU89" s="426"/>
      <c r="AV89" s="426"/>
      <c r="AW89" s="426"/>
      <c r="AX89" s="426"/>
      <c r="AY89" s="426"/>
      <c r="AZ89" s="113">
        <v>84</v>
      </c>
      <c r="BA89" s="432">
        <v>135.75</v>
      </c>
      <c r="BB89" s="432">
        <v>138.07</v>
      </c>
      <c r="BC89" s="432">
        <v>138.72999999999999</v>
      </c>
      <c r="BD89" s="426"/>
      <c r="BE89" s="426"/>
      <c r="BF89" s="426"/>
      <c r="BG89" s="426"/>
      <c r="BH89" s="426"/>
    </row>
    <row r="90" spans="1:60" x14ac:dyDescent="0.2">
      <c r="A90" s="426"/>
      <c r="B90" s="113">
        <v>85</v>
      </c>
      <c r="C90" s="432">
        <v>184.53</v>
      </c>
      <c r="D90" s="432">
        <v>186.82</v>
      </c>
      <c r="E90" s="432">
        <v>187.43</v>
      </c>
      <c r="F90" s="426"/>
      <c r="G90" s="426"/>
      <c r="H90" s="426"/>
      <c r="I90" s="426"/>
      <c r="J90" s="426"/>
      <c r="K90" s="426"/>
      <c r="L90" s="113">
        <v>85</v>
      </c>
      <c r="M90" s="432">
        <v>178.03</v>
      </c>
      <c r="N90" s="432">
        <v>180.44</v>
      </c>
      <c r="O90" s="432">
        <v>181.08</v>
      </c>
      <c r="P90" s="426"/>
      <c r="Q90" s="426"/>
      <c r="R90" s="426"/>
      <c r="S90" s="426"/>
      <c r="T90" s="426"/>
      <c r="U90" s="426"/>
      <c r="V90" s="113">
        <v>85</v>
      </c>
      <c r="W90" s="432">
        <v>168.07</v>
      </c>
      <c r="X90" s="432">
        <v>170.51</v>
      </c>
      <c r="Y90" s="432">
        <v>171.17</v>
      </c>
      <c r="Z90" s="426"/>
      <c r="AA90" s="426"/>
      <c r="AB90" s="426"/>
      <c r="AC90" s="426"/>
      <c r="AD90" s="426"/>
      <c r="AE90" s="426"/>
      <c r="AF90" s="113">
        <v>85</v>
      </c>
      <c r="AG90" s="432">
        <v>155.97999999999999</v>
      </c>
      <c r="AH90" s="432">
        <v>158.4</v>
      </c>
      <c r="AI90" s="432">
        <v>159.06</v>
      </c>
      <c r="AJ90" s="426"/>
      <c r="AK90" s="426"/>
      <c r="AL90" s="426"/>
      <c r="AM90" s="426"/>
      <c r="AN90" s="426"/>
      <c r="AO90" s="426"/>
      <c r="AP90" s="113">
        <v>85</v>
      </c>
      <c r="AQ90" s="432">
        <v>143.09</v>
      </c>
      <c r="AR90" s="432">
        <v>145.43</v>
      </c>
      <c r="AS90" s="432">
        <v>146.09</v>
      </c>
      <c r="AT90" s="426"/>
      <c r="AU90" s="426"/>
      <c r="AV90" s="426"/>
      <c r="AW90" s="426"/>
      <c r="AX90" s="426"/>
      <c r="AY90" s="426"/>
      <c r="AZ90" s="113">
        <v>85</v>
      </c>
      <c r="BA90" s="432">
        <v>130.43</v>
      </c>
      <c r="BB90" s="432">
        <v>132.68</v>
      </c>
      <c r="BC90" s="432">
        <v>133.32</v>
      </c>
      <c r="BD90" s="426"/>
      <c r="BE90" s="426"/>
      <c r="BF90" s="426"/>
      <c r="BG90" s="426"/>
      <c r="BH90" s="426"/>
    </row>
    <row r="91" spans="1:60" x14ac:dyDescent="0.2">
      <c r="A91" s="426"/>
      <c r="B91" s="113">
        <v>86</v>
      </c>
      <c r="C91" s="432">
        <v>186.48</v>
      </c>
      <c r="D91" s="432">
        <v>188.78</v>
      </c>
      <c r="E91" s="432">
        <v>189.4</v>
      </c>
      <c r="F91" s="426"/>
      <c r="G91" s="426"/>
      <c r="H91" s="426"/>
      <c r="I91" s="426"/>
      <c r="J91" s="426"/>
      <c r="K91" s="426"/>
      <c r="L91" s="113">
        <v>86</v>
      </c>
      <c r="M91" s="432">
        <v>177.75</v>
      </c>
      <c r="N91" s="432">
        <v>180.15</v>
      </c>
      <c r="O91" s="432">
        <v>180.79</v>
      </c>
      <c r="P91" s="426"/>
      <c r="Q91" s="426"/>
      <c r="R91" s="426"/>
      <c r="S91" s="426"/>
      <c r="T91" s="426"/>
      <c r="U91" s="426"/>
      <c r="V91" s="113">
        <v>86</v>
      </c>
      <c r="W91" s="432">
        <v>165.76</v>
      </c>
      <c r="X91" s="432">
        <v>168.18</v>
      </c>
      <c r="Y91" s="432">
        <v>168.84</v>
      </c>
      <c r="Z91" s="426"/>
      <c r="AA91" s="426"/>
      <c r="AB91" s="426"/>
      <c r="AC91" s="426"/>
      <c r="AD91" s="426"/>
      <c r="AE91" s="426"/>
      <c r="AF91" s="113">
        <v>86</v>
      </c>
      <c r="AG91" s="432">
        <v>152.11000000000001</v>
      </c>
      <c r="AH91" s="432">
        <v>154.47999999999999</v>
      </c>
      <c r="AI91" s="432">
        <v>155.13999999999999</v>
      </c>
      <c r="AJ91" s="426"/>
      <c r="AK91" s="426"/>
      <c r="AL91" s="426"/>
      <c r="AM91" s="426"/>
      <c r="AN91" s="426"/>
      <c r="AO91" s="426"/>
      <c r="AP91" s="113">
        <v>86</v>
      </c>
      <c r="AQ91" s="432">
        <v>138.18</v>
      </c>
      <c r="AR91" s="432">
        <v>140.47</v>
      </c>
      <c r="AS91" s="432">
        <v>141.11000000000001</v>
      </c>
      <c r="AT91" s="426"/>
      <c r="AU91" s="426"/>
      <c r="AV91" s="426"/>
      <c r="AW91" s="426"/>
      <c r="AX91" s="426"/>
      <c r="AY91" s="426"/>
      <c r="AZ91" s="113">
        <v>86</v>
      </c>
      <c r="BA91" s="432">
        <v>124.96</v>
      </c>
      <c r="BB91" s="432">
        <v>127.16</v>
      </c>
      <c r="BC91" s="432">
        <v>127.79</v>
      </c>
      <c r="BD91" s="426"/>
      <c r="BE91" s="426"/>
      <c r="BF91" s="426"/>
      <c r="BG91" s="426"/>
      <c r="BH91" s="426"/>
    </row>
    <row r="92" spans="1:60" x14ac:dyDescent="0.2">
      <c r="A92" s="426"/>
      <c r="B92" s="113">
        <v>87</v>
      </c>
      <c r="C92" s="432">
        <v>188.01</v>
      </c>
      <c r="D92" s="432">
        <v>190.33</v>
      </c>
      <c r="E92" s="432">
        <v>190.95</v>
      </c>
      <c r="F92" s="426"/>
      <c r="G92" s="426"/>
      <c r="H92" s="426"/>
      <c r="I92" s="426"/>
      <c r="J92" s="426"/>
      <c r="K92" s="426"/>
      <c r="L92" s="113">
        <v>87</v>
      </c>
      <c r="M92" s="432">
        <v>176.94</v>
      </c>
      <c r="N92" s="432">
        <v>179.34</v>
      </c>
      <c r="O92" s="432">
        <v>179.99</v>
      </c>
      <c r="P92" s="426"/>
      <c r="Q92" s="426"/>
      <c r="R92" s="426"/>
      <c r="S92" s="426"/>
      <c r="T92" s="426"/>
      <c r="U92" s="426"/>
      <c r="V92" s="113">
        <v>87</v>
      </c>
      <c r="W92" s="432">
        <v>162.96</v>
      </c>
      <c r="X92" s="432">
        <v>165.35</v>
      </c>
      <c r="Y92" s="432">
        <v>166.01</v>
      </c>
      <c r="Z92" s="426"/>
      <c r="AA92" s="426"/>
      <c r="AB92" s="426"/>
      <c r="AC92" s="426"/>
      <c r="AD92" s="426"/>
      <c r="AE92" s="426"/>
      <c r="AF92" s="113">
        <v>87</v>
      </c>
      <c r="AG92" s="432">
        <v>147.85</v>
      </c>
      <c r="AH92" s="432">
        <v>150.18</v>
      </c>
      <c r="AI92" s="432">
        <v>150.83000000000001</v>
      </c>
      <c r="AJ92" s="426"/>
      <c r="AK92" s="426"/>
      <c r="AL92" s="426"/>
      <c r="AM92" s="426"/>
      <c r="AN92" s="426"/>
      <c r="AO92" s="426"/>
      <c r="AP92" s="113">
        <v>87</v>
      </c>
      <c r="AQ92" s="432">
        <v>133.04</v>
      </c>
      <c r="AR92" s="432">
        <v>135.27000000000001</v>
      </c>
      <c r="AS92" s="432">
        <v>135.9</v>
      </c>
      <c r="AT92" s="426"/>
      <c r="AU92" s="426"/>
      <c r="AV92" s="426"/>
      <c r="AW92" s="426"/>
      <c r="AX92" s="426"/>
      <c r="AY92" s="426"/>
      <c r="AZ92" s="113">
        <v>87</v>
      </c>
      <c r="BA92" s="432">
        <v>119.42</v>
      </c>
      <c r="BB92" s="432">
        <v>121.56</v>
      </c>
      <c r="BC92" s="432">
        <v>122.17</v>
      </c>
      <c r="BD92" s="426"/>
      <c r="BE92" s="426"/>
      <c r="BF92" s="426"/>
      <c r="BG92" s="426"/>
      <c r="BH92" s="426"/>
    </row>
    <row r="93" spans="1:60" x14ac:dyDescent="0.2">
      <c r="A93" s="426"/>
      <c r="B93" s="113">
        <v>88</v>
      </c>
      <c r="C93" s="432">
        <v>189.09</v>
      </c>
      <c r="D93" s="432">
        <v>191.42</v>
      </c>
      <c r="E93" s="432">
        <v>192.04</v>
      </c>
      <c r="F93" s="426"/>
      <c r="G93" s="426"/>
      <c r="H93" s="426"/>
      <c r="I93" s="426"/>
      <c r="J93" s="426"/>
      <c r="K93" s="426"/>
      <c r="L93" s="113">
        <v>88</v>
      </c>
      <c r="M93" s="432">
        <v>175.61</v>
      </c>
      <c r="N93" s="432">
        <v>177.99</v>
      </c>
      <c r="O93" s="432">
        <v>178.64</v>
      </c>
      <c r="P93" s="426"/>
      <c r="Q93" s="426"/>
      <c r="R93" s="426"/>
      <c r="S93" s="426"/>
      <c r="T93" s="426"/>
      <c r="U93" s="426"/>
      <c r="V93" s="113">
        <v>88</v>
      </c>
      <c r="W93" s="432">
        <v>159.66999999999999</v>
      </c>
      <c r="X93" s="432">
        <v>162.04</v>
      </c>
      <c r="Y93" s="432">
        <v>162.69</v>
      </c>
      <c r="Z93" s="426"/>
      <c r="AA93" s="426"/>
      <c r="AB93" s="426"/>
      <c r="AC93" s="426"/>
      <c r="AD93" s="426"/>
      <c r="AE93" s="426"/>
      <c r="AF93" s="113">
        <v>88</v>
      </c>
      <c r="AG93" s="432">
        <v>143.25</v>
      </c>
      <c r="AH93" s="432">
        <v>145.53</v>
      </c>
      <c r="AI93" s="432">
        <v>146.16999999999999</v>
      </c>
      <c r="AJ93" s="426"/>
      <c r="AK93" s="426"/>
      <c r="AL93" s="426"/>
      <c r="AM93" s="426"/>
      <c r="AN93" s="426"/>
      <c r="AO93" s="426"/>
      <c r="AP93" s="113">
        <v>88</v>
      </c>
      <c r="AQ93" s="432">
        <v>127.72</v>
      </c>
      <c r="AR93" s="432">
        <v>129.88999999999999</v>
      </c>
      <c r="AS93" s="432">
        <v>130.52000000000001</v>
      </c>
      <c r="AT93" s="426"/>
      <c r="AU93" s="426"/>
      <c r="AV93" s="426"/>
      <c r="AW93" s="426"/>
      <c r="AX93" s="426"/>
      <c r="AY93" s="426"/>
      <c r="AZ93" s="113">
        <v>88</v>
      </c>
      <c r="BA93" s="432">
        <v>113.84</v>
      </c>
      <c r="BB93" s="432">
        <v>115.92</v>
      </c>
      <c r="BC93" s="432">
        <v>116.53</v>
      </c>
      <c r="BD93" s="426"/>
      <c r="BE93" s="426"/>
      <c r="BF93" s="426"/>
      <c r="BG93" s="426"/>
      <c r="BH93" s="426"/>
    </row>
    <row r="94" spans="1:60" x14ac:dyDescent="0.2">
      <c r="A94" s="426"/>
      <c r="B94" s="113">
        <v>89</v>
      </c>
      <c r="C94" s="432">
        <v>189.69</v>
      </c>
      <c r="D94" s="432">
        <v>192.02</v>
      </c>
      <c r="E94" s="432">
        <v>192.66</v>
      </c>
      <c r="F94" s="426"/>
      <c r="G94" s="426"/>
      <c r="H94" s="426"/>
      <c r="I94" s="426"/>
      <c r="J94" s="426"/>
      <c r="K94" s="426"/>
      <c r="L94" s="113">
        <v>89</v>
      </c>
      <c r="M94" s="432">
        <v>173.75</v>
      </c>
      <c r="N94" s="432">
        <v>176.12</v>
      </c>
      <c r="O94" s="432">
        <v>176.77</v>
      </c>
      <c r="P94" s="426"/>
      <c r="Q94" s="426"/>
      <c r="R94" s="426"/>
      <c r="S94" s="426"/>
      <c r="T94" s="426"/>
      <c r="U94" s="426"/>
      <c r="V94" s="113">
        <v>89</v>
      </c>
      <c r="W94" s="432">
        <v>155.94999999999999</v>
      </c>
      <c r="X94" s="432">
        <v>158.28</v>
      </c>
      <c r="Y94" s="432">
        <v>158.93</v>
      </c>
      <c r="Z94" s="426"/>
      <c r="AA94" s="426"/>
      <c r="AB94" s="426"/>
      <c r="AC94" s="426"/>
      <c r="AD94" s="426"/>
      <c r="AE94" s="426"/>
      <c r="AF94" s="113">
        <v>89</v>
      </c>
      <c r="AG94" s="432">
        <v>138.37</v>
      </c>
      <c r="AH94" s="432">
        <v>140.59</v>
      </c>
      <c r="AI94" s="432">
        <v>141.22999999999999</v>
      </c>
      <c r="AJ94" s="426"/>
      <c r="AK94" s="426"/>
      <c r="AL94" s="426"/>
      <c r="AM94" s="426"/>
      <c r="AN94" s="426"/>
      <c r="AO94" s="426"/>
      <c r="AP94" s="113">
        <v>89</v>
      </c>
      <c r="AQ94" s="432">
        <v>122.28</v>
      </c>
      <c r="AR94" s="432">
        <v>124.39</v>
      </c>
      <c r="AS94" s="432">
        <v>125.01</v>
      </c>
      <c r="AT94" s="426"/>
      <c r="AU94" s="426"/>
      <c r="AV94" s="426"/>
      <c r="AW94" s="426"/>
      <c r="AX94" s="426"/>
      <c r="AY94" s="426"/>
      <c r="AZ94" s="113">
        <v>89</v>
      </c>
      <c r="BA94" s="432">
        <v>108.28</v>
      </c>
      <c r="BB94" s="432">
        <v>110.31</v>
      </c>
      <c r="BC94" s="432">
        <v>110.9</v>
      </c>
      <c r="BD94" s="426"/>
      <c r="BE94" s="426"/>
      <c r="BF94" s="426"/>
      <c r="BG94" s="426"/>
      <c r="BH94" s="426"/>
    </row>
    <row r="95" spans="1:60" x14ac:dyDescent="0.2">
      <c r="A95" s="426"/>
      <c r="B95" s="113">
        <v>90</v>
      </c>
      <c r="C95" s="432">
        <v>189.78</v>
      </c>
      <c r="D95" s="432">
        <v>192.12</v>
      </c>
      <c r="E95" s="432">
        <v>192.76</v>
      </c>
      <c r="F95" s="426"/>
      <c r="G95" s="426"/>
      <c r="H95" s="426"/>
      <c r="I95" s="426"/>
      <c r="J95" s="426"/>
      <c r="K95" s="426"/>
      <c r="L95" s="113">
        <v>90</v>
      </c>
      <c r="M95" s="432">
        <v>171.37</v>
      </c>
      <c r="N95" s="432">
        <v>173.72</v>
      </c>
      <c r="O95" s="432">
        <v>174.38</v>
      </c>
      <c r="P95" s="426"/>
      <c r="Q95" s="426"/>
      <c r="R95" s="426"/>
      <c r="S95" s="426"/>
      <c r="T95" s="426"/>
      <c r="U95" s="426"/>
      <c r="V95" s="113">
        <v>90</v>
      </c>
      <c r="W95" s="432">
        <v>151.82</v>
      </c>
      <c r="X95" s="432">
        <v>154.12</v>
      </c>
      <c r="Y95" s="432">
        <v>154.76</v>
      </c>
      <c r="Z95" s="426"/>
      <c r="AA95" s="426"/>
      <c r="AB95" s="426"/>
      <c r="AC95" s="426"/>
      <c r="AD95" s="426"/>
      <c r="AE95" s="426"/>
      <c r="AF95" s="113">
        <v>90</v>
      </c>
      <c r="AG95" s="432">
        <v>133.24</v>
      </c>
      <c r="AH95" s="432">
        <v>135.41999999999999</v>
      </c>
      <c r="AI95" s="432">
        <v>136.05000000000001</v>
      </c>
      <c r="AJ95" s="426"/>
      <c r="AK95" s="426"/>
      <c r="AL95" s="426"/>
      <c r="AM95" s="426"/>
      <c r="AN95" s="426"/>
      <c r="AO95" s="426"/>
      <c r="AP95" s="113">
        <v>90</v>
      </c>
      <c r="AQ95" s="432">
        <v>116.75</v>
      </c>
      <c r="AR95" s="432">
        <v>118.82</v>
      </c>
      <c r="AS95" s="432">
        <v>119.43</v>
      </c>
      <c r="AT95" s="426"/>
      <c r="AU95" s="426"/>
      <c r="AV95" s="426"/>
      <c r="AW95" s="426"/>
      <c r="AX95" s="426"/>
      <c r="AY95" s="426"/>
      <c r="AZ95" s="113">
        <v>90</v>
      </c>
      <c r="BA95" s="432">
        <v>102.77</v>
      </c>
      <c r="BB95" s="432">
        <v>104.75</v>
      </c>
      <c r="BC95" s="432">
        <v>105.33</v>
      </c>
      <c r="BD95" s="426"/>
      <c r="BE95" s="426"/>
      <c r="BF95" s="426"/>
      <c r="BG95" s="426"/>
      <c r="BH95" s="426"/>
    </row>
    <row r="96" spans="1:60" x14ac:dyDescent="0.2">
      <c r="A96" s="426"/>
      <c r="B96" s="113">
        <v>91</v>
      </c>
      <c r="C96" s="432">
        <v>189.36</v>
      </c>
      <c r="D96" s="432">
        <v>191.7</v>
      </c>
      <c r="E96" s="432">
        <v>192.34</v>
      </c>
      <c r="F96" s="426"/>
      <c r="G96" s="426"/>
      <c r="H96" s="426"/>
      <c r="I96" s="426"/>
      <c r="J96" s="426"/>
      <c r="K96" s="426"/>
      <c r="L96" s="113">
        <v>91</v>
      </c>
      <c r="M96" s="432">
        <v>168.49</v>
      </c>
      <c r="N96" s="432">
        <v>170.83</v>
      </c>
      <c r="O96" s="432">
        <v>171.48</v>
      </c>
      <c r="P96" s="426"/>
      <c r="Q96" s="426"/>
      <c r="R96" s="426"/>
      <c r="S96" s="426"/>
      <c r="T96" s="426"/>
      <c r="U96" s="426"/>
      <c r="V96" s="113">
        <v>91</v>
      </c>
      <c r="W96" s="432">
        <v>147.33000000000001</v>
      </c>
      <c r="X96" s="432">
        <v>149.59</v>
      </c>
      <c r="Y96" s="432">
        <v>150.22999999999999</v>
      </c>
      <c r="Z96" s="426"/>
      <c r="AA96" s="426"/>
      <c r="AB96" s="426"/>
      <c r="AC96" s="426"/>
      <c r="AD96" s="426"/>
      <c r="AE96" s="426"/>
      <c r="AF96" s="113">
        <v>91</v>
      </c>
      <c r="AG96" s="432">
        <v>127.94</v>
      </c>
      <c r="AH96" s="432">
        <v>130.06</v>
      </c>
      <c r="AI96" s="432">
        <v>130.69</v>
      </c>
      <c r="AJ96" s="426"/>
      <c r="AK96" s="426"/>
      <c r="AL96" s="426"/>
      <c r="AM96" s="426"/>
      <c r="AN96" s="426"/>
      <c r="AO96" s="426"/>
      <c r="AP96" s="113">
        <v>91</v>
      </c>
      <c r="AQ96" s="432">
        <v>111.21</v>
      </c>
      <c r="AR96" s="432">
        <v>113.22</v>
      </c>
      <c r="AS96" s="432">
        <v>113.82</v>
      </c>
      <c r="AT96" s="426"/>
      <c r="AU96" s="426"/>
      <c r="AV96" s="426"/>
      <c r="AW96" s="426"/>
      <c r="AX96" s="426"/>
      <c r="AY96" s="426"/>
      <c r="AZ96" s="113">
        <v>91</v>
      </c>
      <c r="BA96" s="432">
        <v>97.35</v>
      </c>
      <c r="BB96" s="432">
        <v>99.28</v>
      </c>
      <c r="BC96" s="432">
        <v>99.86</v>
      </c>
      <c r="BD96" s="426"/>
      <c r="BE96" s="426"/>
      <c r="BF96" s="426"/>
      <c r="BG96" s="426"/>
      <c r="BH96" s="426"/>
    </row>
    <row r="97" spans="1:60" x14ac:dyDescent="0.2">
      <c r="A97" s="426"/>
      <c r="B97" s="113">
        <v>92</v>
      </c>
      <c r="C97" s="432">
        <v>188.41</v>
      </c>
      <c r="D97" s="432">
        <v>190.74</v>
      </c>
      <c r="E97" s="432">
        <v>191.39</v>
      </c>
      <c r="F97" s="426"/>
      <c r="G97" s="426"/>
      <c r="H97" s="426"/>
      <c r="I97" s="426"/>
      <c r="J97" s="426"/>
      <c r="K97" s="426"/>
      <c r="L97" s="113">
        <v>92</v>
      </c>
      <c r="M97" s="432">
        <v>165.14</v>
      </c>
      <c r="N97" s="432">
        <v>167.46</v>
      </c>
      <c r="O97" s="432">
        <v>168.11</v>
      </c>
      <c r="P97" s="426"/>
      <c r="Q97" s="426"/>
      <c r="R97" s="426"/>
      <c r="S97" s="426"/>
      <c r="T97" s="426"/>
      <c r="U97" s="426"/>
      <c r="V97" s="113">
        <v>92</v>
      </c>
      <c r="W97" s="432">
        <v>142.54</v>
      </c>
      <c r="X97" s="432">
        <v>144.75</v>
      </c>
      <c r="Y97" s="432">
        <v>145.38999999999999</v>
      </c>
      <c r="Z97" s="426"/>
      <c r="AA97" s="426"/>
      <c r="AB97" s="426"/>
      <c r="AC97" s="426"/>
      <c r="AD97" s="426"/>
      <c r="AE97" s="426"/>
      <c r="AF97" s="113">
        <v>92</v>
      </c>
      <c r="AG97" s="432">
        <v>122.5</v>
      </c>
      <c r="AH97" s="432">
        <v>124.58</v>
      </c>
      <c r="AI97" s="432">
        <v>125.19</v>
      </c>
      <c r="AJ97" s="426"/>
      <c r="AK97" s="426"/>
      <c r="AL97" s="426"/>
      <c r="AM97" s="426"/>
      <c r="AN97" s="426"/>
      <c r="AO97" s="426"/>
      <c r="AP97" s="113">
        <v>92</v>
      </c>
      <c r="AQ97" s="432">
        <v>105.68</v>
      </c>
      <c r="AR97" s="432">
        <v>107.65</v>
      </c>
      <c r="AS97" s="432">
        <v>108.24</v>
      </c>
      <c r="AT97" s="426"/>
      <c r="AU97" s="426"/>
      <c r="AV97" s="426"/>
      <c r="AW97" s="426"/>
      <c r="AX97" s="426"/>
      <c r="AY97" s="426"/>
      <c r="AZ97" s="113">
        <v>92</v>
      </c>
      <c r="BA97" s="432">
        <v>92.05</v>
      </c>
      <c r="BB97" s="432">
        <v>93.94</v>
      </c>
      <c r="BC97" s="432">
        <v>94.5</v>
      </c>
      <c r="BD97" s="426"/>
      <c r="BE97" s="426"/>
      <c r="BF97" s="426"/>
      <c r="BG97" s="426"/>
      <c r="BH97" s="426"/>
    </row>
    <row r="98" spans="1:60" x14ac:dyDescent="0.2">
      <c r="A98" s="426"/>
      <c r="B98" s="113">
        <v>93</v>
      </c>
      <c r="C98" s="432">
        <v>186.93</v>
      </c>
      <c r="D98" s="432">
        <v>189.26</v>
      </c>
      <c r="E98" s="432">
        <v>189.91</v>
      </c>
      <c r="F98" s="426"/>
      <c r="G98" s="426"/>
      <c r="H98" s="426"/>
      <c r="I98" s="426"/>
      <c r="J98" s="426"/>
      <c r="K98" s="426"/>
      <c r="L98" s="113">
        <v>93</v>
      </c>
      <c r="M98" s="432">
        <v>161.36000000000001</v>
      </c>
      <c r="N98" s="432">
        <v>163.65</v>
      </c>
      <c r="O98" s="432">
        <v>164.3</v>
      </c>
      <c r="P98" s="426"/>
      <c r="Q98" s="426"/>
      <c r="R98" s="426"/>
      <c r="S98" s="426"/>
      <c r="T98" s="426"/>
      <c r="U98" s="426"/>
      <c r="V98" s="113">
        <v>93</v>
      </c>
      <c r="W98" s="432">
        <v>137.49</v>
      </c>
      <c r="X98" s="432">
        <v>139.66</v>
      </c>
      <c r="Y98" s="432">
        <v>140.29</v>
      </c>
      <c r="Z98" s="426"/>
      <c r="AA98" s="426"/>
      <c r="AB98" s="426"/>
      <c r="AC98" s="426"/>
      <c r="AD98" s="426"/>
      <c r="AE98" s="426"/>
      <c r="AF98" s="113">
        <v>93</v>
      </c>
      <c r="AG98" s="432">
        <v>116.98</v>
      </c>
      <c r="AH98" s="432">
        <v>119.01</v>
      </c>
      <c r="AI98" s="432">
        <v>119.62</v>
      </c>
      <c r="AJ98" s="426"/>
      <c r="AK98" s="426"/>
      <c r="AL98" s="426"/>
      <c r="AM98" s="426"/>
      <c r="AN98" s="426"/>
      <c r="AO98" s="426"/>
      <c r="AP98" s="113">
        <v>93</v>
      </c>
      <c r="AQ98" s="432">
        <v>100.2</v>
      </c>
      <c r="AR98" s="432">
        <v>102.13</v>
      </c>
      <c r="AS98" s="432">
        <v>102.71</v>
      </c>
      <c r="AT98" s="426"/>
      <c r="AU98" s="426"/>
      <c r="AV98" s="426"/>
      <c r="AW98" s="426"/>
      <c r="AX98" s="426"/>
      <c r="AY98" s="426"/>
      <c r="AZ98" s="113">
        <v>93</v>
      </c>
      <c r="BA98" s="432">
        <v>86.89</v>
      </c>
      <c r="BB98" s="432">
        <v>88.74</v>
      </c>
      <c r="BC98" s="432">
        <v>89.3</v>
      </c>
      <c r="BD98" s="426"/>
      <c r="BE98" s="426"/>
      <c r="BF98" s="426"/>
      <c r="BG98" s="426"/>
      <c r="BH98" s="426"/>
    </row>
    <row r="99" spans="1:60" x14ac:dyDescent="0.2">
      <c r="A99" s="426"/>
      <c r="B99" s="113">
        <v>94</v>
      </c>
      <c r="C99" s="432">
        <v>184.94</v>
      </c>
      <c r="D99" s="432">
        <v>187.26</v>
      </c>
      <c r="E99" s="432">
        <v>187.92</v>
      </c>
      <c r="F99" s="426"/>
      <c r="G99" s="426"/>
      <c r="H99" s="426"/>
      <c r="I99" s="426"/>
      <c r="J99" s="426"/>
      <c r="K99" s="426"/>
      <c r="L99" s="113">
        <v>94</v>
      </c>
      <c r="M99" s="432">
        <v>157.18</v>
      </c>
      <c r="N99" s="432">
        <v>159.44</v>
      </c>
      <c r="O99" s="432">
        <v>160.1</v>
      </c>
      <c r="P99" s="426"/>
      <c r="Q99" s="426"/>
      <c r="R99" s="426"/>
      <c r="S99" s="426"/>
      <c r="T99" s="426"/>
      <c r="U99" s="426"/>
      <c r="V99" s="113">
        <v>94</v>
      </c>
      <c r="W99" s="432">
        <v>132.24</v>
      </c>
      <c r="X99" s="432">
        <v>134.36000000000001</v>
      </c>
      <c r="Y99" s="432">
        <v>134.99</v>
      </c>
      <c r="Z99" s="426"/>
      <c r="AA99" s="426"/>
      <c r="AB99" s="426"/>
      <c r="AC99" s="426"/>
      <c r="AD99" s="426"/>
      <c r="AE99" s="426"/>
      <c r="AF99" s="113">
        <v>94</v>
      </c>
      <c r="AG99" s="432">
        <v>111.43</v>
      </c>
      <c r="AH99" s="432">
        <v>113.42</v>
      </c>
      <c r="AI99" s="432">
        <v>114.02</v>
      </c>
      <c r="AJ99" s="426"/>
      <c r="AK99" s="426"/>
      <c r="AL99" s="426"/>
      <c r="AM99" s="426"/>
      <c r="AN99" s="426"/>
      <c r="AO99" s="426"/>
      <c r="AP99" s="113">
        <v>94</v>
      </c>
      <c r="AQ99" s="432">
        <v>94.82</v>
      </c>
      <c r="AR99" s="432">
        <v>96.71</v>
      </c>
      <c r="AS99" s="432">
        <v>97.28</v>
      </c>
      <c r="AT99" s="426"/>
      <c r="AU99" s="426"/>
      <c r="AV99" s="426"/>
      <c r="AW99" s="426"/>
      <c r="AX99" s="426"/>
      <c r="AY99" s="426"/>
      <c r="AZ99" s="113">
        <v>94</v>
      </c>
      <c r="BA99" s="432">
        <v>81.91</v>
      </c>
      <c r="BB99" s="432">
        <v>83.72</v>
      </c>
      <c r="BC99" s="432">
        <v>84.27</v>
      </c>
      <c r="BD99" s="426"/>
      <c r="BE99" s="426"/>
      <c r="BF99" s="426"/>
      <c r="BG99" s="426"/>
      <c r="BH99" s="426"/>
    </row>
    <row r="100" spans="1:60" x14ac:dyDescent="0.2">
      <c r="A100" s="426"/>
      <c r="B100" s="113">
        <v>95</v>
      </c>
      <c r="C100" s="432">
        <v>182.46</v>
      </c>
      <c r="D100" s="432">
        <v>184.77</v>
      </c>
      <c r="E100" s="432">
        <v>185.43</v>
      </c>
      <c r="F100" s="426"/>
      <c r="G100" s="426"/>
      <c r="H100" s="426"/>
      <c r="I100" s="426"/>
      <c r="J100" s="426"/>
      <c r="K100" s="426"/>
      <c r="L100" s="113">
        <v>95</v>
      </c>
      <c r="M100" s="432">
        <v>152.66999999999999</v>
      </c>
      <c r="N100" s="432">
        <v>154.9</v>
      </c>
      <c r="O100" s="432">
        <v>155.55000000000001</v>
      </c>
      <c r="P100" s="426"/>
      <c r="Q100" s="426"/>
      <c r="R100" s="426"/>
      <c r="S100" s="426"/>
      <c r="T100" s="426"/>
      <c r="U100" s="426"/>
      <c r="V100" s="113">
        <v>95</v>
      </c>
      <c r="W100" s="432">
        <v>126.84</v>
      </c>
      <c r="X100" s="432">
        <v>128.91999999999999</v>
      </c>
      <c r="Y100" s="432">
        <v>129.55000000000001</v>
      </c>
      <c r="Z100" s="426"/>
      <c r="AA100" s="426"/>
      <c r="AB100" s="426"/>
      <c r="AC100" s="426"/>
      <c r="AD100" s="426"/>
      <c r="AE100" s="426"/>
      <c r="AF100" s="113">
        <v>95</v>
      </c>
      <c r="AG100" s="432">
        <v>105.9</v>
      </c>
      <c r="AH100" s="432">
        <v>107.85</v>
      </c>
      <c r="AI100" s="432">
        <v>108.44</v>
      </c>
      <c r="AJ100" s="426"/>
      <c r="AK100" s="426"/>
      <c r="AL100" s="426"/>
      <c r="AM100" s="426"/>
      <c r="AN100" s="426"/>
      <c r="AO100" s="426"/>
      <c r="AP100" s="113">
        <v>95</v>
      </c>
      <c r="AQ100" s="432">
        <v>89.56</v>
      </c>
      <c r="AR100" s="432">
        <v>91.42</v>
      </c>
      <c r="AS100" s="432">
        <v>91.98</v>
      </c>
      <c r="AT100" s="426"/>
      <c r="AU100" s="426"/>
      <c r="AV100" s="426"/>
      <c r="AW100" s="426"/>
      <c r="AX100" s="426"/>
      <c r="AY100" s="426"/>
      <c r="AZ100" s="113">
        <v>95</v>
      </c>
      <c r="BA100" s="432">
        <v>77.099999999999994</v>
      </c>
      <c r="BB100" s="432">
        <v>78.88</v>
      </c>
      <c r="BC100" s="432">
        <v>79.42</v>
      </c>
      <c r="BD100" s="426"/>
      <c r="BE100" s="426"/>
      <c r="BF100" s="426"/>
      <c r="BG100" s="426"/>
      <c r="BH100" s="426"/>
    </row>
    <row r="101" spans="1:60" x14ac:dyDescent="0.2">
      <c r="A101" s="426"/>
      <c r="B101" s="113">
        <v>96</v>
      </c>
      <c r="C101" s="432">
        <v>179.52</v>
      </c>
      <c r="D101" s="432">
        <v>181.82</v>
      </c>
      <c r="E101" s="432">
        <v>182.49</v>
      </c>
      <c r="F101" s="426"/>
      <c r="G101" s="426"/>
      <c r="H101" s="426"/>
      <c r="I101" s="426"/>
      <c r="J101" s="426"/>
      <c r="K101" s="426"/>
      <c r="L101" s="113">
        <v>96</v>
      </c>
      <c r="M101" s="432">
        <v>147.87</v>
      </c>
      <c r="N101" s="432">
        <v>150.07</v>
      </c>
      <c r="O101" s="432">
        <v>150.72</v>
      </c>
      <c r="P101" s="426"/>
      <c r="Q101" s="426"/>
      <c r="R101" s="426"/>
      <c r="S101" s="426"/>
      <c r="T101" s="426"/>
      <c r="U101" s="426"/>
      <c r="V101" s="113">
        <v>96</v>
      </c>
      <c r="W101" s="432">
        <v>121.36</v>
      </c>
      <c r="X101" s="432">
        <v>123.39</v>
      </c>
      <c r="Y101" s="432">
        <v>124.01</v>
      </c>
      <c r="Z101" s="426"/>
      <c r="AA101" s="426"/>
      <c r="AB101" s="426"/>
      <c r="AC101" s="426"/>
      <c r="AD101" s="426"/>
      <c r="AE101" s="426"/>
      <c r="AF101" s="113">
        <v>96</v>
      </c>
      <c r="AG101" s="432">
        <v>100.42</v>
      </c>
      <c r="AH101" s="432">
        <v>102.34</v>
      </c>
      <c r="AI101" s="432">
        <v>102.92</v>
      </c>
      <c r="AJ101" s="426"/>
      <c r="AK101" s="426"/>
      <c r="AL101" s="426"/>
      <c r="AM101" s="426"/>
      <c r="AN101" s="426"/>
      <c r="AO101" s="426"/>
      <c r="AP101" s="113">
        <v>96</v>
      </c>
      <c r="AQ101" s="432">
        <v>84.46</v>
      </c>
      <c r="AR101" s="432">
        <v>86.28</v>
      </c>
      <c r="AS101" s="432">
        <v>86.84</v>
      </c>
      <c r="AT101" s="426"/>
      <c r="AU101" s="426"/>
      <c r="AV101" s="426"/>
      <c r="AW101" s="426"/>
      <c r="AX101" s="426"/>
      <c r="AY101" s="426"/>
      <c r="AZ101" s="113">
        <v>96</v>
      </c>
      <c r="BA101" s="432">
        <v>72.5</v>
      </c>
      <c r="BB101" s="432">
        <v>74.25</v>
      </c>
      <c r="BC101" s="432">
        <v>74.78</v>
      </c>
      <c r="BD101" s="426"/>
      <c r="BE101" s="426"/>
      <c r="BF101" s="426"/>
      <c r="BG101" s="426"/>
      <c r="BH101" s="426"/>
    </row>
    <row r="102" spans="1:60" x14ac:dyDescent="0.2">
      <c r="A102" s="426"/>
      <c r="B102" s="113">
        <v>97</v>
      </c>
      <c r="C102" s="432">
        <v>176.18</v>
      </c>
      <c r="D102" s="432">
        <v>178.47</v>
      </c>
      <c r="E102" s="432">
        <v>179.14</v>
      </c>
      <c r="F102" s="426"/>
      <c r="G102" s="426"/>
      <c r="H102" s="426"/>
      <c r="I102" s="426"/>
      <c r="J102" s="426"/>
      <c r="K102" s="426"/>
      <c r="L102" s="113">
        <v>97</v>
      </c>
      <c r="M102" s="432">
        <v>142.85</v>
      </c>
      <c r="N102" s="432">
        <v>145.02000000000001</v>
      </c>
      <c r="O102" s="432">
        <v>145.66999999999999</v>
      </c>
      <c r="P102" s="426"/>
      <c r="Q102" s="426"/>
      <c r="R102" s="426"/>
      <c r="S102" s="426"/>
      <c r="T102" s="426"/>
      <c r="U102" s="426"/>
      <c r="V102" s="113">
        <v>97</v>
      </c>
      <c r="W102" s="432">
        <v>115.83</v>
      </c>
      <c r="X102" s="432">
        <v>117.84</v>
      </c>
      <c r="Y102" s="432">
        <v>118.45</v>
      </c>
      <c r="Z102" s="426"/>
      <c r="AA102" s="426"/>
      <c r="AB102" s="426"/>
      <c r="AC102" s="426"/>
      <c r="AD102" s="426"/>
      <c r="AE102" s="426"/>
      <c r="AF102" s="113">
        <v>97</v>
      </c>
      <c r="AG102" s="432">
        <v>95.05</v>
      </c>
      <c r="AH102" s="432">
        <v>96.93</v>
      </c>
      <c r="AI102" s="432">
        <v>97.51</v>
      </c>
      <c r="AJ102" s="426"/>
      <c r="AK102" s="426"/>
      <c r="AL102" s="426"/>
      <c r="AM102" s="426"/>
      <c r="AN102" s="426"/>
      <c r="AO102" s="426"/>
      <c r="AP102" s="113">
        <v>97</v>
      </c>
      <c r="AQ102" s="432">
        <v>79.53</v>
      </c>
      <c r="AR102" s="432">
        <v>81.319999999999993</v>
      </c>
      <c r="AS102" s="432">
        <v>81.88</v>
      </c>
      <c r="AT102" s="426"/>
      <c r="AU102" s="426"/>
      <c r="AV102" s="426"/>
      <c r="AW102" s="426"/>
      <c r="AX102" s="426"/>
      <c r="AY102" s="426"/>
      <c r="AZ102" s="113">
        <v>97</v>
      </c>
      <c r="BA102" s="432">
        <v>68.099999999999994</v>
      </c>
      <c r="BB102" s="432">
        <v>69.83</v>
      </c>
      <c r="BC102" s="432">
        <v>70.36</v>
      </c>
      <c r="BD102" s="426"/>
      <c r="BE102" s="426"/>
      <c r="BF102" s="426"/>
      <c r="BG102" s="426"/>
      <c r="BH102" s="426"/>
    </row>
    <row r="103" spans="1:60" x14ac:dyDescent="0.2">
      <c r="A103" s="426"/>
      <c r="B103" s="113">
        <v>98</v>
      </c>
      <c r="C103" s="432">
        <v>172.51</v>
      </c>
      <c r="D103" s="432">
        <v>174.78</v>
      </c>
      <c r="E103" s="432">
        <v>175.45</v>
      </c>
      <c r="F103" s="426"/>
      <c r="G103" s="426"/>
      <c r="H103" s="426"/>
      <c r="I103" s="426"/>
      <c r="J103" s="426"/>
      <c r="K103" s="426"/>
      <c r="L103" s="113">
        <v>98</v>
      </c>
      <c r="M103" s="432">
        <v>137.69</v>
      </c>
      <c r="N103" s="432">
        <v>139.83000000000001</v>
      </c>
      <c r="O103" s="432">
        <v>140.47999999999999</v>
      </c>
      <c r="P103" s="426"/>
      <c r="Q103" s="426"/>
      <c r="R103" s="426"/>
      <c r="S103" s="426"/>
      <c r="T103" s="426"/>
      <c r="U103" s="426"/>
      <c r="V103" s="113">
        <v>98</v>
      </c>
      <c r="W103" s="432">
        <v>110.34</v>
      </c>
      <c r="X103" s="432">
        <v>112.3</v>
      </c>
      <c r="Y103" s="432">
        <v>112.92</v>
      </c>
      <c r="Z103" s="426"/>
      <c r="AA103" s="426"/>
      <c r="AB103" s="426"/>
      <c r="AC103" s="426"/>
      <c r="AD103" s="426"/>
      <c r="AE103" s="426"/>
      <c r="AF103" s="113">
        <v>98</v>
      </c>
      <c r="AG103" s="432">
        <v>89.82</v>
      </c>
      <c r="AH103" s="432">
        <v>91.67</v>
      </c>
      <c r="AI103" s="432">
        <v>92.25</v>
      </c>
      <c r="AJ103" s="426"/>
      <c r="AK103" s="426"/>
      <c r="AL103" s="426"/>
      <c r="AM103" s="426"/>
      <c r="AN103" s="426"/>
      <c r="AO103" s="426"/>
      <c r="AP103" s="113">
        <v>98</v>
      </c>
      <c r="AQ103" s="432">
        <v>74.81</v>
      </c>
      <c r="AR103" s="432">
        <v>76.569999999999993</v>
      </c>
      <c r="AS103" s="432">
        <v>77.12</v>
      </c>
      <c r="AT103" s="426"/>
      <c r="AU103" s="426"/>
      <c r="AV103" s="426"/>
      <c r="AW103" s="426"/>
      <c r="AX103" s="426"/>
      <c r="AY103" s="426"/>
      <c r="AZ103" s="113">
        <v>98</v>
      </c>
      <c r="BA103" s="432">
        <v>63.93</v>
      </c>
      <c r="BB103" s="432">
        <v>65.64</v>
      </c>
      <c r="BC103" s="432">
        <v>66.16</v>
      </c>
      <c r="BD103" s="426"/>
      <c r="BE103" s="426"/>
      <c r="BF103" s="426"/>
      <c r="BG103" s="426"/>
      <c r="BH103" s="426"/>
    </row>
    <row r="104" spans="1:60" x14ac:dyDescent="0.2">
      <c r="A104" s="426"/>
      <c r="B104" s="113">
        <v>99</v>
      </c>
      <c r="C104" s="432">
        <v>168.58</v>
      </c>
      <c r="D104" s="432">
        <v>170.83</v>
      </c>
      <c r="E104" s="432">
        <v>171.51</v>
      </c>
      <c r="F104" s="426"/>
      <c r="G104" s="426"/>
      <c r="H104" s="426"/>
      <c r="I104" s="426"/>
      <c r="J104" s="426"/>
      <c r="K104" s="426"/>
      <c r="L104" s="113">
        <v>99</v>
      </c>
      <c r="M104" s="432">
        <v>132.46</v>
      </c>
      <c r="N104" s="432">
        <v>134.57</v>
      </c>
      <c r="O104" s="432">
        <v>135.21</v>
      </c>
      <c r="P104" s="426"/>
      <c r="Q104" s="426"/>
      <c r="R104" s="426"/>
      <c r="S104" s="426"/>
      <c r="T104" s="426"/>
      <c r="U104" s="426"/>
      <c r="V104" s="113">
        <v>99</v>
      </c>
      <c r="W104" s="432">
        <v>104.93</v>
      </c>
      <c r="X104" s="432">
        <v>106.86</v>
      </c>
      <c r="Y104" s="432">
        <v>107.47</v>
      </c>
      <c r="Z104" s="426"/>
      <c r="AA104" s="426"/>
      <c r="AB104" s="426"/>
      <c r="AC104" s="426"/>
      <c r="AD104" s="426"/>
      <c r="AE104" s="426"/>
      <c r="AF104" s="113">
        <v>99</v>
      </c>
      <c r="AG104" s="432">
        <v>84.77</v>
      </c>
      <c r="AH104" s="432">
        <v>86.59</v>
      </c>
      <c r="AI104" s="432">
        <v>87.17</v>
      </c>
      <c r="AJ104" s="426"/>
      <c r="AK104" s="426"/>
      <c r="AL104" s="426"/>
      <c r="AM104" s="426"/>
      <c r="AN104" s="426"/>
      <c r="AO104" s="426"/>
      <c r="AP104" s="113">
        <v>99</v>
      </c>
      <c r="AQ104" s="432">
        <v>70.3</v>
      </c>
      <c r="AR104" s="432">
        <v>72.040000000000006</v>
      </c>
      <c r="AS104" s="432">
        <v>72.59</v>
      </c>
      <c r="AT104" s="426"/>
      <c r="AU104" s="426"/>
      <c r="AV104" s="426"/>
      <c r="AW104" s="426"/>
      <c r="AX104" s="426"/>
      <c r="AY104" s="426"/>
      <c r="AZ104" s="113">
        <v>99</v>
      </c>
      <c r="BA104" s="432">
        <v>59.99</v>
      </c>
      <c r="BB104" s="432">
        <v>61.68</v>
      </c>
      <c r="BC104" s="432">
        <v>62.2</v>
      </c>
      <c r="BD104" s="426"/>
      <c r="BE104" s="426"/>
      <c r="BF104" s="426"/>
      <c r="BG104" s="426"/>
      <c r="BH104" s="426"/>
    </row>
    <row r="105" spans="1:60" x14ac:dyDescent="0.2">
      <c r="A105" s="426"/>
      <c r="B105" s="113">
        <v>100</v>
      </c>
      <c r="C105" s="432">
        <v>164.5</v>
      </c>
      <c r="D105" s="432">
        <v>166.74</v>
      </c>
      <c r="E105" s="432">
        <v>167.43</v>
      </c>
      <c r="F105" s="426"/>
      <c r="G105" s="426"/>
      <c r="H105" s="426"/>
      <c r="I105" s="426"/>
      <c r="J105" s="426"/>
      <c r="K105" s="426"/>
      <c r="L105" s="113">
        <v>100</v>
      </c>
      <c r="M105" s="432">
        <v>127.25</v>
      </c>
      <c r="N105" s="432">
        <v>129.32</v>
      </c>
      <c r="O105" s="432">
        <v>129.97</v>
      </c>
      <c r="P105" s="426"/>
      <c r="Q105" s="426"/>
      <c r="R105" s="426"/>
      <c r="S105" s="426"/>
      <c r="T105" s="426"/>
      <c r="U105" s="426"/>
      <c r="V105" s="113">
        <v>100</v>
      </c>
      <c r="W105" s="432">
        <v>99.66</v>
      </c>
      <c r="X105" s="432">
        <v>101.57</v>
      </c>
      <c r="Y105" s="432">
        <v>102.18</v>
      </c>
      <c r="Z105" s="426"/>
      <c r="AA105" s="426"/>
      <c r="AB105" s="426"/>
      <c r="AC105" s="426"/>
      <c r="AD105" s="426"/>
      <c r="AE105" s="426"/>
      <c r="AF105" s="113">
        <v>100</v>
      </c>
      <c r="AG105" s="432">
        <v>79.930000000000007</v>
      </c>
      <c r="AH105" s="432">
        <v>81.73</v>
      </c>
      <c r="AI105" s="432">
        <v>82.31</v>
      </c>
      <c r="AJ105" s="426"/>
      <c r="AK105" s="426"/>
      <c r="AL105" s="426"/>
      <c r="AM105" s="426"/>
      <c r="AN105" s="426"/>
      <c r="AO105" s="426"/>
      <c r="AP105" s="113">
        <v>100</v>
      </c>
      <c r="AQ105" s="432">
        <v>66.040000000000006</v>
      </c>
      <c r="AR105" s="432">
        <v>67.77</v>
      </c>
      <c r="AS105" s="432">
        <v>68.31</v>
      </c>
      <c r="AT105" s="426"/>
      <c r="AU105" s="426"/>
      <c r="AV105" s="426"/>
      <c r="AW105" s="426"/>
      <c r="AX105" s="426"/>
      <c r="AY105" s="426"/>
      <c r="AZ105" s="113">
        <v>100</v>
      </c>
      <c r="BA105" s="432">
        <v>56.29</v>
      </c>
      <c r="BB105" s="432">
        <v>57.96</v>
      </c>
      <c r="BC105" s="432">
        <v>58.48</v>
      </c>
      <c r="BD105" s="426"/>
      <c r="BE105" s="426"/>
      <c r="BF105" s="426"/>
      <c r="BG105" s="426"/>
      <c r="BH105" s="426"/>
    </row>
    <row r="108" spans="1:60" x14ac:dyDescent="0.2">
      <c r="B108" s="145" t="s">
        <v>290</v>
      </c>
    </row>
    <row r="109" spans="1:60" x14ac:dyDescent="0.2">
      <c r="B109" s="425"/>
      <c r="C109" s="425"/>
      <c r="D109" s="425"/>
      <c r="E109" s="426"/>
      <c r="F109" s="426"/>
      <c r="G109" s="426"/>
      <c r="H109" s="426"/>
      <c r="I109" s="426"/>
      <c r="J109" s="427" t="s">
        <v>151</v>
      </c>
      <c r="K109" s="426"/>
      <c r="L109" s="425"/>
      <c r="M109" s="425"/>
      <c r="N109" s="425"/>
      <c r="O109" s="426"/>
      <c r="P109" s="426"/>
      <c r="Q109" s="426"/>
      <c r="R109" s="426"/>
      <c r="S109" s="426"/>
      <c r="T109" s="427" t="s">
        <v>151</v>
      </c>
      <c r="U109" s="426"/>
      <c r="V109" s="425"/>
      <c r="W109" s="425"/>
      <c r="X109" s="425"/>
      <c r="Y109" s="426"/>
      <c r="Z109" s="426"/>
      <c r="AA109" s="426"/>
      <c r="AB109" s="426"/>
      <c r="AC109" s="426"/>
      <c r="AD109" s="427" t="s">
        <v>151</v>
      </c>
      <c r="AE109" s="426"/>
      <c r="AF109" s="425"/>
      <c r="AG109" s="425"/>
      <c r="AH109" s="425"/>
      <c r="AI109" s="426"/>
      <c r="AJ109" s="426"/>
      <c r="AK109" s="426"/>
      <c r="AL109" s="426"/>
      <c r="AM109" s="426"/>
      <c r="AN109" s="427" t="s">
        <v>151</v>
      </c>
      <c r="AO109" s="426"/>
      <c r="AP109" s="425"/>
      <c r="AQ109" s="425"/>
      <c r="AR109" s="425"/>
      <c r="AS109" s="426"/>
      <c r="AT109" s="426"/>
      <c r="AU109" s="426"/>
      <c r="AV109" s="426"/>
      <c r="AW109" s="426"/>
      <c r="AX109" s="427" t="s">
        <v>151</v>
      </c>
    </row>
    <row r="110" spans="1:60" x14ac:dyDescent="0.2">
      <c r="B110" s="430" t="s">
        <v>291</v>
      </c>
      <c r="C110" s="426"/>
      <c r="D110" s="426"/>
      <c r="E110" s="426"/>
      <c r="F110" s="426"/>
      <c r="G110" s="426"/>
      <c r="H110" s="426"/>
      <c r="I110" s="426"/>
      <c r="J110" s="426"/>
      <c r="K110" s="426"/>
      <c r="L110" s="430" t="s">
        <v>292</v>
      </c>
      <c r="M110" s="426"/>
      <c r="N110" s="426"/>
      <c r="O110" s="426"/>
      <c r="P110" s="426"/>
      <c r="Q110" s="426"/>
      <c r="R110" s="426"/>
      <c r="S110" s="426"/>
      <c r="T110" s="426"/>
      <c r="U110" s="426"/>
      <c r="V110" s="430" t="s">
        <v>293</v>
      </c>
      <c r="W110" s="426"/>
      <c r="X110" s="426"/>
      <c r="Y110" s="426"/>
      <c r="Z110" s="426"/>
      <c r="AA110" s="426"/>
      <c r="AB110" s="426"/>
      <c r="AC110" s="426"/>
      <c r="AD110" s="426"/>
      <c r="AE110" s="426"/>
      <c r="AF110" s="430" t="s">
        <v>294</v>
      </c>
      <c r="AG110" s="426"/>
      <c r="AH110" s="426"/>
      <c r="AI110" s="426"/>
      <c r="AJ110" s="426"/>
      <c r="AK110" s="426"/>
      <c r="AL110" s="426"/>
      <c r="AM110" s="426"/>
      <c r="AN110" s="426"/>
      <c r="AO110" s="426"/>
      <c r="AP110" s="430" t="s">
        <v>295</v>
      </c>
      <c r="AQ110" s="426"/>
      <c r="AR110" s="426"/>
      <c r="AS110" s="426"/>
      <c r="AT110" s="426"/>
      <c r="AU110" s="426"/>
      <c r="AV110" s="426"/>
      <c r="AW110" s="426"/>
      <c r="AX110" s="426"/>
    </row>
    <row r="111" spans="1:60" ht="13.7" customHeight="1" x14ac:dyDescent="0.2">
      <c r="B111" s="544" t="s">
        <v>285</v>
      </c>
      <c r="C111" s="545"/>
      <c r="D111" s="545"/>
      <c r="E111" s="545"/>
      <c r="F111" s="542"/>
      <c r="G111" s="542"/>
      <c r="H111" s="542"/>
      <c r="I111" s="542"/>
      <c r="J111" s="543"/>
      <c r="K111" s="426"/>
      <c r="L111" s="544" t="s">
        <v>286</v>
      </c>
      <c r="M111" s="545"/>
      <c r="N111" s="545"/>
      <c r="O111" s="545"/>
      <c r="P111" s="542"/>
      <c r="Q111" s="542"/>
      <c r="R111" s="542"/>
      <c r="S111" s="542"/>
      <c r="T111" s="543"/>
      <c r="U111" s="426"/>
      <c r="V111" s="544" t="s">
        <v>287</v>
      </c>
      <c r="W111" s="545"/>
      <c r="X111" s="545"/>
      <c r="Y111" s="545"/>
      <c r="Z111" s="542"/>
      <c r="AA111" s="542"/>
      <c r="AB111" s="542"/>
      <c r="AC111" s="542"/>
      <c r="AD111" s="543"/>
      <c r="AE111" s="426"/>
      <c r="AF111" s="544" t="s">
        <v>288</v>
      </c>
      <c r="AG111" s="545"/>
      <c r="AH111" s="545"/>
      <c r="AI111" s="545"/>
      <c r="AJ111" s="542"/>
      <c r="AK111" s="542"/>
      <c r="AL111" s="542"/>
      <c r="AM111" s="542"/>
      <c r="AN111" s="543"/>
      <c r="AO111" s="426"/>
      <c r="AP111" s="544" t="s">
        <v>289</v>
      </c>
      <c r="AQ111" s="545"/>
      <c r="AR111" s="545"/>
      <c r="AS111" s="545"/>
      <c r="AT111" s="542"/>
      <c r="AU111" s="542"/>
      <c r="AV111" s="542"/>
      <c r="AW111" s="542"/>
      <c r="AX111" s="543"/>
    </row>
    <row r="112" spans="1:60" ht="25.5" x14ac:dyDescent="0.2">
      <c r="B112" s="141" t="s">
        <v>1</v>
      </c>
      <c r="C112" s="141" t="s">
        <v>274</v>
      </c>
      <c r="D112" s="141" t="s">
        <v>275</v>
      </c>
      <c r="E112" s="141" t="s">
        <v>276</v>
      </c>
      <c r="F112" s="431"/>
      <c r="G112" s="141"/>
      <c r="H112" s="141"/>
      <c r="I112" s="141"/>
      <c r="J112" s="141"/>
      <c r="K112" s="426"/>
      <c r="L112" s="141" t="s">
        <v>1</v>
      </c>
      <c r="M112" s="141" t="s">
        <v>274</v>
      </c>
      <c r="N112" s="141" t="s">
        <v>275</v>
      </c>
      <c r="O112" s="141" t="s">
        <v>276</v>
      </c>
      <c r="P112" s="431"/>
      <c r="Q112" s="141"/>
      <c r="R112" s="141"/>
      <c r="S112" s="141"/>
      <c r="T112" s="141"/>
      <c r="U112" s="426"/>
      <c r="V112" s="141" t="s">
        <v>1</v>
      </c>
      <c r="W112" s="141" t="s">
        <v>274</v>
      </c>
      <c r="X112" s="141" t="s">
        <v>275</v>
      </c>
      <c r="Y112" s="141" t="s">
        <v>276</v>
      </c>
      <c r="Z112" s="431"/>
      <c r="AA112" s="141"/>
      <c r="AB112" s="141"/>
      <c r="AC112" s="141"/>
      <c r="AD112" s="141"/>
      <c r="AE112" s="426"/>
      <c r="AF112" s="141" t="s">
        <v>1</v>
      </c>
      <c r="AG112" s="141" t="s">
        <v>274</v>
      </c>
      <c r="AH112" s="141" t="s">
        <v>275</v>
      </c>
      <c r="AI112" s="141" t="s">
        <v>276</v>
      </c>
      <c r="AJ112" s="431"/>
      <c r="AK112" s="141"/>
      <c r="AL112" s="141"/>
      <c r="AM112" s="141"/>
      <c r="AN112" s="141"/>
      <c r="AO112" s="426"/>
      <c r="AP112" s="141" t="s">
        <v>1</v>
      </c>
      <c r="AQ112" s="141" t="s">
        <v>274</v>
      </c>
      <c r="AR112" s="141" t="s">
        <v>275</v>
      </c>
      <c r="AS112" s="141" t="s">
        <v>276</v>
      </c>
      <c r="AT112" s="431"/>
      <c r="AU112" s="141"/>
      <c r="AV112" s="141"/>
      <c r="AW112" s="141"/>
      <c r="AX112" s="141"/>
    </row>
    <row r="113" spans="1:50" x14ac:dyDescent="0.2">
      <c r="A113" s="426"/>
      <c r="B113" s="113">
        <v>0</v>
      </c>
      <c r="C113" s="432">
        <v>66.739999999999995</v>
      </c>
      <c r="D113" s="432">
        <v>67.260000000000005</v>
      </c>
      <c r="E113" s="432">
        <v>67.58</v>
      </c>
      <c r="F113" s="426"/>
      <c r="G113" s="426"/>
      <c r="H113" s="426"/>
      <c r="I113" s="426"/>
      <c r="J113" s="426"/>
      <c r="K113" s="426"/>
      <c r="L113" s="113">
        <v>0</v>
      </c>
      <c r="M113" s="432">
        <v>70.36</v>
      </c>
      <c r="N113" s="432">
        <v>70.959999999999994</v>
      </c>
      <c r="O113" s="432">
        <v>71.31</v>
      </c>
      <c r="P113" s="426"/>
      <c r="Q113" s="426"/>
      <c r="R113" s="426"/>
      <c r="S113" s="426"/>
      <c r="T113" s="426"/>
      <c r="U113" s="426"/>
      <c r="V113" s="113">
        <v>0</v>
      </c>
      <c r="W113" s="432">
        <v>74.150000000000006</v>
      </c>
      <c r="X113" s="432">
        <v>74.84</v>
      </c>
      <c r="Y113" s="432">
        <v>75.209999999999994</v>
      </c>
      <c r="Z113" s="426"/>
      <c r="AA113" s="426"/>
      <c r="AB113" s="426"/>
      <c r="AC113" s="426"/>
      <c r="AD113" s="426"/>
      <c r="AE113" s="426"/>
      <c r="AF113" s="113">
        <v>0</v>
      </c>
      <c r="AG113" s="432">
        <v>78.11</v>
      </c>
      <c r="AH113" s="432">
        <v>78.89</v>
      </c>
      <c r="AI113" s="432">
        <v>79.290000000000006</v>
      </c>
      <c r="AJ113" s="426"/>
      <c r="AK113" s="426"/>
      <c r="AL113" s="426"/>
      <c r="AM113" s="426"/>
      <c r="AN113" s="426"/>
      <c r="AO113" s="426"/>
      <c r="AP113" s="113">
        <v>0</v>
      </c>
      <c r="AQ113" s="432">
        <v>82.24</v>
      </c>
      <c r="AR113" s="432">
        <v>83.12</v>
      </c>
      <c r="AS113" s="432">
        <v>83.55</v>
      </c>
      <c r="AT113" s="426"/>
      <c r="AU113" s="426"/>
      <c r="AV113" s="426"/>
      <c r="AW113" s="426"/>
      <c r="AX113" s="426"/>
    </row>
    <row r="114" spans="1:50" x14ac:dyDescent="0.2">
      <c r="A114" s="433"/>
      <c r="B114" s="113">
        <v>1</v>
      </c>
      <c r="C114" s="432">
        <v>66.88</v>
      </c>
      <c r="D114" s="432">
        <v>67.400000000000006</v>
      </c>
      <c r="E114" s="432">
        <v>67.72</v>
      </c>
      <c r="F114" s="426"/>
      <c r="G114" s="426"/>
      <c r="H114" s="426"/>
      <c r="I114" s="426"/>
      <c r="J114" s="426"/>
      <c r="K114" s="433"/>
      <c r="L114" s="113">
        <v>1</v>
      </c>
      <c r="M114" s="432">
        <v>70.52</v>
      </c>
      <c r="N114" s="432">
        <v>71.12</v>
      </c>
      <c r="O114" s="432">
        <v>71.47</v>
      </c>
      <c r="P114" s="426"/>
      <c r="Q114" s="426"/>
      <c r="R114" s="426"/>
      <c r="S114" s="426"/>
      <c r="T114" s="426"/>
      <c r="U114" s="433"/>
      <c r="V114" s="113">
        <v>1</v>
      </c>
      <c r="W114" s="432">
        <v>74.319999999999993</v>
      </c>
      <c r="X114" s="432">
        <v>75.010000000000005</v>
      </c>
      <c r="Y114" s="432">
        <v>75.39</v>
      </c>
      <c r="Z114" s="426"/>
      <c r="AA114" s="426"/>
      <c r="AB114" s="426"/>
      <c r="AC114" s="426"/>
      <c r="AD114" s="426"/>
      <c r="AE114" s="433"/>
      <c r="AF114" s="113">
        <v>1</v>
      </c>
      <c r="AG114" s="432">
        <v>78.3</v>
      </c>
      <c r="AH114" s="432">
        <v>79.08</v>
      </c>
      <c r="AI114" s="432">
        <v>79.489999999999995</v>
      </c>
      <c r="AJ114" s="426"/>
      <c r="AK114" s="426"/>
      <c r="AL114" s="426"/>
      <c r="AM114" s="426"/>
      <c r="AN114" s="426"/>
      <c r="AO114" s="433"/>
      <c r="AP114" s="113">
        <v>1</v>
      </c>
      <c r="AQ114" s="432">
        <v>82.45</v>
      </c>
      <c r="AR114" s="432">
        <v>83.33</v>
      </c>
      <c r="AS114" s="432">
        <v>83.77</v>
      </c>
      <c r="AT114" s="426"/>
      <c r="AU114" s="426"/>
      <c r="AV114" s="426"/>
      <c r="AW114" s="426"/>
      <c r="AX114" s="426"/>
    </row>
    <row r="115" spans="1:50" x14ac:dyDescent="0.2">
      <c r="A115" s="433"/>
      <c r="B115" s="113">
        <v>2</v>
      </c>
      <c r="C115" s="432">
        <v>67.02</v>
      </c>
      <c r="D115" s="432">
        <v>67.55</v>
      </c>
      <c r="E115" s="432">
        <v>67.87</v>
      </c>
      <c r="F115" s="426"/>
      <c r="G115" s="426"/>
      <c r="H115" s="426"/>
      <c r="I115" s="426"/>
      <c r="J115" s="426"/>
      <c r="K115" s="433"/>
      <c r="L115" s="113">
        <v>2</v>
      </c>
      <c r="M115" s="432">
        <v>70.680000000000007</v>
      </c>
      <c r="N115" s="432">
        <v>71.290000000000006</v>
      </c>
      <c r="O115" s="432">
        <v>71.63</v>
      </c>
      <c r="P115" s="426"/>
      <c r="Q115" s="426"/>
      <c r="R115" s="426"/>
      <c r="S115" s="426"/>
      <c r="T115" s="426"/>
      <c r="U115" s="433"/>
      <c r="V115" s="113">
        <v>2</v>
      </c>
      <c r="W115" s="432">
        <v>74.5</v>
      </c>
      <c r="X115" s="432">
        <v>75.19</v>
      </c>
      <c r="Y115" s="432">
        <v>75.569999999999993</v>
      </c>
      <c r="Z115" s="426"/>
      <c r="AA115" s="426"/>
      <c r="AB115" s="426"/>
      <c r="AC115" s="426"/>
      <c r="AD115" s="426"/>
      <c r="AE115" s="433"/>
      <c r="AF115" s="113">
        <v>2</v>
      </c>
      <c r="AG115" s="432">
        <v>78.5</v>
      </c>
      <c r="AH115" s="432">
        <v>79.28</v>
      </c>
      <c r="AI115" s="432">
        <v>79.69</v>
      </c>
      <c r="AJ115" s="426"/>
      <c r="AK115" s="426"/>
      <c r="AL115" s="426"/>
      <c r="AM115" s="426"/>
      <c r="AN115" s="426"/>
      <c r="AO115" s="433"/>
      <c r="AP115" s="113">
        <v>2</v>
      </c>
      <c r="AQ115" s="432">
        <v>82.67</v>
      </c>
      <c r="AR115" s="432">
        <v>83.56</v>
      </c>
      <c r="AS115" s="432">
        <v>84</v>
      </c>
      <c r="AT115" s="426"/>
      <c r="AU115" s="426"/>
      <c r="AV115" s="426"/>
      <c r="AW115" s="426"/>
      <c r="AX115" s="426"/>
    </row>
    <row r="116" spans="1:50" x14ac:dyDescent="0.2">
      <c r="A116" s="433"/>
      <c r="B116" s="113">
        <v>3</v>
      </c>
      <c r="C116" s="432">
        <v>67.17</v>
      </c>
      <c r="D116" s="432">
        <v>67.7</v>
      </c>
      <c r="E116" s="432">
        <v>68.03</v>
      </c>
      <c r="F116" s="426"/>
      <c r="G116" s="426"/>
      <c r="H116" s="426"/>
      <c r="I116" s="426"/>
      <c r="J116" s="426"/>
      <c r="K116" s="433"/>
      <c r="L116" s="113">
        <v>3</v>
      </c>
      <c r="M116" s="432">
        <v>70.84</v>
      </c>
      <c r="N116" s="432">
        <v>71.459999999999994</v>
      </c>
      <c r="O116" s="432">
        <v>71.81</v>
      </c>
      <c r="P116" s="426"/>
      <c r="Q116" s="426"/>
      <c r="R116" s="426"/>
      <c r="S116" s="426"/>
      <c r="T116" s="426"/>
      <c r="U116" s="433"/>
      <c r="V116" s="113">
        <v>3</v>
      </c>
      <c r="W116" s="432">
        <v>74.69</v>
      </c>
      <c r="X116" s="432">
        <v>75.38</v>
      </c>
      <c r="Y116" s="432">
        <v>75.760000000000005</v>
      </c>
      <c r="Z116" s="426"/>
      <c r="AA116" s="426"/>
      <c r="AB116" s="426"/>
      <c r="AC116" s="426"/>
      <c r="AD116" s="426"/>
      <c r="AE116" s="433"/>
      <c r="AF116" s="113">
        <v>3</v>
      </c>
      <c r="AG116" s="432">
        <v>78.7</v>
      </c>
      <c r="AH116" s="432">
        <v>79.489999999999995</v>
      </c>
      <c r="AI116" s="432">
        <v>79.900000000000006</v>
      </c>
      <c r="AJ116" s="426"/>
      <c r="AK116" s="426"/>
      <c r="AL116" s="426"/>
      <c r="AM116" s="426"/>
      <c r="AN116" s="426"/>
      <c r="AO116" s="433"/>
      <c r="AP116" s="113">
        <v>3</v>
      </c>
      <c r="AQ116" s="432">
        <v>82.9</v>
      </c>
      <c r="AR116" s="432">
        <v>83.79</v>
      </c>
      <c r="AS116" s="432">
        <v>84.23</v>
      </c>
      <c r="AT116" s="426"/>
      <c r="AU116" s="426"/>
      <c r="AV116" s="426"/>
      <c r="AW116" s="426"/>
      <c r="AX116" s="426"/>
    </row>
    <row r="117" spans="1:50" x14ac:dyDescent="0.2">
      <c r="A117" s="433"/>
      <c r="B117" s="113">
        <v>4</v>
      </c>
      <c r="C117" s="432">
        <v>67.33</v>
      </c>
      <c r="D117" s="432">
        <v>67.86</v>
      </c>
      <c r="E117" s="432">
        <v>68.180000000000007</v>
      </c>
      <c r="F117" s="426"/>
      <c r="G117" s="426"/>
      <c r="H117" s="426"/>
      <c r="I117" s="426"/>
      <c r="J117" s="426"/>
      <c r="K117" s="433"/>
      <c r="L117" s="113">
        <v>4</v>
      </c>
      <c r="M117" s="432">
        <v>71.02</v>
      </c>
      <c r="N117" s="432">
        <v>71.63</v>
      </c>
      <c r="O117" s="432">
        <v>71.98</v>
      </c>
      <c r="P117" s="426"/>
      <c r="Q117" s="426"/>
      <c r="R117" s="426"/>
      <c r="S117" s="426"/>
      <c r="T117" s="426"/>
      <c r="U117" s="433"/>
      <c r="V117" s="113">
        <v>4</v>
      </c>
      <c r="W117" s="432">
        <v>74.88</v>
      </c>
      <c r="X117" s="432">
        <v>75.58</v>
      </c>
      <c r="Y117" s="432">
        <v>75.959999999999994</v>
      </c>
      <c r="Z117" s="426"/>
      <c r="AA117" s="426"/>
      <c r="AB117" s="426"/>
      <c r="AC117" s="426"/>
      <c r="AD117" s="426"/>
      <c r="AE117" s="433"/>
      <c r="AF117" s="113">
        <v>4</v>
      </c>
      <c r="AG117" s="432">
        <v>78.92</v>
      </c>
      <c r="AH117" s="432">
        <v>79.709999999999994</v>
      </c>
      <c r="AI117" s="432">
        <v>80.12</v>
      </c>
      <c r="AJ117" s="426"/>
      <c r="AK117" s="426"/>
      <c r="AL117" s="426"/>
      <c r="AM117" s="426"/>
      <c r="AN117" s="426"/>
      <c r="AO117" s="433"/>
      <c r="AP117" s="113">
        <v>4</v>
      </c>
      <c r="AQ117" s="432">
        <v>83.14</v>
      </c>
      <c r="AR117" s="432">
        <v>84.03</v>
      </c>
      <c r="AS117" s="432">
        <v>84.48</v>
      </c>
      <c r="AT117" s="426"/>
      <c r="AU117" s="426"/>
      <c r="AV117" s="426"/>
      <c r="AW117" s="426"/>
      <c r="AX117" s="426"/>
    </row>
    <row r="118" spans="1:50" x14ac:dyDescent="0.2">
      <c r="A118" s="433"/>
      <c r="B118" s="113">
        <v>5</v>
      </c>
      <c r="C118" s="432">
        <v>67.489999999999995</v>
      </c>
      <c r="D118" s="432">
        <v>68.02</v>
      </c>
      <c r="E118" s="432">
        <v>68.349999999999994</v>
      </c>
      <c r="F118" s="426"/>
      <c r="G118" s="426"/>
      <c r="H118" s="426"/>
      <c r="I118" s="426"/>
      <c r="J118" s="426"/>
      <c r="K118" s="433"/>
      <c r="L118" s="113">
        <v>5</v>
      </c>
      <c r="M118" s="432">
        <v>71.2</v>
      </c>
      <c r="N118" s="432">
        <v>71.819999999999993</v>
      </c>
      <c r="O118" s="432">
        <v>72.17</v>
      </c>
      <c r="P118" s="426"/>
      <c r="Q118" s="426"/>
      <c r="R118" s="426"/>
      <c r="S118" s="426"/>
      <c r="T118" s="426"/>
      <c r="U118" s="433"/>
      <c r="V118" s="113">
        <v>5</v>
      </c>
      <c r="W118" s="432">
        <v>75.08</v>
      </c>
      <c r="X118" s="432">
        <v>75.78</v>
      </c>
      <c r="Y118" s="432">
        <v>76.17</v>
      </c>
      <c r="Z118" s="426"/>
      <c r="AA118" s="426"/>
      <c r="AB118" s="426"/>
      <c r="AC118" s="426"/>
      <c r="AD118" s="426"/>
      <c r="AE118" s="433"/>
      <c r="AF118" s="113">
        <v>5</v>
      </c>
      <c r="AG118" s="432">
        <v>79.14</v>
      </c>
      <c r="AH118" s="432">
        <v>79.94</v>
      </c>
      <c r="AI118" s="432">
        <v>80.349999999999994</v>
      </c>
      <c r="AJ118" s="426"/>
      <c r="AK118" s="426"/>
      <c r="AL118" s="426"/>
      <c r="AM118" s="426"/>
      <c r="AN118" s="426"/>
      <c r="AO118" s="433"/>
      <c r="AP118" s="113">
        <v>5</v>
      </c>
      <c r="AQ118" s="432">
        <v>83.39</v>
      </c>
      <c r="AR118" s="432">
        <v>84.29</v>
      </c>
      <c r="AS118" s="432">
        <v>84.73</v>
      </c>
      <c r="AT118" s="426"/>
      <c r="AU118" s="426"/>
      <c r="AV118" s="426"/>
      <c r="AW118" s="426"/>
      <c r="AX118" s="426"/>
    </row>
    <row r="119" spans="1:50" x14ac:dyDescent="0.2">
      <c r="A119" s="433"/>
      <c r="B119" s="113">
        <v>6</v>
      </c>
      <c r="C119" s="432">
        <v>67.66</v>
      </c>
      <c r="D119" s="432">
        <v>68.2</v>
      </c>
      <c r="E119" s="432">
        <v>68.52</v>
      </c>
      <c r="F119" s="426"/>
      <c r="G119" s="426"/>
      <c r="H119" s="426"/>
      <c r="I119" s="426"/>
      <c r="J119" s="426"/>
      <c r="K119" s="433"/>
      <c r="L119" s="113">
        <v>6</v>
      </c>
      <c r="M119" s="432">
        <v>71.39</v>
      </c>
      <c r="N119" s="432">
        <v>72.010000000000005</v>
      </c>
      <c r="O119" s="432">
        <v>72.36</v>
      </c>
      <c r="P119" s="426"/>
      <c r="Q119" s="426"/>
      <c r="R119" s="426"/>
      <c r="S119" s="426"/>
      <c r="T119" s="426"/>
      <c r="U119" s="433"/>
      <c r="V119" s="113">
        <v>6</v>
      </c>
      <c r="W119" s="432">
        <v>75.290000000000006</v>
      </c>
      <c r="X119" s="432">
        <v>76</v>
      </c>
      <c r="Y119" s="432">
        <v>76.38</v>
      </c>
      <c r="Z119" s="426"/>
      <c r="AA119" s="426"/>
      <c r="AB119" s="426"/>
      <c r="AC119" s="426"/>
      <c r="AD119" s="426"/>
      <c r="AE119" s="433"/>
      <c r="AF119" s="113">
        <v>6</v>
      </c>
      <c r="AG119" s="432">
        <v>79.38</v>
      </c>
      <c r="AH119" s="432">
        <v>80.180000000000007</v>
      </c>
      <c r="AI119" s="432">
        <v>80.59</v>
      </c>
      <c r="AJ119" s="426"/>
      <c r="AK119" s="426"/>
      <c r="AL119" s="426"/>
      <c r="AM119" s="426"/>
      <c r="AN119" s="426"/>
      <c r="AO119" s="433"/>
      <c r="AP119" s="113">
        <v>6</v>
      </c>
      <c r="AQ119" s="432">
        <v>83.65</v>
      </c>
      <c r="AR119" s="432">
        <v>84.55</v>
      </c>
      <c r="AS119" s="432">
        <v>85</v>
      </c>
      <c r="AT119" s="426"/>
      <c r="AU119" s="426"/>
      <c r="AV119" s="426"/>
      <c r="AW119" s="426"/>
      <c r="AX119" s="426"/>
    </row>
    <row r="120" spans="1:50" x14ac:dyDescent="0.2">
      <c r="A120" s="433"/>
      <c r="B120" s="113">
        <v>7</v>
      </c>
      <c r="C120" s="432">
        <v>67.83</v>
      </c>
      <c r="D120" s="432">
        <v>68.37</v>
      </c>
      <c r="E120" s="432">
        <v>68.7</v>
      </c>
      <c r="F120" s="426"/>
      <c r="G120" s="426"/>
      <c r="H120" s="426"/>
      <c r="I120" s="426"/>
      <c r="J120" s="426"/>
      <c r="K120" s="433"/>
      <c r="L120" s="113">
        <v>7</v>
      </c>
      <c r="M120" s="432">
        <v>71.58</v>
      </c>
      <c r="N120" s="432">
        <v>72.2</v>
      </c>
      <c r="O120" s="432">
        <v>72.56</v>
      </c>
      <c r="P120" s="426"/>
      <c r="Q120" s="426"/>
      <c r="R120" s="426"/>
      <c r="S120" s="426"/>
      <c r="T120" s="426"/>
      <c r="U120" s="433"/>
      <c r="V120" s="113">
        <v>7</v>
      </c>
      <c r="W120" s="432">
        <v>75.510000000000005</v>
      </c>
      <c r="X120" s="432">
        <v>76.22</v>
      </c>
      <c r="Y120" s="432">
        <v>76.599999999999994</v>
      </c>
      <c r="Z120" s="426"/>
      <c r="AA120" s="426"/>
      <c r="AB120" s="426"/>
      <c r="AC120" s="426"/>
      <c r="AD120" s="426"/>
      <c r="AE120" s="433"/>
      <c r="AF120" s="113">
        <v>7</v>
      </c>
      <c r="AG120" s="432">
        <v>79.62</v>
      </c>
      <c r="AH120" s="432">
        <v>80.42</v>
      </c>
      <c r="AI120" s="432">
        <v>80.84</v>
      </c>
      <c r="AJ120" s="426"/>
      <c r="AK120" s="426"/>
      <c r="AL120" s="426"/>
      <c r="AM120" s="426"/>
      <c r="AN120" s="426"/>
      <c r="AO120" s="433"/>
      <c r="AP120" s="113">
        <v>7</v>
      </c>
      <c r="AQ120" s="432">
        <v>83.92</v>
      </c>
      <c r="AR120" s="432">
        <v>84.83</v>
      </c>
      <c r="AS120" s="432">
        <v>85.28</v>
      </c>
      <c r="AT120" s="426"/>
      <c r="AU120" s="426"/>
      <c r="AV120" s="426"/>
      <c r="AW120" s="426"/>
      <c r="AX120" s="426"/>
    </row>
    <row r="121" spans="1:50" x14ac:dyDescent="0.2">
      <c r="A121" s="433"/>
      <c r="B121" s="113">
        <v>8</v>
      </c>
      <c r="C121" s="432">
        <v>68.010000000000005</v>
      </c>
      <c r="D121" s="432">
        <v>68.56</v>
      </c>
      <c r="E121" s="432">
        <v>68.89</v>
      </c>
      <c r="F121" s="426"/>
      <c r="G121" s="426"/>
      <c r="H121" s="426"/>
      <c r="I121" s="426"/>
      <c r="J121" s="426"/>
      <c r="K121" s="433"/>
      <c r="L121" s="113">
        <v>8</v>
      </c>
      <c r="M121" s="432">
        <v>71.78</v>
      </c>
      <c r="N121" s="432">
        <v>72.41</v>
      </c>
      <c r="O121" s="432">
        <v>72.77</v>
      </c>
      <c r="P121" s="426"/>
      <c r="Q121" s="426"/>
      <c r="R121" s="426"/>
      <c r="S121" s="426"/>
      <c r="T121" s="426"/>
      <c r="U121" s="433"/>
      <c r="V121" s="113">
        <v>8</v>
      </c>
      <c r="W121" s="432">
        <v>75.73</v>
      </c>
      <c r="X121" s="432">
        <v>76.45</v>
      </c>
      <c r="Y121" s="432">
        <v>76.84</v>
      </c>
      <c r="Z121" s="426"/>
      <c r="AA121" s="426"/>
      <c r="AB121" s="426"/>
      <c r="AC121" s="426"/>
      <c r="AD121" s="426"/>
      <c r="AE121" s="433"/>
      <c r="AF121" s="113">
        <v>8</v>
      </c>
      <c r="AG121" s="432">
        <v>79.87</v>
      </c>
      <c r="AH121" s="432">
        <v>80.680000000000007</v>
      </c>
      <c r="AI121" s="432">
        <v>81.099999999999994</v>
      </c>
      <c r="AJ121" s="426"/>
      <c r="AK121" s="426"/>
      <c r="AL121" s="426"/>
      <c r="AM121" s="426"/>
      <c r="AN121" s="426"/>
      <c r="AO121" s="433"/>
      <c r="AP121" s="113">
        <v>8</v>
      </c>
      <c r="AQ121" s="432">
        <v>84.2</v>
      </c>
      <c r="AR121" s="432">
        <v>85.11</v>
      </c>
      <c r="AS121" s="432">
        <v>85.56</v>
      </c>
      <c r="AT121" s="426"/>
      <c r="AU121" s="426"/>
      <c r="AV121" s="426"/>
      <c r="AW121" s="426"/>
      <c r="AX121" s="426"/>
    </row>
    <row r="122" spans="1:50" x14ac:dyDescent="0.2">
      <c r="A122" s="433"/>
      <c r="B122" s="113">
        <v>9</v>
      </c>
      <c r="C122" s="432">
        <v>68.2</v>
      </c>
      <c r="D122" s="432">
        <v>68.75</v>
      </c>
      <c r="E122" s="432">
        <v>69.08</v>
      </c>
      <c r="F122" s="426"/>
      <c r="G122" s="426"/>
      <c r="H122" s="426"/>
      <c r="I122" s="426"/>
      <c r="J122" s="426"/>
      <c r="K122" s="433"/>
      <c r="L122" s="113">
        <v>9</v>
      </c>
      <c r="M122" s="432">
        <v>72</v>
      </c>
      <c r="N122" s="432">
        <v>72.63</v>
      </c>
      <c r="O122" s="432">
        <v>72.98</v>
      </c>
      <c r="P122" s="426"/>
      <c r="Q122" s="426"/>
      <c r="R122" s="426"/>
      <c r="S122" s="426"/>
      <c r="T122" s="426"/>
      <c r="U122" s="433"/>
      <c r="V122" s="113">
        <v>9</v>
      </c>
      <c r="W122" s="432">
        <v>75.97</v>
      </c>
      <c r="X122" s="432">
        <v>76.69</v>
      </c>
      <c r="Y122" s="432">
        <v>77.08</v>
      </c>
      <c r="Z122" s="426"/>
      <c r="AA122" s="426"/>
      <c r="AB122" s="426"/>
      <c r="AC122" s="426"/>
      <c r="AD122" s="426"/>
      <c r="AE122" s="433"/>
      <c r="AF122" s="113">
        <v>9</v>
      </c>
      <c r="AG122" s="432">
        <v>80.13</v>
      </c>
      <c r="AH122" s="432">
        <v>80.95</v>
      </c>
      <c r="AI122" s="432">
        <v>81.37</v>
      </c>
      <c r="AJ122" s="426"/>
      <c r="AK122" s="426"/>
      <c r="AL122" s="426"/>
      <c r="AM122" s="426"/>
      <c r="AN122" s="426"/>
      <c r="AO122" s="433"/>
      <c r="AP122" s="113">
        <v>9</v>
      </c>
      <c r="AQ122" s="432">
        <v>84.49</v>
      </c>
      <c r="AR122" s="432">
        <v>85.41</v>
      </c>
      <c r="AS122" s="432">
        <v>85.86</v>
      </c>
      <c r="AT122" s="426"/>
      <c r="AU122" s="426"/>
      <c r="AV122" s="426"/>
      <c r="AW122" s="426"/>
      <c r="AX122" s="426"/>
    </row>
    <row r="123" spans="1:50" x14ac:dyDescent="0.2">
      <c r="A123" s="433"/>
      <c r="B123" s="113">
        <v>10</v>
      </c>
      <c r="C123" s="432">
        <v>68.400000000000006</v>
      </c>
      <c r="D123" s="432">
        <v>68.95</v>
      </c>
      <c r="E123" s="432">
        <v>69.28</v>
      </c>
      <c r="F123" s="426"/>
      <c r="G123" s="426"/>
      <c r="H123" s="426"/>
      <c r="I123" s="426"/>
      <c r="J123" s="426"/>
      <c r="K123" s="433"/>
      <c r="L123" s="113">
        <v>10</v>
      </c>
      <c r="M123" s="432">
        <v>72.22</v>
      </c>
      <c r="N123" s="432">
        <v>72.849999999999994</v>
      </c>
      <c r="O123" s="432">
        <v>73.209999999999994</v>
      </c>
      <c r="P123" s="426"/>
      <c r="Q123" s="426"/>
      <c r="R123" s="426"/>
      <c r="S123" s="426"/>
      <c r="T123" s="426"/>
      <c r="U123" s="433"/>
      <c r="V123" s="113">
        <v>10</v>
      </c>
      <c r="W123" s="432">
        <v>76.22</v>
      </c>
      <c r="X123" s="432">
        <v>76.94</v>
      </c>
      <c r="Y123" s="432">
        <v>77.33</v>
      </c>
      <c r="Z123" s="426"/>
      <c r="AA123" s="426"/>
      <c r="AB123" s="426"/>
      <c r="AC123" s="426"/>
      <c r="AD123" s="426"/>
      <c r="AE123" s="433"/>
      <c r="AF123" s="113">
        <v>10</v>
      </c>
      <c r="AG123" s="432">
        <v>80.41</v>
      </c>
      <c r="AH123" s="432">
        <v>81.23</v>
      </c>
      <c r="AI123" s="432">
        <v>81.650000000000006</v>
      </c>
      <c r="AJ123" s="426"/>
      <c r="AK123" s="426"/>
      <c r="AL123" s="426"/>
      <c r="AM123" s="426"/>
      <c r="AN123" s="426"/>
      <c r="AO123" s="433"/>
      <c r="AP123" s="113">
        <v>10</v>
      </c>
      <c r="AQ123" s="432">
        <v>84.8</v>
      </c>
      <c r="AR123" s="432">
        <v>85.72</v>
      </c>
      <c r="AS123" s="432">
        <v>86.18</v>
      </c>
      <c r="AT123" s="426"/>
      <c r="AU123" s="426"/>
      <c r="AV123" s="426"/>
      <c r="AW123" s="426"/>
      <c r="AX123" s="426"/>
    </row>
    <row r="124" spans="1:50" x14ac:dyDescent="0.2">
      <c r="A124" s="433"/>
      <c r="B124" s="113">
        <v>11</v>
      </c>
      <c r="C124" s="432">
        <v>68.61</v>
      </c>
      <c r="D124" s="432">
        <v>69.16</v>
      </c>
      <c r="E124" s="432">
        <v>69.489999999999995</v>
      </c>
      <c r="F124" s="426"/>
      <c r="G124" s="426"/>
      <c r="H124" s="426"/>
      <c r="I124" s="426"/>
      <c r="J124" s="426"/>
      <c r="K124" s="433"/>
      <c r="L124" s="113">
        <v>11</v>
      </c>
      <c r="M124" s="432">
        <v>72.45</v>
      </c>
      <c r="N124" s="432">
        <v>73.08</v>
      </c>
      <c r="O124" s="432">
        <v>73.45</v>
      </c>
      <c r="P124" s="426"/>
      <c r="Q124" s="426"/>
      <c r="R124" s="426"/>
      <c r="S124" s="426"/>
      <c r="T124" s="426"/>
      <c r="U124" s="433"/>
      <c r="V124" s="113">
        <v>11</v>
      </c>
      <c r="W124" s="432">
        <v>76.47</v>
      </c>
      <c r="X124" s="432">
        <v>77.2</v>
      </c>
      <c r="Y124" s="432">
        <v>77.59</v>
      </c>
      <c r="Z124" s="426"/>
      <c r="AA124" s="426"/>
      <c r="AB124" s="426"/>
      <c r="AC124" s="426"/>
      <c r="AD124" s="426"/>
      <c r="AE124" s="433"/>
      <c r="AF124" s="113">
        <v>11</v>
      </c>
      <c r="AG124" s="432">
        <v>80.69</v>
      </c>
      <c r="AH124" s="432">
        <v>81.52</v>
      </c>
      <c r="AI124" s="432">
        <v>81.94</v>
      </c>
      <c r="AJ124" s="426"/>
      <c r="AK124" s="426"/>
      <c r="AL124" s="426"/>
      <c r="AM124" s="426"/>
      <c r="AN124" s="426"/>
      <c r="AO124" s="433"/>
      <c r="AP124" s="113">
        <v>11</v>
      </c>
      <c r="AQ124" s="432">
        <v>85.11</v>
      </c>
      <c r="AR124" s="432">
        <v>86.04</v>
      </c>
      <c r="AS124" s="432">
        <v>86.5</v>
      </c>
      <c r="AT124" s="426"/>
      <c r="AU124" s="426"/>
      <c r="AV124" s="426"/>
      <c r="AW124" s="426"/>
      <c r="AX124" s="426"/>
    </row>
    <row r="125" spans="1:50" x14ac:dyDescent="0.2">
      <c r="A125" s="433"/>
      <c r="B125" s="113">
        <v>12</v>
      </c>
      <c r="C125" s="432">
        <v>68.819999999999993</v>
      </c>
      <c r="D125" s="432">
        <v>69.38</v>
      </c>
      <c r="E125" s="432">
        <v>69.709999999999994</v>
      </c>
      <c r="F125" s="426"/>
      <c r="G125" s="426"/>
      <c r="H125" s="426"/>
      <c r="I125" s="426"/>
      <c r="J125" s="426"/>
      <c r="K125" s="433"/>
      <c r="L125" s="113">
        <v>12</v>
      </c>
      <c r="M125" s="432">
        <v>72.69</v>
      </c>
      <c r="N125" s="432">
        <v>73.33</v>
      </c>
      <c r="O125" s="432">
        <v>73.69</v>
      </c>
      <c r="P125" s="426"/>
      <c r="Q125" s="426"/>
      <c r="R125" s="426"/>
      <c r="S125" s="426"/>
      <c r="T125" s="426"/>
      <c r="U125" s="433"/>
      <c r="V125" s="113">
        <v>12</v>
      </c>
      <c r="W125" s="432">
        <v>76.739999999999995</v>
      </c>
      <c r="X125" s="432">
        <v>77.47</v>
      </c>
      <c r="Y125" s="432">
        <v>77.87</v>
      </c>
      <c r="Z125" s="426"/>
      <c r="AA125" s="426"/>
      <c r="AB125" s="426"/>
      <c r="AC125" s="426"/>
      <c r="AD125" s="426"/>
      <c r="AE125" s="433"/>
      <c r="AF125" s="113">
        <v>12</v>
      </c>
      <c r="AG125" s="432">
        <v>80.989999999999995</v>
      </c>
      <c r="AH125" s="432">
        <v>81.819999999999993</v>
      </c>
      <c r="AI125" s="432">
        <v>82.25</v>
      </c>
      <c r="AJ125" s="426"/>
      <c r="AK125" s="426"/>
      <c r="AL125" s="426"/>
      <c r="AM125" s="426"/>
      <c r="AN125" s="426"/>
      <c r="AO125" s="433"/>
      <c r="AP125" s="113">
        <v>12</v>
      </c>
      <c r="AQ125" s="432">
        <v>85.44</v>
      </c>
      <c r="AR125" s="432">
        <v>86.38</v>
      </c>
      <c r="AS125" s="432">
        <v>86.84</v>
      </c>
      <c r="AT125" s="426"/>
      <c r="AU125" s="426"/>
      <c r="AV125" s="426"/>
      <c r="AW125" s="426"/>
      <c r="AX125" s="426"/>
    </row>
    <row r="126" spans="1:50" x14ac:dyDescent="0.2">
      <c r="A126" s="433"/>
      <c r="B126" s="113">
        <v>13</v>
      </c>
      <c r="C126" s="432">
        <v>69.05</v>
      </c>
      <c r="D126" s="432">
        <v>69.599999999999994</v>
      </c>
      <c r="E126" s="432">
        <v>69.94</v>
      </c>
      <c r="F126" s="426"/>
      <c r="G126" s="426"/>
      <c r="H126" s="426"/>
      <c r="I126" s="426"/>
      <c r="J126" s="426"/>
      <c r="K126" s="433"/>
      <c r="L126" s="113">
        <v>13</v>
      </c>
      <c r="M126" s="432">
        <v>72.94</v>
      </c>
      <c r="N126" s="432">
        <v>73.58</v>
      </c>
      <c r="O126" s="432">
        <v>73.95</v>
      </c>
      <c r="P126" s="426"/>
      <c r="Q126" s="426"/>
      <c r="R126" s="426"/>
      <c r="S126" s="426"/>
      <c r="T126" s="426"/>
      <c r="U126" s="433"/>
      <c r="V126" s="113">
        <v>13</v>
      </c>
      <c r="W126" s="432">
        <v>77.02</v>
      </c>
      <c r="X126" s="432">
        <v>77.75</v>
      </c>
      <c r="Y126" s="432">
        <v>78.150000000000006</v>
      </c>
      <c r="Z126" s="426"/>
      <c r="AA126" s="426"/>
      <c r="AB126" s="426"/>
      <c r="AC126" s="426"/>
      <c r="AD126" s="426"/>
      <c r="AE126" s="433"/>
      <c r="AF126" s="113">
        <v>13</v>
      </c>
      <c r="AG126" s="432">
        <v>81.3</v>
      </c>
      <c r="AH126" s="432">
        <v>82.13</v>
      </c>
      <c r="AI126" s="432">
        <v>82.56</v>
      </c>
      <c r="AJ126" s="426"/>
      <c r="AK126" s="426"/>
      <c r="AL126" s="426"/>
      <c r="AM126" s="426"/>
      <c r="AN126" s="426"/>
      <c r="AO126" s="433"/>
      <c r="AP126" s="113">
        <v>13</v>
      </c>
      <c r="AQ126" s="432">
        <v>85.78</v>
      </c>
      <c r="AR126" s="432">
        <v>86.72</v>
      </c>
      <c r="AS126" s="432">
        <v>87.19</v>
      </c>
      <c r="AT126" s="426"/>
      <c r="AU126" s="426"/>
      <c r="AV126" s="426"/>
      <c r="AW126" s="426"/>
      <c r="AX126" s="426"/>
    </row>
    <row r="127" spans="1:50" x14ac:dyDescent="0.2">
      <c r="A127" s="433"/>
      <c r="B127" s="113">
        <v>14</v>
      </c>
      <c r="C127" s="432">
        <v>69.28</v>
      </c>
      <c r="D127" s="432">
        <v>69.84</v>
      </c>
      <c r="E127" s="432">
        <v>70.180000000000007</v>
      </c>
      <c r="F127" s="426"/>
      <c r="G127" s="426"/>
      <c r="H127" s="426"/>
      <c r="I127" s="426"/>
      <c r="J127" s="426"/>
      <c r="K127" s="433"/>
      <c r="L127" s="113">
        <v>14</v>
      </c>
      <c r="M127" s="432">
        <v>73.2</v>
      </c>
      <c r="N127" s="432">
        <v>73.84</v>
      </c>
      <c r="O127" s="432">
        <v>74.209999999999994</v>
      </c>
      <c r="P127" s="426"/>
      <c r="Q127" s="426"/>
      <c r="R127" s="426"/>
      <c r="S127" s="426"/>
      <c r="T127" s="426"/>
      <c r="U127" s="433"/>
      <c r="V127" s="113">
        <v>14</v>
      </c>
      <c r="W127" s="432">
        <v>77.3</v>
      </c>
      <c r="X127" s="432">
        <v>78.040000000000006</v>
      </c>
      <c r="Y127" s="432">
        <v>78.44</v>
      </c>
      <c r="Z127" s="426"/>
      <c r="AA127" s="426"/>
      <c r="AB127" s="426"/>
      <c r="AC127" s="426"/>
      <c r="AD127" s="426"/>
      <c r="AE127" s="433"/>
      <c r="AF127" s="113">
        <v>14</v>
      </c>
      <c r="AG127" s="432">
        <v>81.61</v>
      </c>
      <c r="AH127" s="432">
        <v>82.45</v>
      </c>
      <c r="AI127" s="432">
        <v>82.89</v>
      </c>
      <c r="AJ127" s="426"/>
      <c r="AK127" s="426"/>
      <c r="AL127" s="426"/>
      <c r="AM127" s="426"/>
      <c r="AN127" s="426"/>
      <c r="AO127" s="433"/>
      <c r="AP127" s="113">
        <v>14</v>
      </c>
      <c r="AQ127" s="432">
        <v>86.13</v>
      </c>
      <c r="AR127" s="432">
        <v>87.08</v>
      </c>
      <c r="AS127" s="432">
        <v>87.55</v>
      </c>
      <c r="AT127" s="426"/>
      <c r="AU127" s="426"/>
      <c r="AV127" s="426"/>
      <c r="AW127" s="426"/>
      <c r="AX127" s="426"/>
    </row>
    <row r="128" spans="1:50" x14ac:dyDescent="0.2">
      <c r="A128" s="433"/>
      <c r="B128" s="113">
        <v>15</v>
      </c>
      <c r="C128" s="432">
        <v>69.52</v>
      </c>
      <c r="D128" s="432">
        <v>70.09</v>
      </c>
      <c r="E128" s="432">
        <v>70.430000000000007</v>
      </c>
      <c r="F128" s="426"/>
      <c r="G128" s="426"/>
      <c r="H128" s="426"/>
      <c r="I128" s="426"/>
      <c r="J128" s="426"/>
      <c r="K128" s="433"/>
      <c r="L128" s="113">
        <v>15</v>
      </c>
      <c r="M128" s="432">
        <v>73.459999999999994</v>
      </c>
      <c r="N128" s="432">
        <v>74.12</v>
      </c>
      <c r="O128" s="432">
        <v>74.489999999999995</v>
      </c>
      <c r="P128" s="426"/>
      <c r="Q128" s="426"/>
      <c r="R128" s="426"/>
      <c r="S128" s="426"/>
      <c r="T128" s="426"/>
      <c r="U128" s="433"/>
      <c r="V128" s="113">
        <v>15</v>
      </c>
      <c r="W128" s="432">
        <v>77.599999999999994</v>
      </c>
      <c r="X128" s="432">
        <v>78.349999999999994</v>
      </c>
      <c r="Y128" s="432">
        <v>78.75</v>
      </c>
      <c r="Z128" s="426"/>
      <c r="AA128" s="426"/>
      <c r="AB128" s="426"/>
      <c r="AC128" s="426"/>
      <c r="AD128" s="426"/>
      <c r="AE128" s="433"/>
      <c r="AF128" s="113">
        <v>15</v>
      </c>
      <c r="AG128" s="432">
        <v>81.94</v>
      </c>
      <c r="AH128" s="432">
        <v>82.79</v>
      </c>
      <c r="AI128" s="432">
        <v>83.22</v>
      </c>
      <c r="AJ128" s="426"/>
      <c r="AK128" s="426"/>
      <c r="AL128" s="426"/>
      <c r="AM128" s="426"/>
      <c r="AN128" s="426"/>
      <c r="AO128" s="433"/>
      <c r="AP128" s="113">
        <v>15</v>
      </c>
      <c r="AQ128" s="432">
        <v>86.5</v>
      </c>
      <c r="AR128" s="432">
        <v>87.45</v>
      </c>
      <c r="AS128" s="432">
        <v>87.92</v>
      </c>
      <c r="AT128" s="426"/>
      <c r="AU128" s="426"/>
      <c r="AV128" s="426"/>
      <c r="AW128" s="426"/>
      <c r="AX128" s="426"/>
    </row>
    <row r="129" spans="1:50" x14ac:dyDescent="0.2">
      <c r="A129" s="433"/>
      <c r="B129" s="113">
        <v>16</v>
      </c>
      <c r="C129" s="432">
        <v>69.77</v>
      </c>
      <c r="D129" s="432">
        <v>70.34</v>
      </c>
      <c r="E129" s="432">
        <v>70.680000000000007</v>
      </c>
      <c r="F129" s="426"/>
      <c r="G129" s="426"/>
      <c r="H129" s="426"/>
      <c r="I129" s="426"/>
      <c r="J129" s="426"/>
      <c r="K129" s="433"/>
      <c r="L129" s="113">
        <v>16</v>
      </c>
      <c r="M129" s="432">
        <v>73.739999999999995</v>
      </c>
      <c r="N129" s="432">
        <v>74.400000000000006</v>
      </c>
      <c r="O129" s="432">
        <v>74.77</v>
      </c>
      <c r="P129" s="426"/>
      <c r="Q129" s="426"/>
      <c r="R129" s="426"/>
      <c r="S129" s="426"/>
      <c r="T129" s="426"/>
      <c r="U129" s="433"/>
      <c r="V129" s="113">
        <v>16</v>
      </c>
      <c r="W129" s="432">
        <v>77.91</v>
      </c>
      <c r="X129" s="432">
        <v>78.66</v>
      </c>
      <c r="Y129" s="432">
        <v>79.06</v>
      </c>
      <c r="Z129" s="426"/>
      <c r="AA129" s="426"/>
      <c r="AB129" s="426"/>
      <c r="AC129" s="426"/>
      <c r="AD129" s="426"/>
      <c r="AE129" s="433"/>
      <c r="AF129" s="113">
        <v>16</v>
      </c>
      <c r="AG129" s="432">
        <v>82.29</v>
      </c>
      <c r="AH129" s="432">
        <v>83.14</v>
      </c>
      <c r="AI129" s="432">
        <v>83.58</v>
      </c>
      <c r="AJ129" s="426"/>
      <c r="AK129" s="426"/>
      <c r="AL129" s="426"/>
      <c r="AM129" s="426"/>
      <c r="AN129" s="426"/>
      <c r="AO129" s="433"/>
      <c r="AP129" s="113">
        <v>16</v>
      </c>
      <c r="AQ129" s="432">
        <v>86.88</v>
      </c>
      <c r="AR129" s="432">
        <v>87.84</v>
      </c>
      <c r="AS129" s="432">
        <v>88.31</v>
      </c>
      <c r="AT129" s="426"/>
      <c r="AU129" s="426"/>
      <c r="AV129" s="426"/>
      <c r="AW129" s="426"/>
      <c r="AX129" s="426"/>
    </row>
    <row r="130" spans="1:50" x14ac:dyDescent="0.2">
      <c r="A130" s="433"/>
      <c r="B130" s="113">
        <v>17</v>
      </c>
      <c r="C130" s="432">
        <v>70.03</v>
      </c>
      <c r="D130" s="432">
        <v>70.599999999999994</v>
      </c>
      <c r="E130" s="432">
        <v>70.95</v>
      </c>
      <c r="F130" s="426"/>
      <c r="G130" s="426"/>
      <c r="H130" s="426"/>
      <c r="I130" s="426"/>
      <c r="J130" s="426"/>
      <c r="K130" s="433"/>
      <c r="L130" s="113">
        <v>17</v>
      </c>
      <c r="M130" s="432">
        <v>74.03</v>
      </c>
      <c r="N130" s="432">
        <v>74.69</v>
      </c>
      <c r="O130" s="432">
        <v>75.06</v>
      </c>
      <c r="P130" s="426"/>
      <c r="Q130" s="426"/>
      <c r="R130" s="426"/>
      <c r="S130" s="426"/>
      <c r="T130" s="426"/>
      <c r="U130" s="433"/>
      <c r="V130" s="113">
        <v>17</v>
      </c>
      <c r="W130" s="432">
        <v>78.23</v>
      </c>
      <c r="X130" s="432">
        <v>78.989999999999995</v>
      </c>
      <c r="Y130" s="432">
        <v>79.39</v>
      </c>
      <c r="Z130" s="426"/>
      <c r="AA130" s="426"/>
      <c r="AB130" s="426"/>
      <c r="AC130" s="426"/>
      <c r="AD130" s="426"/>
      <c r="AE130" s="433"/>
      <c r="AF130" s="113">
        <v>17</v>
      </c>
      <c r="AG130" s="432">
        <v>82.64</v>
      </c>
      <c r="AH130" s="432">
        <v>83.5</v>
      </c>
      <c r="AI130" s="432">
        <v>83.94</v>
      </c>
      <c r="AJ130" s="426"/>
      <c r="AK130" s="426"/>
      <c r="AL130" s="426"/>
      <c r="AM130" s="426"/>
      <c r="AN130" s="426"/>
      <c r="AO130" s="433"/>
      <c r="AP130" s="113">
        <v>17</v>
      </c>
      <c r="AQ130" s="432">
        <v>87.28</v>
      </c>
      <c r="AR130" s="432">
        <v>88.24</v>
      </c>
      <c r="AS130" s="432">
        <v>88.72</v>
      </c>
      <c r="AT130" s="426"/>
      <c r="AU130" s="426"/>
      <c r="AV130" s="426"/>
      <c r="AW130" s="426"/>
      <c r="AX130" s="426"/>
    </row>
    <row r="131" spans="1:50" x14ac:dyDescent="0.2">
      <c r="A131" s="433"/>
      <c r="B131" s="113">
        <v>18</v>
      </c>
      <c r="C131" s="432">
        <v>70.3</v>
      </c>
      <c r="D131" s="432">
        <v>70.88</v>
      </c>
      <c r="E131" s="432">
        <v>71.22</v>
      </c>
      <c r="F131" s="426"/>
      <c r="G131" s="426"/>
      <c r="H131" s="426"/>
      <c r="I131" s="426"/>
      <c r="J131" s="426"/>
      <c r="K131" s="433"/>
      <c r="L131" s="113">
        <v>18</v>
      </c>
      <c r="M131" s="432">
        <v>74.33</v>
      </c>
      <c r="N131" s="432">
        <v>75</v>
      </c>
      <c r="O131" s="432">
        <v>75.37</v>
      </c>
      <c r="P131" s="426"/>
      <c r="Q131" s="426"/>
      <c r="R131" s="426"/>
      <c r="S131" s="426"/>
      <c r="T131" s="426"/>
      <c r="U131" s="433"/>
      <c r="V131" s="113">
        <v>18</v>
      </c>
      <c r="W131" s="432">
        <v>78.569999999999993</v>
      </c>
      <c r="X131" s="432">
        <v>79.33</v>
      </c>
      <c r="Y131" s="432">
        <v>79.73</v>
      </c>
      <c r="Z131" s="426"/>
      <c r="AA131" s="426"/>
      <c r="AB131" s="426"/>
      <c r="AC131" s="426"/>
      <c r="AD131" s="426"/>
      <c r="AE131" s="433"/>
      <c r="AF131" s="113">
        <v>18</v>
      </c>
      <c r="AG131" s="432">
        <v>83.02</v>
      </c>
      <c r="AH131" s="432">
        <v>83.88</v>
      </c>
      <c r="AI131" s="432">
        <v>84.32</v>
      </c>
      <c r="AJ131" s="426"/>
      <c r="AK131" s="426"/>
      <c r="AL131" s="426"/>
      <c r="AM131" s="426"/>
      <c r="AN131" s="426"/>
      <c r="AO131" s="433"/>
      <c r="AP131" s="113">
        <v>18</v>
      </c>
      <c r="AQ131" s="432">
        <v>87.69</v>
      </c>
      <c r="AR131" s="432">
        <v>88.67</v>
      </c>
      <c r="AS131" s="432">
        <v>89.14</v>
      </c>
      <c r="AT131" s="426"/>
      <c r="AU131" s="426"/>
      <c r="AV131" s="426"/>
      <c r="AW131" s="426"/>
      <c r="AX131" s="426"/>
    </row>
    <row r="132" spans="1:50" x14ac:dyDescent="0.2">
      <c r="A132" s="433"/>
      <c r="B132" s="113">
        <v>19</v>
      </c>
      <c r="C132" s="432">
        <v>70.58</v>
      </c>
      <c r="D132" s="432">
        <v>71.16</v>
      </c>
      <c r="E132" s="432">
        <v>71.510000000000005</v>
      </c>
      <c r="F132" s="426"/>
      <c r="G132" s="426"/>
      <c r="H132" s="426"/>
      <c r="I132" s="426"/>
      <c r="J132" s="426"/>
      <c r="K132" s="433"/>
      <c r="L132" s="113">
        <v>19</v>
      </c>
      <c r="M132" s="432">
        <v>74.64</v>
      </c>
      <c r="N132" s="432">
        <v>75.31</v>
      </c>
      <c r="O132" s="432">
        <v>75.69</v>
      </c>
      <c r="P132" s="426"/>
      <c r="Q132" s="426"/>
      <c r="R132" s="426"/>
      <c r="S132" s="426"/>
      <c r="T132" s="426"/>
      <c r="U132" s="433"/>
      <c r="V132" s="113">
        <v>19</v>
      </c>
      <c r="W132" s="432">
        <v>78.91</v>
      </c>
      <c r="X132" s="432">
        <v>79.680000000000007</v>
      </c>
      <c r="Y132" s="432">
        <v>80.09</v>
      </c>
      <c r="Z132" s="426"/>
      <c r="AA132" s="426"/>
      <c r="AB132" s="426"/>
      <c r="AC132" s="426"/>
      <c r="AD132" s="426"/>
      <c r="AE132" s="433"/>
      <c r="AF132" s="113">
        <v>19</v>
      </c>
      <c r="AG132" s="432">
        <v>83.4</v>
      </c>
      <c r="AH132" s="432">
        <v>84.28</v>
      </c>
      <c r="AI132" s="432">
        <v>84.72</v>
      </c>
      <c r="AJ132" s="426"/>
      <c r="AK132" s="426"/>
      <c r="AL132" s="426"/>
      <c r="AM132" s="426"/>
      <c r="AN132" s="426"/>
      <c r="AO132" s="433"/>
      <c r="AP132" s="113">
        <v>19</v>
      </c>
      <c r="AQ132" s="432">
        <v>88.12</v>
      </c>
      <c r="AR132" s="432">
        <v>89.11</v>
      </c>
      <c r="AS132" s="432">
        <v>89.59</v>
      </c>
      <c r="AT132" s="426"/>
      <c r="AU132" s="426"/>
      <c r="AV132" s="426"/>
      <c r="AW132" s="426"/>
      <c r="AX132" s="426"/>
    </row>
    <row r="133" spans="1:50" x14ac:dyDescent="0.2">
      <c r="A133" s="433"/>
      <c r="B133" s="113">
        <v>20</v>
      </c>
      <c r="C133" s="432">
        <v>70.87</v>
      </c>
      <c r="D133" s="432">
        <v>71.459999999999994</v>
      </c>
      <c r="E133" s="432">
        <v>71.81</v>
      </c>
      <c r="F133" s="426"/>
      <c r="G133" s="426"/>
      <c r="H133" s="426"/>
      <c r="I133" s="426"/>
      <c r="J133" s="426"/>
      <c r="K133" s="433"/>
      <c r="L133" s="113">
        <v>20</v>
      </c>
      <c r="M133" s="432">
        <v>74.97</v>
      </c>
      <c r="N133" s="432">
        <v>75.64</v>
      </c>
      <c r="O133" s="432">
        <v>76.02</v>
      </c>
      <c r="P133" s="426"/>
      <c r="Q133" s="426"/>
      <c r="R133" s="426"/>
      <c r="S133" s="426"/>
      <c r="T133" s="426"/>
      <c r="U133" s="433"/>
      <c r="V133" s="113">
        <v>20</v>
      </c>
      <c r="W133" s="432">
        <v>79.28</v>
      </c>
      <c r="X133" s="432">
        <v>80.05</v>
      </c>
      <c r="Y133" s="432">
        <v>80.459999999999994</v>
      </c>
      <c r="Z133" s="426"/>
      <c r="AA133" s="426"/>
      <c r="AB133" s="426"/>
      <c r="AC133" s="426"/>
      <c r="AD133" s="426"/>
      <c r="AE133" s="433"/>
      <c r="AF133" s="113">
        <v>20</v>
      </c>
      <c r="AG133" s="432">
        <v>83.81</v>
      </c>
      <c r="AH133" s="432">
        <v>84.69</v>
      </c>
      <c r="AI133" s="432">
        <v>85.14</v>
      </c>
      <c r="AJ133" s="426"/>
      <c r="AK133" s="426"/>
      <c r="AL133" s="426"/>
      <c r="AM133" s="426"/>
      <c r="AN133" s="426"/>
      <c r="AO133" s="433"/>
      <c r="AP133" s="113">
        <v>20</v>
      </c>
      <c r="AQ133" s="432">
        <v>88.58</v>
      </c>
      <c r="AR133" s="432">
        <v>89.57</v>
      </c>
      <c r="AS133" s="432">
        <v>90.05</v>
      </c>
      <c r="AT133" s="426"/>
      <c r="AU133" s="426"/>
      <c r="AV133" s="426"/>
      <c r="AW133" s="426"/>
      <c r="AX133" s="426"/>
    </row>
    <row r="134" spans="1:50" x14ac:dyDescent="0.2">
      <c r="A134" s="433"/>
      <c r="B134" s="113">
        <v>21</v>
      </c>
      <c r="C134" s="432">
        <v>71.180000000000007</v>
      </c>
      <c r="D134" s="432">
        <v>71.77</v>
      </c>
      <c r="E134" s="432">
        <v>72.12</v>
      </c>
      <c r="F134" s="426"/>
      <c r="G134" s="426"/>
      <c r="H134" s="426"/>
      <c r="I134" s="426"/>
      <c r="J134" s="426"/>
      <c r="K134" s="433"/>
      <c r="L134" s="113">
        <v>21</v>
      </c>
      <c r="M134" s="432">
        <v>75.31</v>
      </c>
      <c r="N134" s="432">
        <v>75.989999999999995</v>
      </c>
      <c r="O134" s="432">
        <v>76.37</v>
      </c>
      <c r="P134" s="426"/>
      <c r="Q134" s="426"/>
      <c r="R134" s="426"/>
      <c r="S134" s="426"/>
      <c r="T134" s="426"/>
      <c r="U134" s="433"/>
      <c r="V134" s="113">
        <v>21</v>
      </c>
      <c r="W134" s="432">
        <v>79.66</v>
      </c>
      <c r="X134" s="432">
        <v>80.44</v>
      </c>
      <c r="Y134" s="432">
        <v>80.849999999999994</v>
      </c>
      <c r="Z134" s="426"/>
      <c r="AA134" s="426"/>
      <c r="AB134" s="426"/>
      <c r="AC134" s="426"/>
      <c r="AD134" s="426"/>
      <c r="AE134" s="433"/>
      <c r="AF134" s="113">
        <v>21</v>
      </c>
      <c r="AG134" s="432">
        <v>84.24</v>
      </c>
      <c r="AH134" s="432">
        <v>85.12</v>
      </c>
      <c r="AI134" s="432">
        <v>85.57</v>
      </c>
      <c r="AJ134" s="426"/>
      <c r="AK134" s="426"/>
      <c r="AL134" s="426"/>
      <c r="AM134" s="426"/>
      <c r="AN134" s="426"/>
      <c r="AO134" s="433"/>
      <c r="AP134" s="113">
        <v>21</v>
      </c>
      <c r="AQ134" s="432">
        <v>89.05</v>
      </c>
      <c r="AR134" s="432">
        <v>90.05</v>
      </c>
      <c r="AS134" s="432">
        <v>90.54</v>
      </c>
      <c r="AT134" s="426"/>
      <c r="AU134" s="426"/>
      <c r="AV134" s="426"/>
      <c r="AW134" s="426"/>
      <c r="AX134" s="426"/>
    </row>
    <row r="135" spans="1:50" x14ac:dyDescent="0.2">
      <c r="A135" s="433"/>
      <c r="B135" s="113">
        <v>22</v>
      </c>
      <c r="C135" s="432">
        <v>71.489999999999995</v>
      </c>
      <c r="D135" s="432">
        <v>72.09</v>
      </c>
      <c r="E135" s="432">
        <v>72.45</v>
      </c>
      <c r="F135" s="426"/>
      <c r="G135" s="426"/>
      <c r="H135" s="426"/>
      <c r="I135" s="426"/>
      <c r="J135" s="426"/>
      <c r="K135" s="433"/>
      <c r="L135" s="113">
        <v>22</v>
      </c>
      <c r="M135" s="432">
        <v>75.66</v>
      </c>
      <c r="N135" s="432">
        <v>76.349999999999994</v>
      </c>
      <c r="O135" s="432">
        <v>76.739999999999995</v>
      </c>
      <c r="P135" s="426"/>
      <c r="Q135" s="426"/>
      <c r="R135" s="426"/>
      <c r="S135" s="426"/>
      <c r="T135" s="426"/>
      <c r="U135" s="433"/>
      <c r="V135" s="113">
        <v>22</v>
      </c>
      <c r="W135" s="432">
        <v>80.06</v>
      </c>
      <c r="X135" s="432">
        <v>80.84</v>
      </c>
      <c r="Y135" s="432">
        <v>81.260000000000005</v>
      </c>
      <c r="Z135" s="426"/>
      <c r="AA135" s="426"/>
      <c r="AB135" s="426"/>
      <c r="AC135" s="426"/>
      <c r="AD135" s="426"/>
      <c r="AE135" s="433"/>
      <c r="AF135" s="113">
        <v>22</v>
      </c>
      <c r="AG135" s="432">
        <v>84.68</v>
      </c>
      <c r="AH135" s="432">
        <v>85.57</v>
      </c>
      <c r="AI135" s="432">
        <v>86.03</v>
      </c>
      <c r="AJ135" s="426"/>
      <c r="AK135" s="426"/>
      <c r="AL135" s="426"/>
      <c r="AM135" s="426"/>
      <c r="AN135" s="426"/>
      <c r="AO135" s="433"/>
      <c r="AP135" s="113">
        <v>22</v>
      </c>
      <c r="AQ135" s="432">
        <v>89.55</v>
      </c>
      <c r="AR135" s="432">
        <v>90.56</v>
      </c>
      <c r="AS135" s="432">
        <v>91.05</v>
      </c>
      <c r="AT135" s="426"/>
      <c r="AU135" s="426"/>
      <c r="AV135" s="426"/>
      <c r="AW135" s="426"/>
      <c r="AX135" s="426"/>
    </row>
    <row r="136" spans="1:50" x14ac:dyDescent="0.2">
      <c r="A136" s="433"/>
      <c r="B136" s="113">
        <v>23</v>
      </c>
      <c r="C136" s="432">
        <v>71.83</v>
      </c>
      <c r="D136" s="432">
        <v>72.430000000000007</v>
      </c>
      <c r="E136" s="432">
        <v>72.790000000000006</v>
      </c>
      <c r="F136" s="426"/>
      <c r="G136" s="426"/>
      <c r="H136" s="426"/>
      <c r="I136" s="426"/>
      <c r="J136" s="426"/>
      <c r="K136" s="433"/>
      <c r="L136" s="113">
        <v>23</v>
      </c>
      <c r="M136" s="432">
        <v>76.040000000000006</v>
      </c>
      <c r="N136" s="432">
        <v>76.73</v>
      </c>
      <c r="O136" s="432">
        <v>77.12</v>
      </c>
      <c r="P136" s="426"/>
      <c r="Q136" s="426"/>
      <c r="R136" s="426"/>
      <c r="S136" s="426"/>
      <c r="T136" s="426"/>
      <c r="U136" s="433"/>
      <c r="V136" s="113">
        <v>23</v>
      </c>
      <c r="W136" s="432">
        <v>80.47</v>
      </c>
      <c r="X136" s="432">
        <v>81.27</v>
      </c>
      <c r="Y136" s="432">
        <v>81.69</v>
      </c>
      <c r="Z136" s="426"/>
      <c r="AA136" s="426"/>
      <c r="AB136" s="426"/>
      <c r="AC136" s="426"/>
      <c r="AD136" s="426"/>
      <c r="AE136" s="433"/>
      <c r="AF136" s="113">
        <v>23</v>
      </c>
      <c r="AG136" s="432">
        <v>85.15</v>
      </c>
      <c r="AH136" s="432">
        <v>86.05</v>
      </c>
      <c r="AI136" s="432">
        <v>86.51</v>
      </c>
      <c r="AJ136" s="426"/>
      <c r="AK136" s="426"/>
      <c r="AL136" s="426"/>
      <c r="AM136" s="426"/>
      <c r="AN136" s="426"/>
      <c r="AO136" s="433"/>
      <c r="AP136" s="113">
        <v>23</v>
      </c>
      <c r="AQ136" s="432">
        <v>90.08</v>
      </c>
      <c r="AR136" s="432">
        <v>91.1</v>
      </c>
      <c r="AS136" s="432">
        <v>91.59</v>
      </c>
      <c r="AT136" s="426"/>
      <c r="AU136" s="426"/>
      <c r="AV136" s="426"/>
      <c r="AW136" s="426"/>
      <c r="AX136" s="426"/>
    </row>
    <row r="137" spans="1:50" x14ac:dyDescent="0.2">
      <c r="A137" s="433"/>
      <c r="B137" s="113">
        <v>24</v>
      </c>
      <c r="C137" s="432">
        <v>72.180000000000007</v>
      </c>
      <c r="D137" s="432">
        <v>72.78</v>
      </c>
      <c r="E137" s="432">
        <v>73.14</v>
      </c>
      <c r="F137" s="426"/>
      <c r="G137" s="426"/>
      <c r="H137" s="426"/>
      <c r="I137" s="426"/>
      <c r="J137" s="426"/>
      <c r="K137" s="433"/>
      <c r="L137" s="113">
        <v>24</v>
      </c>
      <c r="M137" s="432">
        <v>76.430000000000007</v>
      </c>
      <c r="N137" s="432">
        <v>77.13</v>
      </c>
      <c r="O137" s="432">
        <v>77.52</v>
      </c>
      <c r="P137" s="426"/>
      <c r="Q137" s="426"/>
      <c r="R137" s="426"/>
      <c r="S137" s="426"/>
      <c r="T137" s="426"/>
      <c r="U137" s="433"/>
      <c r="V137" s="113">
        <v>24</v>
      </c>
      <c r="W137" s="432">
        <v>80.91</v>
      </c>
      <c r="X137" s="432">
        <v>81.709999999999994</v>
      </c>
      <c r="Y137" s="432">
        <v>82.14</v>
      </c>
      <c r="Z137" s="426"/>
      <c r="AA137" s="426"/>
      <c r="AB137" s="426"/>
      <c r="AC137" s="426"/>
      <c r="AD137" s="426"/>
      <c r="AE137" s="433"/>
      <c r="AF137" s="113">
        <v>24</v>
      </c>
      <c r="AG137" s="432">
        <v>85.64</v>
      </c>
      <c r="AH137" s="432">
        <v>86.55</v>
      </c>
      <c r="AI137" s="432">
        <v>87.01</v>
      </c>
      <c r="AJ137" s="426"/>
      <c r="AK137" s="426"/>
      <c r="AL137" s="426"/>
      <c r="AM137" s="426"/>
      <c r="AN137" s="426"/>
      <c r="AO137" s="433"/>
      <c r="AP137" s="113">
        <v>24</v>
      </c>
      <c r="AQ137" s="432">
        <v>90.63</v>
      </c>
      <c r="AR137" s="432">
        <v>91.66</v>
      </c>
      <c r="AS137" s="432">
        <v>92.16</v>
      </c>
      <c r="AT137" s="426"/>
      <c r="AU137" s="426"/>
      <c r="AV137" s="426"/>
      <c r="AW137" s="426"/>
      <c r="AX137" s="426"/>
    </row>
    <row r="138" spans="1:50" x14ac:dyDescent="0.2">
      <c r="A138" s="433"/>
      <c r="B138" s="113">
        <v>25</v>
      </c>
      <c r="C138" s="432">
        <v>72.540000000000006</v>
      </c>
      <c r="D138" s="432">
        <v>73.16</v>
      </c>
      <c r="E138" s="432">
        <v>73.52</v>
      </c>
      <c r="F138" s="426"/>
      <c r="G138" s="426"/>
      <c r="H138" s="426"/>
      <c r="I138" s="426"/>
      <c r="J138" s="426"/>
      <c r="K138" s="433"/>
      <c r="L138" s="113">
        <v>25</v>
      </c>
      <c r="M138" s="432">
        <v>76.84</v>
      </c>
      <c r="N138" s="432">
        <v>77.55</v>
      </c>
      <c r="O138" s="432">
        <v>77.94</v>
      </c>
      <c r="P138" s="426"/>
      <c r="Q138" s="426"/>
      <c r="R138" s="426"/>
      <c r="S138" s="426"/>
      <c r="T138" s="426"/>
      <c r="U138" s="433"/>
      <c r="V138" s="113">
        <v>25</v>
      </c>
      <c r="W138" s="432">
        <v>81.38</v>
      </c>
      <c r="X138" s="432">
        <v>82.18</v>
      </c>
      <c r="Y138" s="432">
        <v>82.61</v>
      </c>
      <c r="Z138" s="426"/>
      <c r="AA138" s="426"/>
      <c r="AB138" s="426"/>
      <c r="AC138" s="426"/>
      <c r="AD138" s="426"/>
      <c r="AE138" s="433"/>
      <c r="AF138" s="113">
        <v>25</v>
      </c>
      <c r="AG138" s="432">
        <v>86.16</v>
      </c>
      <c r="AH138" s="432">
        <v>87.08</v>
      </c>
      <c r="AI138" s="432">
        <v>87.54</v>
      </c>
      <c r="AJ138" s="426"/>
      <c r="AK138" s="426"/>
      <c r="AL138" s="426"/>
      <c r="AM138" s="426"/>
      <c r="AN138" s="426"/>
      <c r="AO138" s="433"/>
      <c r="AP138" s="113">
        <v>25</v>
      </c>
      <c r="AQ138" s="432">
        <v>91.2</v>
      </c>
      <c r="AR138" s="432">
        <v>92.24</v>
      </c>
      <c r="AS138" s="432">
        <v>92.75</v>
      </c>
      <c r="AT138" s="426"/>
      <c r="AU138" s="426"/>
      <c r="AV138" s="426"/>
      <c r="AW138" s="426"/>
      <c r="AX138" s="426"/>
    </row>
    <row r="139" spans="1:50" x14ac:dyDescent="0.2">
      <c r="A139" s="433"/>
      <c r="B139" s="113">
        <v>26</v>
      </c>
      <c r="C139" s="432">
        <v>72.930000000000007</v>
      </c>
      <c r="D139" s="432">
        <v>73.55</v>
      </c>
      <c r="E139" s="432">
        <v>73.91</v>
      </c>
      <c r="F139" s="426"/>
      <c r="G139" s="426"/>
      <c r="H139" s="426"/>
      <c r="I139" s="426"/>
      <c r="J139" s="426"/>
      <c r="K139" s="433"/>
      <c r="L139" s="113">
        <v>26</v>
      </c>
      <c r="M139" s="432">
        <v>77.27</v>
      </c>
      <c r="N139" s="432">
        <v>77.989999999999995</v>
      </c>
      <c r="O139" s="432">
        <v>78.38</v>
      </c>
      <c r="P139" s="426"/>
      <c r="Q139" s="426"/>
      <c r="R139" s="426"/>
      <c r="S139" s="426"/>
      <c r="T139" s="426"/>
      <c r="U139" s="433"/>
      <c r="V139" s="113">
        <v>26</v>
      </c>
      <c r="W139" s="432">
        <v>81.86</v>
      </c>
      <c r="X139" s="432">
        <v>82.68</v>
      </c>
      <c r="Y139" s="432">
        <v>83.11</v>
      </c>
      <c r="Z139" s="426"/>
      <c r="AA139" s="426"/>
      <c r="AB139" s="426"/>
      <c r="AC139" s="426"/>
      <c r="AD139" s="426"/>
      <c r="AE139" s="433"/>
      <c r="AF139" s="113">
        <v>26</v>
      </c>
      <c r="AG139" s="432">
        <v>86.7</v>
      </c>
      <c r="AH139" s="432">
        <v>87.63</v>
      </c>
      <c r="AI139" s="432">
        <v>88.1</v>
      </c>
      <c r="AJ139" s="426"/>
      <c r="AK139" s="426"/>
      <c r="AL139" s="426"/>
      <c r="AM139" s="426"/>
      <c r="AN139" s="426"/>
      <c r="AO139" s="433"/>
      <c r="AP139" s="113">
        <v>26</v>
      </c>
      <c r="AQ139" s="432">
        <v>91.81</v>
      </c>
      <c r="AR139" s="432">
        <v>92.86</v>
      </c>
      <c r="AS139" s="432">
        <v>93.37</v>
      </c>
      <c r="AT139" s="426"/>
      <c r="AU139" s="426"/>
      <c r="AV139" s="426"/>
      <c r="AW139" s="426"/>
      <c r="AX139" s="426"/>
    </row>
    <row r="140" spans="1:50" x14ac:dyDescent="0.2">
      <c r="A140" s="433"/>
      <c r="B140" s="113">
        <v>27</v>
      </c>
      <c r="C140" s="432">
        <v>73.33</v>
      </c>
      <c r="D140" s="432">
        <v>73.959999999999994</v>
      </c>
      <c r="E140" s="432">
        <v>74.319999999999993</v>
      </c>
      <c r="F140" s="426"/>
      <c r="G140" s="426"/>
      <c r="H140" s="426"/>
      <c r="I140" s="426"/>
      <c r="J140" s="426"/>
      <c r="K140" s="433"/>
      <c r="L140" s="113">
        <v>27</v>
      </c>
      <c r="M140" s="432">
        <v>77.73</v>
      </c>
      <c r="N140" s="432">
        <v>78.45</v>
      </c>
      <c r="O140" s="432">
        <v>78.849999999999994</v>
      </c>
      <c r="P140" s="426"/>
      <c r="Q140" s="426"/>
      <c r="R140" s="426"/>
      <c r="S140" s="426"/>
      <c r="T140" s="426"/>
      <c r="U140" s="433"/>
      <c r="V140" s="113">
        <v>27</v>
      </c>
      <c r="W140" s="432">
        <v>82.37</v>
      </c>
      <c r="X140" s="432">
        <v>83.2</v>
      </c>
      <c r="Y140" s="432">
        <v>83.63</v>
      </c>
      <c r="Z140" s="426"/>
      <c r="AA140" s="426"/>
      <c r="AB140" s="426"/>
      <c r="AC140" s="426"/>
      <c r="AD140" s="426"/>
      <c r="AE140" s="433"/>
      <c r="AF140" s="113">
        <v>27</v>
      </c>
      <c r="AG140" s="432">
        <v>87.27</v>
      </c>
      <c r="AH140" s="432">
        <v>88.21</v>
      </c>
      <c r="AI140" s="432">
        <v>88.68</v>
      </c>
      <c r="AJ140" s="426"/>
      <c r="AK140" s="426"/>
      <c r="AL140" s="426"/>
      <c r="AM140" s="426"/>
      <c r="AN140" s="426"/>
      <c r="AO140" s="433"/>
      <c r="AP140" s="113">
        <v>27</v>
      </c>
      <c r="AQ140" s="432">
        <v>92.44</v>
      </c>
      <c r="AR140" s="432">
        <v>93.51</v>
      </c>
      <c r="AS140" s="432">
        <v>94.02</v>
      </c>
      <c r="AT140" s="426"/>
      <c r="AU140" s="426"/>
      <c r="AV140" s="426"/>
      <c r="AW140" s="426"/>
      <c r="AX140" s="426"/>
    </row>
    <row r="141" spans="1:50" x14ac:dyDescent="0.2">
      <c r="A141" s="433"/>
      <c r="B141" s="113">
        <v>28</v>
      </c>
      <c r="C141" s="432">
        <v>73.760000000000005</v>
      </c>
      <c r="D141" s="432">
        <v>74.39</v>
      </c>
      <c r="E141" s="432">
        <v>74.760000000000005</v>
      </c>
      <c r="F141" s="426"/>
      <c r="G141" s="426"/>
      <c r="H141" s="426"/>
      <c r="I141" s="426"/>
      <c r="J141" s="426"/>
      <c r="K141" s="433"/>
      <c r="L141" s="113">
        <v>28</v>
      </c>
      <c r="M141" s="432">
        <v>78.2</v>
      </c>
      <c r="N141" s="432">
        <v>78.930000000000007</v>
      </c>
      <c r="O141" s="432">
        <v>79.33</v>
      </c>
      <c r="P141" s="426"/>
      <c r="Q141" s="426"/>
      <c r="R141" s="426"/>
      <c r="S141" s="426"/>
      <c r="T141" s="426"/>
      <c r="U141" s="433"/>
      <c r="V141" s="113">
        <v>28</v>
      </c>
      <c r="W141" s="432">
        <v>82.9</v>
      </c>
      <c r="X141" s="432">
        <v>83.74</v>
      </c>
      <c r="Y141" s="432">
        <v>84.17</v>
      </c>
      <c r="Z141" s="426"/>
      <c r="AA141" s="426"/>
      <c r="AB141" s="426"/>
      <c r="AC141" s="426"/>
      <c r="AD141" s="426"/>
      <c r="AE141" s="433"/>
      <c r="AF141" s="113">
        <v>28</v>
      </c>
      <c r="AG141" s="432">
        <v>87.86</v>
      </c>
      <c r="AH141" s="432">
        <v>88.81</v>
      </c>
      <c r="AI141" s="432">
        <v>89.29</v>
      </c>
      <c r="AJ141" s="426"/>
      <c r="AK141" s="426"/>
      <c r="AL141" s="426"/>
      <c r="AM141" s="426"/>
      <c r="AN141" s="426"/>
      <c r="AO141" s="433"/>
      <c r="AP141" s="113">
        <v>28</v>
      </c>
      <c r="AQ141" s="432">
        <v>93.1</v>
      </c>
      <c r="AR141" s="432">
        <v>94.18</v>
      </c>
      <c r="AS141" s="432">
        <v>94.69</v>
      </c>
      <c r="AT141" s="426"/>
      <c r="AU141" s="426"/>
      <c r="AV141" s="426"/>
      <c r="AW141" s="426"/>
      <c r="AX141" s="426"/>
    </row>
    <row r="142" spans="1:50" x14ac:dyDescent="0.2">
      <c r="A142" s="433"/>
      <c r="B142" s="113">
        <v>29</v>
      </c>
      <c r="C142" s="432">
        <v>74.2</v>
      </c>
      <c r="D142" s="432">
        <v>74.84</v>
      </c>
      <c r="E142" s="432">
        <v>75.22</v>
      </c>
      <c r="F142" s="426"/>
      <c r="G142" s="426"/>
      <c r="H142" s="426"/>
      <c r="I142" s="426"/>
      <c r="J142" s="426"/>
      <c r="K142" s="433"/>
      <c r="L142" s="113">
        <v>29</v>
      </c>
      <c r="M142" s="432">
        <v>78.7</v>
      </c>
      <c r="N142" s="432">
        <v>79.44</v>
      </c>
      <c r="O142" s="432">
        <v>79.849999999999994</v>
      </c>
      <c r="P142" s="426"/>
      <c r="Q142" s="426"/>
      <c r="R142" s="426"/>
      <c r="S142" s="426"/>
      <c r="T142" s="426"/>
      <c r="U142" s="433"/>
      <c r="V142" s="113">
        <v>29</v>
      </c>
      <c r="W142" s="432">
        <v>83.46</v>
      </c>
      <c r="X142" s="432">
        <v>84.3</v>
      </c>
      <c r="Y142" s="432">
        <v>84.74</v>
      </c>
      <c r="Z142" s="426"/>
      <c r="AA142" s="426"/>
      <c r="AB142" s="426"/>
      <c r="AC142" s="426"/>
      <c r="AD142" s="426"/>
      <c r="AE142" s="433"/>
      <c r="AF142" s="113">
        <v>29</v>
      </c>
      <c r="AG142" s="432">
        <v>88.48</v>
      </c>
      <c r="AH142" s="432">
        <v>89.45</v>
      </c>
      <c r="AI142" s="432">
        <v>89.93</v>
      </c>
      <c r="AJ142" s="426"/>
      <c r="AK142" s="426"/>
      <c r="AL142" s="426"/>
      <c r="AM142" s="426"/>
      <c r="AN142" s="426"/>
      <c r="AO142" s="433"/>
      <c r="AP142" s="113">
        <v>29</v>
      </c>
      <c r="AQ142" s="432">
        <v>93.79</v>
      </c>
      <c r="AR142" s="432">
        <v>94.88</v>
      </c>
      <c r="AS142" s="432">
        <v>95.4</v>
      </c>
      <c r="AT142" s="426"/>
      <c r="AU142" s="426"/>
      <c r="AV142" s="426"/>
      <c r="AW142" s="426"/>
      <c r="AX142" s="426"/>
    </row>
    <row r="143" spans="1:50" x14ac:dyDescent="0.2">
      <c r="A143" s="433"/>
      <c r="B143" s="113">
        <v>30</v>
      </c>
      <c r="C143" s="432">
        <v>74.67</v>
      </c>
      <c r="D143" s="432">
        <v>75.319999999999993</v>
      </c>
      <c r="E143" s="432">
        <v>75.69</v>
      </c>
      <c r="F143" s="426"/>
      <c r="G143" s="426"/>
      <c r="H143" s="426"/>
      <c r="I143" s="426"/>
      <c r="J143" s="426"/>
      <c r="K143" s="433"/>
      <c r="L143" s="113">
        <v>30</v>
      </c>
      <c r="M143" s="432">
        <v>79.23</v>
      </c>
      <c r="N143" s="432">
        <v>79.97</v>
      </c>
      <c r="O143" s="432">
        <v>80.38</v>
      </c>
      <c r="P143" s="426"/>
      <c r="Q143" s="426"/>
      <c r="R143" s="426"/>
      <c r="S143" s="426"/>
      <c r="T143" s="426"/>
      <c r="U143" s="433"/>
      <c r="V143" s="113">
        <v>30</v>
      </c>
      <c r="W143" s="432">
        <v>84.04</v>
      </c>
      <c r="X143" s="432">
        <v>84.9</v>
      </c>
      <c r="Y143" s="432">
        <v>85.34</v>
      </c>
      <c r="Z143" s="426"/>
      <c r="AA143" s="426"/>
      <c r="AB143" s="426"/>
      <c r="AC143" s="426"/>
      <c r="AD143" s="426"/>
      <c r="AE143" s="433"/>
      <c r="AF143" s="113">
        <v>30</v>
      </c>
      <c r="AG143" s="432">
        <v>89.13</v>
      </c>
      <c r="AH143" s="432">
        <v>90.11</v>
      </c>
      <c r="AI143" s="432">
        <v>90.59</v>
      </c>
      <c r="AJ143" s="426"/>
      <c r="AK143" s="426"/>
      <c r="AL143" s="426"/>
      <c r="AM143" s="426"/>
      <c r="AN143" s="426"/>
      <c r="AO143" s="433"/>
      <c r="AP143" s="113">
        <v>30</v>
      </c>
      <c r="AQ143" s="432">
        <v>94.51</v>
      </c>
      <c r="AR143" s="432">
        <v>95.62</v>
      </c>
      <c r="AS143" s="432">
        <v>96.14</v>
      </c>
      <c r="AT143" s="426"/>
      <c r="AU143" s="426"/>
      <c r="AV143" s="426"/>
      <c r="AW143" s="426"/>
      <c r="AX143" s="426"/>
    </row>
    <row r="144" spans="1:50" x14ac:dyDescent="0.2">
      <c r="A144" s="433"/>
      <c r="B144" s="113">
        <v>31</v>
      </c>
      <c r="C144" s="432">
        <v>75.16</v>
      </c>
      <c r="D144" s="432">
        <v>75.819999999999993</v>
      </c>
      <c r="E144" s="432">
        <v>76.19</v>
      </c>
      <c r="F144" s="426"/>
      <c r="G144" s="426"/>
      <c r="H144" s="426"/>
      <c r="I144" s="426"/>
      <c r="J144" s="426"/>
      <c r="K144" s="433"/>
      <c r="L144" s="113">
        <v>31</v>
      </c>
      <c r="M144" s="432">
        <v>79.77</v>
      </c>
      <c r="N144" s="432">
        <v>80.53</v>
      </c>
      <c r="O144" s="432">
        <v>80.94</v>
      </c>
      <c r="P144" s="426"/>
      <c r="Q144" s="426"/>
      <c r="R144" s="426"/>
      <c r="S144" s="426"/>
      <c r="T144" s="426"/>
      <c r="U144" s="433"/>
      <c r="V144" s="113">
        <v>31</v>
      </c>
      <c r="W144" s="432">
        <v>84.65</v>
      </c>
      <c r="X144" s="432">
        <v>85.52</v>
      </c>
      <c r="Y144" s="432">
        <v>85.96</v>
      </c>
      <c r="Z144" s="426"/>
      <c r="AA144" s="426"/>
      <c r="AB144" s="426"/>
      <c r="AC144" s="426"/>
      <c r="AD144" s="426"/>
      <c r="AE144" s="433"/>
      <c r="AF144" s="113">
        <v>31</v>
      </c>
      <c r="AG144" s="432">
        <v>89.81</v>
      </c>
      <c r="AH144" s="432">
        <v>90.8</v>
      </c>
      <c r="AI144" s="432">
        <v>91.28</v>
      </c>
      <c r="AJ144" s="426"/>
      <c r="AK144" s="426"/>
      <c r="AL144" s="426"/>
      <c r="AM144" s="426"/>
      <c r="AN144" s="426"/>
      <c r="AO144" s="433"/>
      <c r="AP144" s="113">
        <v>31</v>
      </c>
      <c r="AQ144" s="432">
        <v>95.27</v>
      </c>
      <c r="AR144" s="432">
        <v>96.39</v>
      </c>
      <c r="AS144" s="432">
        <v>96.91</v>
      </c>
      <c r="AT144" s="426"/>
      <c r="AU144" s="426"/>
      <c r="AV144" s="426"/>
      <c r="AW144" s="426"/>
      <c r="AX144" s="426"/>
    </row>
    <row r="145" spans="1:50" x14ac:dyDescent="0.2">
      <c r="A145" s="433"/>
      <c r="B145" s="113">
        <v>32</v>
      </c>
      <c r="C145" s="432">
        <v>75.67</v>
      </c>
      <c r="D145" s="432">
        <v>76.34</v>
      </c>
      <c r="E145" s="432">
        <v>76.72</v>
      </c>
      <c r="F145" s="426"/>
      <c r="G145" s="426"/>
      <c r="H145" s="426"/>
      <c r="I145" s="426"/>
      <c r="J145" s="426"/>
      <c r="K145" s="433"/>
      <c r="L145" s="113">
        <v>32</v>
      </c>
      <c r="M145" s="432">
        <v>80.34</v>
      </c>
      <c r="N145" s="432">
        <v>81.11</v>
      </c>
      <c r="O145" s="432">
        <v>81.52</v>
      </c>
      <c r="P145" s="426"/>
      <c r="Q145" s="426"/>
      <c r="R145" s="426"/>
      <c r="S145" s="426"/>
      <c r="T145" s="426"/>
      <c r="U145" s="433"/>
      <c r="V145" s="113">
        <v>32</v>
      </c>
      <c r="W145" s="432">
        <v>85.29</v>
      </c>
      <c r="X145" s="432">
        <v>86.17</v>
      </c>
      <c r="Y145" s="432">
        <v>86.62</v>
      </c>
      <c r="Z145" s="426"/>
      <c r="AA145" s="426"/>
      <c r="AB145" s="426"/>
      <c r="AC145" s="426"/>
      <c r="AD145" s="426"/>
      <c r="AE145" s="433"/>
      <c r="AF145" s="113">
        <v>32</v>
      </c>
      <c r="AG145" s="432">
        <v>90.52</v>
      </c>
      <c r="AH145" s="432">
        <v>91.52</v>
      </c>
      <c r="AI145" s="432">
        <v>92.01</v>
      </c>
      <c r="AJ145" s="426"/>
      <c r="AK145" s="426"/>
      <c r="AL145" s="426"/>
      <c r="AM145" s="426"/>
      <c r="AN145" s="426"/>
      <c r="AO145" s="433"/>
      <c r="AP145" s="113">
        <v>32</v>
      </c>
      <c r="AQ145" s="432">
        <v>96.05</v>
      </c>
      <c r="AR145" s="432">
        <v>97.19</v>
      </c>
      <c r="AS145" s="432">
        <v>97.72</v>
      </c>
      <c r="AT145" s="426"/>
      <c r="AU145" s="426"/>
      <c r="AV145" s="426"/>
      <c r="AW145" s="426"/>
      <c r="AX145" s="426"/>
    </row>
    <row r="146" spans="1:50" x14ac:dyDescent="0.2">
      <c r="A146" s="433"/>
      <c r="B146" s="113">
        <v>33</v>
      </c>
      <c r="C146" s="432">
        <v>76.209999999999994</v>
      </c>
      <c r="D146" s="432">
        <v>76.88</v>
      </c>
      <c r="E146" s="432">
        <v>77.27</v>
      </c>
      <c r="F146" s="426"/>
      <c r="G146" s="426"/>
      <c r="H146" s="426"/>
      <c r="I146" s="426"/>
      <c r="J146" s="426"/>
      <c r="K146" s="433"/>
      <c r="L146" s="113">
        <v>33</v>
      </c>
      <c r="M146" s="432">
        <v>80.94</v>
      </c>
      <c r="N146" s="432">
        <v>81.72</v>
      </c>
      <c r="O146" s="432">
        <v>82.14</v>
      </c>
      <c r="P146" s="426"/>
      <c r="Q146" s="426"/>
      <c r="R146" s="426"/>
      <c r="S146" s="426"/>
      <c r="T146" s="426"/>
      <c r="U146" s="433"/>
      <c r="V146" s="113">
        <v>33</v>
      </c>
      <c r="W146" s="432">
        <v>85.95</v>
      </c>
      <c r="X146" s="432">
        <v>86.84</v>
      </c>
      <c r="Y146" s="432">
        <v>87.3</v>
      </c>
      <c r="Z146" s="426"/>
      <c r="AA146" s="426"/>
      <c r="AB146" s="426"/>
      <c r="AC146" s="426"/>
      <c r="AD146" s="426"/>
      <c r="AE146" s="433"/>
      <c r="AF146" s="113">
        <v>33</v>
      </c>
      <c r="AG146" s="432">
        <v>91.26</v>
      </c>
      <c r="AH146" s="432">
        <v>92.27</v>
      </c>
      <c r="AI146" s="432">
        <v>92.77</v>
      </c>
      <c r="AJ146" s="426"/>
      <c r="AK146" s="426"/>
      <c r="AL146" s="426"/>
      <c r="AM146" s="426"/>
      <c r="AN146" s="426"/>
      <c r="AO146" s="433"/>
      <c r="AP146" s="113">
        <v>33</v>
      </c>
      <c r="AQ146" s="432">
        <v>96.87</v>
      </c>
      <c r="AR146" s="432">
        <v>98.02</v>
      </c>
      <c r="AS146" s="432">
        <v>98.56</v>
      </c>
      <c r="AT146" s="426"/>
      <c r="AU146" s="426"/>
      <c r="AV146" s="426"/>
      <c r="AW146" s="426"/>
      <c r="AX146" s="426"/>
    </row>
    <row r="147" spans="1:50" x14ac:dyDescent="0.2">
      <c r="A147" s="433"/>
      <c r="B147" s="113">
        <v>34</v>
      </c>
      <c r="C147" s="432">
        <v>76.77</v>
      </c>
      <c r="D147" s="432">
        <v>77.45</v>
      </c>
      <c r="E147" s="432">
        <v>77.84</v>
      </c>
      <c r="F147" s="426"/>
      <c r="G147" s="426"/>
      <c r="H147" s="426"/>
      <c r="I147" s="426"/>
      <c r="J147" s="426"/>
      <c r="K147" s="433"/>
      <c r="L147" s="113">
        <v>34</v>
      </c>
      <c r="M147" s="432">
        <v>81.569999999999993</v>
      </c>
      <c r="N147" s="432">
        <v>82.36</v>
      </c>
      <c r="O147" s="432">
        <v>82.78</v>
      </c>
      <c r="P147" s="426"/>
      <c r="Q147" s="426"/>
      <c r="R147" s="426"/>
      <c r="S147" s="426"/>
      <c r="T147" s="426"/>
      <c r="U147" s="433"/>
      <c r="V147" s="113">
        <v>34</v>
      </c>
      <c r="W147" s="432">
        <v>86.65</v>
      </c>
      <c r="X147" s="432">
        <v>87.55</v>
      </c>
      <c r="Y147" s="432">
        <v>88.01</v>
      </c>
      <c r="Z147" s="426"/>
      <c r="AA147" s="426"/>
      <c r="AB147" s="426"/>
      <c r="AC147" s="426"/>
      <c r="AD147" s="426"/>
      <c r="AE147" s="433"/>
      <c r="AF147" s="113">
        <v>34</v>
      </c>
      <c r="AG147" s="432">
        <v>92.03</v>
      </c>
      <c r="AH147" s="432">
        <v>93.06</v>
      </c>
      <c r="AI147" s="432">
        <v>93.56</v>
      </c>
      <c r="AJ147" s="426"/>
      <c r="AK147" s="426"/>
      <c r="AL147" s="426"/>
      <c r="AM147" s="426"/>
      <c r="AN147" s="426"/>
      <c r="AO147" s="433"/>
      <c r="AP147" s="113">
        <v>34</v>
      </c>
      <c r="AQ147" s="432">
        <v>97.73</v>
      </c>
      <c r="AR147" s="432">
        <v>98.89</v>
      </c>
      <c r="AS147" s="432">
        <v>99.44</v>
      </c>
      <c r="AT147" s="426"/>
      <c r="AU147" s="426"/>
      <c r="AV147" s="426"/>
      <c r="AW147" s="426"/>
      <c r="AX147" s="426"/>
    </row>
    <row r="148" spans="1:50" x14ac:dyDescent="0.2">
      <c r="A148" s="433"/>
      <c r="B148" s="113">
        <v>35</v>
      </c>
      <c r="C148" s="432">
        <v>77.36</v>
      </c>
      <c r="D148" s="432">
        <v>78.05</v>
      </c>
      <c r="E148" s="432">
        <v>78.44</v>
      </c>
      <c r="F148" s="426"/>
      <c r="G148" s="426"/>
      <c r="H148" s="426"/>
      <c r="I148" s="426"/>
      <c r="J148" s="426"/>
      <c r="K148" s="433"/>
      <c r="L148" s="113">
        <v>35</v>
      </c>
      <c r="M148" s="432">
        <v>82.22</v>
      </c>
      <c r="N148" s="432">
        <v>83.02</v>
      </c>
      <c r="O148" s="432">
        <v>83.45</v>
      </c>
      <c r="P148" s="426"/>
      <c r="Q148" s="426"/>
      <c r="R148" s="426"/>
      <c r="S148" s="426"/>
      <c r="T148" s="426"/>
      <c r="U148" s="433"/>
      <c r="V148" s="113">
        <v>35</v>
      </c>
      <c r="W148" s="432">
        <v>87.37</v>
      </c>
      <c r="X148" s="432">
        <v>88.29</v>
      </c>
      <c r="Y148" s="432">
        <v>88.75</v>
      </c>
      <c r="Z148" s="426"/>
      <c r="AA148" s="426"/>
      <c r="AB148" s="426"/>
      <c r="AC148" s="426"/>
      <c r="AD148" s="426"/>
      <c r="AE148" s="433"/>
      <c r="AF148" s="113">
        <v>35</v>
      </c>
      <c r="AG148" s="432">
        <v>92.83</v>
      </c>
      <c r="AH148" s="432">
        <v>93.88</v>
      </c>
      <c r="AI148" s="432">
        <v>94.38</v>
      </c>
      <c r="AJ148" s="426"/>
      <c r="AK148" s="426"/>
      <c r="AL148" s="426"/>
      <c r="AM148" s="426"/>
      <c r="AN148" s="426"/>
      <c r="AO148" s="433"/>
      <c r="AP148" s="113">
        <v>35</v>
      </c>
      <c r="AQ148" s="432">
        <v>98.62</v>
      </c>
      <c r="AR148" s="432">
        <v>99.81</v>
      </c>
      <c r="AS148" s="432">
        <v>100.36</v>
      </c>
      <c r="AT148" s="426"/>
      <c r="AU148" s="426"/>
      <c r="AV148" s="426"/>
      <c r="AW148" s="426"/>
      <c r="AX148" s="426"/>
    </row>
    <row r="149" spans="1:50" x14ac:dyDescent="0.2">
      <c r="A149" s="433"/>
      <c r="B149" s="113">
        <v>36</v>
      </c>
      <c r="C149" s="432">
        <v>77.98</v>
      </c>
      <c r="D149" s="432">
        <v>78.680000000000007</v>
      </c>
      <c r="E149" s="432">
        <v>79.069999999999993</v>
      </c>
      <c r="F149" s="426"/>
      <c r="G149" s="426"/>
      <c r="H149" s="426"/>
      <c r="I149" s="426"/>
      <c r="J149" s="426"/>
      <c r="K149" s="433"/>
      <c r="L149" s="113">
        <v>36</v>
      </c>
      <c r="M149" s="432">
        <v>82.91</v>
      </c>
      <c r="N149" s="432">
        <v>83.72</v>
      </c>
      <c r="O149" s="432">
        <v>84.14</v>
      </c>
      <c r="P149" s="426"/>
      <c r="Q149" s="426"/>
      <c r="R149" s="426"/>
      <c r="S149" s="426"/>
      <c r="T149" s="426"/>
      <c r="U149" s="433"/>
      <c r="V149" s="113">
        <v>36</v>
      </c>
      <c r="W149" s="432">
        <v>88.13</v>
      </c>
      <c r="X149" s="432">
        <v>89.06</v>
      </c>
      <c r="Y149" s="432">
        <v>89.53</v>
      </c>
      <c r="Z149" s="426"/>
      <c r="AA149" s="426"/>
      <c r="AB149" s="426"/>
      <c r="AC149" s="426"/>
      <c r="AD149" s="426"/>
      <c r="AE149" s="433"/>
      <c r="AF149" s="113">
        <v>36</v>
      </c>
      <c r="AG149" s="432">
        <v>93.68</v>
      </c>
      <c r="AH149" s="432">
        <v>94.74</v>
      </c>
      <c r="AI149" s="432">
        <v>95.25</v>
      </c>
      <c r="AJ149" s="426"/>
      <c r="AK149" s="426"/>
      <c r="AL149" s="426"/>
      <c r="AM149" s="426"/>
      <c r="AN149" s="426"/>
      <c r="AO149" s="433"/>
      <c r="AP149" s="113">
        <v>36</v>
      </c>
      <c r="AQ149" s="432">
        <v>99.56</v>
      </c>
      <c r="AR149" s="432">
        <v>100.77</v>
      </c>
      <c r="AS149" s="432">
        <v>101.32</v>
      </c>
      <c r="AT149" s="426"/>
      <c r="AU149" s="426"/>
      <c r="AV149" s="426"/>
      <c r="AW149" s="426"/>
      <c r="AX149" s="426"/>
    </row>
    <row r="150" spans="1:50" x14ac:dyDescent="0.2">
      <c r="A150" s="433"/>
      <c r="B150" s="113">
        <v>37</v>
      </c>
      <c r="C150" s="432">
        <v>78.62</v>
      </c>
      <c r="D150" s="432">
        <v>79.33</v>
      </c>
      <c r="E150" s="432">
        <v>79.73</v>
      </c>
      <c r="F150" s="426"/>
      <c r="G150" s="426"/>
      <c r="H150" s="426"/>
      <c r="I150" s="426"/>
      <c r="J150" s="426"/>
      <c r="K150" s="433"/>
      <c r="L150" s="113">
        <v>37</v>
      </c>
      <c r="M150" s="432">
        <v>83.62</v>
      </c>
      <c r="N150" s="432">
        <v>84.45</v>
      </c>
      <c r="O150" s="432">
        <v>84.88</v>
      </c>
      <c r="P150" s="426"/>
      <c r="Q150" s="426"/>
      <c r="R150" s="426"/>
      <c r="S150" s="426"/>
      <c r="T150" s="426"/>
      <c r="U150" s="433"/>
      <c r="V150" s="113">
        <v>37</v>
      </c>
      <c r="W150" s="432">
        <v>88.93</v>
      </c>
      <c r="X150" s="432">
        <v>89.88</v>
      </c>
      <c r="Y150" s="432">
        <v>90.35</v>
      </c>
      <c r="Z150" s="426"/>
      <c r="AA150" s="426"/>
      <c r="AB150" s="426"/>
      <c r="AC150" s="426"/>
      <c r="AD150" s="426"/>
      <c r="AE150" s="433"/>
      <c r="AF150" s="113">
        <v>37</v>
      </c>
      <c r="AG150" s="432">
        <v>94.57</v>
      </c>
      <c r="AH150" s="432">
        <v>95.65</v>
      </c>
      <c r="AI150" s="432">
        <v>96.16</v>
      </c>
      <c r="AJ150" s="426"/>
      <c r="AK150" s="426"/>
      <c r="AL150" s="426"/>
      <c r="AM150" s="426"/>
      <c r="AN150" s="426"/>
      <c r="AO150" s="433"/>
      <c r="AP150" s="113">
        <v>37</v>
      </c>
      <c r="AQ150" s="432">
        <v>100.54</v>
      </c>
      <c r="AR150" s="432">
        <v>101.77</v>
      </c>
      <c r="AS150" s="432">
        <v>102.33</v>
      </c>
      <c r="AT150" s="426"/>
      <c r="AU150" s="426"/>
      <c r="AV150" s="426"/>
      <c r="AW150" s="426"/>
      <c r="AX150" s="426"/>
    </row>
    <row r="151" spans="1:50" x14ac:dyDescent="0.2">
      <c r="A151" s="433"/>
      <c r="B151" s="113">
        <v>38</v>
      </c>
      <c r="C151" s="432">
        <v>79.290000000000006</v>
      </c>
      <c r="D151" s="432">
        <v>80.02</v>
      </c>
      <c r="E151" s="432">
        <v>80.42</v>
      </c>
      <c r="F151" s="426"/>
      <c r="G151" s="426"/>
      <c r="H151" s="426"/>
      <c r="I151" s="426"/>
      <c r="J151" s="426"/>
      <c r="K151" s="433"/>
      <c r="L151" s="113">
        <v>38</v>
      </c>
      <c r="M151" s="432">
        <v>84.37</v>
      </c>
      <c r="N151" s="432">
        <v>85.21</v>
      </c>
      <c r="O151" s="432">
        <v>85.65</v>
      </c>
      <c r="P151" s="426"/>
      <c r="Q151" s="426"/>
      <c r="R151" s="426"/>
      <c r="S151" s="426"/>
      <c r="T151" s="426"/>
      <c r="U151" s="433"/>
      <c r="V151" s="113">
        <v>38</v>
      </c>
      <c r="W151" s="432">
        <v>89.77</v>
      </c>
      <c r="X151" s="432">
        <v>90.73</v>
      </c>
      <c r="Y151" s="432">
        <v>91.21</v>
      </c>
      <c r="Z151" s="426"/>
      <c r="AA151" s="426"/>
      <c r="AB151" s="426"/>
      <c r="AC151" s="426"/>
      <c r="AD151" s="426"/>
      <c r="AE151" s="433"/>
      <c r="AF151" s="113">
        <v>38</v>
      </c>
      <c r="AG151" s="432">
        <v>95.5</v>
      </c>
      <c r="AH151" s="432">
        <v>96.59</v>
      </c>
      <c r="AI151" s="432">
        <v>97.11</v>
      </c>
      <c r="AJ151" s="426"/>
      <c r="AK151" s="426"/>
      <c r="AL151" s="426"/>
      <c r="AM151" s="426"/>
      <c r="AN151" s="426"/>
      <c r="AO151" s="433"/>
      <c r="AP151" s="113">
        <v>38</v>
      </c>
      <c r="AQ151" s="432">
        <v>101.57</v>
      </c>
      <c r="AR151" s="432">
        <v>102.82</v>
      </c>
      <c r="AS151" s="432">
        <v>103.38</v>
      </c>
      <c r="AT151" s="426"/>
      <c r="AU151" s="426"/>
      <c r="AV151" s="426"/>
      <c r="AW151" s="426"/>
      <c r="AX151" s="426"/>
    </row>
    <row r="152" spans="1:50" x14ac:dyDescent="0.2">
      <c r="A152" s="433"/>
      <c r="B152" s="113">
        <v>39</v>
      </c>
      <c r="C152" s="432">
        <v>80</v>
      </c>
      <c r="D152" s="432">
        <v>80.739999999999995</v>
      </c>
      <c r="E152" s="432">
        <v>81.14</v>
      </c>
      <c r="F152" s="426"/>
      <c r="G152" s="426"/>
      <c r="H152" s="426"/>
      <c r="I152" s="426"/>
      <c r="J152" s="426"/>
      <c r="K152" s="433"/>
      <c r="L152" s="113">
        <v>39</v>
      </c>
      <c r="M152" s="432">
        <v>85.16</v>
      </c>
      <c r="N152" s="432">
        <v>86.02</v>
      </c>
      <c r="O152" s="432">
        <v>86.46</v>
      </c>
      <c r="P152" s="426"/>
      <c r="Q152" s="426"/>
      <c r="R152" s="426"/>
      <c r="S152" s="426"/>
      <c r="T152" s="426"/>
      <c r="U152" s="433"/>
      <c r="V152" s="113">
        <v>39</v>
      </c>
      <c r="W152" s="432">
        <v>90.65</v>
      </c>
      <c r="X152" s="432">
        <v>91.63</v>
      </c>
      <c r="Y152" s="432">
        <v>92.11</v>
      </c>
      <c r="Z152" s="426"/>
      <c r="AA152" s="426"/>
      <c r="AB152" s="426"/>
      <c r="AC152" s="426"/>
      <c r="AD152" s="426"/>
      <c r="AE152" s="433"/>
      <c r="AF152" s="113">
        <v>39</v>
      </c>
      <c r="AG152" s="432">
        <v>96.47</v>
      </c>
      <c r="AH152" s="432">
        <v>97.59</v>
      </c>
      <c r="AI152" s="432">
        <v>98.11</v>
      </c>
      <c r="AJ152" s="426"/>
      <c r="AK152" s="426"/>
      <c r="AL152" s="426"/>
      <c r="AM152" s="426"/>
      <c r="AN152" s="426"/>
      <c r="AO152" s="433"/>
      <c r="AP152" s="113">
        <v>39</v>
      </c>
      <c r="AQ152" s="432">
        <v>102.64</v>
      </c>
      <c r="AR152" s="432">
        <v>103.91</v>
      </c>
      <c r="AS152" s="432">
        <v>104.48</v>
      </c>
      <c r="AT152" s="426"/>
      <c r="AU152" s="426"/>
      <c r="AV152" s="426"/>
      <c r="AW152" s="426"/>
      <c r="AX152" s="426"/>
    </row>
    <row r="153" spans="1:50" x14ac:dyDescent="0.2">
      <c r="A153" s="433"/>
      <c r="B153" s="113">
        <v>40</v>
      </c>
      <c r="C153" s="432">
        <v>80.75</v>
      </c>
      <c r="D153" s="432">
        <v>81.5</v>
      </c>
      <c r="E153" s="432">
        <v>81.91</v>
      </c>
      <c r="F153" s="426"/>
      <c r="G153" s="426"/>
      <c r="H153" s="426"/>
      <c r="I153" s="426"/>
      <c r="J153" s="426"/>
      <c r="K153" s="433"/>
      <c r="L153" s="113">
        <v>40</v>
      </c>
      <c r="M153" s="432">
        <v>86</v>
      </c>
      <c r="N153" s="432">
        <v>86.86</v>
      </c>
      <c r="O153" s="432">
        <v>87.31</v>
      </c>
      <c r="P153" s="426"/>
      <c r="Q153" s="426"/>
      <c r="R153" s="426"/>
      <c r="S153" s="426"/>
      <c r="T153" s="426"/>
      <c r="U153" s="433"/>
      <c r="V153" s="113">
        <v>40</v>
      </c>
      <c r="W153" s="432">
        <v>91.57</v>
      </c>
      <c r="X153" s="432">
        <v>92.56</v>
      </c>
      <c r="Y153" s="432">
        <v>93.05</v>
      </c>
      <c r="Z153" s="426"/>
      <c r="AA153" s="426"/>
      <c r="AB153" s="426"/>
      <c r="AC153" s="426"/>
      <c r="AD153" s="426"/>
      <c r="AE153" s="433"/>
      <c r="AF153" s="113">
        <v>40</v>
      </c>
      <c r="AG153" s="432">
        <v>97.48</v>
      </c>
      <c r="AH153" s="432">
        <v>98.62</v>
      </c>
      <c r="AI153" s="432">
        <v>99.15</v>
      </c>
      <c r="AJ153" s="426"/>
      <c r="AK153" s="426"/>
      <c r="AL153" s="426"/>
      <c r="AM153" s="426"/>
      <c r="AN153" s="426"/>
      <c r="AO153" s="433"/>
      <c r="AP153" s="113">
        <v>40</v>
      </c>
      <c r="AQ153" s="432">
        <v>103.76</v>
      </c>
      <c r="AR153" s="432">
        <v>105.05</v>
      </c>
      <c r="AS153" s="432">
        <v>105.62</v>
      </c>
      <c r="AT153" s="426"/>
      <c r="AU153" s="426"/>
      <c r="AV153" s="426"/>
      <c r="AW153" s="426"/>
      <c r="AX153" s="426"/>
    </row>
    <row r="154" spans="1:50" x14ac:dyDescent="0.2">
      <c r="A154" s="433"/>
      <c r="B154" s="113">
        <v>41</v>
      </c>
      <c r="C154" s="432">
        <v>81.53</v>
      </c>
      <c r="D154" s="432">
        <v>82.3</v>
      </c>
      <c r="E154" s="432">
        <v>82.71</v>
      </c>
      <c r="F154" s="426"/>
      <c r="G154" s="426"/>
      <c r="H154" s="426"/>
      <c r="I154" s="426"/>
      <c r="J154" s="426"/>
      <c r="K154" s="433"/>
      <c r="L154" s="113">
        <v>41</v>
      </c>
      <c r="M154" s="432">
        <v>86.86</v>
      </c>
      <c r="N154" s="432">
        <v>87.75</v>
      </c>
      <c r="O154" s="432">
        <v>88.2</v>
      </c>
      <c r="P154" s="426"/>
      <c r="Q154" s="426"/>
      <c r="R154" s="426"/>
      <c r="S154" s="426"/>
      <c r="T154" s="426"/>
      <c r="U154" s="433"/>
      <c r="V154" s="113">
        <v>41</v>
      </c>
      <c r="W154" s="432">
        <v>92.53</v>
      </c>
      <c r="X154" s="432">
        <v>93.54</v>
      </c>
      <c r="Y154" s="432">
        <v>94.03</v>
      </c>
      <c r="Z154" s="426"/>
      <c r="AA154" s="426"/>
      <c r="AB154" s="426"/>
      <c r="AC154" s="426"/>
      <c r="AD154" s="426"/>
      <c r="AE154" s="433"/>
      <c r="AF154" s="113">
        <v>41</v>
      </c>
      <c r="AG154" s="432">
        <v>98.54</v>
      </c>
      <c r="AH154" s="432">
        <v>99.7</v>
      </c>
      <c r="AI154" s="432">
        <v>100.23</v>
      </c>
      <c r="AJ154" s="426"/>
      <c r="AK154" s="426"/>
      <c r="AL154" s="426"/>
      <c r="AM154" s="426"/>
      <c r="AN154" s="426"/>
      <c r="AO154" s="433"/>
      <c r="AP154" s="113">
        <v>41</v>
      </c>
      <c r="AQ154" s="432">
        <v>104.92</v>
      </c>
      <c r="AR154" s="432">
        <v>106.24</v>
      </c>
      <c r="AS154" s="432">
        <v>106.81</v>
      </c>
      <c r="AT154" s="426"/>
      <c r="AU154" s="426"/>
      <c r="AV154" s="426"/>
      <c r="AW154" s="426"/>
      <c r="AX154" s="426"/>
    </row>
    <row r="155" spans="1:50" x14ac:dyDescent="0.2">
      <c r="A155" s="433"/>
      <c r="B155" s="113">
        <v>42</v>
      </c>
      <c r="C155" s="432">
        <v>82.36</v>
      </c>
      <c r="D155" s="432">
        <v>83.14</v>
      </c>
      <c r="E155" s="432">
        <v>83.55</v>
      </c>
      <c r="F155" s="426"/>
      <c r="G155" s="426"/>
      <c r="H155" s="426"/>
      <c r="I155" s="426"/>
      <c r="J155" s="426"/>
      <c r="K155" s="433"/>
      <c r="L155" s="113">
        <v>42</v>
      </c>
      <c r="M155" s="432">
        <v>87.78</v>
      </c>
      <c r="N155" s="432">
        <v>88.68</v>
      </c>
      <c r="O155" s="432">
        <v>89.13</v>
      </c>
      <c r="P155" s="426"/>
      <c r="Q155" s="426"/>
      <c r="R155" s="426"/>
      <c r="S155" s="426"/>
      <c r="T155" s="426"/>
      <c r="U155" s="433"/>
      <c r="V155" s="113">
        <v>42</v>
      </c>
      <c r="W155" s="432">
        <v>93.53</v>
      </c>
      <c r="X155" s="432">
        <v>94.57</v>
      </c>
      <c r="Y155" s="432">
        <v>95.06</v>
      </c>
      <c r="Z155" s="426"/>
      <c r="AA155" s="426"/>
      <c r="AB155" s="426"/>
      <c r="AC155" s="426"/>
      <c r="AD155" s="426"/>
      <c r="AE155" s="433"/>
      <c r="AF155" s="113">
        <v>42</v>
      </c>
      <c r="AG155" s="432">
        <v>99.65</v>
      </c>
      <c r="AH155" s="432">
        <v>100.83</v>
      </c>
      <c r="AI155" s="432">
        <v>101.36</v>
      </c>
      <c r="AJ155" s="426"/>
      <c r="AK155" s="426"/>
      <c r="AL155" s="426"/>
      <c r="AM155" s="426"/>
      <c r="AN155" s="426"/>
      <c r="AO155" s="433"/>
      <c r="AP155" s="113">
        <v>42</v>
      </c>
      <c r="AQ155" s="432">
        <v>106.12</v>
      </c>
      <c r="AR155" s="432">
        <v>107.46</v>
      </c>
      <c r="AS155" s="432">
        <v>108.05</v>
      </c>
      <c r="AT155" s="426"/>
      <c r="AU155" s="426"/>
      <c r="AV155" s="426"/>
      <c r="AW155" s="426"/>
      <c r="AX155" s="426"/>
    </row>
    <row r="156" spans="1:50" x14ac:dyDescent="0.2">
      <c r="A156" s="433"/>
      <c r="B156" s="113">
        <v>43</v>
      </c>
      <c r="C156" s="432">
        <v>83.22</v>
      </c>
      <c r="D156" s="432">
        <v>84.01</v>
      </c>
      <c r="E156" s="432">
        <v>84.43</v>
      </c>
      <c r="F156" s="426"/>
      <c r="G156" s="426"/>
      <c r="H156" s="426"/>
      <c r="I156" s="426"/>
      <c r="J156" s="426"/>
      <c r="K156" s="433"/>
      <c r="L156" s="113">
        <v>43</v>
      </c>
      <c r="M156" s="432">
        <v>88.73</v>
      </c>
      <c r="N156" s="432">
        <v>89.64</v>
      </c>
      <c r="O156" s="432">
        <v>90.1</v>
      </c>
      <c r="P156" s="426"/>
      <c r="Q156" s="426"/>
      <c r="R156" s="426"/>
      <c r="S156" s="426"/>
      <c r="T156" s="426"/>
      <c r="U156" s="433"/>
      <c r="V156" s="113">
        <v>43</v>
      </c>
      <c r="W156" s="432">
        <v>94.58</v>
      </c>
      <c r="X156" s="432">
        <v>95.63</v>
      </c>
      <c r="Y156" s="432">
        <v>96.13</v>
      </c>
      <c r="Z156" s="426"/>
      <c r="AA156" s="426"/>
      <c r="AB156" s="426"/>
      <c r="AC156" s="426"/>
      <c r="AD156" s="426"/>
      <c r="AE156" s="433"/>
      <c r="AF156" s="113">
        <v>43</v>
      </c>
      <c r="AG156" s="432">
        <v>100.79</v>
      </c>
      <c r="AH156" s="432">
        <v>101.99</v>
      </c>
      <c r="AI156" s="432">
        <v>102.53</v>
      </c>
      <c r="AJ156" s="426"/>
      <c r="AK156" s="426"/>
      <c r="AL156" s="426"/>
      <c r="AM156" s="426"/>
      <c r="AN156" s="426"/>
      <c r="AO156" s="433"/>
      <c r="AP156" s="113">
        <v>43</v>
      </c>
      <c r="AQ156" s="432">
        <v>107.36</v>
      </c>
      <c r="AR156" s="432">
        <v>108.73</v>
      </c>
      <c r="AS156" s="432">
        <v>109.32</v>
      </c>
      <c r="AT156" s="426"/>
      <c r="AU156" s="426"/>
      <c r="AV156" s="426"/>
      <c r="AW156" s="426"/>
      <c r="AX156" s="426"/>
    </row>
    <row r="157" spans="1:50" x14ac:dyDescent="0.2">
      <c r="A157" s="433"/>
      <c r="B157" s="113">
        <v>44</v>
      </c>
      <c r="C157" s="432">
        <v>84.12</v>
      </c>
      <c r="D157" s="432">
        <v>84.93</v>
      </c>
      <c r="E157" s="432">
        <v>85.35</v>
      </c>
      <c r="F157" s="426"/>
      <c r="G157" s="426"/>
      <c r="H157" s="426"/>
      <c r="I157" s="426"/>
      <c r="J157" s="426"/>
      <c r="K157" s="433"/>
      <c r="L157" s="113">
        <v>44</v>
      </c>
      <c r="M157" s="432">
        <v>89.72</v>
      </c>
      <c r="N157" s="432">
        <v>90.66</v>
      </c>
      <c r="O157" s="432">
        <v>91.12</v>
      </c>
      <c r="P157" s="426"/>
      <c r="Q157" s="426"/>
      <c r="R157" s="426"/>
      <c r="S157" s="426"/>
      <c r="T157" s="426"/>
      <c r="U157" s="433"/>
      <c r="V157" s="113">
        <v>44</v>
      </c>
      <c r="W157" s="432">
        <v>95.67</v>
      </c>
      <c r="X157" s="432">
        <v>96.74</v>
      </c>
      <c r="Y157" s="432">
        <v>97.24</v>
      </c>
      <c r="Z157" s="426"/>
      <c r="AA157" s="426"/>
      <c r="AB157" s="426"/>
      <c r="AC157" s="426"/>
      <c r="AD157" s="426"/>
      <c r="AE157" s="433"/>
      <c r="AF157" s="113">
        <v>44</v>
      </c>
      <c r="AG157" s="432">
        <v>101.97</v>
      </c>
      <c r="AH157" s="432">
        <v>103.2</v>
      </c>
      <c r="AI157" s="432">
        <v>103.74</v>
      </c>
      <c r="AJ157" s="426"/>
      <c r="AK157" s="426"/>
      <c r="AL157" s="426"/>
      <c r="AM157" s="426"/>
      <c r="AN157" s="426"/>
      <c r="AO157" s="433"/>
      <c r="AP157" s="113">
        <v>44</v>
      </c>
      <c r="AQ157" s="432">
        <v>108.64</v>
      </c>
      <c r="AR157" s="432">
        <v>110.03</v>
      </c>
      <c r="AS157" s="432">
        <v>110.62</v>
      </c>
      <c r="AT157" s="426"/>
      <c r="AU157" s="426"/>
      <c r="AV157" s="426"/>
      <c r="AW157" s="426"/>
      <c r="AX157" s="426"/>
    </row>
    <row r="158" spans="1:50" x14ac:dyDescent="0.2">
      <c r="A158" s="433"/>
      <c r="B158" s="113">
        <v>45</v>
      </c>
      <c r="C158" s="432">
        <v>85.06</v>
      </c>
      <c r="D158" s="432">
        <v>85.89</v>
      </c>
      <c r="E158" s="432">
        <v>86.31</v>
      </c>
      <c r="F158" s="426"/>
      <c r="G158" s="426"/>
      <c r="H158" s="426"/>
      <c r="I158" s="426"/>
      <c r="J158" s="426"/>
      <c r="K158" s="433"/>
      <c r="L158" s="113">
        <v>45</v>
      </c>
      <c r="M158" s="432">
        <v>90.75</v>
      </c>
      <c r="N158" s="432">
        <v>91.71</v>
      </c>
      <c r="O158" s="432">
        <v>92.17</v>
      </c>
      <c r="P158" s="426"/>
      <c r="Q158" s="426"/>
      <c r="R158" s="426"/>
      <c r="S158" s="426"/>
      <c r="T158" s="426"/>
      <c r="U158" s="433"/>
      <c r="V158" s="113">
        <v>45</v>
      </c>
      <c r="W158" s="432">
        <v>96.79</v>
      </c>
      <c r="X158" s="432">
        <v>97.89</v>
      </c>
      <c r="Y158" s="432">
        <v>98.39</v>
      </c>
      <c r="Z158" s="426"/>
      <c r="AA158" s="426"/>
      <c r="AB158" s="426"/>
      <c r="AC158" s="426"/>
      <c r="AD158" s="426"/>
      <c r="AE158" s="433"/>
      <c r="AF158" s="113">
        <v>45</v>
      </c>
      <c r="AG158" s="432">
        <v>103.19</v>
      </c>
      <c r="AH158" s="432">
        <v>104.44</v>
      </c>
      <c r="AI158" s="432">
        <v>104.99</v>
      </c>
      <c r="AJ158" s="426"/>
      <c r="AK158" s="426"/>
      <c r="AL158" s="426"/>
      <c r="AM158" s="426"/>
      <c r="AN158" s="426"/>
      <c r="AO158" s="433"/>
      <c r="AP158" s="113">
        <v>45</v>
      </c>
      <c r="AQ158" s="432">
        <v>109.96</v>
      </c>
      <c r="AR158" s="432">
        <v>111.38</v>
      </c>
      <c r="AS158" s="432">
        <v>111.98</v>
      </c>
      <c r="AT158" s="426"/>
      <c r="AU158" s="426"/>
      <c r="AV158" s="426"/>
      <c r="AW158" s="426"/>
      <c r="AX158" s="426"/>
    </row>
    <row r="159" spans="1:50" x14ac:dyDescent="0.2">
      <c r="A159" s="433"/>
      <c r="B159" s="113">
        <v>46</v>
      </c>
      <c r="C159" s="432">
        <v>86.05</v>
      </c>
      <c r="D159" s="432">
        <v>86.89</v>
      </c>
      <c r="E159" s="432">
        <v>87.32</v>
      </c>
      <c r="F159" s="426"/>
      <c r="G159" s="426"/>
      <c r="H159" s="426"/>
      <c r="I159" s="426"/>
      <c r="J159" s="426"/>
      <c r="K159" s="433"/>
      <c r="L159" s="113">
        <v>46</v>
      </c>
      <c r="M159" s="432">
        <v>91.82</v>
      </c>
      <c r="N159" s="432">
        <v>92.8</v>
      </c>
      <c r="O159" s="432">
        <v>93.26</v>
      </c>
      <c r="P159" s="426"/>
      <c r="Q159" s="426"/>
      <c r="R159" s="426"/>
      <c r="S159" s="426"/>
      <c r="T159" s="426"/>
      <c r="U159" s="433"/>
      <c r="V159" s="113">
        <v>46</v>
      </c>
      <c r="W159" s="432">
        <v>97.95</v>
      </c>
      <c r="X159" s="432">
        <v>99.07</v>
      </c>
      <c r="Y159" s="432">
        <v>99.58</v>
      </c>
      <c r="Z159" s="426"/>
      <c r="AA159" s="426"/>
      <c r="AB159" s="426"/>
      <c r="AC159" s="426"/>
      <c r="AD159" s="426"/>
      <c r="AE159" s="433"/>
      <c r="AF159" s="113">
        <v>46</v>
      </c>
      <c r="AG159" s="432">
        <v>104.45</v>
      </c>
      <c r="AH159" s="432">
        <v>105.73</v>
      </c>
      <c r="AI159" s="432">
        <v>106.28</v>
      </c>
      <c r="AJ159" s="426"/>
      <c r="AK159" s="426"/>
      <c r="AL159" s="426"/>
      <c r="AM159" s="426"/>
      <c r="AN159" s="426"/>
      <c r="AO159" s="433"/>
      <c r="AP159" s="113">
        <v>46</v>
      </c>
      <c r="AQ159" s="432">
        <v>111.33</v>
      </c>
      <c r="AR159" s="432">
        <v>112.79</v>
      </c>
      <c r="AS159" s="432">
        <v>113.39</v>
      </c>
      <c r="AT159" s="426"/>
      <c r="AU159" s="426"/>
      <c r="AV159" s="426"/>
      <c r="AW159" s="426"/>
      <c r="AX159" s="426"/>
    </row>
    <row r="160" spans="1:50" x14ac:dyDescent="0.2">
      <c r="A160" s="433"/>
      <c r="B160" s="113">
        <v>47</v>
      </c>
      <c r="C160" s="432">
        <v>87.06</v>
      </c>
      <c r="D160" s="432">
        <v>87.93</v>
      </c>
      <c r="E160" s="432">
        <v>88.36</v>
      </c>
      <c r="F160" s="426"/>
      <c r="G160" s="426"/>
      <c r="H160" s="426"/>
      <c r="I160" s="426"/>
      <c r="J160" s="426"/>
      <c r="K160" s="433"/>
      <c r="L160" s="113">
        <v>47</v>
      </c>
      <c r="M160" s="432">
        <v>92.93</v>
      </c>
      <c r="N160" s="432">
        <v>93.93</v>
      </c>
      <c r="O160" s="432">
        <v>94.4</v>
      </c>
      <c r="P160" s="426"/>
      <c r="Q160" s="426"/>
      <c r="R160" s="426"/>
      <c r="S160" s="426"/>
      <c r="T160" s="426"/>
      <c r="U160" s="433"/>
      <c r="V160" s="113">
        <v>47</v>
      </c>
      <c r="W160" s="432">
        <v>99.16</v>
      </c>
      <c r="X160" s="432">
        <v>100.31</v>
      </c>
      <c r="Y160" s="432">
        <v>100.82</v>
      </c>
      <c r="Z160" s="426"/>
      <c r="AA160" s="426"/>
      <c r="AB160" s="426"/>
      <c r="AC160" s="426"/>
      <c r="AD160" s="426"/>
      <c r="AE160" s="433"/>
      <c r="AF160" s="113">
        <v>47</v>
      </c>
      <c r="AG160" s="432">
        <v>105.77</v>
      </c>
      <c r="AH160" s="432">
        <v>107.07</v>
      </c>
      <c r="AI160" s="432">
        <v>107.63</v>
      </c>
      <c r="AJ160" s="426"/>
      <c r="AK160" s="426"/>
      <c r="AL160" s="426"/>
      <c r="AM160" s="426"/>
      <c r="AN160" s="426"/>
      <c r="AO160" s="433"/>
      <c r="AP160" s="113">
        <v>47</v>
      </c>
      <c r="AQ160" s="432">
        <v>112.77</v>
      </c>
      <c r="AR160" s="432">
        <v>114.25</v>
      </c>
      <c r="AS160" s="432">
        <v>114.86</v>
      </c>
      <c r="AT160" s="426"/>
      <c r="AU160" s="426"/>
      <c r="AV160" s="426"/>
      <c r="AW160" s="426"/>
      <c r="AX160" s="426"/>
    </row>
    <row r="161" spans="1:50" x14ac:dyDescent="0.2">
      <c r="A161" s="433"/>
      <c r="B161" s="113">
        <v>48</v>
      </c>
      <c r="C161" s="432">
        <v>88.12</v>
      </c>
      <c r="D161" s="432">
        <v>89</v>
      </c>
      <c r="E161" s="432">
        <v>89.44</v>
      </c>
      <c r="F161" s="426"/>
      <c r="G161" s="426"/>
      <c r="H161" s="426"/>
      <c r="I161" s="426"/>
      <c r="J161" s="426"/>
      <c r="K161" s="433"/>
      <c r="L161" s="113">
        <v>48</v>
      </c>
      <c r="M161" s="432">
        <v>94.09</v>
      </c>
      <c r="N161" s="432">
        <v>95.11</v>
      </c>
      <c r="O161" s="432">
        <v>95.58</v>
      </c>
      <c r="P161" s="426"/>
      <c r="Q161" s="426"/>
      <c r="R161" s="426"/>
      <c r="S161" s="426"/>
      <c r="T161" s="426"/>
      <c r="U161" s="433"/>
      <c r="V161" s="113">
        <v>48</v>
      </c>
      <c r="W161" s="432">
        <v>100.42</v>
      </c>
      <c r="X161" s="432">
        <v>101.59</v>
      </c>
      <c r="Y161" s="432">
        <v>102.11</v>
      </c>
      <c r="Z161" s="426"/>
      <c r="AA161" s="426"/>
      <c r="AB161" s="426"/>
      <c r="AC161" s="426"/>
      <c r="AD161" s="426"/>
      <c r="AE161" s="433"/>
      <c r="AF161" s="113">
        <v>48</v>
      </c>
      <c r="AG161" s="432">
        <v>107.15</v>
      </c>
      <c r="AH161" s="432">
        <v>108.48</v>
      </c>
      <c r="AI161" s="432">
        <v>109.04</v>
      </c>
      <c r="AJ161" s="426"/>
      <c r="AK161" s="426"/>
      <c r="AL161" s="426"/>
      <c r="AM161" s="426"/>
      <c r="AN161" s="426"/>
      <c r="AO161" s="433"/>
      <c r="AP161" s="113">
        <v>48</v>
      </c>
      <c r="AQ161" s="432">
        <v>114.27</v>
      </c>
      <c r="AR161" s="432">
        <v>115.79</v>
      </c>
      <c r="AS161" s="432">
        <v>116.4</v>
      </c>
      <c r="AT161" s="426"/>
      <c r="AU161" s="426"/>
      <c r="AV161" s="426"/>
      <c r="AW161" s="426"/>
      <c r="AX161" s="426"/>
    </row>
    <row r="162" spans="1:50" x14ac:dyDescent="0.2">
      <c r="A162" s="433"/>
      <c r="B162" s="113">
        <v>49</v>
      </c>
      <c r="C162" s="432">
        <v>89.22</v>
      </c>
      <c r="D162" s="432">
        <v>90.13</v>
      </c>
      <c r="E162" s="432">
        <v>90.56</v>
      </c>
      <c r="F162" s="426"/>
      <c r="G162" s="426"/>
      <c r="H162" s="426"/>
      <c r="I162" s="426"/>
      <c r="J162" s="426"/>
      <c r="K162" s="433"/>
      <c r="L162" s="113">
        <v>49</v>
      </c>
      <c r="M162" s="432">
        <v>95.29</v>
      </c>
      <c r="N162" s="432">
        <v>96.34</v>
      </c>
      <c r="O162" s="432">
        <v>96.81</v>
      </c>
      <c r="P162" s="426"/>
      <c r="Q162" s="426"/>
      <c r="R162" s="426"/>
      <c r="S162" s="426"/>
      <c r="T162" s="426"/>
      <c r="U162" s="433"/>
      <c r="V162" s="113">
        <v>49</v>
      </c>
      <c r="W162" s="432">
        <v>101.75</v>
      </c>
      <c r="X162" s="432">
        <v>102.94</v>
      </c>
      <c r="Y162" s="432">
        <v>103.46</v>
      </c>
      <c r="Z162" s="426"/>
      <c r="AA162" s="426"/>
      <c r="AB162" s="426"/>
      <c r="AC162" s="426"/>
      <c r="AD162" s="426"/>
      <c r="AE162" s="433"/>
      <c r="AF162" s="113">
        <v>49</v>
      </c>
      <c r="AG162" s="432">
        <v>108.6</v>
      </c>
      <c r="AH162" s="432">
        <v>109.96</v>
      </c>
      <c r="AI162" s="432">
        <v>110.53</v>
      </c>
      <c r="AJ162" s="426"/>
      <c r="AK162" s="426"/>
      <c r="AL162" s="426"/>
      <c r="AM162" s="426"/>
      <c r="AN162" s="426"/>
      <c r="AO162" s="433"/>
      <c r="AP162" s="113">
        <v>49</v>
      </c>
      <c r="AQ162" s="432">
        <v>115.85</v>
      </c>
      <c r="AR162" s="432">
        <v>117.41</v>
      </c>
      <c r="AS162" s="432">
        <v>118.02</v>
      </c>
      <c r="AT162" s="426"/>
      <c r="AU162" s="426"/>
      <c r="AV162" s="426"/>
      <c r="AW162" s="426"/>
      <c r="AX162" s="426"/>
    </row>
    <row r="163" spans="1:50" x14ac:dyDescent="0.2">
      <c r="A163" s="433"/>
      <c r="B163" s="113">
        <v>50</v>
      </c>
      <c r="C163" s="432">
        <v>90.38</v>
      </c>
      <c r="D163" s="432">
        <v>91.31</v>
      </c>
      <c r="E163" s="432">
        <v>91.75</v>
      </c>
      <c r="F163" s="426"/>
      <c r="G163" s="426"/>
      <c r="H163" s="426"/>
      <c r="I163" s="434"/>
      <c r="J163" s="435"/>
      <c r="K163" s="433"/>
      <c r="L163" s="113">
        <v>50</v>
      </c>
      <c r="M163" s="432">
        <v>96.57</v>
      </c>
      <c r="N163" s="432">
        <v>97.64</v>
      </c>
      <c r="O163" s="432">
        <v>98.11</v>
      </c>
      <c r="P163" s="426"/>
      <c r="Q163" s="426"/>
      <c r="R163" s="426"/>
      <c r="S163" s="434"/>
      <c r="T163" s="435"/>
      <c r="U163" s="433"/>
      <c r="V163" s="113">
        <v>50</v>
      </c>
      <c r="W163" s="432">
        <v>103.14</v>
      </c>
      <c r="X163" s="432">
        <v>104.37</v>
      </c>
      <c r="Y163" s="432">
        <v>104.89</v>
      </c>
      <c r="Z163" s="426"/>
      <c r="AA163" s="426"/>
      <c r="AB163" s="426"/>
      <c r="AC163" s="434"/>
      <c r="AD163" s="435"/>
      <c r="AE163" s="433"/>
      <c r="AF163" s="113">
        <v>50</v>
      </c>
      <c r="AG163" s="432">
        <v>110.12</v>
      </c>
      <c r="AH163" s="432">
        <v>111.52</v>
      </c>
      <c r="AI163" s="432">
        <v>112.09</v>
      </c>
      <c r="AJ163" s="426"/>
      <c r="AK163" s="426"/>
      <c r="AL163" s="426"/>
      <c r="AM163" s="434"/>
      <c r="AN163" s="435"/>
      <c r="AO163" s="433"/>
      <c r="AP163" s="113">
        <v>50</v>
      </c>
      <c r="AQ163" s="432">
        <v>117.52</v>
      </c>
      <c r="AR163" s="432">
        <v>119.11</v>
      </c>
      <c r="AS163" s="432">
        <v>119.73</v>
      </c>
      <c r="AT163" s="426"/>
      <c r="AU163" s="426"/>
      <c r="AV163" s="426"/>
      <c r="AW163" s="434"/>
      <c r="AX163" s="435"/>
    </row>
    <row r="164" spans="1:50" x14ac:dyDescent="0.2">
      <c r="A164" s="426"/>
      <c r="B164" s="113">
        <v>51</v>
      </c>
      <c r="C164" s="432">
        <v>91.6</v>
      </c>
      <c r="D164" s="432">
        <v>92.55</v>
      </c>
      <c r="E164" s="432">
        <v>92.99</v>
      </c>
      <c r="F164" s="426"/>
      <c r="G164" s="426"/>
      <c r="H164" s="426"/>
      <c r="I164" s="426"/>
      <c r="J164" s="436"/>
      <c r="K164" s="426"/>
      <c r="L164" s="113">
        <v>51</v>
      </c>
      <c r="M164" s="432">
        <v>97.91</v>
      </c>
      <c r="N164" s="432">
        <v>99</v>
      </c>
      <c r="O164" s="432">
        <v>99.49</v>
      </c>
      <c r="P164" s="426"/>
      <c r="Q164" s="426"/>
      <c r="R164" s="426"/>
      <c r="S164" s="426"/>
      <c r="T164" s="436"/>
      <c r="U164" s="426"/>
      <c r="V164" s="113">
        <v>51</v>
      </c>
      <c r="W164" s="432">
        <v>104.62</v>
      </c>
      <c r="X164" s="432">
        <v>105.87</v>
      </c>
      <c r="Y164" s="432">
        <v>106.4</v>
      </c>
      <c r="Z164" s="426"/>
      <c r="AA164" s="426"/>
      <c r="AB164" s="426"/>
      <c r="AC164" s="426"/>
      <c r="AD164" s="436"/>
      <c r="AE164" s="426"/>
      <c r="AF164" s="113">
        <v>51</v>
      </c>
      <c r="AG164" s="432">
        <v>111.74</v>
      </c>
      <c r="AH164" s="432">
        <v>113.17</v>
      </c>
      <c r="AI164" s="432">
        <v>113.74</v>
      </c>
      <c r="AJ164" s="426"/>
      <c r="AK164" s="426"/>
      <c r="AL164" s="426"/>
      <c r="AM164" s="426"/>
      <c r="AN164" s="436"/>
      <c r="AO164" s="426"/>
      <c r="AP164" s="113">
        <v>51</v>
      </c>
      <c r="AQ164" s="432">
        <v>119.28</v>
      </c>
      <c r="AR164" s="432">
        <v>120.91</v>
      </c>
      <c r="AS164" s="432">
        <v>121.53</v>
      </c>
      <c r="AT164" s="426"/>
      <c r="AU164" s="426"/>
      <c r="AV164" s="426"/>
      <c r="AW164" s="426"/>
      <c r="AX164" s="436"/>
    </row>
    <row r="165" spans="1:50" x14ac:dyDescent="0.2">
      <c r="A165" s="426"/>
      <c r="B165" s="113">
        <v>52</v>
      </c>
      <c r="C165" s="432">
        <v>92.89</v>
      </c>
      <c r="D165" s="432">
        <v>93.87</v>
      </c>
      <c r="E165" s="432">
        <v>94.31</v>
      </c>
      <c r="F165" s="426"/>
      <c r="G165" s="426"/>
      <c r="H165" s="426"/>
      <c r="I165" s="426"/>
      <c r="J165" s="426"/>
      <c r="K165" s="426"/>
      <c r="L165" s="113">
        <v>52</v>
      </c>
      <c r="M165" s="432">
        <v>99.33</v>
      </c>
      <c r="N165" s="432">
        <v>100.46</v>
      </c>
      <c r="O165" s="432">
        <v>100.94</v>
      </c>
      <c r="P165" s="426"/>
      <c r="Q165" s="426"/>
      <c r="R165" s="426"/>
      <c r="S165" s="426"/>
      <c r="T165" s="426"/>
      <c r="U165" s="426"/>
      <c r="V165" s="113">
        <v>52</v>
      </c>
      <c r="W165" s="432">
        <v>106.18</v>
      </c>
      <c r="X165" s="432">
        <v>107.47</v>
      </c>
      <c r="Y165" s="432">
        <v>108</v>
      </c>
      <c r="Z165" s="426"/>
      <c r="AA165" s="426"/>
      <c r="AB165" s="426"/>
      <c r="AC165" s="426"/>
      <c r="AD165" s="426"/>
      <c r="AE165" s="426"/>
      <c r="AF165" s="113">
        <v>52</v>
      </c>
      <c r="AG165" s="432">
        <v>113.44</v>
      </c>
      <c r="AH165" s="432">
        <v>114.92</v>
      </c>
      <c r="AI165" s="432">
        <v>115.49</v>
      </c>
      <c r="AJ165" s="426"/>
      <c r="AK165" s="426"/>
      <c r="AL165" s="426"/>
      <c r="AM165" s="426"/>
      <c r="AN165" s="426"/>
      <c r="AO165" s="426"/>
      <c r="AP165" s="113">
        <v>52</v>
      </c>
      <c r="AQ165" s="432">
        <v>121.19</v>
      </c>
      <c r="AR165" s="432">
        <v>122.86</v>
      </c>
      <c r="AS165" s="432">
        <v>123.48</v>
      </c>
      <c r="AT165" s="426"/>
      <c r="AU165" s="426"/>
      <c r="AV165" s="426"/>
      <c r="AW165" s="426"/>
      <c r="AX165" s="426"/>
    </row>
    <row r="166" spans="1:50" x14ac:dyDescent="0.2">
      <c r="A166" s="426"/>
      <c r="B166" s="113">
        <v>53</v>
      </c>
      <c r="C166" s="432">
        <v>94.26</v>
      </c>
      <c r="D166" s="432">
        <v>95.26</v>
      </c>
      <c r="E166" s="432">
        <v>95.71</v>
      </c>
      <c r="F166" s="426"/>
      <c r="G166" s="426"/>
      <c r="H166" s="426"/>
      <c r="I166" s="426"/>
      <c r="J166" s="426"/>
      <c r="K166" s="426"/>
      <c r="L166" s="113">
        <v>53</v>
      </c>
      <c r="M166" s="432">
        <v>100.84</v>
      </c>
      <c r="N166" s="432">
        <v>101.99</v>
      </c>
      <c r="O166" s="432">
        <v>102.48</v>
      </c>
      <c r="P166" s="426"/>
      <c r="Q166" s="426"/>
      <c r="R166" s="426"/>
      <c r="S166" s="426"/>
      <c r="T166" s="426"/>
      <c r="U166" s="426"/>
      <c r="V166" s="113">
        <v>53</v>
      </c>
      <c r="W166" s="432">
        <v>107.83</v>
      </c>
      <c r="X166" s="432">
        <v>109.16</v>
      </c>
      <c r="Y166" s="432">
        <v>109.69</v>
      </c>
      <c r="Z166" s="426"/>
      <c r="AA166" s="426"/>
      <c r="AB166" s="426"/>
      <c r="AC166" s="426"/>
      <c r="AD166" s="426"/>
      <c r="AE166" s="426"/>
      <c r="AF166" s="113">
        <v>53</v>
      </c>
      <c r="AG166" s="432">
        <v>115.3</v>
      </c>
      <c r="AH166" s="432">
        <v>116.81</v>
      </c>
      <c r="AI166" s="432">
        <v>117.39</v>
      </c>
      <c r="AJ166" s="426"/>
      <c r="AK166" s="426"/>
      <c r="AL166" s="426"/>
      <c r="AM166" s="426"/>
      <c r="AN166" s="426"/>
      <c r="AO166" s="426"/>
      <c r="AP166" s="113">
        <v>53</v>
      </c>
      <c r="AQ166" s="432">
        <v>123.29</v>
      </c>
      <c r="AR166" s="432">
        <v>125.01</v>
      </c>
      <c r="AS166" s="432">
        <v>125.64</v>
      </c>
      <c r="AT166" s="426"/>
      <c r="AU166" s="426"/>
      <c r="AV166" s="426"/>
      <c r="AW166" s="426"/>
      <c r="AX166" s="426"/>
    </row>
    <row r="167" spans="1:50" x14ac:dyDescent="0.2">
      <c r="A167" s="426"/>
      <c r="B167" s="113">
        <v>54</v>
      </c>
      <c r="C167" s="432">
        <v>95.71</v>
      </c>
      <c r="D167" s="432">
        <v>96.74</v>
      </c>
      <c r="E167" s="432">
        <v>97.19</v>
      </c>
      <c r="F167" s="426"/>
      <c r="G167" s="426"/>
      <c r="H167" s="426"/>
      <c r="I167" s="426"/>
      <c r="J167" s="426"/>
      <c r="K167" s="426"/>
      <c r="L167" s="113">
        <v>54</v>
      </c>
      <c r="M167" s="432">
        <v>102.44</v>
      </c>
      <c r="N167" s="432">
        <v>103.62</v>
      </c>
      <c r="O167" s="432">
        <v>104.11</v>
      </c>
      <c r="P167" s="426"/>
      <c r="Q167" s="426"/>
      <c r="R167" s="426"/>
      <c r="S167" s="426"/>
      <c r="T167" s="426"/>
      <c r="U167" s="426"/>
      <c r="V167" s="113">
        <v>54</v>
      </c>
      <c r="W167" s="432">
        <v>109.63</v>
      </c>
      <c r="X167" s="432">
        <v>110.99</v>
      </c>
      <c r="Y167" s="432">
        <v>111.53</v>
      </c>
      <c r="Z167" s="426"/>
      <c r="AA167" s="426"/>
      <c r="AB167" s="426"/>
      <c r="AC167" s="426"/>
      <c r="AD167" s="426"/>
      <c r="AE167" s="426"/>
      <c r="AF167" s="113">
        <v>54</v>
      </c>
      <c r="AG167" s="432">
        <v>117.35</v>
      </c>
      <c r="AH167" s="432">
        <v>118.9</v>
      </c>
      <c r="AI167" s="432">
        <v>119.48</v>
      </c>
      <c r="AJ167" s="426"/>
      <c r="AK167" s="426"/>
      <c r="AL167" s="426"/>
      <c r="AM167" s="426"/>
      <c r="AN167" s="426"/>
      <c r="AO167" s="426"/>
      <c r="AP167" s="113">
        <v>54</v>
      </c>
      <c r="AQ167" s="432">
        <v>125.59</v>
      </c>
      <c r="AR167" s="432">
        <v>127.35</v>
      </c>
      <c r="AS167" s="432">
        <v>127.98</v>
      </c>
      <c r="AT167" s="426"/>
      <c r="AU167" s="426"/>
      <c r="AV167" s="426"/>
      <c r="AW167" s="426"/>
      <c r="AX167" s="426"/>
    </row>
    <row r="168" spans="1:50" x14ac:dyDescent="0.2">
      <c r="A168" s="426"/>
      <c r="B168" s="113">
        <v>55</v>
      </c>
      <c r="C168" s="432">
        <v>97.26</v>
      </c>
      <c r="D168" s="432">
        <v>98.31</v>
      </c>
      <c r="E168" s="432">
        <v>98.77</v>
      </c>
      <c r="F168" s="426"/>
      <c r="G168" s="426"/>
      <c r="H168" s="426"/>
      <c r="I168" s="426"/>
      <c r="J168" s="426"/>
      <c r="K168" s="426"/>
      <c r="L168" s="113">
        <v>55</v>
      </c>
      <c r="M168" s="432">
        <v>104.18</v>
      </c>
      <c r="N168" s="432">
        <v>105.4</v>
      </c>
      <c r="O168" s="432">
        <v>105.89</v>
      </c>
      <c r="P168" s="426"/>
      <c r="Q168" s="426"/>
      <c r="R168" s="426"/>
      <c r="S168" s="426"/>
      <c r="T168" s="426"/>
      <c r="U168" s="426"/>
      <c r="V168" s="113">
        <v>55</v>
      </c>
      <c r="W168" s="432">
        <v>111.62</v>
      </c>
      <c r="X168" s="432">
        <v>113.02</v>
      </c>
      <c r="Y168" s="432">
        <v>113.56</v>
      </c>
      <c r="Z168" s="426"/>
      <c r="AA168" s="426"/>
      <c r="AB168" s="426"/>
      <c r="AC168" s="426"/>
      <c r="AD168" s="426"/>
      <c r="AE168" s="426"/>
      <c r="AF168" s="113">
        <v>55</v>
      </c>
      <c r="AG168" s="432">
        <v>119.58</v>
      </c>
      <c r="AH168" s="432">
        <v>121.18</v>
      </c>
      <c r="AI168" s="432">
        <v>121.77</v>
      </c>
      <c r="AJ168" s="426"/>
      <c r="AK168" s="426"/>
      <c r="AL168" s="426"/>
      <c r="AM168" s="426"/>
      <c r="AN168" s="426"/>
      <c r="AO168" s="426"/>
      <c r="AP168" s="113">
        <v>55</v>
      </c>
      <c r="AQ168" s="432">
        <v>128.05000000000001</v>
      </c>
      <c r="AR168" s="432">
        <v>129.87</v>
      </c>
      <c r="AS168" s="432">
        <v>130.51</v>
      </c>
      <c r="AT168" s="426"/>
      <c r="AU168" s="426"/>
      <c r="AV168" s="426"/>
      <c r="AW168" s="426"/>
      <c r="AX168" s="426"/>
    </row>
    <row r="169" spans="1:50" x14ac:dyDescent="0.2">
      <c r="A169" s="426"/>
      <c r="B169" s="113">
        <v>56</v>
      </c>
      <c r="C169" s="432">
        <v>98.94</v>
      </c>
      <c r="D169" s="432">
        <v>100.03</v>
      </c>
      <c r="E169" s="432">
        <v>100.48</v>
      </c>
      <c r="F169" s="426"/>
      <c r="G169" s="426"/>
      <c r="H169" s="426"/>
      <c r="I169" s="426"/>
      <c r="J169" s="426"/>
      <c r="K169" s="426"/>
      <c r="L169" s="113">
        <v>56</v>
      </c>
      <c r="M169" s="432">
        <v>106.11</v>
      </c>
      <c r="N169" s="432">
        <v>107.36</v>
      </c>
      <c r="O169" s="432">
        <v>107.86</v>
      </c>
      <c r="P169" s="426"/>
      <c r="Q169" s="426"/>
      <c r="R169" s="426"/>
      <c r="S169" s="426"/>
      <c r="T169" s="426"/>
      <c r="U169" s="426"/>
      <c r="V169" s="113">
        <v>56</v>
      </c>
      <c r="W169" s="432">
        <v>113.79</v>
      </c>
      <c r="X169" s="432">
        <v>115.24</v>
      </c>
      <c r="Y169" s="432">
        <v>115.78</v>
      </c>
      <c r="Z169" s="426"/>
      <c r="AA169" s="426"/>
      <c r="AB169" s="426"/>
      <c r="AC169" s="426"/>
      <c r="AD169" s="426"/>
      <c r="AE169" s="426"/>
      <c r="AF169" s="113">
        <v>56</v>
      </c>
      <c r="AG169" s="432">
        <v>121.99</v>
      </c>
      <c r="AH169" s="432">
        <v>123.64</v>
      </c>
      <c r="AI169" s="432">
        <v>124.23</v>
      </c>
      <c r="AJ169" s="426"/>
      <c r="AK169" s="426"/>
      <c r="AL169" s="426"/>
      <c r="AM169" s="426"/>
      <c r="AN169" s="426"/>
      <c r="AO169" s="426"/>
      <c r="AP169" s="113">
        <v>56</v>
      </c>
      <c r="AQ169" s="432">
        <v>130.68</v>
      </c>
      <c r="AR169" s="432">
        <v>132.55000000000001</v>
      </c>
      <c r="AS169" s="432">
        <v>133.19</v>
      </c>
      <c r="AT169" s="426"/>
      <c r="AU169" s="426"/>
      <c r="AV169" s="426"/>
      <c r="AW169" s="426"/>
      <c r="AX169" s="426"/>
    </row>
    <row r="170" spans="1:50" x14ac:dyDescent="0.2">
      <c r="A170" s="426"/>
      <c r="B170" s="113">
        <v>57</v>
      </c>
      <c r="C170" s="432">
        <v>100.8</v>
      </c>
      <c r="D170" s="432">
        <v>101.93</v>
      </c>
      <c r="E170" s="432">
        <v>102.38</v>
      </c>
      <c r="F170" s="426"/>
      <c r="G170" s="426"/>
      <c r="H170" s="426"/>
      <c r="I170" s="426"/>
      <c r="J170" s="426"/>
      <c r="K170" s="426"/>
      <c r="L170" s="113">
        <v>57</v>
      </c>
      <c r="M170" s="432">
        <v>108.21</v>
      </c>
      <c r="N170" s="432">
        <v>109.51</v>
      </c>
      <c r="O170" s="432">
        <v>110.01</v>
      </c>
      <c r="P170" s="426"/>
      <c r="Q170" s="426"/>
      <c r="R170" s="426"/>
      <c r="S170" s="426"/>
      <c r="T170" s="426"/>
      <c r="U170" s="426"/>
      <c r="V170" s="113">
        <v>57</v>
      </c>
      <c r="W170" s="432">
        <v>116.13</v>
      </c>
      <c r="X170" s="432">
        <v>117.63</v>
      </c>
      <c r="Y170" s="432">
        <v>118.17</v>
      </c>
      <c r="Z170" s="426"/>
      <c r="AA170" s="426"/>
      <c r="AB170" s="426"/>
      <c r="AC170" s="426"/>
      <c r="AD170" s="426"/>
      <c r="AE170" s="426"/>
      <c r="AF170" s="113">
        <v>57</v>
      </c>
      <c r="AG170" s="432">
        <v>124.56</v>
      </c>
      <c r="AH170" s="432">
        <v>126.26</v>
      </c>
      <c r="AI170" s="432">
        <v>126.85</v>
      </c>
      <c r="AJ170" s="426"/>
      <c r="AK170" s="426"/>
      <c r="AL170" s="426"/>
      <c r="AM170" s="426"/>
      <c r="AN170" s="426"/>
      <c r="AO170" s="426"/>
      <c r="AP170" s="113">
        <v>57</v>
      </c>
      <c r="AQ170" s="432">
        <v>133.44</v>
      </c>
      <c r="AR170" s="432">
        <v>135.38</v>
      </c>
      <c r="AS170" s="432">
        <v>136.02000000000001</v>
      </c>
      <c r="AT170" s="426"/>
      <c r="AU170" s="426"/>
      <c r="AV170" s="426"/>
      <c r="AW170" s="426"/>
      <c r="AX170" s="426"/>
    </row>
    <row r="171" spans="1:50" x14ac:dyDescent="0.2">
      <c r="A171" s="426"/>
      <c r="B171" s="113">
        <v>58</v>
      </c>
      <c r="C171" s="432">
        <v>102.84</v>
      </c>
      <c r="D171" s="432">
        <v>104</v>
      </c>
      <c r="E171" s="432">
        <v>104.46</v>
      </c>
      <c r="F171" s="426"/>
      <c r="G171" s="426"/>
      <c r="H171" s="426"/>
      <c r="I171" s="426"/>
      <c r="J171" s="426"/>
      <c r="K171" s="426"/>
      <c r="L171" s="113">
        <v>58</v>
      </c>
      <c r="M171" s="432">
        <v>110.49</v>
      </c>
      <c r="N171" s="432">
        <v>111.83</v>
      </c>
      <c r="O171" s="432">
        <v>112.33</v>
      </c>
      <c r="P171" s="426"/>
      <c r="Q171" s="426"/>
      <c r="R171" s="426"/>
      <c r="S171" s="426"/>
      <c r="T171" s="426"/>
      <c r="U171" s="426"/>
      <c r="V171" s="113">
        <v>58</v>
      </c>
      <c r="W171" s="432">
        <v>118.64</v>
      </c>
      <c r="X171" s="432">
        <v>120.18</v>
      </c>
      <c r="Y171" s="432">
        <v>120.73</v>
      </c>
      <c r="Z171" s="426"/>
      <c r="AA171" s="426"/>
      <c r="AB171" s="426"/>
      <c r="AC171" s="426"/>
      <c r="AD171" s="426"/>
      <c r="AE171" s="426"/>
      <c r="AF171" s="113">
        <v>58</v>
      </c>
      <c r="AG171" s="432">
        <v>127.27</v>
      </c>
      <c r="AH171" s="432">
        <v>129.03</v>
      </c>
      <c r="AI171" s="432">
        <v>129.62</v>
      </c>
      <c r="AJ171" s="426"/>
      <c r="AK171" s="426"/>
      <c r="AL171" s="426"/>
      <c r="AM171" s="426"/>
      <c r="AN171" s="426"/>
      <c r="AO171" s="426"/>
      <c r="AP171" s="113">
        <v>58</v>
      </c>
      <c r="AQ171" s="432">
        <v>136.32</v>
      </c>
      <c r="AR171" s="432">
        <v>138.32</v>
      </c>
      <c r="AS171" s="432">
        <v>138.96</v>
      </c>
      <c r="AT171" s="426"/>
      <c r="AU171" s="426"/>
      <c r="AV171" s="426"/>
      <c r="AW171" s="426"/>
      <c r="AX171" s="426"/>
    </row>
    <row r="172" spans="1:50" x14ac:dyDescent="0.2">
      <c r="A172" s="426"/>
      <c r="B172" s="113">
        <v>59</v>
      </c>
      <c r="C172" s="432">
        <v>105.04</v>
      </c>
      <c r="D172" s="432">
        <v>106.25</v>
      </c>
      <c r="E172" s="432">
        <v>106.71</v>
      </c>
      <c r="F172" s="426"/>
      <c r="G172" s="426"/>
      <c r="H172" s="426"/>
      <c r="I172" s="426"/>
      <c r="J172" s="426"/>
      <c r="K172" s="426"/>
      <c r="L172" s="113">
        <v>59</v>
      </c>
      <c r="M172" s="432">
        <v>112.92</v>
      </c>
      <c r="N172" s="432">
        <v>114.31</v>
      </c>
      <c r="O172" s="432">
        <v>114.82</v>
      </c>
      <c r="P172" s="426"/>
      <c r="Q172" s="426"/>
      <c r="R172" s="426"/>
      <c r="S172" s="426"/>
      <c r="T172" s="426"/>
      <c r="U172" s="426"/>
      <c r="V172" s="113">
        <v>59</v>
      </c>
      <c r="W172" s="432">
        <v>121.29</v>
      </c>
      <c r="X172" s="432">
        <v>122.89</v>
      </c>
      <c r="Y172" s="432">
        <v>123.43</v>
      </c>
      <c r="Z172" s="426"/>
      <c r="AA172" s="426"/>
      <c r="AB172" s="426"/>
      <c r="AC172" s="426"/>
      <c r="AD172" s="426"/>
      <c r="AE172" s="426"/>
      <c r="AF172" s="113">
        <v>59</v>
      </c>
      <c r="AG172" s="432">
        <v>130.1</v>
      </c>
      <c r="AH172" s="432">
        <v>131.91999999999999</v>
      </c>
      <c r="AI172" s="432">
        <v>132.52000000000001</v>
      </c>
      <c r="AJ172" s="426"/>
      <c r="AK172" s="426"/>
      <c r="AL172" s="426"/>
      <c r="AM172" s="426"/>
      <c r="AN172" s="426"/>
      <c r="AO172" s="426"/>
      <c r="AP172" s="113">
        <v>59</v>
      </c>
      <c r="AQ172" s="432">
        <v>139.29</v>
      </c>
      <c r="AR172" s="432">
        <v>141.34</v>
      </c>
      <c r="AS172" s="432">
        <v>141.99</v>
      </c>
      <c r="AT172" s="426"/>
      <c r="AU172" s="426"/>
      <c r="AV172" s="426"/>
      <c r="AW172" s="426"/>
      <c r="AX172" s="426"/>
    </row>
    <row r="173" spans="1:50" x14ac:dyDescent="0.2">
      <c r="A173" s="426"/>
      <c r="B173" s="113">
        <v>60</v>
      </c>
      <c r="C173" s="432">
        <v>107.41</v>
      </c>
      <c r="D173" s="432">
        <v>108.65</v>
      </c>
      <c r="E173" s="432">
        <v>109.12</v>
      </c>
      <c r="F173" s="426"/>
      <c r="G173" s="426"/>
      <c r="H173" s="426"/>
      <c r="I173" s="426"/>
      <c r="J173" s="426"/>
      <c r="K173" s="426"/>
      <c r="L173" s="113">
        <v>60</v>
      </c>
      <c r="M173" s="432">
        <v>115.51</v>
      </c>
      <c r="N173" s="432">
        <v>116.95</v>
      </c>
      <c r="O173" s="432">
        <v>117.45</v>
      </c>
      <c r="P173" s="426"/>
      <c r="Q173" s="426"/>
      <c r="R173" s="426"/>
      <c r="S173" s="426"/>
      <c r="T173" s="426"/>
      <c r="U173" s="426"/>
      <c r="V173" s="113">
        <v>60</v>
      </c>
      <c r="W173" s="432">
        <v>124.07</v>
      </c>
      <c r="X173" s="432">
        <v>125.72</v>
      </c>
      <c r="Y173" s="432">
        <v>126.27</v>
      </c>
      <c r="Z173" s="426"/>
      <c r="AA173" s="426"/>
      <c r="AB173" s="426"/>
      <c r="AC173" s="426"/>
      <c r="AD173" s="426"/>
      <c r="AE173" s="426"/>
      <c r="AF173" s="113">
        <v>60</v>
      </c>
      <c r="AG173" s="432">
        <v>133.03</v>
      </c>
      <c r="AH173" s="432">
        <v>134.91</v>
      </c>
      <c r="AI173" s="432">
        <v>135.51</v>
      </c>
      <c r="AJ173" s="426"/>
      <c r="AK173" s="426"/>
      <c r="AL173" s="426"/>
      <c r="AM173" s="426"/>
      <c r="AN173" s="426"/>
      <c r="AO173" s="426"/>
      <c r="AP173" s="113">
        <v>60</v>
      </c>
      <c r="AQ173" s="432">
        <v>142.30000000000001</v>
      </c>
      <c r="AR173" s="432">
        <v>144.41999999999999</v>
      </c>
      <c r="AS173" s="432">
        <v>145.06</v>
      </c>
      <c r="AT173" s="426"/>
      <c r="AU173" s="426"/>
      <c r="AV173" s="426"/>
      <c r="AW173" s="426"/>
      <c r="AX173" s="426"/>
    </row>
    <row r="174" spans="1:50" x14ac:dyDescent="0.2">
      <c r="A174" s="426"/>
      <c r="B174" s="113">
        <v>61</v>
      </c>
      <c r="C174" s="432">
        <v>109.92</v>
      </c>
      <c r="D174" s="432">
        <v>111.21</v>
      </c>
      <c r="E174" s="432">
        <v>111.68</v>
      </c>
      <c r="F174" s="426"/>
      <c r="G174" s="426"/>
      <c r="H174" s="426"/>
      <c r="I174" s="426"/>
      <c r="J174" s="426"/>
      <c r="K174" s="426"/>
      <c r="L174" s="113">
        <v>61</v>
      </c>
      <c r="M174" s="432">
        <v>118.23</v>
      </c>
      <c r="N174" s="432">
        <v>119.72</v>
      </c>
      <c r="O174" s="432">
        <v>120.22</v>
      </c>
      <c r="P174" s="426"/>
      <c r="Q174" s="426"/>
      <c r="R174" s="426"/>
      <c r="S174" s="426"/>
      <c r="T174" s="426"/>
      <c r="U174" s="426"/>
      <c r="V174" s="113">
        <v>61</v>
      </c>
      <c r="W174" s="432">
        <v>126.96</v>
      </c>
      <c r="X174" s="432">
        <v>128.66</v>
      </c>
      <c r="Y174" s="432">
        <v>129.21</v>
      </c>
      <c r="Z174" s="426"/>
      <c r="AA174" s="426"/>
      <c r="AB174" s="426"/>
      <c r="AC174" s="426"/>
      <c r="AD174" s="426"/>
      <c r="AE174" s="426"/>
      <c r="AF174" s="113">
        <v>61</v>
      </c>
      <c r="AG174" s="432">
        <v>136.03</v>
      </c>
      <c r="AH174" s="432">
        <v>137.96</v>
      </c>
      <c r="AI174" s="432">
        <v>138.56</v>
      </c>
      <c r="AJ174" s="426"/>
      <c r="AK174" s="426"/>
      <c r="AL174" s="426"/>
      <c r="AM174" s="426"/>
      <c r="AN174" s="426"/>
      <c r="AO174" s="426"/>
      <c r="AP174" s="113">
        <v>61</v>
      </c>
      <c r="AQ174" s="432">
        <v>145.32</v>
      </c>
      <c r="AR174" s="432">
        <v>147.49</v>
      </c>
      <c r="AS174" s="432">
        <v>148.13999999999999</v>
      </c>
      <c r="AT174" s="426"/>
      <c r="AU174" s="426"/>
      <c r="AV174" s="426"/>
      <c r="AW174" s="426"/>
      <c r="AX174" s="426"/>
    </row>
    <row r="175" spans="1:50" x14ac:dyDescent="0.2">
      <c r="A175" s="426"/>
      <c r="B175" s="113">
        <v>62</v>
      </c>
      <c r="C175" s="432">
        <v>112.57</v>
      </c>
      <c r="D175" s="432">
        <v>113.91</v>
      </c>
      <c r="E175" s="432">
        <v>114.37</v>
      </c>
      <c r="F175" s="426"/>
      <c r="G175" s="426"/>
      <c r="H175" s="426"/>
      <c r="I175" s="426"/>
      <c r="J175" s="426"/>
      <c r="K175" s="426"/>
      <c r="L175" s="113">
        <v>62</v>
      </c>
      <c r="M175" s="432">
        <v>121.06</v>
      </c>
      <c r="N175" s="432">
        <v>122.6</v>
      </c>
      <c r="O175" s="432">
        <v>123.11</v>
      </c>
      <c r="P175" s="426"/>
      <c r="Q175" s="426"/>
      <c r="R175" s="426"/>
      <c r="S175" s="426"/>
      <c r="T175" s="426"/>
      <c r="U175" s="426"/>
      <c r="V175" s="113">
        <v>62</v>
      </c>
      <c r="W175" s="432">
        <v>129.91999999999999</v>
      </c>
      <c r="X175" s="432">
        <v>131.68</v>
      </c>
      <c r="Y175" s="432">
        <v>132.24</v>
      </c>
      <c r="Z175" s="426"/>
      <c r="AA175" s="426"/>
      <c r="AB175" s="426"/>
      <c r="AC175" s="426"/>
      <c r="AD175" s="426"/>
      <c r="AE175" s="426"/>
      <c r="AF175" s="113">
        <v>62</v>
      </c>
      <c r="AG175" s="432">
        <v>139.05000000000001</v>
      </c>
      <c r="AH175" s="432">
        <v>141.04</v>
      </c>
      <c r="AI175" s="432">
        <v>141.63999999999999</v>
      </c>
      <c r="AJ175" s="426"/>
      <c r="AK175" s="426"/>
      <c r="AL175" s="426"/>
      <c r="AM175" s="426"/>
      <c r="AN175" s="426"/>
      <c r="AO175" s="426"/>
      <c r="AP175" s="113">
        <v>62</v>
      </c>
      <c r="AQ175" s="432">
        <v>148.30000000000001</v>
      </c>
      <c r="AR175" s="432">
        <v>150.53</v>
      </c>
      <c r="AS175" s="432">
        <v>151.18</v>
      </c>
      <c r="AT175" s="426"/>
      <c r="AU175" s="426"/>
      <c r="AV175" s="426"/>
      <c r="AW175" s="426"/>
      <c r="AX175" s="426"/>
    </row>
    <row r="176" spans="1:50" x14ac:dyDescent="0.2">
      <c r="A176" s="426"/>
      <c r="B176" s="113">
        <v>63</v>
      </c>
      <c r="C176" s="432">
        <v>115.34</v>
      </c>
      <c r="D176" s="432">
        <v>116.73</v>
      </c>
      <c r="E176" s="432">
        <v>117.2</v>
      </c>
      <c r="F176" s="426"/>
      <c r="G176" s="426"/>
      <c r="H176" s="426"/>
      <c r="I176" s="426"/>
      <c r="J176" s="426"/>
      <c r="K176" s="426"/>
      <c r="L176" s="113">
        <v>63</v>
      </c>
      <c r="M176" s="432">
        <v>123.99</v>
      </c>
      <c r="N176" s="432">
        <v>125.59</v>
      </c>
      <c r="O176" s="432">
        <v>126.1</v>
      </c>
      <c r="P176" s="426"/>
      <c r="Q176" s="426"/>
      <c r="R176" s="426"/>
      <c r="S176" s="426"/>
      <c r="T176" s="426"/>
      <c r="U176" s="426"/>
      <c r="V176" s="113">
        <v>63</v>
      </c>
      <c r="W176" s="432">
        <v>132.94999999999999</v>
      </c>
      <c r="X176" s="432">
        <v>134.76</v>
      </c>
      <c r="Y176" s="432">
        <v>135.32</v>
      </c>
      <c r="Z176" s="426"/>
      <c r="AA176" s="426"/>
      <c r="AB176" s="426"/>
      <c r="AC176" s="426"/>
      <c r="AD176" s="426"/>
      <c r="AE176" s="426"/>
      <c r="AF176" s="113">
        <v>63</v>
      </c>
      <c r="AG176" s="432">
        <v>142.07</v>
      </c>
      <c r="AH176" s="432">
        <v>144.12</v>
      </c>
      <c r="AI176" s="432">
        <v>144.72</v>
      </c>
      <c r="AJ176" s="426"/>
      <c r="AK176" s="426"/>
      <c r="AL176" s="426"/>
      <c r="AM176" s="426"/>
      <c r="AN176" s="426"/>
      <c r="AO176" s="426"/>
      <c r="AP176" s="113">
        <v>63</v>
      </c>
      <c r="AQ176" s="432">
        <v>151.19</v>
      </c>
      <c r="AR176" s="432">
        <v>153.47</v>
      </c>
      <c r="AS176" s="432">
        <v>154.12</v>
      </c>
      <c r="AT176" s="426"/>
      <c r="AU176" s="426"/>
      <c r="AV176" s="426"/>
      <c r="AW176" s="426"/>
      <c r="AX176" s="426"/>
    </row>
    <row r="177" spans="1:50" x14ac:dyDescent="0.2">
      <c r="A177" s="426"/>
      <c r="B177" s="113">
        <v>64</v>
      </c>
      <c r="C177" s="432">
        <v>118.24</v>
      </c>
      <c r="D177" s="432">
        <v>119.68</v>
      </c>
      <c r="E177" s="432">
        <v>120.15</v>
      </c>
      <c r="F177" s="426"/>
      <c r="G177" s="426"/>
      <c r="H177" s="426"/>
      <c r="I177" s="426"/>
      <c r="J177" s="426"/>
      <c r="K177" s="426"/>
      <c r="L177" s="113">
        <v>64</v>
      </c>
      <c r="M177" s="432">
        <v>127.01</v>
      </c>
      <c r="N177" s="432">
        <v>128.66</v>
      </c>
      <c r="O177" s="432">
        <v>129.16999999999999</v>
      </c>
      <c r="P177" s="426"/>
      <c r="Q177" s="426"/>
      <c r="R177" s="426"/>
      <c r="S177" s="426"/>
      <c r="T177" s="426"/>
      <c r="U177" s="426"/>
      <c r="V177" s="113">
        <v>64</v>
      </c>
      <c r="W177" s="432">
        <v>136.01</v>
      </c>
      <c r="X177" s="432">
        <v>137.88</v>
      </c>
      <c r="Y177" s="432">
        <v>138.43</v>
      </c>
      <c r="Z177" s="426"/>
      <c r="AA177" s="426"/>
      <c r="AB177" s="426"/>
      <c r="AC177" s="426"/>
      <c r="AD177" s="426"/>
      <c r="AE177" s="426"/>
      <c r="AF177" s="113">
        <v>64</v>
      </c>
      <c r="AG177" s="432">
        <v>145.06</v>
      </c>
      <c r="AH177" s="432">
        <v>147.16</v>
      </c>
      <c r="AI177" s="432">
        <v>147.76</v>
      </c>
      <c r="AJ177" s="426"/>
      <c r="AK177" s="426"/>
      <c r="AL177" s="426"/>
      <c r="AM177" s="426"/>
      <c r="AN177" s="426"/>
      <c r="AO177" s="426"/>
      <c r="AP177" s="113">
        <v>64</v>
      </c>
      <c r="AQ177" s="432">
        <v>153.97</v>
      </c>
      <c r="AR177" s="432">
        <v>156.29</v>
      </c>
      <c r="AS177" s="432">
        <v>156.94</v>
      </c>
      <c r="AT177" s="426"/>
      <c r="AU177" s="426"/>
      <c r="AV177" s="426"/>
      <c r="AW177" s="426"/>
      <c r="AX177" s="426"/>
    </row>
    <row r="178" spans="1:50" x14ac:dyDescent="0.2">
      <c r="A178" s="426"/>
      <c r="B178" s="113">
        <v>65</v>
      </c>
      <c r="C178" s="432">
        <v>121.25</v>
      </c>
      <c r="D178" s="432">
        <v>122.74</v>
      </c>
      <c r="E178" s="432">
        <v>123.22</v>
      </c>
      <c r="F178" s="426"/>
      <c r="G178" s="426"/>
      <c r="H178" s="426"/>
      <c r="I178" s="426"/>
      <c r="J178" s="426"/>
      <c r="K178" s="426"/>
      <c r="L178" s="113">
        <v>65</v>
      </c>
      <c r="M178" s="432">
        <v>130.11000000000001</v>
      </c>
      <c r="N178" s="432">
        <v>131.81</v>
      </c>
      <c r="O178" s="432">
        <v>132.32</v>
      </c>
      <c r="P178" s="426"/>
      <c r="Q178" s="426"/>
      <c r="R178" s="426"/>
      <c r="S178" s="426"/>
      <c r="T178" s="426"/>
      <c r="U178" s="426"/>
      <c r="V178" s="113">
        <v>65</v>
      </c>
      <c r="W178" s="432">
        <v>139.08000000000001</v>
      </c>
      <c r="X178" s="432">
        <v>141</v>
      </c>
      <c r="Y178" s="432">
        <v>141.56</v>
      </c>
      <c r="Z178" s="426"/>
      <c r="AA178" s="426"/>
      <c r="AB178" s="426"/>
      <c r="AC178" s="426"/>
      <c r="AD178" s="426"/>
      <c r="AE178" s="426"/>
      <c r="AF178" s="113">
        <v>65</v>
      </c>
      <c r="AG178" s="432">
        <v>147.99</v>
      </c>
      <c r="AH178" s="432">
        <v>150.13</v>
      </c>
      <c r="AI178" s="432">
        <v>150.74</v>
      </c>
      <c r="AJ178" s="426"/>
      <c r="AK178" s="426"/>
      <c r="AL178" s="426"/>
      <c r="AM178" s="426"/>
      <c r="AN178" s="426"/>
      <c r="AO178" s="426"/>
      <c r="AP178" s="113">
        <v>65</v>
      </c>
      <c r="AQ178" s="432">
        <v>156.57</v>
      </c>
      <c r="AR178" s="432">
        <v>158.94</v>
      </c>
      <c r="AS178" s="432">
        <v>159.59</v>
      </c>
      <c r="AT178" s="426"/>
      <c r="AU178" s="426"/>
      <c r="AV178" s="426"/>
      <c r="AW178" s="426"/>
      <c r="AX178" s="426"/>
    </row>
    <row r="179" spans="1:50" x14ac:dyDescent="0.2">
      <c r="A179" s="426"/>
      <c r="B179" s="113">
        <v>66</v>
      </c>
      <c r="C179" s="432">
        <v>124.37</v>
      </c>
      <c r="D179" s="432">
        <v>125.91</v>
      </c>
      <c r="E179" s="432">
        <v>126.38</v>
      </c>
      <c r="F179" s="426"/>
      <c r="G179" s="426"/>
      <c r="H179" s="426"/>
      <c r="I179" s="426"/>
      <c r="J179" s="426"/>
      <c r="K179" s="426"/>
      <c r="L179" s="113">
        <v>66</v>
      </c>
      <c r="M179" s="432">
        <v>133.26</v>
      </c>
      <c r="N179" s="432">
        <v>135.01</v>
      </c>
      <c r="O179" s="432">
        <v>135.52000000000001</v>
      </c>
      <c r="P179" s="426"/>
      <c r="Q179" s="426"/>
      <c r="R179" s="426"/>
      <c r="S179" s="426"/>
      <c r="T179" s="426"/>
      <c r="U179" s="426"/>
      <c r="V179" s="113">
        <v>66</v>
      </c>
      <c r="W179" s="432">
        <v>142.15</v>
      </c>
      <c r="X179" s="432">
        <v>144.11000000000001</v>
      </c>
      <c r="Y179" s="432">
        <v>144.68</v>
      </c>
      <c r="Z179" s="426"/>
      <c r="AA179" s="426"/>
      <c r="AB179" s="426"/>
      <c r="AC179" s="426"/>
      <c r="AD179" s="426"/>
      <c r="AE179" s="426"/>
      <c r="AF179" s="113">
        <v>66</v>
      </c>
      <c r="AG179" s="432">
        <v>150.81</v>
      </c>
      <c r="AH179" s="432">
        <v>153</v>
      </c>
      <c r="AI179" s="432">
        <v>153.6</v>
      </c>
      <c r="AJ179" s="426"/>
      <c r="AK179" s="426"/>
      <c r="AL179" s="426"/>
      <c r="AM179" s="426"/>
      <c r="AN179" s="426"/>
      <c r="AO179" s="426"/>
      <c r="AP179" s="113">
        <v>66</v>
      </c>
      <c r="AQ179" s="432">
        <v>158.97</v>
      </c>
      <c r="AR179" s="432">
        <v>161.37</v>
      </c>
      <c r="AS179" s="432">
        <v>162.03</v>
      </c>
      <c r="AT179" s="426"/>
      <c r="AU179" s="426"/>
      <c r="AV179" s="426"/>
      <c r="AW179" s="426"/>
      <c r="AX179" s="426"/>
    </row>
    <row r="180" spans="1:50" x14ac:dyDescent="0.2">
      <c r="A180" s="426"/>
      <c r="B180" s="113">
        <v>67</v>
      </c>
      <c r="C180" s="432">
        <v>127.58</v>
      </c>
      <c r="D180" s="432">
        <v>129.16999999999999</v>
      </c>
      <c r="E180" s="432">
        <v>129.63999999999999</v>
      </c>
      <c r="F180" s="426"/>
      <c r="G180" s="426"/>
      <c r="H180" s="426"/>
      <c r="I180" s="426"/>
      <c r="J180" s="426"/>
      <c r="K180" s="426"/>
      <c r="L180" s="113">
        <v>67</v>
      </c>
      <c r="M180" s="432">
        <v>136.44</v>
      </c>
      <c r="N180" s="432">
        <v>138.24</v>
      </c>
      <c r="O180" s="432">
        <v>138.76</v>
      </c>
      <c r="P180" s="426"/>
      <c r="Q180" s="426"/>
      <c r="R180" s="426"/>
      <c r="S180" s="426"/>
      <c r="T180" s="426"/>
      <c r="U180" s="426"/>
      <c r="V180" s="113">
        <v>67</v>
      </c>
      <c r="W180" s="432">
        <v>145.16999999999999</v>
      </c>
      <c r="X180" s="432">
        <v>147.18</v>
      </c>
      <c r="Y180" s="432">
        <v>147.74</v>
      </c>
      <c r="Z180" s="426"/>
      <c r="AA180" s="426"/>
      <c r="AB180" s="426"/>
      <c r="AC180" s="426"/>
      <c r="AD180" s="426"/>
      <c r="AE180" s="426"/>
      <c r="AF180" s="113">
        <v>67</v>
      </c>
      <c r="AG180" s="432">
        <v>153.49</v>
      </c>
      <c r="AH180" s="432">
        <v>155.72</v>
      </c>
      <c r="AI180" s="432">
        <v>156.33000000000001</v>
      </c>
      <c r="AJ180" s="426"/>
      <c r="AK180" s="426"/>
      <c r="AL180" s="426"/>
      <c r="AM180" s="426"/>
      <c r="AN180" s="426"/>
      <c r="AO180" s="426"/>
      <c r="AP180" s="113">
        <v>67</v>
      </c>
      <c r="AQ180" s="432">
        <v>161.11000000000001</v>
      </c>
      <c r="AR180" s="432">
        <v>163.55000000000001</v>
      </c>
      <c r="AS180" s="432">
        <v>164.2</v>
      </c>
      <c r="AT180" s="426"/>
      <c r="AU180" s="426"/>
      <c r="AV180" s="426"/>
      <c r="AW180" s="426"/>
      <c r="AX180" s="426"/>
    </row>
    <row r="181" spans="1:50" x14ac:dyDescent="0.2">
      <c r="A181" s="426"/>
      <c r="B181" s="113">
        <v>68</v>
      </c>
      <c r="C181" s="432">
        <v>130.87</v>
      </c>
      <c r="D181" s="432">
        <v>132.51</v>
      </c>
      <c r="E181" s="432">
        <v>132.97999999999999</v>
      </c>
      <c r="F181" s="426"/>
      <c r="G181" s="426"/>
      <c r="H181" s="426"/>
      <c r="I181" s="426"/>
      <c r="J181" s="426"/>
      <c r="K181" s="426"/>
      <c r="L181" s="113">
        <v>68</v>
      </c>
      <c r="M181" s="432">
        <v>139.63999999999999</v>
      </c>
      <c r="N181" s="432">
        <v>141.49</v>
      </c>
      <c r="O181" s="432">
        <v>142.01</v>
      </c>
      <c r="P181" s="426"/>
      <c r="Q181" s="426"/>
      <c r="R181" s="426"/>
      <c r="S181" s="426"/>
      <c r="T181" s="426"/>
      <c r="U181" s="426"/>
      <c r="V181" s="113">
        <v>68</v>
      </c>
      <c r="W181" s="432">
        <v>148.12</v>
      </c>
      <c r="X181" s="432">
        <v>150.16999999999999</v>
      </c>
      <c r="Y181" s="432">
        <v>150.74</v>
      </c>
      <c r="Z181" s="426"/>
      <c r="AA181" s="426"/>
      <c r="AB181" s="426"/>
      <c r="AC181" s="426"/>
      <c r="AD181" s="426"/>
      <c r="AE181" s="426"/>
      <c r="AF181" s="113">
        <v>68</v>
      </c>
      <c r="AG181" s="432">
        <v>155.99</v>
      </c>
      <c r="AH181" s="432">
        <v>158.25</v>
      </c>
      <c r="AI181" s="432">
        <v>158.86000000000001</v>
      </c>
      <c r="AJ181" s="426"/>
      <c r="AK181" s="426"/>
      <c r="AL181" s="426"/>
      <c r="AM181" s="426"/>
      <c r="AN181" s="426"/>
      <c r="AO181" s="426"/>
      <c r="AP181" s="113">
        <v>68</v>
      </c>
      <c r="AQ181" s="432">
        <v>162.94999999999999</v>
      </c>
      <c r="AR181" s="432">
        <v>165.41</v>
      </c>
      <c r="AS181" s="432">
        <v>166.06</v>
      </c>
      <c r="AT181" s="426"/>
      <c r="AU181" s="426"/>
      <c r="AV181" s="426"/>
      <c r="AW181" s="426"/>
      <c r="AX181" s="426"/>
    </row>
    <row r="182" spans="1:50" x14ac:dyDescent="0.2">
      <c r="A182" s="426"/>
      <c r="B182" s="113">
        <v>69</v>
      </c>
      <c r="C182" s="432">
        <v>134.22</v>
      </c>
      <c r="D182" s="432">
        <v>135.9</v>
      </c>
      <c r="E182" s="432">
        <v>136.38</v>
      </c>
      <c r="F182" s="426"/>
      <c r="G182" s="426"/>
      <c r="H182" s="426"/>
      <c r="I182" s="426"/>
      <c r="J182" s="426"/>
      <c r="K182" s="426"/>
      <c r="L182" s="113">
        <v>69</v>
      </c>
      <c r="M182" s="432">
        <v>142.83000000000001</v>
      </c>
      <c r="N182" s="432">
        <v>144.72</v>
      </c>
      <c r="O182" s="432">
        <v>145.24</v>
      </c>
      <c r="P182" s="426"/>
      <c r="Q182" s="426"/>
      <c r="R182" s="426"/>
      <c r="S182" s="426"/>
      <c r="T182" s="426"/>
      <c r="U182" s="426"/>
      <c r="V182" s="113">
        <v>69</v>
      </c>
      <c r="W182" s="432">
        <v>150.94999999999999</v>
      </c>
      <c r="X182" s="432">
        <v>153.05000000000001</v>
      </c>
      <c r="Y182" s="432">
        <v>153.61000000000001</v>
      </c>
      <c r="Z182" s="426"/>
      <c r="AA182" s="426"/>
      <c r="AB182" s="426"/>
      <c r="AC182" s="426"/>
      <c r="AD182" s="426"/>
      <c r="AE182" s="426"/>
      <c r="AF182" s="113">
        <v>69</v>
      </c>
      <c r="AG182" s="432">
        <v>158.26</v>
      </c>
      <c r="AH182" s="432">
        <v>160.55000000000001</v>
      </c>
      <c r="AI182" s="432">
        <v>161.16</v>
      </c>
      <c r="AJ182" s="426"/>
      <c r="AK182" s="426"/>
      <c r="AL182" s="426"/>
      <c r="AM182" s="426"/>
      <c r="AN182" s="426"/>
      <c r="AO182" s="426"/>
      <c r="AP182" s="113">
        <v>69</v>
      </c>
      <c r="AQ182" s="432">
        <v>164.44</v>
      </c>
      <c r="AR182" s="432">
        <v>166.91</v>
      </c>
      <c r="AS182" s="432">
        <v>167.56</v>
      </c>
      <c r="AT182" s="426"/>
      <c r="AU182" s="426"/>
      <c r="AV182" s="426"/>
      <c r="AW182" s="426"/>
      <c r="AX182" s="426"/>
    </row>
    <row r="183" spans="1:50" x14ac:dyDescent="0.2">
      <c r="A183" s="426"/>
      <c r="B183" s="113">
        <v>70</v>
      </c>
      <c r="C183" s="432">
        <v>137.62</v>
      </c>
      <c r="D183" s="432">
        <v>139.34</v>
      </c>
      <c r="E183" s="432">
        <v>139.83000000000001</v>
      </c>
      <c r="F183" s="426"/>
      <c r="G183" s="426"/>
      <c r="H183" s="426"/>
      <c r="I183" s="426"/>
      <c r="J183" s="426"/>
      <c r="K183" s="426"/>
      <c r="L183" s="113">
        <v>70</v>
      </c>
      <c r="M183" s="432">
        <v>145.97</v>
      </c>
      <c r="N183" s="432">
        <v>147.9</v>
      </c>
      <c r="O183" s="432">
        <v>148.43</v>
      </c>
      <c r="P183" s="426"/>
      <c r="Q183" s="426"/>
      <c r="R183" s="426"/>
      <c r="S183" s="426"/>
      <c r="T183" s="426"/>
      <c r="U183" s="426"/>
      <c r="V183" s="113">
        <v>70</v>
      </c>
      <c r="W183" s="432">
        <v>153.63999999999999</v>
      </c>
      <c r="X183" s="432">
        <v>155.77000000000001</v>
      </c>
      <c r="Y183" s="432">
        <v>156.33000000000001</v>
      </c>
      <c r="Z183" s="426"/>
      <c r="AA183" s="426"/>
      <c r="AB183" s="426"/>
      <c r="AC183" s="426"/>
      <c r="AD183" s="426"/>
      <c r="AE183" s="426"/>
      <c r="AF183" s="113">
        <v>70</v>
      </c>
      <c r="AG183" s="432">
        <v>160.26</v>
      </c>
      <c r="AH183" s="432">
        <v>162.58000000000001</v>
      </c>
      <c r="AI183" s="432">
        <v>163.19</v>
      </c>
      <c r="AJ183" s="426"/>
      <c r="AK183" s="426"/>
      <c r="AL183" s="426"/>
      <c r="AM183" s="426"/>
      <c r="AN183" s="426"/>
      <c r="AO183" s="426"/>
      <c r="AP183" s="113">
        <v>70</v>
      </c>
      <c r="AQ183" s="432">
        <v>165.53</v>
      </c>
      <c r="AR183" s="432">
        <v>168.01</v>
      </c>
      <c r="AS183" s="432">
        <v>168.66</v>
      </c>
      <c r="AT183" s="426"/>
      <c r="AU183" s="426"/>
      <c r="AV183" s="426"/>
      <c r="AW183" s="426"/>
      <c r="AX183" s="426"/>
    </row>
    <row r="184" spans="1:50" x14ac:dyDescent="0.2">
      <c r="A184" s="426"/>
      <c r="B184" s="113">
        <v>71</v>
      </c>
      <c r="C184" s="432">
        <v>141.03</v>
      </c>
      <c r="D184" s="432">
        <v>142.80000000000001</v>
      </c>
      <c r="E184" s="432">
        <v>143.29</v>
      </c>
      <c r="F184" s="426"/>
      <c r="G184" s="426"/>
      <c r="H184" s="426"/>
      <c r="I184" s="426"/>
      <c r="J184" s="426"/>
      <c r="K184" s="426"/>
      <c r="L184" s="113">
        <v>71</v>
      </c>
      <c r="M184" s="432">
        <v>149.04</v>
      </c>
      <c r="N184" s="432">
        <v>151.01</v>
      </c>
      <c r="O184" s="432">
        <v>151.54</v>
      </c>
      <c r="P184" s="426"/>
      <c r="Q184" s="426"/>
      <c r="R184" s="426"/>
      <c r="S184" s="426"/>
      <c r="T184" s="426"/>
      <c r="U184" s="426"/>
      <c r="V184" s="113">
        <v>71</v>
      </c>
      <c r="W184" s="432">
        <v>156.13</v>
      </c>
      <c r="X184" s="432">
        <v>158.29</v>
      </c>
      <c r="Y184" s="432">
        <v>158.86000000000001</v>
      </c>
      <c r="Z184" s="426"/>
      <c r="AA184" s="426"/>
      <c r="AB184" s="426"/>
      <c r="AC184" s="426"/>
      <c r="AD184" s="426"/>
      <c r="AE184" s="426"/>
      <c r="AF184" s="113">
        <v>71</v>
      </c>
      <c r="AG184" s="432">
        <v>161.94999999999999</v>
      </c>
      <c r="AH184" s="432">
        <v>164.28</v>
      </c>
      <c r="AI184" s="432">
        <v>164.89</v>
      </c>
      <c r="AJ184" s="426"/>
      <c r="AK184" s="426"/>
      <c r="AL184" s="426"/>
      <c r="AM184" s="426"/>
      <c r="AN184" s="426"/>
      <c r="AO184" s="426"/>
      <c r="AP184" s="113">
        <v>71</v>
      </c>
      <c r="AQ184" s="432">
        <v>166.18</v>
      </c>
      <c r="AR184" s="432">
        <v>168.67</v>
      </c>
      <c r="AS184" s="432">
        <v>169.31</v>
      </c>
      <c r="AT184" s="426"/>
      <c r="AU184" s="426"/>
      <c r="AV184" s="426"/>
      <c r="AW184" s="426"/>
      <c r="AX184" s="426"/>
    </row>
    <row r="185" spans="1:50" x14ac:dyDescent="0.2">
      <c r="A185" s="426"/>
      <c r="B185" s="113">
        <v>72</v>
      </c>
      <c r="C185" s="432">
        <v>144.44999999999999</v>
      </c>
      <c r="D185" s="432">
        <v>146.26</v>
      </c>
      <c r="E185" s="432">
        <v>146.75</v>
      </c>
      <c r="F185" s="426"/>
      <c r="G185" s="426"/>
      <c r="H185" s="426"/>
      <c r="I185" s="426"/>
      <c r="J185" s="426"/>
      <c r="K185" s="426"/>
      <c r="L185" s="113">
        <v>72</v>
      </c>
      <c r="M185" s="432">
        <v>152</v>
      </c>
      <c r="N185" s="432">
        <v>154.01</v>
      </c>
      <c r="O185" s="432">
        <v>154.54</v>
      </c>
      <c r="P185" s="426"/>
      <c r="Q185" s="426"/>
      <c r="R185" s="426"/>
      <c r="S185" s="426"/>
      <c r="T185" s="426"/>
      <c r="U185" s="426"/>
      <c r="V185" s="113">
        <v>72</v>
      </c>
      <c r="W185" s="432">
        <v>158.38999999999999</v>
      </c>
      <c r="X185" s="432">
        <v>160.58000000000001</v>
      </c>
      <c r="Y185" s="432">
        <v>161.15</v>
      </c>
      <c r="Z185" s="426"/>
      <c r="AA185" s="426"/>
      <c r="AB185" s="426"/>
      <c r="AC185" s="426"/>
      <c r="AD185" s="426"/>
      <c r="AE185" s="426"/>
      <c r="AF185" s="113">
        <v>72</v>
      </c>
      <c r="AG185" s="432">
        <v>163.27000000000001</v>
      </c>
      <c r="AH185" s="432">
        <v>165.61</v>
      </c>
      <c r="AI185" s="432">
        <v>166.22</v>
      </c>
      <c r="AJ185" s="426"/>
      <c r="AK185" s="426"/>
      <c r="AL185" s="426"/>
      <c r="AM185" s="426"/>
      <c r="AN185" s="426"/>
      <c r="AO185" s="426"/>
      <c r="AP185" s="113">
        <v>72</v>
      </c>
      <c r="AQ185" s="432">
        <v>166.37</v>
      </c>
      <c r="AR185" s="432">
        <v>168.85</v>
      </c>
      <c r="AS185" s="432">
        <v>169.49</v>
      </c>
      <c r="AT185" s="426"/>
      <c r="AU185" s="426"/>
      <c r="AV185" s="426"/>
      <c r="AW185" s="426"/>
      <c r="AX185" s="426"/>
    </row>
    <row r="186" spans="1:50" x14ac:dyDescent="0.2">
      <c r="A186" s="426"/>
      <c r="B186" s="113">
        <v>73</v>
      </c>
      <c r="C186" s="432">
        <v>147.84</v>
      </c>
      <c r="D186" s="432">
        <v>149.68</v>
      </c>
      <c r="E186" s="432">
        <v>150.16999999999999</v>
      </c>
      <c r="F186" s="426"/>
      <c r="G186" s="426"/>
      <c r="H186" s="426"/>
      <c r="I186" s="426"/>
      <c r="J186" s="426"/>
      <c r="K186" s="426"/>
      <c r="L186" s="113">
        <v>73</v>
      </c>
      <c r="M186" s="432">
        <v>154.82</v>
      </c>
      <c r="N186" s="432">
        <v>156.85</v>
      </c>
      <c r="O186" s="432">
        <v>157.38</v>
      </c>
      <c r="P186" s="426"/>
      <c r="Q186" s="426"/>
      <c r="R186" s="426"/>
      <c r="S186" s="426"/>
      <c r="T186" s="426"/>
      <c r="U186" s="426"/>
      <c r="V186" s="113">
        <v>73</v>
      </c>
      <c r="W186" s="432">
        <v>160.38</v>
      </c>
      <c r="X186" s="432">
        <v>162.58000000000001</v>
      </c>
      <c r="Y186" s="432">
        <v>163.15</v>
      </c>
      <c r="Z186" s="426"/>
      <c r="AA186" s="426"/>
      <c r="AB186" s="426"/>
      <c r="AC186" s="426"/>
      <c r="AD186" s="426"/>
      <c r="AE186" s="426"/>
      <c r="AF186" s="113">
        <v>73</v>
      </c>
      <c r="AG186" s="432">
        <v>164.19</v>
      </c>
      <c r="AH186" s="432">
        <v>166.54</v>
      </c>
      <c r="AI186" s="432">
        <v>167.15</v>
      </c>
      <c r="AJ186" s="426"/>
      <c r="AK186" s="426"/>
      <c r="AL186" s="426"/>
      <c r="AM186" s="426"/>
      <c r="AN186" s="426"/>
      <c r="AO186" s="426"/>
      <c r="AP186" s="113">
        <v>73</v>
      </c>
      <c r="AQ186" s="432">
        <v>166.05</v>
      </c>
      <c r="AR186" s="432">
        <v>168.52</v>
      </c>
      <c r="AS186" s="432">
        <v>169.16</v>
      </c>
      <c r="AT186" s="426"/>
      <c r="AU186" s="426"/>
      <c r="AV186" s="426"/>
      <c r="AW186" s="426"/>
      <c r="AX186" s="426"/>
    </row>
    <row r="187" spans="1:50" x14ac:dyDescent="0.2">
      <c r="A187" s="426"/>
      <c r="B187" s="113">
        <v>74</v>
      </c>
      <c r="C187" s="432">
        <v>151.16</v>
      </c>
      <c r="D187" s="432">
        <v>153.04</v>
      </c>
      <c r="E187" s="432">
        <v>153.54</v>
      </c>
      <c r="F187" s="426"/>
      <c r="G187" s="426"/>
      <c r="H187" s="426"/>
      <c r="I187" s="426"/>
      <c r="J187" s="426"/>
      <c r="K187" s="426"/>
      <c r="L187" s="113">
        <v>74</v>
      </c>
      <c r="M187" s="432">
        <v>157.44</v>
      </c>
      <c r="N187" s="432">
        <v>159.5</v>
      </c>
      <c r="O187" s="432">
        <v>160.04</v>
      </c>
      <c r="P187" s="426"/>
      <c r="Q187" s="426"/>
      <c r="R187" s="426"/>
      <c r="S187" s="426"/>
      <c r="T187" s="426"/>
      <c r="U187" s="426"/>
      <c r="V187" s="113">
        <v>74</v>
      </c>
      <c r="W187" s="432">
        <v>162.04</v>
      </c>
      <c r="X187" s="432">
        <v>164.26</v>
      </c>
      <c r="Y187" s="432">
        <v>164.84</v>
      </c>
      <c r="Z187" s="426"/>
      <c r="AA187" s="426"/>
      <c r="AB187" s="426"/>
      <c r="AC187" s="426"/>
      <c r="AD187" s="426"/>
      <c r="AE187" s="426"/>
      <c r="AF187" s="113">
        <v>74</v>
      </c>
      <c r="AG187" s="432">
        <v>164.67</v>
      </c>
      <c r="AH187" s="432">
        <v>167.03</v>
      </c>
      <c r="AI187" s="432">
        <v>167.63</v>
      </c>
      <c r="AJ187" s="426"/>
      <c r="AK187" s="426"/>
      <c r="AL187" s="426"/>
      <c r="AM187" s="426"/>
      <c r="AN187" s="426"/>
      <c r="AO187" s="426"/>
      <c r="AP187" s="113">
        <v>74</v>
      </c>
      <c r="AQ187" s="432">
        <v>165.22</v>
      </c>
      <c r="AR187" s="432">
        <v>167.67</v>
      </c>
      <c r="AS187" s="432">
        <v>168.3</v>
      </c>
      <c r="AT187" s="426"/>
      <c r="AU187" s="426"/>
      <c r="AV187" s="426"/>
      <c r="AW187" s="426"/>
      <c r="AX187" s="426"/>
    </row>
    <row r="188" spans="1:50" x14ac:dyDescent="0.2">
      <c r="A188" s="426"/>
      <c r="B188" s="113">
        <v>75</v>
      </c>
      <c r="C188" s="432">
        <v>154.4</v>
      </c>
      <c r="D188" s="432">
        <v>156.31</v>
      </c>
      <c r="E188" s="432">
        <v>156.81</v>
      </c>
      <c r="F188" s="426"/>
      <c r="G188" s="426"/>
      <c r="H188" s="426"/>
      <c r="I188" s="426"/>
      <c r="J188" s="426"/>
      <c r="K188" s="426"/>
      <c r="L188" s="113">
        <v>75</v>
      </c>
      <c r="M188" s="432">
        <v>159.85</v>
      </c>
      <c r="N188" s="432">
        <v>161.93</v>
      </c>
      <c r="O188" s="432">
        <v>162.46</v>
      </c>
      <c r="P188" s="426"/>
      <c r="Q188" s="426"/>
      <c r="R188" s="426"/>
      <c r="S188" s="426"/>
      <c r="T188" s="426"/>
      <c r="U188" s="426"/>
      <c r="V188" s="113">
        <v>75</v>
      </c>
      <c r="W188" s="432">
        <v>163.35</v>
      </c>
      <c r="X188" s="432">
        <v>165.58</v>
      </c>
      <c r="Y188" s="432">
        <v>166.15</v>
      </c>
      <c r="Z188" s="426"/>
      <c r="AA188" s="426"/>
      <c r="AB188" s="426"/>
      <c r="AC188" s="426"/>
      <c r="AD188" s="426"/>
      <c r="AE188" s="426"/>
      <c r="AF188" s="113">
        <v>75</v>
      </c>
      <c r="AG188" s="432">
        <v>164.69</v>
      </c>
      <c r="AH188" s="432">
        <v>167.04</v>
      </c>
      <c r="AI188" s="432">
        <v>167.64</v>
      </c>
      <c r="AJ188" s="426"/>
      <c r="AK188" s="426"/>
      <c r="AL188" s="426"/>
      <c r="AM188" s="426"/>
      <c r="AN188" s="426"/>
      <c r="AO188" s="426"/>
      <c r="AP188" s="113">
        <v>75</v>
      </c>
      <c r="AQ188" s="432">
        <v>163.86</v>
      </c>
      <c r="AR188" s="432">
        <v>166.28</v>
      </c>
      <c r="AS188" s="432">
        <v>166.91</v>
      </c>
      <c r="AT188" s="426"/>
      <c r="AU188" s="426"/>
      <c r="AV188" s="426"/>
      <c r="AW188" s="426"/>
      <c r="AX188" s="426"/>
    </row>
    <row r="189" spans="1:50" x14ac:dyDescent="0.2">
      <c r="A189" s="426"/>
      <c r="B189" s="113">
        <v>76</v>
      </c>
      <c r="C189" s="432">
        <v>157.5</v>
      </c>
      <c r="D189" s="432">
        <v>159.44</v>
      </c>
      <c r="E189" s="432">
        <v>159.94</v>
      </c>
      <c r="F189" s="426"/>
      <c r="G189" s="426"/>
      <c r="H189" s="426"/>
      <c r="I189" s="426"/>
      <c r="J189" s="426"/>
      <c r="K189" s="426"/>
      <c r="L189" s="113">
        <v>76</v>
      </c>
      <c r="M189" s="432">
        <v>161.97999999999999</v>
      </c>
      <c r="N189" s="432">
        <v>164.07</v>
      </c>
      <c r="O189" s="432">
        <v>164.62</v>
      </c>
      <c r="P189" s="426"/>
      <c r="Q189" s="426"/>
      <c r="R189" s="426"/>
      <c r="S189" s="426"/>
      <c r="T189" s="426"/>
      <c r="U189" s="426"/>
      <c r="V189" s="113">
        <v>76</v>
      </c>
      <c r="W189" s="432">
        <v>164.25</v>
      </c>
      <c r="X189" s="432">
        <v>166.49</v>
      </c>
      <c r="Y189" s="432">
        <v>167.06</v>
      </c>
      <c r="Z189" s="426"/>
      <c r="AA189" s="426"/>
      <c r="AB189" s="426"/>
      <c r="AC189" s="426"/>
      <c r="AD189" s="426"/>
      <c r="AE189" s="426"/>
      <c r="AF189" s="113">
        <v>76</v>
      </c>
      <c r="AG189" s="432">
        <v>164.21</v>
      </c>
      <c r="AH189" s="432">
        <v>166.55</v>
      </c>
      <c r="AI189" s="432">
        <v>167.15</v>
      </c>
      <c r="AJ189" s="426"/>
      <c r="AK189" s="426"/>
      <c r="AL189" s="426"/>
      <c r="AM189" s="426"/>
      <c r="AN189" s="426"/>
      <c r="AO189" s="426"/>
      <c r="AP189" s="113">
        <v>76</v>
      </c>
      <c r="AQ189" s="432">
        <v>161.96</v>
      </c>
      <c r="AR189" s="432">
        <v>164.36</v>
      </c>
      <c r="AS189" s="432">
        <v>164.98</v>
      </c>
      <c r="AT189" s="426"/>
      <c r="AU189" s="426"/>
      <c r="AV189" s="426"/>
      <c r="AW189" s="426"/>
      <c r="AX189" s="426"/>
    </row>
    <row r="190" spans="1:50" x14ac:dyDescent="0.2">
      <c r="A190" s="426"/>
      <c r="B190" s="113">
        <v>77</v>
      </c>
      <c r="C190" s="432">
        <v>160.44</v>
      </c>
      <c r="D190" s="432">
        <v>162.4</v>
      </c>
      <c r="E190" s="432">
        <v>162.91</v>
      </c>
      <c r="F190" s="426"/>
      <c r="G190" s="426"/>
      <c r="H190" s="426"/>
      <c r="I190" s="426"/>
      <c r="J190" s="426"/>
      <c r="K190" s="426"/>
      <c r="L190" s="113">
        <v>77</v>
      </c>
      <c r="M190" s="432">
        <v>163.79</v>
      </c>
      <c r="N190" s="432">
        <v>165.91</v>
      </c>
      <c r="O190" s="432">
        <v>166.45</v>
      </c>
      <c r="P190" s="426"/>
      <c r="Q190" s="426"/>
      <c r="R190" s="426"/>
      <c r="S190" s="426"/>
      <c r="T190" s="426"/>
      <c r="U190" s="426"/>
      <c r="V190" s="113">
        <v>77</v>
      </c>
      <c r="W190" s="432">
        <v>164.72</v>
      </c>
      <c r="X190" s="432">
        <v>166.96</v>
      </c>
      <c r="Y190" s="432">
        <v>167.53</v>
      </c>
      <c r="Z190" s="426"/>
      <c r="AA190" s="426"/>
      <c r="AB190" s="426"/>
      <c r="AC190" s="426"/>
      <c r="AD190" s="426"/>
      <c r="AE190" s="426"/>
      <c r="AF190" s="113">
        <v>77</v>
      </c>
      <c r="AG190" s="432">
        <v>163.22</v>
      </c>
      <c r="AH190" s="432">
        <v>165.54</v>
      </c>
      <c r="AI190" s="432">
        <v>166.14</v>
      </c>
      <c r="AJ190" s="426"/>
      <c r="AK190" s="426"/>
      <c r="AL190" s="426"/>
      <c r="AM190" s="426"/>
      <c r="AN190" s="426"/>
      <c r="AO190" s="426"/>
      <c r="AP190" s="113">
        <v>77</v>
      </c>
      <c r="AQ190" s="432">
        <v>159.54</v>
      </c>
      <c r="AR190" s="432">
        <v>161.9</v>
      </c>
      <c r="AS190" s="432">
        <v>162.51</v>
      </c>
      <c r="AT190" s="426"/>
      <c r="AU190" s="426"/>
      <c r="AV190" s="426"/>
      <c r="AW190" s="426"/>
      <c r="AX190" s="426"/>
    </row>
    <row r="191" spans="1:50" x14ac:dyDescent="0.2">
      <c r="A191" s="426"/>
      <c r="B191" s="113">
        <v>78</v>
      </c>
      <c r="C191" s="432">
        <v>163.16999999999999</v>
      </c>
      <c r="D191" s="432">
        <v>165.15</v>
      </c>
      <c r="E191" s="432">
        <v>165.66</v>
      </c>
      <c r="F191" s="426"/>
      <c r="G191" s="426"/>
      <c r="H191" s="426"/>
      <c r="I191" s="426"/>
      <c r="J191" s="426"/>
      <c r="K191" s="426"/>
      <c r="L191" s="113">
        <v>78</v>
      </c>
      <c r="M191" s="432">
        <v>165.25</v>
      </c>
      <c r="N191" s="432">
        <v>167.38</v>
      </c>
      <c r="O191" s="432">
        <v>167.92</v>
      </c>
      <c r="P191" s="426"/>
      <c r="Q191" s="426"/>
      <c r="R191" s="426"/>
      <c r="S191" s="426"/>
      <c r="T191" s="426"/>
      <c r="U191" s="426"/>
      <c r="V191" s="113">
        <v>78</v>
      </c>
      <c r="W191" s="432">
        <v>164.72</v>
      </c>
      <c r="X191" s="432">
        <v>166.95</v>
      </c>
      <c r="Y191" s="432">
        <v>167.52</v>
      </c>
      <c r="Z191" s="426"/>
      <c r="AA191" s="426"/>
      <c r="AB191" s="426"/>
      <c r="AC191" s="426"/>
      <c r="AD191" s="426"/>
      <c r="AE191" s="426"/>
      <c r="AF191" s="113">
        <v>78</v>
      </c>
      <c r="AG191" s="432">
        <v>161.71</v>
      </c>
      <c r="AH191" s="432">
        <v>164.01</v>
      </c>
      <c r="AI191" s="432">
        <v>164.6</v>
      </c>
      <c r="AJ191" s="426"/>
      <c r="AK191" s="426"/>
      <c r="AL191" s="426"/>
      <c r="AM191" s="426"/>
      <c r="AN191" s="426"/>
      <c r="AO191" s="426"/>
      <c r="AP191" s="113">
        <v>78</v>
      </c>
      <c r="AQ191" s="432">
        <v>156.62</v>
      </c>
      <c r="AR191" s="432">
        <v>158.94</v>
      </c>
      <c r="AS191" s="432">
        <v>159.54</v>
      </c>
      <c r="AT191" s="426"/>
      <c r="AU191" s="426"/>
      <c r="AV191" s="426"/>
      <c r="AW191" s="426"/>
      <c r="AX191" s="426"/>
    </row>
    <row r="192" spans="1:50" x14ac:dyDescent="0.2">
      <c r="A192" s="426"/>
      <c r="B192" s="113">
        <v>79</v>
      </c>
      <c r="C192" s="432">
        <v>165.65</v>
      </c>
      <c r="D192" s="432">
        <v>167.65</v>
      </c>
      <c r="E192" s="432">
        <v>168.16</v>
      </c>
      <c r="F192" s="426"/>
      <c r="G192" s="426"/>
      <c r="H192" s="426"/>
      <c r="I192" s="426"/>
      <c r="J192" s="426"/>
      <c r="K192" s="426"/>
      <c r="L192" s="113">
        <v>79</v>
      </c>
      <c r="M192" s="432">
        <v>166.32</v>
      </c>
      <c r="N192" s="432">
        <v>168.45</v>
      </c>
      <c r="O192" s="432">
        <v>169</v>
      </c>
      <c r="P192" s="426"/>
      <c r="Q192" s="426"/>
      <c r="R192" s="426"/>
      <c r="S192" s="426"/>
      <c r="T192" s="426"/>
      <c r="U192" s="426"/>
      <c r="V192" s="113">
        <v>79</v>
      </c>
      <c r="W192" s="432">
        <v>164.24</v>
      </c>
      <c r="X192" s="432">
        <v>166.46</v>
      </c>
      <c r="Y192" s="432">
        <v>167.03</v>
      </c>
      <c r="Z192" s="426"/>
      <c r="AA192" s="426"/>
      <c r="AB192" s="426"/>
      <c r="AC192" s="426"/>
      <c r="AD192" s="426"/>
      <c r="AE192" s="426"/>
      <c r="AF192" s="113">
        <v>79</v>
      </c>
      <c r="AG192" s="432">
        <v>159.69</v>
      </c>
      <c r="AH192" s="432">
        <v>161.96</v>
      </c>
      <c r="AI192" s="432">
        <v>162.54</v>
      </c>
      <c r="AJ192" s="426"/>
      <c r="AK192" s="426"/>
      <c r="AL192" s="426"/>
      <c r="AM192" s="426"/>
      <c r="AN192" s="426"/>
      <c r="AO192" s="426"/>
      <c r="AP192" s="113">
        <v>79</v>
      </c>
      <c r="AQ192" s="432">
        <v>153.22</v>
      </c>
      <c r="AR192" s="432">
        <v>155.49</v>
      </c>
      <c r="AS192" s="432">
        <v>156.09</v>
      </c>
      <c r="AT192" s="426"/>
      <c r="AU192" s="426"/>
      <c r="AV192" s="426"/>
      <c r="AW192" s="426"/>
      <c r="AX192" s="426"/>
    </row>
    <row r="193" spans="1:50" x14ac:dyDescent="0.2">
      <c r="A193" s="426"/>
      <c r="B193" s="113">
        <v>80</v>
      </c>
      <c r="C193" s="432">
        <v>167.83</v>
      </c>
      <c r="D193" s="432">
        <v>169.85</v>
      </c>
      <c r="E193" s="432">
        <v>170.37</v>
      </c>
      <c r="F193" s="426"/>
      <c r="G193" s="426"/>
      <c r="H193" s="426"/>
      <c r="I193" s="426"/>
      <c r="J193" s="426"/>
      <c r="K193" s="426"/>
      <c r="L193" s="113">
        <v>80</v>
      </c>
      <c r="M193" s="432">
        <v>166.96</v>
      </c>
      <c r="N193" s="432">
        <v>169.1</v>
      </c>
      <c r="O193" s="432">
        <v>169.64</v>
      </c>
      <c r="P193" s="426"/>
      <c r="Q193" s="426"/>
      <c r="R193" s="426"/>
      <c r="S193" s="426"/>
      <c r="T193" s="426"/>
      <c r="U193" s="426"/>
      <c r="V193" s="113">
        <v>80</v>
      </c>
      <c r="W193" s="432">
        <v>163.24</v>
      </c>
      <c r="X193" s="432">
        <v>165.45</v>
      </c>
      <c r="Y193" s="432">
        <v>166.02</v>
      </c>
      <c r="Z193" s="426"/>
      <c r="AA193" s="426"/>
      <c r="AB193" s="426"/>
      <c r="AC193" s="426"/>
      <c r="AD193" s="426"/>
      <c r="AE193" s="426"/>
      <c r="AF193" s="113">
        <v>80</v>
      </c>
      <c r="AG193" s="432">
        <v>157.15</v>
      </c>
      <c r="AH193" s="432">
        <v>159.38999999999999</v>
      </c>
      <c r="AI193" s="432">
        <v>159.97</v>
      </c>
      <c r="AJ193" s="426"/>
      <c r="AK193" s="426"/>
      <c r="AL193" s="426"/>
      <c r="AM193" s="426"/>
      <c r="AN193" s="426"/>
      <c r="AO193" s="426"/>
      <c r="AP193" s="113">
        <v>80</v>
      </c>
      <c r="AQ193" s="432">
        <v>149.38</v>
      </c>
      <c r="AR193" s="432">
        <v>151.61000000000001</v>
      </c>
      <c r="AS193" s="432">
        <v>152.19</v>
      </c>
      <c r="AT193" s="426"/>
      <c r="AU193" s="426"/>
      <c r="AV193" s="426"/>
      <c r="AW193" s="426"/>
      <c r="AX193" s="426"/>
    </row>
    <row r="194" spans="1:50" x14ac:dyDescent="0.2">
      <c r="A194" s="426"/>
      <c r="B194" s="113">
        <v>81</v>
      </c>
      <c r="C194" s="432">
        <v>169.69</v>
      </c>
      <c r="D194" s="432">
        <v>171.71</v>
      </c>
      <c r="E194" s="432">
        <v>172.23</v>
      </c>
      <c r="F194" s="426"/>
      <c r="G194" s="426"/>
      <c r="H194" s="426"/>
      <c r="I194" s="426"/>
      <c r="J194" s="426"/>
      <c r="K194" s="426"/>
      <c r="L194" s="113">
        <v>81</v>
      </c>
      <c r="M194" s="432">
        <v>167.15</v>
      </c>
      <c r="N194" s="432">
        <v>169.27</v>
      </c>
      <c r="O194" s="432">
        <v>169.82</v>
      </c>
      <c r="P194" s="426"/>
      <c r="Q194" s="426"/>
      <c r="R194" s="426"/>
      <c r="S194" s="426"/>
      <c r="T194" s="426"/>
      <c r="U194" s="426"/>
      <c r="V194" s="113">
        <v>81</v>
      </c>
      <c r="W194" s="432">
        <v>161.74</v>
      </c>
      <c r="X194" s="432">
        <v>163.92</v>
      </c>
      <c r="Y194" s="432">
        <v>164.49</v>
      </c>
      <c r="Z194" s="426"/>
      <c r="AA194" s="426"/>
      <c r="AB194" s="426"/>
      <c r="AC194" s="426"/>
      <c r="AD194" s="426"/>
      <c r="AE194" s="426"/>
      <c r="AF194" s="113">
        <v>81</v>
      </c>
      <c r="AG194" s="432">
        <v>154.13999999999999</v>
      </c>
      <c r="AH194" s="432">
        <v>156.34</v>
      </c>
      <c r="AI194" s="432">
        <v>156.91</v>
      </c>
      <c r="AJ194" s="426"/>
      <c r="AK194" s="426"/>
      <c r="AL194" s="426"/>
      <c r="AM194" s="426"/>
      <c r="AN194" s="426"/>
      <c r="AO194" s="426"/>
      <c r="AP194" s="113">
        <v>81</v>
      </c>
      <c r="AQ194" s="432">
        <v>145.16</v>
      </c>
      <c r="AR194" s="432">
        <v>147.33000000000001</v>
      </c>
      <c r="AS194" s="432">
        <v>147.9</v>
      </c>
      <c r="AT194" s="426"/>
      <c r="AU194" s="426"/>
      <c r="AV194" s="426"/>
      <c r="AW194" s="426"/>
      <c r="AX194" s="426"/>
    </row>
    <row r="195" spans="1:50" x14ac:dyDescent="0.2">
      <c r="A195" s="426"/>
      <c r="B195" s="113">
        <v>82</v>
      </c>
      <c r="C195" s="432">
        <v>171.17</v>
      </c>
      <c r="D195" s="432">
        <v>173.2</v>
      </c>
      <c r="E195" s="432">
        <v>173.73</v>
      </c>
      <c r="F195" s="426"/>
      <c r="G195" s="426"/>
      <c r="H195" s="426"/>
      <c r="I195" s="426"/>
      <c r="J195" s="426"/>
      <c r="K195" s="426"/>
      <c r="L195" s="113">
        <v>82</v>
      </c>
      <c r="M195" s="432">
        <v>166.85</v>
      </c>
      <c r="N195" s="432">
        <v>168.97</v>
      </c>
      <c r="O195" s="432">
        <v>169.52</v>
      </c>
      <c r="P195" s="426"/>
      <c r="Q195" s="426"/>
      <c r="R195" s="426"/>
      <c r="S195" s="426"/>
      <c r="T195" s="426"/>
      <c r="U195" s="426"/>
      <c r="V195" s="113">
        <v>82</v>
      </c>
      <c r="W195" s="432">
        <v>159.72</v>
      </c>
      <c r="X195" s="432">
        <v>161.88999999999999</v>
      </c>
      <c r="Y195" s="432">
        <v>162.44999999999999</v>
      </c>
      <c r="Z195" s="426"/>
      <c r="AA195" s="426"/>
      <c r="AB195" s="426"/>
      <c r="AC195" s="426"/>
      <c r="AD195" s="426"/>
      <c r="AE195" s="426"/>
      <c r="AF195" s="113">
        <v>82</v>
      </c>
      <c r="AG195" s="432">
        <v>150.66</v>
      </c>
      <c r="AH195" s="432">
        <v>152.82</v>
      </c>
      <c r="AI195" s="432">
        <v>153.38999999999999</v>
      </c>
      <c r="AJ195" s="426"/>
      <c r="AK195" s="426"/>
      <c r="AL195" s="426"/>
      <c r="AM195" s="426"/>
      <c r="AN195" s="426"/>
      <c r="AO195" s="426"/>
      <c r="AP195" s="113">
        <v>82</v>
      </c>
      <c r="AQ195" s="432">
        <v>140.59</v>
      </c>
      <c r="AR195" s="432">
        <v>142.69999999999999</v>
      </c>
      <c r="AS195" s="432">
        <v>143.27000000000001</v>
      </c>
      <c r="AT195" s="426"/>
      <c r="AU195" s="426"/>
      <c r="AV195" s="426"/>
      <c r="AW195" s="426"/>
      <c r="AX195" s="426"/>
    </row>
    <row r="196" spans="1:50" x14ac:dyDescent="0.2">
      <c r="A196" s="426"/>
      <c r="B196" s="113">
        <v>83</v>
      </c>
      <c r="C196" s="432">
        <v>172.24</v>
      </c>
      <c r="D196" s="432">
        <v>174.28</v>
      </c>
      <c r="E196" s="432">
        <v>174.8</v>
      </c>
      <c r="F196" s="426"/>
      <c r="G196" s="426"/>
      <c r="H196" s="426"/>
      <c r="I196" s="426"/>
      <c r="J196" s="426"/>
      <c r="K196" s="426"/>
      <c r="L196" s="113">
        <v>83</v>
      </c>
      <c r="M196" s="432">
        <v>166.04</v>
      </c>
      <c r="N196" s="432">
        <v>168.15</v>
      </c>
      <c r="O196" s="432">
        <v>168.7</v>
      </c>
      <c r="P196" s="426"/>
      <c r="Q196" s="426"/>
      <c r="R196" s="426"/>
      <c r="S196" s="426"/>
      <c r="T196" s="426"/>
      <c r="U196" s="426"/>
      <c r="V196" s="113">
        <v>83</v>
      </c>
      <c r="W196" s="432">
        <v>157.21</v>
      </c>
      <c r="X196" s="432">
        <v>159.34</v>
      </c>
      <c r="Y196" s="432">
        <v>159.9</v>
      </c>
      <c r="Z196" s="426"/>
      <c r="AA196" s="426"/>
      <c r="AB196" s="426"/>
      <c r="AC196" s="426"/>
      <c r="AD196" s="426"/>
      <c r="AE196" s="426"/>
      <c r="AF196" s="113">
        <v>83</v>
      </c>
      <c r="AG196" s="432">
        <v>146.77000000000001</v>
      </c>
      <c r="AH196" s="432">
        <v>148.88999999999999</v>
      </c>
      <c r="AI196" s="432">
        <v>149.44999999999999</v>
      </c>
      <c r="AJ196" s="426"/>
      <c r="AK196" s="426"/>
      <c r="AL196" s="426"/>
      <c r="AM196" s="426"/>
      <c r="AN196" s="426"/>
      <c r="AO196" s="426"/>
      <c r="AP196" s="113">
        <v>83</v>
      </c>
      <c r="AQ196" s="432">
        <v>135.72999999999999</v>
      </c>
      <c r="AR196" s="432">
        <v>137.78</v>
      </c>
      <c r="AS196" s="432">
        <v>138.34</v>
      </c>
      <c r="AT196" s="426"/>
      <c r="AU196" s="426"/>
      <c r="AV196" s="426"/>
      <c r="AW196" s="426"/>
      <c r="AX196" s="426"/>
    </row>
    <row r="197" spans="1:50" x14ac:dyDescent="0.2">
      <c r="A197" s="426"/>
      <c r="B197" s="113">
        <v>84</v>
      </c>
      <c r="C197" s="432">
        <v>172.87</v>
      </c>
      <c r="D197" s="432">
        <v>174.9</v>
      </c>
      <c r="E197" s="432">
        <v>175.43</v>
      </c>
      <c r="F197" s="426"/>
      <c r="G197" s="426"/>
      <c r="H197" s="426"/>
      <c r="I197" s="426"/>
      <c r="J197" s="426"/>
      <c r="K197" s="426"/>
      <c r="L197" s="113">
        <v>84</v>
      </c>
      <c r="M197" s="432">
        <v>164.73</v>
      </c>
      <c r="N197" s="432">
        <v>166.83</v>
      </c>
      <c r="O197" s="432">
        <v>167.38</v>
      </c>
      <c r="P197" s="426"/>
      <c r="Q197" s="426"/>
      <c r="R197" s="426"/>
      <c r="S197" s="426"/>
      <c r="T197" s="426"/>
      <c r="U197" s="426"/>
      <c r="V197" s="113">
        <v>84</v>
      </c>
      <c r="W197" s="432">
        <v>154.21</v>
      </c>
      <c r="X197" s="432">
        <v>156.32</v>
      </c>
      <c r="Y197" s="432">
        <v>156.88</v>
      </c>
      <c r="Z197" s="426"/>
      <c r="AA197" s="426"/>
      <c r="AB197" s="426"/>
      <c r="AC197" s="426"/>
      <c r="AD197" s="426"/>
      <c r="AE197" s="426"/>
      <c r="AF197" s="113">
        <v>84</v>
      </c>
      <c r="AG197" s="432">
        <v>142.5</v>
      </c>
      <c r="AH197" s="432">
        <v>144.57</v>
      </c>
      <c r="AI197" s="432">
        <v>145.13</v>
      </c>
      <c r="AJ197" s="426"/>
      <c r="AK197" s="426"/>
      <c r="AL197" s="426"/>
      <c r="AM197" s="426"/>
      <c r="AN197" s="426"/>
      <c r="AO197" s="426"/>
      <c r="AP197" s="113">
        <v>84</v>
      </c>
      <c r="AQ197" s="432">
        <v>130.63999999999999</v>
      </c>
      <c r="AR197" s="432">
        <v>132.63</v>
      </c>
      <c r="AS197" s="432">
        <v>133.18</v>
      </c>
      <c r="AT197" s="426"/>
      <c r="AU197" s="426"/>
      <c r="AV197" s="426"/>
      <c r="AW197" s="426"/>
      <c r="AX197" s="426"/>
    </row>
    <row r="198" spans="1:50" x14ac:dyDescent="0.2">
      <c r="A198" s="426"/>
      <c r="B198" s="113">
        <v>85</v>
      </c>
      <c r="C198" s="432">
        <v>173.02</v>
      </c>
      <c r="D198" s="432">
        <v>175.06</v>
      </c>
      <c r="E198" s="432">
        <v>175.59</v>
      </c>
      <c r="F198" s="426"/>
      <c r="G198" s="426"/>
      <c r="H198" s="426"/>
      <c r="I198" s="426"/>
      <c r="J198" s="426"/>
      <c r="K198" s="426"/>
      <c r="L198" s="113">
        <v>85</v>
      </c>
      <c r="M198" s="432">
        <v>162.91</v>
      </c>
      <c r="N198" s="432">
        <v>164.99</v>
      </c>
      <c r="O198" s="432">
        <v>165.54</v>
      </c>
      <c r="P198" s="426"/>
      <c r="Q198" s="426"/>
      <c r="R198" s="426"/>
      <c r="S198" s="426"/>
      <c r="T198" s="426"/>
      <c r="U198" s="426"/>
      <c r="V198" s="113">
        <v>85</v>
      </c>
      <c r="W198" s="432">
        <v>150.77000000000001</v>
      </c>
      <c r="X198" s="432">
        <v>152.84</v>
      </c>
      <c r="Y198" s="432">
        <v>153.38999999999999</v>
      </c>
      <c r="Z198" s="426"/>
      <c r="AA198" s="426"/>
      <c r="AB198" s="426"/>
      <c r="AC198" s="426"/>
      <c r="AD198" s="426"/>
      <c r="AE198" s="426"/>
      <c r="AF198" s="113">
        <v>85</v>
      </c>
      <c r="AG198" s="432">
        <v>137.91</v>
      </c>
      <c r="AH198" s="432">
        <v>139.93</v>
      </c>
      <c r="AI198" s="432">
        <v>140.47999999999999</v>
      </c>
      <c r="AJ198" s="426"/>
      <c r="AK198" s="426"/>
      <c r="AL198" s="426"/>
      <c r="AM198" s="426"/>
      <c r="AN198" s="426"/>
      <c r="AO198" s="426"/>
      <c r="AP198" s="113">
        <v>85</v>
      </c>
      <c r="AQ198" s="432">
        <v>125.37</v>
      </c>
      <c r="AR198" s="432">
        <v>127.3</v>
      </c>
      <c r="AS198" s="432">
        <v>127.84</v>
      </c>
      <c r="AT198" s="426"/>
      <c r="AU198" s="426"/>
      <c r="AV198" s="426"/>
      <c r="AW198" s="426"/>
      <c r="AX198" s="426"/>
    </row>
    <row r="199" spans="1:50" x14ac:dyDescent="0.2">
      <c r="A199" s="426"/>
      <c r="B199" s="113">
        <v>86</v>
      </c>
      <c r="C199" s="432">
        <v>172.68</v>
      </c>
      <c r="D199" s="432">
        <v>174.71</v>
      </c>
      <c r="E199" s="432">
        <v>175.25</v>
      </c>
      <c r="F199" s="426"/>
      <c r="G199" s="426"/>
      <c r="H199" s="426"/>
      <c r="I199" s="426"/>
      <c r="J199" s="426"/>
      <c r="K199" s="426"/>
      <c r="L199" s="113">
        <v>86</v>
      </c>
      <c r="M199" s="432">
        <v>160.58000000000001</v>
      </c>
      <c r="N199" s="432">
        <v>162.63999999999999</v>
      </c>
      <c r="O199" s="432">
        <v>163.19</v>
      </c>
      <c r="P199" s="426"/>
      <c r="Q199" s="426"/>
      <c r="R199" s="426"/>
      <c r="S199" s="426"/>
      <c r="T199" s="426"/>
      <c r="U199" s="426"/>
      <c r="V199" s="113">
        <v>86</v>
      </c>
      <c r="W199" s="432">
        <v>146.91</v>
      </c>
      <c r="X199" s="432">
        <v>148.94</v>
      </c>
      <c r="Y199" s="432">
        <v>149.49</v>
      </c>
      <c r="Z199" s="426"/>
      <c r="AA199" s="426"/>
      <c r="AB199" s="426"/>
      <c r="AC199" s="426"/>
      <c r="AD199" s="426"/>
      <c r="AE199" s="426"/>
      <c r="AF199" s="113">
        <v>86</v>
      </c>
      <c r="AG199" s="432">
        <v>133.05000000000001</v>
      </c>
      <c r="AH199" s="432">
        <v>135.02000000000001</v>
      </c>
      <c r="AI199" s="432">
        <v>135.56</v>
      </c>
      <c r="AJ199" s="426"/>
      <c r="AK199" s="426"/>
      <c r="AL199" s="426"/>
      <c r="AM199" s="426"/>
      <c r="AN199" s="426"/>
      <c r="AO199" s="426"/>
      <c r="AP199" s="113">
        <v>86</v>
      </c>
      <c r="AQ199" s="432">
        <v>119.97</v>
      </c>
      <c r="AR199" s="432">
        <v>121.85</v>
      </c>
      <c r="AS199" s="432">
        <v>122.38</v>
      </c>
      <c r="AT199" s="426"/>
      <c r="AU199" s="426"/>
      <c r="AV199" s="426"/>
      <c r="AW199" s="426"/>
      <c r="AX199" s="426"/>
    </row>
    <row r="200" spans="1:50" x14ac:dyDescent="0.2">
      <c r="A200" s="426"/>
      <c r="B200" s="113">
        <v>87</v>
      </c>
      <c r="C200" s="432">
        <v>171.84</v>
      </c>
      <c r="D200" s="432">
        <v>173.86</v>
      </c>
      <c r="E200" s="432">
        <v>174.4</v>
      </c>
      <c r="F200" s="426"/>
      <c r="G200" s="426"/>
      <c r="H200" s="426"/>
      <c r="I200" s="426"/>
      <c r="J200" s="426"/>
      <c r="K200" s="426"/>
      <c r="L200" s="113">
        <v>87</v>
      </c>
      <c r="M200" s="432">
        <v>157.77000000000001</v>
      </c>
      <c r="N200" s="432">
        <v>159.81</v>
      </c>
      <c r="O200" s="432">
        <v>160.35</v>
      </c>
      <c r="P200" s="426"/>
      <c r="Q200" s="426"/>
      <c r="R200" s="426"/>
      <c r="S200" s="426"/>
      <c r="T200" s="426"/>
      <c r="U200" s="426"/>
      <c r="V200" s="113">
        <v>87</v>
      </c>
      <c r="W200" s="432">
        <v>142.66999999999999</v>
      </c>
      <c r="X200" s="432">
        <v>144.66999999999999</v>
      </c>
      <c r="Y200" s="432">
        <v>145.21</v>
      </c>
      <c r="Z200" s="426"/>
      <c r="AA200" s="426"/>
      <c r="AB200" s="426"/>
      <c r="AC200" s="426"/>
      <c r="AD200" s="426"/>
      <c r="AE200" s="426"/>
      <c r="AF200" s="113">
        <v>87</v>
      </c>
      <c r="AG200" s="432">
        <v>127.97</v>
      </c>
      <c r="AH200" s="432">
        <v>129.88</v>
      </c>
      <c r="AI200" s="432">
        <v>130.41</v>
      </c>
      <c r="AJ200" s="426"/>
      <c r="AK200" s="426"/>
      <c r="AL200" s="426"/>
      <c r="AM200" s="426"/>
      <c r="AN200" s="426"/>
      <c r="AO200" s="426"/>
      <c r="AP200" s="113">
        <v>87</v>
      </c>
      <c r="AQ200" s="432">
        <v>114.51</v>
      </c>
      <c r="AR200" s="432">
        <v>116.33</v>
      </c>
      <c r="AS200" s="432">
        <v>116.85</v>
      </c>
      <c r="AT200" s="426"/>
      <c r="AU200" s="426"/>
      <c r="AV200" s="426"/>
      <c r="AW200" s="426"/>
      <c r="AX200" s="426"/>
    </row>
    <row r="201" spans="1:50" x14ac:dyDescent="0.2">
      <c r="A201" s="426"/>
      <c r="B201" s="113">
        <v>88</v>
      </c>
      <c r="C201" s="432">
        <v>170.47</v>
      </c>
      <c r="D201" s="432">
        <v>172.49</v>
      </c>
      <c r="E201" s="432">
        <v>173.03</v>
      </c>
      <c r="F201" s="426"/>
      <c r="G201" s="426"/>
      <c r="H201" s="426"/>
      <c r="I201" s="426"/>
      <c r="J201" s="426"/>
      <c r="K201" s="426"/>
      <c r="L201" s="113">
        <v>88</v>
      </c>
      <c r="M201" s="432">
        <v>154.49</v>
      </c>
      <c r="N201" s="432">
        <v>156.5</v>
      </c>
      <c r="O201" s="432">
        <v>157.05000000000001</v>
      </c>
      <c r="P201" s="426"/>
      <c r="Q201" s="426"/>
      <c r="R201" s="426"/>
      <c r="S201" s="426"/>
      <c r="T201" s="426"/>
      <c r="U201" s="426"/>
      <c r="V201" s="113">
        <v>88</v>
      </c>
      <c r="W201" s="432">
        <v>138.12</v>
      </c>
      <c r="X201" s="432">
        <v>140.07</v>
      </c>
      <c r="Y201" s="432">
        <v>140.61000000000001</v>
      </c>
      <c r="Z201" s="426"/>
      <c r="AA201" s="426"/>
      <c r="AB201" s="426"/>
      <c r="AC201" s="426"/>
      <c r="AD201" s="426"/>
      <c r="AE201" s="426"/>
      <c r="AF201" s="113">
        <v>88</v>
      </c>
      <c r="AG201" s="432">
        <v>122.72</v>
      </c>
      <c r="AH201" s="432">
        <v>124.58</v>
      </c>
      <c r="AI201" s="432">
        <v>125.1</v>
      </c>
      <c r="AJ201" s="426"/>
      <c r="AK201" s="426"/>
      <c r="AL201" s="426"/>
      <c r="AM201" s="426"/>
      <c r="AN201" s="426"/>
      <c r="AO201" s="426"/>
      <c r="AP201" s="113">
        <v>88</v>
      </c>
      <c r="AQ201" s="432">
        <v>109.02</v>
      </c>
      <c r="AR201" s="432">
        <v>110.79</v>
      </c>
      <c r="AS201" s="432">
        <v>111.29</v>
      </c>
      <c r="AT201" s="426"/>
      <c r="AU201" s="426"/>
      <c r="AV201" s="426"/>
      <c r="AW201" s="426"/>
      <c r="AX201" s="426"/>
    </row>
    <row r="202" spans="1:50" x14ac:dyDescent="0.2">
      <c r="A202" s="426"/>
      <c r="B202" s="113">
        <v>89</v>
      </c>
      <c r="C202" s="432">
        <v>168.6</v>
      </c>
      <c r="D202" s="432">
        <v>170.6</v>
      </c>
      <c r="E202" s="432">
        <v>171.14</v>
      </c>
      <c r="F202" s="426"/>
      <c r="G202" s="426"/>
      <c r="H202" s="426"/>
      <c r="I202" s="426"/>
      <c r="J202" s="426"/>
      <c r="K202" s="426"/>
      <c r="L202" s="113">
        <v>89</v>
      </c>
      <c r="M202" s="432">
        <v>150.79</v>
      </c>
      <c r="N202" s="432">
        <v>152.77000000000001</v>
      </c>
      <c r="O202" s="432">
        <v>153.31</v>
      </c>
      <c r="P202" s="426"/>
      <c r="Q202" s="426"/>
      <c r="R202" s="426"/>
      <c r="S202" s="426"/>
      <c r="T202" s="426"/>
      <c r="U202" s="426"/>
      <c r="V202" s="113">
        <v>89</v>
      </c>
      <c r="W202" s="432">
        <v>133.28</v>
      </c>
      <c r="X202" s="432">
        <v>135.19</v>
      </c>
      <c r="Y202" s="432">
        <v>135.72</v>
      </c>
      <c r="Z202" s="426"/>
      <c r="AA202" s="426"/>
      <c r="AB202" s="426"/>
      <c r="AC202" s="426"/>
      <c r="AD202" s="426"/>
      <c r="AE202" s="426"/>
      <c r="AF202" s="113">
        <v>89</v>
      </c>
      <c r="AG202" s="432">
        <v>117.35</v>
      </c>
      <c r="AH202" s="432">
        <v>119.16</v>
      </c>
      <c r="AI202" s="432">
        <v>119.67</v>
      </c>
      <c r="AJ202" s="426"/>
      <c r="AK202" s="426"/>
      <c r="AL202" s="426"/>
      <c r="AM202" s="426"/>
      <c r="AN202" s="426"/>
      <c r="AO202" s="426"/>
      <c r="AP202" s="113">
        <v>89</v>
      </c>
      <c r="AQ202" s="432">
        <v>103.55</v>
      </c>
      <c r="AR202" s="432">
        <v>105.27</v>
      </c>
      <c r="AS202" s="432">
        <v>105.76</v>
      </c>
      <c r="AT202" s="426"/>
      <c r="AU202" s="426"/>
      <c r="AV202" s="426"/>
      <c r="AW202" s="426"/>
      <c r="AX202" s="426"/>
    </row>
    <row r="203" spans="1:50" x14ac:dyDescent="0.2">
      <c r="A203" s="426"/>
      <c r="B203" s="113">
        <v>90</v>
      </c>
      <c r="C203" s="432">
        <v>166.22</v>
      </c>
      <c r="D203" s="432">
        <v>168.21</v>
      </c>
      <c r="E203" s="432">
        <v>168.75</v>
      </c>
      <c r="F203" s="426"/>
      <c r="G203" s="426"/>
      <c r="H203" s="426"/>
      <c r="I203" s="426"/>
      <c r="J203" s="426"/>
      <c r="K203" s="426"/>
      <c r="L203" s="113">
        <v>90</v>
      </c>
      <c r="M203" s="432">
        <v>146.69999999999999</v>
      </c>
      <c r="N203" s="432">
        <v>148.65</v>
      </c>
      <c r="O203" s="432">
        <v>149.19</v>
      </c>
      <c r="P203" s="426"/>
      <c r="Q203" s="426"/>
      <c r="R203" s="426"/>
      <c r="S203" s="426"/>
      <c r="T203" s="426"/>
      <c r="U203" s="426"/>
      <c r="V203" s="113">
        <v>90</v>
      </c>
      <c r="W203" s="432">
        <v>128.22</v>
      </c>
      <c r="X203" s="432">
        <v>130.09</v>
      </c>
      <c r="Y203" s="432">
        <v>130.61000000000001</v>
      </c>
      <c r="Z203" s="426"/>
      <c r="AA203" s="426"/>
      <c r="AB203" s="426"/>
      <c r="AC203" s="426"/>
      <c r="AD203" s="426"/>
      <c r="AE203" s="426"/>
      <c r="AF203" s="113">
        <v>90</v>
      </c>
      <c r="AG203" s="432">
        <v>111.92</v>
      </c>
      <c r="AH203" s="432">
        <v>113.68</v>
      </c>
      <c r="AI203" s="432">
        <v>114.19</v>
      </c>
      <c r="AJ203" s="426"/>
      <c r="AK203" s="426"/>
      <c r="AL203" s="426"/>
      <c r="AM203" s="426"/>
      <c r="AN203" s="426"/>
      <c r="AO203" s="426"/>
      <c r="AP203" s="113">
        <v>90</v>
      </c>
      <c r="AQ203" s="432">
        <v>98.14</v>
      </c>
      <c r="AR203" s="432">
        <v>99.81</v>
      </c>
      <c r="AS203" s="432">
        <v>100.3</v>
      </c>
      <c r="AT203" s="426"/>
      <c r="AU203" s="426"/>
      <c r="AV203" s="426"/>
      <c r="AW203" s="426"/>
      <c r="AX203" s="426"/>
    </row>
    <row r="204" spans="1:50" x14ac:dyDescent="0.2">
      <c r="A204" s="426"/>
      <c r="B204" s="113">
        <v>91</v>
      </c>
      <c r="C204" s="432">
        <v>163.36000000000001</v>
      </c>
      <c r="D204" s="432">
        <v>165.33</v>
      </c>
      <c r="E204" s="432">
        <v>165.87</v>
      </c>
      <c r="F204" s="426"/>
      <c r="G204" s="426"/>
      <c r="H204" s="426"/>
      <c r="I204" s="426"/>
      <c r="J204" s="426"/>
      <c r="K204" s="426"/>
      <c r="L204" s="113">
        <v>91</v>
      </c>
      <c r="M204" s="432">
        <v>142.26</v>
      </c>
      <c r="N204" s="432">
        <v>144.18</v>
      </c>
      <c r="O204" s="432">
        <v>144.71</v>
      </c>
      <c r="P204" s="426"/>
      <c r="Q204" s="426"/>
      <c r="R204" s="426"/>
      <c r="S204" s="426"/>
      <c r="T204" s="426"/>
      <c r="U204" s="426"/>
      <c r="V204" s="113">
        <v>91</v>
      </c>
      <c r="W204" s="432">
        <v>122.99</v>
      </c>
      <c r="X204" s="432">
        <v>124.81</v>
      </c>
      <c r="Y204" s="432">
        <v>125.33</v>
      </c>
      <c r="Z204" s="426"/>
      <c r="AA204" s="426"/>
      <c r="AB204" s="426"/>
      <c r="AC204" s="426"/>
      <c r="AD204" s="426"/>
      <c r="AE204" s="426"/>
      <c r="AF204" s="113">
        <v>91</v>
      </c>
      <c r="AG204" s="432">
        <v>106.47</v>
      </c>
      <c r="AH204" s="432">
        <v>108.18</v>
      </c>
      <c r="AI204" s="432">
        <v>108.68</v>
      </c>
      <c r="AJ204" s="426"/>
      <c r="AK204" s="426"/>
      <c r="AL204" s="426"/>
      <c r="AM204" s="426"/>
      <c r="AN204" s="426"/>
      <c r="AO204" s="426"/>
      <c r="AP204" s="113">
        <v>91</v>
      </c>
      <c r="AQ204" s="432">
        <v>92.82</v>
      </c>
      <c r="AR204" s="432">
        <v>94.45</v>
      </c>
      <c r="AS204" s="432">
        <v>94.93</v>
      </c>
      <c r="AT204" s="426"/>
      <c r="AU204" s="426"/>
      <c r="AV204" s="426"/>
      <c r="AW204" s="426"/>
      <c r="AX204" s="426"/>
    </row>
    <row r="205" spans="1:50" x14ac:dyDescent="0.2">
      <c r="A205" s="426"/>
      <c r="B205" s="113">
        <v>92</v>
      </c>
      <c r="C205" s="432">
        <v>160.04</v>
      </c>
      <c r="D205" s="432">
        <v>161.99</v>
      </c>
      <c r="E205" s="432">
        <v>162.53</v>
      </c>
      <c r="F205" s="426"/>
      <c r="G205" s="426"/>
      <c r="H205" s="426"/>
      <c r="I205" s="426"/>
      <c r="J205" s="426"/>
      <c r="K205" s="426"/>
      <c r="L205" s="113">
        <v>92</v>
      </c>
      <c r="M205" s="432">
        <v>137.52000000000001</v>
      </c>
      <c r="N205" s="432">
        <v>139.41</v>
      </c>
      <c r="O205" s="432">
        <v>139.94</v>
      </c>
      <c r="P205" s="426"/>
      <c r="Q205" s="426"/>
      <c r="R205" s="426"/>
      <c r="S205" s="426"/>
      <c r="T205" s="426"/>
      <c r="U205" s="426"/>
      <c r="V205" s="113">
        <v>92</v>
      </c>
      <c r="W205" s="432">
        <v>117.64</v>
      </c>
      <c r="X205" s="432">
        <v>119.42</v>
      </c>
      <c r="Y205" s="432">
        <v>119.93</v>
      </c>
      <c r="Z205" s="426"/>
      <c r="AA205" s="426"/>
      <c r="AB205" s="426"/>
      <c r="AC205" s="426"/>
      <c r="AD205" s="426"/>
      <c r="AE205" s="426"/>
      <c r="AF205" s="113">
        <v>92</v>
      </c>
      <c r="AG205" s="432">
        <v>101.04</v>
      </c>
      <c r="AH205" s="432">
        <v>102.71</v>
      </c>
      <c r="AI205" s="432">
        <v>103.2</v>
      </c>
      <c r="AJ205" s="426"/>
      <c r="AK205" s="426"/>
      <c r="AL205" s="426"/>
      <c r="AM205" s="426"/>
      <c r="AN205" s="426"/>
      <c r="AO205" s="426"/>
      <c r="AP205" s="113">
        <v>92</v>
      </c>
      <c r="AQ205" s="432">
        <v>87.62</v>
      </c>
      <c r="AR205" s="432">
        <v>89.22</v>
      </c>
      <c r="AS205" s="432">
        <v>89.69</v>
      </c>
      <c r="AT205" s="426"/>
      <c r="AU205" s="426"/>
      <c r="AV205" s="426"/>
      <c r="AW205" s="426"/>
      <c r="AX205" s="426"/>
    </row>
    <row r="206" spans="1:50" x14ac:dyDescent="0.2">
      <c r="A206" s="426"/>
      <c r="B206" s="113">
        <v>93</v>
      </c>
      <c r="C206" s="432">
        <v>156.30000000000001</v>
      </c>
      <c r="D206" s="432">
        <v>158.22</v>
      </c>
      <c r="E206" s="432">
        <v>158.77000000000001</v>
      </c>
      <c r="F206" s="426"/>
      <c r="G206" s="426"/>
      <c r="H206" s="426"/>
      <c r="I206" s="426"/>
      <c r="J206" s="426"/>
      <c r="K206" s="426"/>
      <c r="L206" s="113">
        <v>93</v>
      </c>
      <c r="M206" s="432">
        <v>132.54</v>
      </c>
      <c r="N206" s="432">
        <v>134.38999999999999</v>
      </c>
      <c r="O206" s="432">
        <v>134.91999999999999</v>
      </c>
      <c r="P206" s="426"/>
      <c r="Q206" s="426"/>
      <c r="R206" s="426"/>
      <c r="S206" s="426"/>
      <c r="T206" s="426"/>
      <c r="U206" s="426"/>
      <c r="V206" s="113">
        <v>93</v>
      </c>
      <c r="W206" s="432">
        <v>112.23</v>
      </c>
      <c r="X206" s="432">
        <v>113.96</v>
      </c>
      <c r="Y206" s="432">
        <v>114.46</v>
      </c>
      <c r="Z206" s="426"/>
      <c r="AA206" s="426"/>
      <c r="AB206" s="426"/>
      <c r="AC206" s="426"/>
      <c r="AD206" s="426"/>
      <c r="AE206" s="426"/>
      <c r="AF206" s="113">
        <v>93</v>
      </c>
      <c r="AG206" s="432">
        <v>95.67</v>
      </c>
      <c r="AH206" s="432">
        <v>97.31</v>
      </c>
      <c r="AI206" s="432">
        <v>97.79</v>
      </c>
      <c r="AJ206" s="426"/>
      <c r="AK206" s="426"/>
      <c r="AL206" s="426"/>
      <c r="AM206" s="426"/>
      <c r="AN206" s="426"/>
      <c r="AO206" s="426"/>
      <c r="AP206" s="113">
        <v>93</v>
      </c>
      <c r="AQ206" s="432">
        <v>82.58</v>
      </c>
      <c r="AR206" s="432">
        <v>84.13</v>
      </c>
      <c r="AS206" s="432">
        <v>84.6</v>
      </c>
      <c r="AT206" s="426"/>
      <c r="AU206" s="426"/>
      <c r="AV206" s="426"/>
      <c r="AW206" s="426"/>
      <c r="AX206" s="426"/>
    </row>
    <row r="207" spans="1:50" x14ac:dyDescent="0.2">
      <c r="A207" s="426"/>
      <c r="B207" s="113">
        <v>94</v>
      </c>
      <c r="C207" s="432">
        <v>152.18</v>
      </c>
      <c r="D207" s="432">
        <v>154.08000000000001</v>
      </c>
      <c r="E207" s="432">
        <v>154.63</v>
      </c>
      <c r="F207" s="426"/>
      <c r="G207" s="426"/>
      <c r="H207" s="426"/>
      <c r="I207" s="426"/>
      <c r="J207" s="426"/>
      <c r="K207" s="426"/>
      <c r="L207" s="113">
        <v>94</v>
      </c>
      <c r="M207" s="432">
        <v>127.37</v>
      </c>
      <c r="N207" s="432">
        <v>129.19</v>
      </c>
      <c r="O207" s="432">
        <v>129.71</v>
      </c>
      <c r="P207" s="426"/>
      <c r="Q207" s="426"/>
      <c r="R207" s="426"/>
      <c r="S207" s="426"/>
      <c r="T207" s="426"/>
      <c r="U207" s="426"/>
      <c r="V207" s="113">
        <v>94</v>
      </c>
      <c r="W207" s="432">
        <v>106.79</v>
      </c>
      <c r="X207" s="432">
        <v>108.47</v>
      </c>
      <c r="Y207" s="432">
        <v>108.98</v>
      </c>
      <c r="Z207" s="426"/>
      <c r="AA207" s="426"/>
      <c r="AB207" s="426"/>
      <c r="AC207" s="426"/>
      <c r="AD207" s="426"/>
      <c r="AE207" s="426"/>
      <c r="AF207" s="113">
        <v>94</v>
      </c>
      <c r="AG207" s="432">
        <v>90.41</v>
      </c>
      <c r="AH207" s="432">
        <v>92</v>
      </c>
      <c r="AI207" s="432">
        <v>92.48</v>
      </c>
      <c r="AJ207" s="426"/>
      <c r="AK207" s="426"/>
      <c r="AL207" s="426"/>
      <c r="AM207" s="426"/>
      <c r="AN207" s="426"/>
      <c r="AO207" s="426"/>
      <c r="AP207" s="113">
        <v>94</v>
      </c>
      <c r="AQ207" s="432">
        <v>77.7</v>
      </c>
      <c r="AR207" s="432">
        <v>79.22</v>
      </c>
      <c r="AS207" s="432">
        <v>79.680000000000007</v>
      </c>
      <c r="AT207" s="426"/>
      <c r="AU207" s="426"/>
      <c r="AV207" s="426"/>
      <c r="AW207" s="426"/>
      <c r="AX207" s="426"/>
    </row>
    <row r="208" spans="1:50" x14ac:dyDescent="0.2">
      <c r="A208" s="426"/>
      <c r="B208" s="113">
        <v>95</v>
      </c>
      <c r="C208" s="432">
        <v>147.72999999999999</v>
      </c>
      <c r="D208" s="432">
        <v>149.61000000000001</v>
      </c>
      <c r="E208" s="432">
        <v>150.15</v>
      </c>
      <c r="F208" s="426"/>
      <c r="G208" s="426"/>
      <c r="H208" s="426"/>
      <c r="I208" s="426"/>
      <c r="J208" s="426"/>
      <c r="K208" s="426"/>
      <c r="L208" s="113">
        <v>95</v>
      </c>
      <c r="M208" s="432">
        <v>122.07</v>
      </c>
      <c r="N208" s="432">
        <v>123.84</v>
      </c>
      <c r="O208" s="432">
        <v>124.37</v>
      </c>
      <c r="P208" s="426"/>
      <c r="Q208" s="426"/>
      <c r="R208" s="426"/>
      <c r="S208" s="426"/>
      <c r="T208" s="426"/>
      <c r="U208" s="426"/>
      <c r="V208" s="113">
        <v>95</v>
      </c>
      <c r="W208" s="432">
        <v>101.37</v>
      </c>
      <c r="X208" s="432">
        <v>103.02</v>
      </c>
      <c r="Y208" s="432">
        <v>103.51</v>
      </c>
      <c r="Z208" s="426"/>
      <c r="AA208" s="426"/>
      <c r="AB208" s="426"/>
      <c r="AC208" s="426"/>
      <c r="AD208" s="426"/>
      <c r="AE208" s="426"/>
      <c r="AF208" s="113">
        <v>95</v>
      </c>
      <c r="AG208" s="432">
        <v>85.26</v>
      </c>
      <c r="AH208" s="432">
        <v>86.82</v>
      </c>
      <c r="AI208" s="432">
        <v>87.3</v>
      </c>
      <c r="AJ208" s="426"/>
      <c r="AK208" s="426"/>
      <c r="AL208" s="426"/>
      <c r="AM208" s="426"/>
      <c r="AN208" s="426"/>
      <c r="AO208" s="426"/>
      <c r="AP208" s="113">
        <v>95</v>
      </c>
      <c r="AQ208" s="432">
        <v>73.010000000000005</v>
      </c>
      <c r="AR208" s="432">
        <v>74.5</v>
      </c>
      <c r="AS208" s="432">
        <v>74.95</v>
      </c>
      <c r="AT208" s="426"/>
      <c r="AU208" s="426"/>
      <c r="AV208" s="426"/>
      <c r="AW208" s="426"/>
      <c r="AX208" s="426"/>
    </row>
    <row r="209" spans="1:50" x14ac:dyDescent="0.2">
      <c r="A209" s="426"/>
      <c r="B209" s="113">
        <v>96</v>
      </c>
      <c r="C209" s="432">
        <v>143.01</v>
      </c>
      <c r="D209" s="432">
        <v>144.87</v>
      </c>
      <c r="E209" s="432">
        <v>145.41</v>
      </c>
      <c r="F209" s="426"/>
      <c r="G209" s="426"/>
      <c r="H209" s="426"/>
      <c r="I209" s="426"/>
      <c r="J209" s="426"/>
      <c r="K209" s="426"/>
      <c r="L209" s="113">
        <v>96</v>
      </c>
      <c r="M209" s="432">
        <v>116.69</v>
      </c>
      <c r="N209" s="432">
        <v>118.43</v>
      </c>
      <c r="O209" s="432">
        <v>118.94</v>
      </c>
      <c r="P209" s="426"/>
      <c r="Q209" s="426"/>
      <c r="R209" s="426"/>
      <c r="S209" s="426"/>
      <c r="T209" s="426"/>
      <c r="U209" s="426"/>
      <c r="V209" s="113">
        <v>96</v>
      </c>
      <c r="W209" s="432">
        <v>96.01</v>
      </c>
      <c r="X209" s="432">
        <v>97.63</v>
      </c>
      <c r="Y209" s="432">
        <v>98.12</v>
      </c>
      <c r="Z209" s="426"/>
      <c r="AA209" s="426"/>
      <c r="AB209" s="426"/>
      <c r="AC209" s="426"/>
      <c r="AD209" s="426"/>
      <c r="AE209" s="426"/>
      <c r="AF209" s="113">
        <v>96</v>
      </c>
      <c r="AG209" s="432">
        <v>80.28</v>
      </c>
      <c r="AH209" s="432">
        <v>81.81</v>
      </c>
      <c r="AI209" s="432">
        <v>82.27</v>
      </c>
      <c r="AJ209" s="426"/>
      <c r="AK209" s="426"/>
      <c r="AL209" s="426"/>
      <c r="AM209" s="426"/>
      <c r="AN209" s="426"/>
      <c r="AO209" s="426"/>
      <c r="AP209" s="113">
        <v>96</v>
      </c>
      <c r="AQ209" s="432">
        <v>68.52</v>
      </c>
      <c r="AR209" s="432">
        <v>69.98</v>
      </c>
      <c r="AS209" s="432">
        <v>70.430000000000007</v>
      </c>
      <c r="AT209" s="426"/>
      <c r="AU209" s="426"/>
      <c r="AV209" s="426"/>
      <c r="AW209" s="426"/>
      <c r="AX209" s="426"/>
    </row>
    <row r="210" spans="1:50" x14ac:dyDescent="0.2">
      <c r="A210" s="426"/>
      <c r="B210" s="113">
        <v>97</v>
      </c>
      <c r="C210" s="432">
        <v>138.09</v>
      </c>
      <c r="D210" s="432">
        <v>139.91999999999999</v>
      </c>
      <c r="E210" s="432">
        <v>140.46</v>
      </c>
      <c r="F210" s="426"/>
      <c r="G210" s="426"/>
      <c r="H210" s="426"/>
      <c r="I210" s="426"/>
      <c r="J210" s="426"/>
      <c r="K210" s="426"/>
      <c r="L210" s="113">
        <v>97</v>
      </c>
      <c r="M210" s="432">
        <v>111.28</v>
      </c>
      <c r="N210" s="432">
        <v>112.98</v>
      </c>
      <c r="O210" s="432">
        <v>113.5</v>
      </c>
      <c r="P210" s="426"/>
      <c r="Q210" s="426"/>
      <c r="R210" s="426"/>
      <c r="S210" s="426"/>
      <c r="T210" s="426"/>
      <c r="U210" s="426"/>
      <c r="V210" s="113">
        <v>97</v>
      </c>
      <c r="W210" s="432">
        <v>90.76</v>
      </c>
      <c r="X210" s="432">
        <v>92.34</v>
      </c>
      <c r="Y210" s="432">
        <v>92.83</v>
      </c>
      <c r="Z210" s="426"/>
      <c r="AA210" s="426"/>
      <c r="AB210" s="426"/>
      <c r="AC210" s="426"/>
      <c r="AD210" s="426"/>
      <c r="AE210" s="426"/>
      <c r="AF210" s="113">
        <v>97</v>
      </c>
      <c r="AG210" s="432">
        <v>75.47</v>
      </c>
      <c r="AH210" s="432">
        <v>76.97</v>
      </c>
      <c r="AI210" s="432">
        <v>77.430000000000007</v>
      </c>
      <c r="AJ210" s="426"/>
      <c r="AK210" s="426"/>
      <c r="AL210" s="426"/>
      <c r="AM210" s="426"/>
      <c r="AN210" s="426"/>
      <c r="AO210" s="426"/>
      <c r="AP210" s="113">
        <v>97</v>
      </c>
      <c r="AQ210" s="432">
        <v>64.23</v>
      </c>
      <c r="AR210" s="432">
        <v>65.680000000000007</v>
      </c>
      <c r="AS210" s="432">
        <v>66.12</v>
      </c>
      <c r="AT210" s="426"/>
      <c r="AU210" s="426"/>
      <c r="AV210" s="426"/>
      <c r="AW210" s="426"/>
      <c r="AX210" s="426"/>
    </row>
    <row r="211" spans="1:50" x14ac:dyDescent="0.2">
      <c r="A211" s="426"/>
      <c r="B211" s="113">
        <v>98</v>
      </c>
      <c r="C211" s="432">
        <v>133.02000000000001</v>
      </c>
      <c r="D211" s="432">
        <v>134.82</v>
      </c>
      <c r="E211" s="432">
        <v>135.36000000000001</v>
      </c>
      <c r="F211" s="426"/>
      <c r="G211" s="426"/>
      <c r="H211" s="426"/>
      <c r="I211" s="426"/>
      <c r="J211" s="426"/>
      <c r="K211" s="426"/>
      <c r="L211" s="113">
        <v>98</v>
      </c>
      <c r="M211" s="432">
        <v>105.91</v>
      </c>
      <c r="N211" s="432">
        <v>107.58</v>
      </c>
      <c r="O211" s="432">
        <v>108.09</v>
      </c>
      <c r="P211" s="426"/>
      <c r="Q211" s="426"/>
      <c r="R211" s="426"/>
      <c r="S211" s="426"/>
      <c r="T211" s="426"/>
      <c r="U211" s="426"/>
      <c r="V211" s="113">
        <v>98</v>
      </c>
      <c r="W211" s="432">
        <v>85.65</v>
      </c>
      <c r="X211" s="432">
        <v>87.21</v>
      </c>
      <c r="Y211" s="432">
        <v>87.69</v>
      </c>
      <c r="Z211" s="426"/>
      <c r="AA211" s="426"/>
      <c r="AB211" s="426"/>
      <c r="AC211" s="426"/>
      <c r="AD211" s="426"/>
      <c r="AE211" s="426"/>
      <c r="AF211" s="113">
        <v>98</v>
      </c>
      <c r="AG211" s="432">
        <v>70.86</v>
      </c>
      <c r="AH211" s="432">
        <v>72.34</v>
      </c>
      <c r="AI211" s="432">
        <v>72.8</v>
      </c>
      <c r="AJ211" s="426"/>
      <c r="AK211" s="426"/>
      <c r="AL211" s="426"/>
      <c r="AM211" s="426"/>
      <c r="AN211" s="426"/>
      <c r="AO211" s="426"/>
      <c r="AP211" s="113">
        <v>98</v>
      </c>
      <c r="AQ211" s="432">
        <v>60.17</v>
      </c>
      <c r="AR211" s="432">
        <v>61.6</v>
      </c>
      <c r="AS211" s="432">
        <v>62.03</v>
      </c>
      <c r="AT211" s="426"/>
      <c r="AU211" s="426"/>
      <c r="AV211" s="426"/>
      <c r="AW211" s="426"/>
      <c r="AX211" s="426"/>
    </row>
    <row r="212" spans="1:50" x14ac:dyDescent="0.2">
      <c r="A212" s="426"/>
      <c r="B212" s="113">
        <v>99</v>
      </c>
      <c r="C212" s="432">
        <v>127.89</v>
      </c>
      <c r="D212" s="432">
        <v>129.66999999999999</v>
      </c>
      <c r="E212" s="432">
        <v>130.21</v>
      </c>
      <c r="F212" s="426"/>
      <c r="G212" s="426"/>
      <c r="H212" s="426"/>
      <c r="I212" s="426"/>
      <c r="J212" s="426"/>
      <c r="K212" s="426"/>
      <c r="L212" s="113">
        <v>99</v>
      </c>
      <c r="M212" s="432">
        <v>100.63</v>
      </c>
      <c r="N212" s="432">
        <v>102.26</v>
      </c>
      <c r="O212" s="432">
        <v>102.77</v>
      </c>
      <c r="P212" s="426"/>
      <c r="Q212" s="426"/>
      <c r="R212" s="426"/>
      <c r="S212" s="426"/>
      <c r="T212" s="426"/>
      <c r="U212" s="426"/>
      <c r="V212" s="113">
        <v>99</v>
      </c>
      <c r="W212" s="432">
        <v>80.72</v>
      </c>
      <c r="X212" s="432">
        <v>82.25</v>
      </c>
      <c r="Y212" s="432">
        <v>82.73</v>
      </c>
      <c r="Z212" s="426"/>
      <c r="AA212" s="426"/>
      <c r="AB212" s="426"/>
      <c r="AC212" s="426"/>
      <c r="AD212" s="426"/>
      <c r="AE212" s="426"/>
      <c r="AF212" s="113">
        <v>99</v>
      </c>
      <c r="AG212" s="432">
        <v>66.47</v>
      </c>
      <c r="AH212" s="432">
        <v>67.930000000000007</v>
      </c>
      <c r="AI212" s="432">
        <v>68.39</v>
      </c>
      <c r="AJ212" s="426"/>
      <c r="AK212" s="426"/>
      <c r="AL212" s="426"/>
      <c r="AM212" s="426"/>
      <c r="AN212" s="426"/>
      <c r="AO212" s="426"/>
      <c r="AP212" s="113">
        <v>99</v>
      </c>
      <c r="AQ212" s="432">
        <v>56.34</v>
      </c>
      <c r="AR212" s="432">
        <v>57.75</v>
      </c>
      <c r="AS212" s="432">
        <v>58.18</v>
      </c>
      <c r="AT212" s="426"/>
      <c r="AU212" s="426"/>
      <c r="AV212" s="426"/>
      <c r="AW212" s="426"/>
      <c r="AX212" s="426"/>
    </row>
    <row r="213" spans="1:50" x14ac:dyDescent="0.2">
      <c r="A213" s="426"/>
      <c r="B213" s="113">
        <v>100</v>
      </c>
      <c r="C213" s="432">
        <v>122.79</v>
      </c>
      <c r="D213" s="432">
        <v>124.54</v>
      </c>
      <c r="E213" s="432">
        <v>125.08</v>
      </c>
      <c r="F213" s="426"/>
      <c r="G213" s="426"/>
      <c r="H213" s="426"/>
      <c r="I213" s="426"/>
      <c r="J213" s="426"/>
      <c r="K213" s="426"/>
      <c r="L213" s="113">
        <v>100</v>
      </c>
      <c r="M213" s="432">
        <v>95.49</v>
      </c>
      <c r="N213" s="432">
        <v>97.1</v>
      </c>
      <c r="O213" s="432">
        <v>97.6</v>
      </c>
      <c r="P213" s="426"/>
      <c r="Q213" s="426"/>
      <c r="R213" s="426"/>
      <c r="S213" s="426"/>
      <c r="T213" s="426"/>
      <c r="U213" s="426"/>
      <c r="V213" s="113">
        <v>100</v>
      </c>
      <c r="W213" s="432">
        <v>76.010000000000005</v>
      </c>
      <c r="X213" s="432">
        <v>77.52</v>
      </c>
      <c r="Y213" s="432">
        <v>78</v>
      </c>
      <c r="Z213" s="426"/>
      <c r="AA213" s="426"/>
      <c r="AB213" s="426"/>
      <c r="AC213" s="426"/>
      <c r="AD213" s="426"/>
      <c r="AE213" s="426"/>
      <c r="AF213" s="113">
        <v>100</v>
      </c>
      <c r="AG213" s="432">
        <v>62.33</v>
      </c>
      <c r="AH213" s="432">
        <v>63.77</v>
      </c>
      <c r="AI213" s="432">
        <v>64.22</v>
      </c>
      <c r="AJ213" s="426"/>
      <c r="AK213" s="426"/>
      <c r="AL213" s="426"/>
      <c r="AM213" s="426"/>
      <c r="AN213" s="426"/>
      <c r="AO213" s="426"/>
      <c r="AP213" s="113">
        <v>100</v>
      </c>
      <c r="AQ213" s="432">
        <v>52.75</v>
      </c>
      <c r="AR213" s="432">
        <v>54.15</v>
      </c>
      <c r="AS213" s="432">
        <v>54.58</v>
      </c>
      <c r="AT213" s="426"/>
      <c r="AU213" s="426"/>
      <c r="AV213" s="426"/>
      <c r="AW213" s="426"/>
      <c r="AX213" s="426"/>
    </row>
    <row r="216" spans="1:50" x14ac:dyDescent="0.2">
      <c r="B216" s="145" t="s">
        <v>296</v>
      </c>
    </row>
    <row r="219" spans="1:50" x14ac:dyDescent="0.2">
      <c r="B219" s="425"/>
      <c r="C219" s="425"/>
      <c r="D219" s="425"/>
      <c r="E219" s="426"/>
      <c r="F219" s="426"/>
      <c r="G219" s="426"/>
      <c r="H219" s="426"/>
      <c r="I219" s="426"/>
      <c r="J219" s="427" t="s">
        <v>151</v>
      </c>
      <c r="K219" s="426"/>
      <c r="L219" s="425"/>
      <c r="M219" s="425"/>
      <c r="N219" s="425"/>
      <c r="O219" s="426"/>
      <c r="P219" s="426"/>
      <c r="Q219" s="426"/>
      <c r="R219" s="426"/>
      <c r="S219" s="426"/>
      <c r="T219" s="427" t="s">
        <v>151</v>
      </c>
      <c r="U219" s="426"/>
      <c r="V219" s="425"/>
      <c r="W219" s="425"/>
      <c r="X219" s="425"/>
      <c r="Y219" s="426"/>
      <c r="Z219" s="426"/>
      <c r="AA219" s="426"/>
      <c r="AB219" s="426"/>
      <c r="AC219" s="426"/>
      <c r="AD219" s="427" t="s">
        <v>151</v>
      </c>
      <c r="AE219" s="426"/>
      <c r="AF219" s="425"/>
      <c r="AG219" s="425"/>
      <c r="AH219" s="425"/>
      <c r="AI219" s="426"/>
      <c r="AJ219" s="426"/>
      <c r="AK219" s="426"/>
      <c r="AL219" s="426"/>
      <c r="AM219" s="426"/>
      <c r="AN219" s="427" t="s">
        <v>151</v>
      </c>
    </row>
    <row r="220" spans="1:50" x14ac:dyDescent="0.2">
      <c r="B220" s="430" t="s">
        <v>301</v>
      </c>
      <c r="C220" s="426"/>
      <c r="D220" s="426"/>
      <c r="E220" s="426"/>
      <c r="F220" s="426"/>
      <c r="G220" s="426"/>
      <c r="H220" s="426"/>
      <c r="I220" s="426"/>
      <c r="J220" s="426"/>
      <c r="K220" s="426"/>
      <c r="L220" s="430" t="s">
        <v>302</v>
      </c>
      <c r="M220" s="426"/>
      <c r="N220" s="426"/>
      <c r="O220" s="426"/>
      <c r="P220" s="426"/>
      <c r="Q220" s="426"/>
      <c r="R220" s="426"/>
      <c r="S220" s="426"/>
      <c r="T220" s="426"/>
      <c r="U220" s="426"/>
      <c r="V220" s="430" t="s">
        <v>303</v>
      </c>
      <c r="W220" s="426"/>
      <c r="X220" s="426"/>
      <c r="Y220" s="426"/>
      <c r="Z220" s="426"/>
      <c r="AA220" s="426"/>
      <c r="AB220" s="426"/>
      <c r="AC220" s="426"/>
      <c r="AD220" s="426"/>
      <c r="AE220" s="426"/>
      <c r="AF220" s="430" t="s">
        <v>304</v>
      </c>
      <c r="AG220" s="426"/>
      <c r="AH220" s="426"/>
      <c r="AI220" s="426"/>
      <c r="AJ220" s="426"/>
      <c r="AK220" s="426"/>
      <c r="AL220" s="426"/>
      <c r="AM220" s="426"/>
      <c r="AN220" s="426"/>
    </row>
    <row r="221" spans="1:50" ht="13.7" customHeight="1" x14ac:dyDescent="0.2">
      <c r="B221" s="544" t="s">
        <v>297</v>
      </c>
      <c r="C221" s="545"/>
      <c r="D221" s="545"/>
      <c r="E221" s="545"/>
      <c r="F221" s="542"/>
      <c r="G221" s="542"/>
      <c r="H221" s="542"/>
      <c r="I221" s="542"/>
      <c r="J221" s="543"/>
      <c r="K221" s="426"/>
      <c r="L221" s="544" t="s">
        <v>298</v>
      </c>
      <c r="M221" s="545"/>
      <c r="N221" s="545"/>
      <c r="O221" s="545"/>
      <c r="P221" s="542"/>
      <c r="Q221" s="542"/>
      <c r="R221" s="542"/>
      <c r="S221" s="542"/>
      <c r="T221" s="543"/>
      <c r="U221" s="426"/>
      <c r="V221" s="544" t="s">
        <v>299</v>
      </c>
      <c r="W221" s="545"/>
      <c r="X221" s="545"/>
      <c r="Y221" s="545"/>
      <c r="Z221" s="542"/>
      <c r="AA221" s="542"/>
      <c r="AB221" s="542"/>
      <c r="AC221" s="542"/>
      <c r="AD221" s="543"/>
      <c r="AE221" s="426"/>
      <c r="AF221" s="544" t="s">
        <v>300</v>
      </c>
      <c r="AG221" s="545"/>
      <c r="AH221" s="545"/>
      <c r="AI221" s="545"/>
      <c r="AJ221" s="542"/>
      <c r="AK221" s="542"/>
      <c r="AL221" s="542"/>
      <c r="AM221" s="542"/>
      <c r="AN221" s="543"/>
    </row>
    <row r="222" spans="1:50" ht="25.5" x14ac:dyDescent="0.2">
      <c r="B222" s="141" t="s">
        <v>1</v>
      </c>
      <c r="C222" s="141" t="s">
        <v>274</v>
      </c>
      <c r="D222" s="141" t="s">
        <v>275</v>
      </c>
      <c r="E222" s="141" t="s">
        <v>276</v>
      </c>
      <c r="F222" s="431"/>
      <c r="G222" s="141"/>
      <c r="H222" s="141"/>
      <c r="I222" s="141"/>
      <c r="J222" s="141"/>
      <c r="K222" s="426"/>
      <c r="L222" s="141" t="s">
        <v>1</v>
      </c>
      <c r="M222" s="141" t="s">
        <v>274</v>
      </c>
      <c r="N222" s="141" t="s">
        <v>275</v>
      </c>
      <c r="O222" s="141" t="s">
        <v>276</v>
      </c>
      <c r="P222" s="431"/>
      <c r="Q222" s="141"/>
      <c r="R222" s="141"/>
      <c r="S222" s="141"/>
      <c r="T222" s="141"/>
      <c r="U222" s="426"/>
      <c r="V222" s="141" t="s">
        <v>1</v>
      </c>
      <c r="W222" s="141" t="s">
        <v>274</v>
      </c>
      <c r="X222" s="141" t="s">
        <v>275</v>
      </c>
      <c r="Y222" s="141" t="s">
        <v>276</v>
      </c>
      <c r="Z222" s="431"/>
      <c r="AA222" s="141"/>
      <c r="AB222" s="141"/>
      <c r="AC222" s="141"/>
      <c r="AD222" s="141"/>
      <c r="AE222" s="426"/>
      <c r="AF222" s="141" t="s">
        <v>1</v>
      </c>
      <c r="AG222" s="141" t="s">
        <v>274</v>
      </c>
      <c r="AH222" s="141" t="s">
        <v>275</v>
      </c>
      <c r="AI222" s="141" t="s">
        <v>276</v>
      </c>
      <c r="AJ222" s="431"/>
      <c r="AK222" s="141"/>
      <c r="AL222" s="141"/>
      <c r="AM222" s="141"/>
      <c r="AN222" s="141"/>
    </row>
    <row r="223" spans="1:50" x14ac:dyDescent="0.2">
      <c r="A223" s="426"/>
      <c r="B223" s="113">
        <v>0</v>
      </c>
      <c r="C223" s="432">
        <v>68.58</v>
      </c>
      <c r="D223" s="432">
        <v>69.150000000000006</v>
      </c>
      <c r="E223" s="432">
        <v>69.47</v>
      </c>
      <c r="F223" s="426"/>
      <c r="G223" s="426"/>
      <c r="H223" s="426"/>
      <c r="I223" s="426"/>
      <c r="J223" s="426"/>
      <c r="K223" s="426"/>
      <c r="L223" s="113">
        <v>0</v>
      </c>
      <c r="M223" s="432">
        <v>72.28</v>
      </c>
      <c r="N223" s="432">
        <v>72.92</v>
      </c>
      <c r="O223" s="432">
        <v>73.27</v>
      </c>
      <c r="P223" s="426"/>
      <c r="Q223" s="426"/>
      <c r="R223" s="426"/>
      <c r="S223" s="426"/>
      <c r="T223" s="426"/>
      <c r="U223" s="426"/>
      <c r="V223" s="113">
        <v>0</v>
      </c>
      <c r="W223" s="432">
        <v>76.14</v>
      </c>
      <c r="X223" s="432">
        <v>76.87</v>
      </c>
      <c r="Y223" s="432">
        <v>77.239999999999995</v>
      </c>
      <c r="Z223" s="426"/>
      <c r="AA223" s="426"/>
      <c r="AB223" s="426"/>
      <c r="AC223" s="426"/>
      <c r="AD223" s="426"/>
      <c r="AE223" s="426"/>
      <c r="AF223" s="113">
        <v>0</v>
      </c>
      <c r="AG223" s="432">
        <v>80.180000000000007</v>
      </c>
      <c r="AH223" s="432">
        <v>80.989999999999995</v>
      </c>
      <c r="AI223" s="432">
        <v>81.39</v>
      </c>
      <c r="AJ223" s="426"/>
      <c r="AK223" s="426"/>
      <c r="AL223" s="426"/>
      <c r="AM223" s="426"/>
      <c r="AN223" s="426"/>
    </row>
    <row r="224" spans="1:50" x14ac:dyDescent="0.2">
      <c r="A224" s="433"/>
      <c r="B224" s="113">
        <v>1</v>
      </c>
      <c r="C224" s="432">
        <v>68.73</v>
      </c>
      <c r="D224" s="432">
        <v>69.3</v>
      </c>
      <c r="E224" s="432">
        <v>69.62</v>
      </c>
      <c r="F224" s="426"/>
      <c r="G224" s="426"/>
      <c r="H224" s="426"/>
      <c r="I224" s="426"/>
      <c r="J224" s="426"/>
      <c r="K224" s="433"/>
      <c r="L224" s="113">
        <v>1</v>
      </c>
      <c r="M224" s="432">
        <v>72.44</v>
      </c>
      <c r="N224" s="432">
        <v>73.099999999999994</v>
      </c>
      <c r="O224" s="432">
        <v>73.44</v>
      </c>
      <c r="P224" s="426"/>
      <c r="Q224" s="426"/>
      <c r="R224" s="426"/>
      <c r="S224" s="426"/>
      <c r="T224" s="426"/>
      <c r="U224" s="433"/>
      <c r="V224" s="113">
        <v>1</v>
      </c>
      <c r="W224" s="432">
        <v>76.33</v>
      </c>
      <c r="X224" s="432">
        <v>77.06</v>
      </c>
      <c r="Y224" s="432">
        <v>77.430000000000007</v>
      </c>
      <c r="Z224" s="426"/>
      <c r="AA224" s="426"/>
      <c r="AB224" s="426"/>
      <c r="AC224" s="426"/>
      <c r="AD224" s="426"/>
      <c r="AE224" s="433"/>
      <c r="AF224" s="113">
        <v>1</v>
      </c>
      <c r="AG224" s="432">
        <v>80.38</v>
      </c>
      <c r="AH224" s="432">
        <v>81.209999999999994</v>
      </c>
      <c r="AI224" s="432">
        <v>81.599999999999994</v>
      </c>
      <c r="AJ224" s="426"/>
      <c r="AK224" s="426"/>
      <c r="AL224" s="426"/>
      <c r="AM224" s="426"/>
      <c r="AN224" s="426"/>
    </row>
    <row r="225" spans="1:40" x14ac:dyDescent="0.2">
      <c r="A225" s="433"/>
      <c r="B225" s="113">
        <v>2</v>
      </c>
      <c r="C225" s="432">
        <v>68.88</v>
      </c>
      <c r="D225" s="432">
        <v>69.459999999999994</v>
      </c>
      <c r="E225" s="432">
        <v>69.78</v>
      </c>
      <c r="F225" s="426"/>
      <c r="G225" s="426"/>
      <c r="H225" s="426"/>
      <c r="I225" s="426"/>
      <c r="J225" s="426"/>
      <c r="K225" s="433"/>
      <c r="L225" s="113">
        <v>2</v>
      </c>
      <c r="M225" s="432">
        <v>72.62</v>
      </c>
      <c r="N225" s="432">
        <v>73.27</v>
      </c>
      <c r="O225" s="432">
        <v>73.62</v>
      </c>
      <c r="P225" s="426"/>
      <c r="Q225" s="426"/>
      <c r="R225" s="426"/>
      <c r="S225" s="426"/>
      <c r="T225" s="426"/>
      <c r="U225" s="433"/>
      <c r="V225" s="113">
        <v>2</v>
      </c>
      <c r="W225" s="432">
        <v>76.52</v>
      </c>
      <c r="X225" s="432">
        <v>77.260000000000005</v>
      </c>
      <c r="Y225" s="432">
        <v>77.63</v>
      </c>
      <c r="Z225" s="426"/>
      <c r="AA225" s="426"/>
      <c r="AB225" s="426"/>
      <c r="AC225" s="426"/>
      <c r="AD225" s="426"/>
      <c r="AE225" s="433"/>
      <c r="AF225" s="113">
        <v>2</v>
      </c>
      <c r="AG225" s="432">
        <v>80.599999999999994</v>
      </c>
      <c r="AH225" s="432">
        <v>81.42</v>
      </c>
      <c r="AI225" s="432">
        <v>81.819999999999993</v>
      </c>
      <c r="AJ225" s="426"/>
      <c r="AK225" s="426"/>
      <c r="AL225" s="426"/>
      <c r="AM225" s="426"/>
      <c r="AN225" s="426"/>
    </row>
    <row r="226" spans="1:40" x14ac:dyDescent="0.2">
      <c r="A226" s="433"/>
      <c r="B226" s="113">
        <v>3</v>
      </c>
      <c r="C226" s="432">
        <v>69.05</v>
      </c>
      <c r="D226" s="432">
        <v>69.63</v>
      </c>
      <c r="E226" s="432">
        <v>69.95</v>
      </c>
      <c r="F226" s="426"/>
      <c r="G226" s="426"/>
      <c r="H226" s="426"/>
      <c r="I226" s="426"/>
      <c r="J226" s="426"/>
      <c r="K226" s="433"/>
      <c r="L226" s="113">
        <v>3</v>
      </c>
      <c r="M226" s="432">
        <v>72.8</v>
      </c>
      <c r="N226" s="432">
        <v>73.459999999999994</v>
      </c>
      <c r="O226" s="432">
        <v>73.8</v>
      </c>
      <c r="P226" s="426"/>
      <c r="Q226" s="426"/>
      <c r="R226" s="426"/>
      <c r="S226" s="426"/>
      <c r="T226" s="426"/>
      <c r="U226" s="433"/>
      <c r="V226" s="113">
        <v>3</v>
      </c>
      <c r="W226" s="432">
        <v>76.72</v>
      </c>
      <c r="X226" s="432">
        <v>77.459999999999994</v>
      </c>
      <c r="Y226" s="432">
        <v>77.84</v>
      </c>
      <c r="Z226" s="426"/>
      <c r="AA226" s="426"/>
      <c r="AB226" s="426"/>
      <c r="AC226" s="426"/>
      <c r="AD226" s="426"/>
      <c r="AE226" s="433"/>
      <c r="AF226" s="113">
        <v>3</v>
      </c>
      <c r="AG226" s="432">
        <v>80.819999999999993</v>
      </c>
      <c r="AH226" s="432">
        <v>81.650000000000006</v>
      </c>
      <c r="AI226" s="432">
        <v>82.05</v>
      </c>
      <c r="AJ226" s="426"/>
      <c r="AK226" s="426"/>
      <c r="AL226" s="426"/>
      <c r="AM226" s="426"/>
      <c r="AN226" s="426"/>
    </row>
    <row r="227" spans="1:40" x14ac:dyDescent="0.2">
      <c r="A227" s="433"/>
      <c r="B227" s="113">
        <v>4</v>
      </c>
      <c r="C227" s="432">
        <v>69.22</v>
      </c>
      <c r="D227" s="432">
        <v>69.8</v>
      </c>
      <c r="E227" s="432">
        <v>70.12</v>
      </c>
      <c r="F227" s="426"/>
      <c r="G227" s="426"/>
      <c r="H227" s="426"/>
      <c r="I227" s="426"/>
      <c r="J227" s="426"/>
      <c r="K227" s="433"/>
      <c r="L227" s="113">
        <v>4</v>
      </c>
      <c r="M227" s="432">
        <v>72.989999999999995</v>
      </c>
      <c r="N227" s="432">
        <v>73.650000000000006</v>
      </c>
      <c r="O227" s="432">
        <v>73.989999999999995</v>
      </c>
      <c r="P227" s="426"/>
      <c r="Q227" s="426"/>
      <c r="R227" s="426"/>
      <c r="S227" s="426"/>
      <c r="T227" s="426"/>
      <c r="U227" s="433"/>
      <c r="V227" s="113">
        <v>4</v>
      </c>
      <c r="W227" s="432">
        <v>76.930000000000007</v>
      </c>
      <c r="X227" s="432">
        <v>77.680000000000007</v>
      </c>
      <c r="Y227" s="432">
        <v>78.05</v>
      </c>
      <c r="Z227" s="426"/>
      <c r="AA227" s="426"/>
      <c r="AB227" s="426"/>
      <c r="AC227" s="426"/>
      <c r="AD227" s="426"/>
      <c r="AE227" s="433"/>
      <c r="AF227" s="113">
        <v>4</v>
      </c>
      <c r="AG227" s="432">
        <v>81.06</v>
      </c>
      <c r="AH227" s="432">
        <v>81.89</v>
      </c>
      <c r="AI227" s="432">
        <v>82.29</v>
      </c>
      <c r="AJ227" s="426"/>
      <c r="AK227" s="426"/>
      <c r="AL227" s="426"/>
      <c r="AM227" s="426"/>
      <c r="AN227" s="426"/>
    </row>
    <row r="228" spans="1:40" x14ac:dyDescent="0.2">
      <c r="A228" s="433"/>
      <c r="B228" s="113">
        <v>5</v>
      </c>
      <c r="C228" s="432">
        <v>69.39</v>
      </c>
      <c r="D228" s="432">
        <v>69.98</v>
      </c>
      <c r="E228" s="432">
        <v>70.3</v>
      </c>
      <c r="F228" s="426"/>
      <c r="G228" s="426"/>
      <c r="H228" s="426"/>
      <c r="I228" s="426"/>
      <c r="J228" s="426"/>
      <c r="K228" s="433"/>
      <c r="L228" s="113">
        <v>5</v>
      </c>
      <c r="M228" s="432">
        <v>73.180000000000007</v>
      </c>
      <c r="N228" s="432">
        <v>73.849999999999994</v>
      </c>
      <c r="O228" s="432">
        <v>74.2</v>
      </c>
      <c r="P228" s="426"/>
      <c r="Q228" s="426"/>
      <c r="R228" s="426"/>
      <c r="S228" s="426"/>
      <c r="T228" s="426"/>
      <c r="U228" s="433"/>
      <c r="V228" s="113">
        <v>5</v>
      </c>
      <c r="W228" s="432">
        <v>77.150000000000006</v>
      </c>
      <c r="X228" s="432">
        <v>77.900000000000006</v>
      </c>
      <c r="Y228" s="432">
        <v>78.27</v>
      </c>
      <c r="Z228" s="426"/>
      <c r="AA228" s="426"/>
      <c r="AB228" s="426"/>
      <c r="AC228" s="426"/>
      <c r="AD228" s="426"/>
      <c r="AE228" s="433"/>
      <c r="AF228" s="113">
        <v>5</v>
      </c>
      <c r="AG228" s="432">
        <v>81.3</v>
      </c>
      <c r="AH228" s="432">
        <v>82.14</v>
      </c>
      <c r="AI228" s="432">
        <v>82.54</v>
      </c>
      <c r="AJ228" s="426"/>
      <c r="AK228" s="426"/>
      <c r="AL228" s="426"/>
      <c r="AM228" s="426"/>
      <c r="AN228" s="426"/>
    </row>
    <row r="229" spans="1:40" x14ac:dyDescent="0.2">
      <c r="A229" s="433"/>
      <c r="B229" s="113">
        <v>6</v>
      </c>
      <c r="C229" s="432">
        <v>69.58</v>
      </c>
      <c r="D229" s="432">
        <v>70.16</v>
      </c>
      <c r="E229" s="432">
        <v>70.489999999999995</v>
      </c>
      <c r="F229" s="426"/>
      <c r="G229" s="426"/>
      <c r="H229" s="426"/>
      <c r="I229" s="426"/>
      <c r="J229" s="426"/>
      <c r="K229" s="433"/>
      <c r="L229" s="113">
        <v>6</v>
      </c>
      <c r="M229" s="432">
        <v>73.39</v>
      </c>
      <c r="N229" s="432">
        <v>74.06</v>
      </c>
      <c r="O229" s="432">
        <v>74.400000000000006</v>
      </c>
      <c r="P229" s="426"/>
      <c r="Q229" s="426"/>
      <c r="R229" s="426"/>
      <c r="S229" s="426"/>
      <c r="T229" s="426"/>
      <c r="U229" s="433"/>
      <c r="V229" s="113">
        <v>6</v>
      </c>
      <c r="W229" s="432">
        <v>77.38</v>
      </c>
      <c r="X229" s="432">
        <v>78.13</v>
      </c>
      <c r="Y229" s="432">
        <v>78.510000000000005</v>
      </c>
      <c r="Z229" s="426"/>
      <c r="AA229" s="426"/>
      <c r="AB229" s="426"/>
      <c r="AC229" s="426"/>
      <c r="AD229" s="426"/>
      <c r="AE229" s="433"/>
      <c r="AF229" s="113">
        <v>6</v>
      </c>
      <c r="AG229" s="432">
        <v>81.55</v>
      </c>
      <c r="AH229" s="432">
        <v>82.39</v>
      </c>
      <c r="AI229" s="432">
        <v>82.8</v>
      </c>
      <c r="AJ229" s="426"/>
      <c r="AK229" s="426"/>
      <c r="AL229" s="426"/>
      <c r="AM229" s="426"/>
      <c r="AN229" s="426"/>
    </row>
    <row r="230" spans="1:40" x14ac:dyDescent="0.2">
      <c r="A230" s="433"/>
      <c r="B230" s="113">
        <v>7</v>
      </c>
      <c r="C230" s="432">
        <v>69.77</v>
      </c>
      <c r="D230" s="432">
        <v>70.36</v>
      </c>
      <c r="E230" s="432">
        <v>70.680000000000007</v>
      </c>
      <c r="F230" s="426"/>
      <c r="G230" s="426"/>
      <c r="H230" s="426"/>
      <c r="I230" s="426"/>
      <c r="J230" s="426"/>
      <c r="K230" s="433"/>
      <c r="L230" s="113">
        <v>7</v>
      </c>
      <c r="M230" s="432">
        <v>73.599999999999994</v>
      </c>
      <c r="N230" s="432">
        <v>74.27</v>
      </c>
      <c r="O230" s="432">
        <v>74.62</v>
      </c>
      <c r="P230" s="426"/>
      <c r="Q230" s="426"/>
      <c r="R230" s="426"/>
      <c r="S230" s="426"/>
      <c r="T230" s="426"/>
      <c r="U230" s="433"/>
      <c r="V230" s="113">
        <v>7</v>
      </c>
      <c r="W230" s="432">
        <v>77.61</v>
      </c>
      <c r="X230" s="432">
        <v>78.37</v>
      </c>
      <c r="Y230" s="432">
        <v>78.75</v>
      </c>
      <c r="Z230" s="426"/>
      <c r="AA230" s="426"/>
      <c r="AB230" s="426"/>
      <c r="AC230" s="426"/>
      <c r="AD230" s="426"/>
      <c r="AE230" s="433"/>
      <c r="AF230" s="113">
        <v>7</v>
      </c>
      <c r="AG230" s="432">
        <v>81.81</v>
      </c>
      <c r="AH230" s="432">
        <v>82.66</v>
      </c>
      <c r="AI230" s="432">
        <v>83.07</v>
      </c>
      <c r="AJ230" s="426"/>
      <c r="AK230" s="426"/>
      <c r="AL230" s="426"/>
      <c r="AM230" s="426"/>
      <c r="AN230" s="426"/>
    </row>
    <row r="231" spans="1:40" x14ac:dyDescent="0.2">
      <c r="A231" s="433"/>
      <c r="B231" s="113">
        <v>8</v>
      </c>
      <c r="C231" s="432">
        <v>69.959999999999994</v>
      </c>
      <c r="D231" s="432">
        <v>70.56</v>
      </c>
      <c r="E231" s="432">
        <v>70.88</v>
      </c>
      <c r="F231" s="426"/>
      <c r="G231" s="426"/>
      <c r="H231" s="426"/>
      <c r="I231" s="426"/>
      <c r="J231" s="426"/>
      <c r="K231" s="433"/>
      <c r="L231" s="113">
        <v>8</v>
      </c>
      <c r="M231" s="432">
        <v>73.819999999999993</v>
      </c>
      <c r="N231" s="432">
        <v>74.5</v>
      </c>
      <c r="O231" s="432">
        <v>74.849999999999994</v>
      </c>
      <c r="P231" s="426"/>
      <c r="Q231" s="426"/>
      <c r="R231" s="426"/>
      <c r="S231" s="426"/>
      <c r="T231" s="426"/>
      <c r="U231" s="433"/>
      <c r="V231" s="113">
        <v>8</v>
      </c>
      <c r="W231" s="432">
        <v>77.86</v>
      </c>
      <c r="X231" s="432">
        <v>78.62</v>
      </c>
      <c r="Y231" s="432">
        <v>79</v>
      </c>
      <c r="Z231" s="426"/>
      <c r="AA231" s="426"/>
      <c r="AB231" s="426"/>
      <c r="AC231" s="426"/>
      <c r="AD231" s="426"/>
      <c r="AE231" s="433"/>
      <c r="AF231" s="113">
        <v>8</v>
      </c>
      <c r="AG231" s="432">
        <v>82.09</v>
      </c>
      <c r="AH231" s="432">
        <v>82.94</v>
      </c>
      <c r="AI231" s="432">
        <v>83.35</v>
      </c>
      <c r="AJ231" s="426"/>
      <c r="AK231" s="426"/>
      <c r="AL231" s="426"/>
      <c r="AM231" s="426"/>
      <c r="AN231" s="426"/>
    </row>
    <row r="232" spans="1:40" x14ac:dyDescent="0.2">
      <c r="A232" s="433"/>
      <c r="B232" s="113">
        <v>9</v>
      </c>
      <c r="C232" s="432">
        <v>70.17</v>
      </c>
      <c r="D232" s="432">
        <v>70.77</v>
      </c>
      <c r="E232" s="432">
        <v>71.099999999999994</v>
      </c>
      <c r="F232" s="426"/>
      <c r="G232" s="426"/>
      <c r="H232" s="426"/>
      <c r="I232" s="426"/>
      <c r="J232" s="426"/>
      <c r="K232" s="433"/>
      <c r="L232" s="113">
        <v>9</v>
      </c>
      <c r="M232" s="432">
        <v>74.05</v>
      </c>
      <c r="N232" s="432">
        <v>74.73</v>
      </c>
      <c r="O232" s="432">
        <v>75.08</v>
      </c>
      <c r="P232" s="426"/>
      <c r="Q232" s="426"/>
      <c r="R232" s="426"/>
      <c r="S232" s="426"/>
      <c r="T232" s="426"/>
      <c r="U232" s="433"/>
      <c r="V232" s="113">
        <v>9</v>
      </c>
      <c r="W232" s="432">
        <v>78.12</v>
      </c>
      <c r="X232" s="432">
        <v>78.88</v>
      </c>
      <c r="Y232" s="432">
        <v>79.260000000000005</v>
      </c>
      <c r="Z232" s="426"/>
      <c r="AA232" s="426"/>
      <c r="AB232" s="426"/>
      <c r="AC232" s="426"/>
      <c r="AD232" s="426"/>
      <c r="AE232" s="433"/>
      <c r="AF232" s="113">
        <v>9</v>
      </c>
      <c r="AG232" s="432">
        <v>82.37</v>
      </c>
      <c r="AH232" s="432">
        <v>83.23</v>
      </c>
      <c r="AI232" s="432">
        <v>83.64</v>
      </c>
      <c r="AJ232" s="426"/>
      <c r="AK232" s="426"/>
      <c r="AL232" s="426"/>
      <c r="AM232" s="426"/>
      <c r="AN232" s="426"/>
    </row>
    <row r="233" spans="1:40" x14ac:dyDescent="0.2">
      <c r="A233" s="433"/>
      <c r="B233" s="113">
        <v>10</v>
      </c>
      <c r="C233" s="432">
        <v>70.39</v>
      </c>
      <c r="D233" s="432">
        <v>70.989999999999995</v>
      </c>
      <c r="E233" s="432">
        <v>71.31</v>
      </c>
      <c r="F233" s="426"/>
      <c r="G233" s="426"/>
      <c r="H233" s="426"/>
      <c r="I233" s="426"/>
      <c r="J233" s="426"/>
      <c r="K233" s="433"/>
      <c r="L233" s="113">
        <v>10</v>
      </c>
      <c r="M233" s="432">
        <v>74.290000000000006</v>
      </c>
      <c r="N233" s="432">
        <v>74.97</v>
      </c>
      <c r="O233" s="432">
        <v>75.33</v>
      </c>
      <c r="P233" s="426"/>
      <c r="Q233" s="426"/>
      <c r="R233" s="426"/>
      <c r="S233" s="426"/>
      <c r="T233" s="426"/>
      <c r="U233" s="433"/>
      <c r="V233" s="113">
        <v>10</v>
      </c>
      <c r="W233" s="432">
        <v>78.38</v>
      </c>
      <c r="X233" s="432">
        <v>79.150000000000006</v>
      </c>
      <c r="Y233" s="432">
        <v>79.540000000000006</v>
      </c>
      <c r="Z233" s="426"/>
      <c r="AA233" s="426"/>
      <c r="AB233" s="426"/>
      <c r="AC233" s="426"/>
      <c r="AD233" s="426"/>
      <c r="AE233" s="433"/>
      <c r="AF233" s="113">
        <v>10</v>
      </c>
      <c r="AG233" s="432">
        <v>82.67</v>
      </c>
      <c r="AH233" s="432">
        <v>83.53</v>
      </c>
      <c r="AI233" s="432">
        <v>83.95</v>
      </c>
      <c r="AJ233" s="426"/>
      <c r="AK233" s="426"/>
      <c r="AL233" s="426"/>
      <c r="AM233" s="426"/>
      <c r="AN233" s="426"/>
    </row>
    <row r="234" spans="1:40" x14ac:dyDescent="0.2">
      <c r="A234" s="433"/>
      <c r="B234" s="113">
        <v>11</v>
      </c>
      <c r="C234" s="432">
        <v>70.61</v>
      </c>
      <c r="D234" s="432">
        <v>71.22</v>
      </c>
      <c r="E234" s="432">
        <v>71.540000000000006</v>
      </c>
      <c r="F234" s="426"/>
      <c r="G234" s="426"/>
      <c r="H234" s="426"/>
      <c r="I234" s="426"/>
      <c r="J234" s="426"/>
      <c r="K234" s="433"/>
      <c r="L234" s="113">
        <v>11</v>
      </c>
      <c r="M234" s="432">
        <v>74.540000000000006</v>
      </c>
      <c r="N234" s="432">
        <v>75.23</v>
      </c>
      <c r="O234" s="432">
        <v>75.58</v>
      </c>
      <c r="P234" s="426"/>
      <c r="Q234" s="426"/>
      <c r="R234" s="426"/>
      <c r="S234" s="426"/>
      <c r="T234" s="426"/>
      <c r="U234" s="433"/>
      <c r="V234" s="113">
        <v>11</v>
      </c>
      <c r="W234" s="432">
        <v>78.66</v>
      </c>
      <c r="X234" s="432">
        <v>79.44</v>
      </c>
      <c r="Y234" s="432">
        <v>79.819999999999993</v>
      </c>
      <c r="Z234" s="426"/>
      <c r="AA234" s="426"/>
      <c r="AB234" s="426"/>
      <c r="AC234" s="426"/>
      <c r="AD234" s="426"/>
      <c r="AE234" s="433"/>
      <c r="AF234" s="113">
        <v>11</v>
      </c>
      <c r="AG234" s="432">
        <v>82.98</v>
      </c>
      <c r="AH234" s="432">
        <v>83.85</v>
      </c>
      <c r="AI234" s="432">
        <v>84.26</v>
      </c>
      <c r="AJ234" s="426"/>
      <c r="AK234" s="426"/>
      <c r="AL234" s="426"/>
      <c r="AM234" s="426"/>
      <c r="AN234" s="426"/>
    </row>
    <row r="235" spans="1:40" x14ac:dyDescent="0.2">
      <c r="A235" s="433"/>
      <c r="B235" s="113">
        <v>12</v>
      </c>
      <c r="C235" s="432">
        <v>70.84</v>
      </c>
      <c r="D235" s="432">
        <v>71.45</v>
      </c>
      <c r="E235" s="432">
        <v>71.78</v>
      </c>
      <c r="F235" s="426"/>
      <c r="G235" s="426"/>
      <c r="H235" s="426"/>
      <c r="I235" s="426"/>
      <c r="J235" s="426"/>
      <c r="K235" s="433"/>
      <c r="L235" s="113">
        <v>12</v>
      </c>
      <c r="M235" s="432">
        <v>74.8</v>
      </c>
      <c r="N235" s="432">
        <v>75.489999999999995</v>
      </c>
      <c r="O235" s="432">
        <v>75.849999999999994</v>
      </c>
      <c r="P235" s="426"/>
      <c r="Q235" s="426"/>
      <c r="R235" s="426"/>
      <c r="S235" s="426"/>
      <c r="T235" s="426"/>
      <c r="U235" s="433"/>
      <c r="V235" s="113">
        <v>12</v>
      </c>
      <c r="W235" s="432">
        <v>78.95</v>
      </c>
      <c r="X235" s="432">
        <v>79.73</v>
      </c>
      <c r="Y235" s="432">
        <v>80.12</v>
      </c>
      <c r="Z235" s="426"/>
      <c r="AA235" s="426"/>
      <c r="AB235" s="426"/>
      <c r="AC235" s="426"/>
      <c r="AD235" s="426"/>
      <c r="AE235" s="433"/>
      <c r="AF235" s="113">
        <v>12</v>
      </c>
      <c r="AG235" s="432">
        <v>83.3</v>
      </c>
      <c r="AH235" s="432">
        <v>84.17</v>
      </c>
      <c r="AI235" s="432">
        <v>84.59</v>
      </c>
      <c r="AJ235" s="426"/>
      <c r="AK235" s="426"/>
      <c r="AL235" s="426"/>
      <c r="AM235" s="426"/>
      <c r="AN235" s="426"/>
    </row>
    <row r="236" spans="1:40" x14ac:dyDescent="0.2">
      <c r="A236" s="433"/>
      <c r="B236" s="113">
        <v>13</v>
      </c>
      <c r="C236" s="432">
        <v>71.09</v>
      </c>
      <c r="D236" s="432">
        <v>71.7</v>
      </c>
      <c r="E236" s="432">
        <v>72.03</v>
      </c>
      <c r="F236" s="426"/>
      <c r="G236" s="426"/>
      <c r="H236" s="426"/>
      <c r="I236" s="426"/>
      <c r="J236" s="426"/>
      <c r="K236" s="433"/>
      <c r="L236" s="113">
        <v>13</v>
      </c>
      <c r="M236" s="432">
        <v>75.069999999999993</v>
      </c>
      <c r="N236" s="432">
        <v>75.77</v>
      </c>
      <c r="O236" s="432">
        <v>76.13</v>
      </c>
      <c r="P236" s="426"/>
      <c r="Q236" s="426"/>
      <c r="R236" s="426"/>
      <c r="S236" s="426"/>
      <c r="T236" s="426"/>
      <c r="U236" s="433"/>
      <c r="V236" s="113">
        <v>13</v>
      </c>
      <c r="W236" s="432">
        <v>79.25</v>
      </c>
      <c r="X236" s="432">
        <v>80.03</v>
      </c>
      <c r="Y236" s="432">
        <v>80.42</v>
      </c>
      <c r="Z236" s="426"/>
      <c r="AA236" s="426"/>
      <c r="AB236" s="426"/>
      <c r="AC236" s="426"/>
      <c r="AD236" s="426"/>
      <c r="AE236" s="433"/>
      <c r="AF236" s="113">
        <v>13</v>
      </c>
      <c r="AG236" s="432">
        <v>83.63</v>
      </c>
      <c r="AH236" s="432">
        <v>84.51</v>
      </c>
      <c r="AI236" s="432">
        <v>84.93</v>
      </c>
      <c r="AJ236" s="426"/>
      <c r="AK236" s="426"/>
      <c r="AL236" s="426"/>
      <c r="AM236" s="426"/>
      <c r="AN236" s="426"/>
    </row>
    <row r="237" spans="1:40" x14ac:dyDescent="0.2">
      <c r="A237" s="433"/>
      <c r="B237" s="113">
        <v>14</v>
      </c>
      <c r="C237" s="432">
        <v>71.34</v>
      </c>
      <c r="D237" s="432">
        <v>71.959999999999994</v>
      </c>
      <c r="E237" s="432">
        <v>72.290000000000006</v>
      </c>
      <c r="F237" s="426"/>
      <c r="G237" s="426"/>
      <c r="H237" s="426"/>
      <c r="I237" s="426"/>
      <c r="J237" s="426"/>
      <c r="K237" s="433"/>
      <c r="L237" s="113">
        <v>14</v>
      </c>
      <c r="M237" s="432">
        <v>75.349999999999994</v>
      </c>
      <c r="N237" s="432">
        <v>76.05</v>
      </c>
      <c r="O237" s="432">
        <v>76.41</v>
      </c>
      <c r="P237" s="426"/>
      <c r="Q237" s="426"/>
      <c r="R237" s="426"/>
      <c r="S237" s="426"/>
      <c r="T237" s="426"/>
      <c r="U237" s="433"/>
      <c r="V237" s="113">
        <v>14</v>
      </c>
      <c r="W237" s="432">
        <v>79.56</v>
      </c>
      <c r="X237" s="432">
        <v>80.349999999999994</v>
      </c>
      <c r="Y237" s="432">
        <v>80.739999999999995</v>
      </c>
      <c r="Z237" s="426"/>
      <c r="AA237" s="426"/>
      <c r="AB237" s="426"/>
      <c r="AC237" s="426"/>
      <c r="AD237" s="426"/>
      <c r="AE237" s="433"/>
      <c r="AF237" s="113">
        <v>14</v>
      </c>
      <c r="AG237" s="432">
        <v>83.97</v>
      </c>
      <c r="AH237" s="432">
        <v>84.86</v>
      </c>
      <c r="AI237" s="432">
        <v>85.28</v>
      </c>
      <c r="AJ237" s="426"/>
      <c r="AK237" s="426"/>
      <c r="AL237" s="426"/>
      <c r="AM237" s="426"/>
      <c r="AN237" s="426"/>
    </row>
    <row r="238" spans="1:40" x14ac:dyDescent="0.2">
      <c r="A238" s="433"/>
      <c r="B238" s="113">
        <v>15</v>
      </c>
      <c r="C238" s="432">
        <v>71.599999999999994</v>
      </c>
      <c r="D238" s="432">
        <v>72.22</v>
      </c>
      <c r="E238" s="432">
        <v>72.56</v>
      </c>
      <c r="F238" s="426"/>
      <c r="G238" s="426"/>
      <c r="H238" s="426"/>
      <c r="I238" s="426"/>
      <c r="J238" s="426"/>
      <c r="K238" s="433"/>
      <c r="L238" s="113">
        <v>15</v>
      </c>
      <c r="M238" s="432">
        <v>75.64</v>
      </c>
      <c r="N238" s="432">
        <v>76.349999999999994</v>
      </c>
      <c r="O238" s="432">
        <v>76.709999999999994</v>
      </c>
      <c r="P238" s="426"/>
      <c r="Q238" s="426"/>
      <c r="R238" s="426"/>
      <c r="S238" s="426"/>
      <c r="T238" s="426"/>
      <c r="U238" s="433"/>
      <c r="V238" s="113">
        <v>15</v>
      </c>
      <c r="W238" s="432">
        <v>79.88</v>
      </c>
      <c r="X238" s="432">
        <v>80.680000000000007</v>
      </c>
      <c r="Y238" s="432">
        <v>81.069999999999993</v>
      </c>
      <c r="Z238" s="426"/>
      <c r="AA238" s="426"/>
      <c r="AB238" s="426"/>
      <c r="AC238" s="426"/>
      <c r="AD238" s="426"/>
      <c r="AE238" s="433"/>
      <c r="AF238" s="113">
        <v>15</v>
      </c>
      <c r="AG238" s="432">
        <v>84.33</v>
      </c>
      <c r="AH238" s="432">
        <v>85.22</v>
      </c>
      <c r="AI238" s="432">
        <v>85.65</v>
      </c>
      <c r="AJ238" s="426"/>
      <c r="AK238" s="426"/>
      <c r="AL238" s="426"/>
      <c r="AM238" s="426"/>
      <c r="AN238" s="426"/>
    </row>
    <row r="239" spans="1:40" x14ac:dyDescent="0.2">
      <c r="A239" s="433"/>
      <c r="B239" s="113">
        <v>16</v>
      </c>
      <c r="C239" s="432">
        <v>71.87</v>
      </c>
      <c r="D239" s="432">
        <v>72.5</v>
      </c>
      <c r="E239" s="432">
        <v>72.83</v>
      </c>
      <c r="F239" s="426"/>
      <c r="G239" s="426"/>
      <c r="H239" s="426"/>
      <c r="I239" s="426"/>
      <c r="J239" s="426"/>
      <c r="K239" s="433"/>
      <c r="L239" s="113">
        <v>16</v>
      </c>
      <c r="M239" s="432">
        <v>75.94</v>
      </c>
      <c r="N239" s="432">
        <v>76.650000000000006</v>
      </c>
      <c r="O239" s="432">
        <v>77.02</v>
      </c>
      <c r="P239" s="426"/>
      <c r="Q239" s="426"/>
      <c r="R239" s="426"/>
      <c r="S239" s="426"/>
      <c r="T239" s="426"/>
      <c r="U239" s="433"/>
      <c r="V239" s="113">
        <v>16</v>
      </c>
      <c r="W239" s="432">
        <v>80.22</v>
      </c>
      <c r="X239" s="432">
        <v>81.02</v>
      </c>
      <c r="Y239" s="432">
        <v>81.41</v>
      </c>
      <c r="Z239" s="426"/>
      <c r="AA239" s="426"/>
      <c r="AB239" s="426"/>
      <c r="AC239" s="426"/>
      <c r="AD239" s="426"/>
      <c r="AE239" s="433"/>
      <c r="AF239" s="113">
        <v>16</v>
      </c>
      <c r="AG239" s="432">
        <v>84.7</v>
      </c>
      <c r="AH239" s="432">
        <v>85.6</v>
      </c>
      <c r="AI239" s="432">
        <v>86.03</v>
      </c>
      <c r="AJ239" s="426"/>
      <c r="AK239" s="426"/>
      <c r="AL239" s="426"/>
      <c r="AM239" s="426"/>
      <c r="AN239" s="426"/>
    </row>
    <row r="240" spans="1:40" x14ac:dyDescent="0.2">
      <c r="A240" s="433"/>
      <c r="B240" s="113">
        <v>17</v>
      </c>
      <c r="C240" s="432">
        <v>72.150000000000006</v>
      </c>
      <c r="D240" s="432">
        <v>72.78</v>
      </c>
      <c r="E240" s="432">
        <v>73.12</v>
      </c>
      <c r="F240" s="426"/>
      <c r="G240" s="426"/>
      <c r="H240" s="426"/>
      <c r="I240" s="426"/>
      <c r="J240" s="426"/>
      <c r="K240" s="433"/>
      <c r="L240" s="113">
        <v>17</v>
      </c>
      <c r="M240" s="432">
        <v>76.260000000000005</v>
      </c>
      <c r="N240" s="432">
        <v>76.97</v>
      </c>
      <c r="O240" s="432">
        <v>77.34</v>
      </c>
      <c r="P240" s="426"/>
      <c r="Q240" s="426"/>
      <c r="R240" s="426"/>
      <c r="S240" s="426"/>
      <c r="T240" s="426"/>
      <c r="U240" s="433"/>
      <c r="V240" s="113">
        <v>17</v>
      </c>
      <c r="W240" s="432">
        <v>80.56</v>
      </c>
      <c r="X240" s="432">
        <v>81.37</v>
      </c>
      <c r="Y240" s="432">
        <v>81.77</v>
      </c>
      <c r="Z240" s="426"/>
      <c r="AA240" s="426"/>
      <c r="AB240" s="426"/>
      <c r="AC240" s="426"/>
      <c r="AD240" s="426"/>
      <c r="AE240" s="433"/>
      <c r="AF240" s="113">
        <v>17</v>
      </c>
      <c r="AG240" s="432">
        <v>85.09</v>
      </c>
      <c r="AH240" s="432">
        <v>85.99</v>
      </c>
      <c r="AI240" s="432">
        <v>86.42</v>
      </c>
      <c r="AJ240" s="426"/>
      <c r="AK240" s="426"/>
      <c r="AL240" s="426"/>
      <c r="AM240" s="426"/>
      <c r="AN240" s="426"/>
    </row>
    <row r="241" spans="1:40" x14ac:dyDescent="0.2">
      <c r="A241" s="433"/>
      <c r="B241" s="113">
        <v>18</v>
      </c>
      <c r="C241" s="432">
        <v>72.44</v>
      </c>
      <c r="D241" s="432">
        <v>73.08</v>
      </c>
      <c r="E241" s="432">
        <v>73.42</v>
      </c>
      <c r="F241" s="426"/>
      <c r="G241" s="426"/>
      <c r="H241" s="426"/>
      <c r="I241" s="426"/>
      <c r="J241" s="426"/>
      <c r="K241" s="433"/>
      <c r="L241" s="113">
        <v>18</v>
      </c>
      <c r="M241" s="432">
        <v>76.58</v>
      </c>
      <c r="N241" s="432">
        <v>77.3</v>
      </c>
      <c r="O241" s="432">
        <v>77.67</v>
      </c>
      <c r="P241" s="426"/>
      <c r="Q241" s="426"/>
      <c r="R241" s="426"/>
      <c r="S241" s="426"/>
      <c r="T241" s="426"/>
      <c r="U241" s="433"/>
      <c r="V241" s="113">
        <v>18</v>
      </c>
      <c r="W241" s="432">
        <v>80.930000000000007</v>
      </c>
      <c r="X241" s="432">
        <v>81.739999999999995</v>
      </c>
      <c r="Y241" s="432">
        <v>82.14</v>
      </c>
      <c r="Z241" s="426"/>
      <c r="AA241" s="426"/>
      <c r="AB241" s="426"/>
      <c r="AC241" s="426"/>
      <c r="AD241" s="426"/>
      <c r="AE241" s="433"/>
      <c r="AF241" s="113">
        <v>18</v>
      </c>
      <c r="AG241" s="432">
        <v>85.49</v>
      </c>
      <c r="AH241" s="432">
        <v>86.4</v>
      </c>
      <c r="AI241" s="432">
        <v>86.84</v>
      </c>
      <c r="AJ241" s="426"/>
      <c r="AK241" s="426"/>
      <c r="AL241" s="426"/>
      <c r="AM241" s="426"/>
      <c r="AN241" s="426"/>
    </row>
    <row r="242" spans="1:40" x14ac:dyDescent="0.2">
      <c r="A242" s="433"/>
      <c r="B242" s="113">
        <v>19</v>
      </c>
      <c r="C242" s="432">
        <v>72.75</v>
      </c>
      <c r="D242" s="432">
        <v>73.39</v>
      </c>
      <c r="E242" s="432">
        <v>73.73</v>
      </c>
      <c r="F242" s="426"/>
      <c r="G242" s="426"/>
      <c r="H242" s="426"/>
      <c r="I242" s="426"/>
      <c r="J242" s="426"/>
      <c r="K242" s="433"/>
      <c r="L242" s="113">
        <v>19</v>
      </c>
      <c r="M242" s="432">
        <v>76.92</v>
      </c>
      <c r="N242" s="432">
        <v>77.650000000000006</v>
      </c>
      <c r="O242" s="432">
        <v>78.02</v>
      </c>
      <c r="P242" s="426"/>
      <c r="Q242" s="426"/>
      <c r="R242" s="426"/>
      <c r="S242" s="426"/>
      <c r="T242" s="426"/>
      <c r="U242" s="433"/>
      <c r="V242" s="113">
        <v>19</v>
      </c>
      <c r="W242" s="432">
        <v>81.3</v>
      </c>
      <c r="X242" s="432">
        <v>82.12</v>
      </c>
      <c r="Y242" s="432">
        <v>82.53</v>
      </c>
      <c r="Z242" s="426"/>
      <c r="AA242" s="426"/>
      <c r="AB242" s="426"/>
      <c r="AC242" s="426"/>
      <c r="AD242" s="426"/>
      <c r="AE242" s="433"/>
      <c r="AF242" s="113">
        <v>19</v>
      </c>
      <c r="AG242" s="432">
        <v>85.91</v>
      </c>
      <c r="AH242" s="432">
        <v>86.83</v>
      </c>
      <c r="AI242" s="432">
        <v>87.27</v>
      </c>
      <c r="AJ242" s="426"/>
      <c r="AK242" s="426"/>
      <c r="AL242" s="426"/>
      <c r="AM242" s="426"/>
      <c r="AN242" s="426"/>
    </row>
    <row r="243" spans="1:40" x14ac:dyDescent="0.2">
      <c r="A243" s="433"/>
      <c r="B243" s="113">
        <v>20</v>
      </c>
      <c r="C243" s="432">
        <v>73.069999999999993</v>
      </c>
      <c r="D243" s="432">
        <v>73.709999999999994</v>
      </c>
      <c r="E243" s="432">
        <v>74.06</v>
      </c>
      <c r="F243" s="426"/>
      <c r="G243" s="426"/>
      <c r="H243" s="426"/>
      <c r="I243" s="426"/>
      <c r="J243" s="426"/>
      <c r="K243" s="433"/>
      <c r="L243" s="113">
        <v>20</v>
      </c>
      <c r="M243" s="432">
        <v>77.27</v>
      </c>
      <c r="N243" s="432">
        <v>78.010000000000005</v>
      </c>
      <c r="O243" s="432">
        <v>78.38</v>
      </c>
      <c r="P243" s="426"/>
      <c r="Q243" s="426"/>
      <c r="R243" s="426"/>
      <c r="S243" s="426"/>
      <c r="T243" s="426"/>
      <c r="U243" s="433"/>
      <c r="V243" s="113">
        <v>20</v>
      </c>
      <c r="W243" s="432">
        <v>81.7</v>
      </c>
      <c r="X243" s="432">
        <v>82.53</v>
      </c>
      <c r="Y243" s="432">
        <v>82.93</v>
      </c>
      <c r="Z243" s="426"/>
      <c r="AA243" s="426"/>
      <c r="AB243" s="426"/>
      <c r="AC243" s="426"/>
      <c r="AD243" s="426"/>
      <c r="AE243" s="433"/>
      <c r="AF243" s="113">
        <v>20</v>
      </c>
      <c r="AG243" s="432">
        <v>86.36</v>
      </c>
      <c r="AH243" s="432">
        <v>87.28</v>
      </c>
      <c r="AI243" s="432">
        <v>87.72</v>
      </c>
      <c r="AJ243" s="426"/>
      <c r="AK243" s="426"/>
      <c r="AL243" s="426"/>
      <c r="AM243" s="426"/>
      <c r="AN243" s="426"/>
    </row>
    <row r="244" spans="1:40" x14ac:dyDescent="0.2">
      <c r="A244" s="433"/>
      <c r="B244" s="113">
        <v>21</v>
      </c>
      <c r="C244" s="432">
        <v>73.400000000000006</v>
      </c>
      <c r="D244" s="432">
        <v>74.05</v>
      </c>
      <c r="E244" s="432">
        <v>74.39</v>
      </c>
      <c r="F244" s="426"/>
      <c r="G244" s="426"/>
      <c r="H244" s="426"/>
      <c r="I244" s="426"/>
      <c r="J244" s="426"/>
      <c r="K244" s="433"/>
      <c r="L244" s="113">
        <v>21</v>
      </c>
      <c r="M244" s="432">
        <v>77.64</v>
      </c>
      <c r="N244" s="432">
        <v>78.38</v>
      </c>
      <c r="O244" s="432">
        <v>78.760000000000005</v>
      </c>
      <c r="P244" s="426"/>
      <c r="Q244" s="426"/>
      <c r="R244" s="426"/>
      <c r="S244" s="426"/>
      <c r="T244" s="426"/>
      <c r="U244" s="433"/>
      <c r="V244" s="113">
        <v>21</v>
      </c>
      <c r="W244" s="432">
        <v>82.11</v>
      </c>
      <c r="X244" s="432">
        <v>82.95</v>
      </c>
      <c r="Y244" s="432">
        <v>83.36</v>
      </c>
      <c r="Z244" s="426"/>
      <c r="AA244" s="426"/>
      <c r="AB244" s="426"/>
      <c r="AC244" s="426"/>
      <c r="AD244" s="426"/>
      <c r="AE244" s="433"/>
      <c r="AF244" s="113">
        <v>21</v>
      </c>
      <c r="AG244" s="432">
        <v>86.82</v>
      </c>
      <c r="AH244" s="432">
        <v>87.76</v>
      </c>
      <c r="AI244" s="432">
        <v>88.2</v>
      </c>
      <c r="AJ244" s="426"/>
      <c r="AK244" s="426"/>
      <c r="AL244" s="426"/>
      <c r="AM244" s="426"/>
      <c r="AN244" s="426"/>
    </row>
    <row r="245" spans="1:40" x14ac:dyDescent="0.2">
      <c r="A245" s="433"/>
      <c r="B245" s="113">
        <v>22</v>
      </c>
      <c r="C245" s="432">
        <v>73.739999999999995</v>
      </c>
      <c r="D245" s="432">
        <v>74.400000000000006</v>
      </c>
      <c r="E245" s="432">
        <v>74.75</v>
      </c>
      <c r="F245" s="426"/>
      <c r="G245" s="426"/>
      <c r="H245" s="426"/>
      <c r="I245" s="426"/>
      <c r="J245" s="426"/>
      <c r="K245" s="433"/>
      <c r="L245" s="113">
        <v>22</v>
      </c>
      <c r="M245" s="432">
        <v>78.03</v>
      </c>
      <c r="N245" s="432">
        <v>78.78</v>
      </c>
      <c r="O245" s="432">
        <v>79.16</v>
      </c>
      <c r="P245" s="426"/>
      <c r="Q245" s="426"/>
      <c r="R245" s="426"/>
      <c r="S245" s="426"/>
      <c r="T245" s="426"/>
      <c r="U245" s="433"/>
      <c r="V245" s="113">
        <v>22</v>
      </c>
      <c r="W245" s="432">
        <v>82.55</v>
      </c>
      <c r="X245" s="432">
        <v>83.39</v>
      </c>
      <c r="Y245" s="432">
        <v>83.8</v>
      </c>
      <c r="Z245" s="426"/>
      <c r="AA245" s="426"/>
      <c r="AB245" s="426"/>
      <c r="AC245" s="426"/>
      <c r="AD245" s="426"/>
      <c r="AE245" s="433"/>
      <c r="AF245" s="113">
        <v>22</v>
      </c>
      <c r="AG245" s="432">
        <v>87.3</v>
      </c>
      <c r="AH245" s="432">
        <v>88.25</v>
      </c>
      <c r="AI245" s="432">
        <v>88.69</v>
      </c>
      <c r="AJ245" s="426"/>
      <c r="AK245" s="426"/>
      <c r="AL245" s="426"/>
      <c r="AM245" s="426"/>
      <c r="AN245" s="426"/>
    </row>
    <row r="246" spans="1:40" x14ac:dyDescent="0.2">
      <c r="A246" s="433"/>
      <c r="B246" s="113">
        <v>23</v>
      </c>
      <c r="C246" s="432">
        <v>74.11</v>
      </c>
      <c r="D246" s="432">
        <v>74.77</v>
      </c>
      <c r="E246" s="432">
        <v>75.12</v>
      </c>
      <c r="F246" s="426"/>
      <c r="G246" s="426"/>
      <c r="H246" s="426"/>
      <c r="I246" s="426"/>
      <c r="J246" s="426"/>
      <c r="K246" s="433"/>
      <c r="L246" s="113">
        <v>23</v>
      </c>
      <c r="M246" s="432">
        <v>78.44</v>
      </c>
      <c r="N246" s="432">
        <v>79.19</v>
      </c>
      <c r="O246" s="432">
        <v>79.569999999999993</v>
      </c>
      <c r="P246" s="426"/>
      <c r="Q246" s="426"/>
      <c r="R246" s="426"/>
      <c r="S246" s="426"/>
      <c r="T246" s="426"/>
      <c r="U246" s="433"/>
      <c r="V246" s="113">
        <v>23</v>
      </c>
      <c r="W246" s="432">
        <v>83.01</v>
      </c>
      <c r="X246" s="432">
        <v>83.86</v>
      </c>
      <c r="Y246" s="432">
        <v>84.27</v>
      </c>
      <c r="Z246" s="426"/>
      <c r="AA246" s="426"/>
      <c r="AB246" s="426"/>
      <c r="AC246" s="426"/>
      <c r="AD246" s="426"/>
      <c r="AE246" s="433"/>
      <c r="AF246" s="113">
        <v>23</v>
      </c>
      <c r="AG246" s="432">
        <v>87.82</v>
      </c>
      <c r="AH246" s="432">
        <v>88.77</v>
      </c>
      <c r="AI246" s="432">
        <v>89.22</v>
      </c>
      <c r="AJ246" s="426"/>
      <c r="AK246" s="426"/>
      <c r="AL246" s="426"/>
      <c r="AM246" s="426"/>
      <c r="AN246" s="426"/>
    </row>
    <row r="247" spans="1:40" x14ac:dyDescent="0.2">
      <c r="A247" s="433"/>
      <c r="B247" s="113">
        <v>24</v>
      </c>
      <c r="C247" s="432">
        <v>74.489999999999995</v>
      </c>
      <c r="D247" s="432">
        <v>75.16</v>
      </c>
      <c r="E247" s="432">
        <v>75.510000000000005</v>
      </c>
      <c r="F247" s="426"/>
      <c r="G247" s="426"/>
      <c r="H247" s="426"/>
      <c r="I247" s="426"/>
      <c r="J247" s="426"/>
      <c r="K247" s="433"/>
      <c r="L247" s="113">
        <v>24</v>
      </c>
      <c r="M247" s="432">
        <v>78.87</v>
      </c>
      <c r="N247" s="432">
        <v>79.63</v>
      </c>
      <c r="O247" s="432">
        <v>80.010000000000005</v>
      </c>
      <c r="P247" s="426"/>
      <c r="Q247" s="426"/>
      <c r="R247" s="426"/>
      <c r="S247" s="426"/>
      <c r="T247" s="426"/>
      <c r="U247" s="433"/>
      <c r="V247" s="113">
        <v>24</v>
      </c>
      <c r="W247" s="432">
        <v>83.49</v>
      </c>
      <c r="X247" s="432">
        <v>84.34</v>
      </c>
      <c r="Y247" s="432">
        <v>84.76</v>
      </c>
      <c r="Z247" s="426"/>
      <c r="AA247" s="426"/>
      <c r="AB247" s="426"/>
      <c r="AC247" s="426"/>
      <c r="AD247" s="426"/>
      <c r="AE247" s="433"/>
      <c r="AF247" s="113">
        <v>24</v>
      </c>
      <c r="AG247" s="432">
        <v>88.35</v>
      </c>
      <c r="AH247" s="432">
        <v>89.32</v>
      </c>
      <c r="AI247" s="432">
        <v>89.77</v>
      </c>
      <c r="AJ247" s="426"/>
      <c r="AK247" s="426"/>
      <c r="AL247" s="426"/>
      <c r="AM247" s="426"/>
      <c r="AN247" s="426"/>
    </row>
    <row r="248" spans="1:40" x14ac:dyDescent="0.2">
      <c r="A248" s="433"/>
      <c r="B248" s="113">
        <v>25</v>
      </c>
      <c r="C248" s="432">
        <v>74.89</v>
      </c>
      <c r="D248" s="432">
        <v>75.569999999999993</v>
      </c>
      <c r="E248" s="432">
        <v>75.92</v>
      </c>
      <c r="F248" s="426"/>
      <c r="G248" s="426"/>
      <c r="H248" s="426"/>
      <c r="I248" s="426"/>
      <c r="J248" s="426"/>
      <c r="K248" s="433"/>
      <c r="L248" s="113">
        <v>25</v>
      </c>
      <c r="M248" s="432">
        <v>79.319999999999993</v>
      </c>
      <c r="N248" s="432">
        <v>80.09</v>
      </c>
      <c r="O248" s="432">
        <v>80.47</v>
      </c>
      <c r="P248" s="426"/>
      <c r="Q248" s="426"/>
      <c r="R248" s="426"/>
      <c r="S248" s="426"/>
      <c r="T248" s="426"/>
      <c r="U248" s="433"/>
      <c r="V248" s="113">
        <v>25</v>
      </c>
      <c r="W248" s="432">
        <v>83.99</v>
      </c>
      <c r="X248" s="432">
        <v>84.86</v>
      </c>
      <c r="Y248" s="432">
        <v>85.28</v>
      </c>
      <c r="Z248" s="426"/>
      <c r="AA248" s="426"/>
      <c r="AB248" s="426"/>
      <c r="AC248" s="426"/>
      <c r="AD248" s="426"/>
      <c r="AE248" s="433"/>
      <c r="AF248" s="113">
        <v>25</v>
      </c>
      <c r="AG248" s="432">
        <v>88.92</v>
      </c>
      <c r="AH248" s="432">
        <v>89.89</v>
      </c>
      <c r="AI248" s="432">
        <v>90.35</v>
      </c>
      <c r="AJ248" s="426"/>
      <c r="AK248" s="426"/>
      <c r="AL248" s="426"/>
      <c r="AM248" s="426"/>
      <c r="AN248" s="426"/>
    </row>
    <row r="249" spans="1:40" x14ac:dyDescent="0.2">
      <c r="A249" s="433"/>
      <c r="B249" s="113">
        <v>26</v>
      </c>
      <c r="C249" s="432">
        <v>75.31</v>
      </c>
      <c r="D249" s="432">
        <v>76</v>
      </c>
      <c r="E249" s="432">
        <v>76.349999999999994</v>
      </c>
      <c r="F249" s="426"/>
      <c r="G249" s="426"/>
      <c r="H249" s="426"/>
      <c r="I249" s="426"/>
      <c r="J249" s="426"/>
      <c r="K249" s="433"/>
      <c r="L249" s="113">
        <v>26</v>
      </c>
      <c r="M249" s="432">
        <v>79.790000000000006</v>
      </c>
      <c r="N249" s="432">
        <v>80.569999999999993</v>
      </c>
      <c r="O249" s="432">
        <v>80.959999999999994</v>
      </c>
      <c r="P249" s="426"/>
      <c r="Q249" s="426"/>
      <c r="R249" s="426"/>
      <c r="S249" s="426"/>
      <c r="T249" s="426"/>
      <c r="U249" s="433"/>
      <c r="V249" s="113">
        <v>26</v>
      </c>
      <c r="W249" s="432">
        <v>84.52</v>
      </c>
      <c r="X249" s="432">
        <v>85.4</v>
      </c>
      <c r="Y249" s="432">
        <v>85.82</v>
      </c>
      <c r="Z249" s="426"/>
      <c r="AA249" s="426"/>
      <c r="AB249" s="426"/>
      <c r="AC249" s="426"/>
      <c r="AD249" s="426"/>
      <c r="AE249" s="433"/>
      <c r="AF249" s="113">
        <v>26</v>
      </c>
      <c r="AG249" s="432">
        <v>89.51</v>
      </c>
      <c r="AH249" s="432">
        <v>90.49</v>
      </c>
      <c r="AI249" s="432">
        <v>90.95</v>
      </c>
      <c r="AJ249" s="426"/>
      <c r="AK249" s="426"/>
      <c r="AL249" s="426"/>
      <c r="AM249" s="426"/>
      <c r="AN249" s="426"/>
    </row>
    <row r="250" spans="1:40" x14ac:dyDescent="0.2">
      <c r="A250" s="433"/>
      <c r="B250" s="113">
        <v>27</v>
      </c>
      <c r="C250" s="432">
        <v>75.760000000000005</v>
      </c>
      <c r="D250" s="432">
        <v>76.45</v>
      </c>
      <c r="E250" s="432">
        <v>76.81</v>
      </c>
      <c r="F250" s="426"/>
      <c r="G250" s="426"/>
      <c r="H250" s="426"/>
      <c r="I250" s="426"/>
      <c r="J250" s="426"/>
      <c r="K250" s="433"/>
      <c r="L250" s="113">
        <v>27</v>
      </c>
      <c r="M250" s="432">
        <v>80.290000000000006</v>
      </c>
      <c r="N250" s="432">
        <v>81.069999999999993</v>
      </c>
      <c r="O250" s="432">
        <v>81.459999999999994</v>
      </c>
      <c r="P250" s="426"/>
      <c r="Q250" s="426"/>
      <c r="R250" s="426"/>
      <c r="S250" s="426"/>
      <c r="T250" s="426"/>
      <c r="U250" s="433"/>
      <c r="V250" s="113">
        <v>27</v>
      </c>
      <c r="W250" s="432">
        <v>85.07</v>
      </c>
      <c r="X250" s="432">
        <v>85.96</v>
      </c>
      <c r="Y250" s="432">
        <v>86.38</v>
      </c>
      <c r="Z250" s="426"/>
      <c r="AA250" s="426"/>
      <c r="AB250" s="426"/>
      <c r="AC250" s="426"/>
      <c r="AD250" s="426"/>
      <c r="AE250" s="433"/>
      <c r="AF250" s="113">
        <v>27</v>
      </c>
      <c r="AG250" s="432">
        <v>90.12</v>
      </c>
      <c r="AH250" s="432">
        <v>91.12</v>
      </c>
      <c r="AI250" s="432">
        <v>91.58</v>
      </c>
      <c r="AJ250" s="426"/>
      <c r="AK250" s="426"/>
      <c r="AL250" s="426"/>
      <c r="AM250" s="426"/>
      <c r="AN250" s="426"/>
    </row>
    <row r="251" spans="1:40" x14ac:dyDescent="0.2">
      <c r="A251" s="433"/>
      <c r="B251" s="113">
        <v>28</v>
      </c>
      <c r="C251" s="432">
        <v>76.22</v>
      </c>
      <c r="D251" s="432">
        <v>76.92</v>
      </c>
      <c r="E251" s="432">
        <v>77.28</v>
      </c>
      <c r="F251" s="426"/>
      <c r="G251" s="426"/>
      <c r="H251" s="426"/>
      <c r="I251" s="426"/>
      <c r="J251" s="426"/>
      <c r="K251" s="433"/>
      <c r="L251" s="113">
        <v>28</v>
      </c>
      <c r="M251" s="432">
        <v>80.81</v>
      </c>
      <c r="N251" s="432">
        <v>81.599999999999994</v>
      </c>
      <c r="O251" s="432">
        <v>81.99</v>
      </c>
      <c r="P251" s="426"/>
      <c r="Q251" s="426"/>
      <c r="R251" s="426"/>
      <c r="S251" s="426"/>
      <c r="T251" s="426"/>
      <c r="U251" s="433"/>
      <c r="V251" s="113">
        <v>28</v>
      </c>
      <c r="W251" s="432">
        <v>85.65</v>
      </c>
      <c r="X251" s="432">
        <v>86.55</v>
      </c>
      <c r="Y251" s="432">
        <v>86.98</v>
      </c>
      <c r="Z251" s="426"/>
      <c r="AA251" s="426"/>
      <c r="AB251" s="426"/>
      <c r="AC251" s="426"/>
      <c r="AD251" s="426"/>
      <c r="AE251" s="433"/>
      <c r="AF251" s="113">
        <v>28</v>
      </c>
      <c r="AG251" s="432">
        <v>90.77</v>
      </c>
      <c r="AH251" s="432">
        <v>91.78</v>
      </c>
      <c r="AI251" s="432">
        <v>92.24</v>
      </c>
      <c r="AJ251" s="426"/>
      <c r="AK251" s="426"/>
      <c r="AL251" s="426"/>
      <c r="AM251" s="426"/>
      <c r="AN251" s="426"/>
    </row>
    <row r="252" spans="1:40" x14ac:dyDescent="0.2">
      <c r="A252" s="433"/>
      <c r="B252" s="113">
        <v>29</v>
      </c>
      <c r="C252" s="432">
        <v>76.709999999999994</v>
      </c>
      <c r="D252" s="432">
        <v>77.41</v>
      </c>
      <c r="E252" s="432">
        <v>77.78</v>
      </c>
      <c r="F252" s="426"/>
      <c r="G252" s="426"/>
      <c r="H252" s="426"/>
      <c r="I252" s="426"/>
      <c r="J252" s="426"/>
      <c r="K252" s="433"/>
      <c r="L252" s="113">
        <v>29</v>
      </c>
      <c r="M252" s="432">
        <v>81.349999999999994</v>
      </c>
      <c r="N252" s="432">
        <v>82.15</v>
      </c>
      <c r="O252" s="432">
        <v>82.55</v>
      </c>
      <c r="P252" s="426"/>
      <c r="Q252" s="426"/>
      <c r="R252" s="426"/>
      <c r="S252" s="426"/>
      <c r="T252" s="426"/>
      <c r="U252" s="433"/>
      <c r="V252" s="113">
        <v>29</v>
      </c>
      <c r="W252" s="432">
        <v>86.26</v>
      </c>
      <c r="X252" s="432">
        <v>87.16</v>
      </c>
      <c r="Y252" s="432">
        <v>87.6</v>
      </c>
      <c r="Z252" s="426"/>
      <c r="AA252" s="426"/>
      <c r="AB252" s="426"/>
      <c r="AC252" s="426"/>
      <c r="AD252" s="426"/>
      <c r="AE252" s="433"/>
      <c r="AF252" s="113">
        <v>29</v>
      </c>
      <c r="AG252" s="432">
        <v>91.44</v>
      </c>
      <c r="AH252" s="432">
        <v>92.46</v>
      </c>
      <c r="AI252" s="432">
        <v>92.93</v>
      </c>
      <c r="AJ252" s="426"/>
      <c r="AK252" s="426"/>
      <c r="AL252" s="426"/>
      <c r="AM252" s="426"/>
      <c r="AN252" s="426"/>
    </row>
    <row r="253" spans="1:40" x14ac:dyDescent="0.2">
      <c r="A253" s="433"/>
      <c r="B253" s="113">
        <v>30</v>
      </c>
      <c r="C253" s="432">
        <v>77.22</v>
      </c>
      <c r="D253" s="432">
        <v>77.930000000000007</v>
      </c>
      <c r="E253" s="432">
        <v>78.3</v>
      </c>
      <c r="F253" s="426"/>
      <c r="G253" s="426"/>
      <c r="H253" s="426"/>
      <c r="I253" s="426"/>
      <c r="J253" s="426"/>
      <c r="K253" s="433"/>
      <c r="L253" s="113">
        <v>30</v>
      </c>
      <c r="M253" s="432">
        <v>81.92</v>
      </c>
      <c r="N253" s="432">
        <v>82.73</v>
      </c>
      <c r="O253" s="432">
        <v>83.13</v>
      </c>
      <c r="P253" s="426"/>
      <c r="Q253" s="426"/>
      <c r="R253" s="426"/>
      <c r="S253" s="426"/>
      <c r="T253" s="426"/>
      <c r="U253" s="433"/>
      <c r="V253" s="113">
        <v>30</v>
      </c>
      <c r="W253" s="432">
        <v>86.89</v>
      </c>
      <c r="X253" s="432">
        <v>87.81</v>
      </c>
      <c r="Y253" s="432">
        <v>88.24</v>
      </c>
      <c r="Z253" s="426"/>
      <c r="AA253" s="426"/>
      <c r="AB253" s="426"/>
      <c r="AC253" s="426"/>
      <c r="AD253" s="426"/>
      <c r="AE253" s="433"/>
      <c r="AF253" s="113">
        <v>30</v>
      </c>
      <c r="AG253" s="432">
        <v>92.14</v>
      </c>
      <c r="AH253" s="432">
        <v>93.18</v>
      </c>
      <c r="AI253" s="432">
        <v>93.65</v>
      </c>
      <c r="AJ253" s="426"/>
      <c r="AK253" s="426"/>
      <c r="AL253" s="426"/>
      <c r="AM253" s="426"/>
      <c r="AN253" s="426"/>
    </row>
    <row r="254" spans="1:40" x14ac:dyDescent="0.2">
      <c r="A254" s="433"/>
      <c r="B254" s="113">
        <v>31</v>
      </c>
      <c r="C254" s="432">
        <v>77.75</v>
      </c>
      <c r="D254" s="432">
        <v>78.47</v>
      </c>
      <c r="E254" s="432">
        <v>78.84</v>
      </c>
      <c r="F254" s="426"/>
      <c r="G254" s="426"/>
      <c r="H254" s="426"/>
      <c r="I254" s="426"/>
      <c r="J254" s="426"/>
      <c r="K254" s="433"/>
      <c r="L254" s="113">
        <v>31</v>
      </c>
      <c r="M254" s="432">
        <v>82.51</v>
      </c>
      <c r="N254" s="432">
        <v>83.33</v>
      </c>
      <c r="O254" s="432">
        <v>83.74</v>
      </c>
      <c r="P254" s="426"/>
      <c r="Q254" s="426"/>
      <c r="R254" s="426"/>
      <c r="S254" s="426"/>
      <c r="T254" s="426"/>
      <c r="U254" s="433"/>
      <c r="V254" s="113">
        <v>31</v>
      </c>
      <c r="W254" s="432">
        <v>87.55</v>
      </c>
      <c r="X254" s="432">
        <v>88.48</v>
      </c>
      <c r="Y254" s="432">
        <v>88.92</v>
      </c>
      <c r="Z254" s="426"/>
      <c r="AA254" s="426"/>
      <c r="AB254" s="426"/>
      <c r="AC254" s="426"/>
      <c r="AD254" s="426"/>
      <c r="AE254" s="433"/>
      <c r="AF254" s="113">
        <v>31</v>
      </c>
      <c r="AG254" s="432">
        <v>92.88</v>
      </c>
      <c r="AH254" s="432">
        <v>93.93</v>
      </c>
      <c r="AI254" s="432">
        <v>94.4</v>
      </c>
      <c r="AJ254" s="426"/>
      <c r="AK254" s="426"/>
      <c r="AL254" s="426"/>
      <c r="AM254" s="426"/>
      <c r="AN254" s="426"/>
    </row>
    <row r="255" spans="1:40" x14ac:dyDescent="0.2">
      <c r="A255" s="433"/>
      <c r="B255" s="113">
        <v>32</v>
      </c>
      <c r="C255" s="432">
        <v>78.31</v>
      </c>
      <c r="D255" s="432">
        <v>79.040000000000006</v>
      </c>
      <c r="E255" s="432">
        <v>79.41</v>
      </c>
      <c r="F255" s="426"/>
      <c r="G255" s="426"/>
      <c r="H255" s="426"/>
      <c r="I255" s="426"/>
      <c r="J255" s="426"/>
      <c r="K255" s="433"/>
      <c r="L255" s="113">
        <v>32</v>
      </c>
      <c r="M255" s="432">
        <v>83.13</v>
      </c>
      <c r="N255" s="432">
        <v>83.97</v>
      </c>
      <c r="O255" s="432">
        <v>84.37</v>
      </c>
      <c r="P255" s="426"/>
      <c r="Q255" s="426"/>
      <c r="R255" s="426"/>
      <c r="S255" s="426"/>
      <c r="T255" s="426"/>
      <c r="U255" s="433"/>
      <c r="V255" s="113">
        <v>32</v>
      </c>
      <c r="W255" s="432">
        <v>88.24</v>
      </c>
      <c r="X255" s="432">
        <v>89.18</v>
      </c>
      <c r="Y255" s="432">
        <v>89.62</v>
      </c>
      <c r="Z255" s="426"/>
      <c r="AA255" s="426"/>
      <c r="AB255" s="426"/>
      <c r="AC255" s="426"/>
      <c r="AD255" s="426"/>
      <c r="AE255" s="433"/>
      <c r="AF255" s="113">
        <v>32</v>
      </c>
      <c r="AG255" s="432">
        <v>93.64</v>
      </c>
      <c r="AH255" s="432">
        <v>94.71</v>
      </c>
      <c r="AI255" s="432">
        <v>95.19</v>
      </c>
      <c r="AJ255" s="426"/>
      <c r="AK255" s="426"/>
      <c r="AL255" s="426"/>
      <c r="AM255" s="426"/>
      <c r="AN255" s="426"/>
    </row>
    <row r="256" spans="1:40" x14ac:dyDescent="0.2">
      <c r="A256" s="433"/>
      <c r="B256" s="113">
        <v>33</v>
      </c>
      <c r="C256" s="432">
        <v>78.89</v>
      </c>
      <c r="D256" s="432">
        <v>79.63</v>
      </c>
      <c r="E256" s="432">
        <v>80.010000000000005</v>
      </c>
      <c r="F256" s="426"/>
      <c r="G256" s="426"/>
      <c r="H256" s="426"/>
      <c r="I256" s="426"/>
      <c r="J256" s="426"/>
      <c r="K256" s="433"/>
      <c r="L256" s="113">
        <v>33</v>
      </c>
      <c r="M256" s="432">
        <v>83.78</v>
      </c>
      <c r="N256" s="432">
        <v>84.63</v>
      </c>
      <c r="O256" s="432">
        <v>85.04</v>
      </c>
      <c r="P256" s="426"/>
      <c r="Q256" s="426"/>
      <c r="R256" s="426"/>
      <c r="S256" s="426"/>
      <c r="T256" s="426"/>
      <c r="U256" s="433"/>
      <c r="V256" s="113">
        <v>33</v>
      </c>
      <c r="W256" s="432">
        <v>88.96</v>
      </c>
      <c r="X256" s="432">
        <v>89.92</v>
      </c>
      <c r="Y256" s="432">
        <v>90.36</v>
      </c>
      <c r="Z256" s="426"/>
      <c r="AA256" s="426"/>
      <c r="AB256" s="426"/>
      <c r="AC256" s="426"/>
      <c r="AD256" s="426"/>
      <c r="AE256" s="433"/>
      <c r="AF256" s="113">
        <v>33</v>
      </c>
      <c r="AG256" s="432">
        <v>94.44</v>
      </c>
      <c r="AH256" s="432">
        <v>95.52</v>
      </c>
      <c r="AI256" s="432">
        <v>96</v>
      </c>
      <c r="AJ256" s="426"/>
      <c r="AK256" s="426"/>
      <c r="AL256" s="426"/>
      <c r="AM256" s="426"/>
      <c r="AN256" s="426"/>
    </row>
    <row r="257" spans="1:40" x14ac:dyDescent="0.2">
      <c r="A257" s="433"/>
      <c r="B257" s="113">
        <v>34</v>
      </c>
      <c r="C257" s="432">
        <v>79.5</v>
      </c>
      <c r="D257" s="432">
        <v>80.25</v>
      </c>
      <c r="E257" s="432">
        <v>80.63</v>
      </c>
      <c r="F257" s="426"/>
      <c r="G257" s="426"/>
      <c r="H257" s="426"/>
      <c r="I257" s="426"/>
      <c r="J257" s="426"/>
      <c r="K257" s="433"/>
      <c r="L257" s="113">
        <v>34</v>
      </c>
      <c r="M257" s="432">
        <v>84.46</v>
      </c>
      <c r="N257" s="432">
        <v>85.32</v>
      </c>
      <c r="O257" s="432">
        <v>85.73</v>
      </c>
      <c r="P257" s="426"/>
      <c r="Q257" s="426"/>
      <c r="R257" s="426"/>
      <c r="S257" s="426"/>
      <c r="T257" s="426"/>
      <c r="U257" s="433"/>
      <c r="V257" s="113">
        <v>34</v>
      </c>
      <c r="W257" s="432">
        <v>89.71</v>
      </c>
      <c r="X257" s="432">
        <v>90.68</v>
      </c>
      <c r="Y257" s="432">
        <v>91.13</v>
      </c>
      <c r="Z257" s="426"/>
      <c r="AA257" s="426"/>
      <c r="AB257" s="426"/>
      <c r="AC257" s="426"/>
      <c r="AD257" s="426"/>
      <c r="AE257" s="433"/>
      <c r="AF257" s="113">
        <v>34</v>
      </c>
      <c r="AG257" s="432">
        <v>95.27</v>
      </c>
      <c r="AH257" s="432">
        <v>96.37</v>
      </c>
      <c r="AI257" s="432">
        <v>96.85</v>
      </c>
      <c r="AJ257" s="426"/>
      <c r="AK257" s="426"/>
      <c r="AL257" s="426"/>
      <c r="AM257" s="426"/>
      <c r="AN257" s="426"/>
    </row>
    <row r="258" spans="1:40" x14ac:dyDescent="0.2">
      <c r="A258" s="433"/>
      <c r="B258" s="113">
        <v>35</v>
      </c>
      <c r="C258" s="432">
        <v>80.13</v>
      </c>
      <c r="D258" s="432">
        <v>80.900000000000006</v>
      </c>
      <c r="E258" s="432">
        <v>81.28</v>
      </c>
      <c r="F258" s="426"/>
      <c r="G258" s="426"/>
      <c r="H258" s="426"/>
      <c r="I258" s="426"/>
      <c r="J258" s="426"/>
      <c r="K258" s="433"/>
      <c r="L258" s="113">
        <v>35</v>
      </c>
      <c r="M258" s="432">
        <v>85.16</v>
      </c>
      <c r="N258" s="432">
        <v>86.04</v>
      </c>
      <c r="O258" s="432">
        <v>86.45</v>
      </c>
      <c r="P258" s="426"/>
      <c r="Q258" s="426"/>
      <c r="R258" s="426"/>
      <c r="S258" s="426"/>
      <c r="T258" s="426"/>
      <c r="U258" s="433"/>
      <c r="V258" s="113">
        <v>35</v>
      </c>
      <c r="W258" s="432">
        <v>90.49</v>
      </c>
      <c r="X258" s="432">
        <v>91.48</v>
      </c>
      <c r="Y258" s="432">
        <v>91.93</v>
      </c>
      <c r="Z258" s="426"/>
      <c r="AA258" s="426"/>
      <c r="AB258" s="426"/>
      <c r="AC258" s="426"/>
      <c r="AD258" s="426"/>
      <c r="AE258" s="433"/>
      <c r="AF258" s="113">
        <v>35</v>
      </c>
      <c r="AG258" s="432">
        <v>96.14</v>
      </c>
      <c r="AH258" s="432">
        <v>97.26</v>
      </c>
      <c r="AI258" s="432">
        <v>97.75</v>
      </c>
      <c r="AJ258" s="426"/>
      <c r="AK258" s="426"/>
      <c r="AL258" s="426"/>
      <c r="AM258" s="426"/>
      <c r="AN258" s="426"/>
    </row>
    <row r="259" spans="1:40" x14ac:dyDescent="0.2">
      <c r="A259" s="433"/>
      <c r="B259" s="113">
        <v>36</v>
      </c>
      <c r="C259" s="432">
        <v>80.8</v>
      </c>
      <c r="D259" s="432">
        <v>81.58</v>
      </c>
      <c r="E259" s="432">
        <v>81.96</v>
      </c>
      <c r="F259" s="426"/>
      <c r="G259" s="426"/>
      <c r="H259" s="426"/>
      <c r="I259" s="426"/>
      <c r="J259" s="426"/>
      <c r="K259" s="433"/>
      <c r="L259" s="113">
        <v>36</v>
      </c>
      <c r="M259" s="432">
        <v>85.9</v>
      </c>
      <c r="N259" s="432">
        <v>86.79</v>
      </c>
      <c r="O259" s="432">
        <v>87.21</v>
      </c>
      <c r="P259" s="426"/>
      <c r="Q259" s="426"/>
      <c r="R259" s="426"/>
      <c r="S259" s="426"/>
      <c r="T259" s="426"/>
      <c r="U259" s="433"/>
      <c r="V259" s="113">
        <v>36</v>
      </c>
      <c r="W259" s="432">
        <v>91.32</v>
      </c>
      <c r="X259" s="432">
        <v>92.32</v>
      </c>
      <c r="Y259" s="432">
        <v>92.78</v>
      </c>
      <c r="Z259" s="426"/>
      <c r="AA259" s="426"/>
      <c r="AB259" s="426"/>
      <c r="AC259" s="426"/>
      <c r="AD259" s="426"/>
      <c r="AE259" s="433"/>
      <c r="AF259" s="113">
        <v>36</v>
      </c>
      <c r="AG259" s="432">
        <v>97.06</v>
      </c>
      <c r="AH259" s="432">
        <v>98.19</v>
      </c>
      <c r="AI259" s="432">
        <v>98.69</v>
      </c>
      <c r="AJ259" s="426"/>
      <c r="AK259" s="426"/>
      <c r="AL259" s="426"/>
      <c r="AM259" s="426"/>
      <c r="AN259" s="426"/>
    </row>
    <row r="260" spans="1:40" x14ac:dyDescent="0.2">
      <c r="A260" s="433"/>
      <c r="B260" s="113">
        <v>37</v>
      </c>
      <c r="C260" s="432">
        <v>81.5</v>
      </c>
      <c r="D260" s="432">
        <v>82.29</v>
      </c>
      <c r="E260" s="432">
        <v>82.68</v>
      </c>
      <c r="F260" s="426"/>
      <c r="G260" s="426"/>
      <c r="H260" s="426"/>
      <c r="I260" s="426"/>
      <c r="J260" s="426"/>
      <c r="K260" s="433"/>
      <c r="L260" s="113">
        <v>37</v>
      </c>
      <c r="M260" s="432">
        <v>86.68</v>
      </c>
      <c r="N260" s="432">
        <v>87.58</v>
      </c>
      <c r="O260" s="432">
        <v>88</v>
      </c>
      <c r="P260" s="426"/>
      <c r="Q260" s="426"/>
      <c r="R260" s="426"/>
      <c r="S260" s="426"/>
      <c r="T260" s="426"/>
      <c r="U260" s="433"/>
      <c r="V260" s="113">
        <v>37</v>
      </c>
      <c r="W260" s="432">
        <v>92.18</v>
      </c>
      <c r="X260" s="432">
        <v>93.2</v>
      </c>
      <c r="Y260" s="432">
        <v>93.66</v>
      </c>
      <c r="Z260" s="426"/>
      <c r="AA260" s="426"/>
      <c r="AB260" s="426"/>
      <c r="AC260" s="426"/>
      <c r="AD260" s="426"/>
      <c r="AE260" s="433"/>
      <c r="AF260" s="113">
        <v>37</v>
      </c>
      <c r="AG260" s="432">
        <v>98.01</v>
      </c>
      <c r="AH260" s="432">
        <v>99.17</v>
      </c>
      <c r="AI260" s="432">
        <v>99.67</v>
      </c>
      <c r="AJ260" s="426"/>
      <c r="AK260" s="426"/>
      <c r="AL260" s="426"/>
      <c r="AM260" s="426"/>
      <c r="AN260" s="426"/>
    </row>
    <row r="261" spans="1:40" x14ac:dyDescent="0.2">
      <c r="A261" s="433"/>
      <c r="B261" s="113">
        <v>38</v>
      </c>
      <c r="C261" s="432">
        <v>82.23</v>
      </c>
      <c r="D261" s="432">
        <v>83.03</v>
      </c>
      <c r="E261" s="432">
        <v>83.42</v>
      </c>
      <c r="F261" s="426"/>
      <c r="G261" s="426"/>
      <c r="H261" s="426"/>
      <c r="I261" s="426"/>
      <c r="J261" s="426"/>
      <c r="K261" s="433"/>
      <c r="L261" s="113">
        <v>38</v>
      </c>
      <c r="M261" s="432">
        <v>87.5</v>
      </c>
      <c r="N261" s="432">
        <v>88.41</v>
      </c>
      <c r="O261" s="432">
        <v>88.84</v>
      </c>
      <c r="P261" s="426"/>
      <c r="Q261" s="426"/>
      <c r="R261" s="426"/>
      <c r="S261" s="426"/>
      <c r="T261" s="426"/>
      <c r="U261" s="433"/>
      <c r="V261" s="113">
        <v>38</v>
      </c>
      <c r="W261" s="432">
        <v>93.08</v>
      </c>
      <c r="X261" s="432">
        <v>94.12</v>
      </c>
      <c r="Y261" s="432">
        <v>94.59</v>
      </c>
      <c r="Z261" s="426"/>
      <c r="AA261" s="426"/>
      <c r="AB261" s="426"/>
      <c r="AC261" s="426"/>
      <c r="AD261" s="426"/>
      <c r="AE261" s="433"/>
      <c r="AF261" s="113">
        <v>38</v>
      </c>
      <c r="AG261" s="432">
        <v>99.01</v>
      </c>
      <c r="AH261" s="432">
        <v>100.19</v>
      </c>
      <c r="AI261" s="432">
        <v>100.69</v>
      </c>
      <c r="AJ261" s="426"/>
      <c r="AK261" s="426"/>
      <c r="AL261" s="426"/>
      <c r="AM261" s="426"/>
      <c r="AN261" s="426"/>
    </row>
    <row r="262" spans="1:40" x14ac:dyDescent="0.2">
      <c r="A262" s="433"/>
      <c r="B262" s="113">
        <v>39</v>
      </c>
      <c r="C262" s="432">
        <v>83</v>
      </c>
      <c r="D262" s="432">
        <v>83.82</v>
      </c>
      <c r="E262" s="432">
        <v>84.21</v>
      </c>
      <c r="F262" s="426"/>
      <c r="G262" s="426"/>
      <c r="H262" s="426"/>
      <c r="I262" s="426"/>
      <c r="J262" s="426"/>
      <c r="K262" s="433"/>
      <c r="L262" s="113">
        <v>39</v>
      </c>
      <c r="M262" s="432">
        <v>88.35</v>
      </c>
      <c r="N262" s="432">
        <v>89.28</v>
      </c>
      <c r="O262" s="432">
        <v>89.71</v>
      </c>
      <c r="P262" s="426"/>
      <c r="Q262" s="426"/>
      <c r="R262" s="426"/>
      <c r="S262" s="426"/>
      <c r="T262" s="426"/>
      <c r="U262" s="433"/>
      <c r="V262" s="113">
        <v>39</v>
      </c>
      <c r="W262" s="432">
        <v>94.03</v>
      </c>
      <c r="X262" s="432">
        <v>95.09</v>
      </c>
      <c r="Y262" s="432">
        <v>95.56</v>
      </c>
      <c r="Z262" s="426"/>
      <c r="AA262" s="426"/>
      <c r="AB262" s="426"/>
      <c r="AC262" s="426"/>
      <c r="AD262" s="426"/>
      <c r="AE262" s="433"/>
      <c r="AF262" s="113">
        <v>39</v>
      </c>
      <c r="AG262" s="432">
        <v>100.06</v>
      </c>
      <c r="AH262" s="432">
        <v>101.25</v>
      </c>
      <c r="AI262" s="432">
        <v>101.76</v>
      </c>
      <c r="AJ262" s="426"/>
      <c r="AK262" s="426"/>
      <c r="AL262" s="426"/>
      <c r="AM262" s="426"/>
      <c r="AN262" s="426"/>
    </row>
    <row r="263" spans="1:40" x14ac:dyDescent="0.2">
      <c r="A263" s="433"/>
      <c r="B263" s="113">
        <v>40</v>
      </c>
      <c r="C263" s="432">
        <v>83.81</v>
      </c>
      <c r="D263" s="432">
        <v>84.64</v>
      </c>
      <c r="E263" s="432">
        <v>85.04</v>
      </c>
      <c r="F263" s="426"/>
      <c r="G263" s="426"/>
      <c r="H263" s="426"/>
      <c r="I263" s="426"/>
      <c r="J263" s="426"/>
      <c r="K263" s="433"/>
      <c r="L263" s="113">
        <v>40</v>
      </c>
      <c r="M263" s="432">
        <v>89.25</v>
      </c>
      <c r="N263" s="432">
        <v>90.2</v>
      </c>
      <c r="O263" s="432">
        <v>90.63</v>
      </c>
      <c r="P263" s="426"/>
      <c r="Q263" s="426"/>
      <c r="R263" s="426"/>
      <c r="S263" s="426"/>
      <c r="T263" s="426"/>
      <c r="U263" s="433"/>
      <c r="V263" s="113">
        <v>40</v>
      </c>
      <c r="W263" s="432">
        <v>95.02</v>
      </c>
      <c r="X263" s="432">
        <v>96.1</v>
      </c>
      <c r="Y263" s="432">
        <v>96.57</v>
      </c>
      <c r="Z263" s="426"/>
      <c r="AA263" s="426"/>
      <c r="AB263" s="426"/>
      <c r="AC263" s="426"/>
      <c r="AD263" s="426"/>
      <c r="AE263" s="433"/>
      <c r="AF263" s="113">
        <v>40</v>
      </c>
      <c r="AG263" s="432">
        <v>101.14</v>
      </c>
      <c r="AH263" s="432">
        <v>102.36</v>
      </c>
      <c r="AI263" s="432">
        <v>102.87</v>
      </c>
      <c r="AJ263" s="426"/>
      <c r="AK263" s="426"/>
      <c r="AL263" s="426"/>
      <c r="AM263" s="426"/>
      <c r="AN263" s="426"/>
    </row>
    <row r="264" spans="1:40" x14ac:dyDescent="0.2">
      <c r="A264" s="433"/>
      <c r="B264" s="113">
        <v>41</v>
      </c>
      <c r="C264" s="432">
        <v>84.66</v>
      </c>
      <c r="D264" s="432">
        <v>85.5</v>
      </c>
      <c r="E264" s="432">
        <v>85.9</v>
      </c>
      <c r="F264" s="426"/>
      <c r="G264" s="426"/>
      <c r="H264" s="426"/>
      <c r="I264" s="426"/>
      <c r="J264" s="426"/>
      <c r="K264" s="433"/>
      <c r="L264" s="113">
        <v>41</v>
      </c>
      <c r="M264" s="432">
        <v>90.18</v>
      </c>
      <c r="N264" s="432">
        <v>91.15</v>
      </c>
      <c r="O264" s="432">
        <v>91.58</v>
      </c>
      <c r="P264" s="426"/>
      <c r="Q264" s="426"/>
      <c r="R264" s="426"/>
      <c r="S264" s="426"/>
      <c r="T264" s="426"/>
      <c r="U264" s="433"/>
      <c r="V264" s="113">
        <v>41</v>
      </c>
      <c r="W264" s="432">
        <v>96.05</v>
      </c>
      <c r="X264" s="432">
        <v>97.15</v>
      </c>
      <c r="Y264" s="432">
        <v>97.62</v>
      </c>
      <c r="Z264" s="426"/>
      <c r="AA264" s="426"/>
      <c r="AB264" s="426"/>
      <c r="AC264" s="426"/>
      <c r="AD264" s="426"/>
      <c r="AE264" s="433"/>
      <c r="AF264" s="113">
        <v>41</v>
      </c>
      <c r="AG264" s="432">
        <v>102.27</v>
      </c>
      <c r="AH264" s="432">
        <v>103.51</v>
      </c>
      <c r="AI264" s="432">
        <v>104.03</v>
      </c>
      <c r="AJ264" s="426"/>
      <c r="AK264" s="426"/>
      <c r="AL264" s="426"/>
      <c r="AM264" s="426"/>
      <c r="AN264" s="426"/>
    </row>
    <row r="265" spans="1:40" x14ac:dyDescent="0.2">
      <c r="A265" s="433"/>
      <c r="B265" s="113">
        <v>42</v>
      </c>
      <c r="C265" s="432">
        <v>85.54</v>
      </c>
      <c r="D265" s="432">
        <v>86.41</v>
      </c>
      <c r="E265" s="432">
        <v>86.81</v>
      </c>
      <c r="F265" s="426"/>
      <c r="G265" s="426"/>
      <c r="H265" s="426"/>
      <c r="I265" s="426"/>
      <c r="J265" s="426"/>
      <c r="K265" s="433"/>
      <c r="L265" s="113">
        <v>42</v>
      </c>
      <c r="M265" s="432">
        <v>91.16</v>
      </c>
      <c r="N265" s="432">
        <v>92.15</v>
      </c>
      <c r="O265" s="432">
        <v>92.58</v>
      </c>
      <c r="P265" s="426"/>
      <c r="Q265" s="426"/>
      <c r="R265" s="426"/>
      <c r="S265" s="426"/>
      <c r="T265" s="426"/>
      <c r="U265" s="433"/>
      <c r="V265" s="113">
        <v>42</v>
      </c>
      <c r="W265" s="432">
        <v>97.12</v>
      </c>
      <c r="X265" s="432">
        <v>98.24</v>
      </c>
      <c r="Y265" s="432">
        <v>98.72</v>
      </c>
      <c r="Z265" s="426"/>
      <c r="AA265" s="426"/>
      <c r="AB265" s="426"/>
      <c r="AC265" s="426"/>
      <c r="AD265" s="426"/>
      <c r="AE265" s="433"/>
      <c r="AF265" s="113">
        <v>42</v>
      </c>
      <c r="AG265" s="432">
        <v>103.44</v>
      </c>
      <c r="AH265" s="432">
        <v>104.71</v>
      </c>
      <c r="AI265" s="432">
        <v>105.22</v>
      </c>
      <c r="AJ265" s="426"/>
      <c r="AK265" s="426"/>
      <c r="AL265" s="426"/>
      <c r="AM265" s="426"/>
      <c r="AN265" s="426"/>
    </row>
    <row r="266" spans="1:40" x14ac:dyDescent="0.2">
      <c r="A266" s="433"/>
      <c r="B266" s="113">
        <v>43</v>
      </c>
      <c r="C266" s="432">
        <v>86.47</v>
      </c>
      <c r="D266" s="432">
        <v>87.35</v>
      </c>
      <c r="E266" s="432">
        <v>87.76</v>
      </c>
      <c r="F266" s="426"/>
      <c r="G266" s="426"/>
      <c r="H266" s="426"/>
      <c r="I266" s="426"/>
      <c r="J266" s="426"/>
      <c r="K266" s="433"/>
      <c r="L266" s="113">
        <v>43</v>
      </c>
      <c r="M266" s="432">
        <v>92.18</v>
      </c>
      <c r="N266" s="432">
        <v>93.18</v>
      </c>
      <c r="O266" s="432">
        <v>93.63</v>
      </c>
      <c r="P266" s="426"/>
      <c r="Q266" s="426"/>
      <c r="R266" s="426"/>
      <c r="S266" s="426"/>
      <c r="T266" s="426"/>
      <c r="U266" s="433"/>
      <c r="V266" s="113">
        <v>43</v>
      </c>
      <c r="W266" s="432">
        <v>98.23</v>
      </c>
      <c r="X266" s="432">
        <v>99.38</v>
      </c>
      <c r="Y266" s="432">
        <v>99.86</v>
      </c>
      <c r="Z266" s="426"/>
      <c r="AA266" s="426"/>
      <c r="AB266" s="426"/>
      <c r="AC266" s="426"/>
      <c r="AD266" s="426"/>
      <c r="AE266" s="433"/>
      <c r="AF266" s="113">
        <v>43</v>
      </c>
      <c r="AG266" s="432">
        <v>104.64</v>
      </c>
      <c r="AH266" s="432">
        <v>105.93</v>
      </c>
      <c r="AI266" s="432">
        <v>106.45</v>
      </c>
      <c r="AJ266" s="426"/>
      <c r="AK266" s="426"/>
      <c r="AL266" s="426"/>
      <c r="AM266" s="426"/>
      <c r="AN266" s="426"/>
    </row>
    <row r="267" spans="1:40" x14ac:dyDescent="0.2">
      <c r="A267" s="433"/>
      <c r="B267" s="113">
        <v>44</v>
      </c>
      <c r="C267" s="432">
        <v>87.44</v>
      </c>
      <c r="D267" s="432">
        <v>88.34</v>
      </c>
      <c r="E267" s="432">
        <v>88.74</v>
      </c>
      <c r="F267" s="426"/>
      <c r="G267" s="426"/>
      <c r="H267" s="426"/>
      <c r="I267" s="426"/>
      <c r="J267" s="426"/>
      <c r="K267" s="433"/>
      <c r="L267" s="113">
        <v>44</v>
      </c>
      <c r="M267" s="432">
        <v>93.24</v>
      </c>
      <c r="N267" s="432">
        <v>94.26</v>
      </c>
      <c r="O267" s="432">
        <v>94.71</v>
      </c>
      <c r="P267" s="426"/>
      <c r="Q267" s="426"/>
      <c r="R267" s="426"/>
      <c r="S267" s="426"/>
      <c r="T267" s="426"/>
      <c r="U267" s="433"/>
      <c r="V267" s="113">
        <v>44</v>
      </c>
      <c r="W267" s="432">
        <v>99.38</v>
      </c>
      <c r="X267" s="432">
        <v>100.54</v>
      </c>
      <c r="Y267" s="432">
        <v>101.03</v>
      </c>
      <c r="Z267" s="426"/>
      <c r="AA267" s="426"/>
      <c r="AB267" s="426"/>
      <c r="AC267" s="426"/>
      <c r="AD267" s="426"/>
      <c r="AE267" s="433"/>
      <c r="AF267" s="113">
        <v>44</v>
      </c>
      <c r="AG267" s="432">
        <v>105.88</v>
      </c>
      <c r="AH267" s="432">
        <v>107.2</v>
      </c>
      <c r="AI267" s="432">
        <v>107.72</v>
      </c>
      <c r="AJ267" s="426"/>
      <c r="AK267" s="426"/>
      <c r="AL267" s="426"/>
      <c r="AM267" s="426"/>
      <c r="AN267" s="426"/>
    </row>
    <row r="268" spans="1:40" x14ac:dyDescent="0.2">
      <c r="A268" s="433"/>
      <c r="B268" s="113">
        <v>45</v>
      </c>
      <c r="C268" s="432">
        <v>88.44</v>
      </c>
      <c r="D268" s="432">
        <v>89.36</v>
      </c>
      <c r="E268" s="432">
        <v>89.77</v>
      </c>
      <c r="F268" s="426"/>
      <c r="G268" s="426"/>
      <c r="H268" s="426"/>
      <c r="I268" s="426"/>
      <c r="J268" s="426"/>
      <c r="K268" s="433"/>
      <c r="L268" s="113">
        <v>45</v>
      </c>
      <c r="M268" s="432">
        <v>94.33</v>
      </c>
      <c r="N268" s="432">
        <v>95.37</v>
      </c>
      <c r="O268" s="432">
        <v>95.82</v>
      </c>
      <c r="P268" s="426"/>
      <c r="Q268" s="426"/>
      <c r="R268" s="426"/>
      <c r="S268" s="426"/>
      <c r="T268" s="426"/>
      <c r="U268" s="433"/>
      <c r="V268" s="113">
        <v>45</v>
      </c>
      <c r="W268" s="432">
        <v>100.56</v>
      </c>
      <c r="X268" s="432">
        <v>101.75</v>
      </c>
      <c r="Y268" s="432">
        <v>102.24</v>
      </c>
      <c r="Z268" s="426"/>
      <c r="AA268" s="426"/>
      <c r="AB268" s="426"/>
      <c r="AC268" s="426"/>
      <c r="AD268" s="426"/>
      <c r="AE268" s="433"/>
      <c r="AF268" s="113">
        <v>45</v>
      </c>
      <c r="AG268" s="432">
        <v>107.17</v>
      </c>
      <c r="AH268" s="432">
        <v>108.51</v>
      </c>
      <c r="AI268" s="432">
        <v>109.04</v>
      </c>
      <c r="AJ268" s="426"/>
      <c r="AK268" s="426"/>
      <c r="AL268" s="426"/>
      <c r="AM268" s="426"/>
      <c r="AN268" s="426"/>
    </row>
    <row r="269" spans="1:40" x14ac:dyDescent="0.2">
      <c r="A269" s="433"/>
      <c r="B269" s="113">
        <v>46</v>
      </c>
      <c r="C269" s="432">
        <v>89.48</v>
      </c>
      <c r="D269" s="432">
        <v>90.42</v>
      </c>
      <c r="E269" s="432">
        <v>90.83</v>
      </c>
      <c r="F269" s="426"/>
      <c r="G269" s="426"/>
      <c r="H269" s="426"/>
      <c r="I269" s="426"/>
      <c r="J269" s="426"/>
      <c r="K269" s="433"/>
      <c r="L269" s="113">
        <v>46</v>
      </c>
      <c r="M269" s="432">
        <v>95.46</v>
      </c>
      <c r="N269" s="432">
        <v>96.53</v>
      </c>
      <c r="O269" s="432">
        <v>96.98</v>
      </c>
      <c r="P269" s="426"/>
      <c r="Q269" s="426"/>
      <c r="R269" s="426"/>
      <c r="S269" s="426"/>
      <c r="T269" s="426"/>
      <c r="U269" s="433"/>
      <c r="V269" s="113">
        <v>46</v>
      </c>
      <c r="W269" s="432">
        <v>101.79</v>
      </c>
      <c r="X269" s="432">
        <v>103.01</v>
      </c>
      <c r="Y269" s="432">
        <v>103.5</v>
      </c>
      <c r="Z269" s="426"/>
      <c r="AA269" s="426"/>
      <c r="AB269" s="426"/>
      <c r="AC269" s="426"/>
      <c r="AD269" s="426"/>
      <c r="AE269" s="433"/>
      <c r="AF269" s="113">
        <v>46</v>
      </c>
      <c r="AG269" s="432">
        <v>108.5</v>
      </c>
      <c r="AH269" s="432">
        <v>109.87</v>
      </c>
      <c r="AI269" s="432">
        <v>110.4</v>
      </c>
      <c r="AJ269" s="426"/>
      <c r="AK269" s="426"/>
      <c r="AL269" s="426"/>
      <c r="AM269" s="426"/>
      <c r="AN269" s="426"/>
    </row>
    <row r="270" spans="1:40" x14ac:dyDescent="0.2">
      <c r="A270" s="433"/>
      <c r="B270" s="113">
        <v>47</v>
      </c>
      <c r="C270" s="432">
        <v>90.56</v>
      </c>
      <c r="D270" s="432">
        <v>91.52</v>
      </c>
      <c r="E270" s="432">
        <v>91.93</v>
      </c>
      <c r="F270" s="426"/>
      <c r="G270" s="426"/>
      <c r="H270" s="426"/>
      <c r="I270" s="426"/>
      <c r="J270" s="426"/>
      <c r="K270" s="433"/>
      <c r="L270" s="113">
        <v>47</v>
      </c>
      <c r="M270" s="432">
        <v>96.63</v>
      </c>
      <c r="N270" s="432">
        <v>97.72</v>
      </c>
      <c r="O270" s="432">
        <v>98.18</v>
      </c>
      <c r="P270" s="426"/>
      <c r="Q270" s="426"/>
      <c r="R270" s="426"/>
      <c r="S270" s="426"/>
      <c r="T270" s="426"/>
      <c r="U270" s="433"/>
      <c r="V270" s="113">
        <v>47</v>
      </c>
      <c r="W270" s="432">
        <v>103.07</v>
      </c>
      <c r="X270" s="432">
        <v>104.31</v>
      </c>
      <c r="Y270" s="432">
        <v>104.8</v>
      </c>
      <c r="Z270" s="426"/>
      <c r="AA270" s="426"/>
      <c r="AB270" s="426"/>
      <c r="AC270" s="426"/>
      <c r="AD270" s="426"/>
      <c r="AE270" s="433"/>
      <c r="AF270" s="113">
        <v>47</v>
      </c>
      <c r="AG270" s="432">
        <v>109.9</v>
      </c>
      <c r="AH270" s="432">
        <v>111.3</v>
      </c>
      <c r="AI270" s="432">
        <v>111.83</v>
      </c>
      <c r="AJ270" s="426"/>
      <c r="AK270" s="426"/>
      <c r="AL270" s="426"/>
      <c r="AM270" s="426"/>
      <c r="AN270" s="426"/>
    </row>
    <row r="271" spans="1:40" x14ac:dyDescent="0.2">
      <c r="A271" s="433"/>
      <c r="B271" s="113">
        <v>48</v>
      </c>
      <c r="C271" s="432">
        <v>91.68</v>
      </c>
      <c r="D271" s="432">
        <v>92.66</v>
      </c>
      <c r="E271" s="432">
        <v>93.08</v>
      </c>
      <c r="F271" s="426"/>
      <c r="G271" s="426"/>
      <c r="H271" s="426"/>
      <c r="I271" s="426"/>
      <c r="J271" s="426"/>
      <c r="K271" s="433"/>
      <c r="L271" s="113">
        <v>48</v>
      </c>
      <c r="M271" s="432">
        <v>97.86</v>
      </c>
      <c r="N271" s="432">
        <v>98.98</v>
      </c>
      <c r="O271" s="432">
        <v>99.43</v>
      </c>
      <c r="P271" s="426"/>
      <c r="Q271" s="426"/>
      <c r="R271" s="426"/>
      <c r="S271" s="426"/>
      <c r="T271" s="426"/>
      <c r="U271" s="433"/>
      <c r="V271" s="113">
        <v>48</v>
      </c>
      <c r="W271" s="432">
        <v>104.41</v>
      </c>
      <c r="X271" s="432">
        <v>105.68</v>
      </c>
      <c r="Y271" s="432">
        <v>106.17</v>
      </c>
      <c r="Z271" s="426"/>
      <c r="AA271" s="426"/>
      <c r="AB271" s="426"/>
      <c r="AC271" s="426"/>
      <c r="AD271" s="426"/>
      <c r="AE271" s="433"/>
      <c r="AF271" s="113">
        <v>48</v>
      </c>
      <c r="AG271" s="432">
        <v>111.36</v>
      </c>
      <c r="AH271" s="432">
        <v>112.79</v>
      </c>
      <c r="AI271" s="432">
        <v>113.33</v>
      </c>
      <c r="AJ271" s="426"/>
      <c r="AK271" s="426"/>
      <c r="AL271" s="426"/>
      <c r="AM271" s="426"/>
      <c r="AN271" s="426"/>
    </row>
    <row r="272" spans="1:40" x14ac:dyDescent="0.2">
      <c r="A272" s="433"/>
      <c r="B272" s="113">
        <v>49</v>
      </c>
      <c r="C272" s="432">
        <v>92.86</v>
      </c>
      <c r="D272" s="432">
        <v>93.86</v>
      </c>
      <c r="E272" s="432">
        <v>94.28</v>
      </c>
      <c r="F272" s="426"/>
      <c r="G272" s="426"/>
      <c r="H272" s="426"/>
      <c r="I272" s="426"/>
      <c r="J272" s="426"/>
      <c r="K272" s="433"/>
      <c r="L272" s="113">
        <v>49</v>
      </c>
      <c r="M272" s="432">
        <v>99.15</v>
      </c>
      <c r="N272" s="432">
        <v>100.29</v>
      </c>
      <c r="O272" s="432">
        <v>100.75</v>
      </c>
      <c r="P272" s="426"/>
      <c r="Q272" s="426"/>
      <c r="R272" s="426"/>
      <c r="S272" s="426"/>
      <c r="T272" s="426"/>
      <c r="U272" s="433"/>
      <c r="V272" s="113">
        <v>49</v>
      </c>
      <c r="W272" s="432">
        <v>105.82</v>
      </c>
      <c r="X272" s="432">
        <v>107.12</v>
      </c>
      <c r="Y272" s="432">
        <v>107.61</v>
      </c>
      <c r="Z272" s="426"/>
      <c r="AA272" s="426"/>
      <c r="AB272" s="426"/>
      <c r="AC272" s="426"/>
      <c r="AD272" s="426"/>
      <c r="AE272" s="433"/>
      <c r="AF272" s="113">
        <v>49</v>
      </c>
      <c r="AG272" s="432">
        <v>112.89</v>
      </c>
      <c r="AH272" s="432">
        <v>114.36</v>
      </c>
      <c r="AI272" s="432">
        <v>114.9</v>
      </c>
      <c r="AJ272" s="426"/>
      <c r="AK272" s="426"/>
      <c r="AL272" s="426"/>
      <c r="AM272" s="426"/>
      <c r="AN272" s="426"/>
    </row>
    <row r="273" spans="1:40" x14ac:dyDescent="0.2">
      <c r="A273" s="433"/>
      <c r="B273" s="113">
        <v>50</v>
      </c>
      <c r="C273" s="432">
        <v>94.09</v>
      </c>
      <c r="D273" s="432">
        <v>95.12</v>
      </c>
      <c r="E273" s="432">
        <v>95.54</v>
      </c>
      <c r="F273" s="426"/>
      <c r="G273" s="426"/>
      <c r="H273" s="426"/>
      <c r="I273" s="434"/>
      <c r="J273" s="435"/>
      <c r="K273" s="433"/>
      <c r="L273" s="113">
        <v>50</v>
      </c>
      <c r="M273" s="432">
        <v>100.5</v>
      </c>
      <c r="N273" s="432">
        <v>101.67</v>
      </c>
      <c r="O273" s="432">
        <v>102.13</v>
      </c>
      <c r="P273" s="426"/>
      <c r="Q273" s="426"/>
      <c r="R273" s="426"/>
      <c r="S273" s="434"/>
      <c r="T273" s="435"/>
      <c r="U273" s="433"/>
      <c r="V273" s="113">
        <v>50</v>
      </c>
      <c r="W273" s="432">
        <v>107.3</v>
      </c>
      <c r="X273" s="432">
        <v>108.63</v>
      </c>
      <c r="Y273" s="432">
        <v>109.13</v>
      </c>
      <c r="Z273" s="426"/>
      <c r="AA273" s="426"/>
      <c r="AB273" s="426"/>
      <c r="AC273" s="434"/>
      <c r="AD273" s="435"/>
      <c r="AE273" s="433"/>
      <c r="AF273" s="113">
        <v>50</v>
      </c>
      <c r="AG273" s="432">
        <v>114.51</v>
      </c>
      <c r="AH273" s="432">
        <v>116.01</v>
      </c>
      <c r="AI273" s="432">
        <v>116.55</v>
      </c>
      <c r="AJ273" s="426"/>
      <c r="AK273" s="426"/>
      <c r="AL273" s="426"/>
      <c r="AM273" s="434"/>
      <c r="AN273" s="435"/>
    </row>
    <row r="274" spans="1:40" x14ac:dyDescent="0.2">
      <c r="A274" s="426"/>
      <c r="B274" s="113">
        <v>51</v>
      </c>
      <c r="C274" s="432">
        <v>95.4</v>
      </c>
      <c r="D274" s="432">
        <v>96.45</v>
      </c>
      <c r="E274" s="432">
        <v>96.88</v>
      </c>
      <c r="F274" s="426"/>
      <c r="G274" s="426"/>
      <c r="H274" s="426"/>
      <c r="I274" s="426"/>
      <c r="J274" s="436"/>
      <c r="K274" s="426"/>
      <c r="L274" s="113">
        <v>51</v>
      </c>
      <c r="M274" s="432">
        <v>101.94</v>
      </c>
      <c r="N274" s="432">
        <v>103.14</v>
      </c>
      <c r="O274" s="432">
        <v>103.6</v>
      </c>
      <c r="P274" s="426"/>
      <c r="Q274" s="426"/>
      <c r="R274" s="426"/>
      <c r="S274" s="426"/>
      <c r="T274" s="436"/>
      <c r="U274" s="426"/>
      <c r="V274" s="113">
        <v>51</v>
      </c>
      <c r="W274" s="432">
        <v>108.87</v>
      </c>
      <c r="X274" s="432">
        <v>110.23</v>
      </c>
      <c r="Y274" s="432">
        <v>110.73</v>
      </c>
      <c r="Z274" s="426"/>
      <c r="AA274" s="426"/>
      <c r="AB274" s="426"/>
      <c r="AC274" s="426"/>
      <c r="AD274" s="436"/>
      <c r="AE274" s="426"/>
      <c r="AF274" s="113">
        <v>51</v>
      </c>
      <c r="AG274" s="432">
        <v>116.22</v>
      </c>
      <c r="AH274" s="432">
        <v>117.76</v>
      </c>
      <c r="AI274" s="432">
        <v>118.3</v>
      </c>
      <c r="AJ274" s="426"/>
      <c r="AK274" s="426"/>
      <c r="AL274" s="426"/>
      <c r="AM274" s="426"/>
      <c r="AN274" s="436"/>
    </row>
    <row r="275" spans="1:40" x14ac:dyDescent="0.2">
      <c r="A275" s="426"/>
      <c r="B275" s="113">
        <v>52</v>
      </c>
      <c r="C275" s="432">
        <v>96.78</v>
      </c>
      <c r="D275" s="432">
        <v>97.86</v>
      </c>
      <c r="E275" s="432">
        <v>98.29</v>
      </c>
      <c r="F275" s="426"/>
      <c r="G275" s="426"/>
      <c r="H275" s="426"/>
      <c r="I275" s="426"/>
      <c r="J275" s="426"/>
      <c r="K275" s="426"/>
      <c r="L275" s="113">
        <v>52</v>
      </c>
      <c r="M275" s="432">
        <v>103.45</v>
      </c>
      <c r="N275" s="432">
        <v>104.68</v>
      </c>
      <c r="O275" s="432">
        <v>105.15</v>
      </c>
      <c r="P275" s="426"/>
      <c r="Q275" s="426"/>
      <c r="R275" s="426"/>
      <c r="S275" s="426"/>
      <c r="T275" s="426"/>
      <c r="U275" s="426"/>
      <c r="V275" s="113">
        <v>52</v>
      </c>
      <c r="W275" s="432">
        <v>110.53</v>
      </c>
      <c r="X275" s="432">
        <v>111.93</v>
      </c>
      <c r="Y275" s="432">
        <v>112.43</v>
      </c>
      <c r="Z275" s="426"/>
      <c r="AA275" s="426"/>
      <c r="AB275" s="426"/>
      <c r="AC275" s="426"/>
      <c r="AD275" s="426"/>
      <c r="AE275" s="426"/>
      <c r="AF275" s="113">
        <v>52</v>
      </c>
      <c r="AG275" s="432">
        <v>118.08</v>
      </c>
      <c r="AH275" s="432">
        <v>119.65</v>
      </c>
      <c r="AI275" s="432">
        <v>120.19</v>
      </c>
      <c r="AJ275" s="426"/>
      <c r="AK275" s="426"/>
      <c r="AL275" s="426"/>
      <c r="AM275" s="426"/>
      <c r="AN275" s="426"/>
    </row>
    <row r="276" spans="1:40" x14ac:dyDescent="0.2">
      <c r="A276" s="426"/>
      <c r="B276" s="113">
        <v>53</v>
      </c>
      <c r="C276" s="432">
        <v>98.25</v>
      </c>
      <c r="D276" s="432">
        <v>99.36</v>
      </c>
      <c r="E276" s="432">
        <v>99.78</v>
      </c>
      <c r="F276" s="426"/>
      <c r="G276" s="426"/>
      <c r="H276" s="426"/>
      <c r="I276" s="426"/>
      <c r="J276" s="426"/>
      <c r="K276" s="426"/>
      <c r="L276" s="113">
        <v>53</v>
      </c>
      <c r="M276" s="432">
        <v>105.06</v>
      </c>
      <c r="N276" s="432">
        <v>106.32</v>
      </c>
      <c r="O276" s="432">
        <v>106.79</v>
      </c>
      <c r="P276" s="426"/>
      <c r="Q276" s="426"/>
      <c r="R276" s="426"/>
      <c r="S276" s="426"/>
      <c r="T276" s="426"/>
      <c r="U276" s="426"/>
      <c r="V276" s="113">
        <v>53</v>
      </c>
      <c r="W276" s="432">
        <v>112.34</v>
      </c>
      <c r="X276" s="432">
        <v>113.77</v>
      </c>
      <c r="Y276" s="432">
        <v>114.27</v>
      </c>
      <c r="Z276" s="426"/>
      <c r="AA276" s="426"/>
      <c r="AB276" s="426"/>
      <c r="AC276" s="426"/>
      <c r="AD276" s="426"/>
      <c r="AE276" s="426"/>
      <c r="AF276" s="113">
        <v>53</v>
      </c>
      <c r="AG276" s="432">
        <v>120.12</v>
      </c>
      <c r="AH276" s="432">
        <v>121.74</v>
      </c>
      <c r="AI276" s="432">
        <v>122.28</v>
      </c>
      <c r="AJ276" s="426"/>
      <c r="AK276" s="426"/>
      <c r="AL276" s="426"/>
      <c r="AM276" s="426"/>
      <c r="AN276" s="426"/>
    </row>
    <row r="277" spans="1:40" x14ac:dyDescent="0.2">
      <c r="A277" s="426"/>
      <c r="B277" s="113">
        <v>54</v>
      </c>
      <c r="C277" s="432">
        <v>99.81</v>
      </c>
      <c r="D277" s="432">
        <v>100.95</v>
      </c>
      <c r="E277" s="432">
        <v>101.37</v>
      </c>
      <c r="F277" s="426"/>
      <c r="G277" s="426"/>
      <c r="H277" s="426"/>
      <c r="I277" s="426"/>
      <c r="J277" s="426"/>
      <c r="K277" s="426"/>
      <c r="L277" s="113">
        <v>54</v>
      </c>
      <c r="M277" s="432">
        <v>106.81</v>
      </c>
      <c r="N277" s="432">
        <v>108.11</v>
      </c>
      <c r="O277" s="432">
        <v>108.57</v>
      </c>
      <c r="P277" s="426"/>
      <c r="Q277" s="426"/>
      <c r="R277" s="426"/>
      <c r="S277" s="426"/>
      <c r="T277" s="426"/>
      <c r="U277" s="426"/>
      <c r="V277" s="113">
        <v>54</v>
      </c>
      <c r="W277" s="432">
        <v>114.33</v>
      </c>
      <c r="X277" s="432">
        <v>115.8</v>
      </c>
      <c r="Y277" s="432">
        <v>116.3</v>
      </c>
      <c r="Z277" s="426"/>
      <c r="AA277" s="426"/>
      <c r="AB277" s="426"/>
      <c r="AC277" s="426"/>
      <c r="AD277" s="426"/>
      <c r="AE277" s="426"/>
      <c r="AF277" s="113">
        <v>54</v>
      </c>
      <c r="AG277" s="432">
        <v>122.35</v>
      </c>
      <c r="AH277" s="432">
        <v>124.01</v>
      </c>
      <c r="AI277" s="432">
        <v>124.56</v>
      </c>
      <c r="AJ277" s="426"/>
      <c r="AK277" s="426"/>
      <c r="AL277" s="426"/>
      <c r="AM277" s="426"/>
      <c r="AN277" s="426"/>
    </row>
    <row r="278" spans="1:40" x14ac:dyDescent="0.2">
      <c r="A278" s="426"/>
      <c r="B278" s="113">
        <v>55</v>
      </c>
      <c r="C278" s="432">
        <v>101.5</v>
      </c>
      <c r="D278" s="432">
        <v>102.67</v>
      </c>
      <c r="E278" s="432">
        <v>103.1</v>
      </c>
      <c r="F278" s="426"/>
      <c r="G278" s="426"/>
      <c r="H278" s="426"/>
      <c r="I278" s="426"/>
      <c r="J278" s="426"/>
      <c r="K278" s="426"/>
      <c r="L278" s="113">
        <v>55</v>
      </c>
      <c r="M278" s="432">
        <v>108.75</v>
      </c>
      <c r="N278" s="432">
        <v>110.08</v>
      </c>
      <c r="O278" s="432">
        <v>110.55</v>
      </c>
      <c r="P278" s="426"/>
      <c r="Q278" s="426"/>
      <c r="R278" s="426"/>
      <c r="S278" s="426"/>
      <c r="T278" s="426"/>
      <c r="U278" s="426"/>
      <c r="V278" s="113">
        <v>55</v>
      </c>
      <c r="W278" s="432">
        <v>116.5</v>
      </c>
      <c r="X278" s="432">
        <v>118.01</v>
      </c>
      <c r="Y278" s="432">
        <v>118.52</v>
      </c>
      <c r="Z278" s="426"/>
      <c r="AA278" s="426"/>
      <c r="AB278" s="426"/>
      <c r="AC278" s="426"/>
      <c r="AD278" s="426"/>
      <c r="AE278" s="426"/>
      <c r="AF278" s="113">
        <v>55</v>
      </c>
      <c r="AG278" s="432">
        <v>124.76</v>
      </c>
      <c r="AH278" s="432">
        <v>126.46</v>
      </c>
      <c r="AI278" s="432">
        <v>127.01</v>
      </c>
      <c r="AJ278" s="426"/>
      <c r="AK278" s="426"/>
      <c r="AL278" s="426"/>
      <c r="AM278" s="426"/>
      <c r="AN278" s="426"/>
    </row>
    <row r="279" spans="1:40" x14ac:dyDescent="0.2">
      <c r="A279" s="426"/>
      <c r="B279" s="113">
        <v>56</v>
      </c>
      <c r="C279" s="432">
        <v>103.38</v>
      </c>
      <c r="D279" s="432">
        <v>104.58</v>
      </c>
      <c r="E279" s="432">
        <v>105.01</v>
      </c>
      <c r="F279" s="426"/>
      <c r="G279" s="426"/>
      <c r="H279" s="426"/>
      <c r="I279" s="426"/>
      <c r="J279" s="426"/>
      <c r="K279" s="426"/>
      <c r="L279" s="113">
        <v>56</v>
      </c>
      <c r="M279" s="432">
        <v>110.86</v>
      </c>
      <c r="N279" s="432">
        <v>112.24</v>
      </c>
      <c r="O279" s="432">
        <v>112.7</v>
      </c>
      <c r="P279" s="426"/>
      <c r="Q279" s="426"/>
      <c r="R279" s="426"/>
      <c r="S279" s="426"/>
      <c r="T279" s="426"/>
      <c r="U279" s="426"/>
      <c r="V279" s="113">
        <v>56</v>
      </c>
      <c r="W279" s="432">
        <v>118.85</v>
      </c>
      <c r="X279" s="432">
        <v>120.4</v>
      </c>
      <c r="Y279" s="432">
        <v>120.91</v>
      </c>
      <c r="Z279" s="426"/>
      <c r="AA279" s="426"/>
      <c r="AB279" s="426"/>
      <c r="AC279" s="426"/>
      <c r="AD279" s="426"/>
      <c r="AE279" s="426"/>
      <c r="AF279" s="113">
        <v>56</v>
      </c>
      <c r="AG279" s="432">
        <v>127.31</v>
      </c>
      <c r="AH279" s="432">
        <v>129.06</v>
      </c>
      <c r="AI279" s="432">
        <v>129.61000000000001</v>
      </c>
      <c r="AJ279" s="426"/>
      <c r="AK279" s="426"/>
      <c r="AL279" s="426"/>
      <c r="AM279" s="426"/>
      <c r="AN279" s="426"/>
    </row>
    <row r="280" spans="1:40" x14ac:dyDescent="0.2">
      <c r="A280" s="426"/>
      <c r="B280" s="113">
        <v>57</v>
      </c>
      <c r="C280" s="432">
        <v>105.43</v>
      </c>
      <c r="D280" s="432">
        <v>106.67</v>
      </c>
      <c r="E280" s="432">
        <v>107.1</v>
      </c>
      <c r="F280" s="426"/>
      <c r="G280" s="426"/>
      <c r="H280" s="426"/>
      <c r="I280" s="426"/>
      <c r="J280" s="426"/>
      <c r="K280" s="426"/>
      <c r="L280" s="113">
        <v>57</v>
      </c>
      <c r="M280" s="432">
        <v>113.15</v>
      </c>
      <c r="N280" s="432">
        <v>114.56</v>
      </c>
      <c r="O280" s="432">
        <v>115.03</v>
      </c>
      <c r="P280" s="426"/>
      <c r="Q280" s="426"/>
      <c r="R280" s="426"/>
      <c r="S280" s="426"/>
      <c r="T280" s="426"/>
      <c r="U280" s="426"/>
      <c r="V280" s="113">
        <v>57</v>
      </c>
      <c r="W280" s="432">
        <v>121.35</v>
      </c>
      <c r="X280" s="432">
        <v>122.95</v>
      </c>
      <c r="Y280" s="432">
        <v>123.46</v>
      </c>
      <c r="Z280" s="426"/>
      <c r="AA280" s="426"/>
      <c r="AB280" s="426"/>
      <c r="AC280" s="426"/>
      <c r="AD280" s="426"/>
      <c r="AE280" s="426"/>
      <c r="AF280" s="113">
        <v>57</v>
      </c>
      <c r="AG280" s="432">
        <v>130</v>
      </c>
      <c r="AH280" s="432">
        <v>131.80000000000001</v>
      </c>
      <c r="AI280" s="432">
        <v>132.36000000000001</v>
      </c>
      <c r="AJ280" s="426"/>
      <c r="AK280" s="426"/>
      <c r="AL280" s="426"/>
      <c r="AM280" s="426"/>
      <c r="AN280" s="426"/>
    </row>
    <row r="281" spans="1:40" x14ac:dyDescent="0.2">
      <c r="A281" s="426"/>
      <c r="B281" s="113">
        <v>58</v>
      </c>
      <c r="C281" s="432">
        <v>107.65</v>
      </c>
      <c r="D281" s="432">
        <v>108.93</v>
      </c>
      <c r="E281" s="432">
        <v>109.36</v>
      </c>
      <c r="F281" s="426"/>
      <c r="G281" s="426"/>
      <c r="H281" s="426"/>
      <c r="I281" s="426"/>
      <c r="J281" s="426"/>
      <c r="K281" s="426"/>
      <c r="L281" s="113">
        <v>58</v>
      </c>
      <c r="M281" s="432">
        <v>115.59</v>
      </c>
      <c r="N281" s="432">
        <v>117.04</v>
      </c>
      <c r="O281" s="432">
        <v>117.51</v>
      </c>
      <c r="P281" s="426"/>
      <c r="Q281" s="426"/>
      <c r="R281" s="426"/>
      <c r="S281" s="426"/>
      <c r="T281" s="426"/>
      <c r="U281" s="426"/>
      <c r="V281" s="113">
        <v>58</v>
      </c>
      <c r="W281" s="432">
        <v>123.99</v>
      </c>
      <c r="X281" s="432">
        <v>125.64</v>
      </c>
      <c r="Y281" s="432">
        <v>126.15</v>
      </c>
      <c r="Z281" s="426"/>
      <c r="AA281" s="426"/>
      <c r="AB281" s="426"/>
      <c r="AC281" s="426"/>
      <c r="AD281" s="426"/>
      <c r="AE281" s="426"/>
      <c r="AF281" s="113">
        <v>58</v>
      </c>
      <c r="AG281" s="432">
        <v>132.81</v>
      </c>
      <c r="AH281" s="432">
        <v>134.65</v>
      </c>
      <c r="AI281" s="432">
        <v>135.21</v>
      </c>
      <c r="AJ281" s="426"/>
      <c r="AK281" s="426"/>
      <c r="AL281" s="426"/>
      <c r="AM281" s="426"/>
      <c r="AN281" s="426"/>
    </row>
    <row r="282" spans="1:40" x14ac:dyDescent="0.2">
      <c r="A282" s="426"/>
      <c r="B282" s="113">
        <v>59</v>
      </c>
      <c r="C282" s="432">
        <v>110.02</v>
      </c>
      <c r="D282" s="432">
        <v>111.34</v>
      </c>
      <c r="E282" s="432">
        <v>111.78</v>
      </c>
      <c r="F282" s="426"/>
      <c r="G282" s="426"/>
      <c r="H282" s="426"/>
      <c r="I282" s="426"/>
      <c r="J282" s="426"/>
      <c r="K282" s="426"/>
      <c r="L282" s="113">
        <v>59</v>
      </c>
      <c r="M282" s="432">
        <v>118.17</v>
      </c>
      <c r="N282" s="432">
        <v>119.67</v>
      </c>
      <c r="O282" s="432">
        <v>120.14</v>
      </c>
      <c r="P282" s="426"/>
      <c r="Q282" s="426"/>
      <c r="R282" s="426"/>
      <c r="S282" s="426"/>
      <c r="T282" s="426"/>
      <c r="U282" s="426"/>
      <c r="V282" s="113">
        <v>59</v>
      </c>
      <c r="W282" s="432">
        <v>126.75</v>
      </c>
      <c r="X282" s="432">
        <v>128.44</v>
      </c>
      <c r="Y282" s="432">
        <v>128.94999999999999</v>
      </c>
      <c r="Z282" s="426"/>
      <c r="AA282" s="426"/>
      <c r="AB282" s="426"/>
      <c r="AC282" s="426"/>
      <c r="AD282" s="426"/>
      <c r="AE282" s="426"/>
      <c r="AF282" s="113">
        <v>59</v>
      </c>
      <c r="AG282" s="432">
        <v>135.69</v>
      </c>
      <c r="AH282" s="432">
        <v>137.58000000000001</v>
      </c>
      <c r="AI282" s="432">
        <v>138.13999999999999</v>
      </c>
      <c r="AJ282" s="426"/>
      <c r="AK282" s="426"/>
      <c r="AL282" s="426"/>
      <c r="AM282" s="426"/>
      <c r="AN282" s="426"/>
    </row>
    <row r="283" spans="1:40" x14ac:dyDescent="0.2">
      <c r="A283" s="426"/>
      <c r="B283" s="113">
        <v>60</v>
      </c>
      <c r="C283" s="432">
        <v>112.54</v>
      </c>
      <c r="D283" s="432">
        <v>113.9</v>
      </c>
      <c r="E283" s="432">
        <v>114.34</v>
      </c>
      <c r="F283" s="426"/>
      <c r="G283" s="426"/>
      <c r="H283" s="426"/>
      <c r="I283" s="426"/>
      <c r="J283" s="426"/>
      <c r="K283" s="426"/>
      <c r="L283" s="113">
        <v>60</v>
      </c>
      <c r="M283" s="432">
        <v>120.88</v>
      </c>
      <c r="N283" s="432">
        <v>122.42</v>
      </c>
      <c r="O283" s="432">
        <v>122.89</v>
      </c>
      <c r="P283" s="426"/>
      <c r="Q283" s="426"/>
      <c r="R283" s="426"/>
      <c r="S283" s="426"/>
      <c r="T283" s="426"/>
      <c r="U283" s="426"/>
      <c r="V283" s="113">
        <v>60</v>
      </c>
      <c r="W283" s="432">
        <v>129.6</v>
      </c>
      <c r="X283" s="432">
        <v>131.34</v>
      </c>
      <c r="Y283" s="432">
        <v>131.85</v>
      </c>
      <c r="Z283" s="426"/>
      <c r="AA283" s="426"/>
      <c r="AB283" s="426"/>
      <c r="AC283" s="426"/>
      <c r="AD283" s="426"/>
      <c r="AE283" s="426"/>
      <c r="AF283" s="113">
        <v>60</v>
      </c>
      <c r="AG283" s="432">
        <v>138.61000000000001</v>
      </c>
      <c r="AH283" s="432">
        <v>140.56</v>
      </c>
      <c r="AI283" s="432">
        <v>141.11000000000001</v>
      </c>
      <c r="AJ283" s="426"/>
      <c r="AK283" s="426"/>
      <c r="AL283" s="426"/>
      <c r="AM283" s="426"/>
      <c r="AN283" s="426"/>
    </row>
    <row r="284" spans="1:40" x14ac:dyDescent="0.2">
      <c r="A284" s="426"/>
      <c r="B284" s="113">
        <v>61</v>
      </c>
      <c r="C284" s="432">
        <v>115.19</v>
      </c>
      <c r="D284" s="432">
        <v>116.59</v>
      </c>
      <c r="E284" s="432">
        <v>117.03</v>
      </c>
      <c r="F284" s="426"/>
      <c r="G284" s="426"/>
      <c r="H284" s="426"/>
      <c r="I284" s="426"/>
      <c r="J284" s="426"/>
      <c r="K284" s="426"/>
      <c r="L284" s="113">
        <v>61</v>
      </c>
      <c r="M284" s="432">
        <v>123.69</v>
      </c>
      <c r="N284" s="432">
        <v>125.27</v>
      </c>
      <c r="O284" s="432">
        <v>125.75</v>
      </c>
      <c r="P284" s="426"/>
      <c r="Q284" s="426"/>
      <c r="R284" s="426"/>
      <c r="S284" s="426"/>
      <c r="T284" s="426"/>
      <c r="U284" s="426"/>
      <c r="V284" s="113">
        <v>61</v>
      </c>
      <c r="W284" s="432">
        <v>132.51</v>
      </c>
      <c r="X284" s="432">
        <v>134.29</v>
      </c>
      <c r="Y284" s="432">
        <v>134.81</v>
      </c>
      <c r="Z284" s="426"/>
      <c r="AA284" s="426"/>
      <c r="AB284" s="426"/>
      <c r="AC284" s="426"/>
      <c r="AD284" s="426"/>
      <c r="AE284" s="426"/>
      <c r="AF284" s="113">
        <v>61</v>
      </c>
      <c r="AG284" s="432">
        <v>141.54</v>
      </c>
      <c r="AH284" s="432">
        <v>143.53</v>
      </c>
      <c r="AI284" s="432">
        <v>144.08000000000001</v>
      </c>
      <c r="AJ284" s="426"/>
      <c r="AK284" s="426"/>
      <c r="AL284" s="426"/>
      <c r="AM284" s="426"/>
      <c r="AN284" s="426"/>
    </row>
    <row r="285" spans="1:40" x14ac:dyDescent="0.2">
      <c r="A285" s="426"/>
      <c r="B285" s="113">
        <v>62</v>
      </c>
      <c r="C285" s="432">
        <v>117.95</v>
      </c>
      <c r="D285" s="432">
        <v>119.39</v>
      </c>
      <c r="E285" s="432">
        <v>119.83</v>
      </c>
      <c r="F285" s="426"/>
      <c r="G285" s="426"/>
      <c r="H285" s="426"/>
      <c r="I285" s="426"/>
      <c r="J285" s="426"/>
      <c r="K285" s="426"/>
      <c r="L285" s="113">
        <v>62</v>
      </c>
      <c r="M285" s="432">
        <v>126.57</v>
      </c>
      <c r="N285" s="432">
        <v>128.19999999999999</v>
      </c>
      <c r="O285" s="432">
        <v>128.66999999999999</v>
      </c>
      <c r="P285" s="426"/>
      <c r="Q285" s="426"/>
      <c r="R285" s="426"/>
      <c r="S285" s="426"/>
      <c r="T285" s="426"/>
      <c r="U285" s="426"/>
      <c r="V285" s="113">
        <v>62</v>
      </c>
      <c r="W285" s="432">
        <v>135.44</v>
      </c>
      <c r="X285" s="432">
        <v>137.27000000000001</v>
      </c>
      <c r="Y285" s="432">
        <v>137.78</v>
      </c>
      <c r="Z285" s="426"/>
      <c r="AA285" s="426"/>
      <c r="AB285" s="426"/>
      <c r="AC285" s="426"/>
      <c r="AD285" s="426"/>
      <c r="AE285" s="426"/>
      <c r="AF285" s="113">
        <v>62</v>
      </c>
      <c r="AG285" s="432">
        <v>144.41999999999999</v>
      </c>
      <c r="AH285" s="432">
        <v>146.44999999999999</v>
      </c>
      <c r="AI285" s="432">
        <v>147.01</v>
      </c>
      <c r="AJ285" s="426"/>
      <c r="AK285" s="426"/>
      <c r="AL285" s="426"/>
      <c r="AM285" s="426"/>
      <c r="AN285" s="426"/>
    </row>
    <row r="286" spans="1:40" x14ac:dyDescent="0.2">
      <c r="A286" s="426"/>
      <c r="B286" s="113">
        <v>63</v>
      </c>
      <c r="C286" s="432">
        <v>120.8</v>
      </c>
      <c r="D286" s="432">
        <v>122.28</v>
      </c>
      <c r="E286" s="432">
        <v>122.72</v>
      </c>
      <c r="F286" s="426"/>
      <c r="G286" s="426"/>
      <c r="H286" s="426"/>
      <c r="I286" s="426"/>
      <c r="J286" s="426"/>
      <c r="K286" s="426"/>
      <c r="L286" s="113">
        <v>63</v>
      </c>
      <c r="M286" s="432">
        <v>129.5</v>
      </c>
      <c r="N286" s="432">
        <v>131.16999999999999</v>
      </c>
      <c r="O286" s="432">
        <v>131.65</v>
      </c>
      <c r="P286" s="426"/>
      <c r="Q286" s="426"/>
      <c r="R286" s="426"/>
      <c r="S286" s="426"/>
      <c r="T286" s="426"/>
      <c r="U286" s="426"/>
      <c r="V286" s="113">
        <v>63</v>
      </c>
      <c r="W286" s="432">
        <v>138.37</v>
      </c>
      <c r="X286" s="432">
        <v>140.22999999999999</v>
      </c>
      <c r="Y286" s="432">
        <v>140.75</v>
      </c>
      <c r="Z286" s="426"/>
      <c r="AA286" s="426"/>
      <c r="AB286" s="426"/>
      <c r="AC286" s="426"/>
      <c r="AD286" s="426"/>
      <c r="AE286" s="426"/>
      <c r="AF286" s="113">
        <v>63</v>
      </c>
      <c r="AG286" s="432">
        <v>147.21</v>
      </c>
      <c r="AH286" s="432">
        <v>149.28</v>
      </c>
      <c r="AI286" s="432">
        <v>149.84</v>
      </c>
      <c r="AJ286" s="426"/>
      <c r="AK286" s="426"/>
      <c r="AL286" s="426"/>
      <c r="AM286" s="426"/>
      <c r="AN286" s="426"/>
    </row>
    <row r="287" spans="1:40" x14ac:dyDescent="0.2">
      <c r="A287" s="426"/>
      <c r="B287" s="113">
        <v>64</v>
      </c>
      <c r="C287" s="432">
        <v>123.74</v>
      </c>
      <c r="D287" s="432">
        <v>125.26</v>
      </c>
      <c r="E287" s="432">
        <v>125.7</v>
      </c>
      <c r="F287" s="426"/>
      <c r="G287" s="426"/>
      <c r="H287" s="426"/>
      <c r="I287" s="426"/>
      <c r="J287" s="426"/>
      <c r="K287" s="426"/>
      <c r="L287" s="113">
        <v>64</v>
      </c>
      <c r="M287" s="432">
        <v>132.47</v>
      </c>
      <c r="N287" s="432">
        <v>134.18</v>
      </c>
      <c r="O287" s="432">
        <v>134.66</v>
      </c>
      <c r="P287" s="426"/>
      <c r="Q287" s="426"/>
      <c r="R287" s="426"/>
      <c r="S287" s="426"/>
      <c r="T287" s="426"/>
      <c r="U287" s="426"/>
      <c r="V287" s="113">
        <v>64</v>
      </c>
      <c r="W287" s="432">
        <v>141.26</v>
      </c>
      <c r="X287" s="432">
        <v>143.16</v>
      </c>
      <c r="Y287" s="432">
        <v>143.68</v>
      </c>
      <c r="Z287" s="426"/>
      <c r="AA287" s="426"/>
      <c r="AB287" s="426"/>
      <c r="AC287" s="426"/>
      <c r="AD287" s="426"/>
      <c r="AE287" s="426"/>
      <c r="AF287" s="113">
        <v>64</v>
      </c>
      <c r="AG287" s="432">
        <v>149.88</v>
      </c>
      <c r="AH287" s="432">
        <v>151.97999999999999</v>
      </c>
      <c r="AI287" s="432">
        <v>152.54</v>
      </c>
      <c r="AJ287" s="426"/>
      <c r="AK287" s="426"/>
      <c r="AL287" s="426"/>
      <c r="AM287" s="426"/>
      <c r="AN287" s="426"/>
    </row>
    <row r="288" spans="1:40" x14ac:dyDescent="0.2">
      <c r="A288" s="426"/>
      <c r="B288" s="113">
        <v>65</v>
      </c>
      <c r="C288" s="432">
        <v>126.75</v>
      </c>
      <c r="D288" s="432">
        <v>128.31</v>
      </c>
      <c r="E288" s="432">
        <v>128.75</v>
      </c>
      <c r="F288" s="426"/>
      <c r="G288" s="426"/>
      <c r="H288" s="426"/>
      <c r="I288" s="426"/>
      <c r="J288" s="426"/>
      <c r="K288" s="426"/>
      <c r="L288" s="113">
        <v>65</v>
      </c>
      <c r="M288" s="432">
        <v>135.44999999999999</v>
      </c>
      <c r="N288" s="432">
        <v>137.19999999999999</v>
      </c>
      <c r="O288" s="432">
        <v>137.68</v>
      </c>
      <c r="P288" s="426"/>
      <c r="Q288" s="426"/>
      <c r="R288" s="426"/>
      <c r="S288" s="426"/>
      <c r="T288" s="426"/>
      <c r="U288" s="426"/>
      <c r="V288" s="113">
        <v>65</v>
      </c>
      <c r="W288" s="432">
        <v>144.08000000000001</v>
      </c>
      <c r="X288" s="432">
        <v>146.02000000000001</v>
      </c>
      <c r="Y288" s="432">
        <v>146.54</v>
      </c>
      <c r="Z288" s="426"/>
      <c r="AA288" s="426"/>
      <c r="AB288" s="426"/>
      <c r="AC288" s="426"/>
      <c r="AD288" s="426"/>
      <c r="AE288" s="426"/>
      <c r="AF288" s="113">
        <v>65</v>
      </c>
      <c r="AG288" s="432">
        <v>152.38999999999999</v>
      </c>
      <c r="AH288" s="432">
        <v>154.52000000000001</v>
      </c>
      <c r="AI288" s="432">
        <v>155.08000000000001</v>
      </c>
      <c r="AJ288" s="426"/>
      <c r="AK288" s="426"/>
      <c r="AL288" s="426"/>
      <c r="AM288" s="426"/>
      <c r="AN288" s="426"/>
    </row>
    <row r="289" spans="1:40" x14ac:dyDescent="0.2">
      <c r="A289" s="426"/>
      <c r="B289" s="113">
        <v>66</v>
      </c>
      <c r="C289" s="432">
        <v>129.81</v>
      </c>
      <c r="D289" s="432">
        <v>131.41</v>
      </c>
      <c r="E289" s="432">
        <v>131.85</v>
      </c>
      <c r="F289" s="426"/>
      <c r="G289" s="426"/>
      <c r="H289" s="426"/>
      <c r="I289" s="426"/>
      <c r="J289" s="426"/>
      <c r="K289" s="426"/>
      <c r="L289" s="113">
        <v>66</v>
      </c>
      <c r="M289" s="432">
        <v>138.41999999999999</v>
      </c>
      <c r="N289" s="432">
        <v>140.19999999999999</v>
      </c>
      <c r="O289" s="432">
        <v>140.69</v>
      </c>
      <c r="P289" s="426"/>
      <c r="Q289" s="426"/>
      <c r="R289" s="426"/>
      <c r="S289" s="426"/>
      <c r="T289" s="426"/>
      <c r="U289" s="426"/>
      <c r="V289" s="113">
        <v>66</v>
      </c>
      <c r="W289" s="432">
        <v>146.80000000000001</v>
      </c>
      <c r="X289" s="432">
        <v>148.77000000000001</v>
      </c>
      <c r="Y289" s="432">
        <v>149.29</v>
      </c>
      <c r="Z289" s="426"/>
      <c r="AA289" s="426"/>
      <c r="AB289" s="426"/>
      <c r="AC289" s="426"/>
      <c r="AD289" s="426"/>
      <c r="AE289" s="426"/>
      <c r="AF289" s="113">
        <v>66</v>
      </c>
      <c r="AG289" s="432">
        <v>154.68</v>
      </c>
      <c r="AH289" s="432">
        <v>156.84</v>
      </c>
      <c r="AI289" s="432">
        <v>157.4</v>
      </c>
      <c r="AJ289" s="426"/>
      <c r="AK289" s="426"/>
      <c r="AL289" s="426"/>
      <c r="AM289" s="426"/>
      <c r="AN289" s="426"/>
    </row>
    <row r="290" spans="1:40" x14ac:dyDescent="0.2">
      <c r="A290" s="426"/>
      <c r="B290" s="113">
        <v>67</v>
      </c>
      <c r="C290" s="432">
        <v>132.9</v>
      </c>
      <c r="D290" s="432">
        <v>134.53</v>
      </c>
      <c r="E290" s="432">
        <v>134.97999999999999</v>
      </c>
      <c r="F290" s="426"/>
      <c r="G290" s="426"/>
      <c r="H290" s="426"/>
      <c r="I290" s="426"/>
      <c r="J290" s="426"/>
      <c r="K290" s="426"/>
      <c r="L290" s="113">
        <v>67</v>
      </c>
      <c r="M290" s="432">
        <v>141.34</v>
      </c>
      <c r="N290" s="432">
        <v>143.16</v>
      </c>
      <c r="O290" s="432">
        <v>143.63999999999999</v>
      </c>
      <c r="P290" s="426"/>
      <c r="Q290" s="426"/>
      <c r="R290" s="426"/>
      <c r="S290" s="426"/>
      <c r="T290" s="426"/>
      <c r="U290" s="426"/>
      <c r="V290" s="113">
        <v>67</v>
      </c>
      <c r="W290" s="432">
        <v>149.37</v>
      </c>
      <c r="X290" s="432">
        <v>151.38</v>
      </c>
      <c r="Y290" s="432">
        <v>151.9</v>
      </c>
      <c r="Z290" s="426"/>
      <c r="AA290" s="426"/>
      <c r="AB290" s="426"/>
      <c r="AC290" s="426"/>
      <c r="AD290" s="426"/>
      <c r="AE290" s="426"/>
      <c r="AF290" s="113">
        <v>67</v>
      </c>
      <c r="AG290" s="432">
        <v>156.72</v>
      </c>
      <c r="AH290" s="432">
        <v>158.88999999999999</v>
      </c>
      <c r="AI290" s="432">
        <v>159.44999999999999</v>
      </c>
      <c r="AJ290" s="426"/>
      <c r="AK290" s="426"/>
      <c r="AL290" s="426"/>
      <c r="AM290" s="426"/>
      <c r="AN290" s="426"/>
    </row>
    <row r="291" spans="1:40" x14ac:dyDescent="0.2">
      <c r="A291" s="426"/>
      <c r="B291" s="113">
        <v>68</v>
      </c>
      <c r="C291" s="432">
        <v>136</v>
      </c>
      <c r="D291" s="432">
        <v>137.66999999999999</v>
      </c>
      <c r="E291" s="432">
        <v>138.12</v>
      </c>
      <c r="F291" s="426"/>
      <c r="G291" s="426"/>
      <c r="H291" s="426"/>
      <c r="I291" s="426"/>
      <c r="J291" s="426"/>
      <c r="K291" s="426"/>
      <c r="L291" s="113">
        <v>68</v>
      </c>
      <c r="M291" s="432">
        <v>144.18</v>
      </c>
      <c r="N291" s="432">
        <v>146.03</v>
      </c>
      <c r="O291" s="432">
        <v>146.52000000000001</v>
      </c>
      <c r="P291" s="426"/>
      <c r="Q291" s="426"/>
      <c r="R291" s="426"/>
      <c r="S291" s="426"/>
      <c r="T291" s="426"/>
      <c r="U291" s="426"/>
      <c r="V291" s="113">
        <v>68</v>
      </c>
      <c r="W291" s="432">
        <v>151.77000000000001</v>
      </c>
      <c r="X291" s="432">
        <v>153.79</v>
      </c>
      <c r="Y291" s="432">
        <v>154.32</v>
      </c>
      <c r="Z291" s="426"/>
      <c r="AA291" s="426"/>
      <c r="AB291" s="426"/>
      <c r="AC291" s="426"/>
      <c r="AD291" s="426"/>
      <c r="AE291" s="426"/>
      <c r="AF291" s="113">
        <v>68</v>
      </c>
      <c r="AG291" s="432">
        <v>158.44999999999999</v>
      </c>
      <c r="AH291" s="432">
        <v>160.63999999999999</v>
      </c>
      <c r="AI291" s="432">
        <v>161.19999999999999</v>
      </c>
      <c r="AJ291" s="426"/>
      <c r="AK291" s="426"/>
      <c r="AL291" s="426"/>
      <c r="AM291" s="426"/>
      <c r="AN291" s="426"/>
    </row>
    <row r="292" spans="1:40" x14ac:dyDescent="0.2">
      <c r="A292" s="426"/>
      <c r="B292" s="113">
        <v>69</v>
      </c>
      <c r="C292" s="432">
        <v>139.09</v>
      </c>
      <c r="D292" s="432">
        <v>140.79</v>
      </c>
      <c r="E292" s="432">
        <v>141.24</v>
      </c>
      <c r="F292" s="426"/>
      <c r="G292" s="426"/>
      <c r="H292" s="426"/>
      <c r="I292" s="426"/>
      <c r="J292" s="426"/>
      <c r="K292" s="426"/>
      <c r="L292" s="113">
        <v>69</v>
      </c>
      <c r="M292" s="432">
        <v>146.91</v>
      </c>
      <c r="N292" s="432">
        <v>148.79</v>
      </c>
      <c r="O292" s="432">
        <v>149.28</v>
      </c>
      <c r="P292" s="426"/>
      <c r="Q292" s="426"/>
      <c r="R292" s="426"/>
      <c r="S292" s="426"/>
      <c r="T292" s="426"/>
      <c r="U292" s="426"/>
      <c r="V292" s="113">
        <v>69</v>
      </c>
      <c r="W292" s="432">
        <v>153.94</v>
      </c>
      <c r="X292" s="432">
        <v>155.97999999999999</v>
      </c>
      <c r="Y292" s="432">
        <v>156.5</v>
      </c>
      <c r="Z292" s="426"/>
      <c r="AA292" s="426"/>
      <c r="AB292" s="426"/>
      <c r="AC292" s="426"/>
      <c r="AD292" s="426"/>
      <c r="AE292" s="426"/>
      <c r="AF292" s="113">
        <v>69</v>
      </c>
      <c r="AG292" s="432">
        <v>159.84</v>
      </c>
      <c r="AH292" s="432">
        <v>162.04</v>
      </c>
      <c r="AI292" s="432">
        <v>162.59</v>
      </c>
      <c r="AJ292" s="426"/>
      <c r="AK292" s="426"/>
      <c r="AL292" s="426"/>
      <c r="AM292" s="426"/>
      <c r="AN292" s="426"/>
    </row>
    <row r="293" spans="1:40" x14ac:dyDescent="0.2">
      <c r="A293" s="426"/>
      <c r="B293" s="113">
        <v>70</v>
      </c>
      <c r="C293" s="432">
        <v>142.13</v>
      </c>
      <c r="D293" s="432">
        <v>143.86000000000001</v>
      </c>
      <c r="E293" s="432">
        <v>144.31</v>
      </c>
      <c r="F293" s="426"/>
      <c r="G293" s="426"/>
      <c r="H293" s="426"/>
      <c r="I293" s="426"/>
      <c r="J293" s="426"/>
      <c r="K293" s="426"/>
      <c r="L293" s="113">
        <v>70</v>
      </c>
      <c r="M293" s="432">
        <v>149.49</v>
      </c>
      <c r="N293" s="432">
        <v>151.38999999999999</v>
      </c>
      <c r="O293" s="432">
        <v>151.88</v>
      </c>
      <c r="P293" s="426"/>
      <c r="Q293" s="426"/>
      <c r="R293" s="426"/>
      <c r="S293" s="426"/>
      <c r="T293" s="426"/>
      <c r="U293" s="426"/>
      <c r="V293" s="113">
        <v>70</v>
      </c>
      <c r="W293" s="432">
        <v>155.83000000000001</v>
      </c>
      <c r="X293" s="432">
        <v>157.88999999999999</v>
      </c>
      <c r="Y293" s="432">
        <v>158.41</v>
      </c>
      <c r="Z293" s="426"/>
      <c r="AA293" s="426"/>
      <c r="AB293" s="426"/>
      <c r="AC293" s="426"/>
      <c r="AD293" s="426"/>
      <c r="AE293" s="426"/>
      <c r="AF293" s="113">
        <v>70</v>
      </c>
      <c r="AG293" s="432">
        <v>160.83000000000001</v>
      </c>
      <c r="AH293" s="432">
        <v>163.04</v>
      </c>
      <c r="AI293" s="432">
        <v>163.59</v>
      </c>
      <c r="AJ293" s="426"/>
      <c r="AK293" s="426"/>
      <c r="AL293" s="426"/>
      <c r="AM293" s="426"/>
      <c r="AN293" s="426"/>
    </row>
    <row r="294" spans="1:40" x14ac:dyDescent="0.2">
      <c r="A294" s="426"/>
      <c r="B294" s="113">
        <v>71</v>
      </c>
      <c r="C294" s="432">
        <v>145.09</v>
      </c>
      <c r="D294" s="432">
        <v>146.85</v>
      </c>
      <c r="E294" s="432">
        <v>147.30000000000001</v>
      </c>
      <c r="F294" s="426"/>
      <c r="G294" s="426"/>
      <c r="H294" s="426"/>
      <c r="I294" s="426"/>
      <c r="J294" s="426"/>
      <c r="K294" s="426"/>
      <c r="L294" s="113">
        <v>71</v>
      </c>
      <c r="M294" s="432">
        <v>151.88</v>
      </c>
      <c r="N294" s="432">
        <v>153.80000000000001</v>
      </c>
      <c r="O294" s="432">
        <v>154.29</v>
      </c>
      <c r="P294" s="426"/>
      <c r="Q294" s="426"/>
      <c r="R294" s="426"/>
      <c r="S294" s="426"/>
      <c r="T294" s="426"/>
      <c r="U294" s="426"/>
      <c r="V294" s="113">
        <v>71</v>
      </c>
      <c r="W294" s="432">
        <v>157.41</v>
      </c>
      <c r="X294" s="432">
        <v>159.47999999999999</v>
      </c>
      <c r="Y294" s="432">
        <v>160.01</v>
      </c>
      <c r="Z294" s="426"/>
      <c r="AA294" s="426"/>
      <c r="AB294" s="426"/>
      <c r="AC294" s="426"/>
      <c r="AD294" s="426"/>
      <c r="AE294" s="426"/>
      <c r="AF294" s="113">
        <v>71</v>
      </c>
      <c r="AG294" s="432">
        <v>161.4</v>
      </c>
      <c r="AH294" s="432">
        <v>163.6</v>
      </c>
      <c r="AI294" s="432">
        <v>164.15</v>
      </c>
      <c r="AJ294" s="426"/>
      <c r="AK294" s="426"/>
      <c r="AL294" s="426"/>
      <c r="AM294" s="426"/>
      <c r="AN294" s="426"/>
    </row>
    <row r="295" spans="1:40" x14ac:dyDescent="0.2">
      <c r="A295" s="426"/>
      <c r="B295" s="113">
        <v>72</v>
      </c>
      <c r="C295" s="432">
        <v>147.94999999999999</v>
      </c>
      <c r="D295" s="432">
        <v>149.72999999999999</v>
      </c>
      <c r="E295" s="432">
        <v>150.18</v>
      </c>
      <c r="F295" s="426"/>
      <c r="G295" s="426"/>
      <c r="H295" s="426"/>
      <c r="I295" s="426"/>
      <c r="J295" s="426"/>
      <c r="K295" s="426"/>
      <c r="L295" s="113">
        <v>72</v>
      </c>
      <c r="M295" s="432">
        <v>154.04</v>
      </c>
      <c r="N295" s="432">
        <v>155.97</v>
      </c>
      <c r="O295" s="432">
        <v>156.46</v>
      </c>
      <c r="P295" s="426"/>
      <c r="Q295" s="426"/>
      <c r="R295" s="426"/>
      <c r="S295" s="426"/>
      <c r="T295" s="426"/>
      <c r="U295" s="426"/>
      <c r="V295" s="113">
        <v>72</v>
      </c>
      <c r="W295" s="432">
        <v>158.63999999999999</v>
      </c>
      <c r="X295" s="432">
        <v>160.72</v>
      </c>
      <c r="Y295" s="432">
        <v>161.24</v>
      </c>
      <c r="Z295" s="426"/>
      <c r="AA295" s="426"/>
      <c r="AB295" s="426"/>
      <c r="AC295" s="426"/>
      <c r="AD295" s="426"/>
      <c r="AE295" s="426"/>
      <c r="AF295" s="113">
        <v>72</v>
      </c>
      <c r="AG295" s="432">
        <v>161.5</v>
      </c>
      <c r="AH295" s="432">
        <v>163.69</v>
      </c>
      <c r="AI295" s="432">
        <v>164.24</v>
      </c>
      <c r="AJ295" s="426"/>
      <c r="AK295" s="426"/>
      <c r="AL295" s="426"/>
      <c r="AM295" s="426"/>
      <c r="AN295" s="426"/>
    </row>
    <row r="296" spans="1:40" x14ac:dyDescent="0.2">
      <c r="A296" s="426"/>
      <c r="B296" s="113">
        <v>73</v>
      </c>
      <c r="C296" s="432">
        <v>150.66</v>
      </c>
      <c r="D296" s="432">
        <v>152.46</v>
      </c>
      <c r="E296" s="432">
        <v>152.91999999999999</v>
      </c>
      <c r="F296" s="426"/>
      <c r="G296" s="426"/>
      <c r="H296" s="426"/>
      <c r="I296" s="426"/>
      <c r="J296" s="426"/>
      <c r="K296" s="426"/>
      <c r="L296" s="113">
        <v>73</v>
      </c>
      <c r="M296" s="432">
        <v>155.91999999999999</v>
      </c>
      <c r="N296" s="432">
        <v>157.87</v>
      </c>
      <c r="O296" s="432">
        <v>158.36000000000001</v>
      </c>
      <c r="P296" s="426"/>
      <c r="Q296" s="426"/>
      <c r="R296" s="426"/>
      <c r="S296" s="426"/>
      <c r="T296" s="426"/>
      <c r="U296" s="426"/>
      <c r="V296" s="113">
        <v>73</v>
      </c>
      <c r="W296" s="432">
        <v>159.47</v>
      </c>
      <c r="X296" s="432">
        <v>161.55000000000001</v>
      </c>
      <c r="Y296" s="432">
        <v>162.07</v>
      </c>
      <c r="Z296" s="426"/>
      <c r="AA296" s="426"/>
      <c r="AB296" s="426"/>
      <c r="AC296" s="426"/>
      <c r="AD296" s="426"/>
      <c r="AE296" s="426"/>
      <c r="AF296" s="113">
        <v>73</v>
      </c>
      <c r="AG296" s="432">
        <v>161.11000000000001</v>
      </c>
      <c r="AH296" s="432">
        <v>163.29</v>
      </c>
      <c r="AI296" s="432">
        <v>163.84</v>
      </c>
      <c r="AJ296" s="426"/>
      <c r="AK296" s="426"/>
      <c r="AL296" s="426"/>
      <c r="AM296" s="426"/>
      <c r="AN296" s="426"/>
    </row>
    <row r="297" spans="1:40" x14ac:dyDescent="0.2">
      <c r="A297" s="426"/>
      <c r="B297" s="113">
        <v>74</v>
      </c>
      <c r="C297" s="432">
        <v>153.18</v>
      </c>
      <c r="D297" s="432">
        <v>155</v>
      </c>
      <c r="E297" s="432">
        <v>155.46</v>
      </c>
      <c r="F297" s="426"/>
      <c r="G297" s="426"/>
      <c r="H297" s="426"/>
      <c r="I297" s="426"/>
      <c r="J297" s="426"/>
      <c r="K297" s="426"/>
      <c r="L297" s="113">
        <v>74</v>
      </c>
      <c r="M297" s="432">
        <v>157.49</v>
      </c>
      <c r="N297" s="432">
        <v>159.44999999999999</v>
      </c>
      <c r="O297" s="432">
        <v>159.94</v>
      </c>
      <c r="P297" s="426"/>
      <c r="Q297" s="426"/>
      <c r="R297" s="426"/>
      <c r="S297" s="426"/>
      <c r="T297" s="426"/>
      <c r="U297" s="426"/>
      <c r="V297" s="113">
        <v>74</v>
      </c>
      <c r="W297" s="432">
        <v>159.87</v>
      </c>
      <c r="X297" s="432">
        <v>161.94</v>
      </c>
      <c r="Y297" s="432">
        <v>162.46</v>
      </c>
      <c r="Z297" s="426"/>
      <c r="AA297" s="426"/>
      <c r="AB297" s="426"/>
      <c r="AC297" s="426"/>
      <c r="AD297" s="426"/>
      <c r="AE297" s="426"/>
      <c r="AF297" s="113">
        <v>74</v>
      </c>
      <c r="AG297" s="432">
        <v>160.22</v>
      </c>
      <c r="AH297" s="432">
        <v>162.37</v>
      </c>
      <c r="AI297" s="432">
        <v>162.91</v>
      </c>
      <c r="AJ297" s="426"/>
      <c r="AK297" s="426"/>
      <c r="AL297" s="426"/>
      <c r="AM297" s="426"/>
      <c r="AN297" s="426"/>
    </row>
    <row r="298" spans="1:40" x14ac:dyDescent="0.2">
      <c r="A298" s="426"/>
      <c r="B298" s="113">
        <v>75</v>
      </c>
      <c r="C298" s="432">
        <v>155.47999999999999</v>
      </c>
      <c r="D298" s="432">
        <v>157.31</v>
      </c>
      <c r="E298" s="432">
        <v>157.77000000000001</v>
      </c>
      <c r="F298" s="426"/>
      <c r="G298" s="426"/>
      <c r="H298" s="426"/>
      <c r="I298" s="426"/>
      <c r="J298" s="426"/>
      <c r="K298" s="426"/>
      <c r="L298" s="113">
        <v>75</v>
      </c>
      <c r="M298" s="432">
        <v>158.69999999999999</v>
      </c>
      <c r="N298" s="432">
        <v>160.66</v>
      </c>
      <c r="O298" s="432">
        <v>161.15</v>
      </c>
      <c r="P298" s="426"/>
      <c r="Q298" s="426"/>
      <c r="R298" s="426"/>
      <c r="S298" s="426"/>
      <c r="T298" s="426"/>
      <c r="U298" s="426"/>
      <c r="V298" s="113">
        <v>75</v>
      </c>
      <c r="W298" s="432">
        <v>159.81</v>
      </c>
      <c r="X298" s="432">
        <v>161.87</v>
      </c>
      <c r="Y298" s="432">
        <v>162.38999999999999</v>
      </c>
      <c r="Z298" s="426"/>
      <c r="AA298" s="426"/>
      <c r="AB298" s="426"/>
      <c r="AC298" s="426"/>
      <c r="AD298" s="426"/>
      <c r="AE298" s="426"/>
      <c r="AF298" s="113">
        <v>75</v>
      </c>
      <c r="AG298" s="432">
        <v>158.80000000000001</v>
      </c>
      <c r="AH298" s="432">
        <v>160.93</v>
      </c>
      <c r="AI298" s="432">
        <v>161.47</v>
      </c>
      <c r="AJ298" s="426"/>
      <c r="AK298" s="426"/>
      <c r="AL298" s="426"/>
      <c r="AM298" s="426"/>
      <c r="AN298" s="426"/>
    </row>
    <row r="299" spans="1:40" x14ac:dyDescent="0.2">
      <c r="A299" s="426"/>
      <c r="B299" s="113">
        <v>76</v>
      </c>
      <c r="C299" s="432">
        <v>157.51</v>
      </c>
      <c r="D299" s="432">
        <v>159.35</v>
      </c>
      <c r="E299" s="432">
        <v>159.82</v>
      </c>
      <c r="F299" s="426"/>
      <c r="G299" s="426"/>
      <c r="H299" s="426"/>
      <c r="I299" s="426"/>
      <c r="J299" s="426"/>
      <c r="K299" s="426"/>
      <c r="L299" s="113">
        <v>76</v>
      </c>
      <c r="M299" s="432">
        <v>159.52000000000001</v>
      </c>
      <c r="N299" s="432">
        <v>161.47999999999999</v>
      </c>
      <c r="O299" s="432">
        <v>161.97</v>
      </c>
      <c r="P299" s="426"/>
      <c r="Q299" s="426"/>
      <c r="R299" s="426"/>
      <c r="S299" s="426"/>
      <c r="T299" s="426"/>
      <c r="U299" s="426"/>
      <c r="V299" s="113">
        <v>76</v>
      </c>
      <c r="W299" s="432">
        <v>159.26</v>
      </c>
      <c r="X299" s="432">
        <v>161.31</v>
      </c>
      <c r="Y299" s="432">
        <v>161.83000000000001</v>
      </c>
      <c r="Z299" s="426"/>
      <c r="AA299" s="426"/>
      <c r="AB299" s="426"/>
      <c r="AC299" s="426"/>
      <c r="AD299" s="426"/>
      <c r="AE299" s="426"/>
      <c r="AF299" s="113">
        <v>76</v>
      </c>
      <c r="AG299" s="432">
        <v>156.86000000000001</v>
      </c>
      <c r="AH299" s="432">
        <v>158.96</v>
      </c>
      <c r="AI299" s="432">
        <v>159.49</v>
      </c>
      <c r="AJ299" s="426"/>
      <c r="AK299" s="426"/>
      <c r="AL299" s="426"/>
      <c r="AM299" s="426"/>
      <c r="AN299" s="426"/>
    </row>
    <row r="300" spans="1:40" x14ac:dyDescent="0.2">
      <c r="A300" s="426"/>
      <c r="B300" s="113">
        <v>77</v>
      </c>
      <c r="C300" s="432">
        <v>159.22999999999999</v>
      </c>
      <c r="D300" s="432">
        <v>161.08000000000001</v>
      </c>
      <c r="E300" s="432">
        <v>161.55000000000001</v>
      </c>
      <c r="F300" s="426"/>
      <c r="G300" s="426"/>
      <c r="H300" s="426"/>
      <c r="I300" s="426"/>
      <c r="J300" s="426"/>
      <c r="K300" s="426"/>
      <c r="L300" s="113">
        <v>77</v>
      </c>
      <c r="M300" s="432">
        <v>159.91</v>
      </c>
      <c r="N300" s="432">
        <v>161.86000000000001</v>
      </c>
      <c r="O300" s="432">
        <v>162.35</v>
      </c>
      <c r="P300" s="426"/>
      <c r="Q300" s="426"/>
      <c r="R300" s="426"/>
      <c r="S300" s="426"/>
      <c r="T300" s="426"/>
      <c r="U300" s="426"/>
      <c r="V300" s="113">
        <v>77</v>
      </c>
      <c r="W300" s="432">
        <v>158.22</v>
      </c>
      <c r="X300" s="432">
        <v>160.25</v>
      </c>
      <c r="Y300" s="432">
        <v>160.76</v>
      </c>
      <c r="Z300" s="426"/>
      <c r="AA300" s="426"/>
      <c r="AB300" s="426"/>
      <c r="AC300" s="426"/>
      <c r="AD300" s="426"/>
      <c r="AE300" s="426"/>
      <c r="AF300" s="113">
        <v>77</v>
      </c>
      <c r="AG300" s="432">
        <v>154.41</v>
      </c>
      <c r="AH300" s="432">
        <v>156.47999999999999</v>
      </c>
      <c r="AI300" s="432">
        <v>157.01</v>
      </c>
      <c r="AJ300" s="426"/>
      <c r="AK300" s="426"/>
      <c r="AL300" s="426"/>
      <c r="AM300" s="426"/>
      <c r="AN300" s="426"/>
    </row>
    <row r="301" spans="1:40" x14ac:dyDescent="0.2">
      <c r="A301" s="426"/>
      <c r="B301" s="113">
        <v>78</v>
      </c>
      <c r="C301" s="432">
        <v>160.61000000000001</v>
      </c>
      <c r="D301" s="432">
        <v>162.46</v>
      </c>
      <c r="E301" s="432">
        <v>162.93</v>
      </c>
      <c r="F301" s="426"/>
      <c r="G301" s="426"/>
      <c r="H301" s="426"/>
      <c r="I301" s="426"/>
      <c r="J301" s="426"/>
      <c r="K301" s="426"/>
      <c r="L301" s="113">
        <v>78</v>
      </c>
      <c r="M301" s="432">
        <v>159.84</v>
      </c>
      <c r="N301" s="432">
        <v>161.79</v>
      </c>
      <c r="O301" s="432">
        <v>162.28</v>
      </c>
      <c r="P301" s="426"/>
      <c r="Q301" s="426"/>
      <c r="R301" s="426"/>
      <c r="S301" s="426"/>
      <c r="T301" s="426"/>
      <c r="U301" s="426"/>
      <c r="V301" s="113">
        <v>78</v>
      </c>
      <c r="W301" s="432">
        <v>156.66</v>
      </c>
      <c r="X301" s="432">
        <v>158.66999999999999</v>
      </c>
      <c r="Y301" s="432">
        <v>159.18</v>
      </c>
      <c r="Z301" s="426"/>
      <c r="AA301" s="426"/>
      <c r="AB301" s="426"/>
      <c r="AC301" s="426"/>
      <c r="AD301" s="426"/>
      <c r="AE301" s="426"/>
      <c r="AF301" s="113">
        <v>78</v>
      </c>
      <c r="AG301" s="432">
        <v>151.47</v>
      </c>
      <c r="AH301" s="432">
        <v>153.51</v>
      </c>
      <c r="AI301" s="432">
        <v>154.02000000000001</v>
      </c>
      <c r="AJ301" s="426"/>
      <c r="AK301" s="426"/>
      <c r="AL301" s="426"/>
      <c r="AM301" s="426"/>
      <c r="AN301" s="426"/>
    </row>
    <row r="302" spans="1:40" x14ac:dyDescent="0.2">
      <c r="A302" s="426"/>
      <c r="B302" s="113">
        <v>79</v>
      </c>
      <c r="C302" s="432">
        <v>161.59</v>
      </c>
      <c r="D302" s="432">
        <v>163.44999999999999</v>
      </c>
      <c r="E302" s="432">
        <v>163.92</v>
      </c>
      <c r="F302" s="426"/>
      <c r="G302" s="426"/>
      <c r="H302" s="426"/>
      <c r="I302" s="426"/>
      <c r="J302" s="426"/>
      <c r="K302" s="426"/>
      <c r="L302" s="113">
        <v>79</v>
      </c>
      <c r="M302" s="432">
        <v>159.29</v>
      </c>
      <c r="N302" s="432">
        <v>161.22999999999999</v>
      </c>
      <c r="O302" s="432">
        <v>161.72</v>
      </c>
      <c r="P302" s="426"/>
      <c r="Q302" s="426"/>
      <c r="R302" s="426"/>
      <c r="S302" s="426"/>
      <c r="T302" s="426"/>
      <c r="U302" s="426"/>
      <c r="V302" s="113">
        <v>79</v>
      </c>
      <c r="W302" s="432">
        <v>154.6</v>
      </c>
      <c r="X302" s="432">
        <v>156.58000000000001</v>
      </c>
      <c r="Y302" s="432">
        <v>157.09</v>
      </c>
      <c r="Z302" s="426"/>
      <c r="AA302" s="426"/>
      <c r="AB302" s="426"/>
      <c r="AC302" s="426"/>
      <c r="AD302" s="426"/>
      <c r="AE302" s="426"/>
      <c r="AF302" s="113">
        <v>79</v>
      </c>
      <c r="AG302" s="432">
        <v>148.07</v>
      </c>
      <c r="AH302" s="432">
        <v>150.06</v>
      </c>
      <c r="AI302" s="432">
        <v>150.57</v>
      </c>
      <c r="AJ302" s="426"/>
      <c r="AK302" s="426"/>
      <c r="AL302" s="426"/>
      <c r="AM302" s="426"/>
      <c r="AN302" s="426"/>
    </row>
    <row r="303" spans="1:40" x14ac:dyDescent="0.2">
      <c r="A303" s="426"/>
      <c r="B303" s="113">
        <v>80</v>
      </c>
      <c r="C303" s="432">
        <v>162.16</v>
      </c>
      <c r="D303" s="432">
        <v>164.01</v>
      </c>
      <c r="E303" s="432">
        <v>164.48</v>
      </c>
      <c r="F303" s="426"/>
      <c r="G303" s="426"/>
      <c r="H303" s="426"/>
      <c r="I303" s="426"/>
      <c r="J303" s="426"/>
      <c r="K303" s="426"/>
      <c r="L303" s="113">
        <v>80</v>
      </c>
      <c r="M303" s="432">
        <v>158.25</v>
      </c>
      <c r="N303" s="432">
        <v>160.16999999999999</v>
      </c>
      <c r="O303" s="432">
        <v>160.66</v>
      </c>
      <c r="P303" s="426"/>
      <c r="Q303" s="426"/>
      <c r="R303" s="426"/>
      <c r="S303" s="426"/>
      <c r="T303" s="426"/>
      <c r="U303" s="426"/>
      <c r="V303" s="113">
        <v>80</v>
      </c>
      <c r="W303" s="432">
        <v>152.05000000000001</v>
      </c>
      <c r="X303" s="432">
        <v>154</v>
      </c>
      <c r="Y303" s="432">
        <v>154.5</v>
      </c>
      <c r="Z303" s="426"/>
      <c r="AA303" s="426"/>
      <c r="AB303" s="426"/>
      <c r="AC303" s="426"/>
      <c r="AD303" s="426"/>
      <c r="AE303" s="426"/>
      <c r="AF303" s="113">
        <v>80</v>
      </c>
      <c r="AG303" s="432">
        <v>144.24</v>
      </c>
      <c r="AH303" s="432">
        <v>146.19</v>
      </c>
      <c r="AI303" s="432">
        <v>146.69</v>
      </c>
      <c r="AJ303" s="426"/>
      <c r="AK303" s="426"/>
      <c r="AL303" s="426"/>
      <c r="AM303" s="426"/>
      <c r="AN303" s="426"/>
    </row>
    <row r="304" spans="1:40" x14ac:dyDescent="0.2">
      <c r="A304" s="426"/>
      <c r="B304" s="113">
        <v>81</v>
      </c>
      <c r="C304" s="432">
        <v>162.28</v>
      </c>
      <c r="D304" s="432">
        <v>164.13</v>
      </c>
      <c r="E304" s="432">
        <v>164.6</v>
      </c>
      <c r="F304" s="426"/>
      <c r="G304" s="426"/>
      <c r="H304" s="426"/>
      <c r="I304" s="426"/>
      <c r="J304" s="426"/>
      <c r="K304" s="426"/>
      <c r="L304" s="113">
        <v>81</v>
      </c>
      <c r="M304" s="432">
        <v>156.71</v>
      </c>
      <c r="N304" s="432">
        <v>158.61000000000001</v>
      </c>
      <c r="O304" s="432">
        <v>159.1</v>
      </c>
      <c r="P304" s="426"/>
      <c r="Q304" s="426"/>
      <c r="R304" s="426"/>
      <c r="S304" s="426"/>
      <c r="T304" s="426"/>
      <c r="U304" s="426"/>
      <c r="V304" s="113">
        <v>81</v>
      </c>
      <c r="W304" s="432">
        <v>149.02000000000001</v>
      </c>
      <c r="X304" s="432">
        <v>150.94</v>
      </c>
      <c r="Y304" s="432">
        <v>151.44</v>
      </c>
      <c r="Z304" s="426"/>
      <c r="AA304" s="426"/>
      <c r="AB304" s="426"/>
      <c r="AC304" s="426"/>
      <c r="AD304" s="426"/>
      <c r="AE304" s="426"/>
      <c r="AF304" s="113">
        <v>81</v>
      </c>
      <c r="AG304" s="432">
        <v>140.04</v>
      </c>
      <c r="AH304" s="432">
        <v>141.94</v>
      </c>
      <c r="AI304" s="432">
        <v>142.43</v>
      </c>
      <c r="AJ304" s="426"/>
      <c r="AK304" s="426"/>
      <c r="AL304" s="426"/>
      <c r="AM304" s="426"/>
      <c r="AN304" s="426"/>
    </row>
    <row r="305" spans="1:40" x14ac:dyDescent="0.2">
      <c r="A305" s="426"/>
      <c r="B305" s="113">
        <v>82</v>
      </c>
      <c r="C305" s="432">
        <v>161.91999999999999</v>
      </c>
      <c r="D305" s="432">
        <v>163.76</v>
      </c>
      <c r="E305" s="432">
        <v>164.23</v>
      </c>
      <c r="F305" s="426"/>
      <c r="G305" s="426"/>
      <c r="H305" s="426"/>
      <c r="I305" s="426"/>
      <c r="J305" s="426"/>
      <c r="K305" s="426"/>
      <c r="L305" s="113">
        <v>82</v>
      </c>
      <c r="M305" s="432">
        <v>154.66999999999999</v>
      </c>
      <c r="N305" s="432">
        <v>156.55000000000001</v>
      </c>
      <c r="O305" s="432">
        <v>157.03</v>
      </c>
      <c r="P305" s="426"/>
      <c r="Q305" s="426"/>
      <c r="R305" s="426"/>
      <c r="S305" s="426"/>
      <c r="T305" s="426"/>
      <c r="U305" s="426"/>
      <c r="V305" s="113">
        <v>82</v>
      </c>
      <c r="W305" s="432">
        <v>145.56</v>
      </c>
      <c r="X305" s="432">
        <v>147.44</v>
      </c>
      <c r="Y305" s="432">
        <v>147.93</v>
      </c>
      <c r="Z305" s="426"/>
      <c r="AA305" s="426"/>
      <c r="AB305" s="426"/>
      <c r="AC305" s="426"/>
      <c r="AD305" s="426"/>
      <c r="AE305" s="426"/>
      <c r="AF305" s="113">
        <v>82</v>
      </c>
      <c r="AG305" s="432">
        <v>135.5</v>
      </c>
      <c r="AH305" s="432">
        <v>137.36000000000001</v>
      </c>
      <c r="AI305" s="432">
        <v>137.84</v>
      </c>
      <c r="AJ305" s="426"/>
      <c r="AK305" s="426"/>
      <c r="AL305" s="426"/>
      <c r="AM305" s="426"/>
      <c r="AN305" s="426"/>
    </row>
    <row r="306" spans="1:40" x14ac:dyDescent="0.2">
      <c r="A306" s="426"/>
      <c r="B306" s="113">
        <v>83</v>
      </c>
      <c r="C306" s="432">
        <v>161.08000000000001</v>
      </c>
      <c r="D306" s="432">
        <v>162.91</v>
      </c>
      <c r="E306" s="432">
        <v>163.38</v>
      </c>
      <c r="F306" s="426"/>
      <c r="G306" s="426"/>
      <c r="H306" s="426"/>
      <c r="I306" s="426"/>
      <c r="J306" s="426"/>
      <c r="K306" s="426"/>
      <c r="L306" s="113">
        <v>83</v>
      </c>
      <c r="M306" s="432">
        <v>152.13999999999999</v>
      </c>
      <c r="N306" s="432">
        <v>154</v>
      </c>
      <c r="O306" s="432">
        <v>154.47999999999999</v>
      </c>
      <c r="P306" s="426"/>
      <c r="Q306" s="426"/>
      <c r="R306" s="426"/>
      <c r="S306" s="426"/>
      <c r="T306" s="426"/>
      <c r="U306" s="426"/>
      <c r="V306" s="113">
        <v>83</v>
      </c>
      <c r="W306" s="432">
        <v>141.69</v>
      </c>
      <c r="X306" s="432">
        <v>143.53</v>
      </c>
      <c r="Y306" s="432">
        <v>144.01</v>
      </c>
      <c r="Z306" s="426"/>
      <c r="AA306" s="426"/>
      <c r="AB306" s="426"/>
      <c r="AC306" s="426"/>
      <c r="AD306" s="426"/>
      <c r="AE306" s="426"/>
      <c r="AF306" s="113">
        <v>83</v>
      </c>
      <c r="AG306" s="432">
        <v>130.69</v>
      </c>
      <c r="AH306" s="432">
        <v>132.49</v>
      </c>
      <c r="AI306" s="432">
        <v>132.97</v>
      </c>
      <c r="AJ306" s="426"/>
      <c r="AK306" s="426"/>
      <c r="AL306" s="426"/>
      <c r="AM306" s="426"/>
      <c r="AN306" s="426"/>
    </row>
    <row r="307" spans="1:40" x14ac:dyDescent="0.2">
      <c r="A307" s="426"/>
      <c r="B307" s="113">
        <v>84</v>
      </c>
      <c r="C307" s="432">
        <v>159.74</v>
      </c>
      <c r="D307" s="432">
        <v>161.55000000000001</v>
      </c>
      <c r="E307" s="432">
        <v>162.02000000000001</v>
      </c>
      <c r="F307" s="426"/>
      <c r="G307" s="426"/>
      <c r="H307" s="426"/>
      <c r="I307" s="426"/>
      <c r="J307" s="426"/>
      <c r="K307" s="426"/>
      <c r="L307" s="113">
        <v>84</v>
      </c>
      <c r="M307" s="432">
        <v>149.15</v>
      </c>
      <c r="N307" s="432">
        <v>150.97999999999999</v>
      </c>
      <c r="O307" s="432">
        <v>151.46</v>
      </c>
      <c r="P307" s="426"/>
      <c r="Q307" s="426"/>
      <c r="R307" s="426"/>
      <c r="S307" s="426"/>
      <c r="T307" s="426"/>
      <c r="U307" s="426"/>
      <c r="V307" s="113">
        <v>84</v>
      </c>
      <c r="W307" s="432">
        <v>137.44999999999999</v>
      </c>
      <c r="X307" s="432">
        <v>139.26</v>
      </c>
      <c r="Y307" s="432">
        <v>139.72999999999999</v>
      </c>
      <c r="Z307" s="426"/>
      <c r="AA307" s="426"/>
      <c r="AB307" s="426"/>
      <c r="AC307" s="426"/>
      <c r="AD307" s="426"/>
      <c r="AE307" s="426"/>
      <c r="AF307" s="113">
        <v>84</v>
      </c>
      <c r="AG307" s="432">
        <v>125.66</v>
      </c>
      <c r="AH307" s="432">
        <v>127.41</v>
      </c>
      <c r="AI307" s="432">
        <v>127.87</v>
      </c>
      <c r="AJ307" s="426"/>
      <c r="AK307" s="426"/>
      <c r="AL307" s="426"/>
      <c r="AM307" s="426"/>
      <c r="AN307" s="426"/>
    </row>
    <row r="308" spans="1:40" x14ac:dyDescent="0.2">
      <c r="A308" s="426"/>
      <c r="B308" s="113">
        <v>85</v>
      </c>
      <c r="C308" s="432">
        <v>157.9</v>
      </c>
      <c r="D308" s="432">
        <v>159.69999999999999</v>
      </c>
      <c r="E308" s="432">
        <v>160.16999999999999</v>
      </c>
      <c r="F308" s="426"/>
      <c r="G308" s="426"/>
      <c r="H308" s="426"/>
      <c r="I308" s="426"/>
      <c r="J308" s="426"/>
      <c r="K308" s="426"/>
      <c r="L308" s="113">
        <v>85</v>
      </c>
      <c r="M308" s="432">
        <v>145.72</v>
      </c>
      <c r="N308" s="432">
        <v>147.52000000000001</v>
      </c>
      <c r="O308" s="432">
        <v>147.99</v>
      </c>
      <c r="P308" s="426"/>
      <c r="Q308" s="426"/>
      <c r="R308" s="426"/>
      <c r="S308" s="426"/>
      <c r="T308" s="426"/>
      <c r="U308" s="426"/>
      <c r="V308" s="113">
        <v>85</v>
      </c>
      <c r="W308" s="432">
        <v>132.91</v>
      </c>
      <c r="X308" s="432">
        <v>134.66999999999999</v>
      </c>
      <c r="Y308" s="432">
        <v>135.13999999999999</v>
      </c>
      <c r="Z308" s="426"/>
      <c r="AA308" s="426"/>
      <c r="AB308" s="426"/>
      <c r="AC308" s="426"/>
      <c r="AD308" s="426"/>
      <c r="AE308" s="426"/>
      <c r="AF308" s="113">
        <v>85</v>
      </c>
      <c r="AG308" s="432">
        <v>120.46</v>
      </c>
      <c r="AH308" s="432">
        <v>122.16</v>
      </c>
      <c r="AI308" s="432">
        <v>122.61</v>
      </c>
      <c r="AJ308" s="426"/>
      <c r="AK308" s="426"/>
      <c r="AL308" s="426"/>
      <c r="AM308" s="426"/>
      <c r="AN308" s="426"/>
    </row>
    <row r="309" spans="1:40" x14ac:dyDescent="0.2">
      <c r="A309" s="426"/>
      <c r="B309" s="113">
        <v>86</v>
      </c>
      <c r="C309" s="432">
        <v>155.57</v>
      </c>
      <c r="D309" s="432">
        <v>157.35</v>
      </c>
      <c r="E309" s="432">
        <v>157.82</v>
      </c>
      <c r="F309" s="426"/>
      <c r="G309" s="426"/>
      <c r="H309" s="426"/>
      <c r="I309" s="426"/>
      <c r="J309" s="426"/>
      <c r="K309" s="426"/>
      <c r="L309" s="113">
        <v>86</v>
      </c>
      <c r="M309" s="432">
        <v>141.88999999999999</v>
      </c>
      <c r="N309" s="432">
        <v>143.66</v>
      </c>
      <c r="O309" s="432">
        <v>144.13</v>
      </c>
      <c r="P309" s="426"/>
      <c r="Q309" s="426"/>
      <c r="R309" s="426"/>
      <c r="S309" s="426"/>
      <c r="T309" s="426"/>
      <c r="U309" s="426"/>
      <c r="V309" s="113">
        <v>86</v>
      </c>
      <c r="W309" s="432">
        <v>128.1</v>
      </c>
      <c r="X309" s="432">
        <v>129.82</v>
      </c>
      <c r="Y309" s="432">
        <v>130.28</v>
      </c>
      <c r="Z309" s="426"/>
      <c r="AA309" s="426"/>
      <c r="AB309" s="426"/>
      <c r="AC309" s="426"/>
      <c r="AD309" s="426"/>
      <c r="AE309" s="426"/>
      <c r="AF309" s="113">
        <v>86</v>
      </c>
      <c r="AG309" s="432">
        <v>115.14</v>
      </c>
      <c r="AH309" s="432">
        <v>116.79</v>
      </c>
      <c r="AI309" s="432">
        <v>117.24</v>
      </c>
      <c r="AJ309" s="426"/>
      <c r="AK309" s="426"/>
      <c r="AL309" s="426"/>
      <c r="AM309" s="426"/>
      <c r="AN309" s="426"/>
    </row>
    <row r="310" spans="1:40" x14ac:dyDescent="0.2">
      <c r="A310" s="426"/>
      <c r="B310" s="113">
        <v>87</v>
      </c>
      <c r="C310" s="432">
        <v>152.77000000000001</v>
      </c>
      <c r="D310" s="432">
        <v>154.53</v>
      </c>
      <c r="E310" s="432">
        <v>155</v>
      </c>
      <c r="F310" s="426"/>
      <c r="G310" s="426"/>
      <c r="H310" s="426"/>
      <c r="I310" s="426"/>
      <c r="J310" s="426"/>
      <c r="K310" s="426"/>
      <c r="L310" s="113">
        <v>87</v>
      </c>
      <c r="M310" s="432">
        <v>137.69999999999999</v>
      </c>
      <c r="N310" s="432">
        <v>139.44</v>
      </c>
      <c r="O310" s="432">
        <v>139.9</v>
      </c>
      <c r="P310" s="426"/>
      <c r="Q310" s="426"/>
      <c r="R310" s="426"/>
      <c r="S310" s="426"/>
      <c r="T310" s="426"/>
      <c r="U310" s="426"/>
      <c r="V310" s="113">
        <v>87</v>
      </c>
      <c r="W310" s="432">
        <v>123.08</v>
      </c>
      <c r="X310" s="432">
        <v>124.76</v>
      </c>
      <c r="Y310" s="432">
        <v>125.21</v>
      </c>
      <c r="Z310" s="426"/>
      <c r="AA310" s="426"/>
      <c r="AB310" s="426"/>
      <c r="AC310" s="426"/>
      <c r="AD310" s="426"/>
      <c r="AE310" s="426"/>
      <c r="AF310" s="113">
        <v>87</v>
      </c>
      <c r="AG310" s="432">
        <v>109.77</v>
      </c>
      <c r="AH310" s="432">
        <v>111.36</v>
      </c>
      <c r="AI310" s="432">
        <v>111.8</v>
      </c>
      <c r="AJ310" s="426"/>
      <c r="AK310" s="426"/>
      <c r="AL310" s="426"/>
      <c r="AM310" s="426"/>
      <c r="AN310" s="426"/>
    </row>
    <row r="311" spans="1:40" x14ac:dyDescent="0.2">
      <c r="A311" s="426"/>
      <c r="B311" s="113">
        <v>88</v>
      </c>
      <c r="C311" s="432">
        <v>149.52000000000001</v>
      </c>
      <c r="D311" s="432">
        <v>151.26</v>
      </c>
      <c r="E311" s="432">
        <v>151.72</v>
      </c>
      <c r="F311" s="426"/>
      <c r="G311" s="426"/>
      <c r="H311" s="426"/>
      <c r="I311" s="426"/>
      <c r="J311" s="426"/>
      <c r="K311" s="426"/>
      <c r="L311" s="113">
        <v>88</v>
      </c>
      <c r="M311" s="432">
        <v>133.19999999999999</v>
      </c>
      <c r="N311" s="432">
        <v>134.9</v>
      </c>
      <c r="O311" s="432">
        <v>135.36000000000001</v>
      </c>
      <c r="P311" s="426"/>
      <c r="Q311" s="426"/>
      <c r="R311" s="426"/>
      <c r="S311" s="426"/>
      <c r="T311" s="426"/>
      <c r="U311" s="426"/>
      <c r="V311" s="113">
        <v>88</v>
      </c>
      <c r="W311" s="432">
        <v>117.91</v>
      </c>
      <c r="X311" s="432">
        <v>119.54</v>
      </c>
      <c r="Y311" s="432">
        <v>119.99</v>
      </c>
      <c r="Z311" s="426"/>
      <c r="AA311" s="426"/>
      <c r="AB311" s="426"/>
      <c r="AC311" s="426"/>
      <c r="AD311" s="426"/>
      <c r="AE311" s="426"/>
      <c r="AF311" s="113">
        <v>88</v>
      </c>
      <c r="AG311" s="432">
        <v>104.38</v>
      </c>
      <c r="AH311" s="432">
        <v>105.92</v>
      </c>
      <c r="AI311" s="432">
        <v>106.35</v>
      </c>
      <c r="AJ311" s="426"/>
      <c r="AK311" s="426"/>
      <c r="AL311" s="426"/>
      <c r="AM311" s="426"/>
      <c r="AN311" s="426"/>
    </row>
    <row r="312" spans="1:40" x14ac:dyDescent="0.2">
      <c r="A312" s="426"/>
      <c r="B312" s="113">
        <v>89</v>
      </c>
      <c r="C312" s="432">
        <v>145.85</v>
      </c>
      <c r="D312" s="432">
        <v>147.57</v>
      </c>
      <c r="E312" s="432">
        <v>148.03</v>
      </c>
      <c r="F312" s="426"/>
      <c r="G312" s="426"/>
      <c r="H312" s="426"/>
      <c r="I312" s="426"/>
      <c r="J312" s="426"/>
      <c r="K312" s="426"/>
      <c r="L312" s="113">
        <v>89</v>
      </c>
      <c r="M312" s="432">
        <v>128.43</v>
      </c>
      <c r="N312" s="432">
        <v>130.09</v>
      </c>
      <c r="O312" s="432">
        <v>130.55000000000001</v>
      </c>
      <c r="P312" s="426"/>
      <c r="Q312" s="426"/>
      <c r="R312" s="426"/>
      <c r="S312" s="426"/>
      <c r="T312" s="426"/>
      <c r="U312" s="426"/>
      <c r="V312" s="113">
        <v>89</v>
      </c>
      <c r="W312" s="432">
        <v>112.63</v>
      </c>
      <c r="X312" s="432">
        <v>114.22</v>
      </c>
      <c r="Y312" s="432">
        <v>114.66</v>
      </c>
      <c r="Z312" s="426"/>
      <c r="AA312" s="426"/>
      <c r="AB312" s="426"/>
      <c r="AC312" s="426"/>
      <c r="AD312" s="426"/>
      <c r="AE312" s="426"/>
      <c r="AF312" s="113">
        <v>89</v>
      </c>
      <c r="AG312" s="432">
        <v>99.01</v>
      </c>
      <c r="AH312" s="432">
        <v>100.51</v>
      </c>
      <c r="AI312" s="432">
        <v>100.93</v>
      </c>
      <c r="AJ312" s="426"/>
      <c r="AK312" s="426"/>
      <c r="AL312" s="426"/>
      <c r="AM312" s="426"/>
      <c r="AN312" s="426"/>
    </row>
    <row r="313" spans="1:40" x14ac:dyDescent="0.2">
      <c r="A313" s="426"/>
      <c r="B313" s="113">
        <v>90</v>
      </c>
      <c r="C313" s="432">
        <v>141.81</v>
      </c>
      <c r="D313" s="432">
        <v>143.5</v>
      </c>
      <c r="E313" s="432">
        <v>143.96</v>
      </c>
      <c r="F313" s="426"/>
      <c r="G313" s="426"/>
      <c r="H313" s="426"/>
      <c r="I313" s="426"/>
      <c r="J313" s="426"/>
      <c r="K313" s="426"/>
      <c r="L313" s="113">
        <v>90</v>
      </c>
      <c r="M313" s="432">
        <v>123.45</v>
      </c>
      <c r="N313" s="432">
        <v>125.07</v>
      </c>
      <c r="O313" s="432">
        <v>125.52</v>
      </c>
      <c r="P313" s="426"/>
      <c r="Q313" s="426"/>
      <c r="R313" s="426"/>
      <c r="S313" s="426"/>
      <c r="T313" s="426"/>
      <c r="U313" s="426"/>
      <c r="V313" s="113">
        <v>90</v>
      </c>
      <c r="W313" s="432">
        <v>107.3</v>
      </c>
      <c r="X313" s="432">
        <v>108.84</v>
      </c>
      <c r="Y313" s="432">
        <v>109.27</v>
      </c>
      <c r="Z313" s="426"/>
      <c r="AA313" s="426"/>
      <c r="AB313" s="426"/>
      <c r="AC313" s="426"/>
      <c r="AD313" s="426"/>
      <c r="AE313" s="426"/>
      <c r="AF313" s="113">
        <v>90</v>
      </c>
      <c r="AG313" s="432">
        <v>93.71</v>
      </c>
      <c r="AH313" s="432">
        <v>95.16</v>
      </c>
      <c r="AI313" s="432">
        <v>95.58</v>
      </c>
      <c r="AJ313" s="426"/>
      <c r="AK313" s="426"/>
      <c r="AL313" s="426"/>
      <c r="AM313" s="426"/>
      <c r="AN313" s="426"/>
    </row>
    <row r="314" spans="1:40" x14ac:dyDescent="0.2">
      <c r="A314" s="426"/>
      <c r="B314" s="113">
        <v>91</v>
      </c>
      <c r="C314" s="432">
        <v>137.44</v>
      </c>
      <c r="D314" s="432">
        <v>139.1</v>
      </c>
      <c r="E314" s="432">
        <v>139.56</v>
      </c>
      <c r="F314" s="426"/>
      <c r="G314" s="426"/>
      <c r="H314" s="426"/>
      <c r="I314" s="426"/>
      <c r="J314" s="426"/>
      <c r="K314" s="426"/>
      <c r="L314" s="113">
        <v>91</v>
      </c>
      <c r="M314" s="432">
        <v>118.3</v>
      </c>
      <c r="N314" s="432">
        <v>119.89</v>
      </c>
      <c r="O314" s="432">
        <v>120.34</v>
      </c>
      <c r="P314" s="426"/>
      <c r="Q314" s="426"/>
      <c r="R314" s="426"/>
      <c r="S314" s="426"/>
      <c r="T314" s="426"/>
      <c r="U314" s="426"/>
      <c r="V314" s="113">
        <v>91</v>
      </c>
      <c r="W314" s="432">
        <v>101.96</v>
      </c>
      <c r="X314" s="432">
        <v>103.45</v>
      </c>
      <c r="Y314" s="432">
        <v>103.88</v>
      </c>
      <c r="Z314" s="426"/>
      <c r="AA314" s="426"/>
      <c r="AB314" s="426"/>
      <c r="AC314" s="426"/>
      <c r="AD314" s="426"/>
      <c r="AE314" s="426"/>
      <c r="AF314" s="113">
        <v>91</v>
      </c>
      <c r="AG314" s="432">
        <v>88.5</v>
      </c>
      <c r="AH314" s="432">
        <v>89.92</v>
      </c>
      <c r="AI314" s="432">
        <v>90.33</v>
      </c>
      <c r="AJ314" s="426"/>
      <c r="AK314" s="426"/>
      <c r="AL314" s="426"/>
      <c r="AM314" s="426"/>
      <c r="AN314" s="426"/>
    </row>
    <row r="315" spans="1:40" x14ac:dyDescent="0.2">
      <c r="A315" s="426"/>
      <c r="B315" s="113">
        <v>92</v>
      </c>
      <c r="C315" s="432">
        <v>132.78</v>
      </c>
      <c r="D315" s="432">
        <v>134.41</v>
      </c>
      <c r="E315" s="432">
        <v>134.86000000000001</v>
      </c>
      <c r="F315" s="426"/>
      <c r="G315" s="426"/>
      <c r="H315" s="426"/>
      <c r="I315" s="426"/>
      <c r="J315" s="426"/>
      <c r="K315" s="426"/>
      <c r="L315" s="113">
        <v>92</v>
      </c>
      <c r="M315" s="432">
        <v>113.05</v>
      </c>
      <c r="N315" s="432">
        <v>114.6</v>
      </c>
      <c r="O315" s="432">
        <v>115.04</v>
      </c>
      <c r="P315" s="426"/>
      <c r="Q315" s="426"/>
      <c r="R315" s="426"/>
      <c r="S315" s="426"/>
      <c r="T315" s="426"/>
      <c r="U315" s="426"/>
      <c r="V315" s="113">
        <v>92</v>
      </c>
      <c r="W315" s="432">
        <v>96.64</v>
      </c>
      <c r="X315" s="432">
        <v>98.09</v>
      </c>
      <c r="Y315" s="432">
        <v>98.52</v>
      </c>
      <c r="Z315" s="426"/>
      <c r="AA315" s="426"/>
      <c r="AB315" s="426"/>
      <c r="AC315" s="426"/>
      <c r="AD315" s="426"/>
      <c r="AE315" s="426"/>
      <c r="AF315" s="113">
        <v>92</v>
      </c>
      <c r="AG315" s="432">
        <v>83.42</v>
      </c>
      <c r="AH315" s="432">
        <v>84.8</v>
      </c>
      <c r="AI315" s="432">
        <v>85.21</v>
      </c>
      <c r="AJ315" s="426"/>
      <c r="AK315" s="426"/>
      <c r="AL315" s="426"/>
      <c r="AM315" s="426"/>
      <c r="AN315" s="426"/>
    </row>
    <row r="316" spans="1:40" x14ac:dyDescent="0.2">
      <c r="A316" s="426"/>
      <c r="B316" s="113">
        <v>93</v>
      </c>
      <c r="C316" s="432">
        <v>127.89</v>
      </c>
      <c r="D316" s="432">
        <v>129.49</v>
      </c>
      <c r="E316" s="432">
        <v>129.94</v>
      </c>
      <c r="F316" s="426"/>
      <c r="G316" s="426"/>
      <c r="H316" s="426"/>
      <c r="I316" s="426"/>
      <c r="J316" s="426"/>
      <c r="K316" s="426"/>
      <c r="L316" s="113">
        <v>93</v>
      </c>
      <c r="M316" s="432">
        <v>107.74</v>
      </c>
      <c r="N316" s="432">
        <v>109.25</v>
      </c>
      <c r="O316" s="432">
        <v>109.69</v>
      </c>
      <c r="P316" s="426"/>
      <c r="Q316" s="426"/>
      <c r="R316" s="426"/>
      <c r="S316" s="426"/>
      <c r="T316" s="426"/>
      <c r="U316" s="426"/>
      <c r="V316" s="113">
        <v>93</v>
      </c>
      <c r="W316" s="432">
        <v>91.4</v>
      </c>
      <c r="X316" s="432">
        <v>92.81</v>
      </c>
      <c r="Y316" s="432">
        <v>93.22</v>
      </c>
      <c r="Z316" s="426"/>
      <c r="AA316" s="426"/>
      <c r="AB316" s="426"/>
      <c r="AC316" s="426"/>
      <c r="AD316" s="426"/>
      <c r="AE316" s="426"/>
      <c r="AF316" s="113">
        <v>93</v>
      </c>
      <c r="AG316" s="432">
        <v>78.5</v>
      </c>
      <c r="AH316" s="432">
        <v>79.84</v>
      </c>
      <c r="AI316" s="432">
        <v>80.239999999999995</v>
      </c>
      <c r="AJ316" s="426"/>
      <c r="AK316" s="426"/>
      <c r="AL316" s="426"/>
      <c r="AM316" s="426"/>
      <c r="AN316" s="426"/>
    </row>
    <row r="317" spans="1:40" x14ac:dyDescent="0.2">
      <c r="A317" s="426"/>
      <c r="B317" s="113">
        <v>94</v>
      </c>
      <c r="C317" s="432">
        <v>122.81</v>
      </c>
      <c r="D317" s="432">
        <v>124.38</v>
      </c>
      <c r="E317" s="432">
        <v>124.83</v>
      </c>
      <c r="F317" s="426"/>
      <c r="G317" s="426"/>
      <c r="H317" s="426"/>
      <c r="I317" s="426"/>
      <c r="J317" s="426"/>
      <c r="K317" s="426"/>
      <c r="L317" s="113">
        <v>94</v>
      </c>
      <c r="M317" s="432">
        <v>102.41</v>
      </c>
      <c r="N317" s="432">
        <v>103.89</v>
      </c>
      <c r="O317" s="432">
        <v>104.32</v>
      </c>
      <c r="P317" s="426"/>
      <c r="Q317" s="426"/>
      <c r="R317" s="426"/>
      <c r="S317" s="426"/>
      <c r="T317" s="426"/>
      <c r="U317" s="426"/>
      <c r="V317" s="113">
        <v>94</v>
      </c>
      <c r="W317" s="432">
        <v>86.25</v>
      </c>
      <c r="X317" s="432">
        <v>87.63</v>
      </c>
      <c r="Y317" s="432">
        <v>88.04</v>
      </c>
      <c r="Z317" s="426"/>
      <c r="AA317" s="426"/>
      <c r="AB317" s="426"/>
      <c r="AC317" s="426"/>
      <c r="AD317" s="426"/>
      <c r="AE317" s="426"/>
      <c r="AF317" s="113">
        <v>94</v>
      </c>
      <c r="AG317" s="432">
        <v>73.739999999999995</v>
      </c>
      <c r="AH317" s="432">
        <v>75.05</v>
      </c>
      <c r="AI317" s="432">
        <v>75.44</v>
      </c>
      <c r="AJ317" s="426"/>
      <c r="AK317" s="426"/>
      <c r="AL317" s="426"/>
      <c r="AM317" s="426"/>
      <c r="AN317" s="426"/>
    </row>
    <row r="318" spans="1:40" x14ac:dyDescent="0.2">
      <c r="A318" s="426"/>
      <c r="B318" s="113">
        <v>95</v>
      </c>
      <c r="C318" s="432">
        <v>117.61</v>
      </c>
      <c r="D318" s="432">
        <v>119.16</v>
      </c>
      <c r="E318" s="432">
        <v>119.6</v>
      </c>
      <c r="F318" s="426"/>
      <c r="G318" s="426"/>
      <c r="H318" s="426"/>
      <c r="I318" s="426"/>
      <c r="J318" s="426"/>
      <c r="K318" s="426"/>
      <c r="L318" s="113">
        <v>95</v>
      </c>
      <c r="M318" s="432">
        <v>97.12</v>
      </c>
      <c r="N318" s="432">
        <v>98.55</v>
      </c>
      <c r="O318" s="432">
        <v>98.98</v>
      </c>
      <c r="P318" s="426"/>
      <c r="Q318" s="426"/>
      <c r="R318" s="426"/>
      <c r="S318" s="426"/>
      <c r="T318" s="426"/>
      <c r="U318" s="426"/>
      <c r="V318" s="113">
        <v>95</v>
      </c>
      <c r="W318" s="432">
        <v>81.23</v>
      </c>
      <c r="X318" s="432">
        <v>82.58</v>
      </c>
      <c r="Y318" s="432">
        <v>82.98</v>
      </c>
      <c r="Z318" s="426"/>
      <c r="AA318" s="426"/>
      <c r="AB318" s="426"/>
      <c r="AC318" s="426"/>
      <c r="AD318" s="426"/>
      <c r="AE318" s="426"/>
      <c r="AF318" s="113">
        <v>95</v>
      </c>
      <c r="AG318" s="432">
        <v>69.16</v>
      </c>
      <c r="AH318" s="432">
        <v>70.45</v>
      </c>
      <c r="AI318" s="432">
        <v>70.84</v>
      </c>
      <c r="AJ318" s="426"/>
      <c r="AK318" s="426"/>
      <c r="AL318" s="426"/>
      <c r="AM318" s="426"/>
      <c r="AN318" s="426"/>
    </row>
    <row r="319" spans="1:40" x14ac:dyDescent="0.2">
      <c r="A319" s="426"/>
      <c r="B319" s="113">
        <v>96</v>
      </c>
      <c r="C319" s="432">
        <v>112.34</v>
      </c>
      <c r="D319" s="432">
        <v>113.85</v>
      </c>
      <c r="E319" s="432">
        <v>114.3</v>
      </c>
      <c r="F319" s="426"/>
      <c r="G319" s="426"/>
      <c r="H319" s="426"/>
      <c r="I319" s="426"/>
      <c r="J319" s="426"/>
      <c r="K319" s="426"/>
      <c r="L319" s="113">
        <v>96</v>
      </c>
      <c r="M319" s="432">
        <v>91.89</v>
      </c>
      <c r="N319" s="432">
        <v>93.29</v>
      </c>
      <c r="O319" s="432">
        <v>93.71</v>
      </c>
      <c r="P319" s="426"/>
      <c r="Q319" s="426"/>
      <c r="R319" s="426"/>
      <c r="S319" s="426"/>
      <c r="T319" s="426"/>
      <c r="U319" s="426"/>
      <c r="V319" s="113">
        <v>96</v>
      </c>
      <c r="W319" s="432">
        <v>76.37</v>
      </c>
      <c r="X319" s="432">
        <v>77.69</v>
      </c>
      <c r="Y319" s="432">
        <v>78.09</v>
      </c>
      <c r="Z319" s="426"/>
      <c r="AA319" s="426"/>
      <c r="AB319" s="426"/>
      <c r="AC319" s="426"/>
      <c r="AD319" s="426"/>
      <c r="AE319" s="426"/>
      <c r="AF319" s="113">
        <v>96</v>
      </c>
      <c r="AG319" s="432">
        <v>64.790000000000006</v>
      </c>
      <c r="AH319" s="432">
        <v>66.05</v>
      </c>
      <c r="AI319" s="432">
        <v>66.44</v>
      </c>
      <c r="AJ319" s="426"/>
      <c r="AK319" s="426"/>
      <c r="AL319" s="426"/>
      <c r="AM319" s="426"/>
      <c r="AN319" s="426"/>
    </row>
    <row r="320" spans="1:40" x14ac:dyDescent="0.2">
      <c r="A320" s="426"/>
      <c r="B320" s="113">
        <v>97</v>
      </c>
      <c r="C320" s="432">
        <v>107.06</v>
      </c>
      <c r="D320" s="432">
        <v>108.54</v>
      </c>
      <c r="E320" s="432">
        <v>108.98</v>
      </c>
      <c r="F320" s="426"/>
      <c r="G320" s="426"/>
      <c r="H320" s="426"/>
      <c r="I320" s="426"/>
      <c r="J320" s="426"/>
      <c r="K320" s="426"/>
      <c r="L320" s="113">
        <v>97</v>
      </c>
      <c r="M320" s="432">
        <v>86.77</v>
      </c>
      <c r="N320" s="432">
        <v>88.14</v>
      </c>
      <c r="O320" s="432">
        <v>88.55</v>
      </c>
      <c r="P320" s="426"/>
      <c r="Q320" s="426"/>
      <c r="R320" s="426"/>
      <c r="S320" s="426"/>
      <c r="T320" s="426"/>
      <c r="U320" s="426"/>
      <c r="V320" s="113">
        <v>97</v>
      </c>
      <c r="W320" s="432">
        <v>71.69</v>
      </c>
      <c r="X320" s="432">
        <v>72.98</v>
      </c>
      <c r="Y320" s="432">
        <v>73.38</v>
      </c>
      <c r="Z320" s="426"/>
      <c r="AA320" s="426"/>
      <c r="AB320" s="426"/>
      <c r="AC320" s="426"/>
      <c r="AD320" s="426"/>
      <c r="AE320" s="426"/>
      <c r="AF320" s="113">
        <v>97</v>
      </c>
      <c r="AG320" s="432">
        <v>60.63</v>
      </c>
      <c r="AH320" s="432">
        <v>61.87</v>
      </c>
      <c r="AI320" s="432">
        <v>62.25</v>
      </c>
      <c r="AJ320" s="426"/>
      <c r="AK320" s="426"/>
      <c r="AL320" s="426"/>
      <c r="AM320" s="426"/>
      <c r="AN320" s="426"/>
    </row>
    <row r="321" spans="1:40" x14ac:dyDescent="0.2">
      <c r="A321" s="426"/>
      <c r="B321" s="113">
        <v>98</v>
      </c>
      <c r="C321" s="432">
        <v>101.8</v>
      </c>
      <c r="D321" s="432">
        <v>103.26</v>
      </c>
      <c r="E321" s="432">
        <v>103.69</v>
      </c>
      <c r="F321" s="426"/>
      <c r="G321" s="426"/>
      <c r="H321" s="426"/>
      <c r="I321" s="426"/>
      <c r="J321" s="426"/>
      <c r="K321" s="426"/>
      <c r="L321" s="113">
        <v>98</v>
      </c>
      <c r="M321" s="432">
        <v>81.790000000000006</v>
      </c>
      <c r="N321" s="432">
        <v>83.13</v>
      </c>
      <c r="O321" s="432">
        <v>83.55</v>
      </c>
      <c r="P321" s="426"/>
      <c r="Q321" s="426"/>
      <c r="R321" s="426"/>
      <c r="S321" s="426"/>
      <c r="T321" s="426"/>
      <c r="U321" s="426"/>
      <c r="V321" s="113">
        <v>98</v>
      </c>
      <c r="W321" s="432">
        <v>67.2</v>
      </c>
      <c r="X321" s="432">
        <v>68.47</v>
      </c>
      <c r="Y321" s="432">
        <v>68.87</v>
      </c>
      <c r="Z321" s="426"/>
      <c r="AA321" s="426"/>
      <c r="AB321" s="426"/>
      <c r="AC321" s="426"/>
      <c r="AD321" s="426"/>
      <c r="AE321" s="426"/>
      <c r="AF321" s="113">
        <v>98</v>
      </c>
      <c r="AG321" s="432">
        <v>56.68</v>
      </c>
      <c r="AH321" s="432">
        <v>57.91</v>
      </c>
      <c r="AI321" s="432">
        <v>58.28</v>
      </c>
      <c r="AJ321" s="426"/>
      <c r="AK321" s="426"/>
      <c r="AL321" s="426"/>
      <c r="AM321" s="426"/>
      <c r="AN321" s="426"/>
    </row>
    <row r="322" spans="1:40" x14ac:dyDescent="0.2">
      <c r="A322" s="426"/>
      <c r="B322" s="113">
        <v>99</v>
      </c>
      <c r="C322" s="432">
        <v>96.65</v>
      </c>
      <c r="D322" s="432">
        <v>98.07</v>
      </c>
      <c r="E322" s="432">
        <v>98.5</v>
      </c>
      <c r="F322" s="426"/>
      <c r="G322" s="426"/>
      <c r="H322" s="426"/>
      <c r="I322" s="426"/>
      <c r="J322" s="426"/>
      <c r="K322" s="426"/>
      <c r="L322" s="113">
        <v>99</v>
      </c>
      <c r="M322" s="432">
        <v>76.989999999999995</v>
      </c>
      <c r="N322" s="432">
        <v>78.31</v>
      </c>
      <c r="O322" s="432">
        <v>78.72</v>
      </c>
      <c r="P322" s="426"/>
      <c r="Q322" s="426"/>
      <c r="R322" s="426"/>
      <c r="S322" s="426"/>
      <c r="T322" s="426"/>
      <c r="U322" s="426"/>
      <c r="V322" s="113">
        <v>99</v>
      </c>
      <c r="W322" s="432">
        <v>62.94</v>
      </c>
      <c r="X322" s="432">
        <v>64.19</v>
      </c>
      <c r="Y322" s="432">
        <v>64.58</v>
      </c>
      <c r="Z322" s="426"/>
      <c r="AA322" s="426"/>
      <c r="AB322" s="426"/>
      <c r="AC322" s="426"/>
      <c r="AD322" s="426"/>
      <c r="AE322" s="426"/>
      <c r="AF322" s="113">
        <v>99</v>
      </c>
      <c r="AG322" s="432">
        <v>52.97</v>
      </c>
      <c r="AH322" s="432">
        <v>54.18</v>
      </c>
      <c r="AI322" s="432">
        <v>54.55</v>
      </c>
      <c r="AJ322" s="426"/>
      <c r="AK322" s="426"/>
      <c r="AL322" s="426"/>
      <c r="AM322" s="426"/>
      <c r="AN322" s="426"/>
    </row>
    <row r="323" spans="1:40" x14ac:dyDescent="0.2">
      <c r="A323" s="426"/>
      <c r="B323" s="113">
        <v>100</v>
      </c>
      <c r="C323" s="432">
        <v>91.64</v>
      </c>
      <c r="D323" s="432">
        <v>93.03</v>
      </c>
      <c r="E323" s="432">
        <v>93.47</v>
      </c>
      <c r="F323" s="426"/>
      <c r="G323" s="426"/>
      <c r="H323" s="426"/>
      <c r="I323" s="426"/>
      <c r="J323" s="426"/>
      <c r="K323" s="426"/>
      <c r="L323" s="113">
        <v>100</v>
      </c>
      <c r="M323" s="432">
        <v>72.400000000000006</v>
      </c>
      <c r="N323" s="432">
        <v>73.7</v>
      </c>
      <c r="O323" s="432">
        <v>74.11</v>
      </c>
      <c r="P323" s="426"/>
      <c r="Q323" s="426"/>
      <c r="R323" s="426"/>
      <c r="S323" s="426"/>
      <c r="T323" s="426"/>
      <c r="U323" s="426"/>
      <c r="V323" s="113">
        <v>100</v>
      </c>
      <c r="W323" s="432">
        <v>58.91</v>
      </c>
      <c r="X323" s="432">
        <v>60.15</v>
      </c>
      <c r="Y323" s="432">
        <v>60.54</v>
      </c>
      <c r="Z323" s="426"/>
      <c r="AA323" s="426"/>
      <c r="AB323" s="426"/>
      <c r="AC323" s="426"/>
      <c r="AD323" s="426"/>
      <c r="AE323" s="426"/>
      <c r="AF323" s="113">
        <v>100</v>
      </c>
      <c r="AG323" s="432">
        <v>49.49</v>
      </c>
      <c r="AH323" s="432">
        <v>50.68</v>
      </c>
      <c r="AI323" s="432">
        <v>51.06</v>
      </c>
      <c r="AJ323" s="426"/>
      <c r="AK323" s="426"/>
      <c r="AL323" s="426"/>
      <c r="AM323" s="426"/>
      <c r="AN323" s="426"/>
    </row>
    <row r="327" spans="1:40" x14ac:dyDescent="0.2">
      <c r="B327" s="145" t="s">
        <v>305</v>
      </c>
    </row>
    <row r="330" spans="1:40" x14ac:dyDescent="0.2">
      <c r="B330" s="425"/>
      <c r="C330" s="425"/>
      <c r="D330" s="425"/>
      <c r="E330" s="426"/>
      <c r="F330" s="426"/>
      <c r="G330" s="426"/>
      <c r="H330" s="426"/>
      <c r="I330" s="426"/>
      <c r="J330" s="427" t="s">
        <v>151</v>
      </c>
      <c r="K330" s="426"/>
      <c r="L330" s="425"/>
      <c r="M330" s="425"/>
      <c r="N330" s="425"/>
      <c r="O330" s="426"/>
      <c r="P330" s="426"/>
      <c r="Q330" s="426"/>
      <c r="R330" s="426"/>
      <c r="S330" s="426"/>
      <c r="T330" s="427" t="s">
        <v>151</v>
      </c>
      <c r="U330" s="426"/>
      <c r="V330" s="425"/>
      <c r="W330" s="425"/>
      <c r="X330" s="425"/>
      <c r="Y330" s="426"/>
      <c r="Z330" s="426"/>
      <c r="AA330" s="426"/>
      <c r="AB330" s="426"/>
      <c r="AC330" s="426"/>
      <c r="AD330" s="427" t="s">
        <v>151</v>
      </c>
    </row>
    <row r="331" spans="1:40" x14ac:dyDescent="0.2">
      <c r="B331" s="430" t="s">
        <v>309</v>
      </c>
      <c r="C331" s="426"/>
      <c r="D331" s="426"/>
      <c r="E331" s="426"/>
      <c r="F331" s="426"/>
      <c r="G331" s="426"/>
      <c r="H331" s="426"/>
      <c r="I331" s="426"/>
      <c r="J331" s="426"/>
      <c r="K331" s="426"/>
      <c r="L331" s="430" t="s">
        <v>310</v>
      </c>
      <c r="M331" s="426"/>
      <c r="N331" s="426"/>
      <c r="O331" s="426"/>
      <c r="P331" s="426"/>
      <c r="Q331" s="426"/>
      <c r="R331" s="426"/>
      <c r="S331" s="426"/>
      <c r="T331" s="426"/>
      <c r="U331" s="426"/>
      <c r="V331" s="430" t="s">
        <v>311</v>
      </c>
      <c r="W331" s="426"/>
      <c r="X331" s="426"/>
      <c r="Y331" s="426"/>
      <c r="Z331" s="426"/>
      <c r="AA331" s="426"/>
      <c r="AB331" s="426"/>
      <c r="AC331" s="426"/>
      <c r="AD331" s="426"/>
    </row>
    <row r="332" spans="1:40" ht="13.7" customHeight="1" x14ac:dyDescent="0.2">
      <c r="B332" s="544" t="s">
        <v>306</v>
      </c>
      <c r="C332" s="545"/>
      <c r="D332" s="545"/>
      <c r="E332" s="545"/>
      <c r="F332" s="542"/>
      <c r="G332" s="542"/>
      <c r="H332" s="542"/>
      <c r="I332" s="542"/>
      <c r="J332" s="543"/>
      <c r="K332" s="426"/>
      <c r="L332" s="544" t="s">
        <v>307</v>
      </c>
      <c r="M332" s="545"/>
      <c r="N332" s="545"/>
      <c r="O332" s="545"/>
      <c r="P332" s="542"/>
      <c r="Q332" s="542"/>
      <c r="R332" s="542"/>
      <c r="S332" s="542"/>
      <c r="T332" s="543"/>
      <c r="U332" s="426"/>
      <c r="V332" s="544" t="s">
        <v>308</v>
      </c>
      <c r="W332" s="545"/>
      <c r="X332" s="545"/>
      <c r="Y332" s="545"/>
      <c r="Z332" s="542"/>
      <c r="AA332" s="542"/>
      <c r="AB332" s="542"/>
      <c r="AC332" s="542"/>
      <c r="AD332" s="543"/>
    </row>
    <row r="333" spans="1:40" ht="25.5" x14ac:dyDescent="0.2">
      <c r="B333" s="141" t="s">
        <v>1</v>
      </c>
      <c r="C333" s="141" t="s">
        <v>274</v>
      </c>
      <c r="D333" s="141" t="s">
        <v>275</v>
      </c>
      <c r="E333" s="141" t="s">
        <v>276</v>
      </c>
      <c r="F333" s="431"/>
      <c r="G333" s="141"/>
      <c r="H333" s="141"/>
      <c r="I333" s="141"/>
      <c r="J333" s="141"/>
      <c r="K333" s="426"/>
      <c r="L333" s="141" t="s">
        <v>1</v>
      </c>
      <c r="M333" s="141" t="s">
        <v>274</v>
      </c>
      <c r="N333" s="141" t="s">
        <v>275</v>
      </c>
      <c r="O333" s="141" t="s">
        <v>276</v>
      </c>
      <c r="P333" s="431"/>
      <c r="Q333" s="141"/>
      <c r="R333" s="141"/>
      <c r="S333" s="141"/>
      <c r="T333" s="141"/>
      <c r="U333" s="426"/>
      <c r="V333" s="141" t="s">
        <v>1</v>
      </c>
      <c r="W333" s="141" t="s">
        <v>274</v>
      </c>
      <c r="X333" s="141" t="s">
        <v>275</v>
      </c>
      <c r="Y333" s="141" t="s">
        <v>276</v>
      </c>
      <c r="Z333" s="431"/>
      <c r="AA333" s="141"/>
      <c r="AB333" s="141"/>
      <c r="AC333" s="141"/>
      <c r="AD333" s="141"/>
    </row>
    <row r="334" spans="1:40" x14ac:dyDescent="0.2">
      <c r="A334" s="426"/>
      <c r="B334" s="113">
        <v>0</v>
      </c>
      <c r="C334" s="432">
        <v>70.41</v>
      </c>
      <c r="D334" s="432">
        <v>71.03</v>
      </c>
      <c r="E334" s="432">
        <v>71.34</v>
      </c>
      <c r="F334" s="426"/>
      <c r="G334" s="426"/>
      <c r="H334" s="426"/>
      <c r="I334" s="426"/>
      <c r="J334" s="426"/>
      <c r="K334" s="426"/>
      <c r="L334" s="113">
        <v>0</v>
      </c>
      <c r="M334" s="432">
        <v>74.180000000000007</v>
      </c>
      <c r="N334" s="432">
        <v>74.88</v>
      </c>
      <c r="O334" s="432">
        <v>75.209999999999994</v>
      </c>
      <c r="P334" s="426"/>
      <c r="Q334" s="426"/>
      <c r="R334" s="426"/>
      <c r="S334" s="426"/>
      <c r="T334" s="426"/>
      <c r="U334" s="426"/>
      <c r="V334" s="113">
        <v>0</v>
      </c>
      <c r="W334" s="432">
        <v>78.12</v>
      </c>
      <c r="X334" s="432">
        <v>78.89</v>
      </c>
      <c r="Y334" s="432">
        <v>79.25</v>
      </c>
      <c r="Z334" s="426"/>
      <c r="AA334" s="426"/>
      <c r="AB334" s="426"/>
      <c r="AC334" s="426"/>
      <c r="AD334" s="426"/>
    </row>
    <row r="335" spans="1:40" x14ac:dyDescent="0.2">
      <c r="A335" s="433"/>
      <c r="B335" s="113">
        <v>1</v>
      </c>
      <c r="C335" s="432">
        <v>70.58</v>
      </c>
      <c r="D335" s="432">
        <v>71.2</v>
      </c>
      <c r="E335" s="432">
        <v>71.510000000000005</v>
      </c>
      <c r="F335" s="426"/>
      <c r="G335" s="426"/>
      <c r="H335" s="426"/>
      <c r="I335" s="426"/>
      <c r="J335" s="426"/>
      <c r="K335" s="433"/>
      <c r="L335" s="113">
        <v>1</v>
      </c>
      <c r="M335" s="432">
        <v>74.36</v>
      </c>
      <c r="N335" s="432">
        <v>75.06</v>
      </c>
      <c r="O335" s="432">
        <v>75.400000000000006</v>
      </c>
      <c r="P335" s="426"/>
      <c r="Q335" s="426"/>
      <c r="R335" s="426"/>
      <c r="S335" s="426"/>
      <c r="T335" s="426"/>
      <c r="U335" s="433"/>
      <c r="V335" s="113">
        <v>1</v>
      </c>
      <c r="W335" s="432">
        <v>78.319999999999993</v>
      </c>
      <c r="X335" s="432">
        <v>79.099999999999994</v>
      </c>
      <c r="Y335" s="432">
        <v>79.459999999999994</v>
      </c>
      <c r="Z335" s="426"/>
      <c r="AA335" s="426"/>
      <c r="AB335" s="426"/>
      <c r="AC335" s="426"/>
      <c r="AD335" s="426"/>
    </row>
    <row r="336" spans="1:40" x14ac:dyDescent="0.2">
      <c r="A336" s="433"/>
      <c r="B336" s="113">
        <v>2</v>
      </c>
      <c r="C336" s="432">
        <v>70.75</v>
      </c>
      <c r="D336" s="432">
        <v>71.37</v>
      </c>
      <c r="E336" s="432">
        <v>71.680000000000007</v>
      </c>
      <c r="F336" s="426"/>
      <c r="G336" s="426"/>
      <c r="H336" s="426"/>
      <c r="I336" s="426"/>
      <c r="J336" s="426"/>
      <c r="K336" s="433"/>
      <c r="L336" s="113">
        <v>2</v>
      </c>
      <c r="M336" s="432">
        <v>74.55</v>
      </c>
      <c r="N336" s="432">
        <v>75.25</v>
      </c>
      <c r="O336" s="432">
        <v>75.59</v>
      </c>
      <c r="P336" s="426"/>
      <c r="Q336" s="426"/>
      <c r="R336" s="426"/>
      <c r="S336" s="426"/>
      <c r="T336" s="426"/>
      <c r="U336" s="433"/>
      <c r="V336" s="113">
        <v>2</v>
      </c>
      <c r="W336" s="432">
        <v>78.53</v>
      </c>
      <c r="X336" s="432">
        <v>79.31</v>
      </c>
      <c r="Y336" s="432">
        <v>79.680000000000007</v>
      </c>
      <c r="Z336" s="426"/>
      <c r="AA336" s="426"/>
      <c r="AB336" s="426"/>
      <c r="AC336" s="426"/>
      <c r="AD336" s="426"/>
    </row>
    <row r="337" spans="1:30" x14ac:dyDescent="0.2">
      <c r="A337" s="433"/>
      <c r="B337" s="113">
        <v>3</v>
      </c>
      <c r="C337" s="432">
        <v>70.92</v>
      </c>
      <c r="D337" s="432">
        <v>71.55</v>
      </c>
      <c r="E337" s="432">
        <v>71.87</v>
      </c>
      <c r="F337" s="426"/>
      <c r="G337" s="426"/>
      <c r="H337" s="426"/>
      <c r="I337" s="426"/>
      <c r="J337" s="426"/>
      <c r="K337" s="433"/>
      <c r="L337" s="113">
        <v>3</v>
      </c>
      <c r="M337" s="432">
        <v>74.75</v>
      </c>
      <c r="N337" s="432">
        <v>75.45</v>
      </c>
      <c r="O337" s="432">
        <v>75.790000000000006</v>
      </c>
      <c r="P337" s="426"/>
      <c r="Q337" s="426"/>
      <c r="R337" s="426"/>
      <c r="S337" s="426"/>
      <c r="T337" s="426"/>
      <c r="U337" s="433"/>
      <c r="V337" s="113">
        <v>3</v>
      </c>
      <c r="W337" s="432">
        <v>78.75</v>
      </c>
      <c r="X337" s="432">
        <v>79.53</v>
      </c>
      <c r="Y337" s="432">
        <v>79.900000000000006</v>
      </c>
      <c r="Z337" s="426"/>
      <c r="AA337" s="426"/>
      <c r="AB337" s="426"/>
      <c r="AC337" s="426"/>
      <c r="AD337" s="426"/>
    </row>
    <row r="338" spans="1:30" x14ac:dyDescent="0.2">
      <c r="A338" s="433"/>
      <c r="B338" s="113">
        <v>4</v>
      </c>
      <c r="C338" s="432">
        <v>71.11</v>
      </c>
      <c r="D338" s="432">
        <v>71.739999999999995</v>
      </c>
      <c r="E338" s="432">
        <v>72.05</v>
      </c>
      <c r="F338" s="426"/>
      <c r="G338" s="426"/>
      <c r="H338" s="426"/>
      <c r="I338" s="426"/>
      <c r="J338" s="426"/>
      <c r="K338" s="433"/>
      <c r="L338" s="113">
        <v>4</v>
      </c>
      <c r="M338" s="432">
        <v>74.95</v>
      </c>
      <c r="N338" s="432">
        <v>75.66</v>
      </c>
      <c r="O338" s="432">
        <v>76</v>
      </c>
      <c r="P338" s="426"/>
      <c r="Q338" s="426"/>
      <c r="R338" s="426"/>
      <c r="S338" s="426"/>
      <c r="T338" s="426"/>
      <c r="U338" s="433"/>
      <c r="V338" s="113">
        <v>4</v>
      </c>
      <c r="W338" s="432">
        <v>78.98</v>
      </c>
      <c r="X338" s="432">
        <v>79.760000000000005</v>
      </c>
      <c r="Y338" s="432">
        <v>80.13</v>
      </c>
      <c r="Z338" s="426"/>
      <c r="AA338" s="426"/>
      <c r="AB338" s="426"/>
      <c r="AC338" s="426"/>
      <c r="AD338" s="426"/>
    </row>
    <row r="339" spans="1:30" x14ac:dyDescent="0.2">
      <c r="A339" s="433"/>
      <c r="B339" s="113">
        <v>5</v>
      </c>
      <c r="C339" s="432">
        <v>71.3</v>
      </c>
      <c r="D339" s="432">
        <v>71.930000000000007</v>
      </c>
      <c r="E339" s="432">
        <v>72.25</v>
      </c>
      <c r="F339" s="426"/>
      <c r="G339" s="426"/>
      <c r="H339" s="426"/>
      <c r="I339" s="426"/>
      <c r="J339" s="426"/>
      <c r="K339" s="433"/>
      <c r="L339" s="113">
        <v>5</v>
      </c>
      <c r="M339" s="432">
        <v>75.17</v>
      </c>
      <c r="N339" s="432">
        <v>75.88</v>
      </c>
      <c r="O339" s="432">
        <v>76.22</v>
      </c>
      <c r="P339" s="426"/>
      <c r="Q339" s="426"/>
      <c r="R339" s="426"/>
      <c r="S339" s="426"/>
      <c r="T339" s="426"/>
      <c r="U339" s="433"/>
      <c r="V339" s="113">
        <v>5</v>
      </c>
      <c r="W339" s="432">
        <v>79.209999999999994</v>
      </c>
      <c r="X339" s="432">
        <v>80.010000000000005</v>
      </c>
      <c r="Y339" s="432">
        <v>80.37</v>
      </c>
      <c r="Z339" s="426"/>
      <c r="AA339" s="426"/>
      <c r="AB339" s="426"/>
      <c r="AC339" s="426"/>
      <c r="AD339" s="426"/>
    </row>
    <row r="340" spans="1:30" x14ac:dyDescent="0.2">
      <c r="A340" s="433"/>
      <c r="B340" s="113">
        <v>6</v>
      </c>
      <c r="C340" s="432">
        <v>71.5</v>
      </c>
      <c r="D340" s="432">
        <v>72.13</v>
      </c>
      <c r="E340" s="432">
        <v>72.45</v>
      </c>
      <c r="F340" s="426"/>
      <c r="G340" s="426"/>
      <c r="H340" s="426"/>
      <c r="I340" s="426"/>
      <c r="J340" s="426"/>
      <c r="K340" s="433"/>
      <c r="L340" s="113">
        <v>6</v>
      </c>
      <c r="M340" s="432">
        <v>75.39</v>
      </c>
      <c r="N340" s="432">
        <v>76.099999999999994</v>
      </c>
      <c r="O340" s="432">
        <v>76.45</v>
      </c>
      <c r="P340" s="426"/>
      <c r="Q340" s="426"/>
      <c r="R340" s="426"/>
      <c r="S340" s="426"/>
      <c r="T340" s="426"/>
      <c r="U340" s="433"/>
      <c r="V340" s="113">
        <v>6</v>
      </c>
      <c r="W340" s="432">
        <v>79.459999999999994</v>
      </c>
      <c r="X340" s="432">
        <v>80.260000000000005</v>
      </c>
      <c r="Y340" s="432">
        <v>80.63</v>
      </c>
      <c r="Z340" s="426"/>
      <c r="AA340" s="426"/>
      <c r="AB340" s="426"/>
      <c r="AC340" s="426"/>
      <c r="AD340" s="426"/>
    </row>
    <row r="341" spans="1:30" x14ac:dyDescent="0.2">
      <c r="A341" s="433"/>
      <c r="B341" s="113">
        <v>7</v>
      </c>
      <c r="C341" s="432">
        <v>71.7</v>
      </c>
      <c r="D341" s="432">
        <v>72.34</v>
      </c>
      <c r="E341" s="432">
        <v>72.66</v>
      </c>
      <c r="F341" s="426"/>
      <c r="G341" s="426"/>
      <c r="H341" s="426"/>
      <c r="I341" s="426"/>
      <c r="J341" s="426"/>
      <c r="K341" s="433"/>
      <c r="L341" s="113">
        <v>7</v>
      </c>
      <c r="M341" s="432">
        <v>75.62</v>
      </c>
      <c r="N341" s="432">
        <v>76.34</v>
      </c>
      <c r="O341" s="432">
        <v>76.680000000000007</v>
      </c>
      <c r="P341" s="426"/>
      <c r="Q341" s="426"/>
      <c r="R341" s="426"/>
      <c r="S341" s="426"/>
      <c r="T341" s="426"/>
      <c r="U341" s="433"/>
      <c r="V341" s="113">
        <v>7</v>
      </c>
      <c r="W341" s="432">
        <v>79.72</v>
      </c>
      <c r="X341" s="432">
        <v>80.52</v>
      </c>
      <c r="Y341" s="432">
        <v>80.89</v>
      </c>
      <c r="Z341" s="426"/>
      <c r="AA341" s="426"/>
      <c r="AB341" s="426"/>
      <c r="AC341" s="426"/>
      <c r="AD341" s="426"/>
    </row>
    <row r="342" spans="1:30" x14ac:dyDescent="0.2">
      <c r="A342" s="433"/>
      <c r="B342" s="113">
        <v>8</v>
      </c>
      <c r="C342" s="432">
        <v>71.92</v>
      </c>
      <c r="D342" s="432">
        <v>72.56</v>
      </c>
      <c r="E342" s="432">
        <v>72.88</v>
      </c>
      <c r="F342" s="426"/>
      <c r="G342" s="426"/>
      <c r="H342" s="426"/>
      <c r="I342" s="426"/>
      <c r="J342" s="426"/>
      <c r="K342" s="433"/>
      <c r="L342" s="113">
        <v>8</v>
      </c>
      <c r="M342" s="432">
        <v>75.86</v>
      </c>
      <c r="N342" s="432">
        <v>76.58</v>
      </c>
      <c r="O342" s="432">
        <v>76.930000000000007</v>
      </c>
      <c r="P342" s="426"/>
      <c r="Q342" s="426"/>
      <c r="R342" s="426"/>
      <c r="S342" s="426"/>
      <c r="T342" s="426"/>
      <c r="U342" s="433"/>
      <c r="V342" s="113">
        <v>8</v>
      </c>
      <c r="W342" s="432">
        <v>79.98</v>
      </c>
      <c r="X342" s="432">
        <v>80.790000000000006</v>
      </c>
      <c r="Y342" s="432">
        <v>81.16</v>
      </c>
      <c r="Z342" s="426"/>
      <c r="AA342" s="426"/>
      <c r="AB342" s="426"/>
      <c r="AC342" s="426"/>
      <c r="AD342" s="426"/>
    </row>
    <row r="343" spans="1:30" x14ac:dyDescent="0.2">
      <c r="A343" s="433"/>
      <c r="B343" s="113">
        <v>9</v>
      </c>
      <c r="C343" s="432">
        <v>72.14</v>
      </c>
      <c r="D343" s="432">
        <v>72.790000000000006</v>
      </c>
      <c r="E343" s="432">
        <v>73.11</v>
      </c>
      <c r="F343" s="426"/>
      <c r="G343" s="426"/>
      <c r="H343" s="426"/>
      <c r="I343" s="426"/>
      <c r="J343" s="426"/>
      <c r="K343" s="433"/>
      <c r="L343" s="113">
        <v>9</v>
      </c>
      <c r="M343" s="432">
        <v>76.11</v>
      </c>
      <c r="N343" s="432">
        <v>76.83</v>
      </c>
      <c r="O343" s="432">
        <v>77.180000000000007</v>
      </c>
      <c r="P343" s="426"/>
      <c r="Q343" s="426"/>
      <c r="R343" s="426"/>
      <c r="S343" s="426"/>
      <c r="T343" s="426"/>
      <c r="U343" s="433"/>
      <c r="V343" s="113">
        <v>9</v>
      </c>
      <c r="W343" s="432">
        <v>80.260000000000005</v>
      </c>
      <c r="X343" s="432">
        <v>81.069999999999993</v>
      </c>
      <c r="Y343" s="432">
        <v>81.45</v>
      </c>
      <c r="Z343" s="426"/>
      <c r="AA343" s="426"/>
      <c r="AB343" s="426"/>
      <c r="AC343" s="426"/>
      <c r="AD343" s="426"/>
    </row>
    <row r="344" spans="1:30" x14ac:dyDescent="0.2">
      <c r="A344" s="433"/>
      <c r="B344" s="113">
        <v>10</v>
      </c>
      <c r="C344" s="432">
        <v>72.38</v>
      </c>
      <c r="D344" s="432">
        <v>73.03</v>
      </c>
      <c r="E344" s="432">
        <v>73.349999999999994</v>
      </c>
      <c r="F344" s="426"/>
      <c r="G344" s="426"/>
      <c r="H344" s="426"/>
      <c r="I344" s="426"/>
      <c r="J344" s="426"/>
      <c r="K344" s="433"/>
      <c r="L344" s="113">
        <v>10</v>
      </c>
      <c r="M344" s="432">
        <v>76.37</v>
      </c>
      <c r="N344" s="432">
        <v>77.099999999999994</v>
      </c>
      <c r="O344" s="432">
        <v>77.45</v>
      </c>
      <c r="P344" s="426"/>
      <c r="Q344" s="426"/>
      <c r="R344" s="426"/>
      <c r="S344" s="426"/>
      <c r="T344" s="426"/>
      <c r="U344" s="433"/>
      <c r="V344" s="113">
        <v>10</v>
      </c>
      <c r="W344" s="432">
        <v>80.55</v>
      </c>
      <c r="X344" s="432">
        <v>81.36</v>
      </c>
      <c r="Y344" s="432">
        <v>81.739999999999995</v>
      </c>
      <c r="Z344" s="426"/>
      <c r="AA344" s="426"/>
      <c r="AB344" s="426"/>
      <c r="AC344" s="426"/>
      <c r="AD344" s="426"/>
    </row>
    <row r="345" spans="1:30" x14ac:dyDescent="0.2">
      <c r="A345" s="433"/>
      <c r="B345" s="113">
        <v>11</v>
      </c>
      <c r="C345" s="432">
        <v>72.62</v>
      </c>
      <c r="D345" s="432">
        <v>73.27</v>
      </c>
      <c r="E345" s="432">
        <v>73.599999999999994</v>
      </c>
      <c r="F345" s="426"/>
      <c r="G345" s="426"/>
      <c r="H345" s="426"/>
      <c r="I345" s="426"/>
      <c r="J345" s="426"/>
      <c r="K345" s="433"/>
      <c r="L345" s="113">
        <v>11</v>
      </c>
      <c r="M345" s="432">
        <v>76.64</v>
      </c>
      <c r="N345" s="432">
        <v>77.37</v>
      </c>
      <c r="O345" s="432">
        <v>77.73</v>
      </c>
      <c r="P345" s="426"/>
      <c r="Q345" s="426"/>
      <c r="R345" s="426"/>
      <c r="S345" s="426"/>
      <c r="T345" s="426"/>
      <c r="U345" s="433"/>
      <c r="V345" s="113">
        <v>11</v>
      </c>
      <c r="W345" s="432">
        <v>80.849999999999994</v>
      </c>
      <c r="X345" s="432">
        <v>81.67</v>
      </c>
      <c r="Y345" s="432">
        <v>82.05</v>
      </c>
      <c r="Z345" s="426"/>
      <c r="AA345" s="426"/>
      <c r="AB345" s="426"/>
      <c r="AC345" s="426"/>
      <c r="AD345" s="426"/>
    </row>
    <row r="346" spans="1:30" x14ac:dyDescent="0.2">
      <c r="A346" s="433"/>
      <c r="B346" s="113">
        <v>12</v>
      </c>
      <c r="C346" s="432">
        <v>72.87</v>
      </c>
      <c r="D346" s="432">
        <v>73.53</v>
      </c>
      <c r="E346" s="432">
        <v>73.86</v>
      </c>
      <c r="F346" s="426"/>
      <c r="G346" s="426"/>
      <c r="H346" s="426"/>
      <c r="I346" s="426"/>
      <c r="J346" s="426"/>
      <c r="K346" s="433"/>
      <c r="L346" s="113">
        <v>12</v>
      </c>
      <c r="M346" s="432">
        <v>76.92</v>
      </c>
      <c r="N346" s="432">
        <v>77.66</v>
      </c>
      <c r="O346" s="432">
        <v>78.010000000000005</v>
      </c>
      <c r="P346" s="426"/>
      <c r="Q346" s="426"/>
      <c r="R346" s="426"/>
      <c r="S346" s="426"/>
      <c r="T346" s="426"/>
      <c r="U346" s="433"/>
      <c r="V346" s="113">
        <v>12</v>
      </c>
      <c r="W346" s="432">
        <v>81.16</v>
      </c>
      <c r="X346" s="432">
        <v>81.99</v>
      </c>
      <c r="Y346" s="432">
        <v>82.37</v>
      </c>
      <c r="Z346" s="426"/>
      <c r="AA346" s="426"/>
      <c r="AB346" s="426"/>
      <c r="AC346" s="426"/>
      <c r="AD346" s="426"/>
    </row>
    <row r="347" spans="1:30" x14ac:dyDescent="0.2">
      <c r="A347" s="433"/>
      <c r="B347" s="113">
        <v>13</v>
      </c>
      <c r="C347" s="432">
        <v>73.14</v>
      </c>
      <c r="D347" s="432">
        <v>73.8</v>
      </c>
      <c r="E347" s="432">
        <v>74.13</v>
      </c>
      <c r="F347" s="426"/>
      <c r="G347" s="426"/>
      <c r="H347" s="426"/>
      <c r="I347" s="426"/>
      <c r="J347" s="426"/>
      <c r="K347" s="433"/>
      <c r="L347" s="113">
        <v>13</v>
      </c>
      <c r="M347" s="432">
        <v>77.209999999999994</v>
      </c>
      <c r="N347" s="432">
        <v>77.959999999999994</v>
      </c>
      <c r="O347" s="432">
        <v>78.31</v>
      </c>
      <c r="P347" s="426"/>
      <c r="Q347" s="426"/>
      <c r="R347" s="426"/>
      <c r="S347" s="426"/>
      <c r="T347" s="426"/>
      <c r="U347" s="433"/>
      <c r="V347" s="113">
        <v>13</v>
      </c>
      <c r="W347" s="432">
        <v>81.48</v>
      </c>
      <c r="X347" s="432">
        <v>82.32</v>
      </c>
      <c r="Y347" s="432">
        <v>82.7</v>
      </c>
      <c r="Z347" s="426"/>
      <c r="AA347" s="426"/>
      <c r="AB347" s="426"/>
      <c r="AC347" s="426"/>
      <c r="AD347" s="426"/>
    </row>
    <row r="348" spans="1:30" x14ac:dyDescent="0.2">
      <c r="A348" s="433"/>
      <c r="B348" s="113">
        <v>14</v>
      </c>
      <c r="C348" s="432">
        <v>73.41</v>
      </c>
      <c r="D348" s="432">
        <v>74.08</v>
      </c>
      <c r="E348" s="432">
        <v>74.41</v>
      </c>
      <c r="F348" s="426"/>
      <c r="G348" s="426"/>
      <c r="H348" s="426"/>
      <c r="I348" s="426"/>
      <c r="J348" s="426"/>
      <c r="K348" s="433"/>
      <c r="L348" s="113">
        <v>14</v>
      </c>
      <c r="M348" s="432">
        <v>77.510000000000005</v>
      </c>
      <c r="N348" s="432">
        <v>78.260000000000005</v>
      </c>
      <c r="O348" s="432">
        <v>78.62</v>
      </c>
      <c r="P348" s="426"/>
      <c r="Q348" s="426"/>
      <c r="R348" s="426"/>
      <c r="S348" s="426"/>
      <c r="T348" s="426"/>
      <c r="U348" s="433"/>
      <c r="V348" s="113">
        <v>14</v>
      </c>
      <c r="W348" s="432">
        <v>81.819999999999993</v>
      </c>
      <c r="X348" s="432">
        <v>82.66</v>
      </c>
      <c r="Y348" s="432">
        <v>83.04</v>
      </c>
      <c r="Z348" s="426"/>
      <c r="AA348" s="426"/>
      <c r="AB348" s="426"/>
      <c r="AC348" s="426"/>
      <c r="AD348" s="426"/>
    </row>
    <row r="349" spans="1:30" x14ac:dyDescent="0.2">
      <c r="A349" s="433"/>
      <c r="B349" s="113">
        <v>15</v>
      </c>
      <c r="C349" s="432">
        <v>73.69</v>
      </c>
      <c r="D349" s="432">
        <v>74.36</v>
      </c>
      <c r="E349" s="432">
        <v>74.7</v>
      </c>
      <c r="F349" s="426"/>
      <c r="G349" s="426"/>
      <c r="H349" s="426"/>
      <c r="I349" s="426"/>
      <c r="J349" s="426"/>
      <c r="K349" s="433"/>
      <c r="L349" s="113">
        <v>15</v>
      </c>
      <c r="M349" s="432">
        <v>77.83</v>
      </c>
      <c r="N349" s="432">
        <v>78.58</v>
      </c>
      <c r="O349" s="432">
        <v>78.94</v>
      </c>
      <c r="P349" s="426"/>
      <c r="Q349" s="426"/>
      <c r="R349" s="426"/>
      <c r="S349" s="426"/>
      <c r="T349" s="426"/>
      <c r="U349" s="433"/>
      <c r="V349" s="113">
        <v>15</v>
      </c>
      <c r="W349" s="432">
        <v>82.17</v>
      </c>
      <c r="X349" s="432">
        <v>83.01</v>
      </c>
      <c r="Y349" s="432">
        <v>83.4</v>
      </c>
      <c r="Z349" s="426"/>
      <c r="AA349" s="426"/>
      <c r="AB349" s="426"/>
      <c r="AC349" s="426"/>
      <c r="AD349" s="426"/>
    </row>
    <row r="350" spans="1:30" x14ac:dyDescent="0.2">
      <c r="A350" s="433"/>
      <c r="B350" s="113">
        <v>16</v>
      </c>
      <c r="C350" s="432">
        <v>73.98</v>
      </c>
      <c r="D350" s="432">
        <v>74.66</v>
      </c>
      <c r="E350" s="432">
        <v>75</v>
      </c>
      <c r="F350" s="426"/>
      <c r="G350" s="426"/>
      <c r="H350" s="426"/>
      <c r="I350" s="426"/>
      <c r="J350" s="426"/>
      <c r="K350" s="433"/>
      <c r="L350" s="113">
        <v>16</v>
      </c>
      <c r="M350" s="432">
        <v>78.150000000000006</v>
      </c>
      <c r="N350" s="432">
        <v>78.91</v>
      </c>
      <c r="O350" s="432">
        <v>79.28</v>
      </c>
      <c r="P350" s="426"/>
      <c r="Q350" s="426"/>
      <c r="R350" s="426"/>
      <c r="S350" s="426"/>
      <c r="T350" s="426"/>
      <c r="U350" s="433"/>
      <c r="V350" s="113">
        <v>16</v>
      </c>
      <c r="W350" s="432">
        <v>82.53</v>
      </c>
      <c r="X350" s="432">
        <v>83.38</v>
      </c>
      <c r="Y350" s="432">
        <v>83.77</v>
      </c>
      <c r="Z350" s="426"/>
      <c r="AA350" s="426"/>
      <c r="AB350" s="426"/>
      <c r="AC350" s="426"/>
      <c r="AD350" s="426"/>
    </row>
    <row r="351" spans="1:30" x14ac:dyDescent="0.2">
      <c r="A351" s="433"/>
      <c r="B351" s="113">
        <v>17</v>
      </c>
      <c r="C351" s="432">
        <v>74.290000000000006</v>
      </c>
      <c r="D351" s="432">
        <v>74.97</v>
      </c>
      <c r="E351" s="432">
        <v>75.31</v>
      </c>
      <c r="F351" s="426"/>
      <c r="G351" s="426"/>
      <c r="H351" s="426"/>
      <c r="I351" s="426"/>
      <c r="J351" s="426"/>
      <c r="K351" s="433"/>
      <c r="L351" s="113">
        <v>17</v>
      </c>
      <c r="M351" s="432">
        <v>78.489999999999995</v>
      </c>
      <c r="N351" s="432">
        <v>79.260000000000005</v>
      </c>
      <c r="O351" s="432">
        <v>79.62</v>
      </c>
      <c r="P351" s="426"/>
      <c r="Q351" s="426"/>
      <c r="R351" s="426"/>
      <c r="S351" s="426"/>
      <c r="T351" s="426"/>
      <c r="U351" s="433"/>
      <c r="V351" s="113">
        <v>17</v>
      </c>
      <c r="W351" s="432">
        <v>82.91</v>
      </c>
      <c r="X351" s="432">
        <v>83.76</v>
      </c>
      <c r="Y351" s="432">
        <v>84.15</v>
      </c>
      <c r="Z351" s="426"/>
      <c r="AA351" s="426"/>
      <c r="AB351" s="426"/>
      <c r="AC351" s="426"/>
      <c r="AD351" s="426"/>
    </row>
    <row r="352" spans="1:30" x14ac:dyDescent="0.2">
      <c r="A352" s="433"/>
      <c r="B352" s="113">
        <v>18</v>
      </c>
      <c r="C352" s="432">
        <v>74.61</v>
      </c>
      <c r="D352" s="432">
        <v>75.290000000000006</v>
      </c>
      <c r="E352" s="432">
        <v>75.63</v>
      </c>
      <c r="F352" s="426"/>
      <c r="G352" s="426"/>
      <c r="H352" s="426"/>
      <c r="I352" s="426"/>
      <c r="J352" s="426"/>
      <c r="K352" s="433"/>
      <c r="L352" s="113">
        <v>18</v>
      </c>
      <c r="M352" s="432">
        <v>78.84</v>
      </c>
      <c r="N352" s="432">
        <v>79.62</v>
      </c>
      <c r="O352" s="432">
        <v>79.98</v>
      </c>
      <c r="P352" s="426"/>
      <c r="Q352" s="426"/>
      <c r="R352" s="426"/>
      <c r="S352" s="426"/>
      <c r="T352" s="426"/>
      <c r="U352" s="433"/>
      <c r="V352" s="113">
        <v>18</v>
      </c>
      <c r="W352" s="432">
        <v>83.3</v>
      </c>
      <c r="X352" s="432">
        <v>84.16</v>
      </c>
      <c r="Y352" s="432">
        <v>84.56</v>
      </c>
      <c r="Z352" s="426"/>
      <c r="AA352" s="426"/>
      <c r="AB352" s="426"/>
      <c r="AC352" s="426"/>
      <c r="AD352" s="426"/>
    </row>
    <row r="353" spans="1:30" x14ac:dyDescent="0.2">
      <c r="A353" s="433"/>
      <c r="B353" s="113">
        <v>19</v>
      </c>
      <c r="C353" s="432">
        <v>74.94</v>
      </c>
      <c r="D353" s="432">
        <v>75.63</v>
      </c>
      <c r="E353" s="432">
        <v>75.97</v>
      </c>
      <c r="F353" s="426"/>
      <c r="G353" s="426"/>
      <c r="H353" s="426"/>
      <c r="I353" s="426"/>
      <c r="J353" s="426"/>
      <c r="K353" s="433"/>
      <c r="L353" s="113">
        <v>19</v>
      </c>
      <c r="M353" s="432">
        <v>79.209999999999994</v>
      </c>
      <c r="N353" s="432">
        <v>79.989999999999995</v>
      </c>
      <c r="O353" s="432">
        <v>80.36</v>
      </c>
      <c r="P353" s="426"/>
      <c r="Q353" s="426"/>
      <c r="R353" s="426"/>
      <c r="S353" s="426"/>
      <c r="T353" s="426"/>
      <c r="U353" s="433"/>
      <c r="V353" s="113">
        <v>19</v>
      </c>
      <c r="W353" s="432">
        <v>83.71</v>
      </c>
      <c r="X353" s="432">
        <v>84.58</v>
      </c>
      <c r="Y353" s="432">
        <v>84.98</v>
      </c>
      <c r="Z353" s="426"/>
      <c r="AA353" s="426"/>
      <c r="AB353" s="426"/>
      <c r="AC353" s="426"/>
      <c r="AD353" s="426"/>
    </row>
    <row r="354" spans="1:30" x14ac:dyDescent="0.2">
      <c r="A354" s="433"/>
      <c r="B354" s="113">
        <v>20</v>
      </c>
      <c r="C354" s="432">
        <v>75.28</v>
      </c>
      <c r="D354" s="432">
        <v>75.98</v>
      </c>
      <c r="E354" s="432">
        <v>76.319999999999993</v>
      </c>
      <c r="F354" s="426"/>
      <c r="G354" s="426"/>
      <c r="H354" s="426"/>
      <c r="I354" s="426"/>
      <c r="J354" s="426"/>
      <c r="K354" s="433"/>
      <c r="L354" s="113">
        <v>20</v>
      </c>
      <c r="M354" s="432">
        <v>79.599999999999994</v>
      </c>
      <c r="N354" s="432">
        <v>80.39</v>
      </c>
      <c r="O354" s="432">
        <v>80.75</v>
      </c>
      <c r="P354" s="426"/>
      <c r="Q354" s="426"/>
      <c r="R354" s="426"/>
      <c r="S354" s="426"/>
      <c r="T354" s="426"/>
      <c r="U354" s="433"/>
      <c r="V354" s="113">
        <v>20</v>
      </c>
      <c r="W354" s="432">
        <v>84.14</v>
      </c>
      <c r="X354" s="432">
        <v>85.02</v>
      </c>
      <c r="Y354" s="432">
        <v>85.42</v>
      </c>
      <c r="Z354" s="426"/>
      <c r="AA354" s="426"/>
      <c r="AB354" s="426"/>
      <c r="AC354" s="426"/>
      <c r="AD354" s="426"/>
    </row>
    <row r="355" spans="1:30" x14ac:dyDescent="0.2">
      <c r="A355" s="433"/>
      <c r="B355" s="113">
        <v>21</v>
      </c>
      <c r="C355" s="432">
        <v>75.64</v>
      </c>
      <c r="D355" s="432">
        <v>76.349999999999994</v>
      </c>
      <c r="E355" s="432">
        <v>76.69</v>
      </c>
      <c r="F355" s="426"/>
      <c r="G355" s="426"/>
      <c r="H355" s="426"/>
      <c r="I355" s="426"/>
      <c r="J355" s="426"/>
      <c r="K355" s="433"/>
      <c r="L355" s="113">
        <v>21</v>
      </c>
      <c r="M355" s="432">
        <v>80</v>
      </c>
      <c r="N355" s="432">
        <v>80.8</v>
      </c>
      <c r="O355" s="432">
        <v>81.17</v>
      </c>
      <c r="P355" s="426"/>
      <c r="Q355" s="426"/>
      <c r="R355" s="426"/>
      <c r="S355" s="426"/>
      <c r="T355" s="426"/>
      <c r="U355" s="433"/>
      <c r="V355" s="113">
        <v>21</v>
      </c>
      <c r="W355" s="432">
        <v>84.59</v>
      </c>
      <c r="X355" s="432">
        <v>85.48</v>
      </c>
      <c r="Y355" s="432">
        <v>85.88</v>
      </c>
      <c r="Z355" s="426"/>
      <c r="AA355" s="426"/>
      <c r="AB355" s="426"/>
      <c r="AC355" s="426"/>
      <c r="AD355" s="426"/>
    </row>
    <row r="356" spans="1:30" x14ac:dyDescent="0.2">
      <c r="A356" s="433"/>
      <c r="B356" s="113">
        <v>22</v>
      </c>
      <c r="C356" s="432">
        <v>76.02</v>
      </c>
      <c r="D356" s="432">
        <v>76.73</v>
      </c>
      <c r="E356" s="432">
        <v>77.08</v>
      </c>
      <c r="F356" s="426"/>
      <c r="G356" s="426"/>
      <c r="H356" s="426"/>
      <c r="I356" s="426"/>
      <c r="J356" s="426"/>
      <c r="K356" s="433"/>
      <c r="L356" s="113">
        <v>22</v>
      </c>
      <c r="M356" s="432">
        <v>80.430000000000007</v>
      </c>
      <c r="N356" s="432">
        <v>81.23</v>
      </c>
      <c r="O356" s="432">
        <v>81.599999999999994</v>
      </c>
      <c r="P356" s="426"/>
      <c r="Q356" s="426"/>
      <c r="R356" s="426"/>
      <c r="S356" s="426"/>
      <c r="T356" s="426"/>
      <c r="U356" s="433"/>
      <c r="V356" s="113">
        <v>22</v>
      </c>
      <c r="W356" s="432">
        <v>85.06</v>
      </c>
      <c r="X356" s="432">
        <v>85.96</v>
      </c>
      <c r="Y356" s="432">
        <v>86.37</v>
      </c>
      <c r="Z356" s="426"/>
      <c r="AA356" s="426"/>
      <c r="AB356" s="426"/>
      <c r="AC356" s="426"/>
      <c r="AD356" s="426"/>
    </row>
    <row r="357" spans="1:30" x14ac:dyDescent="0.2">
      <c r="A357" s="433"/>
      <c r="B357" s="113">
        <v>23</v>
      </c>
      <c r="C357" s="432">
        <v>76.42</v>
      </c>
      <c r="D357" s="432">
        <v>77.14</v>
      </c>
      <c r="E357" s="432">
        <v>77.48</v>
      </c>
      <c r="F357" s="426"/>
      <c r="G357" s="426"/>
      <c r="H357" s="426"/>
      <c r="I357" s="426"/>
      <c r="J357" s="426"/>
      <c r="K357" s="433"/>
      <c r="L357" s="113">
        <v>23</v>
      </c>
      <c r="M357" s="432">
        <v>80.87</v>
      </c>
      <c r="N357" s="432">
        <v>81.680000000000007</v>
      </c>
      <c r="O357" s="432">
        <v>82.06</v>
      </c>
      <c r="P357" s="426"/>
      <c r="Q357" s="426"/>
      <c r="R357" s="426"/>
      <c r="S357" s="426"/>
      <c r="T357" s="426"/>
      <c r="U357" s="433"/>
      <c r="V357" s="113">
        <v>23</v>
      </c>
      <c r="W357" s="432">
        <v>85.56</v>
      </c>
      <c r="X357" s="432">
        <v>86.47</v>
      </c>
      <c r="Y357" s="432">
        <v>86.88</v>
      </c>
      <c r="Z357" s="426"/>
      <c r="AA357" s="426"/>
      <c r="AB357" s="426"/>
      <c r="AC357" s="426"/>
      <c r="AD357" s="426"/>
    </row>
    <row r="358" spans="1:30" x14ac:dyDescent="0.2">
      <c r="A358" s="433"/>
      <c r="B358" s="113">
        <v>24</v>
      </c>
      <c r="C358" s="432">
        <v>76.83</v>
      </c>
      <c r="D358" s="432">
        <v>77.56</v>
      </c>
      <c r="E358" s="432">
        <v>77.91</v>
      </c>
      <c r="F358" s="426"/>
      <c r="G358" s="426"/>
      <c r="H358" s="426"/>
      <c r="I358" s="426"/>
      <c r="J358" s="426"/>
      <c r="K358" s="433"/>
      <c r="L358" s="113">
        <v>24</v>
      </c>
      <c r="M358" s="432">
        <v>81.34</v>
      </c>
      <c r="N358" s="432">
        <v>82.16</v>
      </c>
      <c r="O358" s="432">
        <v>82.53</v>
      </c>
      <c r="P358" s="426"/>
      <c r="Q358" s="426"/>
      <c r="R358" s="426"/>
      <c r="S358" s="426"/>
      <c r="T358" s="426"/>
      <c r="U358" s="433"/>
      <c r="V358" s="113">
        <v>24</v>
      </c>
      <c r="W358" s="432">
        <v>86.09</v>
      </c>
      <c r="X358" s="432">
        <v>87</v>
      </c>
      <c r="Y358" s="432">
        <v>87.41</v>
      </c>
      <c r="Z358" s="426"/>
      <c r="AA358" s="426"/>
      <c r="AB358" s="426"/>
      <c r="AC358" s="426"/>
      <c r="AD358" s="426"/>
    </row>
    <row r="359" spans="1:30" x14ac:dyDescent="0.2">
      <c r="A359" s="433"/>
      <c r="B359" s="113">
        <v>25</v>
      </c>
      <c r="C359" s="432">
        <v>77.27</v>
      </c>
      <c r="D359" s="432">
        <v>78.010000000000005</v>
      </c>
      <c r="E359" s="432">
        <v>78.36</v>
      </c>
      <c r="F359" s="426"/>
      <c r="G359" s="426"/>
      <c r="H359" s="426"/>
      <c r="I359" s="426"/>
      <c r="J359" s="426"/>
      <c r="K359" s="433"/>
      <c r="L359" s="113">
        <v>25</v>
      </c>
      <c r="M359" s="432">
        <v>81.83</v>
      </c>
      <c r="N359" s="432">
        <v>82.66</v>
      </c>
      <c r="O359" s="432">
        <v>83.04</v>
      </c>
      <c r="P359" s="426"/>
      <c r="Q359" s="426"/>
      <c r="R359" s="426"/>
      <c r="S359" s="426"/>
      <c r="T359" s="426"/>
      <c r="U359" s="433"/>
      <c r="V359" s="113">
        <v>25</v>
      </c>
      <c r="W359" s="432">
        <v>86.63</v>
      </c>
      <c r="X359" s="432">
        <v>87.56</v>
      </c>
      <c r="Y359" s="432">
        <v>87.97</v>
      </c>
      <c r="Z359" s="426"/>
      <c r="AA359" s="426"/>
      <c r="AB359" s="426"/>
      <c r="AC359" s="426"/>
      <c r="AD359" s="426"/>
    </row>
    <row r="360" spans="1:30" x14ac:dyDescent="0.2">
      <c r="A360" s="433"/>
      <c r="B360" s="113">
        <v>26</v>
      </c>
      <c r="C360" s="432">
        <v>77.73</v>
      </c>
      <c r="D360" s="432">
        <v>78.48</v>
      </c>
      <c r="E360" s="432">
        <v>78.83</v>
      </c>
      <c r="F360" s="426"/>
      <c r="G360" s="426"/>
      <c r="H360" s="426"/>
      <c r="I360" s="426"/>
      <c r="J360" s="426"/>
      <c r="K360" s="433"/>
      <c r="L360" s="113">
        <v>26</v>
      </c>
      <c r="M360" s="432">
        <v>82.34</v>
      </c>
      <c r="N360" s="432">
        <v>83.18</v>
      </c>
      <c r="O360" s="432">
        <v>83.56</v>
      </c>
      <c r="P360" s="426"/>
      <c r="Q360" s="426"/>
      <c r="R360" s="426"/>
      <c r="S360" s="426"/>
      <c r="T360" s="426"/>
      <c r="U360" s="433"/>
      <c r="V360" s="113">
        <v>26</v>
      </c>
      <c r="W360" s="432">
        <v>87.21</v>
      </c>
      <c r="X360" s="432">
        <v>88.15</v>
      </c>
      <c r="Y360" s="432">
        <v>88.56</v>
      </c>
      <c r="Z360" s="426"/>
      <c r="AA360" s="426"/>
      <c r="AB360" s="426"/>
      <c r="AC360" s="426"/>
      <c r="AD360" s="426"/>
    </row>
    <row r="361" spans="1:30" x14ac:dyDescent="0.2">
      <c r="A361" s="433"/>
      <c r="B361" s="113">
        <v>27</v>
      </c>
      <c r="C361" s="432">
        <v>78.22</v>
      </c>
      <c r="D361" s="432">
        <v>78.97</v>
      </c>
      <c r="E361" s="432">
        <v>79.319999999999993</v>
      </c>
      <c r="F361" s="426"/>
      <c r="G361" s="426"/>
      <c r="H361" s="426"/>
      <c r="I361" s="426"/>
      <c r="J361" s="426"/>
      <c r="K361" s="433"/>
      <c r="L361" s="113">
        <v>27</v>
      </c>
      <c r="M361" s="432">
        <v>82.88</v>
      </c>
      <c r="N361" s="432">
        <v>83.73</v>
      </c>
      <c r="O361" s="432">
        <v>84.12</v>
      </c>
      <c r="P361" s="426"/>
      <c r="Q361" s="426"/>
      <c r="R361" s="426"/>
      <c r="S361" s="426"/>
      <c r="T361" s="426"/>
      <c r="U361" s="433"/>
      <c r="V361" s="113">
        <v>27</v>
      </c>
      <c r="W361" s="432">
        <v>87.81</v>
      </c>
      <c r="X361" s="432">
        <v>88.76</v>
      </c>
      <c r="Y361" s="432">
        <v>89.18</v>
      </c>
      <c r="Z361" s="426"/>
      <c r="AA361" s="426"/>
      <c r="AB361" s="426"/>
      <c r="AC361" s="426"/>
      <c r="AD361" s="426"/>
    </row>
    <row r="362" spans="1:30" x14ac:dyDescent="0.2">
      <c r="A362" s="433"/>
      <c r="B362" s="113">
        <v>28</v>
      </c>
      <c r="C362" s="432">
        <v>78.72</v>
      </c>
      <c r="D362" s="432">
        <v>79.48</v>
      </c>
      <c r="E362" s="432">
        <v>79.84</v>
      </c>
      <c r="F362" s="426"/>
      <c r="G362" s="426"/>
      <c r="H362" s="426"/>
      <c r="I362" s="426"/>
      <c r="J362" s="426"/>
      <c r="K362" s="433"/>
      <c r="L362" s="113">
        <v>28</v>
      </c>
      <c r="M362" s="432">
        <v>83.45</v>
      </c>
      <c r="N362" s="432">
        <v>84.3</v>
      </c>
      <c r="O362" s="432">
        <v>84.69</v>
      </c>
      <c r="P362" s="426"/>
      <c r="Q362" s="426"/>
      <c r="R362" s="426"/>
      <c r="S362" s="426"/>
      <c r="T362" s="426"/>
      <c r="U362" s="433"/>
      <c r="V362" s="113">
        <v>28</v>
      </c>
      <c r="W362" s="432">
        <v>88.44</v>
      </c>
      <c r="X362" s="432">
        <v>89.4</v>
      </c>
      <c r="Y362" s="432">
        <v>89.82</v>
      </c>
      <c r="Z362" s="426"/>
      <c r="AA362" s="426"/>
      <c r="AB362" s="426"/>
      <c r="AC362" s="426"/>
      <c r="AD362" s="426"/>
    </row>
    <row r="363" spans="1:30" x14ac:dyDescent="0.2">
      <c r="A363" s="433"/>
      <c r="B363" s="113">
        <v>29</v>
      </c>
      <c r="C363" s="432">
        <v>79.25</v>
      </c>
      <c r="D363" s="432">
        <v>80.02</v>
      </c>
      <c r="E363" s="432">
        <v>80.38</v>
      </c>
      <c r="F363" s="426"/>
      <c r="G363" s="426"/>
      <c r="H363" s="426"/>
      <c r="I363" s="426"/>
      <c r="J363" s="426"/>
      <c r="K363" s="433"/>
      <c r="L363" s="113">
        <v>29</v>
      </c>
      <c r="M363" s="432">
        <v>84.04</v>
      </c>
      <c r="N363" s="432">
        <v>84.9</v>
      </c>
      <c r="O363" s="432">
        <v>85.3</v>
      </c>
      <c r="P363" s="426"/>
      <c r="Q363" s="426"/>
      <c r="R363" s="426"/>
      <c r="S363" s="426"/>
      <c r="T363" s="426"/>
      <c r="U363" s="433"/>
      <c r="V363" s="113">
        <v>29</v>
      </c>
      <c r="W363" s="432">
        <v>89.09</v>
      </c>
      <c r="X363" s="432">
        <v>90.06</v>
      </c>
      <c r="Y363" s="432">
        <v>90.49</v>
      </c>
      <c r="Z363" s="426"/>
      <c r="AA363" s="426"/>
      <c r="AB363" s="426"/>
      <c r="AC363" s="426"/>
      <c r="AD363" s="426"/>
    </row>
    <row r="364" spans="1:30" x14ac:dyDescent="0.2">
      <c r="A364" s="433"/>
      <c r="B364" s="113">
        <v>30</v>
      </c>
      <c r="C364" s="432">
        <v>79.8</v>
      </c>
      <c r="D364" s="432">
        <v>80.58</v>
      </c>
      <c r="E364" s="432">
        <v>80.95</v>
      </c>
      <c r="F364" s="426"/>
      <c r="G364" s="426"/>
      <c r="H364" s="426"/>
      <c r="I364" s="426"/>
      <c r="J364" s="426"/>
      <c r="K364" s="433"/>
      <c r="L364" s="113">
        <v>30</v>
      </c>
      <c r="M364" s="432">
        <v>84.65</v>
      </c>
      <c r="N364" s="432">
        <v>85.53</v>
      </c>
      <c r="O364" s="432">
        <v>85.93</v>
      </c>
      <c r="P364" s="426"/>
      <c r="Q364" s="426"/>
      <c r="R364" s="426"/>
      <c r="S364" s="426"/>
      <c r="T364" s="426"/>
      <c r="U364" s="433"/>
      <c r="V364" s="113">
        <v>30</v>
      </c>
      <c r="W364" s="432">
        <v>89.78</v>
      </c>
      <c r="X364" s="432">
        <v>90.76</v>
      </c>
      <c r="Y364" s="432">
        <v>91.19</v>
      </c>
      <c r="Z364" s="426"/>
      <c r="AA364" s="426"/>
      <c r="AB364" s="426"/>
      <c r="AC364" s="426"/>
      <c r="AD364" s="426"/>
    </row>
    <row r="365" spans="1:30" x14ac:dyDescent="0.2">
      <c r="A365" s="433"/>
      <c r="B365" s="113">
        <v>31</v>
      </c>
      <c r="C365" s="432">
        <v>80.38</v>
      </c>
      <c r="D365" s="432">
        <v>81.17</v>
      </c>
      <c r="E365" s="432">
        <v>81.540000000000006</v>
      </c>
      <c r="F365" s="426"/>
      <c r="G365" s="426"/>
      <c r="H365" s="426"/>
      <c r="I365" s="426"/>
      <c r="J365" s="426"/>
      <c r="K365" s="433"/>
      <c r="L365" s="113">
        <v>31</v>
      </c>
      <c r="M365" s="432">
        <v>85.29</v>
      </c>
      <c r="N365" s="432">
        <v>86.18</v>
      </c>
      <c r="O365" s="432">
        <v>86.58</v>
      </c>
      <c r="P365" s="426"/>
      <c r="Q365" s="426"/>
      <c r="R365" s="426"/>
      <c r="S365" s="426"/>
      <c r="T365" s="426"/>
      <c r="U365" s="433"/>
      <c r="V365" s="113">
        <v>31</v>
      </c>
      <c r="W365" s="432">
        <v>90.49</v>
      </c>
      <c r="X365" s="432">
        <v>91.49</v>
      </c>
      <c r="Y365" s="432">
        <v>91.92</v>
      </c>
      <c r="Z365" s="426"/>
      <c r="AA365" s="426"/>
      <c r="AB365" s="426"/>
      <c r="AC365" s="426"/>
      <c r="AD365" s="426"/>
    </row>
    <row r="366" spans="1:30" x14ac:dyDescent="0.2">
      <c r="A366" s="433"/>
      <c r="B366" s="113">
        <v>32</v>
      </c>
      <c r="C366" s="432">
        <v>80.989999999999995</v>
      </c>
      <c r="D366" s="432">
        <v>81.790000000000006</v>
      </c>
      <c r="E366" s="432">
        <v>82.16</v>
      </c>
      <c r="F366" s="426"/>
      <c r="G366" s="426"/>
      <c r="H366" s="426"/>
      <c r="I366" s="426"/>
      <c r="J366" s="426"/>
      <c r="K366" s="433"/>
      <c r="L366" s="113">
        <v>32</v>
      </c>
      <c r="M366" s="432">
        <v>85.97</v>
      </c>
      <c r="N366" s="432">
        <v>86.87</v>
      </c>
      <c r="O366" s="432">
        <v>87.27</v>
      </c>
      <c r="P366" s="426"/>
      <c r="Q366" s="426"/>
      <c r="R366" s="426"/>
      <c r="S366" s="426"/>
      <c r="T366" s="426"/>
      <c r="U366" s="433"/>
      <c r="V366" s="113">
        <v>32</v>
      </c>
      <c r="W366" s="432">
        <v>91.23</v>
      </c>
      <c r="X366" s="432">
        <v>92.25</v>
      </c>
      <c r="Y366" s="432">
        <v>92.68</v>
      </c>
      <c r="Z366" s="426"/>
      <c r="AA366" s="426"/>
      <c r="AB366" s="426"/>
      <c r="AC366" s="426"/>
      <c r="AD366" s="426"/>
    </row>
    <row r="367" spans="1:30" x14ac:dyDescent="0.2">
      <c r="A367" s="433"/>
      <c r="B367" s="113">
        <v>33</v>
      </c>
      <c r="C367" s="432">
        <v>81.62</v>
      </c>
      <c r="D367" s="432">
        <v>82.43</v>
      </c>
      <c r="E367" s="432">
        <v>82.8</v>
      </c>
      <c r="F367" s="426"/>
      <c r="G367" s="426"/>
      <c r="H367" s="426"/>
      <c r="I367" s="426"/>
      <c r="J367" s="426"/>
      <c r="K367" s="433"/>
      <c r="L367" s="113">
        <v>33</v>
      </c>
      <c r="M367" s="432">
        <v>86.67</v>
      </c>
      <c r="N367" s="432">
        <v>87.58</v>
      </c>
      <c r="O367" s="432">
        <v>87.99</v>
      </c>
      <c r="P367" s="426"/>
      <c r="Q367" s="426"/>
      <c r="R367" s="426"/>
      <c r="S367" s="426"/>
      <c r="T367" s="426"/>
      <c r="U367" s="433"/>
      <c r="V367" s="113">
        <v>33</v>
      </c>
      <c r="W367" s="432">
        <v>92.01</v>
      </c>
      <c r="X367" s="432">
        <v>93.04</v>
      </c>
      <c r="Y367" s="432">
        <v>93.48</v>
      </c>
      <c r="Z367" s="426"/>
      <c r="AA367" s="426"/>
      <c r="AB367" s="426"/>
      <c r="AC367" s="426"/>
      <c r="AD367" s="426"/>
    </row>
    <row r="368" spans="1:30" x14ac:dyDescent="0.2">
      <c r="A368" s="433"/>
      <c r="B368" s="113">
        <v>34</v>
      </c>
      <c r="C368" s="432">
        <v>82.28</v>
      </c>
      <c r="D368" s="432">
        <v>83.1</v>
      </c>
      <c r="E368" s="432">
        <v>83.48</v>
      </c>
      <c r="F368" s="426"/>
      <c r="G368" s="426"/>
      <c r="H368" s="426"/>
      <c r="I368" s="426"/>
      <c r="J368" s="426"/>
      <c r="K368" s="433"/>
      <c r="L368" s="113">
        <v>34</v>
      </c>
      <c r="M368" s="432">
        <v>87.4</v>
      </c>
      <c r="N368" s="432">
        <v>88.33</v>
      </c>
      <c r="O368" s="432">
        <v>88.73</v>
      </c>
      <c r="P368" s="426"/>
      <c r="Q368" s="426"/>
      <c r="R368" s="426"/>
      <c r="S368" s="426"/>
      <c r="T368" s="426"/>
      <c r="U368" s="433"/>
      <c r="V368" s="113">
        <v>34</v>
      </c>
      <c r="W368" s="432">
        <v>92.82</v>
      </c>
      <c r="X368" s="432">
        <v>93.87</v>
      </c>
      <c r="Y368" s="432">
        <v>94.31</v>
      </c>
      <c r="Z368" s="426"/>
      <c r="AA368" s="426"/>
      <c r="AB368" s="426"/>
      <c r="AC368" s="426"/>
      <c r="AD368" s="426"/>
    </row>
    <row r="369" spans="1:30" x14ac:dyDescent="0.2">
      <c r="A369" s="433"/>
      <c r="B369" s="113">
        <v>35</v>
      </c>
      <c r="C369" s="432">
        <v>82.96</v>
      </c>
      <c r="D369" s="432">
        <v>83.8</v>
      </c>
      <c r="E369" s="432">
        <v>84.18</v>
      </c>
      <c r="F369" s="426"/>
      <c r="G369" s="426"/>
      <c r="H369" s="426"/>
      <c r="I369" s="426"/>
      <c r="J369" s="426"/>
      <c r="K369" s="433"/>
      <c r="L369" s="113">
        <v>35</v>
      </c>
      <c r="M369" s="432">
        <v>88.16</v>
      </c>
      <c r="N369" s="432">
        <v>89.11</v>
      </c>
      <c r="O369" s="432">
        <v>89.52</v>
      </c>
      <c r="P369" s="426"/>
      <c r="Q369" s="426"/>
      <c r="R369" s="426"/>
      <c r="S369" s="426"/>
      <c r="T369" s="426"/>
      <c r="U369" s="433"/>
      <c r="V369" s="113">
        <v>35</v>
      </c>
      <c r="W369" s="432">
        <v>93.67</v>
      </c>
      <c r="X369" s="432">
        <v>94.73</v>
      </c>
      <c r="Y369" s="432">
        <v>95.18</v>
      </c>
      <c r="Z369" s="426"/>
      <c r="AA369" s="426"/>
      <c r="AB369" s="426"/>
      <c r="AC369" s="426"/>
      <c r="AD369" s="426"/>
    </row>
    <row r="370" spans="1:30" x14ac:dyDescent="0.2">
      <c r="A370" s="433"/>
      <c r="B370" s="113">
        <v>36</v>
      </c>
      <c r="C370" s="432">
        <v>83.68</v>
      </c>
      <c r="D370" s="432">
        <v>84.54</v>
      </c>
      <c r="E370" s="432">
        <v>84.92</v>
      </c>
      <c r="F370" s="426"/>
      <c r="G370" s="426"/>
      <c r="H370" s="426"/>
      <c r="I370" s="426"/>
      <c r="J370" s="426"/>
      <c r="K370" s="433"/>
      <c r="L370" s="113">
        <v>36</v>
      </c>
      <c r="M370" s="432">
        <v>88.96</v>
      </c>
      <c r="N370" s="432">
        <v>89.92</v>
      </c>
      <c r="O370" s="432">
        <v>90.34</v>
      </c>
      <c r="P370" s="426"/>
      <c r="Q370" s="426"/>
      <c r="R370" s="426"/>
      <c r="S370" s="426"/>
      <c r="T370" s="426"/>
      <c r="U370" s="433"/>
      <c r="V370" s="113">
        <v>36</v>
      </c>
      <c r="W370" s="432">
        <v>94.56</v>
      </c>
      <c r="X370" s="432">
        <v>95.64</v>
      </c>
      <c r="Y370" s="432">
        <v>96.09</v>
      </c>
      <c r="Z370" s="426"/>
      <c r="AA370" s="426"/>
      <c r="AB370" s="426"/>
      <c r="AC370" s="426"/>
      <c r="AD370" s="426"/>
    </row>
    <row r="371" spans="1:30" x14ac:dyDescent="0.2">
      <c r="A371" s="433"/>
      <c r="B371" s="113">
        <v>37</v>
      </c>
      <c r="C371" s="432">
        <v>84.44</v>
      </c>
      <c r="D371" s="432">
        <v>85.31</v>
      </c>
      <c r="E371" s="432">
        <v>85.69</v>
      </c>
      <c r="F371" s="426"/>
      <c r="G371" s="426"/>
      <c r="H371" s="426"/>
      <c r="I371" s="426"/>
      <c r="J371" s="426"/>
      <c r="K371" s="433"/>
      <c r="L371" s="113">
        <v>37</v>
      </c>
      <c r="M371" s="432">
        <v>89.8</v>
      </c>
      <c r="N371" s="432">
        <v>90.78</v>
      </c>
      <c r="O371" s="432">
        <v>91.2</v>
      </c>
      <c r="P371" s="426"/>
      <c r="Q371" s="426"/>
      <c r="R371" s="426"/>
      <c r="S371" s="426"/>
      <c r="T371" s="426"/>
      <c r="U371" s="433"/>
      <c r="V371" s="113">
        <v>37</v>
      </c>
      <c r="W371" s="432">
        <v>95.49</v>
      </c>
      <c r="X371" s="432">
        <v>96.59</v>
      </c>
      <c r="Y371" s="432">
        <v>97.04</v>
      </c>
      <c r="Z371" s="426"/>
      <c r="AA371" s="426"/>
      <c r="AB371" s="426"/>
      <c r="AC371" s="426"/>
      <c r="AD371" s="426"/>
    </row>
    <row r="372" spans="1:30" x14ac:dyDescent="0.2">
      <c r="A372" s="433"/>
      <c r="B372" s="113">
        <v>38</v>
      </c>
      <c r="C372" s="432">
        <v>85.23</v>
      </c>
      <c r="D372" s="432">
        <v>86.11</v>
      </c>
      <c r="E372" s="432">
        <v>86.5</v>
      </c>
      <c r="F372" s="426"/>
      <c r="G372" s="426"/>
      <c r="H372" s="426"/>
      <c r="I372" s="426"/>
      <c r="J372" s="426"/>
      <c r="K372" s="433"/>
      <c r="L372" s="113">
        <v>38</v>
      </c>
      <c r="M372" s="432">
        <v>90.68</v>
      </c>
      <c r="N372" s="432">
        <v>91.68</v>
      </c>
      <c r="O372" s="432">
        <v>92.1</v>
      </c>
      <c r="P372" s="426"/>
      <c r="Q372" s="426"/>
      <c r="R372" s="426"/>
      <c r="S372" s="426"/>
      <c r="T372" s="426"/>
      <c r="U372" s="433"/>
      <c r="V372" s="113">
        <v>38</v>
      </c>
      <c r="W372" s="432">
        <v>96.46</v>
      </c>
      <c r="X372" s="432">
        <v>97.58</v>
      </c>
      <c r="Y372" s="432">
        <v>98.03</v>
      </c>
      <c r="Z372" s="426"/>
      <c r="AA372" s="426"/>
      <c r="AB372" s="426"/>
      <c r="AC372" s="426"/>
      <c r="AD372" s="426"/>
    </row>
    <row r="373" spans="1:30" x14ac:dyDescent="0.2">
      <c r="A373" s="433"/>
      <c r="B373" s="113">
        <v>39</v>
      </c>
      <c r="C373" s="432">
        <v>86.07</v>
      </c>
      <c r="D373" s="432">
        <v>86.96</v>
      </c>
      <c r="E373" s="432">
        <v>87.35</v>
      </c>
      <c r="F373" s="426"/>
      <c r="G373" s="426"/>
      <c r="H373" s="426"/>
      <c r="I373" s="426"/>
      <c r="J373" s="426"/>
      <c r="K373" s="433"/>
      <c r="L373" s="113">
        <v>39</v>
      </c>
      <c r="M373" s="432">
        <v>91.6</v>
      </c>
      <c r="N373" s="432">
        <v>92.62</v>
      </c>
      <c r="O373" s="432">
        <v>93.04</v>
      </c>
      <c r="P373" s="426"/>
      <c r="Q373" s="426"/>
      <c r="R373" s="426"/>
      <c r="S373" s="426"/>
      <c r="T373" s="426"/>
      <c r="U373" s="433"/>
      <c r="V373" s="113">
        <v>39</v>
      </c>
      <c r="W373" s="432">
        <v>97.48</v>
      </c>
      <c r="X373" s="432">
        <v>98.61</v>
      </c>
      <c r="Y373" s="432">
        <v>99.07</v>
      </c>
      <c r="Z373" s="426"/>
      <c r="AA373" s="426"/>
      <c r="AB373" s="426"/>
      <c r="AC373" s="426"/>
      <c r="AD373" s="426"/>
    </row>
    <row r="374" spans="1:30" x14ac:dyDescent="0.2">
      <c r="A374" s="433"/>
      <c r="B374" s="113">
        <v>40</v>
      </c>
      <c r="C374" s="432">
        <v>86.94</v>
      </c>
      <c r="D374" s="432">
        <v>87.85</v>
      </c>
      <c r="E374" s="432">
        <v>88.24</v>
      </c>
      <c r="F374" s="426"/>
      <c r="G374" s="426"/>
      <c r="H374" s="426"/>
      <c r="I374" s="426"/>
      <c r="J374" s="426"/>
      <c r="K374" s="433"/>
      <c r="L374" s="113">
        <v>40</v>
      </c>
      <c r="M374" s="432">
        <v>92.57</v>
      </c>
      <c r="N374" s="432">
        <v>93.6</v>
      </c>
      <c r="O374" s="432">
        <v>94.02</v>
      </c>
      <c r="P374" s="426"/>
      <c r="Q374" s="426"/>
      <c r="R374" s="426"/>
      <c r="S374" s="426"/>
      <c r="T374" s="426"/>
      <c r="U374" s="433"/>
      <c r="V374" s="113">
        <v>40</v>
      </c>
      <c r="W374" s="432">
        <v>98.53</v>
      </c>
      <c r="X374" s="432">
        <v>99.69</v>
      </c>
      <c r="Y374" s="432">
        <v>100.15</v>
      </c>
      <c r="Z374" s="426"/>
      <c r="AA374" s="426"/>
      <c r="AB374" s="426"/>
      <c r="AC374" s="426"/>
      <c r="AD374" s="426"/>
    </row>
    <row r="375" spans="1:30" x14ac:dyDescent="0.2">
      <c r="A375" s="433"/>
      <c r="B375" s="113">
        <v>41</v>
      </c>
      <c r="C375" s="432">
        <v>87.85</v>
      </c>
      <c r="D375" s="432">
        <v>88.78</v>
      </c>
      <c r="E375" s="432">
        <v>89.17</v>
      </c>
      <c r="F375" s="426"/>
      <c r="G375" s="426"/>
      <c r="H375" s="426"/>
      <c r="I375" s="426"/>
      <c r="J375" s="426"/>
      <c r="K375" s="433"/>
      <c r="L375" s="113">
        <v>41</v>
      </c>
      <c r="M375" s="432">
        <v>93.57</v>
      </c>
      <c r="N375" s="432">
        <v>94.62</v>
      </c>
      <c r="O375" s="432">
        <v>95.04</v>
      </c>
      <c r="P375" s="426"/>
      <c r="Q375" s="426"/>
      <c r="R375" s="426"/>
      <c r="S375" s="426"/>
      <c r="T375" s="426"/>
      <c r="U375" s="433"/>
      <c r="V375" s="113">
        <v>41</v>
      </c>
      <c r="W375" s="432">
        <v>99.63</v>
      </c>
      <c r="X375" s="432">
        <v>100.81</v>
      </c>
      <c r="Y375" s="432">
        <v>101.28</v>
      </c>
      <c r="Z375" s="426"/>
      <c r="AA375" s="426"/>
      <c r="AB375" s="426"/>
      <c r="AC375" s="426"/>
      <c r="AD375" s="426"/>
    </row>
    <row r="376" spans="1:30" x14ac:dyDescent="0.2">
      <c r="A376" s="433"/>
      <c r="B376" s="113">
        <v>42</v>
      </c>
      <c r="C376" s="432">
        <v>88.8</v>
      </c>
      <c r="D376" s="432">
        <v>89.75</v>
      </c>
      <c r="E376" s="432">
        <v>90.14</v>
      </c>
      <c r="F376" s="426"/>
      <c r="G376" s="426"/>
      <c r="H376" s="426"/>
      <c r="I376" s="426"/>
      <c r="J376" s="426"/>
      <c r="K376" s="433"/>
      <c r="L376" s="113">
        <v>42</v>
      </c>
      <c r="M376" s="432">
        <v>94.61</v>
      </c>
      <c r="N376" s="432">
        <v>95.68</v>
      </c>
      <c r="O376" s="432">
        <v>96.11</v>
      </c>
      <c r="P376" s="426"/>
      <c r="Q376" s="426"/>
      <c r="R376" s="426"/>
      <c r="S376" s="426"/>
      <c r="T376" s="426"/>
      <c r="U376" s="433"/>
      <c r="V376" s="113">
        <v>42</v>
      </c>
      <c r="W376" s="432">
        <v>100.77</v>
      </c>
      <c r="X376" s="432">
        <v>101.97</v>
      </c>
      <c r="Y376" s="432">
        <v>102.44</v>
      </c>
      <c r="Z376" s="426"/>
      <c r="AA376" s="426"/>
      <c r="AB376" s="426"/>
      <c r="AC376" s="426"/>
      <c r="AD376" s="426"/>
    </row>
    <row r="377" spans="1:30" x14ac:dyDescent="0.2">
      <c r="A377" s="433"/>
      <c r="B377" s="113">
        <v>43</v>
      </c>
      <c r="C377" s="432">
        <v>89.79</v>
      </c>
      <c r="D377" s="432">
        <v>90.76</v>
      </c>
      <c r="E377" s="432">
        <v>91.16</v>
      </c>
      <c r="F377" s="426"/>
      <c r="G377" s="426"/>
      <c r="H377" s="426"/>
      <c r="I377" s="426"/>
      <c r="J377" s="426"/>
      <c r="K377" s="433"/>
      <c r="L377" s="113">
        <v>43</v>
      </c>
      <c r="M377" s="432">
        <v>95.69</v>
      </c>
      <c r="N377" s="432">
        <v>96.78</v>
      </c>
      <c r="O377" s="432">
        <v>97.22</v>
      </c>
      <c r="P377" s="426"/>
      <c r="Q377" s="426"/>
      <c r="R377" s="426"/>
      <c r="S377" s="426"/>
      <c r="T377" s="426"/>
      <c r="U377" s="433"/>
      <c r="V377" s="113">
        <v>43</v>
      </c>
      <c r="W377" s="432">
        <v>101.94</v>
      </c>
      <c r="X377" s="432">
        <v>103.17</v>
      </c>
      <c r="Y377" s="432">
        <v>103.63</v>
      </c>
      <c r="Z377" s="426"/>
      <c r="AA377" s="426"/>
      <c r="AB377" s="426"/>
      <c r="AC377" s="426"/>
      <c r="AD377" s="426"/>
    </row>
    <row r="378" spans="1:30" x14ac:dyDescent="0.2">
      <c r="A378" s="433"/>
      <c r="B378" s="113">
        <v>44</v>
      </c>
      <c r="C378" s="432">
        <v>90.82</v>
      </c>
      <c r="D378" s="432">
        <v>91.81</v>
      </c>
      <c r="E378" s="432">
        <v>92.2</v>
      </c>
      <c r="F378" s="426"/>
      <c r="G378" s="426"/>
      <c r="H378" s="426"/>
      <c r="I378" s="426"/>
      <c r="J378" s="426"/>
      <c r="K378" s="433"/>
      <c r="L378" s="113">
        <v>44</v>
      </c>
      <c r="M378" s="432">
        <v>96.81</v>
      </c>
      <c r="N378" s="432">
        <v>97.92</v>
      </c>
      <c r="O378" s="432">
        <v>98.35</v>
      </c>
      <c r="P378" s="426"/>
      <c r="Q378" s="426"/>
      <c r="R378" s="426"/>
      <c r="S378" s="426"/>
      <c r="T378" s="426"/>
      <c r="U378" s="433"/>
      <c r="V378" s="113">
        <v>44</v>
      </c>
      <c r="W378" s="432">
        <v>103.14</v>
      </c>
      <c r="X378" s="432">
        <v>104.4</v>
      </c>
      <c r="Y378" s="432">
        <v>104.87</v>
      </c>
      <c r="Z378" s="426"/>
      <c r="AA378" s="426"/>
      <c r="AB378" s="426"/>
      <c r="AC378" s="426"/>
      <c r="AD378" s="426"/>
    </row>
    <row r="379" spans="1:30" x14ac:dyDescent="0.2">
      <c r="A379" s="433"/>
      <c r="B379" s="113">
        <v>45</v>
      </c>
      <c r="C379" s="432">
        <v>91.88</v>
      </c>
      <c r="D379" s="432">
        <v>92.89</v>
      </c>
      <c r="E379" s="432">
        <v>93.29</v>
      </c>
      <c r="F379" s="426"/>
      <c r="G379" s="426"/>
      <c r="H379" s="426"/>
      <c r="I379" s="426"/>
      <c r="J379" s="426"/>
      <c r="K379" s="433"/>
      <c r="L379" s="113">
        <v>45</v>
      </c>
      <c r="M379" s="432">
        <v>97.96</v>
      </c>
      <c r="N379" s="432">
        <v>99.09</v>
      </c>
      <c r="O379" s="432">
        <v>99.53</v>
      </c>
      <c r="P379" s="426"/>
      <c r="Q379" s="426"/>
      <c r="R379" s="426"/>
      <c r="S379" s="426"/>
      <c r="T379" s="426"/>
      <c r="U379" s="433"/>
      <c r="V379" s="113">
        <v>45</v>
      </c>
      <c r="W379" s="432">
        <v>104.39</v>
      </c>
      <c r="X379" s="432">
        <v>105.67</v>
      </c>
      <c r="Y379" s="432">
        <v>106.14</v>
      </c>
      <c r="Z379" s="426"/>
      <c r="AA379" s="426"/>
      <c r="AB379" s="426"/>
      <c r="AC379" s="426"/>
      <c r="AD379" s="426"/>
    </row>
    <row r="380" spans="1:30" x14ac:dyDescent="0.2">
      <c r="A380" s="433"/>
      <c r="B380" s="113">
        <v>46</v>
      </c>
      <c r="C380" s="432">
        <v>92.98</v>
      </c>
      <c r="D380" s="432">
        <v>94.01</v>
      </c>
      <c r="E380" s="432">
        <v>94.41</v>
      </c>
      <c r="F380" s="426"/>
      <c r="G380" s="426"/>
      <c r="H380" s="426"/>
      <c r="I380" s="426"/>
      <c r="J380" s="426"/>
      <c r="K380" s="433"/>
      <c r="L380" s="113">
        <v>46</v>
      </c>
      <c r="M380" s="432">
        <v>99.15</v>
      </c>
      <c r="N380" s="432">
        <v>100.31</v>
      </c>
      <c r="O380" s="432">
        <v>100.75</v>
      </c>
      <c r="P380" s="426"/>
      <c r="Q380" s="426"/>
      <c r="R380" s="426"/>
      <c r="S380" s="426"/>
      <c r="T380" s="426"/>
      <c r="U380" s="433"/>
      <c r="V380" s="113">
        <v>46</v>
      </c>
      <c r="W380" s="432">
        <v>105.69</v>
      </c>
      <c r="X380" s="432">
        <v>106.99</v>
      </c>
      <c r="Y380" s="432">
        <v>107.46</v>
      </c>
      <c r="Z380" s="426"/>
      <c r="AA380" s="426"/>
      <c r="AB380" s="426"/>
      <c r="AC380" s="426"/>
      <c r="AD380" s="426"/>
    </row>
    <row r="381" spans="1:30" x14ac:dyDescent="0.2">
      <c r="A381" s="433"/>
      <c r="B381" s="113">
        <v>47</v>
      </c>
      <c r="C381" s="432">
        <v>94.12</v>
      </c>
      <c r="D381" s="432">
        <v>95.17</v>
      </c>
      <c r="E381" s="432">
        <v>95.58</v>
      </c>
      <c r="F381" s="426"/>
      <c r="G381" s="426"/>
      <c r="H381" s="426"/>
      <c r="I381" s="426"/>
      <c r="J381" s="426"/>
      <c r="K381" s="433"/>
      <c r="L381" s="113">
        <v>47</v>
      </c>
      <c r="M381" s="432">
        <v>100.39</v>
      </c>
      <c r="N381" s="432">
        <v>101.58</v>
      </c>
      <c r="O381" s="432">
        <v>102.02</v>
      </c>
      <c r="P381" s="426"/>
      <c r="Q381" s="426"/>
      <c r="R381" s="426"/>
      <c r="S381" s="426"/>
      <c r="T381" s="426"/>
      <c r="U381" s="433"/>
      <c r="V381" s="113">
        <v>47</v>
      </c>
      <c r="W381" s="432">
        <v>107.04</v>
      </c>
      <c r="X381" s="432">
        <v>108.37</v>
      </c>
      <c r="Y381" s="432">
        <v>108.85</v>
      </c>
      <c r="Z381" s="426"/>
      <c r="AA381" s="426"/>
      <c r="AB381" s="426"/>
      <c r="AC381" s="426"/>
      <c r="AD381" s="426"/>
    </row>
    <row r="382" spans="1:30" x14ac:dyDescent="0.2">
      <c r="A382" s="433"/>
      <c r="B382" s="113">
        <v>48</v>
      </c>
      <c r="C382" s="432">
        <v>95.31</v>
      </c>
      <c r="D382" s="432">
        <v>96.39</v>
      </c>
      <c r="E382" s="432">
        <v>96.79</v>
      </c>
      <c r="F382" s="426"/>
      <c r="G382" s="426"/>
      <c r="H382" s="426"/>
      <c r="I382" s="426"/>
      <c r="J382" s="426"/>
      <c r="K382" s="433"/>
      <c r="L382" s="113">
        <v>48</v>
      </c>
      <c r="M382" s="432">
        <v>101.7</v>
      </c>
      <c r="N382" s="432">
        <v>102.91</v>
      </c>
      <c r="O382" s="432">
        <v>103.35</v>
      </c>
      <c r="P382" s="426"/>
      <c r="Q382" s="426"/>
      <c r="R382" s="426"/>
      <c r="S382" s="426"/>
      <c r="T382" s="426"/>
      <c r="U382" s="433"/>
      <c r="V382" s="113">
        <v>48</v>
      </c>
      <c r="W382" s="432">
        <v>108.46</v>
      </c>
      <c r="X382" s="432">
        <v>109.82</v>
      </c>
      <c r="Y382" s="432">
        <v>110.3</v>
      </c>
      <c r="Z382" s="426"/>
      <c r="AA382" s="426"/>
      <c r="AB382" s="426"/>
      <c r="AC382" s="426"/>
      <c r="AD382" s="426"/>
    </row>
    <row r="383" spans="1:30" x14ac:dyDescent="0.2">
      <c r="A383" s="433"/>
      <c r="B383" s="113">
        <v>49</v>
      </c>
      <c r="C383" s="432">
        <v>96.57</v>
      </c>
      <c r="D383" s="432">
        <v>97.66</v>
      </c>
      <c r="E383" s="432">
        <v>98.07</v>
      </c>
      <c r="F383" s="426"/>
      <c r="G383" s="426"/>
      <c r="H383" s="426"/>
      <c r="I383" s="426"/>
      <c r="J383" s="426"/>
      <c r="K383" s="433"/>
      <c r="L383" s="113">
        <v>49</v>
      </c>
      <c r="M383" s="432">
        <v>103.07</v>
      </c>
      <c r="N383" s="432">
        <v>104.3</v>
      </c>
      <c r="O383" s="432">
        <v>104.74</v>
      </c>
      <c r="P383" s="426"/>
      <c r="Q383" s="426"/>
      <c r="R383" s="426"/>
      <c r="S383" s="426"/>
      <c r="T383" s="426"/>
      <c r="U383" s="433"/>
      <c r="V383" s="113">
        <v>49</v>
      </c>
      <c r="W383" s="432">
        <v>109.96</v>
      </c>
      <c r="X383" s="432">
        <v>111.34</v>
      </c>
      <c r="Y383" s="432">
        <v>111.82</v>
      </c>
      <c r="Z383" s="426"/>
      <c r="AA383" s="426"/>
      <c r="AB383" s="426"/>
      <c r="AC383" s="426"/>
      <c r="AD383" s="426"/>
    </row>
    <row r="384" spans="1:30" x14ac:dyDescent="0.2">
      <c r="A384" s="433"/>
      <c r="B384" s="113">
        <v>50</v>
      </c>
      <c r="C384" s="432">
        <v>97.89</v>
      </c>
      <c r="D384" s="432">
        <v>99.01</v>
      </c>
      <c r="E384" s="432">
        <v>99.42</v>
      </c>
      <c r="F384" s="426"/>
      <c r="G384" s="426"/>
      <c r="H384" s="426"/>
      <c r="I384" s="434"/>
      <c r="J384" s="435"/>
      <c r="K384" s="433"/>
      <c r="L384" s="113">
        <v>50</v>
      </c>
      <c r="M384" s="432">
        <v>104.51</v>
      </c>
      <c r="N384" s="432">
        <v>105.77</v>
      </c>
      <c r="O384" s="432">
        <v>106.22</v>
      </c>
      <c r="P384" s="426"/>
      <c r="Q384" s="426"/>
      <c r="R384" s="426"/>
      <c r="S384" s="434"/>
      <c r="T384" s="435"/>
      <c r="U384" s="433"/>
      <c r="V384" s="113">
        <v>50</v>
      </c>
      <c r="W384" s="432">
        <v>111.53</v>
      </c>
      <c r="X384" s="432">
        <v>112.95</v>
      </c>
      <c r="Y384" s="432">
        <v>113.42</v>
      </c>
      <c r="Z384" s="426"/>
      <c r="AA384" s="426"/>
      <c r="AB384" s="426"/>
      <c r="AC384" s="434"/>
      <c r="AD384" s="435"/>
    </row>
    <row r="385" spans="1:30" x14ac:dyDescent="0.2">
      <c r="A385" s="426"/>
      <c r="B385" s="113">
        <v>51</v>
      </c>
      <c r="C385" s="432">
        <v>99.28</v>
      </c>
      <c r="D385" s="432">
        <v>100.43</v>
      </c>
      <c r="E385" s="432">
        <v>100.84</v>
      </c>
      <c r="F385" s="426"/>
      <c r="G385" s="426"/>
      <c r="H385" s="426"/>
      <c r="I385" s="426"/>
      <c r="J385" s="436"/>
      <c r="K385" s="426"/>
      <c r="L385" s="113">
        <v>51</v>
      </c>
      <c r="M385" s="432">
        <v>106.04</v>
      </c>
      <c r="N385" s="432">
        <v>107.33</v>
      </c>
      <c r="O385" s="432">
        <v>107.77</v>
      </c>
      <c r="P385" s="426"/>
      <c r="Q385" s="426"/>
      <c r="R385" s="426"/>
      <c r="S385" s="426"/>
      <c r="T385" s="436"/>
      <c r="U385" s="426"/>
      <c r="V385" s="113">
        <v>51</v>
      </c>
      <c r="W385" s="432">
        <v>113.19</v>
      </c>
      <c r="X385" s="432">
        <v>114.64</v>
      </c>
      <c r="Y385" s="432">
        <v>115.12</v>
      </c>
      <c r="Z385" s="426"/>
      <c r="AA385" s="426"/>
      <c r="AB385" s="426"/>
      <c r="AC385" s="426"/>
      <c r="AD385" s="436"/>
    </row>
    <row r="386" spans="1:30" x14ac:dyDescent="0.2">
      <c r="A386" s="426"/>
      <c r="B386" s="113">
        <v>52</v>
      </c>
      <c r="C386" s="432">
        <v>100.76</v>
      </c>
      <c r="D386" s="432">
        <v>101.93</v>
      </c>
      <c r="E386" s="432">
        <v>102.34</v>
      </c>
      <c r="F386" s="426"/>
      <c r="G386" s="426"/>
      <c r="H386" s="426"/>
      <c r="I386" s="426"/>
      <c r="J386" s="426"/>
      <c r="K386" s="426"/>
      <c r="L386" s="113">
        <v>52</v>
      </c>
      <c r="M386" s="432">
        <v>107.65</v>
      </c>
      <c r="N386" s="432">
        <v>108.97</v>
      </c>
      <c r="O386" s="432">
        <v>109.41</v>
      </c>
      <c r="P386" s="426"/>
      <c r="Q386" s="426"/>
      <c r="R386" s="426"/>
      <c r="S386" s="426"/>
      <c r="T386" s="426"/>
      <c r="U386" s="426"/>
      <c r="V386" s="113">
        <v>52</v>
      </c>
      <c r="W386" s="432">
        <v>115</v>
      </c>
      <c r="X386" s="432">
        <v>116.47</v>
      </c>
      <c r="Y386" s="432">
        <v>116.96</v>
      </c>
      <c r="Z386" s="426"/>
      <c r="AA386" s="426"/>
      <c r="AB386" s="426"/>
      <c r="AC386" s="426"/>
      <c r="AD386" s="426"/>
    </row>
    <row r="387" spans="1:30" x14ac:dyDescent="0.2">
      <c r="A387" s="426"/>
      <c r="B387" s="113">
        <v>53</v>
      </c>
      <c r="C387" s="432">
        <v>102.33</v>
      </c>
      <c r="D387" s="432">
        <v>103.53</v>
      </c>
      <c r="E387" s="432">
        <v>103.94</v>
      </c>
      <c r="F387" s="426"/>
      <c r="G387" s="426"/>
      <c r="H387" s="426"/>
      <c r="I387" s="426"/>
      <c r="J387" s="426"/>
      <c r="K387" s="426"/>
      <c r="L387" s="113">
        <v>53</v>
      </c>
      <c r="M387" s="432">
        <v>109.41</v>
      </c>
      <c r="N387" s="432">
        <v>110.76</v>
      </c>
      <c r="O387" s="432">
        <v>111.2</v>
      </c>
      <c r="P387" s="426"/>
      <c r="Q387" s="426"/>
      <c r="R387" s="426"/>
      <c r="S387" s="426"/>
      <c r="T387" s="426"/>
      <c r="U387" s="426"/>
      <c r="V387" s="113">
        <v>53</v>
      </c>
      <c r="W387" s="432">
        <v>116.99</v>
      </c>
      <c r="X387" s="432">
        <v>118.5</v>
      </c>
      <c r="Y387" s="432">
        <v>118.98</v>
      </c>
      <c r="Z387" s="426"/>
      <c r="AA387" s="426"/>
      <c r="AB387" s="426"/>
      <c r="AC387" s="426"/>
      <c r="AD387" s="426"/>
    </row>
    <row r="388" spans="1:30" x14ac:dyDescent="0.2">
      <c r="A388" s="426"/>
      <c r="B388" s="113">
        <v>54</v>
      </c>
      <c r="C388" s="432">
        <v>104.03</v>
      </c>
      <c r="D388" s="432">
        <v>105.26</v>
      </c>
      <c r="E388" s="432">
        <v>105.67</v>
      </c>
      <c r="F388" s="426"/>
      <c r="G388" s="426"/>
      <c r="H388" s="426"/>
      <c r="I388" s="426"/>
      <c r="J388" s="426"/>
      <c r="K388" s="426"/>
      <c r="L388" s="113">
        <v>54</v>
      </c>
      <c r="M388" s="432">
        <v>111.35</v>
      </c>
      <c r="N388" s="432">
        <v>112.73</v>
      </c>
      <c r="O388" s="432">
        <v>113.18</v>
      </c>
      <c r="P388" s="426"/>
      <c r="Q388" s="426"/>
      <c r="R388" s="426"/>
      <c r="S388" s="426"/>
      <c r="T388" s="426"/>
      <c r="U388" s="426"/>
      <c r="V388" s="113">
        <v>54</v>
      </c>
      <c r="W388" s="432">
        <v>119.16</v>
      </c>
      <c r="X388" s="432">
        <v>120.71</v>
      </c>
      <c r="Y388" s="432">
        <v>121.2</v>
      </c>
      <c r="Z388" s="426"/>
      <c r="AA388" s="426"/>
      <c r="AB388" s="426"/>
      <c r="AC388" s="426"/>
      <c r="AD388" s="426"/>
    </row>
    <row r="389" spans="1:30" x14ac:dyDescent="0.2">
      <c r="A389" s="426"/>
      <c r="B389" s="113">
        <v>55</v>
      </c>
      <c r="C389" s="432">
        <v>105.92</v>
      </c>
      <c r="D389" s="432">
        <v>107.18</v>
      </c>
      <c r="E389" s="432">
        <v>107.59</v>
      </c>
      <c r="F389" s="426"/>
      <c r="G389" s="426"/>
      <c r="H389" s="426"/>
      <c r="I389" s="426"/>
      <c r="J389" s="426"/>
      <c r="K389" s="426"/>
      <c r="L389" s="113">
        <v>55</v>
      </c>
      <c r="M389" s="432">
        <v>113.47</v>
      </c>
      <c r="N389" s="432">
        <v>114.89</v>
      </c>
      <c r="O389" s="432">
        <v>115.33</v>
      </c>
      <c r="P389" s="426"/>
      <c r="Q389" s="426"/>
      <c r="R389" s="426"/>
      <c r="S389" s="426"/>
      <c r="T389" s="426"/>
      <c r="U389" s="426"/>
      <c r="V389" s="113">
        <v>55</v>
      </c>
      <c r="W389" s="432">
        <v>121.5</v>
      </c>
      <c r="X389" s="432">
        <v>123.09</v>
      </c>
      <c r="Y389" s="432">
        <v>123.57</v>
      </c>
      <c r="Z389" s="426"/>
      <c r="AA389" s="426"/>
      <c r="AB389" s="426"/>
      <c r="AC389" s="426"/>
      <c r="AD389" s="426"/>
    </row>
    <row r="390" spans="1:30" x14ac:dyDescent="0.2">
      <c r="A390" s="426"/>
      <c r="B390" s="113">
        <v>56</v>
      </c>
      <c r="C390" s="432">
        <v>107.98</v>
      </c>
      <c r="D390" s="432">
        <v>109.27</v>
      </c>
      <c r="E390" s="432">
        <v>109.68</v>
      </c>
      <c r="F390" s="426"/>
      <c r="G390" s="426"/>
      <c r="H390" s="426"/>
      <c r="I390" s="426"/>
      <c r="J390" s="426"/>
      <c r="K390" s="426"/>
      <c r="L390" s="113">
        <v>56</v>
      </c>
      <c r="M390" s="432">
        <v>115.75</v>
      </c>
      <c r="N390" s="432">
        <v>117.21</v>
      </c>
      <c r="O390" s="432">
        <v>117.65</v>
      </c>
      <c r="P390" s="426"/>
      <c r="Q390" s="426"/>
      <c r="R390" s="426"/>
      <c r="S390" s="426"/>
      <c r="T390" s="426"/>
      <c r="U390" s="426"/>
      <c r="V390" s="113">
        <v>56</v>
      </c>
      <c r="W390" s="432">
        <v>123.99</v>
      </c>
      <c r="X390" s="432">
        <v>125.62</v>
      </c>
      <c r="Y390" s="432">
        <v>126.1</v>
      </c>
      <c r="Z390" s="426"/>
      <c r="AA390" s="426"/>
      <c r="AB390" s="426"/>
      <c r="AC390" s="426"/>
      <c r="AD390" s="426"/>
    </row>
    <row r="391" spans="1:30" x14ac:dyDescent="0.2">
      <c r="A391" s="426"/>
      <c r="B391" s="113">
        <v>57</v>
      </c>
      <c r="C391" s="432">
        <v>110.21</v>
      </c>
      <c r="D391" s="432">
        <v>111.53</v>
      </c>
      <c r="E391" s="432">
        <v>111.94</v>
      </c>
      <c r="F391" s="426"/>
      <c r="G391" s="426"/>
      <c r="H391" s="426"/>
      <c r="I391" s="426"/>
      <c r="J391" s="426"/>
      <c r="K391" s="426"/>
      <c r="L391" s="113">
        <v>57</v>
      </c>
      <c r="M391" s="432">
        <v>118.19</v>
      </c>
      <c r="N391" s="432">
        <v>119.68</v>
      </c>
      <c r="O391" s="432">
        <v>120.13</v>
      </c>
      <c r="P391" s="426"/>
      <c r="Q391" s="426"/>
      <c r="R391" s="426"/>
      <c r="S391" s="426"/>
      <c r="T391" s="426"/>
      <c r="U391" s="426"/>
      <c r="V391" s="113">
        <v>57</v>
      </c>
      <c r="W391" s="432">
        <v>126.61</v>
      </c>
      <c r="X391" s="432">
        <v>128.27000000000001</v>
      </c>
      <c r="Y391" s="432">
        <v>128.76</v>
      </c>
      <c r="Z391" s="426"/>
      <c r="AA391" s="426"/>
      <c r="AB391" s="426"/>
      <c r="AC391" s="426"/>
      <c r="AD391" s="426"/>
    </row>
    <row r="392" spans="1:30" x14ac:dyDescent="0.2">
      <c r="A392" s="426"/>
      <c r="B392" s="113">
        <v>58</v>
      </c>
      <c r="C392" s="432">
        <v>112.58</v>
      </c>
      <c r="D392" s="432">
        <v>113.94</v>
      </c>
      <c r="E392" s="432">
        <v>114.36</v>
      </c>
      <c r="F392" s="426"/>
      <c r="G392" s="426"/>
      <c r="H392" s="426"/>
      <c r="I392" s="426"/>
      <c r="J392" s="426"/>
      <c r="K392" s="426"/>
      <c r="L392" s="113">
        <v>58</v>
      </c>
      <c r="M392" s="432">
        <v>120.76</v>
      </c>
      <c r="N392" s="432">
        <v>122.29</v>
      </c>
      <c r="O392" s="432">
        <v>122.74</v>
      </c>
      <c r="P392" s="426"/>
      <c r="Q392" s="426"/>
      <c r="R392" s="426"/>
      <c r="S392" s="426"/>
      <c r="T392" s="426"/>
      <c r="U392" s="426"/>
      <c r="V392" s="113">
        <v>58</v>
      </c>
      <c r="W392" s="432">
        <v>129.33000000000001</v>
      </c>
      <c r="X392" s="432">
        <v>131.04</v>
      </c>
      <c r="Y392" s="432">
        <v>131.52000000000001</v>
      </c>
      <c r="Z392" s="426"/>
      <c r="AA392" s="426"/>
      <c r="AB392" s="426"/>
      <c r="AC392" s="426"/>
      <c r="AD392" s="426"/>
    </row>
    <row r="393" spans="1:30" x14ac:dyDescent="0.2">
      <c r="A393" s="426"/>
      <c r="B393" s="113">
        <v>59</v>
      </c>
      <c r="C393" s="432">
        <v>115.1</v>
      </c>
      <c r="D393" s="432">
        <v>116.49</v>
      </c>
      <c r="E393" s="432">
        <v>116.91</v>
      </c>
      <c r="F393" s="426"/>
      <c r="G393" s="426"/>
      <c r="H393" s="426"/>
      <c r="I393" s="426"/>
      <c r="J393" s="426"/>
      <c r="K393" s="426"/>
      <c r="L393" s="113">
        <v>59</v>
      </c>
      <c r="M393" s="432">
        <v>123.44</v>
      </c>
      <c r="N393" s="432">
        <v>125.01</v>
      </c>
      <c r="O393" s="432">
        <v>125.46</v>
      </c>
      <c r="P393" s="426"/>
      <c r="Q393" s="426"/>
      <c r="R393" s="426"/>
      <c r="S393" s="426"/>
      <c r="T393" s="426"/>
      <c r="U393" s="426"/>
      <c r="V393" s="113">
        <v>59</v>
      </c>
      <c r="W393" s="432">
        <v>132.13</v>
      </c>
      <c r="X393" s="432">
        <v>133.87</v>
      </c>
      <c r="Y393" s="432">
        <v>134.36000000000001</v>
      </c>
      <c r="Z393" s="426"/>
      <c r="AA393" s="426"/>
      <c r="AB393" s="426"/>
      <c r="AC393" s="426"/>
      <c r="AD393" s="426"/>
    </row>
    <row r="394" spans="1:30" x14ac:dyDescent="0.2">
      <c r="A394" s="426"/>
      <c r="B394" s="113">
        <v>60</v>
      </c>
      <c r="C394" s="432">
        <v>117.73</v>
      </c>
      <c r="D394" s="432">
        <v>119.16</v>
      </c>
      <c r="E394" s="432">
        <v>119.58</v>
      </c>
      <c r="F394" s="426"/>
      <c r="G394" s="426"/>
      <c r="H394" s="426"/>
      <c r="I394" s="426"/>
      <c r="J394" s="426"/>
      <c r="K394" s="426"/>
      <c r="L394" s="113">
        <v>60</v>
      </c>
      <c r="M394" s="432">
        <v>126.21</v>
      </c>
      <c r="N394" s="432">
        <v>127.81</v>
      </c>
      <c r="O394" s="432">
        <v>128.26</v>
      </c>
      <c r="P394" s="426"/>
      <c r="Q394" s="426"/>
      <c r="R394" s="426"/>
      <c r="S394" s="426"/>
      <c r="T394" s="426"/>
      <c r="U394" s="426"/>
      <c r="V394" s="113">
        <v>60</v>
      </c>
      <c r="W394" s="432">
        <v>134.96</v>
      </c>
      <c r="X394" s="432">
        <v>136.75</v>
      </c>
      <c r="Y394" s="432">
        <v>137.24</v>
      </c>
      <c r="Z394" s="426"/>
      <c r="AA394" s="426"/>
      <c r="AB394" s="426"/>
      <c r="AC394" s="426"/>
      <c r="AD394" s="426"/>
    </row>
    <row r="395" spans="1:30" x14ac:dyDescent="0.2">
      <c r="A395" s="426"/>
      <c r="B395" s="113">
        <v>61</v>
      </c>
      <c r="C395" s="432">
        <v>120.46</v>
      </c>
      <c r="D395" s="432">
        <v>121.93</v>
      </c>
      <c r="E395" s="432">
        <v>122.35</v>
      </c>
      <c r="F395" s="426"/>
      <c r="G395" s="426"/>
      <c r="H395" s="426"/>
      <c r="I395" s="426"/>
      <c r="J395" s="426"/>
      <c r="K395" s="426"/>
      <c r="L395" s="113">
        <v>61</v>
      </c>
      <c r="M395" s="432">
        <v>129.03</v>
      </c>
      <c r="N395" s="432">
        <v>130.66999999999999</v>
      </c>
      <c r="O395" s="432">
        <v>131.12</v>
      </c>
      <c r="P395" s="426"/>
      <c r="Q395" s="426"/>
      <c r="R395" s="426"/>
      <c r="S395" s="426"/>
      <c r="T395" s="426"/>
      <c r="U395" s="426"/>
      <c r="V395" s="113">
        <v>61</v>
      </c>
      <c r="W395" s="432">
        <v>137.80000000000001</v>
      </c>
      <c r="X395" s="432">
        <v>139.62</v>
      </c>
      <c r="Y395" s="432">
        <v>140.1</v>
      </c>
      <c r="Z395" s="426"/>
      <c r="AA395" s="426"/>
      <c r="AB395" s="426"/>
      <c r="AC395" s="426"/>
      <c r="AD395" s="426"/>
    </row>
    <row r="396" spans="1:30" x14ac:dyDescent="0.2">
      <c r="A396" s="426"/>
      <c r="B396" s="113">
        <v>62</v>
      </c>
      <c r="C396" s="432">
        <v>123.26</v>
      </c>
      <c r="D396" s="432">
        <v>124.76</v>
      </c>
      <c r="E396" s="432">
        <v>125.18</v>
      </c>
      <c r="F396" s="426"/>
      <c r="G396" s="426"/>
      <c r="H396" s="426"/>
      <c r="I396" s="426"/>
      <c r="J396" s="426"/>
      <c r="K396" s="426"/>
      <c r="L396" s="113">
        <v>62</v>
      </c>
      <c r="M396" s="432">
        <v>131.87</v>
      </c>
      <c r="N396" s="432">
        <v>133.55000000000001</v>
      </c>
      <c r="O396" s="432">
        <v>134</v>
      </c>
      <c r="P396" s="426"/>
      <c r="Q396" s="426"/>
      <c r="R396" s="426"/>
      <c r="S396" s="426"/>
      <c r="T396" s="426"/>
      <c r="U396" s="426"/>
      <c r="V396" s="113">
        <v>62</v>
      </c>
      <c r="W396" s="432">
        <v>140.58000000000001</v>
      </c>
      <c r="X396" s="432">
        <v>142.43</v>
      </c>
      <c r="Y396" s="432">
        <v>142.91999999999999</v>
      </c>
      <c r="Z396" s="426"/>
      <c r="AA396" s="426"/>
      <c r="AB396" s="426"/>
      <c r="AC396" s="426"/>
      <c r="AD396" s="426"/>
    </row>
    <row r="397" spans="1:30" x14ac:dyDescent="0.2">
      <c r="A397" s="426"/>
      <c r="B397" s="113">
        <v>63</v>
      </c>
      <c r="C397" s="432">
        <v>126.11</v>
      </c>
      <c r="D397" s="432">
        <v>127.65</v>
      </c>
      <c r="E397" s="432">
        <v>128.06</v>
      </c>
      <c r="F397" s="426"/>
      <c r="G397" s="426"/>
      <c r="H397" s="426"/>
      <c r="I397" s="426"/>
      <c r="J397" s="426"/>
      <c r="K397" s="426"/>
      <c r="L397" s="113">
        <v>63</v>
      </c>
      <c r="M397" s="432">
        <v>134.71</v>
      </c>
      <c r="N397" s="432">
        <v>136.41</v>
      </c>
      <c r="O397" s="432">
        <v>136.87</v>
      </c>
      <c r="P397" s="426"/>
      <c r="Q397" s="426"/>
      <c r="R397" s="426"/>
      <c r="S397" s="426"/>
      <c r="T397" s="426"/>
      <c r="U397" s="426"/>
      <c r="V397" s="113">
        <v>63</v>
      </c>
      <c r="W397" s="432">
        <v>143.28</v>
      </c>
      <c r="X397" s="432">
        <v>145.16</v>
      </c>
      <c r="Y397" s="432">
        <v>145.65</v>
      </c>
      <c r="Z397" s="426"/>
      <c r="AA397" s="426"/>
      <c r="AB397" s="426"/>
      <c r="AC397" s="426"/>
      <c r="AD397" s="426"/>
    </row>
    <row r="398" spans="1:30" x14ac:dyDescent="0.2">
      <c r="A398" s="426"/>
      <c r="B398" s="113">
        <v>64</v>
      </c>
      <c r="C398" s="432">
        <v>128.99</v>
      </c>
      <c r="D398" s="432">
        <v>130.56</v>
      </c>
      <c r="E398" s="432">
        <v>130.97999999999999</v>
      </c>
      <c r="F398" s="426"/>
      <c r="G398" s="426"/>
      <c r="H398" s="426"/>
      <c r="I398" s="426"/>
      <c r="J398" s="426"/>
      <c r="K398" s="426"/>
      <c r="L398" s="113">
        <v>64</v>
      </c>
      <c r="M398" s="432">
        <v>137.5</v>
      </c>
      <c r="N398" s="432">
        <v>139.24</v>
      </c>
      <c r="O398" s="432">
        <v>139.69</v>
      </c>
      <c r="P398" s="426"/>
      <c r="Q398" s="426"/>
      <c r="R398" s="426"/>
      <c r="S398" s="426"/>
      <c r="T398" s="426"/>
      <c r="U398" s="426"/>
      <c r="V398" s="113">
        <v>64</v>
      </c>
      <c r="W398" s="432">
        <v>145.85</v>
      </c>
      <c r="X398" s="432">
        <v>147.75</v>
      </c>
      <c r="Y398" s="432">
        <v>148.24</v>
      </c>
      <c r="Z398" s="426"/>
      <c r="AA398" s="426"/>
      <c r="AB398" s="426"/>
      <c r="AC398" s="426"/>
      <c r="AD398" s="426"/>
    </row>
    <row r="399" spans="1:30" x14ac:dyDescent="0.2">
      <c r="A399" s="426"/>
      <c r="B399" s="113">
        <v>65</v>
      </c>
      <c r="C399" s="432">
        <v>131.88</v>
      </c>
      <c r="D399" s="432">
        <v>133.47999999999999</v>
      </c>
      <c r="E399" s="432">
        <v>133.9</v>
      </c>
      <c r="F399" s="426"/>
      <c r="G399" s="426"/>
      <c r="H399" s="426"/>
      <c r="I399" s="426"/>
      <c r="J399" s="426"/>
      <c r="K399" s="426"/>
      <c r="L399" s="113">
        <v>65</v>
      </c>
      <c r="M399" s="432">
        <v>140.22</v>
      </c>
      <c r="N399" s="432">
        <v>141.99</v>
      </c>
      <c r="O399" s="432">
        <v>142.44</v>
      </c>
      <c r="P399" s="426"/>
      <c r="Q399" s="426"/>
      <c r="R399" s="426"/>
      <c r="S399" s="426"/>
      <c r="T399" s="426"/>
      <c r="U399" s="426"/>
      <c r="V399" s="113">
        <v>65</v>
      </c>
      <c r="W399" s="432">
        <v>148.25</v>
      </c>
      <c r="X399" s="432">
        <v>150.18</v>
      </c>
      <c r="Y399" s="432">
        <v>150.66999999999999</v>
      </c>
      <c r="Z399" s="426"/>
      <c r="AA399" s="426"/>
      <c r="AB399" s="426"/>
      <c r="AC399" s="426"/>
      <c r="AD399" s="426"/>
    </row>
    <row r="400" spans="1:30" x14ac:dyDescent="0.2">
      <c r="A400" s="426"/>
      <c r="B400" s="113">
        <v>66</v>
      </c>
      <c r="C400" s="432">
        <v>134.75</v>
      </c>
      <c r="D400" s="432">
        <v>136.37</v>
      </c>
      <c r="E400" s="432">
        <v>136.79</v>
      </c>
      <c r="F400" s="426"/>
      <c r="G400" s="426"/>
      <c r="H400" s="426"/>
      <c r="I400" s="426"/>
      <c r="J400" s="426"/>
      <c r="K400" s="426"/>
      <c r="L400" s="113">
        <v>66</v>
      </c>
      <c r="M400" s="432">
        <v>142.84</v>
      </c>
      <c r="N400" s="432">
        <v>144.63</v>
      </c>
      <c r="O400" s="432">
        <v>145.09</v>
      </c>
      <c r="P400" s="426"/>
      <c r="Q400" s="426"/>
      <c r="R400" s="426"/>
      <c r="S400" s="426"/>
      <c r="T400" s="426"/>
      <c r="U400" s="426"/>
      <c r="V400" s="113">
        <v>66</v>
      </c>
      <c r="W400" s="432">
        <v>150.44</v>
      </c>
      <c r="X400" s="432">
        <v>152.38999999999999</v>
      </c>
      <c r="Y400" s="432">
        <v>152.88</v>
      </c>
      <c r="Z400" s="426"/>
      <c r="AA400" s="426"/>
      <c r="AB400" s="426"/>
      <c r="AC400" s="426"/>
      <c r="AD400" s="426"/>
    </row>
    <row r="401" spans="1:30" x14ac:dyDescent="0.2">
      <c r="A401" s="426"/>
      <c r="B401" s="113">
        <v>67</v>
      </c>
      <c r="C401" s="432">
        <v>137.57</v>
      </c>
      <c r="D401" s="432">
        <v>139.22</v>
      </c>
      <c r="E401" s="432">
        <v>139.63999999999999</v>
      </c>
      <c r="F401" s="426"/>
      <c r="G401" s="426"/>
      <c r="H401" s="426"/>
      <c r="I401" s="426"/>
      <c r="J401" s="426"/>
      <c r="K401" s="426"/>
      <c r="L401" s="113">
        <v>67</v>
      </c>
      <c r="M401" s="432">
        <v>145.32</v>
      </c>
      <c r="N401" s="432">
        <v>147.13</v>
      </c>
      <c r="O401" s="432">
        <v>147.58000000000001</v>
      </c>
      <c r="P401" s="426"/>
      <c r="Q401" s="426"/>
      <c r="R401" s="426"/>
      <c r="S401" s="426"/>
      <c r="T401" s="426"/>
      <c r="U401" s="426"/>
      <c r="V401" s="113">
        <v>67</v>
      </c>
      <c r="W401" s="432">
        <v>152.38</v>
      </c>
      <c r="X401" s="432">
        <v>154.34</v>
      </c>
      <c r="Y401" s="432">
        <v>154.83000000000001</v>
      </c>
      <c r="Z401" s="426"/>
      <c r="AA401" s="426"/>
      <c r="AB401" s="426"/>
      <c r="AC401" s="426"/>
      <c r="AD401" s="426"/>
    </row>
    <row r="402" spans="1:30" x14ac:dyDescent="0.2">
      <c r="A402" s="426"/>
      <c r="B402" s="113">
        <v>68</v>
      </c>
      <c r="C402" s="432">
        <v>140.32</v>
      </c>
      <c r="D402" s="432">
        <v>141.99</v>
      </c>
      <c r="E402" s="432">
        <v>142.41</v>
      </c>
      <c r="F402" s="426"/>
      <c r="G402" s="426"/>
      <c r="H402" s="426"/>
      <c r="I402" s="426"/>
      <c r="J402" s="426"/>
      <c r="K402" s="426"/>
      <c r="L402" s="113">
        <v>68</v>
      </c>
      <c r="M402" s="432">
        <v>147.61000000000001</v>
      </c>
      <c r="N402" s="432">
        <v>149.44</v>
      </c>
      <c r="O402" s="432">
        <v>149.88999999999999</v>
      </c>
      <c r="P402" s="426"/>
      <c r="Q402" s="426"/>
      <c r="R402" s="426"/>
      <c r="S402" s="426"/>
      <c r="T402" s="426"/>
      <c r="U402" s="426"/>
      <c r="V402" s="113">
        <v>68</v>
      </c>
      <c r="W402" s="432">
        <v>154.02000000000001</v>
      </c>
      <c r="X402" s="432">
        <v>155.99</v>
      </c>
      <c r="Y402" s="432">
        <v>156.47</v>
      </c>
      <c r="Z402" s="426"/>
      <c r="AA402" s="426"/>
      <c r="AB402" s="426"/>
      <c r="AC402" s="426"/>
      <c r="AD402" s="426"/>
    </row>
    <row r="403" spans="1:30" x14ac:dyDescent="0.2">
      <c r="A403" s="426"/>
      <c r="B403" s="113">
        <v>69</v>
      </c>
      <c r="C403" s="432">
        <v>142.94999999999999</v>
      </c>
      <c r="D403" s="432">
        <v>144.63999999999999</v>
      </c>
      <c r="E403" s="432">
        <v>145.06</v>
      </c>
      <c r="F403" s="426"/>
      <c r="G403" s="426"/>
      <c r="H403" s="426"/>
      <c r="I403" s="426"/>
      <c r="J403" s="426"/>
      <c r="K403" s="426"/>
      <c r="L403" s="113">
        <v>69</v>
      </c>
      <c r="M403" s="432">
        <v>149.68</v>
      </c>
      <c r="N403" s="432">
        <v>151.52000000000001</v>
      </c>
      <c r="O403" s="432">
        <v>151.97999999999999</v>
      </c>
      <c r="P403" s="426"/>
      <c r="Q403" s="426"/>
      <c r="R403" s="426"/>
      <c r="S403" s="426"/>
      <c r="T403" s="426"/>
      <c r="U403" s="426"/>
      <c r="V403" s="113">
        <v>69</v>
      </c>
      <c r="W403" s="432">
        <v>155.31</v>
      </c>
      <c r="X403" s="432">
        <v>157.29</v>
      </c>
      <c r="Y403" s="432">
        <v>157.77000000000001</v>
      </c>
      <c r="Z403" s="426"/>
      <c r="AA403" s="426"/>
      <c r="AB403" s="426"/>
      <c r="AC403" s="426"/>
      <c r="AD403" s="426"/>
    </row>
    <row r="404" spans="1:30" x14ac:dyDescent="0.2">
      <c r="A404" s="426"/>
      <c r="B404" s="113">
        <v>70</v>
      </c>
      <c r="C404" s="432">
        <v>145.43</v>
      </c>
      <c r="D404" s="432">
        <v>147.13999999999999</v>
      </c>
      <c r="E404" s="432">
        <v>147.56</v>
      </c>
      <c r="F404" s="426"/>
      <c r="G404" s="426"/>
      <c r="H404" s="426"/>
      <c r="I404" s="426"/>
      <c r="J404" s="426"/>
      <c r="K404" s="426"/>
      <c r="L404" s="113">
        <v>70</v>
      </c>
      <c r="M404" s="432">
        <v>151.47999999999999</v>
      </c>
      <c r="N404" s="432">
        <v>153.33000000000001</v>
      </c>
      <c r="O404" s="432">
        <v>153.79</v>
      </c>
      <c r="P404" s="426"/>
      <c r="Q404" s="426"/>
      <c r="R404" s="426"/>
      <c r="S404" s="426"/>
      <c r="T404" s="426"/>
      <c r="U404" s="426"/>
      <c r="V404" s="113">
        <v>70</v>
      </c>
      <c r="W404" s="432">
        <v>156.22</v>
      </c>
      <c r="X404" s="432">
        <v>158.19</v>
      </c>
      <c r="Y404" s="432">
        <v>158.68</v>
      </c>
      <c r="Z404" s="426"/>
      <c r="AA404" s="426"/>
      <c r="AB404" s="426"/>
      <c r="AC404" s="426"/>
      <c r="AD404" s="426"/>
    </row>
    <row r="405" spans="1:30" x14ac:dyDescent="0.2">
      <c r="A405" s="426"/>
      <c r="B405" s="113">
        <v>71</v>
      </c>
      <c r="C405" s="432">
        <v>147.72</v>
      </c>
      <c r="D405" s="432">
        <v>149.44</v>
      </c>
      <c r="E405" s="432">
        <v>149.87</v>
      </c>
      <c r="F405" s="426"/>
      <c r="G405" s="426"/>
      <c r="H405" s="426"/>
      <c r="I405" s="426"/>
      <c r="J405" s="426"/>
      <c r="K405" s="426"/>
      <c r="L405" s="113">
        <v>71</v>
      </c>
      <c r="M405" s="432">
        <v>152.97</v>
      </c>
      <c r="N405" s="432">
        <v>154.82</v>
      </c>
      <c r="O405" s="432">
        <v>155.28</v>
      </c>
      <c r="P405" s="426"/>
      <c r="Q405" s="426"/>
      <c r="R405" s="426"/>
      <c r="S405" s="426"/>
      <c r="T405" s="426"/>
      <c r="U405" s="426"/>
      <c r="V405" s="113">
        <v>71</v>
      </c>
      <c r="W405" s="432">
        <v>156.71</v>
      </c>
      <c r="X405" s="432">
        <v>158.66999999999999</v>
      </c>
      <c r="Y405" s="432">
        <v>159.16</v>
      </c>
      <c r="Z405" s="426"/>
      <c r="AA405" s="426"/>
      <c r="AB405" s="426"/>
      <c r="AC405" s="426"/>
      <c r="AD405" s="426"/>
    </row>
    <row r="406" spans="1:30" x14ac:dyDescent="0.2">
      <c r="A406" s="426"/>
      <c r="B406" s="113">
        <v>72</v>
      </c>
      <c r="C406" s="432">
        <v>149.78</v>
      </c>
      <c r="D406" s="432">
        <v>151.51</v>
      </c>
      <c r="E406" s="432">
        <v>151.94</v>
      </c>
      <c r="F406" s="426"/>
      <c r="G406" s="426"/>
      <c r="H406" s="426"/>
      <c r="I406" s="426"/>
      <c r="J406" s="426"/>
      <c r="K406" s="426"/>
      <c r="L406" s="113">
        <v>72</v>
      </c>
      <c r="M406" s="432">
        <v>154.11000000000001</v>
      </c>
      <c r="N406" s="432">
        <v>155.96</v>
      </c>
      <c r="O406" s="432">
        <v>156.41999999999999</v>
      </c>
      <c r="P406" s="426"/>
      <c r="Q406" s="426"/>
      <c r="R406" s="426"/>
      <c r="S406" s="426"/>
      <c r="T406" s="426"/>
      <c r="U406" s="426"/>
      <c r="V406" s="113">
        <v>72</v>
      </c>
      <c r="W406" s="432">
        <v>156.74</v>
      </c>
      <c r="X406" s="432">
        <v>158.69</v>
      </c>
      <c r="Y406" s="432">
        <v>159.16999999999999</v>
      </c>
      <c r="Z406" s="426"/>
      <c r="AA406" s="426"/>
      <c r="AB406" s="426"/>
      <c r="AC406" s="426"/>
      <c r="AD406" s="426"/>
    </row>
    <row r="407" spans="1:30" x14ac:dyDescent="0.2">
      <c r="A407" s="426"/>
      <c r="B407" s="113">
        <v>73</v>
      </c>
      <c r="C407" s="432">
        <v>151.57</v>
      </c>
      <c r="D407" s="432">
        <v>153.31</v>
      </c>
      <c r="E407" s="432">
        <v>153.74</v>
      </c>
      <c r="F407" s="426"/>
      <c r="G407" s="426"/>
      <c r="H407" s="426"/>
      <c r="I407" s="426"/>
      <c r="J407" s="426"/>
      <c r="K407" s="426"/>
      <c r="L407" s="113">
        <v>73</v>
      </c>
      <c r="M407" s="432">
        <v>154.86000000000001</v>
      </c>
      <c r="N407" s="432">
        <v>156.71</v>
      </c>
      <c r="O407" s="432">
        <v>157.16</v>
      </c>
      <c r="P407" s="426"/>
      <c r="Q407" s="426"/>
      <c r="R407" s="426"/>
      <c r="S407" s="426"/>
      <c r="T407" s="426"/>
      <c r="U407" s="426"/>
      <c r="V407" s="113">
        <v>73</v>
      </c>
      <c r="W407" s="432">
        <v>156.29</v>
      </c>
      <c r="X407" s="432">
        <v>158.22999999999999</v>
      </c>
      <c r="Y407" s="432">
        <v>158.69999999999999</v>
      </c>
      <c r="Z407" s="426"/>
      <c r="AA407" s="426"/>
      <c r="AB407" s="426"/>
      <c r="AC407" s="426"/>
      <c r="AD407" s="426"/>
    </row>
    <row r="408" spans="1:30" x14ac:dyDescent="0.2">
      <c r="A408" s="426"/>
      <c r="B408" s="113">
        <v>74</v>
      </c>
      <c r="C408" s="432">
        <v>153.05000000000001</v>
      </c>
      <c r="D408" s="432">
        <v>154.79</v>
      </c>
      <c r="E408" s="432">
        <v>155.22</v>
      </c>
      <c r="F408" s="426"/>
      <c r="G408" s="426"/>
      <c r="H408" s="426"/>
      <c r="I408" s="426"/>
      <c r="J408" s="426"/>
      <c r="K408" s="426"/>
      <c r="L408" s="113">
        <v>74</v>
      </c>
      <c r="M408" s="432">
        <v>155.19</v>
      </c>
      <c r="N408" s="432">
        <v>157.03</v>
      </c>
      <c r="O408" s="432">
        <v>157.47999999999999</v>
      </c>
      <c r="P408" s="426"/>
      <c r="Q408" s="426"/>
      <c r="R408" s="426"/>
      <c r="S408" s="426"/>
      <c r="T408" s="426"/>
      <c r="U408" s="426"/>
      <c r="V408" s="113">
        <v>74</v>
      </c>
      <c r="W408" s="432">
        <v>155.34</v>
      </c>
      <c r="X408" s="432">
        <v>157.26</v>
      </c>
      <c r="Y408" s="432">
        <v>157.72999999999999</v>
      </c>
      <c r="Z408" s="426"/>
      <c r="AA408" s="426"/>
      <c r="AB408" s="426"/>
      <c r="AC408" s="426"/>
      <c r="AD408" s="426"/>
    </row>
    <row r="409" spans="1:30" x14ac:dyDescent="0.2">
      <c r="A409" s="426"/>
      <c r="B409" s="113">
        <v>75</v>
      </c>
      <c r="C409" s="432">
        <v>154.18</v>
      </c>
      <c r="D409" s="432">
        <v>155.91999999999999</v>
      </c>
      <c r="E409" s="432">
        <v>156.35</v>
      </c>
      <c r="F409" s="426"/>
      <c r="G409" s="426"/>
      <c r="H409" s="426"/>
      <c r="I409" s="426"/>
      <c r="J409" s="426"/>
      <c r="K409" s="426"/>
      <c r="L409" s="113">
        <v>75</v>
      </c>
      <c r="M409" s="432">
        <v>155.06</v>
      </c>
      <c r="N409" s="432">
        <v>156.9</v>
      </c>
      <c r="O409" s="432">
        <v>157.35</v>
      </c>
      <c r="P409" s="426"/>
      <c r="Q409" s="426"/>
      <c r="R409" s="426"/>
      <c r="S409" s="426"/>
      <c r="T409" s="426"/>
      <c r="U409" s="426"/>
      <c r="V409" s="113">
        <v>75</v>
      </c>
      <c r="W409" s="432">
        <v>153.88</v>
      </c>
      <c r="X409" s="432">
        <v>155.78</v>
      </c>
      <c r="Y409" s="432">
        <v>156.24</v>
      </c>
      <c r="Z409" s="426"/>
      <c r="AA409" s="426"/>
      <c r="AB409" s="426"/>
      <c r="AC409" s="426"/>
      <c r="AD409" s="426"/>
    </row>
    <row r="410" spans="1:30" x14ac:dyDescent="0.2">
      <c r="A410" s="426"/>
      <c r="B410" s="113">
        <v>76</v>
      </c>
      <c r="C410" s="432">
        <v>154.91999999999999</v>
      </c>
      <c r="D410" s="432">
        <v>156.66</v>
      </c>
      <c r="E410" s="432">
        <v>157.09</v>
      </c>
      <c r="F410" s="426"/>
      <c r="G410" s="426"/>
      <c r="H410" s="426"/>
      <c r="I410" s="426"/>
      <c r="J410" s="426"/>
      <c r="K410" s="426"/>
      <c r="L410" s="113">
        <v>76</v>
      </c>
      <c r="M410" s="432">
        <v>154.46</v>
      </c>
      <c r="N410" s="432">
        <v>156.28</v>
      </c>
      <c r="O410" s="432">
        <v>156.72999999999999</v>
      </c>
      <c r="P410" s="426"/>
      <c r="Q410" s="426"/>
      <c r="R410" s="426"/>
      <c r="S410" s="426"/>
      <c r="T410" s="426"/>
      <c r="U410" s="426"/>
      <c r="V410" s="113">
        <v>76</v>
      </c>
      <c r="W410" s="432">
        <v>151.91</v>
      </c>
      <c r="X410" s="432">
        <v>153.78</v>
      </c>
      <c r="Y410" s="432">
        <v>154.24</v>
      </c>
      <c r="Z410" s="426"/>
      <c r="AA410" s="426"/>
      <c r="AB410" s="426"/>
      <c r="AC410" s="426"/>
      <c r="AD410" s="426"/>
    </row>
    <row r="411" spans="1:30" x14ac:dyDescent="0.2">
      <c r="A411" s="426"/>
      <c r="B411" s="113">
        <v>77</v>
      </c>
      <c r="C411" s="432">
        <v>155.25</v>
      </c>
      <c r="D411" s="432">
        <v>156.97999999999999</v>
      </c>
      <c r="E411" s="432">
        <v>157.41</v>
      </c>
      <c r="F411" s="426"/>
      <c r="G411" s="426"/>
      <c r="H411" s="426"/>
      <c r="I411" s="426"/>
      <c r="J411" s="426"/>
      <c r="K411" s="426"/>
      <c r="L411" s="113">
        <v>77</v>
      </c>
      <c r="M411" s="432">
        <v>153.37</v>
      </c>
      <c r="N411" s="432">
        <v>155.16999999999999</v>
      </c>
      <c r="O411" s="432">
        <v>155.62</v>
      </c>
      <c r="P411" s="426"/>
      <c r="Q411" s="426"/>
      <c r="R411" s="426"/>
      <c r="S411" s="426"/>
      <c r="T411" s="426"/>
      <c r="U411" s="426"/>
      <c r="V411" s="113">
        <v>77</v>
      </c>
      <c r="W411" s="432">
        <v>149.44999999999999</v>
      </c>
      <c r="X411" s="432">
        <v>151.29</v>
      </c>
      <c r="Y411" s="432">
        <v>151.74</v>
      </c>
      <c r="Z411" s="426"/>
      <c r="AA411" s="426"/>
      <c r="AB411" s="426"/>
      <c r="AC411" s="426"/>
      <c r="AD411" s="426"/>
    </row>
    <row r="412" spans="1:30" x14ac:dyDescent="0.2">
      <c r="A412" s="426"/>
      <c r="B412" s="113">
        <v>78</v>
      </c>
      <c r="C412" s="432">
        <v>155.12</v>
      </c>
      <c r="D412" s="432">
        <v>156.85</v>
      </c>
      <c r="E412" s="432">
        <v>157.28</v>
      </c>
      <c r="F412" s="426"/>
      <c r="G412" s="426"/>
      <c r="H412" s="426"/>
      <c r="I412" s="426"/>
      <c r="J412" s="426"/>
      <c r="K412" s="426"/>
      <c r="L412" s="113">
        <v>78</v>
      </c>
      <c r="M412" s="432">
        <v>151.79</v>
      </c>
      <c r="N412" s="432">
        <v>153.57</v>
      </c>
      <c r="O412" s="432">
        <v>154.01</v>
      </c>
      <c r="P412" s="426"/>
      <c r="Q412" s="426"/>
      <c r="R412" s="426"/>
      <c r="S412" s="426"/>
      <c r="T412" s="426"/>
      <c r="U412" s="426"/>
      <c r="V412" s="113">
        <v>78</v>
      </c>
      <c r="W412" s="432">
        <v>146.51</v>
      </c>
      <c r="X412" s="432">
        <v>148.31</v>
      </c>
      <c r="Y412" s="432">
        <v>148.76</v>
      </c>
      <c r="Z412" s="426"/>
      <c r="AA412" s="426"/>
      <c r="AB412" s="426"/>
      <c r="AC412" s="426"/>
      <c r="AD412" s="426"/>
    </row>
    <row r="413" spans="1:30" x14ac:dyDescent="0.2">
      <c r="A413" s="426"/>
      <c r="B413" s="113">
        <v>79</v>
      </c>
      <c r="C413" s="432">
        <v>154.53</v>
      </c>
      <c r="D413" s="432">
        <v>156.24</v>
      </c>
      <c r="E413" s="432">
        <v>156.66999999999999</v>
      </c>
      <c r="F413" s="426"/>
      <c r="G413" s="426"/>
      <c r="H413" s="426"/>
      <c r="I413" s="426"/>
      <c r="J413" s="426"/>
      <c r="K413" s="426"/>
      <c r="L413" s="113">
        <v>79</v>
      </c>
      <c r="M413" s="432">
        <v>149.71</v>
      </c>
      <c r="N413" s="432">
        <v>151.46</v>
      </c>
      <c r="O413" s="432">
        <v>151.9</v>
      </c>
      <c r="P413" s="426"/>
      <c r="Q413" s="426"/>
      <c r="R413" s="426"/>
      <c r="S413" s="426"/>
      <c r="T413" s="426"/>
      <c r="U413" s="426"/>
      <c r="V413" s="113">
        <v>79</v>
      </c>
      <c r="W413" s="432">
        <v>143.12</v>
      </c>
      <c r="X413" s="432">
        <v>144.88</v>
      </c>
      <c r="Y413" s="432">
        <v>145.33000000000001</v>
      </c>
      <c r="Z413" s="426"/>
      <c r="AA413" s="426"/>
      <c r="AB413" s="426"/>
      <c r="AC413" s="426"/>
      <c r="AD413" s="426"/>
    </row>
    <row r="414" spans="1:30" x14ac:dyDescent="0.2">
      <c r="A414" s="426"/>
      <c r="B414" s="113">
        <v>80</v>
      </c>
      <c r="C414" s="432">
        <v>153.44999999999999</v>
      </c>
      <c r="D414" s="432">
        <v>155.15</v>
      </c>
      <c r="E414" s="432">
        <v>155.58000000000001</v>
      </c>
      <c r="F414" s="426"/>
      <c r="G414" s="426"/>
      <c r="H414" s="426"/>
      <c r="I414" s="426"/>
      <c r="J414" s="426"/>
      <c r="K414" s="426"/>
      <c r="L414" s="113">
        <v>80</v>
      </c>
      <c r="M414" s="432">
        <v>147.15</v>
      </c>
      <c r="N414" s="432">
        <v>148.88</v>
      </c>
      <c r="O414" s="432">
        <v>149.32</v>
      </c>
      <c r="P414" s="426"/>
      <c r="Q414" s="426"/>
      <c r="R414" s="426"/>
      <c r="S414" s="426"/>
      <c r="T414" s="426"/>
      <c r="U414" s="426"/>
      <c r="V414" s="113">
        <v>80</v>
      </c>
      <c r="W414" s="432">
        <v>139.32</v>
      </c>
      <c r="X414" s="432">
        <v>141.04</v>
      </c>
      <c r="Y414" s="432">
        <v>141.47999999999999</v>
      </c>
      <c r="Z414" s="426"/>
      <c r="AA414" s="426"/>
      <c r="AB414" s="426"/>
      <c r="AC414" s="426"/>
      <c r="AD414" s="426"/>
    </row>
    <row r="415" spans="1:30" x14ac:dyDescent="0.2">
      <c r="A415" s="426"/>
      <c r="B415" s="113">
        <v>81</v>
      </c>
      <c r="C415" s="432">
        <v>151.88999999999999</v>
      </c>
      <c r="D415" s="432">
        <v>153.57</v>
      </c>
      <c r="E415" s="432">
        <v>154</v>
      </c>
      <c r="F415" s="426"/>
      <c r="G415" s="426"/>
      <c r="H415" s="426"/>
      <c r="I415" s="426"/>
      <c r="J415" s="426"/>
      <c r="K415" s="426"/>
      <c r="L415" s="113">
        <v>81</v>
      </c>
      <c r="M415" s="432">
        <v>144.13999999999999</v>
      </c>
      <c r="N415" s="432">
        <v>145.83000000000001</v>
      </c>
      <c r="O415" s="432">
        <v>146.26</v>
      </c>
      <c r="P415" s="426"/>
      <c r="Q415" s="426"/>
      <c r="R415" s="426"/>
      <c r="S415" s="426"/>
      <c r="T415" s="426"/>
      <c r="U415" s="426"/>
      <c r="V415" s="113">
        <v>81</v>
      </c>
      <c r="W415" s="432">
        <v>135.15</v>
      </c>
      <c r="X415" s="432">
        <v>136.83000000000001</v>
      </c>
      <c r="Y415" s="432">
        <v>137.26</v>
      </c>
      <c r="Z415" s="426"/>
      <c r="AA415" s="426"/>
      <c r="AB415" s="426"/>
      <c r="AC415" s="426"/>
      <c r="AD415" s="426"/>
    </row>
    <row r="416" spans="1:30" x14ac:dyDescent="0.2">
      <c r="A416" s="426"/>
      <c r="B416" s="113">
        <v>82</v>
      </c>
      <c r="C416" s="432">
        <v>149.84</v>
      </c>
      <c r="D416" s="432">
        <v>151.5</v>
      </c>
      <c r="E416" s="432">
        <v>151.93</v>
      </c>
      <c r="F416" s="426"/>
      <c r="G416" s="426"/>
      <c r="H416" s="426"/>
      <c r="I416" s="426"/>
      <c r="J416" s="426"/>
      <c r="K416" s="426"/>
      <c r="L416" s="113">
        <v>82</v>
      </c>
      <c r="M416" s="432">
        <v>140.69</v>
      </c>
      <c r="N416" s="432">
        <v>142.36000000000001</v>
      </c>
      <c r="O416" s="432">
        <v>142.78</v>
      </c>
      <c r="P416" s="426"/>
      <c r="Q416" s="426"/>
      <c r="R416" s="426"/>
      <c r="S416" s="426"/>
      <c r="T416" s="426"/>
      <c r="U416" s="426"/>
      <c r="V416" s="113">
        <v>82</v>
      </c>
      <c r="W416" s="432">
        <v>130.66</v>
      </c>
      <c r="X416" s="432">
        <v>132.30000000000001</v>
      </c>
      <c r="Y416" s="432">
        <v>132.72999999999999</v>
      </c>
      <c r="Z416" s="426"/>
      <c r="AA416" s="426"/>
      <c r="AB416" s="426"/>
      <c r="AC416" s="426"/>
      <c r="AD416" s="426"/>
    </row>
    <row r="417" spans="1:30" x14ac:dyDescent="0.2">
      <c r="A417" s="426"/>
      <c r="B417" s="113">
        <v>83</v>
      </c>
      <c r="C417" s="432">
        <v>147.32</v>
      </c>
      <c r="D417" s="432">
        <v>148.96</v>
      </c>
      <c r="E417" s="432">
        <v>149.38</v>
      </c>
      <c r="F417" s="426"/>
      <c r="G417" s="426"/>
      <c r="H417" s="426"/>
      <c r="I417" s="426"/>
      <c r="J417" s="426"/>
      <c r="K417" s="426"/>
      <c r="L417" s="113">
        <v>83</v>
      </c>
      <c r="M417" s="432">
        <v>136.86000000000001</v>
      </c>
      <c r="N417" s="432">
        <v>138.49</v>
      </c>
      <c r="O417" s="432">
        <v>138.91</v>
      </c>
      <c r="P417" s="426"/>
      <c r="Q417" s="426"/>
      <c r="R417" s="426"/>
      <c r="S417" s="426"/>
      <c r="T417" s="426"/>
      <c r="U417" s="426"/>
      <c r="V417" s="113">
        <v>83</v>
      </c>
      <c r="W417" s="432">
        <v>125.91</v>
      </c>
      <c r="X417" s="432">
        <v>127.51</v>
      </c>
      <c r="Y417" s="432">
        <v>127.92</v>
      </c>
      <c r="Z417" s="426"/>
      <c r="AA417" s="426"/>
      <c r="AB417" s="426"/>
      <c r="AC417" s="426"/>
      <c r="AD417" s="426"/>
    </row>
    <row r="418" spans="1:30" x14ac:dyDescent="0.2">
      <c r="A418" s="426"/>
      <c r="B418" s="113">
        <v>84</v>
      </c>
      <c r="C418" s="432">
        <v>144.35</v>
      </c>
      <c r="D418" s="432">
        <v>145.96</v>
      </c>
      <c r="E418" s="432">
        <v>146.38</v>
      </c>
      <c r="F418" s="426"/>
      <c r="G418" s="426"/>
      <c r="H418" s="426"/>
      <c r="I418" s="426"/>
      <c r="J418" s="426"/>
      <c r="K418" s="426"/>
      <c r="L418" s="113">
        <v>84</v>
      </c>
      <c r="M418" s="432">
        <v>132.66999999999999</v>
      </c>
      <c r="N418" s="432">
        <v>134.27000000000001</v>
      </c>
      <c r="O418" s="432">
        <v>134.68</v>
      </c>
      <c r="P418" s="426"/>
      <c r="Q418" s="426"/>
      <c r="R418" s="426"/>
      <c r="S418" s="426"/>
      <c r="T418" s="426"/>
      <c r="U418" s="426"/>
      <c r="V418" s="113">
        <v>84</v>
      </c>
      <c r="W418" s="432">
        <v>120.95</v>
      </c>
      <c r="X418" s="432">
        <v>122.5</v>
      </c>
      <c r="Y418" s="432">
        <v>122.91</v>
      </c>
      <c r="Z418" s="426"/>
      <c r="AA418" s="426"/>
      <c r="AB418" s="426"/>
      <c r="AC418" s="426"/>
      <c r="AD418" s="426"/>
    </row>
    <row r="419" spans="1:30" x14ac:dyDescent="0.2">
      <c r="A419" s="426"/>
      <c r="B419" s="113">
        <v>85</v>
      </c>
      <c r="C419" s="432">
        <v>140.96</v>
      </c>
      <c r="D419" s="432">
        <v>142.54</v>
      </c>
      <c r="E419" s="432">
        <v>142.96</v>
      </c>
      <c r="F419" s="426"/>
      <c r="G419" s="426"/>
      <c r="H419" s="426"/>
      <c r="I419" s="426"/>
      <c r="J419" s="426"/>
      <c r="K419" s="426"/>
      <c r="L419" s="113">
        <v>85</v>
      </c>
      <c r="M419" s="432">
        <v>128.18</v>
      </c>
      <c r="N419" s="432">
        <v>129.74</v>
      </c>
      <c r="O419" s="432">
        <v>130.15</v>
      </c>
      <c r="P419" s="426"/>
      <c r="Q419" s="426"/>
      <c r="R419" s="426"/>
      <c r="S419" s="426"/>
      <c r="T419" s="426"/>
      <c r="U419" s="426"/>
      <c r="V419" s="113">
        <v>85</v>
      </c>
      <c r="W419" s="432">
        <v>115.83</v>
      </c>
      <c r="X419" s="432">
        <v>117.34</v>
      </c>
      <c r="Y419" s="432">
        <v>117.74</v>
      </c>
      <c r="Z419" s="426"/>
      <c r="AA419" s="426"/>
      <c r="AB419" s="426"/>
      <c r="AC419" s="426"/>
      <c r="AD419" s="426"/>
    </row>
    <row r="420" spans="1:30" x14ac:dyDescent="0.2">
      <c r="A420" s="426"/>
      <c r="B420" s="113">
        <v>86</v>
      </c>
      <c r="C420" s="432">
        <v>137.16999999999999</v>
      </c>
      <c r="D420" s="432">
        <v>138.72999999999999</v>
      </c>
      <c r="E420" s="432">
        <v>139.13999999999999</v>
      </c>
      <c r="F420" s="426"/>
      <c r="G420" s="426"/>
      <c r="H420" s="426"/>
      <c r="I420" s="426"/>
      <c r="J420" s="426"/>
      <c r="K420" s="426"/>
      <c r="L420" s="113">
        <v>86</v>
      </c>
      <c r="M420" s="432">
        <v>123.45</v>
      </c>
      <c r="N420" s="432">
        <v>124.97</v>
      </c>
      <c r="O420" s="432">
        <v>125.37</v>
      </c>
      <c r="P420" s="426"/>
      <c r="Q420" s="426"/>
      <c r="R420" s="426"/>
      <c r="S420" s="426"/>
      <c r="T420" s="426"/>
      <c r="U420" s="426"/>
      <c r="V420" s="113">
        <v>86</v>
      </c>
      <c r="W420" s="432">
        <v>110.6</v>
      </c>
      <c r="X420" s="432">
        <v>112.07</v>
      </c>
      <c r="Y420" s="432">
        <v>112.46</v>
      </c>
      <c r="Z420" s="426"/>
      <c r="AA420" s="426"/>
      <c r="AB420" s="426"/>
      <c r="AC420" s="426"/>
      <c r="AD420" s="426"/>
    </row>
    <row r="421" spans="1:30" x14ac:dyDescent="0.2">
      <c r="A421" s="426"/>
      <c r="B421" s="113">
        <v>87</v>
      </c>
      <c r="C421" s="432">
        <v>133.04</v>
      </c>
      <c r="D421" s="432">
        <v>134.57</v>
      </c>
      <c r="E421" s="432">
        <v>134.97</v>
      </c>
      <c r="F421" s="426"/>
      <c r="G421" s="426"/>
      <c r="H421" s="426"/>
      <c r="I421" s="426"/>
      <c r="J421" s="426"/>
      <c r="K421" s="426"/>
      <c r="L421" s="113">
        <v>87</v>
      </c>
      <c r="M421" s="432">
        <v>118.51</v>
      </c>
      <c r="N421" s="432">
        <v>119.99</v>
      </c>
      <c r="O421" s="432">
        <v>120.39</v>
      </c>
      <c r="P421" s="426"/>
      <c r="Q421" s="426"/>
      <c r="R421" s="426"/>
      <c r="S421" s="426"/>
      <c r="T421" s="426"/>
      <c r="U421" s="426"/>
      <c r="V421" s="113">
        <v>87</v>
      </c>
      <c r="W421" s="432">
        <v>105.32</v>
      </c>
      <c r="X421" s="432">
        <v>106.74</v>
      </c>
      <c r="Y421" s="432">
        <v>107.13</v>
      </c>
      <c r="Z421" s="426"/>
      <c r="AA421" s="426"/>
      <c r="AB421" s="426"/>
      <c r="AC421" s="426"/>
      <c r="AD421" s="426"/>
    </row>
    <row r="422" spans="1:30" x14ac:dyDescent="0.2">
      <c r="A422" s="426"/>
      <c r="B422" s="113">
        <v>88</v>
      </c>
      <c r="C422" s="432">
        <v>128.6</v>
      </c>
      <c r="D422" s="432">
        <v>130.1</v>
      </c>
      <c r="E422" s="432">
        <v>130.5</v>
      </c>
      <c r="F422" s="426"/>
      <c r="G422" s="426"/>
      <c r="H422" s="426"/>
      <c r="I422" s="426"/>
      <c r="J422" s="426"/>
      <c r="K422" s="426"/>
      <c r="L422" s="113">
        <v>88</v>
      </c>
      <c r="M422" s="432">
        <v>113.43</v>
      </c>
      <c r="N422" s="432">
        <v>114.87</v>
      </c>
      <c r="O422" s="432">
        <v>115.26</v>
      </c>
      <c r="P422" s="426"/>
      <c r="Q422" s="426"/>
      <c r="R422" s="426"/>
      <c r="S422" s="426"/>
      <c r="T422" s="426"/>
      <c r="U422" s="426"/>
      <c r="V422" s="113">
        <v>88</v>
      </c>
      <c r="W422" s="432">
        <v>100.04</v>
      </c>
      <c r="X422" s="432">
        <v>101.41</v>
      </c>
      <c r="Y422" s="432">
        <v>101.79</v>
      </c>
      <c r="Z422" s="426"/>
      <c r="AA422" s="426"/>
      <c r="AB422" s="426"/>
      <c r="AC422" s="426"/>
      <c r="AD422" s="426"/>
    </row>
    <row r="423" spans="1:30" x14ac:dyDescent="0.2">
      <c r="A423" s="426"/>
      <c r="B423" s="113">
        <v>89</v>
      </c>
      <c r="C423" s="432">
        <v>123.92</v>
      </c>
      <c r="D423" s="432">
        <v>125.38</v>
      </c>
      <c r="E423" s="432">
        <v>125.78</v>
      </c>
      <c r="F423" s="426"/>
      <c r="G423" s="426"/>
      <c r="H423" s="426"/>
      <c r="I423" s="426"/>
      <c r="J423" s="426"/>
      <c r="K423" s="426"/>
      <c r="L423" s="113">
        <v>89</v>
      </c>
      <c r="M423" s="432">
        <v>108.25</v>
      </c>
      <c r="N423" s="432">
        <v>109.65</v>
      </c>
      <c r="O423" s="432">
        <v>110.04</v>
      </c>
      <c r="P423" s="426"/>
      <c r="Q423" s="426"/>
      <c r="R423" s="426"/>
      <c r="S423" s="426"/>
      <c r="T423" s="426"/>
      <c r="U423" s="426"/>
      <c r="V423" s="113">
        <v>89</v>
      </c>
      <c r="W423" s="432">
        <v>94.78</v>
      </c>
      <c r="X423" s="432">
        <v>96.11</v>
      </c>
      <c r="Y423" s="432">
        <v>96.48</v>
      </c>
      <c r="Z423" s="426"/>
      <c r="AA423" s="426"/>
      <c r="AB423" s="426"/>
      <c r="AC423" s="426"/>
      <c r="AD423" s="426"/>
    </row>
    <row r="424" spans="1:30" x14ac:dyDescent="0.2">
      <c r="A424" s="426"/>
      <c r="B424" s="113">
        <v>90</v>
      </c>
      <c r="C424" s="432">
        <v>119.02</v>
      </c>
      <c r="D424" s="432">
        <v>120.46</v>
      </c>
      <c r="E424" s="432">
        <v>120.85</v>
      </c>
      <c r="F424" s="426"/>
      <c r="G424" s="426"/>
      <c r="H424" s="426"/>
      <c r="I424" s="426"/>
      <c r="J424" s="426"/>
      <c r="K424" s="426"/>
      <c r="L424" s="113">
        <v>90</v>
      </c>
      <c r="M424" s="432">
        <v>103.02</v>
      </c>
      <c r="N424" s="432">
        <v>104.39</v>
      </c>
      <c r="O424" s="432">
        <v>104.77</v>
      </c>
      <c r="P424" s="426"/>
      <c r="Q424" s="426"/>
      <c r="R424" s="426"/>
      <c r="S424" s="426"/>
      <c r="T424" s="426"/>
      <c r="U424" s="426"/>
      <c r="V424" s="113">
        <v>90</v>
      </c>
      <c r="W424" s="432">
        <v>89.6</v>
      </c>
      <c r="X424" s="432">
        <v>90.88</v>
      </c>
      <c r="Y424" s="432">
        <v>91.25</v>
      </c>
      <c r="Z424" s="426"/>
      <c r="AA424" s="426"/>
      <c r="AB424" s="426"/>
      <c r="AC424" s="426"/>
      <c r="AD424" s="426"/>
    </row>
    <row r="425" spans="1:30" x14ac:dyDescent="0.2">
      <c r="A425" s="426"/>
      <c r="B425" s="113">
        <v>91</v>
      </c>
      <c r="C425" s="432">
        <v>113.98</v>
      </c>
      <c r="D425" s="432">
        <v>115.38</v>
      </c>
      <c r="E425" s="432">
        <v>115.77</v>
      </c>
      <c r="F425" s="426"/>
      <c r="G425" s="426"/>
      <c r="H425" s="426"/>
      <c r="I425" s="426"/>
      <c r="J425" s="426"/>
      <c r="K425" s="426"/>
      <c r="L425" s="113">
        <v>91</v>
      </c>
      <c r="M425" s="432">
        <v>97.79</v>
      </c>
      <c r="N425" s="432">
        <v>99.12</v>
      </c>
      <c r="O425" s="432">
        <v>99.49</v>
      </c>
      <c r="P425" s="426"/>
      <c r="Q425" s="426"/>
      <c r="R425" s="426"/>
      <c r="S425" s="426"/>
      <c r="T425" s="426"/>
      <c r="U425" s="426"/>
      <c r="V425" s="113">
        <v>91</v>
      </c>
      <c r="W425" s="432">
        <v>84.51</v>
      </c>
      <c r="X425" s="432">
        <v>85.76</v>
      </c>
      <c r="Y425" s="432">
        <v>86.12</v>
      </c>
      <c r="Z425" s="426"/>
      <c r="AA425" s="426"/>
      <c r="AB425" s="426"/>
      <c r="AC425" s="426"/>
      <c r="AD425" s="426"/>
    </row>
    <row r="426" spans="1:30" x14ac:dyDescent="0.2">
      <c r="A426" s="426"/>
      <c r="B426" s="113">
        <v>92</v>
      </c>
      <c r="C426" s="432">
        <v>108.83</v>
      </c>
      <c r="D426" s="432">
        <v>110.2</v>
      </c>
      <c r="E426" s="432">
        <v>110.59</v>
      </c>
      <c r="F426" s="426"/>
      <c r="G426" s="426"/>
      <c r="H426" s="426"/>
      <c r="I426" s="426"/>
      <c r="J426" s="426"/>
      <c r="K426" s="426"/>
      <c r="L426" s="113">
        <v>92</v>
      </c>
      <c r="M426" s="432">
        <v>92.59</v>
      </c>
      <c r="N426" s="432">
        <v>93.88</v>
      </c>
      <c r="O426" s="432">
        <v>94.25</v>
      </c>
      <c r="P426" s="426"/>
      <c r="Q426" s="426"/>
      <c r="R426" s="426"/>
      <c r="S426" s="426"/>
      <c r="T426" s="426"/>
      <c r="U426" s="426"/>
      <c r="V426" s="113">
        <v>92</v>
      </c>
      <c r="W426" s="432">
        <v>79.56</v>
      </c>
      <c r="X426" s="432">
        <v>80.77</v>
      </c>
      <c r="Y426" s="432">
        <v>81.12</v>
      </c>
      <c r="Z426" s="426"/>
      <c r="AA426" s="426"/>
      <c r="AB426" s="426"/>
      <c r="AC426" s="426"/>
      <c r="AD426" s="426"/>
    </row>
    <row r="427" spans="1:30" x14ac:dyDescent="0.2">
      <c r="A427" s="426"/>
      <c r="B427" s="113">
        <v>93</v>
      </c>
      <c r="C427" s="432">
        <v>103.63</v>
      </c>
      <c r="D427" s="432">
        <v>104.97</v>
      </c>
      <c r="E427" s="432">
        <v>105.35</v>
      </c>
      <c r="F427" s="426"/>
      <c r="G427" s="426"/>
      <c r="H427" s="426"/>
      <c r="I427" s="426"/>
      <c r="J427" s="426"/>
      <c r="K427" s="426"/>
      <c r="L427" s="113">
        <v>93</v>
      </c>
      <c r="M427" s="432">
        <v>87.47</v>
      </c>
      <c r="N427" s="432">
        <v>88.72</v>
      </c>
      <c r="O427" s="432">
        <v>89.08</v>
      </c>
      <c r="P427" s="426"/>
      <c r="Q427" s="426"/>
      <c r="R427" s="426"/>
      <c r="S427" s="426"/>
      <c r="T427" s="426"/>
      <c r="U427" s="426"/>
      <c r="V427" s="113">
        <v>93</v>
      </c>
      <c r="W427" s="432">
        <v>74.75</v>
      </c>
      <c r="X427" s="432">
        <v>75.930000000000007</v>
      </c>
      <c r="Y427" s="432">
        <v>76.28</v>
      </c>
      <c r="Z427" s="426"/>
      <c r="AA427" s="426"/>
      <c r="AB427" s="426"/>
      <c r="AC427" s="426"/>
      <c r="AD427" s="426"/>
    </row>
    <row r="428" spans="1:30" x14ac:dyDescent="0.2">
      <c r="A428" s="426"/>
      <c r="B428" s="113">
        <v>94</v>
      </c>
      <c r="C428" s="432">
        <v>98.42</v>
      </c>
      <c r="D428" s="432">
        <v>99.73</v>
      </c>
      <c r="E428" s="432">
        <v>100.11</v>
      </c>
      <c r="F428" s="426"/>
      <c r="G428" s="426"/>
      <c r="H428" s="426"/>
      <c r="I428" s="426"/>
      <c r="J428" s="426"/>
      <c r="K428" s="426"/>
      <c r="L428" s="113">
        <v>94</v>
      </c>
      <c r="M428" s="432">
        <v>82.45</v>
      </c>
      <c r="N428" s="432">
        <v>83.67</v>
      </c>
      <c r="O428" s="432">
        <v>84.03</v>
      </c>
      <c r="P428" s="426"/>
      <c r="Q428" s="426"/>
      <c r="R428" s="426"/>
      <c r="S428" s="426"/>
      <c r="T428" s="426"/>
      <c r="U428" s="426"/>
      <c r="V428" s="113">
        <v>94</v>
      </c>
      <c r="W428" s="432">
        <v>70.12</v>
      </c>
      <c r="X428" s="432">
        <v>71.27</v>
      </c>
      <c r="Y428" s="432">
        <v>71.61</v>
      </c>
      <c r="Z428" s="426"/>
      <c r="AA428" s="426"/>
      <c r="AB428" s="426"/>
      <c r="AC428" s="426"/>
      <c r="AD428" s="426"/>
    </row>
    <row r="429" spans="1:30" x14ac:dyDescent="0.2">
      <c r="A429" s="426"/>
      <c r="B429" s="113">
        <v>95</v>
      </c>
      <c r="C429" s="432">
        <v>93.25</v>
      </c>
      <c r="D429" s="432">
        <v>94.52</v>
      </c>
      <c r="E429" s="432">
        <v>94.89</v>
      </c>
      <c r="F429" s="426"/>
      <c r="G429" s="426"/>
      <c r="H429" s="426"/>
      <c r="I429" s="426"/>
      <c r="J429" s="426"/>
      <c r="K429" s="426"/>
      <c r="L429" s="113">
        <v>95</v>
      </c>
      <c r="M429" s="432">
        <v>77.56</v>
      </c>
      <c r="N429" s="432">
        <v>78.75</v>
      </c>
      <c r="O429" s="432">
        <v>79.099999999999994</v>
      </c>
      <c r="P429" s="426"/>
      <c r="Q429" s="426"/>
      <c r="R429" s="426"/>
      <c r="S429" s="426"/>
      <c r="T429" s="426"/>
      <c r="U429" s="426"/>
      <c r="V429" s="113">
        <v>95</v>
      </c>
      <c r="W429" s="432">
        <v>65.67</v>
      </c>
      <c r="X429" s="432">
        <v>66.8</v>
      </c>
      <c r="Y429" s="432">
        <v>67.13</v>
      </c>
      <c r="Z429" s="426"/>
      <c r="AA429" s="426"/>
      <c r="AB429" s="426"/>
      <c r="AC429" s="426"/>
      <c r="AD429" s="426"/>
    </row>
    <row r="430" spans="1:30" x14ac:dyDescent="0.2">
      <c r="A430" s="426"/>
      <c r="B430" s="113">
        <v>96</v>
      </c>
      <c r="C430" s="432">
        <v>88.15</v>
      </c>
      <c r="D430" s="432">
        <v>89.39</v>
      </c>
      <c r="E430" s="432">
        <v>89.76</v>
      </c>
      <c r="F430" s="426"/>
      <c r="G430" s="426"/>
      <c r="H430" s="426"/>
      <c r="I430" s="426"/>
      <c r="J430" s="426"/>
      <c r="K430" s="426"/>
      <c r="L430" s="113">
        <v>96</v>
      </c>
      <c r="M430" s="432">
        <v>72.83</v>
      </c>
      <c r="N430" s="432">
        <v>73.989999999999995</v>
      </c>
      <c r="O430" s="432">
        <v>74.34</v>
      </c>
      <c r="P430" s="426"/>
      <c r="Q430" s="426"/>
      <c r="R430" s="426"/>
      <c r="S430" s="426"/>
      <c r="T430" s="426"/>
      <c r="U430" s="426"/>
      <c r="V430" s="113">
        <v>96</v>
      </c>
      <c r="W430" s="432">
        <v>61.41</v>
      </c>
      <c r="X430" s="432">
        <v>62.52</v>
      </c>
      <c r="Y430" s="432">
        <v>62.86</v>
      </c>
      <c r="Z430" s="426"/>
      <c r="AA430" s="426"/>
      <c r="AB430" s="426"/>
      <c r="AC430" s="426"/>
      <c r="AD430" s="426"/>
    </row>
    <row r="431" spans="1:30" x14ac:dyDescent="0.2">
      <c r="A431" s="426"/>
      <c r="B431" s="113">
        <v>97</v>
      </c>
      <c r="C431" s="432">
        <v>83.16</v>
      </c>
      <c r="D431" s="432">
        <v>84.37</v>
      </c>
      <c r="E431" s="432">
        <v>84.73</v>
      </c>
      <c r="F431" s="426"/>
      <c r="G431" s="426"/>
      <c r="H431" s="426"/>
      <c r="I431" s="426"/>
      <c r="J431" s="426"/>
      <c r="K431" s="426"/>
      <c r="L431" s="113">
        <v>97</v>
      </c>
      <c r="M431" s="432">
        <v>68.27</v>
      </c>
      <c r="N431" s="432">
        <v>69.41</v>
      </c>
      <c r="O431" s="432">
        <v>69.75</v>
      </c>
      <c r="P431" s="426"/>
      <c r="Q431" s="426"/>
      <c r="R431" s="426"/>
      <c r="S431" s="426"/>
      <c r="T431" s="426"/>
      <c r="U431" s="426"/>
      <c r="V431" s="113">
        <v>97</v>
      </c>
      <c r="W431" s="432">
        <v>57.37</v>
      </c>
      <c r="X431" s="432">
        <v>58.46</v>
      </c>
      <c r="Y431" s="432">
        <v>58.79</v>
      </c>
      <c r="Z431" s="426"/>
      <c r="AA431" s="426"/>
      <c r="AB431" s="426"/>
      <c r="AC431" s="426"/>
      <c r="AD431" s="426"/>
    </row>
    <row r="432" spans="1:30" x14ac:dyDescent="0.2">
      <c r="A432" s="426"/>
      <c r="B432" s="113">
        <v>98</v>
      </c>
      <c r="C432" s="432">
        <v>78.31</v>
      </c>
      <c r="D432" s="432">
        <v>79.5</v>
      </c>
      <c r="E432" s="432">
        <v>79.86</v>
      </c>
      <c r="F432" s="426"/>
      <c r="G432" s="426"/>
      <c r="H432" s="426"/>
      <c r="I432" s="426"/>
      <c r="J432" s="426"/>
      <c r="K432" s="426"/>
      <c r="L432" s="113">
        <v>98</v>
      </c>
      <c r="M432" s="432">
        <v>63.91</v>
      </c>
      <c r="N432" s="432">
        <v>65.03</v>
      </c>
      <c r="O432" s="432">
        <v>65.37</v>
      </c>
      <c r="P432" s="426"/>
      <c r="Q432" s="426"/>
      <c r="R432" s="426"/>
      <c r="S432" s="426"/>
      <c r="T432" s="426"/>
      <c r="U432" s="426"/>
      <c r="V432" s="113">
        <v>98</v>
      </c>
      <c r="W432" s="432">
        <v>53.55</v>
      </c>
      <c r="X432" s="432">
        <v>54.62</v>
      </c>
      <c r="Y432" s="432">
        <v>54.95</v>
      </c>
      <c r="Z432" s="426"/>
      <c r="AA432" s="426"/>
      <c r="AB432" s="426"/>
      <c r="AC432" s="426"/>
      <c r="AD432" s="426"/>
    </row>
    <row r="433" spans="1:30" x14ac:dyDescent="0.2">
      <c r="A433" s="426"/>
      <c r="B433" s="113">
        <v>99</v>
      </c>
      <c r="C433" s="432">
        <v>73.64</v>
      </c>
      <c r="D433" s="432">
        <v>74.8</v>
      </c>
      <c r="E433" s="432">
        <v>75.16</v>
      </c>
      <c r="F433" s="426"/>
      <c r="G433" s="426"/>
      <c r="H433" s="426"/>
      <c r="I433" s="426"/>
      <c r="J433" s="426"/>
      <c r="K433" s="426"/>
      <c r="L433" s="113">
        <v>99</v>
      </c>
      <c r="M433" s="432">
        <v>59.77</v>
      </c>
      <c r="N433" s="432">
        <v>60.87</v>
      </c>
      <c r="O433" s="432">
        <v>61.21</v>
      </c>
      <c r="P433" s="426"/>
      <c r="Q433" s="426"/>
      <c r="R433" s="426"/>
      <c r="S433" s="426"/>
      <c r="T433" s="426"/>
      <c r="U433" s="426"/>
      <c r="V433" s="113">
        <v>99</v>
      </c>
      <c r="W433" s="432">
        <v>49.94</v>
      </c>
      <c r="X433" s="432">
        <v>51</v>
      </c>
      <c r="Y433" s="432">
        <v>51.33</v>
      </c>
      <c r="Z433" s="426"/>
      <c r="AA433" s="426"/>
      <c r="AB433" s="426"/>
      <c r="AC433" s="426"/>
      <c r="AD433" s="426"/>
    </row>
    <row r="434" spans="1:30" x14ac:dyDescent="0.2">
      <c r="A434" s="426"/>
      <c r="B434" s="113">
        <v>100</v>
      </c>
      <c r="C434" s="432">
        <v>69.180000000000007</v>
      </c>
      <c r="D434" s="432">
        <v>70.33</v>
      </c>
      <c r="E434" s="432">
        <v>70.680000000000007</v>
      </c>
      <c r="F434" s="426"/>
      <c r="G434" s="426"/>
      <c r="H434" s="426"/>
      <c r="I434" s="426"/>
      <c r="J434" s="426"/>
      <c r="K434" s="426"/>
      <c r="L434" s="113">
        <v>100</v>
      </c>
      <c r="M434" s="432">
        <v>55.86</v>
      </c>
      <c r="N434" s="432">
        <v>56.95</v>
      </c>
      <c r="O434" s="432">
        <v>57.29</v>
      </c>
      <c r="P434" s="426"/>
      <c r="Q434" s="426"/>
      <c r="R434" s="426"/>
      <c r="S434" s="426"/>
      <c r="T434" s="426"/>
      <c r="U434" s="426"/>
      <c r="V434" s="113">
        <v>100</v>
      </c>
      <c r="W434" s="432">
        <v>46.57</v>
      </c>
      <c r="X434" s="432">
        <v>47.62</v>
      </c>
      <c r="Y434" s="432">
        <v>47.95</v>
      </c>
      <c r="Z434" s="426"/>
      <c r="AA434" s="426"/>
      <c r="AB434" s="426"/>
      <c r="AC434" s="426"/>
      <c r="AD434" s="426"/>
    </row>
    <row r="437" spans="1:30" x14ac:dyDescent="0.2">
      <c r="B437" s="145" t="s">
        <v>312</v>
      </c>
    </row>
    <row r="439" spans="1:30" x14ac:dyDescent="0.2">
      <c r="B439" s="425"/>
      <c r="C439" s="425"/>
      <c r="D439" s="425"/>
      <c r="E439" s="426"/>
      <c r="F439" s="426"/>
      <c r="G439" s="426"/>
      <c r="H439" s="426"/>
      <c r="I439" s="426"/>
      <c r="J439" s="427" t="s">
        <v>151</v>
      </c>
      <c r="K439" s="426"/>
      <c r="L439" s="425"/>
      <c r="M439" s="425"/>
      <c r="N439" s="425"/>
      <c r="O439" s="426"/>
      <c r="P439" s="426"/>
      <c r="Q439" s="426"/>
      <c r="R439" s="426"/>
      <c r="S439" s="426"/>
      <c r="T439" s="427" t="s">
        <v>151</v>
      </c>
    </row>
    <row r="440" spans="1:30" x14ac:dyDescent="0.2">
      <c r="B440" s="430" t="s">
        <v>316</v>
      </c>
      <c r="C440" s="426"/>
      <c r="D440" s="426"/>
      <c r="E440" s="426"/>
      <c r="F440" s="426"/>
      <c r="G440" s="426"/>
      <c r="H440" s="426"/>
      <c r="I440" s="426"/>
      <c r="J440" s="426"/>
      <c r="K440" s="426"/>
      <c r="L440" s="430" t="s">
        <v>315</v>
      </c>
      <c r="M440" s="426"/>
      <c r="N440" s="426"/>
      <c r="O440" s="426"/>
      <c r="P440" s="426"/>
      <c r="Q440" s="426"/>
      <c r="R440" s="426"/>
      <c r="S440" s="426"/>
      <c r="T440" s="426"/>
    </row>
    <row r="441" spans="1:30" ht="13.7" customHeight="1" x14ac:dyDescent="0.2">
      <c r="B441" s="544" t="s">
        <v>313</v>
      </c>
      <c r="C441" s="545"/>
      <c r="D441" s="545"/>
      <c r="E441" s="545"/>
      <c r="F441" s="542"/>
      <c r="G441" s="542"/>
      <c r="H441" s="542"/>
      <c r="I441" s="542"/>
      <c r="J441" s="543"/>
      <c r="K441" s="426"/>
      <c r="L441" s="544" t="s">
        <v>314</v>
      </c>
      <c r="M441" s="545"/>
      <c r="N441" s="545"/>
      <c r="O441" s="545"/>
      <c r="P441" s="542"/>
      <c r="Q441" s="542"/>
      <c r="R441" s="542"/>
      <c r="S441" s="542"/>
      <c r="T441" s="543"/>
    </row>
    <row r="442" spans="1:30" ht="25.5" x14ac:dyDescent="0.2">
      <c r="B442" s="141" t="s">
        <v>1</v>
      </c>
      <c r="C442" s="141" t="s">
        <v>274</v>
      </c>
      <c r="D442" s="141" t="s">
        <v>275</v>
      </c>
      <c r="E442" s="141" t="s">
        <v>276</v>
      </c>
      <c r="F442" s="431"/>
      <c r="G442" s="141"/>
      <c r="H442" s="141"/>
      <c r="I442" s="141"/>
      <c r="J442" s="141"/>
      <c r="K442" s="426"/>
      <c r="L442" s="141" t="s">
        <v>1</v>
      </c>
      <c r="M442" s="141" t="s">
        <v>274</v>
      </c>
      <c r="N442" s="141" t="s">
        <v>275</v>
      </c>
      <c r="O442" s="141" t="s">
        <v>276</v>
      </c>
      <c r="P442" s="431"/>
      <c r="Q442" s="141"/>
      <c r="R442" s="141"/>
      <c r="S442" s="141"/>
      <c r="T442" s="141"/>
    </row>
    <row r="443" spans="1:30" x14ac:dyDescent="0.2">
      <c r="A443" s="426"/>
      <c r="B443" s="113">
        <v>0</v>
      </c>
      <c r="C443" s="432">
        <v>72.260000000000005</v>
      </c>
      <c r="D443" s="432">
        <v>72.92</v>
      </c>
      <c r="E443" s="432">
        <v>73.23</v>
      </c>
      <c r="F443" s="426"/>
      <c r="G443" s="426"/>
      <c r="H443" s="426"/>
      <c r="I443" s="426"/>
      <c r="J443" s="426"/>
      <c r="K443" s="426"/>
      <c r="L443" s="113">
        <v>0</v>
      </c>
      <c r="M443" s="432">
        <v>76.099999999999994</v>
      </c>
      <c r="N443" s="432">
        <v>76.83</v>
      </c>
      <c r="O443" s="432">
        <v>77.17</v>
      </c>
      <c r="P443" s="426"/>
      <c r="Q443" s="426"/>
      <c r="R443" s="426"/>
      <c r="S443" s="426"/>
      <c r="T443" s="426"/>
    </row>
    <row r="444" spans="1:30" x14ac:dyDescent="0.2">
      <c r="A444" s="433"/>
      <c r="B444" s="113">
        <v>1</v>
      </c>
      <c r="C444" s="432">
        <v>72.44</v>
      </c>
      <c r="D444" s="432">
        <v>73.099999999999994</v>
      </c>
      <c r="E444" s="432">
        <v>73.41</v>
      </c>
      <c r="F444" s="426"/>
      <c r="G444" s="426"/>
      <c r="H444" s="426"/>
      <c r="I444" s="426"/>
      <c r="J444" s="426"/>
      <c r="K444" s="433"/>
      <c r="L444" s="113">
        <v>1</v>
      </c>
      <c r="M444" s="432">
        <v>76.290000000000006</v>
      </c>
      <c r="N444" s="432">
        <v>77.03</v>
      </c>
      <c r="O444" s="432">
        <v>77.37</v>
      </c>
      <c r="P444" s="426"/>
      <c r="Q444" s="426"/>
      <c r="R444" s="426"/>
      <c r="S444" s="426"/>
      <c r="T444" s="426"/>
    </row>
    <row r="445" spans="1:30" x14ac:dyDescent="0.2">
      <c r="A445" s="433"/>
      <c r="B445" s="113">
        <v>2</v>
      </c>
      <c r="C445" s="432">
        <v>72.62</v>
      </c>
      <c r="D445" s="432">
        <v>73.290000000000006</v>
      </c>
      <c r="E445" s="432">
        <v>73.599999999999994</v>
      </c>
      <c r="F445" s="426"/>
      <c r="G445" s="426"/>
      <c r="H445" s="426"/>
      <c r="I445" s="426"/>
      <c r="J445" s="426"/>
      <c r="K445" s="433"/>
      <c r="L445" s="113">
        <v>2</v>
      </c>
      <c r="M445" s="432">
        <v>76.5</v>
      </c>
      <c r="N445" s="432">
        <v>77.239999999999995</v>
      </c>
      <c r="O445" s="432">
        <v>77.58</v>
      </c>
      <c r="P445" s="426"/>
      <c r="Q445" s="426"/>
      <c r="R445" s="426"/>
      <c r="S445" s="426"/>
      <c r="T445" s="426"/>
    </row>
    <row r="446" spans="1:30" x14ac:dyDescent="0.2">
      <c r="A446" s="433"/>
      <c r="B446" s="113">
        <v>3</v>
      </c>
      <c r="C446" s="432">
        <v>72.81</v>
      </c>
      <c r="D446" s="432">
        <v>73.48</v>
      </c>
      <c r="E446" s="432">
        <v>73.8</v>
      </c>
      <c r="F446" s="426"/>
      <c r="G446" s="426"/>
      <c r="H446" s="426"/>
      <c r="I446" s="426"/>
      <c r="J446" s="426"/>
      <c r="K446" s="433"/>
      <c r="L446" s="113">
        <v>3</v>
      </c>
      <c r="M446" s="432">
        <v>76.709999999999994</v>
      </c>
      <c r="N446" s="432">
        <v>77.459999999999994</v>
      </c>
      <c r="O446" s="432">
        <v>77.8</v>
      </c>
      <c r="P446" s="426"/>
      <c r="Q446" s="426"/>
      <c r="R446" s="426"/>
      <c r="S446" s="426"/>
      <c r="T446" s="426"/>
    </row>
    <row r="447" spans="1:30" x14ac:dyDescent="0.2">
      <c r="A447" s="433"/>
      <c r="B447" s="113">
        <v>4</v>
      </c>
      <c r="C447" s="432">
        <v>73.010000000000005</v>
      </c>
      <c r="D447" s="432">
        <v>73.69</v>
      </c>
      <c r="E447" s="432">
        <v>74</v>
      </c>
      <c r="F447" s="426"/>
      <c r="G447" s="426"/>
      <c r="H447" s="426"/>
      <c r="I447" s="426"/>
      <c r="J447" s="426"/>
      <c r="K447" s="433"/>
      <c r="L447" s="113">
        <v>4</v>
      </c>
      <c r="M447" s="432">
        <v>76.930000000000007</v>
      </c>
      <c r="N447" s="432">
        <v>77.680000000000007</v>
      </c>
      <c r="O447" s="432">
        <v>78.02</v>
      </c>
      <c r="P447" s="426"/>
      <c r="Q447" s="426"/>
      <c r="R447" s="426"/>
      <c r="S447" s="426"/>
      <c r="T447" s="426"/>
    </row>
    <row r="448" spans="1:30" x14ac:dyDescent="0.2">
      <c r="A448" s="433"/>
      <c r="B448" s="113">
        <v>5</v>
      </c>
      <c r="C448" s="432">
        <v>73.22</v>
      </c>
      <c r="D448" s="432">
        <v>73.900000000000006</v>
      </c>
      <c r="E448" s="432">
        <v>74.209999999999994</v>
      </c>
      <c r="F448" s="426"/>
      <c r="G448" s="426"/>
      <c r="H448" s="426"/>
      <c r="I448" s="426"/>
      <c r="J448" s="426"/>
      <c r="K448" s="433"/>
      <c r="L448" s="113">
        <v>5</v>
      </c>
      <c r="M448" s="432">
        <v>77.16</v>
      </c>
      <c r="N448" s="432">
        <v>77.92</v>
      </c>
      <c r="O448" s="432">
        <v>78.260000000000005</v>
      </c>
      <c r="P448" s="426"/>
      <c r="Q448" s="426"/>
      <c r="R448" s="426"/>
      <c r="S448" s="426"/>
      <c r="T448" s="426"/>
    </row>
    <row r="449" spans="1:20" x14ac:dyDescent="0.2">
      <c r="A449" s="433"/>
      <c r="B449" s="113">
        <v>6</v>
      </c>
      <c r="C449" s="432">
        <v>73.430000000000007</v>
      </c>
      <c r="D449" s="432">
        <v>74.12</v>
      </c>
      <c r="E449" s="432">
        <v>74.430000000000007</v>
      </c>
      <c r="F449" s="426"/>
      <c r="G449" s="426"/>
      <c r="H449" s="426"/>
      <c r="I449" s="426"/>
      <c r="J449" s="426"/>
      <c r="K449" s="433"/>
      <c r="L449" s="113">
        <v>6</v>
      </c>
      <c r="M449" s="432">
        <v>77.400000000000006</v>
      </c>
      <c r="N449" s="432">
        <v>78.16</v>
      </c>
      <c r="O449" s="432">
        <v>78.5</v>
      </c>
      <c r="P449" s="426"/>
      <c r="Q449" s="426"/>
      <c r="R449" s="426"/>
      <c r="S449" s="426"/>
      <c r="T449" s="426"/>
    </row>
    <row r="450" spans="1:20" x14ac:dyDescent="0.2">
      <c r="A450" s="433"/>
      <c r="B450" s="113">
        <v>7</v>
      </c>
      <c r="C450" s="432">
        <v>73.66</v>
      </c>
      <c r="D450" s="432">
        <v>74.34</v>
      </c>
      <c r="E450" s="432">
        <v>74.66</v>
      </c>
      <c r="F450" s="426"/>
      <c r="G450" s="426"/>
      <c r="H450" s="426"/>
      <c r="I450" s="426"/>
      <c r="J450" s="426"/>
      <c r="K450" s="433"/>
      <c r="L450" s="113">
        <v>7</v>
      </c>
      <c r="M450" s="432">
        <v>77.650000000000006</v>
      </c>
      <c r="N450" s="432">
        <v>78.41</v>
      </c>
      <c r="O450" s="432">
        <v>78.760000000000005</v>
      </c>
      <c r="P450" s="426"/>
      <c r="Q450" s="426"/>
      <c r="R450" s="426"/>
      <c r="S450" s="426"/>
      <c r="T450" s="426"/>
    </row>
    <row r="451" spans="1:20" x14ac:dyDescent="0.2">
      <c r="A451" s="433"/>
      <c r="B451" s="113">
        <v>8</v>
      </c>
      <c r="C451" s="432">
        <v>73.89</v>
      </c>
      <c r="D451" s="432">
        <v>74.58</v>
      </c>
      <c r="E451" s="432">
        <v>74.900000000000006</v>
      </c>
      <c r="F451" s="426"/>
      <c r="G451" s="426"/>
      <c r="H451" s="426"/>
      <c r="I451" s="426"/>
      <c r="J451" s="426"/>
      <c r="K451" s="433"/>
      <c r="L451" s="113">
        <v>8</v>
      </c>
      <c r="M451" s="432">
        <v>77.91</v>
      </c>
      <c r="N451" s="432">
        <v>78.680000000000007</v>
      </c>
      <c r="O451" s="432">
        <v>79.02</v>
      </c>
      <c r="P451" s="426"/>
      <c r="Q451" s="426"/>
      <c r="R451" s="426"/>
      <c r="S451" s="426"/>
      <c r="T451" s="426"/>
    </row>
    <row r="452" spans="1:20" x14ac:dyDescent="0.2">
      <c r="A452" s="433"/>
      <c r="B452" s="113">
        <v>9</v>
      </c>
      <c r="C452" s="432">
        <v>74.13</v>
      </c>
      <c r="D452" s="432">
        <v>74.83</v>
      </c>
      <c r="E452" s="432">
        <v>75.150000000000006</v>
      </c>
      <c r="F452" s="426"/>
      <c r="G452" s="426"/>
      <c r="H452" s="426"/>
      <c r="I452" s="426"/>
      <c r="J452" s="426"/>
      <c r="K452" s="433"/>
      <c r="L452" s="113">
        <v>9</v>
      </c>
      <c r="M452" s="432">
        <v>78.180000000000007</v>
      </c>
      <c r="N452" s="432">
        <v>78.95</v>
      </c>
      <c r="O452" s="432">
        <v>79.3</v>
      </c>
      <c r="P452" s="426"/>
      <c r="Q452" s="426"/>
      <c r="R452" s="426"/>
      <c r="S452" s="426"/>
      <c r="T452" s="426"/>
    </row>
    <row r="453" spans="1:20" x14ac:dyDescent="0.2">
      <c r="A453" s="433"/>
      <c r="B453" s="113">
        <v>10</v>
      </c>
      <c r="C453" s="432">
        <v>74.39</v>
      </c>
      <c r="D453" s="432">
        <v>75.09</v>
      </c>
      <c r="E453" s="432">
        <v>75.41</v>
      </c>
      <c r="F453" s="426"/>
      <c r="G453" s="426"/>
      <c r="H453" s="426"/>
      <c r="I453" s="426"/>
      <c r="J453" s="426"/>
      <c r="K453" s="433"/>
      <c r="L453" s="113">
        <v>10</v>
      </c>
      <c r="M453" s="432">
        <v>78.459999999999994</v>
      </c>
      <c r="N453" s="432">
        <v>79.239999999999995</v>
      </c>
      <c r="O453" s="432">
        <v>79.59</v>
      </c>
      <c r="P453" s="426"/>
      <c r="Q453" s="426"/>
      <c r="R453" s="426"/>
      <c r="S453" s="426"/>
      <c r="T453" s="426"/>
    </row>
    <row r="454" spans="1:20" x14ac:dyDescent="0.2">
      <c r="A454" s="433"/>
      <c r="B454" s="113">
        <v>11</v>
      </c>
      <c r="C454" s="432">
        <v>74.650000000000006</v>
      </c>
      <c r="D454" s="432">
        <v>75.349999999999994</v>
      </c>
      <c r="E454" s="432">
        <v>75.680000000000007</v>
      </c>
      <c r="F454" s="426"/>
      <c r="G454" s="426"/>
      <c r="H454" s="426"/>
      <c r="I454" s="426"/>
      <c r="J454" s="426"/>
      <c r="K454" s="433"/>
      <c r="L454" s="113">
        <v>11</v>
      </c>
      <c r="M454" s="432">
        <v>78.760000000000005</v>
      </c>
      <c r="N454" s="432">
        <v>79.540000000000006</v>
      </c>
      <c r="O454" s="432">
        <v>79.89</v>
      </c>
      <c r="P454" s="426"/>
      <c r="Q454" s="426"/>
      <c r="R454" s="426"/>
      <c r="S454" s="426"/>
      <c r="T454" s="426"/>
    </row>
    <row r="455" spans="1:20" x14ac:dyDescent="0.2">
      <c r="A455" s="433"/>
      <c r="B455" s="113">
        <v>12</v>
      </c>
      <c r="C455" s="432">
        <v>74.930000000000007</v>
      </c>
      <c r="D455" s="432">
        <v>75.63</v>
      </c>
      <c r="E455" s="432">
        <v>75.959999999999994</v>
      </c>
      <c r="F455" s="426"/>
      <c r="G455" s="426"/>
      <c r="H455" s="426"/>
      <c r="I455" s="426"/>
      <c r="J455" s="426"/>
      <c r="K455" s="433"/>
      <c r="L455" s="113">
        <v>12</v>
      </c>
      <c r="M455" s="432">
        <v>79.06</v>
      </c>
      <c r="N455" s="432">
        <v>79.849999999999994</v>
      </c>
      <c r="O455" s="432">
        <v>80.2</v>
      </c>
      <c r="P455" s="426"/>
      <c r="Q455" s="426"/>
      <c r="R455" s="426"/>
      <c r="S455" s="426"/>
      <c r="T455" s="426"/>
    </row>
    <row r="456" spans="1:20" x14ac:dyDescent="0.2">
      <c r="A456" s="433"/>
      <c r="B456" s="113">
        <v>13</v>
      </c>
      <c r="C456" s="432">
        <v>75.209999999999994</v>
      </c>
      <c r="D456" s="432">
        <v>75.92</v>
      </c>
      <c r="E456" s="432">
        <v>76.25</v>
      </c>
      <c r="F456" s="426"/>
      <c r="G456" s="426"/>
      <c r="H456" s="426"/>
      <c r="I456" s="426"/>
      <c r="J456" s="426"/>
      <c r="K456" s="433"/>
      <c r="L456" s="113">
        <v>13</v>
      </c>
      <c r="M456" s="432">
        <v>79.37</v>
      </c>
      <c r="N456" s="432">
        <v>80.17</v>
      </c>
      <c r="O456" s="432">
        <v>80.52</v>
      </c>
      <c r="P456" s="426"/>
      <c r="Q456" s="426"/>
      <c r="R456" s="426"/>
      <c r="S456" s="426"/>
      <c r="T456" s="426"/>
    </row>
    <row r="457" spans="1:20" x14ac:dyDescent="0.2">
      <c r="A457" s="433"/>
      <c r="B457" s="113">
        <v>14</v>
      </c>
      <c r="C457" s="432">
        <v>75.5</v>
      </c>
      <c r="D457" s="432">
        <v>76.22</v>
      </c>
      <c r="E457" s="432">
        <v>76.55</v>
      </c>
      <c r="F457" s="426"/>
      <c r="G457" s="426"/>
      <c r="H457" s="426"/>
      <c r="I457" s="426"/>
      <c r="J457" s="426"/>
      <c r="K457" s="433"/>
      <c r="L457" s="113">
        <v>14</v>
      </c>
      <c r="M457" s="432">
        <v>79.7</v>
      </c>
      <c r="N457" s="432">
        <v>80.5</v>
      </c>
      <c r="O457" s="432">
        <v>80.86</v>
      </c>
      <c r="P457" s="426"/>
      <c r="Q457" s="426"/>
      <c r="R457" s="426"/>
      <c r="S457" s="426"/>
      <c r="T457" s="426"/>
    </row>
    <row r="458" spans="1:20" x14ac:dyDescent="0.2">
      <c r="A458" s="433"/>
      <c r="B458" s="113">
        <v>15</v>
      </c>
      <c r="C458" s="432">
        <v>75.81</v>
      </c>
      <c r="D458" s="432">
        <v>76.53</v>
      </c>
      <c r="E458" s="432">
        <v>76.86</v>
      </c>
      <c r="F458" s="426"/>
      <c r="G458" s="426"/>
      <c r="H458" s="426"/>
      <c r="I458" s="426"/>
      <c r="J458" s="426"/>
      <c r="K458" s="433"/>
      <c r="L458" s="113">
        <v>15</v>
      </c>
      <c r="M458" s="432">
        <v>80.040000000000006</v>
      </c>
      <c r="N458" s="432">
        <v>80.84</v>
      </c>
      <c r="O458" s="432">
        <v>81.2</v>
      </c>
      <c r="P458" s="426"/>
      <c r="Q458" s="426"/>
      <c r="R458" s="426"/>
      <c r="S458" s="426"/>
      <c r="T458" s="426"/>
    </row>
    <row r="459" spans="1:20" x14ac:dyDescent="0.2">
      <c r="A459" s="433"/>
      <c r="B459" s="113">
        <v>16</v>
      </c>
      <c r="C459" s="432">
        <v>76.13</v>
      </c>
      <c r="D459" s="432">
        <v>76.86</v>
      </c>
      <c r="E459" s="432">
        <v>77.19</v>
      </c>
      <c r="F459" s="426"/>
      <c r="G459" s="426"/>
      <c r="H459" s="426"/>
      <c r="I459" s="426"/>
      <c r="J459" s="426"/>
      <c r="K459" s="433"/>
      <c r="L459" s="113">
        <v>16</v>
      </c>
      <c r="M459" s="432">
        <v>80.39</v>
      </c>
      <c r="N459" s="432">
        <v>81.2</v>
      </c>
      <c r="O459" s="432">
        <v>81.56</v>
      </c>
      <c r="P459" s="426"/>
      <c r="Q459" s="426"/>
      <c r="R459" s="426"/>
      <c r="S459" s="426"/>
      <c r="T459" s="426"/>
    </row>
    <row r="460" spans="1:20" x14ac:dyDescent="0.2">
      <c r="A460" s="433"/>
      <c r="B460" s="113">
        <v>17</v>
      </c>
      <c r="C460" s="432">
        <v>76.45</v>
      </c>
      <c r="D460" s="432">
        <v>77.19</v>
      </c>
      <c r="E460" s="432">
        <v>77.52</v>
      </c>
      <c r="F460" s="426"/>
      <c r="G460" s="426"/>
      <c r="H460" s="426"/>
      <c r="I460" s="426"/>
      <c r="J460" s="426"/>
      <c r="K460" s="433"/>
      <c r="L460" s="113">
        <v>17</v>
      </c>
      <c r="M460" s="432">
        <v>80.760000000000005</v>
      </c>
      <c r="N460" s="432">
        <v>81.58</v>
      </c>
      <c r="O460" s="432">
        <v>81.94</v>
      </c>
      <c r="P460" s="426"/>
      <c r="Q460" s="426"/>
      <c r="R460" s="426"/>
      <c r="S460" s="426"/>
      <c r="T460" s="426"/>
    </row>
    <row r="461" spans="1:20" x14ac:dyDescent="0.2">
      <c r="A461" s="433"/>
      <c r="B461" s="113">
        <v>18</v>
      </c>
      <c r="C461" s="432">
        <v>76.8</v>
      </c>
      <c r="D461" s="432">
        <v>77.540000000000006</v>
      </c>
      <c r="E461" s="432">
        <v>77.88</v>
      </c>
      <c r="F461" s="426"/>
      <c r="G461" s="426"/>
      <c r="H461" s="426"/>
      <c r="I461" s="426"/>
      <c r="J461" s="426"/>
      <c r="K461" s="433"/>
      <c r="L461" s="113">
        <v>18</v>
      </c>
      <c r="M461" s="432">
        <v>81.14</v>
      </c>
      <c r="N461" s="432">
        <v>81.97</v>
      </c>
      <c r="O461" s="432">
        <v>82.33</v>
      </c>
      <c r="P461" s="426"/>
      <c r="Q461" s="426"/>
      <c r="R461" s="426"/>
      <c r="S461" s="426"/>
      <c r="T461" s="426"/>
    </row>
    <row r="462" spans="1:20" x14ac:dyDescent="0.2">
      <c r="A462" s="433"/>
      <c r="B462" s="113">
        <v>19</v>
      </c>
      <c r="C462" s="432">
        <v>77.16</v>
      </c>
      <c r="D462" s="432">
        <v>77.91</v>
      </c>
      <c r="E462" s="432">
        <v>78.239999999999995</v>
      </c>
      <c r="F462" s="426"/>
      <c r="G462" s="426"/>
      <c r="H462" s="426"/>
      <c r="I462" s="426"/>
      <c r="J462" s="426"/>
      <c r="K462" s="433"/>
      <c r="L462" s="113">
        <v>19</v>
      </c>
      <c r="M462" s="432">
        <v>81.540000000000006</v>
      </c>
      <c r="N462" s="432">
        <v>82.37</v>
      </c>
      <c r="O462" s="432">
        <v>82.74</v>
      </c>
      <c r="P462" s="426"/>
      <c r="Q462" s="426"/>
      <c r="R462" s="426"/>
      <c r="S462" s="426"/>
      <c r="T462" s="426"/>
    </row>
    <row r="463" spans="1:20" x14ac:dyDescent="0.2">
      <c r="A463" s="433"/>
      <c r="B463" s="113">
        <v>20</v>
      </c>
      <c r="C463" s="432">
        <v>77.53</v>
      </c>
      <c r="D463" s="432">
        <v>78.290000000000006</v>
      </c>
      <c r="E463" s="432">
        <v>78.63</v>
      </c>
      <c r="F463" s="426"/>
      <c r="G463" s="426"/>
      <c r="H463" s="426"/>
      <c r="I463" s="426"/>
      <c r="J463" s="426"/>
      <c r="K463" s="433"/>
      <c r="L463" s="113">
        <v>20</v>
      </c>
      <c r="M463" s="432">
        <v>81.96</v>
      </c>
      <c r="N463" s="432">
        <v>82.8</v>
      </c>
      <c r="O463" s="432">
        <v>83.17</v>
      </c>
      <c r="P463" s="426"/>
      <c r="Q463" s="426"/>
      <c r="R463" s="426"/>
      <c r="S463" s="426"/>
      <c r="T463" s="426"/>
    </row>
    <row r="464" spans="1:20" x14ac:dyDescent="0.2">
      <c r="A464" s="433"/>
      <c r="B464" s="113">
        <v>21</v>
      </c>
      <c r="C464" s="432">
        <v>77.930000000000007</v>
      </c>
      <c r="D464" s="432">
        <v>78.69</v>
      </c>
      <c r="E464" s="432">
        <v>79.03</v>
      </c>
      <c r="F464" s="426"/>
      <c r="G464" s="426"/>
      <c r="H464" s="426"/>
      <c r="I464" s="426"/>
      <c r="J464" s="426"/>
      <c r="K464" s="433"/>
      <c r="L464" s="113">
        <v>21</v>
      </c>
      <c r="M464" s="432">
        <v>82.4</v>
      </c>
      <c r="N464" s="432">
        <v>83.25</v>
      </c>
      <c r="O464" s="432">
        <v>83.62</v>
      </c>
      <c r="P464" s="426"/>
      <c r="Q464" s="426"/>
      <c r="R464" s="426"/>
      <c r="S464" s="426"/>
      <c r="T464" s="426"/>
    </row>
    <row r="465" spans="1:20" x14ac:dyDescent="0.2">
      <c r="A465" s="433"/>
      <c r="B465" s="113">
        <v>22</v>
      </c>
      <c r="C465" s="432">
        <v>78.34</v>
      </c>
      <c r="D465" s="432">
        <v>79.11</v>
      </c>
      <c r="E465" s="432">
        <v>79.45</v>
      </c>
      <c r="F465" s="426"/>
      <c r="G465" s="426"/>
      <c r="H465" s="426"/>
      <c r="I465" s="426"/>
      <c r="J465" s="426"/>
      <c r="K465" s="433"/>
      <c r="L465" s="113">
        <v>22</v>
      </c>
      <c r="M465" s="432">
        <v>82.86</v>
      </c>
      <c r="N465" s="432">
        <v>83.72</v>
      </c>
      <c r="O465" s="432">
        <v>84.09</v>
      </c>
      <c r="P465" s="426"/>
      <c r="Q465" s="426"/>
      <c r="R465" s="426"/>
      <c r="S465" s="426"/>
      <c r="T465" s="426"/>
    </row>
    <row r="466" spans="1:20" x14ac:dyDescent="0.2">
      <c r="A466" s="433"/>
      <c r="B466" s="113">
        <v>23</v>
      </c>
      <c r="C466" s="432">
        <v>78.77</v>
      </c>
      <c r="D466" s="432">
        <v>79.55</v>
      </c>
      <c r="E466" s="432">
        <v>79.89</v>
      </c>
      <c r="F466" s="426"/>
      <c r="G466" s="426"/>
      <c r="H466" s="426"/>
      <c r="I466" s="426"/>
      <c r="J466" s="426"/>
      <c r="K466" s="433"/>
      <c r="L466" s="113">
        <v>23</v>
      </c>
      <c r="M466" s="432">
        <v>83.35</v>
      </c>
      <c r="N466" s="432">
        <v>84.21</v>
      </c>
      <c r="O466" s="432">
        <v>84.59</v>
      </c>
      <c r="P466" s="426"/>
      <c r="Q466" s="426"/>
      <c r="R466" s="426"/>
      <c r="S466" s="426"/>
      <c r="T466" s="426"/>
    </row>
    <row r="467" spans="1:20" x14ac:dyDescent="0.2">
      <c r="A467" s="433"/>
      <c r="B467" s="113">
        <v>24</v>
      </c>
      <c r="C467" s="432">
        <v>79.23</v>
      </c>
      <c r="D467" s="432">
        <v>80.010000000000005</v>
      </c>
      <c r="E467" s="432">
        <v>80.36</v>
      </c>
      <c r="F467" s="426"/>
      <c r="G467" s="426"/>
      <c r="H467" s="426"/>
      <c r="I467" s="426"/>
      <c r="J467" s="426"/>
      <c r="K467" s="433"/>
      <c r="L467" s="113">
        <v>24</v>
      </c>
      <c r="M467" s="432">
        <v>83.86</v>
      </c>
      <c r="N467" s="432">
        <v>84.73</v>
      </c>
      <c r="O467" s="432">
        <v>85.11</v>
      </c>
      <c r="P467" s="426"/>
      <c r="Q467" s="426"/>
      <c r="R467" s="426"/>
      <c r="S467" s="426"/>
      <c r="T467" s="426"/>
    </row>
    <row r="468" spans="1:20" x14ac:dyDescent="0.2">
      <c r="A468" s="433"/>
      <c r="B468" s="113">
        <v>25</v>
      </c>
      <c r="C468" s="432">
        <v>79.7</v>
      </c>
      <c r="D468" s="432">
        <v>80.5</v>
      </c>
      <c r="E468" s="432">
        <v>80.849999999999994</v>
      </c>
      <c r="F468" s="426"/>
      <c r="G468" s="426"/>
      <c r="H468" s="426"/>
      <c r="I468" s="426"/>
      <c r="J468" s="426"/>
      <c r="K468" s="433"/>
      <c r="L468" s="113">
        <v>25</v>
      </c>
      <c r="M468" s="432">
        <v>84.39</v>
      </c>
      <c r="N468" s="432">
        <v>85.28</v>
      </c>
      <c r="O468" s="432">
        <v>85.66</v>
      </c>
      <c r="P468" s="426"/>
      <c r="Q468" s="426"/>
      <c r="R468" s="426"/>
      <c r="S468" s="426"/>
      <c r="T468" s="426"/>
    </row>
    <row r="469" spans="1:20" x14ac:dyDescent="0.2">
      <c r="A469" s="433"/>
      <c r="B469" s="113">
        <v>26</v>
      </c>
      <c r="C469" s="432">
        <v>80.209999999999994</v>
      </c>
      <c r="D469" s="432">
        <v>81.010000000000005</v>
      </c>
      <c r="E469" s="432">
        <v>81.36</v>
      </c>
      <c r="F469" s="426"/>
      <c r="G469" s="426"/>
      <c r="H469" s="426"/>
      <c r="I469" s="426"/>
      <c r="J469" s="426"/>
      <c r="K469" s="433"/>
      <c r="L469" s="113">
        <v>26</v>
      </c>
      <c r="M469" s="432">
        <v>84.95</v>
      </c>
      <c r="N469" s="432">
        <v>85.85</v>
      </c>
      <c r="O469" s="432">
        <v>86.23</v>
      </c>
      <c r="P469" s="426"/>
      <c r="Q469" s="426"/>
      <c r="R469" s="426"/>
      <c r="S469" s="426"/>
      <c r="T469" s="426"/>
    </row>
    <row r="470" spans="1:20" x14ac:dyDescent="0.2">
      <c r="A470" s="433"/>
      <c r="B470" s="113">
        <v>27</v>
      </c>
      <c r="C470" s="432">
        <v>80.73</v>
      </c>
      <c r="D470" s="432">
        <v>81.540000000000006</v>
      </c>
      <c r="E470" s="432">
        <v>81.900000000000006</v>
      </c>
      <c r="F470" s="426"/>
      <c r="G470" s="426"/>
      <c r="H470" s="426"/>
      <c r="I470" s="426"/>
      <c r="J470" s="426"/>
      <c r="K470" s="433"/>
      <c r="L470" s="113">
        <v>27</v>
      </c>
      <c r="M470" s="432">
        <v>85.53</v>
      </c>
      <c r="N470" s="432">
        <v>86.44</v>
      </c>
      <c r="O470" s="432">
        <v>86.83</v>
      </c>
      <c r="P470" s="426"/>
      <c r="Q470" s="426"/>
      <c r="R470" s="426"/>
      <c r="S470" s="426"/>
      <c r="T470" s="426"/>
    </row>
    <row r="471" spans="1:20" x14ac:dyDescent="0.2">
      <c r="A471" s="433"/>
      <c r="B471" s="113">
        <v>28</v>
      </c>
      <c r="C471" s="432">
        <v>81.28</v>
      </c>
      <c r="D471" s="432">
        <v>82.1</v>
      </c>
      <c r="E471" s="432">
        <v>82.46</v>
      </c>
      <c r="F471" s="426"/>
      <c r="G471" s="426"/>
      <c r="H471" s="426"/>
      <c r="I471" s="426"/>
      <c r="J471" s="426"/>
      <c r="K471" s="433"/>
      <c r="L471" s="113">
        <v>28</v>
      </c>
      <c r="M471" s="432">
        <v>86.14</v>
      </c>
      <c r="N471" s="432">
        <v>87.06</v>
      </c>
      <c r="O471" s="432">
        <v>87.45</v>
      </c>
      <c r="P471" s="426"/>
      <c r="Q471" s="426"/>
      <c r="R471" s="426"/>
      <c r="S471" s="426"/>
      <c r="T471" s="426"/>
    </row>
    <row r="472" spans="1:20" x14ac:dyDescent="0.2">
      <c r="A472" s="433"/>
      <c r="B472" s="113">
        <v>29</v>
      </c>
      <c r="C472" s="432">
        <v>81.849999999999994</v>
      </c>
      <c r="D472" s="432">
        <v>82.69</v>
      </c>
      <c r="E472" s="432">
        <v>83.05</v>
      </c>
      <c r="F472" s="426"/>
      <c r="G472" s="426"/>
      <c r="H472" s="426"/>
      <c r="I472" s="426"/>
      <c r="J472" s="426"/>
      <c r="K472" s="433"/>
      <c r="L472" s="113">
        <v>29</v>
      </c>
      <c r="M472" s="432">
        <v>86.78</v>
      </c>
      <c r="N472" s="432">
        <v>87.71</v>
      </c>
      <c r="O472" s="432">
        <v>88.1</v>
      </c>
      <c r="P472" s="426"/>
      <c r="Q472" s="426"/>
      <c r="R472" s="426"/>
      <c r="S472" s="426"/>
      <c r="T472" s="426"/>
    </row>
    <row r="473" spans="1:20" x14ac:dyDescent="0.2">
      <c r="A473" s="433"/>
      <c r="B473" s="113">
        <v>30</v>
      </c>
      <c r="C473" s="432">
        <v>82.45</v>
      </c>
      <c r="D473" s="432">
        <v>83.3</v>
      </c>
      <c r="E473" s="432">
        <v>83.66</v>
      </c>
      <c r="F473" s="426"/>
      <c r="G473" s="426"/>
      <c r="H473" s="426"/>
      <c r="I473" s="426"/>
      <c r="J473" s="426"/>
      <c r="K473" s="433"/>
      <c r="L473" s="113">
        <v>30</v>
      </c>
      <c r="M473" s="432">
        <v>87.45</v>
      </c>
      <c r="N473" s="432">
        <v>88.39</v>
      </c>
      <c r="O473" s="432">
        <v>88.78</v>
      </c>
      <c r="P473" s="426"/>
      <c r="Q473" s="426"/>
      <c r="R473" s="426"/>
      <c r="S473" s="426"/>
      <c r="T473" s="426"/>
    </row>
    <row r="474" spans="1:20" x14ac:dyDescent="0.2">
      <c r="A474" s="433"/>
      <c r="B474" s="113">
        <v>31</v>
      </c>
      <c r="C474" s="432">
        <v>83.08</v>
      </c>
      <c r="D474" s="432">
        <v>83.94</v>
      </c>
      <c r="E474" s="432">
        <v>84.3</v>
      </c>
      <c r="F474" s="426"/>
      <c r="G474" s="426"/>
      <c r="H474" s="426"/>
      <c r="I474" s="426"/>
      <c r="J474" s="426"/>
      <c r="K474" s="433"/>
      <c r="L474" s="113">
        <v>31</v>
      </c>
      <c r="M474" s="432">
        <v>88.14</v>
      </c>
      <c r="N474" s="432">
        <v>89.1</v>
      </c>
      <c r="O474" s="432">
        <v>89.5</v>
      </c>
      <c r="P474" s="426"/>
      <c r="Q474" s="426"/>
      <c r="R474" s="426"/>
      <c r="S474" s="426"/>
      <c r="T474" s="426"/>
    </row>
    <row r="475" spans="1:20" x14ac:dyDescent="0.2">
      <c r="A475" s="433"/>
      <c r="B475" s="113">
        <v>32</v>
      </c>
      <c r="C475" s="432">
        <v>83.73</v>
      </c>
      <c r="D475" s="432">
        <v>84.6</v>
      </c>
      <c r="E475" s="432">
        <v>84.97</v>
      </c>
      <c r="F475" s="426"/>
      <c r="G475" s="426"/>
      <c r="H475" s="426"/>
      <c r="I475" s="426"/>
      <c r="J475" s="426"/>
      <c r="K475" s="433"/>
      <c r="L475" s="113">
        <v>32</v>
      </c>
      <c r="M475" s="432">
        <v>88.87</v>
      </c>
      <c r="N475" s="432">
        <v>89.84</v>
      </c>
      <c r="O475" s="432">
        <v>90.24</v>
      </c>
      <c r="P475" s="426"/>
      <c r="Q475" s="426"/>
      <c r="R475" s="426"/>
      <c r="S475" s="426"/>
      <c r="T475" s="426"/>
    </row>
    <row r="476" spans="1:20" x14ac:dyDescent="0.2">
      <c r="A476" s="433"/>
      <c r="B476" s="113">
        <v>33</v>
      </c>
      <c r="C476" s="432">
        <v>84.41</v>
      </c>
      <c r="D476" s="432">
        <v>85.3</v>
      </c>
      <c r="E476" s="432">
        <v>85.67</v>
      </c>
      <c r="F476" s="426"/>
      <c r="G476" s="426"/>
      <c r="H476" s="426"/>
      <c r="I476" s="426"/>
      <c r="J476" s="426"/>
      <c r="K476" s="433"/>
      <c r="L476" s="113">
        <v>33</v>
      </c>
      <c r="M476" s="432">
        <v>89.62</v>
      </c>
      <c r="N476" s="432">
        <v>90.61</v>
      </c>
      <c r="O476" s="432">
        <v>91.01</v>
      </c>
      <c r="P476" s="426"/>
      <c r="Q476" s="426"/>
      <c r="R476" s="426"/>
      <c r="S476" s="426"/>
      <c r="T476" s="426"/>
    </row>
    <row r="477" spans="1:20" x14ac:dyDescent="0.2">
      <c r="A477" s="433"/>
      <c r="B477" s="113">
        <v>34</v>
      </c>
      <c r="C477" s="432">
        <v>85.13</v>
      </c>
      <c r="D477" s="432">
        <v>86.02</v>
      </c>
      <c r="E477" s="432">
        <v>86.39</v>
      </c>
      <c r="F477" s="426"/>
      <c r="G477" s="426"/>
      <c r="H477" s="426"/>
      <c r="I477" s="426"/>
      <c r="J477" s="426"/>
      <c r="K477" s="433"/>
      <c r="L477" s="113">
        <v>34</v>
      </c>
      <c r="M477" s="432">
        <v>90.41</v>
      </c>
      <c r="N477" s="432">
        <v>91.41</v>
      </c>
      <c r="O477" s="432">
        <v>91.82</v>
      </c>
      <c r="P477" s="426"/>
      <c r="Q477" s="426"/>
      <c r="R477" s="426"/>
      <c r="S477" s="426"/>
      <c r="T477" s="426"/>
    </row>
    <row r="478" spans="1:20" x14ac:dyDescent="0.2">
      <c r="A478" s="433"/>
      <c r="B478" s="113">
        <v>35</v>
      </c>
      <c r="C478" s="432">
        <v>85.87</v>
      </c>
      <c r="D478" s="432">
        <v>86.78</v>
      </c>
      <c r="E478" s="432">
        <v>87.15</v>
      </c>
      <c r="F478" s="426"/>
      <c r="G478" s="426"/>
      <c r="H478" s="426"/>
      <c r="I478" s="426"/>
      <c r="J478" s="426"/>
      <c r="K478" s="433"/>
      <c r="L478" s="113">
        <v>35</v>
      </c>
      <c r="M478" s="432">
        <v>91.24</v>
      </c>
      <c r="N478" s="432">
        <v>92.25</v>
      </c>
      <c r="O478" s="432">
        <v>92.66</v>
      </c>
      <c r="P478" s="426"/>
      <c r="Q478" s="426"/>
      <c r="R478" s="426"/>
      <c r="S478" s="426"/>
      <c r="T478" s="426"/>
    </row>
    <row r="479" spans="1:20" x14ac:dyDescent="0.2">
      <c r="A479" s="433"/>
      <c r="B479" s="113">
        <v>36</v>
      </c>
      <c r="C479" s="432">
        <v>86.65</v>
      </c>
      <c r="D479" s="432">
        <v>87.57</v>
      </c>
      <c r="E479" s="432">
        <v>87.95</v>
      </c>
      <c r="F479" s="426"/>
      <c r="G479" s="426"/>
      <c r="H479" s="426"/>
      <c r="I479" s="426"/>
      <c r="J479" s="426"/>
      <c r="K479" s="433"/>
      <c r="L479" s="113">
        <v>36</v>
      </c>
      <c r="M479" s="432">
        <v>92.1</v>
      </c>
      <c r="N479" s="432">
        <v>93.14</v>
      </c>
      <c r="O479" s="432">
        <v>93.55</v>
      </c>
      <c r="P479" s="426"/>
      <c r="Q479" s="426"/>
      <c r="R479" s="426"/>
      <c r="S479" s="426"/>
      <c r="T479" s="426"/>
    </row>
    <row r="480" spans="1:20" x14ac:dyDescent="0.2">
      <c r="A480" s="433"/>
      <c r="B480" s="113">
        <v>37</v>
      </c>
      <c r="C480" s="432">
        <v>87.47</v>
      </c>
      <c r="D480" s="432">
        <v>88.41</v>
      </c>
      <c r="E480" s="432">
        <v>88.79</v>
      </c>
      <c r="F480" s="426"/>
      <c r="G480" s="426"/>
      <c r="H480" s="426"/>
      <c r="I480" s="426"/>
      <c r="J480" s="426"/>
      <c r="K480" s="433"/>
      <c r="L480" s="113">
        <v>37</v>
      </c>
      <c r="M480" s="432">
        <v>93.01</v>
      </c>
      <c r="N480" s="432">
        <v>94.06</v>
      </c>
      <c r="O480" s="432">
        <v>94.47</v>
      </c>
      <c r="P480" s="426"/>
      <c r="Q480" s="426"/>
      <c r="R480" s="426"/>
      <c r="S480" s="426"/>
      <c r="T480" s="426"/>
    </row>
    <row r="481" spans="1:20" x14ac:dyDescent="0.2">
      <c r="A481" s="433"/>
      <c r="B481" s="113">
        <v>38</v>
      </c>
      <c r="C481" s="432">
        <v>88.33</v>
      </c>
      <c r="D481" s="432">
        <v>89.28</v>
      </c>
      <c r="E481" s="432">
        <v>89.66</v>
      </c>
      <c r="F481" s="426"/>
      <c r="G481" s="426"/>
      <c r="H481" s="426"/>
      <c r="I481" s="426"/>
      <c r="J481" s="426"/>
      <c r="K481" s="433"/>
      <c r="L481" s="113">
        <v>38</v>
      </c>
      <c r="M481" s="432">
        <v>93.96</v>
      </c>
      <c r="N481" s="432">
        <v>95.03</v>
      </c>
      <c r="O481" s="432">
        <v>95.44</v>
      </c>
      <c r="P481" s="426"/>
      <c r="Q481" s="426"/>
      <c r="R481" s="426"/>
      <c r="S481" s="426"/>
      <c r="T481" s="426"/>
    </row>
    <row r="482" spans="1:20" x14ac:dyDescent="0.2">
      <c r="A482" s="433"/>
      <c r="B482" s="113">
        <v>39</v>
      </c>
      <c r="C482" s="432">
        <v>89.22</v>
      </c>
      <c r="D482" s="432">
        <v>90.19</v>
      </c>
      <c r="E482" s="432">
        <v>90.58</v>
      </c>
      <c r="F482" s="426"/>
      <c r="G482" s="426"/>
      <c r="H482" s="426"/>
      <c r="I482" s="426"/>
      <c r="J482" s="426"/>
      <c r="K482" s="433"/>
      <c r="L482" s="113">
        <v>39</v>
      </c>
      <c r="M482" s="432">
        <v>94.95</v>
      </c>
      <c r="N482" s="432">
        <v>96.03</v>
      </c>
      <c r="O482" s="432">
        <v>96.45</v>
      </c>
      <c r="P482" s="426"/>
      <c r="Q482" s="426"/>
      <c r="R482" s="426"/>
      <c r="S482" s="426"/>
      <c r="T482" s="426"/>
    </row>
    <row r="483" spans="1:20" x14ac:dyDescent="0.2">
      <c r="A483" s="433"/>
      <c r="B483" s="113">
        <v>40</v>
      </c>
      <c r="C483" s="432">
        <v>90.16</v>
      </c>
      <c r="D483" s="432">
        <v>91.15</v>
      </c>
      <c r="E483" s="432">
        <v>91.53</v>
      </c>
      <c r="F483" s="426"/>
      <c r="G483" s="426"/>
      <c r="H483" s="426"/>
      <c r="I483" s="426"/>
      <c r="J483" s="426"/>
      <c r="K483" s="433"/>
      <c r="L483" s="113">
        <v>40</v>
      </c>
      <c r="M483" s="432">
        <v>95.97</v>
      </c>
      <c r="N483" s="432">
        <v>97.08</v>
      </c>
      <c r="O483" s="432">
        <v>97.5</v>
      </c>
      <c r="P483" s="426"/>
      <c r="Q483" s="426"/>
      <c r="R483" s="426"/>
      <c r="S483" s="426"/>
      <c r="T483" s="426"/>
    </row>
    <row r="484" spans="1:20" x14ac:dyDescent="0.2">
      <c r="A484" s="433"/>
      <c r="B484" s="113">
        <v>41</v>
      </c>
      <c r="C484" s="432">
        <v>91.13</v>
      </c>
      <c r="D484" s="432">
        <v>92.14</v>
      </c>
      <c r="E484" s="432">
        <v>92.53</v>
      </c>
      <c r="F484" s="426"/>
      <c r="G484" s="426"/>
      <c r="H484" s="426"/>
      <c r="I484" s="426"/>
      <c r="J484" s="426"/>
      <c r="K484" s="433"/>
      <c r="L484" s="113">
        <v>41</v>
      </c>
      <c r="M484" s="432">
        <v>97.04</v>
      </c>
      <c r="N484" s="432">
        <v>98.17</v>
      </c>
      <c r="O484" s="432">
        <v>98.59</v>
      </c>
      <c r="P484" s="426"/>
      <c r="Q484" s="426"/>
      <c r="R484" s="426"/>
      <c r="S484" s="426"/>
      <c r="T484" s="426"/>
    </row>
    <row r="485" spans="1:20" x14ac:dyDescent="0.2">
      <c r="A485" s="433"/>
      <c r="B485" s="113">
        <v>42</v>
      </c>
      <c r="C485" s="432">
        <v>92.15</v>
      </c>
      <c r="D485" s="432">
        <v>93.17</v>
      </c>
      <c r="E485" s="432">
        <v>93.56</v>
      </c>
      <c r="F485" s="426"/>
      <c r="G485" s="426"/>
      <c r="H485" s="426"/>
      <c r="I485" s="426"/>
      <c r="J485" s="426"/>
      <c r="K485" s="433"/>
      <c r="L485" s="113">
        <v>42</v>
      </c>
      <c r="M485" s="432">
        <v>98.15</v>
      </c>
      <c r="N485" s="432">
        <v>99.3</v>
      </c>
      <c r="O485" s="432">
        <v>99.72</v>
      </c>
      <c r="P485" s="426"/>
      <c r="Q485" s="426"/>
      <c r="R485" s="426"/>
      <c r="S485" s="426"/>
      <c r="T485" s="426"/>
    </row>
    <row r="486" spans="1:20" x14ac:dyDescent="0.2">
      <c r="A486" s="433"/>
      <c r="B486" s="113">
        <v>43</v>
      </c>
      <c r="C486" s="432">
        <v>93.2</v>
      </c>
      <c r="D486" s="432">
        <v>94.25</v>
      </c>
      <c r="E486" s="432">
        <v>94.64</v>
      </c>
      <c r="F486" s="426"/>
      <c r="G486" s="426"/>
      <c r="H486" s="426"/>
      <c r="I486" s="426"/>
      <c r="J486" s="426"/>
      <c r="K486" s="433"/>
      <c r="L486" s="113">
        <v>43</v>
      </c>
      <c r="M486" s="432">
        <v>99.29</v>
      </c>
      <c r="N486" s="432">
        <v>100.45</v>
      </c>
      <c r="O486" s="432">
        <v>100.88</v>
      </c>
      <c r="P486" s="426"/>
      <c r="Q486" s="426"/>
      <c r="R486" s="426"/>
      <c r="S486" s="426"/>
      <c r="T486" s="426"/>
    </row>
    <row r="487" spans="1:20" x14ac:dyDescent="0.2">
      <c r="A487" s="433"/>
      <c r="B487" s="113">
        <v>44</v>
      </c>
      <c r="C487" s="432">
        <v>94.29</v>
      </c>
      <c r="D487" s="432">
        <v>95.35</v>
      </c>
      <c r="E487" s="432">
        <v>95.74</v>
      </c>
      <c r="F487" s="426"/>
      <c r="G487" s="426"/>
      <c r="H487" s="426"/>
      <c r="I487" s="426"/>
      <c r="J487" s="426"/>
      <c r="K487" s="433"/>
      <c r="L487" s="113">
        <v>44</v>
      </c>
      <c r="M487" s="432">
        <v>100.46</v>
      </c>
      <c r="N487" s="432">
        <v>101.65</v>
      </c>
      <c r="O487" s="432">
        <v>102.07</v>
      </c>
      <c r="P487" s="426"/>
      <c r="Q487" s="426"/>
      <c r="R487" s="426"/>
      <c r="S487" s="426"/>
      <c r="T487" s="426"/>
    </row>
    <row r="488" spans="1:20" x14ac:dyDescent="0.2">
      <c r="A488" s="433"/>
      <c r="B488" s="113">
        <v>45</v>
      </c>
      <c r="C488" s="432">
        <v>95.41</v>
      </c>
      <c r="D488" s="432">
        <v>96.49</v>
      </c>
      <c r="E488" s="432">
        <v>96.88</v>
      </c>
      <c r="F488" s="426"/>
      <c r="G488" s="426"/>
      <c r="H488" s="426"/>
      <c r="I488" s="426"/>
      <c r="J488" s="426"/>
      <c r="K488" s="433"/>
      <c r="L488" s="113">
        <v>45</v>
      </c>
      <c r="M488" s="432">
        <v>101.67</v>
      </c>
      <c r="N488" s="432">
        <v>102.89</v>
      </c>
      <c r="O488" s="432">
        <v>103.31</v>
      </c>
      <c r="P488" s="426"/>
      <c r="Q488" s="426"/>
      <c r="R488" s="426"/>
      <c r="S488" s="426"/>
      <c r="T488" s="426"/>
    </row>
    <row r="489" spans="1:20" x14ac:dyDescent="0.2">
      <c r="A489" s="433"/>
      <c r="B489" s="113">
        <v>46</v>
      </c>
      <c r="C489" s="432">
        <v>96.57</v>
      </c>
      <c r="D489" s="432">
        <v>97.67</v>
      </c>
      <c r="E489" s="432">
        <v>98.07</v>
      </c>
      <c r="F489" s="426"/>
      <c r="G489" s="426"/>
      <c r="H489" s="426"/>
      <c r="I489" s="426"/>
      <c r="J489" s="426"/>
      <c r="K489" s="433"/>
      <c r="L489" s="113">
        <v>46</v>
      </c>
      <c r="M489" s="432">
        <v>102.93</v>
      </c>
      <c r="N489" s="432">
        <v>104.17</v>
      </c>
      <c r="O489" s="432">
        <v>104.6</v>
      </c>
      <c r="P489" s="426"/>
      <c r="Q489" s="426"/>
      <c r="R489" s="426"/>
      <c r="S489" s="426"/>
      <c r="T489" s="426"/>
    </row>
    <row r="490" spans="1:20" x14ac:dyDescent="0.2">
      <c r="A490" s="433"/>
      <c r="B490" s="113">
        <v>47</v>
      </c>
      <c r="C490" s="432">
        <v>97.78</v>
      </c>
      <c r="D490" s="432">
        <v>98.9</v>
      </c>
      <c r="E490" s="432">
        <v>99.3</v>
      </c>
      <c r="F490" s="426"/>
      <c r="G490" s="426"/>
      <c r="H490" s="426"/>
      <c r="I490" s="426"/>
      <c r="J490" s="426"/>
      <c r="K490" s="433"/>
      <c r="L490" s="113">
        <v>47</v>
      </c>
      <c r="M490" s="432">
        <v>104.25</v>
      </c>
      <c r="N490" s="432">
        <v>105.51</v>
      </c>
      <c r="O490" s="432">
        <v>105.94</v>
      </c>
      <c r="P490" s="426"/>
      <c r="Q490" s="426"/>
      <c r="R490" s="426"/>
      <c r="S490" s="426"/>
      <c r="T490" s="426"/>
    </row>
    <row r="491" spans="1:20" x14ac:dyDescent="0.2">
      <c r="A491" s="433"/>
      <c r="B491" s="113">
        <v>48</v>
      </c>
      <c r="C491" s="432">
        <v>99.05</v>
      </c>
      <c r="D491" s="432">
        <v>100.19</v>
      </c>
      <c r="E491" s="432">
        <v>100.59</v>
      </c>
      <c r="F491" s="426"/>
      <c r="G491" s="426"/>
      <c r="H491" s="426"/>
      <c r="I491" s="426"/>
      <c r="J491" s="426"/>
      <c r="K491" s="433"/>
      <c r="L491" s="113">
        <v>48</v>
      </c>
      <c r="M491" s="432">
        <v>105.63</v>
      </c>
      <c r="N491" s="432">
        <v>106.92</v>
      </c>
      <c r="O491" s="432">
        <v>107.34</v>
      </c>
      <c r="P491" s="426"/>
      <c r="Q491" s="426"/>
      <c r="R491" s="426"/>
      <c r="S491" s="426"/>
      <c r="T491" s="426"/>
    </row>
    <row r="492" spans="1:20" x14ac:dyDescent="0.2">
      <c r="A492" s="433"/>
      <c r="B492" s="113">
        <v>49</v>
      </c>
      <c r="C492" s="432">
        <v>100.38</v>
      </c>
      <c r="D492" s="432">
        <v>101.55</v>
      </c>
      <c r="E492" s="432">
        <v>101.95</v>
      </c>
      <c r="F492" s="426"/>
      <c r="G492" s="426"/>
      <c r="H492" s="426"/>
      <c r="I492" s="426"/>
      <c r="J492" s="426"/>
      <c r="K492" s="433"/>
      <c r="L492" s="113">
        <v>49</v>
      </c>
      <c r="M492" s="432">
        <v>107.09</v>
      </c>
      <c r="N492" s="432">
        <v>108.39</v>
      </c>
      <c r="O492" s="432">
        <v>108.82</v>
      </c>
      <c r="P492" s="426"/>
      <c r="Q492" s="426"/>
      <c r="R492" s="426"/>
      <c r="S492" s="426"/>
      <c r="T492" s="426"/>
    </row>
    <row r="493" spans="1:20" x14ac:dyDescent="0.2">
      <c r="A493" s="433"/>
      <c r="B493" s="113">
        <v>50</v>
      </c>
      <c r="C493" s="432">
        <v>101.78</v>
      </c>
      <c r="D493" s="432">
        <v>102.98</v>
      </c>
      <c r="E493" s="432">
        <v>103.38</v>
      </c>
      <c r="F493" s="426"/>
      <c r="G493" s="426"/>
      <c r="H493" s="426"/>
      <c r="I493" s="434"/>
      <c r="J493" s="435"/>
      <c r="K493" s="433"/>
      <c r="L493" s="113">
        <v>50</v>
      </c>
      <c r="M493" s="432">
        <v>108.62</v>
      </c>
      <c r="N493" s="432">
        <v>109.95</v>
      </c>
      <c r="O493" s="432">
        <v>110.38</v>
      </c>
      <c r="P493" s="426"/>
      <c r="Q493" s="426"/>
      <c r="R493" s="426"/>
      <c r="S493" s="434"/>
      <c r="T493" s="435"/>
    </row>
    <row r="494" spans="1:20" x14ac:dyDescent="0.2">
      <c r="A494" s="426"/>
      <c r="B494" s="113">
        <v>51</v>
      </c>
      <c r="C494" s="432">
        <v>103.27</v>
      </c>
      <c r="D494" s="432">
        <v>104.49</v>
      </c>
      <c r="E494" s="432">
        <v>104.88</v>
      </c>
      <c r="F494" s="426"/>
      <c r="G494" s="426"/>
      <c r="H494" s="426"/>
      <c r="I494" s="426"/>
      <c r="J494" s="436"/>
      <c r="K494" s="426"/>
      <c r="L494" s="113">
        <v>51</v>
      </c>
      <c r="M494" s="432">
        <v>110.23</v>
      </c>
      <c r="N494" s="432">
        <v>111.59</v>
      </c>
      <c r="O494" s="432">
        <v>112.02</v>
      </c>
      <c r="P494" s="426"/>
      <c r="Q494" s="426"/>
      <c r="R494" s="426"/>
      <c r="S494" s="426"/>
      <c r="T494" s="436"/>
    </row>
    <row r="495" spans="1:20" x14ac:dyDescent="0.2">
      <c r="A495" s="426"/>
      <c r="B495" s="113">
        <v>52</v>
      </c>
      <c r="C495" s="432">
        <v>104.84</v>
      </c>
      <c r="D495" s="432">
        <v>106.08</v>
      </c>
      <c r="E495" s="432">
        <v>106.48</v>
      </c>
      <c r="F495" s="426"/>
      <c r="G495" s="426"/>
      <c r="H495" s="426"/>
      <c r="I495" s="426"/>
      <c r="J495" s="426"/>
      <c r="K495" s="426"/>
      <c r="L495" s="113">
        <v>52</v>
      </c>
      <c r="M495" s="432">
        <v>111.99</v>
      </c>
      <c r="N495" s="432">
        <v>113.37</v>
      </c>
      <c r="O495" s="432">
        <v>113.8</v>
      </c>
      <c r="P495" s="426"/>
      <c r="Q495" s="426"/>
      <c r="R495" s="426"/>
      <c r="S495" s="426"/>
      <c r="T495" s="426"/>
    </row>
    <row r="496" spans="1:20" x14ac:dyDescent="0.2">
      <c r="A496" s="426"/>
      <c r="B496" s="113">
        <v>53</v>
      </c>
      <c r="C496" s="432">
        <v>106.55</v>
      </c>
      <c r="D496" s="432">
        <v>107.82</v>
      </c>
      <c r="E496" s="432">
        <v>108.22</v>
      </c>
      <c r="F496" s="426"/>
      <c r="G496" s="426"/>
      <c r="H496" s="426"/>
      <c r="I496" s="426"/>
      <c r="J496" s="426"/>
      <c r="K496" s="426"/>
      <c r="L496" s="113">
        <v>53</v>
      </c>
      <c r="M496" s="432">
        <v>113.93</v>
      </c>
      <c r="N496" s="432">
        <v>115.34</v>
      </c>
      <c r="O496" s="432">
        <v>115.77</v>
      </c>
      <c r="P496" s="426"/>
      <c r="Q496" s="426"/>
      <c r="R496" s="426"/>
      <c r="S496" s="426"/>
      <c r="T496" s="426"/>
    </row>
    <row r="497" spans="1:20" x14ac:dyDescent="0.2">
      <c r="A497" s="426"/>
      <c r="B497" s="113">
        <v>54</v>
      </c>
      <c r="C497" s="432">
        <v>108.44</v>
      </c>
      <c r="D497" s="432">
        <v>109.74</v>
      </c>
      <c r="E497" s="432">
        <v>110.14</v>
      </c>
      <c r="F497" s="426"/>
      <c r="G497" s="426"/>
      <c r="H497" s="426"/>
      <c r="I497" s="426"/>
      <c r="J497" s="426"/>
      <c r="K497" s="426"/>
      <c r="L497" s="113">
        <v>54</v>
      </c>
      <c r="M497" s="432">
        <v>116.04</v>
      </c>
      <c r="N497" s="432">
        <v>117.49</v>
      </c>
      <c r="O497" s="432">
        <v>117.92</v>
      </c>
      <c r="P497" s="426"/>
      <c r="Q497" s="426"/>
      <c r="R497" s="426"/>
      <c r="S497" s="426"/>
      <c r="T497" s="426"/>
    </row>
    <row r="498" spans="1:20" x14ac:dyDescent="0.2">
      <c r="A498" s="426"/>
      <c r="B498" s="113">
        <v>55</v>
      </c>
      <c r="C498" s="432">
        <v>110.5</v>
      </c>
      <c r="D498" s="432">
        <v>111.83</v>
      </c>
      <c r="E498" s="432">
        <v>112.23</v>
      </c>
      <c r="F498" s="426"/>
      <c r="G498" s="426"/>
      <c r="H498" s="426"/>
      <c r="I498" s="426"/>
      <c r="J498" s="426"/>
      <c r="K498" s="426"/>
      <c r="L498" s="113">
        <v>55</v>
      </c>
      <c r="M498" s="432">
        <v>118.32</v>
      </c>
      <c r="N498" s="432">
        <v>119.8</v>
      </c>
      <c r="O498" s="432">
        <v>120.23</v>
      </c>
      <c r="P498" s="426"/>
      <c r="Q498" s="426"/>
      <c r="R498" s="426"/>
      <c r="S498" s="426"/>
      <c r="T498" s="426"/>
    </row>
    <row r="499" spans="1:20" x14ac:dyDescent="0.2">
      <c r="A499" s="426"/>
      <c r="B499" s="113">
        <v>56</v>
      </c>
      <c r="C499" s="432">
        <v>112.73</v>
      </c>
      <c r="D499" s="432">
        <v>114.08</v>
      </c>
      <c r="E499" s="432">
        <v>114.48</v>
      </c>
      <c r="F499" s="426"/>
      <c r="G499" s="426"/>
      <c r="H499" s="426"/>
      <c r="I499" s="426"/>
      <c r="J499" s="426"/>
      <c r="K499" s="426"/>
      <c r="L499" s="113">
        <v>56</v>
      </c>
      <c r="M499" s="432">
        <v>120.74</v>
      </c>
      <c r="N499" s="432">
        <v>122.25</v>
      </c>
      <c r="O499" s="432">
        <v>122.68</v>
      </c>
      <c r="P499" s="426"/>
      <c r="Q499" s="426"/>
      <c r="R499" s="426"/>
      <c r="S499" s="426"/>
      <c r="T499" s="426"/>
    </row>
    <row r="500" spans="1:20" x14ac:dyDescent="0.2">
      <c r="A500" s="426"/>
      <c r="B500" s="113">
        <v>57</v>
      </c>
      <c r="C500" s="432">
        <v>115.1</v>
      </c>
      <c r="D500" s="432">
        <v>116.49</v>
      </c>
      <c r="E500" s="432">
        <v>116.89</v>
      </c>
      <c r="F500" s="426"/>
      <c r="G500" s="426"/>
      <c r="H500" s="426"/>
      <c r="I500" s="426"/>
      <c r="J500" s="426"/>
      <c r="K500" s="426"/>
      <c r="L500" s="113">
        <v>57</v>
      </c>
      <c r="M500" s="432">
        <v>123.28</v>
      </c>
      <c r="N500" s="432">
        <v>124.83</v>
      </c>
      <c r="O500" s="432">
        <v>125.26</v>
      </c>
      <c r="P500" s="426"/>
      <c r="Q500" s="426"/>
      <c r="R500" s="426"/>
      <c r="S500" s="426"/>
      <c r="T500" s="426"/>
    </row>
    <row r="501" spans="1:20" x14ac:dyDescent="0.2">
      <c r="A501" s="426"/>
      <c r="B501" s="113">
        <v>58</v>
      </c>
      <c r="C501" s="432">
        <v>117.6</v>
      </c>
      <c r="D501" s="432">
        <v>119.02</v>
      </c>
      <c r="E501" s="432">
        <v>119.42</v>
      </c>
      <c r="F501" s="426"/>
      <c r="G501" s="426"/>
      <c r="H501" s="426"/>
      <c r="I501" s="426"/>
      <c r="J501" s="426"/>
      <c r="K501" s="426"/>
      <c r="L501" s="113">
        <v>58</v>
      </c>
      <c r="M501" s="432">
        <v>125.93</v>
      </c>
      <c r="N501" s="432">
        <v>127.51</v>
      </c>
      <c r="O501" s="432">
        <v>127.94</v>
      </c>
      <c r="P501" s="426"/>
      <c r="Q501" s="426"/>
      <c r="R501" s="426"/>
      <c r="S501" s="426"/>
      <c r="T501" s="426"/>
    </row>
    <row r="502" spans="1:20" x14ac:dyDescent="0.2">
      <c r="A502" s="426"/>
      <c r="B502" s="113">
        <v>59</v>
      </c>
      <c r="C502" s="432">
        <v>120.2</v>
      </c>
      <c r="D502" s="432">
        <v>121.66</v>
      </c>
      <c r="E502" s="432">
        <v>122.06</v>
      </c>
      <c r="F502" s="426"/>
      <c r="G502" s="426"/>
      <c r="H502" s="426"/>
      <c r="I502" s="426"/>
      <c r="J502" s="426"/>
      <c r="K502" s="426"/>
      <c r="L502" s="113">
        <v>59</v>
      </c>
      <c r="M502" s="432">
        <v>128.63999999999999</v>
      </c>
      <c r="N502" s="432">
        <v>130.26</v>
      </c>
      <c r="O502" s="432">
        <v>130.69</v>
      </c>
      <c r="P502" s="426"/>
      <c r="Q502" s="426"/>
      <c r="R502" s="426"/>
      <c r="S502" s="426"/>
      <c r="T502" s="426"/>
    </row>
    <row r="503" spans="1:20" x14ac:dyDescent="0.2">
      <c r="A503" s="426"/>
      <c r="B503" s="113">
        <v>60</v>
      </c>
      <c r="C503" s="432">
        <v>122.89</v>
      </c>
      <c r="D503" s="432">
        <v>124.38</v>
      </c>
      <c r="E503" s="432">
        <v>124.78</v>
      </c>
      <c r="F503" s="426"/>
      <c r="G503" s="426"/>
      <c r="H503" s="426"/>
      <c r="I503" s="426"/>
      <c r="J503" s="426"/>
      <c r="K503" s="426"/>
      <c r="L503" s="113">
        <v>60</v>
      </c>
      <c r="M503" s="432">
        <v>131.38999999999999</v>
      </c>
      <c r="N503" s="432">
        <v>133.04</v>
      </c>
      <c r="O503" s="432">
        <v>133.47</v>
      </c>
      <c r="P503" s="426"/>
      <c r="Q503" s="426"/>
      <c r="R503" s="426"/>
      <c r="S503" s="426"/>
      <c r="T503" s="426"/>
    </row>
    <row r="504" spans="1:20" x14ac:dyDescent="0.2">
      <c r="A504" s="426"/>
      <c r="B504" s="113">
        <v>61</v>
      </c>
      <c r="C504" s="432">
        <v>125.63</v>
      </c>
      <c r="D504" s="432">
        <v>127.14</v>
      </c>
      <c r="E504" s="432">
        <v>127.55</v>
      </c>
      <c r="F504" s="426"/>
      <c r="G504" s="426"/>
      <c r="H504" s="426"/>
      <c r="I504" s="426"/>
      <c r="J504" s="426"/>
      <c r="K504" s="426"/>
      <c r="L504" s="113">
        <v>61</v>
      </c>
      <c r="M504" s="432">
        <v>134.13999999999999</v>
      </c>
      <c r="N504" s="432">
        <v>135.81</v>
      </c>
      <c r="O504" s="432">
        <v>136.24</v>
      </c>
      <c r="P504" s="426"/>
      <c r="Q504" s="426"/>
      <c r="R504" s="426"/>
      <c r="S504" s="426"/>
      <c r="T504" s="426"/>
    </row>
    <row r="505" spans="1:20" x14ac:dyDescent="0.2">
      <c r="A505" s="426"/>
      <c r="B505" s="113">
        <v>62</v>
      </c>
      <c r="C505" s="432">
        <v>128.38999999999999</v>
      </c>
      <c r="D505" s="432">
        <v>129.93</v>
      </c>
      <c r="E505" s="432">
        <v>130.33000000000001</v>
      </c>
      <c r="F505" s="426"/>
      <c r="G505" s="426"/>
      <c r="H505" s="426"/>
      <c r="I505" s="426"/>
      <c r="J505" s="426"/>
      <c r="K505" s="426"/>
      <c r="L505" s="113">
        <v>62</v>
      </c>
      <c r="M505" s="432">
        <v>136.83000000000001</v>
      </c>
      <c r="N505" s="432">
        <v>138.53</v>
      </c>
      <c r="O505" s="432">
        <v>138.96</v>
      </c>
      <c r="P505" s="426"/>
      <c r="Q505" s="426"/>
      <c r="R505" s="426"/>
      <c r="S505" s="426"/>
      <c r="T505" s="426"/>
    </row>
    <row r="506" spans="1:20" x14ac:dyDescent="0.2">
      <c r="A506" s="426"/>
      <c r="B506" s="113">
        <v>63</v>
      </c>
      <c r="C506" s="432">
        <v>131.13</v>
      </c>
      <c r="D506" s="432">
        <v>132.69999999999999</v>
      </c>
      <c r="E506" s="432">
        <v>133.1</v>
      </c>
      <c r="F506" s="426"/>
      <c r="G506" s="426"/>
      <c r="H506" s="426"/>
      <c r="I506" s="426"/>
      <c r="J506" s="426"/>
      <c r="K506" s="426"/>
      <c r="L506" s="113">
        <v>63</v>
      </c>
      <c r="M506" s="432">
        <v>139.43</v>
      </c>
      <c r="N506" s="432">
        <v>141.15</v>
      </c>
      <c r="O506" s="432">
        <v>141.59</v>
      </c>
      <c r="P506" s="426"/>
      <c r="Q506" s="426"/>
      <c r="R506" s="426"/>
      <c r="S506" s="426"/>
      <c r="T506" s="426"/>
    </row>
    <row r="507" spans="1:20" x14ac:dyDescent="0.2">
      <c r="A507" s="426"/>
      <c r="B507" s="113">
        <v>64</v>
      </c>
      <c r="C507" s="432">
        <v>133.84</v>
      </c>
      <c r="D507" s="432">
        <v>135.41999999999999</v>
      </c>
      <c r="E507" s="432">
        <v>135.83000000000001</v>
      </c>
      <c r="F507" s="426"/>
      <c r="G507" s="426"/>
      <c r="H507" s="426"/>
      <c r="I507" s="426"/>
      <c r="J507" s="426"/>
      <c r="K507" s="426"/>
      <c r="L507" s="113">
        <v>64</v>
      </c>
      <c r="M507" s="432">
        <v>141.91</v>
      </c>
      <c r="N507" s="432">
        <v>143.65</v>
      </c>
      <c r="O507" s="432">
        <v>144.08000000000001</v>
      </c>
      <c r="P507" s="426"/>
      <c r="Q507" s="426"/>
      <c r="R507" s="426"/>
      <c r="S507" s="426"/>
      <c r="T507" s="426"/>
    </row>
    <row r="508" spans="1:20" x14ac:dyDescent="0.2">
      <c r="A508" s="426"/>
      <c r="B508" s="113">
        <v>65</v>
      </c>
      <c r="C508" s="432">
        <v>136.47</v>
      </c>
      <c r="D508" s="432">
        <v>138.08000000000001</v>
      </c>
      <c r="E508" s="432">
        <v>138.47999999999999</v>
      </c>
      <c r="F508" s="426"/>
      <c r="G508" s="426"/>
      <c r="H508" s="426"/>
      <c r="I508" s="426"/>
      <c r="J508" s="426"/>
      <c r="K508" s="426"/>
      <c r="L508" s="113">
        <v>65</v>
      </c>
      <c r="M508" s="432">
        <v>144.21</v>
      </c>
      <c r="N508" s="432">
        <v>145.97</v>
      </c>
      <c r="O508" s="432">
        <v>146.4</v>
      </c>
      <c r="P508" s="426"/>
      <c r="Q508" s="426"/>
      <c r="R508" s="426"/>
      <c r="S508" s="426"/>
      <c r="T508" s="426"/>
    </row>
    <row r="509" spans="1:20" x14ac:dyDescent="0.2">
      <c r="A509" s="426"/>
      <c r="B509" s="113">
        <v>66</v>
      </c>
      <c r="C509" s="432">
        <v>138.99</v>
      </c>
      <c r="D509" s="432">
        <v>140.62</v>
      </c>
      <c r="E509" s="432">
        <v>141.03</v>
      </c>
      <c r="F509" s="426"/>
      <c r="G509" s="426"/>
      <c r="H509" s="426"/>
      <c r="I509" s="426"/>
      <c r="J509" s="426"/>
      <c r="K509" s="426"/>
      <c r="L509" s="113">
        <v>66</v>
      </c>
      <c r="M509" s="432">
        <v>146.31</v>
      </c>
      <c r="N509" s="432">
        <v>148.08000000000001</v>
      </c>
      <c r="O509" s="432">
        <v>148.52000000000001</v>
      </c>
      <c r="P509" s="426"/>
      <c r="Q509" s="426"/>
      <c r="R509" s="426"/>
      <c r="S509" s="426"/>
      <c r="T509" s="426"/>
    </row>
    <row r="510" spans="1:20" x14ac:dyDescent="0.2">
      <c r="A510" s="426"/>
      <c r="B510" s="113">
        <v>67</v>
      </c>
      <c r="C510" s="432">
        <v>141.38</v>
      </c>
      <c r="D510" s="432">
        <v>143.02000000000001</v>
      </c>
      <c r="E510" s="432">
        <v>143.41999999999999</v>
      </c>
      <c r="F510" s="426"/>
      <c r="G510" s="426"/>
      <c r="H510" s="426"/>
      <c r="I510" s="426"/>
      <c r="J510" s="426"/>
      <c r="K510" s="426"/>
      <c r="L510" s="113">
        <v>67</v>
      </c>
      <c r="M510" s="432">
        <v>148.16</v>
      </c>
      <c r="N510" s="432">
        <v>149.94</v>
      </c>
      <c r="O510" s="432">
        <v>150.37</v>
      </c>
      <c r="P510" s="426"/>
      <c r="Q510" s="426"/>
      <c r="R510" s="426"/>
      <c r="S510" s="426"/>
      <c r="T510" s="426"/>
    </row>
    <row r="511" spans="1:20" x14ac:dyDescent="0.2">
      <c r="A511" s="426"/>
      <c r="B511" s="113">
        <v>68</v>
      </c>
      <c r="C511" s="432">
        <v>143.58000000000001</v>
      </c>
      <c r="D511" s="432">
        <v>145.22999999999999</v>
      </c>
      <c r="E511" s="432">
        <v>145.63999999999999</v>
      </c>
      <c r="F511" s="426"/>
      <c r="G511" s="426"/>
      <c r="H511" s="426"/>
      <c r="I511" s="426"/>
      <c r="J511" s="426"/>
      <c r="K511" s="426"/>
      <c r="L511" s="113">
        <v>68</v>
      </c>
      <c r="M511" s="432">
        <v>149.71</v>
      </c>
      <c r="N511" s="432">
        <v>151.49</v>
      </c>
      <c r="O511" s="432">
        <v>151.93</v>
      </c>
      <c r="P511" s="426"/>
      <c r="Q511" s="426"/>
      <c r="R511" s="426"/>
      <c r="S511" s="426"/>
      <c r="T511" s="426"/>
    </row>
    <row r="512" spans="1:20" x14ac:dyDescent="0.2">
      <c r="A512" s="426"/>
      <c r="B512" s="113">
        <v>69</v>
      </c>
      <c r="C512" s="432">
        <v>145.56</v>
      </c>
      <c r="D512" s="432">
        <v>147.22</v>
      </c>
      <c r="E512" s="432">
        <v>147.62</v>
      </c>
      <c r="F512" s="426"/>
      <c r="G512" s="426"/>
      <c r="H512" s="426"/>
      <c r="I512" s="426"/>
      <c r="J512" s="426"/>
      <c r="K512" s="426"/>
      <c r="L512" s="113">
        <v>69</v>
      </c>
      <c r="M512" s="432">
        <v>150.91999999999999</v>
      </c>
      <c r="N512" s="432">
        <v>152.69999999999999</v>
      </c>
      <c r="O512" s="432">
        <v>153.13999999999999</v>
      </c>
      <c r="P512" s="426"/>
      <c r="Q512" s="426"/>
      <c r="R512" s="426"/>
      <c r="S512" s="426"/>
      <c r="T512" s="426"/>
    </row>
    <row r="513" spans="1:20" x14ac:dyDescent="0.2">
      <c r="A513" s="426"/>
      <c r="B513" s="113">
        <v>70</v>
      </c>
      <c r="C513" s="432">
        <v>147.27000000000001</v>
      </c>
      <c r="D513" s="432">
        <v>148.94</v>
      </c>
      <c r="E513" s="432">
        <v>149.34</v>
      </c>
      <c r="F513" s="426"/>
      <c r="G513" s="426"/>
      <c r="H513" s="426"/>
      <c r="I513" s="426"/>
      <c r="J513" s="426"/>
      <c r="K513" s="426"/>
      <c r="L513" s="113">
        <v>70</v>
      </c>
      <c r="M513" s="432">
        <v>151.76</v>
      </c>
      <c r="N513" s="432">
        <v>153.53</v>
      </c>
      <c r="O513" s="432">
        <v>153.97</v>
      </c>
      <c r="P513" s="426"/>
      <c r="Q513" s="426"/>
      <c r="R513" s="426"/>
      <c r="S513" s="426"/>
      <c r="T513" s="426"/>
    </row>
    <row r="514" spans="1:20" x14ac:dyDescent="0.2">
      <c r="A514" s="426"/>
      <c r="B514" s="113">
        <v>71</v>
      </c>
      <c r="C514" s="432">
        <v>148.68</v>
      </c>
      <c r="D514" s="432">
        <v>150.35</v>
      </c>
      <c r="E514" s="432">
        <v>150.75</v>
      </c>
      <c r="F514" s="426"/>
      <c r="G514" s="426"/>
      <c r="H514" s="426"/>
      <c r="I514" s="426"/>
      <c r="J514" s="426"/>
      <c r="K514" s="426"/>
      <c r="L514" s="113">
        <v>71</v>
      </c>
      <c r="M514" s="432">
        <v>152.16999999999999</v>
      </c>
      <c r="N514" s="432">
        <v>153.94</v>
      </c>
      <c r="O514" s="432">
        <v>154.37</v>
      </c>
      <c r="P514" s="426"/>
      <c r="Q514" s="426"/>
      <c r="R514" s="426"/>
      <c r="S514" s="426"/>
      <c r="T514" s="426"/>
    </row>
    <row r="515" spans="1:20" x14ac:dyDescent="0.2">
      <c r="A515" s="426"/>
      <c r="B515" s="113">
        <v>72</v>
      </c>
      <c r="C515" s="432">
        <v>149.74</v>
      </c>
      <c r="D515" s="432">
        <v>151.41</v>
      </c>
      <c r="E515" s="432">
        <v>151.81</v>
      </c>
      <c r="F515" s="426"/>
      <c r="G515" s="426"/>
      <c r="H515" s="426"/>
      <c r="I515" s="426"/>
      <c r="J515" s="426"/>
      <c r="K515" s="426"/>
      <c r="L515" s="113">
        <v>72</v>
      </c>
      <c r="M515" s="432">
        <v>152.13999999999999</v>
      </c>
      <c r="N515" s="432">
        <v>153.9</v>
      </c>
      <c r="O515" s="432">
        <v>154.33000000000001</v>
      </c>
      <c r="P515" s="426"/>
      <c r="Q515" s="426"/>
      <c r="R515" s="426"/>
      <c r="S515" s="426"/>
      <c r="T515" s="426"/>
    </row>
    <row r="516" spans="1:20" x14ac:dyDescent="0.2">
      <c r="A516" s="426"/>
      <c r="B516" s="113">
        <v>73</v>
      </c>
      <c r="C516" s="432">
        <v>150.41999999999999</v>
      </c>
      <c r="D516" s="432">
        <v>152.09</v>
      </c>
      <c r="E516" s="432">
        <v>152.49</v>
      </c>
      <c r="F516" s="426"/>
      <c r="G516" s="426"/>
      <c r="H516" s="426"/>
      <c r="I516" s="426"/>
      <c r="J516" s="426"/>
      <c r="K516" s="426"/>
      <c r="L516" s="113">
        <v>73</v>
      </c>
      <c r="M516" s="432">
        <v>151.63999999999999</v>
      </c>
      <c r="N516" s="432">
        <v>153.38</v>
      </c>
      <c r="O516" s="432">
        <v>153.81</v>
      </c>
      <c r="P516" s="426"/>
      <c r="Q516" s="426"/>
      <c r="R516" s="426"/>
      <c r="S516" s="426"/>
      <c r="T516" s="426"/>
    </row>
    <row r="517" spans="1:20" x14ac:dyDescent="0.2">
      <c r="A517" s="426"/>
      <c r="B517" s="113">
        <v>74</v>
      </c>
      <c r="C517" s="432">
        <v>150.69</v>
      </c>
      <c r="D517" s="432">
        <v>152.34</v>
      </c>
      <c r="E517" s="432">
        <v>152.75</v>
      </c>
      <c r="F517" s="426"/>
      <c r="G517" s="426"/>
      <c r="H517" s="426"/>
      <c r="I517" s="426"/>
      <c r="J517" s="426"/>
      <c r="K517" s="426"/>
      <c r="L517" s="113">
        <v>74</v>
      </c>
      <c r="M517" s="432">
        <v>150.65</v>
      </c>
      <c r="N517" s="432">
        <v>152.38</v>
      </c>
      <c r="O517" s="432">
        <v>152.80000000000001</v>
      </c>
      <c r="P517" s="426"/>
      <c r="Q517" s="426"/>
      <c r="R517" s="426"/>
      <c r="S517" s="426"/>
      <c r="T517" s="426"/>
    </row>
    <row r="518" spans="1:20" x14ac:dyDescent="0.2">
      <c r="A518" s="426"/>
      <c r="B518" s="113">
        <v>75</v>
      </c>
      <c r="C518" s="432">
        <v>150.51</v>
      </c>
      <c r="D518" s="432">
        <v>152.16</v>
      </c>
      <c r="E518" s="432">
        <v>152.56</v>
      </c>
      <c r="F518" s="426"/>
      <c r="G518" s="426"/>
      <c r="H518" s="426"/>
      <c r="I518" s="426"/>
      <c r="J518" s="426"/>
      <c r="K518" s="426"/>
      <c r="L518" s="113">
        <v>75</v>
      </c>
      <c r="M518" s="432">
        <v>149.16999999999999</v>
      </c>
      <c r="N518" s="432">
        <v>150.87</v>
      </c>
      <c r="O518" s="432">
        <v>151.28</v>
      </c>
      <c r="P518" s="426"/>
      <c r="Q518" s="426"/>
      <c r="R518" s="426"/>
      <c r="S518" s="426"/>
      <c r="T518" s="426"/>
    </row>
    <row r="519" spans="1:20" x14ac:dyDescent="0.2">
      <c r="A519" s="426"/>
      <c r="B519" s="113">
        <v>76</v>
      </c>
      <c r="C519" s="432">
        <v>149.87</v>
      </c>
      <c r="D519" s="432">
        <v>151.5</v>
      </c>
      <c r="E519" s="432">
        <v>151.9</v>
      </c>
      <c r="F519" s="426"/>
      <c r="G519" s="426"/>
      <c r="H519" s="426"/>
      <c r="I519" s="426"/>
      <c r="J519" s="426"/>
      <c r="K519" s="426"/>
      <c r="L519" s="113">
        <v>76</v>
      </c>
      <c r="M519" s="432">
        <v>147.18</v>
      </c>
      <c r="N519" s="432">
        <v>148.86000000000001</v>
      </c>
      <c r="O519" s="432">
        <v>149.27000000000001</v>
      </c>
      <c r="P519" s="426"/>
      <c r="Q519" s="426"/>
      <c r="R519" s="426"/>
      <c r="S519" s="426"/>
      <c r="T519" s="426"/>
    </row>
    <row r="520" spans="1:20" x14ac:dyDescent="0.2">
      <c r="A520" s="426"/>
      <c r="B520" s="113">
        <v>77</v>
      </c>
      <c r="C520" s="432">
        <v>148.75</v>
      </c>
      <c r="D520" s="432">
        <v>150.37</v>
      </c>
      <c r="E520" s="432">
        <v>150.76</v>
      </c>
      <c r="F520" s="426"/>
      <c r="G520" s="426"/>
      <c r="H520" s="426"/>
      <c r="I520" s="426"/>
      <c r="J520" s="426"/>
      <c r="K520" s="426"/>
      <c r="L520" s="113">
        <v>77</v>
      </c>
      <c r="M520" s="432">
        <v>144.72</v>
      </c>
      <c r="N520" s="432">
        <v>146.37</v>
      </c>
      <c r="O520" s="432">
        <v>146.77000000000001</v>
      </c>
      <c r="P520" s="426"/>
      <c r="Q520" s="426"/>
      <c r="R520" s="426"/>
      <c r="S520" s="426"/>
      <c r="T520" s="426"/>
    </row>
    <row r="521" spans="1:20" x14ac:dyDescent="0.2">
      <c r="A521" s="426"/>
      <c r="B521" s="113">
        <v>78</v>
      </c>
      <c r="C521" s="432">
        <v>147.15</v>
      </c>
      <c r="D521" s="432">
        <v>148.75</v>
      </c>
      <c r="E521" s="432">
        <v>149.13999999999999</v>
      </c>
      <c r="F521" s="426"/>
      <c r="G521" s="426"/>
      <c r="H521" s="426"/>
      <c r="I521" s="426"/>
      <c r="J521" s="426"/>
      <c r="K521" s="426"/>
      <c r="L521" s="113">
        <v>78</v>
      </c>
      <c r="M521" s="432">
        <v>141.79</v>
      </c>
      <c r="N521" s="432">
        <v>143.4</v>
      </c>
      <c r="O521" s="432">
        <v>143.80000000000001</v>
      </c>
      <c r="P521" s="426"/>
      <c r="Q521" s="426"/>
      <c r="R521" s="426"/>
      <c r="S521" s="426"/>
      <c r="T521" s="426"/>
    </row>
    <row r="522" spans="1:20" x14ac:dyDescent="0.2">
      <c r="A522" s="426"/>
      <c r="B522" s="113">
        <v>79</v>
      </c>
      <c r="C522" s="432">
        <v>145.07</v>
      </c>
      <c r="D522" s="432">
        <v>146.63999999999999</v>
      </c>
      <c r="E522" s="432">
        <v>147.03</v>
      </c>
      <c r="F522" s="426"/>
      <c r="G522" s="426"/>
      <c r="H522" s="426"/>
      <c r="I522" s="426"/>
      <c r="J522" s="426"/>
      <c r="K522" s="426"/>
      <c r="L522" s="113">
        <v>79</v>
      </c>
      <c r="M522" s="432">
        <v>138.41999999999999</v>
      </c>
      <c r="N522" s="432">
        <v>140</v>
      </c>
      <c r="O522" s="432">
        <v>140.4</v>
      </c>
      <c r="P522" s="426"/>
      <c r="Q522" s="426"/>
      <c r="R522" s="426"/>
      <c r="S522" s="426"/>
      <c r="T522" s="426"/>
    </row>
    <row r="523" spans="1:20" x14ac:dyDescent="0.2">
      <c r="A523" s="426"/>
      <c r="B523" s="113">
        <v>80</v>
      </c>
      <c r="C523" s="432">
        <v>142.52000000000001</v>
      </c>
      <c r="D523" s="432">
        <v>144.07</v>
      </c>
      <c r="E523" s="432">
        <v>144.46</v>
      </c>
      <c r="F523" s="426"/>
      <c r="G523" s="426"/>
      <c r="H523" s="426"/>
      <c r="I523" s="426"/>
      <c r="J523" s="426"/>
      <c r="K523" s="426"/>
      <c r="L523" s="113">
        <v>80</v>
      </c>
      <c r="M523" s="432">
        <v>134.66</v>
      </c>
      <c r="N523" s="432">
        <v>136.19999999999999</v>
      </c>
      <c r="O523" s="432">
        <v>136.59</v>
      </c>
      <c r="P523" s="426"/>
      <c r="Q523" s="426"/>
      <c r="R523" s="426"/>
      <c r="S523" s="426"/>
      <c r="T523" s="426"/>
    </row>
    <row r="524" spans="1:20" x14ac:dyDescent="0.2">
      <c r="A524" s="426"/>
      <c r="B524" s="113">
        <v>81</v>
      </c>
      <c r="C524" s="432">
        <v>139.53</v>
      </c>
      <c r="D524" s="432">
        <v>141.05000000000001</v>
      </c>
      <c r="E524" s="432">
        <v>141.43</v>
      </c>
      <c r="F524" s="426"/>
      <c r="G524" s="426"/>
      <c r="H524" s="426"/>
      <c r="I524" s="426"/>
      <c r="J524" s="426"/>
      <c r="K524" s="426"/>
      <c r="L524" s="113">
        <v>81</v>
      </c>
      <c r="M524" s="432">
        <v>130.54</v>
      </c>
      <c r="N524" s="432">
        <v>132.05000000000001</v>
      </c>
      <c r="O524" s="432">
        <v>132.43</v>
      </c>
      <c r="P524" s="426"/>
      <c r="Q524" s="426"/>
      <c r="R524" s="426"/>
      <c r="S524" s="426"/>
      <c r="T524" s="426"/>
    </row>
    <row r="525" spans="1:20" x14ac:dyDescent="0.2">
      <c r="A525" s="426"/>
      <c r="B525" s="113">
        <v>82</v>
      </c>
      <c r="C525" s="432">
        <v>136.12</v>
      </c>
      <c r="D525" s="432">
        <v>137.61000000000001</v>
      </c>
      <c r="E525" s="432">
        <v>137.99</v>
      </c>
      <c r="F525" s="426"/>
      <c r="G525" s="426"/>
      <c r="H525" s="426"/>
      <c r="I525" s="426"/>
      <c r="J525" s="426"/>
      <c r="K525" s="426"/>
      <c r="L525" s="113">
        <v>82</v>
      </c>
      <c r="M525" s="432">
        <v>126.11</v>
      </c>
      <c r="N525" s="432">
        <v>127.59</v>
      </c>
      <c r="O525" s="432">
        <v>127.96</v>
      </c>
      <c r="P525" s="426"/>
      <c r="Q525" s="426"/>
      <c r="R525" s="426"/>
      <c r="S525" s="426"/>
      <c r="T525" s="426"/>
    </row>
    <row r="526" spans="1:20" x14ac:dyDescent="0.2">
      <c r="A526" s="426"/>
      <c r="B526" s="113">
        <v>83</v>
      </c>
      <c r="C526" s="432">
        <v>132.33000000000001</v>
      </c>
      <c r="D526" s="432">
        <v>133.79</v>
      </c>
      <c r="E526" s="432">
        <v>134.16</v>
      </c>
      <c r="F526" s="426"/>
      <c r="G526" s="426"/>
      <c r="H526" s="426"/>
      <c r="I526" s="426"/>
      <c r="J526" s="426"/>
      <c r="K526" s="426"/>
      <c r="L526" s="113">
        <v>83</v>
      </c>
      <c r="M526" s="432">
        <v>121.43</v>
      </c>
      <c r="N526" s="432">
        <v>122.87</v>
      </c>
      <c r="O526" s="432">
        <v>123.24</v>
      </c>
      <c r="P526" s="426"/>
      <c r="Q526" s="426"/>
      <c r="R526" s="426"/>
      <c r="S526" s="426"/>
      <c r="T526" s="426"/>
    </row>
    <row r="527" spans="1:20" x14ac:dyDescent="0.2">
      <c r="A527" s="426"/>
      <c r="B527" s="113">
        <v>84</v>
      </c>
      <c r="C527" s="432">
        <v>128.21</v>
      </c>
      <c r="D527" s="432">
        <v>129.63</v>
      </c>
      <c r="E527" s="432">
        <v>130</v>
      </c>
      <c r="F527" s="426"/>
      <c r="G527" s="426"/>
      <c r="H527" s="426"/>
      <c r="I527" s="426"/>
      <c r="J527" s="426"/>
      <c r="K527" s="426"/>
      <c r="L527" s="113">
        <v>84</v>
      </c>
      <c r="M527" s="432">
        <v>116.55</v>
      </c>
      <c r="N527" s="432">
        <v>117.95</v>
      </c>
      <c r="O527" s="432">
        <v>118.31</v>
      </c>
      <c r="P527" s="426"/>
      <c r="Q527" s="426"/>
      <c r="R527" s="426"/>
      <c r="S527" s="426"/>
      <c r="T527" s="426"/>
    </row>
    <row r="528" spans="1:20" x14ac:dyDescent="0.2">
      <c r="A528" s="426"/>
      <c r="B528" s="113">
        <v>85</v>
      </c>
      <c r="C528" s="432">
        <v>123.79</v>
      </c>
      <c r="D528" s="432">
        <v>125.19</v>
      </c>
      <c r="E528" s="432">
        <v>125.55</v>
      </c>
      <c r="F528" s="426"/>
      <c r="G528" s="426"/>
      <c r="H528" s="426"/>
      <c r="I528" s="426"/>
      <c r="J528" s="426"/>
      <c r="K528" s="426"/>
      <c r="L528" s="113">
        <v>85</v>
      </c>
      <c r="M528" s="432">
        <v>111.52</v>
      </c>
      <c r="N528" s="432">
        <v>112.88</v>
      </c>
      <c r="O528" s="432">
        <v>113.23</v>
      </c>
      <c r="P528" s="426"/>
      <c r="Q528" s="426"/>
      <c r="R528" s="426"/>
      <c r="S528" s="426"/>
      <c r="T528" s="426"/>
    </row>
    <row r="529" spans="1:20" x14ac:dyDescent="0.2">
      <c r="A529" s="426"/>
      <c r="B529" s="113">
        <v>86</v>
      </c>
      <c r="C529" s="432">
        <v>119.14</v>
      </c>
      <c r="D529" s="432">
        <v>120.5</v>
      </c>
      <c r="E529" s="432">
        <v>120.86</v>
      </c>
      <c r="F529" s="426"/>
      <c r="G529" s="426"/>
      <c r="H529" s="426"/>
      <c r="I529" s="426"/>
      <c r="J529" s="426"/>
      <c r="K529" s="426"/>
      <c r="L529" s="113">
        <v>86</v>
      </c>
      <c r="M529" s="432">
        <v>106.4</v>
      </c>
      <c r="N529" s="432">
        <v>107.71</v>
      </c>
      <c r="O529" s="432">
        <v>108.06</v>
      </c>
      <c r="P529" s="426"/>
      <c r="Q529" s="426"/>
      <c r="R529" s="426"/>
      <c r="S529" s="426"/>
      <c r="T529" s="426"/>
    </row>
    <row r="530" spans="1:20" x14ac:dyDescent="0.2">
      <c r="A530" s="426"/>
      <c r="B530" s="113">
        <v>87</v>
      </c>
      <c r="C530" s="432">
        <v>114.29</v>
      </c>
      <c r="D530" s="432">
        <v>115.62</v>
      </c>
      <c r="E530" s="432">
        <v>115.97</v>
      </c>
      <c r="F530" s="426"/>
      <c r="G530" s="426"/>
      <c r="H530" s="426"/>
      <c r="I530" s="426"/>
      <c r="J530" s="426"/>
      <c r="K530" s="426"/>
      <c r="L530" s="113">
        <v>87</v>
      </c>
      <c r="M530" s="432">
        <v>101.22</v>
      </c>
      <c r="N530" s="432">
        <v>102.5</v>
      </c>
      <c r="O530" s="432">
        <v>102.84</v>
      </c>
      <c r="P530" s="426"/>
      <c r="Q530" s="426"/>
      <c r="R530" s="426"/>
      <c r="S530" s="426"/>
      <c r="T530" s="426"/>
    </row>
    <row r="531" spans="1:20" x14ac:dyDescent="0.2">
      <c r="A531" s="426"/>
      <c r="B531" s="113">
        <v>88</v>
      </c>
      <c r="C531" s="432">
        <v>109.31</v>
      </c>
      <c r="D531" s="432">
        <v>110.6</v>
      </c>
      <c r="E531" s="432">
        <v>110.95</v>
      </c>
      <c r="F531" s="426"/>
      <c r="G531" s="426"/>
      <c r="H531" s="426"/>
      <c r="I531" s="426"/>
      <c r="J531" s="426"/>
      <c r="K531" s="426"/>
      <c r="L531" s="113">
        <v>88</v>
      </c>
      <c r="M531" s="432">
        <v>96.05</v>
      </c>
      <c r="N531" s="432">
        <v>97.28</v>
      </c>
      <c r="O531" s="432">
        <v>97.62</v>
      </c>
      <c r="P531" s="426"/>
      <c r="Q531" s="426"/>
      <c r="R531" s="426"/>
      <c r="S531" s="426"/>
      <c r="T531" s="426"/>
    </row>
    <row r="532" spans="1:20" x14ac:dyDescent="0.2">
      <c r="A532" s="426"/>
      <c r="B532" s="113">
        <v>89</v>
      </c>
      <c r="C532" s="432">
        <v>104.23</v>
      </c>
      <c r="D532" s="432">
        <v>105.49</v>
      </c>
      <c r="E532" s="432">
        <v>105.83</v>
      </c>
      <c r="F532" s="426"/>
      <c r="G532" s="426"/>
      <c r="H532" s="426"/>
      <c r="I532" s="426"/>
      <c r="J532" s="426"/>
      <c r="K532" s="426"/>
      <c r="L532" s="113">
        <v>89</v>
      </c>
      <c r="M532" s="432">
        <v>90.91</v>
      </c>
      <c r="N532" s="432">
        <v>92.1</v>
      </c>
      <c r="O532" s="432">
        <v>92.43</v>
      </c>
      <c r="P532" s="426"/>
      <c r="Q532" s="426"/>
      <c r="R532" s="426"/>
      <c r="S532" s="426"/>
      <c r="T532" s="426"/>
    </row>
    <row r="533" spans="1:20" x14ac:dyDescent="0.2">
      <c r="A533" s="426"/>
      <c r="B533" s="113">
        <v>90</v>
      </c>
      <c r="C533" s="432">
        <v>99.12</v>
      </c>
      <c r="D533" s="432">
        <v>100.34</v>
      </c>
      <c r="E533" s="432">
        <v>100.68</v>
      </c>
      <c r="F533" s="426"/>
      <c r="G533" s="426"/>
      <c r="H533" s="426"/>
      <c r="I533" s="426"/>
      <c r="J533" s="426"/>
      <c r="K533" s="426"/>
      <c r="L533" s="113">
        <v>90</v>
      </c>
      <c r="M533" s="432">
        <v>85.84</v>
      </c>
      <c r="N533" s="432">
        <v>87</v>
      </c>
      <c r="O533" s="432">
        <v>87.32</v>
      </c>
      <c r="P533" s="426"/>
      <c r="Q533" s="426"/>
      <c r="R533" s="426"/>
      <c r="S533" s="426"/>
      <c r="T533" s="426"/>
    </row>
    <row r="534" spans="1:20" x14ac:dyDescent="0.2">
      <c r="A534" s="426"/>
      <c r="B534" s="113">
        <v>91</v>
      </c>
      <c r="C534" s="432">
        <v>94</v>
      </c>
      <c r="D534" s="432">
        <v>95.19</v>
      </c>
      <c r="E534" s="432">
        <v>95.52</v>
      </c>
      <c r="F534" s="426"/>
      <c r="G534" s="426"/>
      <c r="H534" s="426"/>
      <c r="I534" s="426"/>
      <c r="J534" s="426"/>
      <c r="K534" s="426"/>
      <c r="L534" s="113">
        <v>91</v>
      </c>
      <c r="M534" s="432">
        <v>80.88</v>
      </c>
      <c r="N534" s="432">
        <v>82</v>
      </c>
      <c r="O534" s="432">
        <v>82.32</v>
      </c>
      <c r="P534" s="426"/>
      <c r="Q534" s="426"/>
      <c r="R534" s="426"/>
      <c r="S534" s="426"/>
      <c r="T534" s="426"/>
    </row>
    <row r="535" spans="1:20" x14ac:dyDescent="0.2">
      <c r="A535" s="426"/>
      <c r="B535" s="113">
        <v>92</v>
      </c>
      <c r="C535" s="432">
        <v>88.92</v>
      </c>
      <c r="D535" s="432">
        <v>90.08</v>
      </c>
      <c r="E535" s="432">
        <v>90.41</v>
      </c>
      <c r="F535" s="426"/>
      <c r="G535" s="426"/>
      <c r="H535" s="426"/>
      <c r="I535" s="426"/>
      <c r="J535" s="426"/>
      <c r="K535" s="426"/>
      <c r="L535" s="113">
        <v>92</v>
      </c>
      <c r="M535" s="432">
        <v>76.040000000000006</v>
      </c>
      <c r="N535" s="432">
        <v>77.13</v>
      </c>
      <c r="O535" s="432">
        <v>77.45</v>
      </c>
      <c r="P535" s="426"/>
      <c r="Q535" s="426"/>
      <c r="R535" s="426"/>
      <c r="S535" s="426"/>
      <c r="T535" s="426"/>
    </row>
    <row r="536" spans="1:20" x14ac:dyDescent="0.2">
      <c r="A536" s="426"/>
      <c r="B536" s="113">
        <v>93</v>
      </c>
      <c r="C536" s="432">
        <v>83.92</v>
      </c>
      <c r="D536" s="432">
        <v>85.05</v>
      </c>
      <c r="E536" s="432">
        <v>85.37</v>
      </c>
      <c r="F536" s="426"/>
      <c r="G536" s="426"/>
      <c r="H536" s="426"/>
      <c r="I536" s="426"/>
      <c r="J536" s="426"/>
      <c r="K536" s="426"/>
      <c r="L536" s="113">
        <v>93</v>
      </c>
      <c r="M536" s="432">
        <v>71.36</v>
      </c>
      <c r="N536" s="432">
        <v>72.42</v>
      </c>
      <c r="O536" s="432">
        <v>72.73</v>
      </c>
      <c r="P536" s="426"/>
      <c r="Q536" s="426"/>
      <c r="R536" s="426"/>
      <c r="S536" s="426"/>
      <c r="T536" s="426"/>
    </row>
    <row r="537" spans="1:20" x14ac:dyDescent="0.2">
      <c r="A537" s="426"/>
      <c r="B537" s="113">
        <v>94</v>
      </c>
      <c r="C537" s="432">
        <v>79.03</v>
      </c>
      <c r="D537" s="432">
        <v>80.12</v>
      </c>
      <c r="E537" s="432">
        <v>80.44</v>
      </c>
      <c r="F537" s="426"/>
      <c r="G537" s="426"/>
      <c r="H537" s="426"/>
      <c r="I537" s="426"/>
      <c r="J537" s="426"/>
      <c r="K537" s="426"/>
      <c r="L537" s="113">
        <v>94</v>
      </c>
      <c r="M537" s="432">
        <v>66.849999999999994</v>
      </c>
      <c r="N537" s="432">
        <v>67.89</v>
      </c>
      <c r="O537" s="432">
        <v>68.19</v>
      </c>
      <c r="P537" s="426"/>
      <c r="Q537" s="426"/>
      <c r="R537" s="426"/>
      <c r="S537" s="426"/>
      <c r="T537" s="426"/>
    </row>
    <row r="538" spans="1:20" x14ac:dyDescent="0.2">
      <c r="A538" s="426"/>
      <c r="B538" s="113">
        <v>95</v>
      </c>
      <c r="C538" s="432">
        <v>74.260000000000005</v>
      </c>
      <c r="D538" s="432">
        <v>75.33</v>
      </c>
      <c r="E538" s="432">
        <v>75.64</v>
      </c>
      <c r="F538" s="426"/>
      <c r="G538" s="426"/>
      <c r="H538" s="426"/>
      <c r="I538" s="426"/>
      <c r="J538" s="426"/>
      <c r="K538" s="426"/>
      <c r="L538" s="113">
        <v>95</v>
      </c>
      <c r="M538" s="432">
        <v>62.53</v>
      </c>
      <c r="N538" s="432">
        <v>63.54</v>
      </c>
      <c r="O538" s="432">
        <v>63.84</v>
      </c>
      <c r="P538" s="426"/>
      <c r="Q538" s="426"/>
      <c r="R538" s="426"/>
      <c r="S538" s="426"/>
      <c r="T538" s="426"/>
    </row>
    <row r="539" spans="1:20" x14ac:dyDescent="0.2">
      <c r="A539" s="426"/>
      <c r="B539" s="113">
        <v>96</v>
      </c>
      <c r="C539" s="432">
        <v>69.66</v>
      </c>
      <c r="D539" s="432">
        <v>70.7</v>
      </c>
      <c r="E539" s="432">
        <v>71.010000000000005</v>
      </c>
      <c r="F539" s="426"/>
      <c r="G539" s="426"/>
      <c r="H539" s="426"/>
      <c r="I539" s="426"/>
      <c r="J539" s="426"/>
      <c r="K539" s="426"/>
      <c r="L539" s="113">
        <v>96</v>
      </c>
      <c r="M539" s="432">
        <v>58.4</v>
      </c>
      <c r="N539" s="432">
        <v>59.38</v>
      </c>
      <c r="O539" s="432">
        <v>59.68</v>
      </c>
      <c r="P539" s="426"/>
      <c r="Q539" s="426"/>
      <c r="R539" s="426"/>
      <c r="S539" s="426"/>
      <c r="T539" s="426"/>
    </row>
    <row r="540" spans="1:20" x14ac:dyDescent="0.2">
      <c r="A540" s="426"/>
      <c r="B540" s="113">
        <v>97</v>
      </c>
      <c r="C540" s="432">
        <v>65.23</v>
      </c>
      <c r="D540" s="432">
        <v>66.239999999999995</v>
      </c>
      <c r="E540" s="432">
        <v>66.55</v>
      </c>
      <c r="F540" s="426"/>
      <c r="G540" s="426"/>
      <c r="H540" s="426"/>
      <c r="I540" s="426"/>
      <c r="J540" s="426"/>
      <c r="K540" s="426"/>
      <c r="L540" s="113">
        <v>97</v>
      </c>
      <c r="M540" s="432">
        <v>54.47</v>
      </c>
      <c r="N540" s="432">
        <v>55.44</v>
      </c>
      <c r="O540" s="432">
        <v>55.74</v>
      </c>
      <c r="P540" s="426"/>
      <c r="Q540" s="426"/>
      <c r="R540" s="426"/>
      <c r="S540" s="426"/>
      <c r="T540" s="426"/>
    </row>
    <row r="541" spans="1:20" x14ac:dyDescent="0.2">
      <c r="A541" s="426"/>
      <c r="B541" s="113">
        <v>98</v>
      </c>
      <c r="C541" s="432">
        <v>60.99</v>
      </c>
      <c r="D541" s="432">
        <v>61.99</v>
      </c>
      <c r="E541" s="432">
        <v>62.3</v>
      </c>
      <c r="F541" s="426"/>
      <c r="G541" s="426"/>
      <c r="H541" s="426"/>
      <c r="I541" s="426"/>
      <c r="J541" s="426"/>
      <c r="K541" s="426"/>
      <c r="L541" s="113">
        <v>98</v>
      </c>
      <c r="M541" s="432">
        <v>50.76</v>
      </c>
      <c r="N541" s="432">
        <v>51.72</v>
      </c>
      <c r="O541" s="432">
        <v>52.01</v>
      </c>
      <c r="P541" s="426"/>
      <c r="Q541" s="426"/>
      <c r="R541" s="426"/>
      <c r="S541" s="426"/>
      <c r="T541" s="426"/>
    </row>
    <row r="542" spans="1:20" x14ac:dyDescent="0.2">
      <c r="A542" s="426"/>
      <c r="B542" s="113">
        <v>99</v>
      </c>
      <c r="C542" s="432">
        <v>56.97</v>
      </c>
      <c r="D542" s="432">
        <v>57.95</v>
      </c>
      <c r="E542" s="432">
        <v>58.25</v>
      </c>
      <c r="F542" s="426"/>
      <c r="G542" s="426"/>
      <c r="H542" s="426"/>
      <c r="I542" s="426"/>
      <c r="J542" s="426"/>
      <c r="K542" s="426"/>
      <c r="L542" s="113">
        <v>99</v>
      </c>
      <c r="M542" s="432">
        <v>47.27</v>
      </c>
      <c r="N542" s="432">
        <v>48.21</v>
      </c>
      <c r="O542" s="432">
        <v>48.5</v>
      </c>
      <c r="P542" s="426"/>
      <c r="Q542" s="426"/>
      <c r="R542" s="426"/>
      <c r="S542" s="426"/>
      <c r="T542" s="426"/>
    </row>
    <row r="543" spans="1:20" x14ac:dyDescent="0.2">
      <c r="A543" s="426"/>
      <c r="B543" s="113">
        <v>100</v>
      </c>
      <c r="C543" s="432">
        <v>53.18</v>
      </c>
      <c r="D543" s="432">
        <v>54.15</v>
      </c>
      <c r="E543" s="432">
        <v>54.45</v>
      </c>
      <c r="F543" s="426"/>
      <c r="G543" s="426"/>
      <c r="H543" s="426"/>
      <c r="I543" s="426"/>
      <c r="J543" s="426"/>
      <c r="K543" s="426"/>
      <c r="L543" s="113">
        <v>100</v>
      </c>
      <c r="M543" s="432">
        <v>44.01</v>
      </c>
      <c r="N543" s="432">
        <v>44.94</v>
      </c>
      <c r="O543" s="432">
        <v>45.23</v>
      </c>
      <c r="P543" s="426"/>
      <c r="Q543" s="426"/>
      <c r="R543" s="426"/>
      <c r="S543" s="426"/>
      <c r="T543" s="426"/>
    </row>
    <row r="546" spans="1:10" x14ac:dyDescent="0.2">
      <c r="B546" s="145" t="s">
        <v>317</v>
      </c>
    </row>
    <row r="548" spans="1:10" x14ac:dyDescent="0.2">
      <c r="B548" s="145" t="s">
        <v>319</v>
      </c>
    </row>
    <row r="549" spans="1:10" ht="13.7" customHeight="1" x14ac:dyDescent="0.2">
      <c r="B549" s="544" t="s">
        <v>318</v>
      </c>
      <c r="C549" s="545"/>
      <c r="D549" s="545"/>
      <c r="E549" s="545"/>
      <c r="F549" s="542"/>
      <c r="G549" s="542"/>
      <c r="H549" s="542"/>
      <c r="I549" s="542"/>
      <c r="J549" s="543"/>
    </row>
    <row r="550" spans="1:10" ht="25.5" x14ac:dyDescent="0.2">
      <c r="B550" s="141" t="s">
        <v>1</v>
      </c>
      <c r="C550" s="141" t="s">
        <v>274</v>
      </c>
      <c r="D550" s="141" t="s">
        <v>275</v>
      </c>
      <c r="E550" s="141" t="s">
        <v>276</v>
      </c>
      <c r="F550" s="431"/>
      <c r="G550" s="141"/>
      <c r="H550" s="141"/>
      <c r="I550" s="141"/>
      <c r="J550" s="141"/>
    </row>
    <row r="551" spans="1:10" x14ac:dyDescent="0.2">
      <c r="A551" s="426"/>
      <c r="B551" s="113">
        <v>0</v>
      </c>
      <c r="C551" s="432">
        <v>74.12</v>
      </c>
      <c r="D551" s="432">
        <v>74.83</v>
      </c>
      <c r="E551" s="432">
        <v>75.14</v>
      </c>
      <c r="F551" s="426"/>
      <c r="G551" s="426"/>
      <c r="H551" s="426"/>
      <c r="I551" s="426"/>
      <c r="J551" s="426"/>
    </row>
    <row r="552" spans="1:10" x14ac:dyDescent="0.2">
      <c r="A552" s="433"/>
      <c r="B552" s="113">
        <v>1</v>
      </c>
      <c r="C552" s="432">
        <v>74.31</v>
      </c>
      <c r="D552" s="432">
        <v>75.02</v>
      </c>
      <c r="E552" s="432">
        <v>75.33</v>
      </c>
      <c r="F552" s="426"/>
      <c r="G552" s="426"/>
      <c r="H552" s="426"/>
      <c r="I552" s="426"/>
      <c r="J552" s="426"/>
    </row>
    <row r="553" spans="1:10" x14ac:dyDescent="0.2">
      <c r="A553" s="433"/>
      <c r="B553" s="113">
        <v>2</v>
      </c>
      <c r="C553" s="432">
        <v>74.510000000000005</v>
      </c>
      <c r="D553" s="432">
        <v>75.23</v>
      </c>
      <c r="E553" s="432">
        <v>75.540000000000006</v>
      </c>
      <c r="F553" s="426"/>
      <c r="G553" s="426"/>
      <c r="H553" s="426"/>
      <c r="I553" s="426"/>
      <c r="J553" s="426"/>
    </row>
    <row r="554" spans="1:10" x14ac:dyDescent="0.2">
      <c r="A554" s="433"/>
      <c r="B554" s="113">
        <v>3</v>
      </c>
      <c r="C554" s="432">
        <v>74.72</v>
      </c>
      <c r="D554" s="432">
        <v>75.44</v>
      </c>
      <c r="E554" s="432">
        <v>75.75</v>
      </c>
      <c r="F554" s="426"/>
      <c r="G554" s="426"/>
      <c r="H554" s="426"/>
      <c r="I554" s="426"/>
      <c r="J554" s="426"/>
    </row>
    <row r="555" spans="1:10" x14ac:dyDescent="0.2">
      <c r="A555" s="433"/>
      <c r="B555" s="113">
        <v>4</v>
      </c>
      <c r="C555" s="432">
        <v>74.94</v>
      </c>
      <c r="D555" s="432">
        <v>75.66</v>
      </c>
      <c r="E555" s="432">
        <v>75.97</v>
      </c>
      <c r="F555" s="426"/>
      <c r="G555" s="426"/>
      <c r="H555" s="426"/>
      <c r="I555" s="426"/>
      <c r="J555" s="426"/>
    </row>
    <row r="556" spans="1:10" x14ac:dyDescent="0.2">
      <c r="A556" s="433"/>
      <c r="B556" s="113">
        <v>5</v>
      </c>
      <c r="C556" s="432">
        <v>75.16</v>
      </c>
      <c r="D556" s="432">
        <v>75.88</v>
      </c>
      <c r="E556" s="432">
        <v>76.2</v>
      </c>
      <c r="F556" s="426"/>
      <c r="G556" s="426"/>
      <c r="H556" s="426"/>
      <c r="I556" s="426"/>
      <c r="J556" s="426"/>
    </row>
    <row r="557" spans="1:10" x14ac:dyDescent="0.2">
      <c r="A557" s="433"/>
      <c r="B557" s="113">
        <v>6</v>
      </c>
      <c r="C557" s="432">
        <v>75.39</v>
      </c>
      <c r="D557" s="432">
        <v>76.12</v>
      </c>
      <c r="E557" s="432">
        <v>76.44</v>
      </c>
      <c r="F557" s="426"/>
      <c r="G557" s="426"/>
      <c r="H557" s="426"/>
      <c r="I557" s="426"/>
      <c r="J557" s="426"/>
    </row>
    <row r="558" spans="1:10" x14ac:dyDescent="0.2">
      <c r="A558" s="433"/>
      <c r="B558" s="113">
        <v>7</v>
      </c>
      <c r="C558" s="432">
        <v>75.64</v>
      </c>
      <c r="D558" s="432">
        <v>76.37</v>
      </c>
      <c r="E558" s="432">
        <v>76.69</v>
      </c>
      <c r="F558" s="426"/>
      <c r="G558" s="426"/>
      <c r="H558" s="426"/>
      <c r="I558" s="426"/>
      <c r="J558" s="426"/>
    </row>
    <row r="559" spans="1:10" x14ac:dyDescent="0.2">
      <c r="A559" s="433"/>
      <c r="B559" s="113">
        <v>8</v>
      </c>
      <c r="C559" s="432">
        <v>75.89</v>
      </c>
      <c r="D559" s="432">
        <v>76.63</v>
      </c>
      <c r="E559" s="432">
        <v>76.95</v>
      </c>
      <c r="F559" s="426"/>
      <c r="G559" s="426"/>
      <c r="H559" s="426"/>
      <c r="I559" s="426"/>
      <c r="J559" s="426"/>
    </row>
    <row r="560" spans="1:10" x14ac:dyDescent="0.2">
      <c r="A560" s="433"/>
      <c r="B560" s="113">
        <v>9</v>
      </c>
      <c r="C560" s="432">
        <v>76.150000000000006</v>
      </c>
      <c r="D560" s="432">
        <v>76.89</v>
      </c>
      <c r="E560" s="432">
        <v>77.22</v>
      </c>
      <c r="F560" s="426"/>
      <c r="G560" s="426"/>
      <c r="H560" s="426"/>
      <c r="I560" s="426"/>
      <c r="J560" s="426"/>
    </row>
    <row r="561" spans="1:10" x14ac:dyDescent="0.2">
      <c r="A561" s="433"/>
      <c r="B561" s="113">
        <v>10</v>
      </c>
      <c r="C561" s="432">
        <v>76.430000000000007</v>
      </c>
      <c r="D561" s="432">
        <v>77.17</v>
      </c>
      <c r="E561" s="432">
        <v>77.5</v>
      </c>
      <c r="F561" s="426"/>
      <c r="G561" s="426"/>
      <c r="H561" s="426"/>
      <c r="I561" s="426"/>
      <c r="J561" s="426"/>
    </row>
    <row r="562" spans="1:10" x14ac:dyDescent="0.2">
      <c r="A562" s="433"/>
      <c r="B562" s="113">
        <v>11</v>
      </c>
      <c r="C562" s="432">
        <v>76.709999999999994</v>
      </c>
      <c r="D562" s="432">
        <v>77.47</v>
      </c>
      <c r="E562" s="432">
        <v>77.790000000000006</v>
      </c>
      <c r="F562" s="426"/>
      <c r="G562" s="426"/>
      <c r="H562" s="426"/>
      <c r="I562" s="426"/>
      <c r="J562" s="426"/>
    </row>
    <row r="563" spans="1:10" x14ac:dyDescent="0.2">
      <c r="A563" s="433"/>
      <c r="B563" s="113">
        <v>12</v>
      </c>
      <c r="C563" s="432">
        <v>77.010000000000005</v>
      </c>
      <c r="D563" s="432">
        <v>77.77</v>
      </c>
      <c r="E563" s="432">
        <v>78.09</v>
      </c>
      <c r="F563" s="426"/>
      <c r="G563" s="426"/>
      <c r="H563" s="426"/>
      <c r="I563" s="426"/>
      <c r="J563" s="426"/>
    </row>
    <row r="564" spans="1:10" x14ac:dyDescent="0.2">
      <c r="A564" s="433"/>
      <c r="B564" s="113">
        <v>13</v>
      </c>
      <c r="C564" s="432">
        <v>77.319999999999993</v>
      </c>
      <c r="D564" s="432">
        <v>78.08</v>
      </c>
      <c r="E564" s="432">
        <v>78.400000000000006</v>
      </c>
      <c r="F564" s="426"/>
      <c r="G564" s="426"/>
      <c r="H564" s="426"/>
      <c r="I564" s="426"/>
      <c r="J564" s="426"/>
    </row>
    <row r="565" spans="1:10" x14ac:dyDescent="0.2">
      <c r="A565" s="433"/>
      <c r="B565" s="113">
        <v>14</v>
      </c>
      <c r="C565" s="432">
        <v>77.63</v>
      </c>
      <c r="D565" s="432">
        <v>78.400000000000006</v>
      </c>
      <c r="E565" s="432">
        <v>78.73</v>
      </c>
      <c r="F565" s="426"/>
      <c r="G565" s="426"/>
      <c r="H565" s="426"/>
      <c r="I565" s="426"/>
      <c r="J565" s="426"/>
    </row>
    <row r="566" spans="1:10" x14ac:dyDescent="0.2">
      <c r="A566" s="433"/>
      <c r="B566" s="113">
        <v>15</v>
      </c>
      <c r="C566" s="432">
        <v>77.959999999999994</v>
      </c>
      <c r="D566" s="432">
        <v>78.739999999999995</v>
      </c>
      <c r="E566" s="432">
        <v>79.069999999999993</v>
      </c>
      <c r="F566" s="426"/>
      <c r="G566" s="426"/>
      <c r="H566" s="426"/>
      <c r="I566" s="426"/>
      <c r="J566" s="426"/>
    </row>
    <row r="567" spans="1:10" x14ac:dyDescent="0.2">
      <c r="A567" s="433"/>
      <c r="B567" s="113">
        <v>16</v>
      </c>
      <c r="C567" s="432">
        <v>78.31</v>
      </c>
      <c r="D567" s="432">
        <v>79.08</v>
      </c>
      <c r="E567" s="432">
        <v>79.42</v>
      </c>
      <c r="F567" s="426"/>
      <c r="G567" s="426"/>
      <c r="H567" s="426"/>
      <c r="I567" s="426"/>
      <c r="J567" s="426"/>
    </row>
    <row r="568" spans="1:10" x14ac:dyDescent="0.2">
      <c r="A568" s="433"/>
      <c r="B568" s="113">
        <v>17</v>
      </c>
      <c r="C568" s="432">
        <v>78.66</v>
      </c>
      <c r="D568" s="432">
        <v>79.45</v>
      </c>
      <c r="E568" s="432">
        <v>79.78</v>
      </c>
      <c r="F568" s="426"/>
      <c r="G568" s="426"/>
      <c r="H568" s="426"/>
      <c r="I568" s="426"/>
      <c r="J568" s="426"/>
    </row>
    <row r="569" spans="1:10" x14ac:dyDescent="0.2">
      <c r="A569" s="433"/>
      <c r="B569" s="113">
        <v>18</v>
      </c>
      <c r="C569" s="432">
        <v>79.03</v>
      </c>
      <c r="D569" s="432">
        <v>79.83</v>
      </c>
      <c r="E569" s="432">
        <v>80.16</v>
      </c>
      <c r="F569" s="426"/>
      <c r="G569" s="426"/>
      <c r="H569" s="426"/>
      <c r="I569" s="426"/>
      <c r="J569" s="426"/>
    </row>
    <row r="570" spans="1:10" x14ac:dyDescent="0.2">
      <c r="A570" s="433"/>
      <c r="B570" s="113">
        <v>19</v>
      </c>
      <c r="C570" s="432">
        <v>79.42</v>
      </c>
      <c r="D570" s="432">
        <v>80.22</v>
      </c>
      <c r="E570" s="432">
        <v>80.56</v>
      </c>
      <c r="F570" s="426"/>
      <c r="G570" s="426"/>
      <c r="H570" s="426"/>
      <c r="I570" s="426"/>
      <c r="J570" s="426"/>
    </row>
    <row r="571" spans="1:10" x14ac:dyDescent="0.2">
      <c r="A571" s="433"/>
      <c r="B571" s="113">
        <v>20</v>
      </c>
      <c r="C571" s="432">
        <v>79.83</v>
      </c>
      <c r="D571" s="432">
        <v>80.64</v>
      </c>
      <c r="E571" s="432">
        <v>80.98</v>
      </c>
      <c r="F571" s="426"/>
      <c r="G571" s="426"/>
      <c r="H571" s="426"/>
      <c r="I571" s="426"/>
      <c r="J571" s="426"/>
    </row>
    <row r="572" spans="1:10" x14ac:dyDescent="0.2">
      <c r="A572" s="433"/>
      <c r="B572" s="113">
        <v>21</v>
      </c>
      <c r="C572" s="432">
        <v>80.260000000000005</v>
      </c>
      <c r="D572" s="432">
        <v>81.08</v>
      </c>
      <c r="E572" s="432">
        <v>81.42</v>
      </c>
      <c r="F572" s="426"/>
      <c r="G572" s="426"/>
      <c r="H572" s="426"/>
      <c r="I572" s="426"/>
      <c r="J572" s="426"/>
    </row>
    <row r="573" spans="1:10" x14ac:dyDescent="0.2">
      <c r="A573" s="433"/>
      <c r="B573" s="113">
        <v>22</v>
      </c>
      <c r="C573" s="432">
        <v>80.709999999999994</v>
      </c>
      <c r="D573" s="432">
        <v>81.53</v>
      </c>
      <c r="E573" s="432">
        <v>81.88</v>
      </c>
      <c r="F573" s="426"/>
      <c r="G573" s="426"/>
      <c r="H573" s="426"/>
      <c r="I573" s="426"/>
      <c r="J573" s="426"/>
    </row>
    <row r="574" spans="1:10" x14ac:dyDescent="0.2">
      <c r="A574" s="433"/>
      <c r="B574" s="113">
        <v>23</v>
      </c>
      <c r="C574" s="432">
        <v>81.180000000000007</v>
      </c>
      <c r="D574" s="432">
        <v>82.02</v>
      </c>
      <c r="E574" s="432">
        <v>82.36</v>
      </c>
      <c r="F574" s="426"/>
      <c r="G574" s="426"/>
      <c r="H574" s="426"/>
      <c r="I574" s="426"/>
      <c r="J574" s="426"/>
    </row>
    <row r="575" spans="1:10" x14ac:dyDescent="0.2">
      <c r="A575" s="433"/>
      <c r="B575" s="113">
        <v>24</v>
      </c>
      <c r="C575" s="432">
        <v>81.680000000000007</v>
      </c>
      <c r="D575" s="432">
        <v>82.52</v>
      </c>
      <c r="E575" s="432">
        <v>82.87</v>
      </c>
      <c r="F575" s="426"/>
      <c r="G575" s="426"/>
      <c r="H575" s="426"/>
      <c r="I575" s="426"/>
      <c r="J575" s="426"/>
    </row>
    <row r="576" spans="1:10" x14ac:dyDescent="0.2">
      <c r="A576" s="433"/>
      <c r="B576" s="113">
        <v>25</v>
      </c>
      <c r="C576" s="432">
        <v>82.2</v>
      </c>
      <c r="D576" s="432">
        <v>83.05</v>
      </c>
      <c r="E576" s="432">
        <v>83.4</v>
      </c>
      <c r="F576" s="426"/>
      <c r="G576" s="426"/>
      <c r="H576" s="426"/>
      <c r="I576" s="426"/>
      <c r="J576" s="426"/>
    </row>
    <row r="577" spans="1:10" x14ac:dyDescent="0.2">
      <c r="A577" s="433"/>
      <c r="B577" s="113">
        <v>26</v>
      </c>
      <c r="C577" s="432">
        <v>82.74</v>
      </c>
      <c r="D577" s="432">
        <v>83.61</v>
      </c>
      <c r="E577" s="432">
        <v>83.96</v>
      </c>
      <c r="F577" s="426"/>
      <c r="G577" s="426"/>
      <c r="H577" s="426"/>
      <c r="I577" s="426"/>
      <c r="J577" s="426"/>
    </row>
    <row r="578" spans="1:10" x14ac:dyDescent="0.2">
      <c r="A578" s="433"/>
      <c r="B578" s="113">
        <v>27</v>
      </c>
      <c r="C578" s="432">
        <v>83.31</v>
      </c>
      <c r="D578" s="432">
        <v>84.19</v>
      </c>
      <c r="E578" s="432">
        <v>84.54</v>
      </c>
      <c r="F578" s="426"/>
      <c r="G578" s="426"/>
      <c r="H578" s="426"/>
      <c r="I578" s="426"/>
      <c r="J578" s="426"/>
    </row>
    <row r="579" spans="1:10" x14ac:dyDescent="0.2">
      <c r="A579" s="433"/>
      <c r="B579" s="113">
        <v>28</v>
      </c>
      <c r="C579" s="432">
        <v>83.91</v>
      </c>
      <c r="D579" s="432">
        <v>84.79</v>
      </c>
      <c r="E579" s="432">
        <v>85.15</v>
      </c>
      <c r="F579" s="426"/>
      <c r="G579" s="426"/>
      <c r="H579" s="426"/>
      <c r="I579" s="426"/>
      <c r="J579" s="426"/>
    </row>
    <row r="580" spans="1:10" x14ac:dyDescent="0.2">
      <c r="A580" s="433"/>
      <c r="B580" s="113">
        <v>29</v>
      </c>
      <c r="C580" s="432">
        <v>84.53</v>
      </c>
      <c r="D580" s="432">
        <v>85.42</v>
      </c>
      <c r="E580" s="432">
        <v>85.79</v>
      </c>
      <c r="F580" s="426"/>
      <c r="G580" s="426"/>
      <c r="H580" s="426"/>
      <c r="I580" s="426"/>
      <c r="J580" s="426"/>
    </row>
    <row r="581" spans="1:10" x14ac:dyDescent="0.2">
      <c r="A581" s="433"/>
      <c r="B581" s="113">
        <v>30</v>
      </c>
      <c r="C581" s="432">
        <v>85.18</v>
      </c>
      <c r="D581" s="432">
        <v>86.09</v>
      </c>
      <c r="E581" s="432">
        <v>86.45</v>
      </c>
      <c r="F581" s="426"/>
      <c r="G581" s="426"/>
      <c r="H581" s="426"/>
      <c r="I581" s="426"/>
      <c r="J581" s="426"/>
    </row>
    <row r="582" spans="1:10" x14ac:dyDescent="0.2">
      <c r="A582" s="433"/>
      <c r="B582" s="113">
        <v>31</v>
      </c>
      <c r="C582" s="432">
        <v>85.86</v>
      </c>
      <c r="D582" s="432">
        <v>86.77</v>
      </c>
      <c r="E582" s="432">
        <v>87.14</v>
      </c>
      <c r="F582" s="426"/>
      <c r="G582" s="426"/>
      <c r="H582" s="426"/>
      <c r="I582" s="426"/>
      <c r="J582" s="426"/>
    </row>
    <row r="583" spans="1:10" x14ac:dyDescent="0.2">
      <c r="A583" s="433"/>
      <c r="B583" s="113">
        <v>32</v>
      </c>
      <c r="C583" s="432">
        <v>86.56</v>
      </c>
      <c r="D583" s="432">
        <v>87.49</v>
      </c>
      <c r="E583" s="432">
        <v>87.86</v>
      </c>
      <c r="F583" s="426"/>
      <c r="G583" s="426"/>
      <c r="H583" s="426"/>
      <c r="I583" s="426"/>
      <c r="J583" s="426"/>
    </row>
    <row r="584" spans="1:10" x14ac:dyDescent="0.2">
      <c r="A584" s="433"/>
      <c r="B584" s="113">
        <v>33</v>
      </c>
      <c r="C584" s="432">
        <v>87.3</v>
      </c>
      <c r="D584" s="432">
        <v>88.24</v>
      </c>
      <c r="E584" s="432">
        <v>88.61</v>
      </c>
      <c r="F584" s="426"/>
      <c r="G584" s="426"/>
      <c r="H584" s="426"/>
      <c r="I584" s="426"/>
      <c r="J584" s="426"/>
    </row>
    <row r="585" spans="1:10" x14ac:dyDescent="0.2">
      <c r="A585" s="433"/>
      <c r="B585" s="113">
        <v>34</v>
      </c>
      <c r="C585" s="432">
        <v>88.07</v>
      </c>
      <c r="D585" s="432">
        <v>89.02</v>
      </c>
      <c r="E585" s="432">
        <v>89.4</v>
      </c>
      <c r="F585" s="426"/>
      <c r="G585" s="426"/>
      <c r="H585" s="426"/>
      <c r="I585" s="426"/>
      <c r="J585" s="426"/>
    </row>
    <row r="586" spans="1:10" x14ac:dyDescent="0.2">
      <c r="A586" s="433"/>
      <c r="B586" s="113">
        <v>35</v>
      </c>
      <c r="C586" s="432">
        <v>88.87</v>
      </c>
      <c r="D586" s="432">
        <v>89.84</v>
      </c>
      <c r="E586" s="432">
        <v>90.22</v>
      </c>
      <c r="F586" s="426"/>
      <c r="G586" s="426"/>
      <c r="H586" s="426"/>
      <c r="I586" s="426"/>
      <c r="J586" s="426"/>
    </row>
    <row r="587" spans="1:10" x14ac:dyDescent="0.2">
      <c r="A587" s="433"/>
      <c r="B587" s="113">
        <v>36</v>
      </c>
      <c r="C587" s="432">
        <v>89.72</v>
      </c>
      <c r="D587" s="432">
        <v>90.7</v>
      </c>
      <c r="E587" s="432">
        <v>91.08</v>
      </c>
      <c r="F587" s="426"/>
      <c r="G587" s="426"/>
      <c r="H587" s="426"/>
      <c r="I587" s="426"/>
      <c r="J587" s="426"/>
    </row>
    <row r="588" spans="1:10" x14ac:dyDescent="0.2">
      <c r="A588" s="433"/>
      <c r="B588" s="113">
        <v>37</v>
      </c>
      <c r="C588" s="432">
        <v>90.6</v>
      </c>
      <c r="D588" s="432">
        <v>91.6</v>
      </c>
      <c r="E588" s="432">
        <v>91.98</v>
      </c>
      <c r="F588" s="426"/>
      <c r="G588" s="426"/>
      <c r="H588" s="426"/>
      <c r="I588" s="426"/>
      <c r="J588" s="426"/>
    </row>
    <row r="589" spans="1:10" x14ac:dyDescent="0.2">
      <c r="A589" s="433"/>
      <c r="B589" s="113">
        <v>38</v>
      </c>
      <c r="C589" s="432">
        <v>91.52</v>
      </c>
      <c r="D589" s="432">
        <v>92.54</v>
      </c>
      <c r="E589" s="432">
        <v>92.92</v>
      </c>
      <c r="F589" s="426"/>
      <c r="G589" s="426"/>
      <c r="H589" s="426"/>
      <c r="I589" s="426"/>
      <c r="J589" s="426"/>
    </row>
    <row r="590" spans="1:10" x14ac:dyDescent="0.2">
      <c r="A590" s="433"/>
      <c r="B590" s="113">
        <v>39</v>
      </c>
      <c r="C590" s="432">
        <v>92.48</v>
      </c>
      <c r="D590" s="432">
        <v>93.52</v>
      </c>
      <c r="E590" s="432">
        <v>93.9</v>
      </c>
      <c r="F590" s="426"/>
      <c r="G590" s="426"/>
      <c r="H590" s="426"/>
      <c r="I590" s="426"/>
      <c r="J590" s="426"/>
    </row>
    <row r="591" spans="1:10" x14ac:dyDescent="0.2">
      <c r="A591" s="433"/>
      <c r="B591" s="113">
        <v>40</v>
      </c>
      <c r="C591" s="432">
        <v>93.48</v>
      </c>
      <c r="D591" s="432">
        <v>94.54</v>
      </c>
      <c r="E591" s="432">
        <v>94.92</v>
      </c>
      <c r="F591" s="426"/>
      <c r="G591" s="426"/>
      <c r="H591" s="426"/>
      <c r="I591" s="426"/>
      <c r="J591" s="426"/>
    </row>
    <row r="592" spans="1:10" x14ac:dyDescent="0.2">
      <c r="A592" s="433"/>
      <c r="B592" s="113">
        <v>41</v>
      </c>
      <c r="C592" s="432">
        <v>94.53</v>
      </c>
      <c r="D592" s="432">
        <v>95.6</v>
      </c>
      <c r="E592" s="432">
        <v>95.98</v>
      </c>
      <c r="F592" s="426"/>
      <c r="G592" s="426"/>
      <c r="H592" s="426"/>
      <c r="I592" s="426"/>
      <c r="J592" s="426"/>
    </row>
    <row r="593" spans="1:10" x14ac:dyDescent="0.2">
      <c r="A593" s="433"/>
      <c r="B593" s="113">
        <v>42</v>
      </c>
      <c r="C593" s="432">
        <v>95.6</v>
      </c>
      <c r="D593" s="432">
        <v>96.69</v>
      </c>
      <c r="E593" s="432">
        <v>97.08</v>
      </c>
      <c r="F593" s="426"/>
      <c r="G593" s="426"/>
      <c r="H593" s="426"/>
      <c r="I593" s="426"/>
      <c r="J593" s="426"/>
    </row>
    <row r="594" spans="1:10" x14ac:dyDescent="0.2">
      <c r="A594" s="433"/>
      <c r="B594" s="113">
        <v>43</v>
      </c>
      <c r="C594" s="432">
        <v>96.71</v>
      </c>
      <c r="D594" s="432">
        <v>97.82</v>
      </c>
      <c r="E594" s="432">
        <v>98.2</v>
      </c>
      <c r="F594" s="426"/>
      <c r="G594" s="426"/>
      <c r="H594" s="426"/>
      <c r="I594" s="426"/>
      <c r="J594" s="426"/>
    </row>
    <row r="595" spans="1:10" x14ac:dyDescent="0.2">
      <c r="A595" s="433"/>
      <c r="B595" s="113">
        <v>44</v>
      </c>
      <c r="C595" s="432">
        <v>97.85</v>
      </c>
      <c r="D595" s="432">
        <v>98.98</v>
      </c>
      <c r="E595" s="432">
        <v>99.37</v>
      </c>
      <c r="F595" s="426"/>
      <c r="G595" s="426"/>
      <c r="H595" s="426"/>
      <c r="I595" s="426"/>
      <c r="J595" s="426"/>
    </row>
    <row r="596" spans="1:10" x14ac:dyDescent="0.2">
      <c r="A596" s="433"/>
      <c r="B596" s="113">
        <v>45</v>
      </c>
      <c r="C596" s="432">
        <v>99.03</v>
      </c>
      <c r="D596" s="432">
        <v>100.18</v>
      </c>
      <c r="E596" s="432">
        <v>100.57</v>
      </c>
      <c r="F596" s="426"/>
      <c r="G596" s="426"/>
      <c r="H596" s="426"/>
      <c r="I596" s="426"/>
      <c r="J596" s="426"/>
    </row>
    <row r="597" spans="1:10" x14ac:dyDescent="0.2">
      <c r="A597" s="433"/>
      <c r="B597" s="113">
        <v>46</v>
      </c>
      <c r="C597" s="432">
        <v>100.26</v>
      </c>
      <c r="D597" s="432">
        <v>101.42</v>
      </c>
      <c r="E597" s="432">
        <v>101.81</v>
      </c>
      <c r="F597" s="426"/>
      <c r="G597" s="426"/>
      <c r="H597" s="426"/>
      <c r="I597" s="426"/>
      <c r="J597" s="426"/>
    </row>
    <row r="598" spans="1:10" x14ac:dyDescent="0.2">
      <c r="A598" s="433"/>
      <c r="B598" s="113">
        <v>47</v>
      </c>
      <c r="C598" s="432">
        <v>101.54</v>
      </c>
      <c r="D598" s="432">
        <v>102.73</v>
      </c>
      <c r="E598" s="432">
        <v>103.12</v>
      </c>
      <c r="F598" s="426"/>
      <c r="G598" s="426"/>
      <c r="H598" s="426"/>
      <c r="I598" s="426"/>
      <c r="J598" s="426"/>
    </row>
    <row r="599" spans="1:10" x14ac:dyDescent="0.2">
      <c r="A599" s="433"/>
      <c r="B599" s="113">
        <v>48</v>
      </c>
      <c r="C599" s="432">
        <v>102.88</v>
      </c>
      <c r="D599" s="432">
        <v>104.09</v>
      </c>
      <c r="E599" s="432">
        <v>104.48</v>
      </c>
      <c r="F599" s="426"/>
      <c r="G599" s="426"/>
      <c r="H599" s="426"/>
      <c r="I599" s="426"/>
      <c r="J599" s="426"/>
    </row>
    <row r="600" spans="1:10" x14ac:dyDescent="0.2">
      <c r="A600" s="433"/>
      <c r="B600" s="113">
        <v>49</v>
      </c>
      <c r="C600" s="432">
        <v>104.29</v>
      </c>
      <c r="D600" s="432">
        <v>105.53</v>
      </c>
      <c r="E600" s="432">
        <v>105.92</v>
      </c>
      <c r="F600" s="426"/>
      <c r="G600" s="426"/>
      <c r="H600" s="426"/>
      <c r="I600" s="426"/>
      <c r="J600" s="426"/>
    </row>
    <row r="601" spans="1:10" x14ac:dyDescent="0.2">
      <c r="A601" s="433"/>
      <c r="B601" s="113">
        <v>50</v>
      </c>
      <c r="C601" s="432">
        <v>105.78</v>
      </c>
      <c r="D601" s="432">
        <v>107.04</v>
      </c>
      <c r="E601" s="432">
        <v>107.43</v>
      </c>
      <c r="F601" s="426"/>
      <c r="G601" s="426"/>
      <c r="H601" s="426"/>
      <c r="I601" s="434"/>
      <c r="J601" s="435"/>
    </row>
    <row r="602" spans="1:10" x14ac:dyDescent="0.2">
      <c r="A602" s="426"/>
      <c r="B602" s="113">
        <v>51</v>
      </c>
      <c r="C602" s="432">
        <v>107.35</v>
      </c>
      <c r="D602" s="432">
        <v>108.63</v>
      </c>
      <c r="E602" s="432">
        <v>109.02</v>
      </c>
      <c r="F602" s="426"/>
      <c r="G602" s="426"/>
      <c r="H602" s="426"/>
      <c r="I602" s="426"/>
      <c r="J602" s="436"/>
    </row>
    <row r="603" spans="1:10" x14ac:dyDescent="0.2">
      <c r="A603" s="426"/>
      <c r="B603" s="113">
        <v>52</v>
      </c>
      <c r="C603" s="432">
        <v>109.06</v>
      </c>
      <c r="D603" s="432">
        <v>110.36</v>
      </c>
      <c r="E603" s="432">
        <v>110.75</v>
      </c>
      <c r="F603" s="426"/>
      <c r="G603" s="426"/>
      <c r="H603" s="426"/>
      <c r="I603" s="426"/>
      <c r="J603" s="426"/>
    </row>
    <row r="604" spans="1:10" x14ac:dyDescent="0.2">
      <c r="A604" s="426"/>
      <c r="B604" s="113">
        <v>53</v>
      </c>
      <c r="C604" s="432">
        <v>110.95</v>
      </c>
      <c r="D604" s="432">
        <v>112.28</v>
      </c>
      <c r="E604" s="432">
        <v>112.67</v>
      </c>
      <c r="F604" s="426"/>
      <c r="G604" s="426"/>
      <c r="H604" s="426"/>
      <c r="I604" s="426"/>
      <c r="J604" s="426"/>
    </row>
    <row r="605" spans="1:10" x14ac:dyDescent="0.2">
      <c r="A605" s="426"/>
      <c r="B605" s="113">
        <v>54</v>
      </c>
      <c r="C605" s="432">
        <v>113.01</v>
      </c>
      <c r="D605" s="432">
        <v>114.36</v>
      </c>
      <c r="E605" s="432">
        <v>114.75</v>
      </c>
      <c r="F605" s="426"/>
      <c r="G605" s="426"/>
      <c r="H605" s="426"/>
      <c r="I605" s="426"/>
      <c r="J605" s="426"/>
    </row>
    <row r="606" spans="1:10" x14ac:dyDescent="0.2">
      <c r="A606" s="426"/>
      <c r="B606" s="113">
        <v>55</v>
      </c>
      <c r="C606" s="432">
        <v>115.22</v>
      </c>
      <c r="D606" s="432">
        <v>116.6</v>
      </c>
      <c r="E606" s="432">
        <v>116.99</v>
      </c>
      <c r="F606" s="426"/>
      <c r="G606" s="426"/>
      <c r="H606" s="426"/>
      <c r="I606" s="426"/>
      <c r="J606" s="426"/>
    </row>
    <row r="607" spans="1:10" x14ac:dyDescent="0.2">
      <c r="A607" s="426"/>
      <c r="B607" s="113">
        <v>56</v>
      </c>
      <c r="C607" s="432">
        <v>117.58</v>
      </c>
      <c r="D607" s="432">
        <v>118.99</v>
      </c>
      <c r="E607" s="432">
        <v>119.38</v>
      </c>
      <c r="F607" s="426"/>
      <c r="G607" s="426"/>
      <c r="H607" s="426"/>
      <c r="I607" s="426"/>
      <c r="J607" s="426"/>
    </row>
    <row r="608" spans="1:10" x14ac:dyDescent="0.2">
      <c r="A608" s="426"/>
      <c r="B608" s="113">
        <v>57</v>
      </c>
      <c r="C608" s="432">
        <v>120.05</v>
      </c>
      <c r="D608" s="432">
        <v>121.49</v>
      </c>
      <c r="E608" s="432">
        <v>121.88</v>
      </c>
      <c r="F608" s="426"/>
      <c r="G608" s="426"/>
      <c r="H608" s="426"/>
      <c r="I608" s="426"/>
      <c r="J608" s="426"/>
    </row>
    <row r="609" spans="1:10" x14ac:dyDescent="0.2">
      <c r="A609" s="426"/>
      <c r="B609" s="113">
        <v>58</v>
      </c>
      <c r="C609" s="432">
        <v>122.62</v>
      </c>
      <c r="D609" s="432">
        <v>124.09</v>
      </c>
      <c r="E609" s="432">
        <v>124.48</v>
      </c>
      <c r="F609" s="426"/>
      <c r="G609" s="426"/>
      <c r="H609" s="426"/>
      <c r="I609" s="426"/>
      <c r="J609" s="426"/>
    </row>
    <row r="610" spans="1:10" x14ac:dyDescent="0.2">
      <c r="A610" s="426"/>
      <c r="B610" s="113">
        <v>59</v>
      </c>
      <c r="C610" s="432">
        <v>125.26</v>
      </c>
      <c r="D610" s="432">
        <v>126.75</v>
      </c>
      <c r="E610" s="432">
        <v>127.14</v>
      </c>
      <c r="F610" s="426"/>
      <c r="G610" s="426"/>
      <c r="H610" s="426"/>
      <c r="I610" s="426"/>
      <c r="J610" s="426"/>
    </row>
    <row r="611" spans="1:10" x14ac:dyDescent="0.2">
      <c r="A611" s="426"/>
      <c r="B611" s="113">
        <v>60</v>
      </c>
      <c r="C611" s="432">
        <v>127.93</v>
      </c>
      <c r="D611" s="432">
        <v>129.44</v>
      </c>
      <c r="E611" s="432">
        <v>129.84</v>
      </c>
      <c r="F611" s="426"/>
      <c r="G611" s="426"/>
      <c r="H611" s="426"/>
      <c r="I611" s="426"/>
      <c r="J611" s="426"/>
    </row>
    <row r="612" spans="1:10" x14ac:dyDescent="0.2">
      <c r="A612" s="426"/>
      <c r="B612" s="113">
        <v>61</v>
      </c>
      <c r="C612" s="432">
        <v>130.58000000000001</v>
      </c>
      <c r="D612" s="432">
        <v>132.12</v>
      </c>
      <c r="E612" s="432">
        <v>132.52000000000001</v>
      </c>
      <c r="F612" s="426"/>
      <c r="G612" s="426"/>
      <c r="H612" s="426"/>
      <c r="I612" s="426"/>
      <c r="J612" s="426"/>
    </row>
    <row r="613" spans="1:10" x14ac:dyDescent="0.2">
      <c r="A613" s="426"/>
      <c r="B613" s="113">
        <v>62</v>
      </c>
      <c r="C613" s="432">
        <v>133.19</v>
      </c>
      <c r="D613" s="432">
        <v>134.75</v>
      </c>
      <c r="E613" s="432">
        <v>135.13999999999999</v>
      </c>
      <c r="F613" s="426"/>
      <c r="G613" s="426"/>
      <c r="H613" s="426"/>
      <c r="I613" s="426"/>
      <c r="J613" s="426"/>
    </row>
    <row r="614" spans="1:10" x14ac:dyDescent="0.2">
      <c r="A614" s="426"/>
      <c r="B614" s="113">
        <v>63</v>
      </c>
      <c r="C614" s="432">
        <v>135.69999999999999</v>
      </c>
      <c r="D614" s="432">
        <v>137.28</v>
      </c>
      <c r="E614" s="432">
        <v>137.66999999999999</v>
      </c>
      <c r="F614" s="426"/>
      <c r="G614" s="426"/>
      <c r="H614" s="426"/>
      <c r="I614" s="426"/>
      <c r="J614" s="426"/>
    </row>
    <row r="615" spans="1:10" x14ac:dyDescent="0.2">
      <c r="A615" s="426"/>
      <c r="B615" s="113">
        <v>64</v>
      </c>
      <c r="C615" s="432">
        <v>138.09</v>
      </c>
      <c r="D615" s="432">
        <v>139.68</v>
      </c>
      <c r="E615" s="432">
        <v>140.08000000000001</v>
      </c>
      <c r="F615" s="426"/>
      <c r="G615" s="426"/>
      <c r="H615" s="426"/>
      <c r="I615" s="426"/>
      <c r="J615" s="426"/>
    </row>
    <row r="616" spans="1:10" x14ac:dyDescent="0.2">
      <c r="A616" s="426"/>
      <c r="B616" s="113">
        <v>65</v>
      </c>
      <c r="C616" s="432">
        <v>140.31</v>
      </c>
      <c r="D616" s="432">
        <v>141.91999999999999</v>
      </c>
      <c r="E616" s="432">
        <v>142.31</v>
      </c>
      <c r="F616" s="426"/>
      <c r="G616" s="426"/>
      <c r="H616" s="426"/>
      <c r="I616" s="426"/>
      <c r="J616" s="426"/>
    </row>
    <row r="617" spans="1:10" x14ac:dyDescent="0.2">
      <c r="A617" s="426"/>
      <c r="B617" s="113">
        <v>66</v>
      </c>
      <c r="C617" s="432">
        <v>142.32</v>
      </c>
      <c r="D617" s="432">
        <v>143.94</v>
      </c>
      <c r="E617" s="432">
        <v>144.33000000000001</v>
      </c>
      <c r="F617" s="426"/>
      <c r="G617" s="426"/>
      <c r="H617" s="426"/>
      <c r="I617" s="426"/>
      <c r="J617" s="426"/>
    </row>
    <row r="618" spans="1:10" x14ac:dyDescent="0.2">
      <c r="A618" s="426"/>
      <c r="B618" s="113">
        <v>67</v>
      </c>
      <c r="C618" s="432">
        <v>144.09</v>
      </c>
      <c r="D618" s="432">
        <v>145.71</v>
      </c>
      <c r="E618" s="432">
        <v>146.1</v>
      </c>
      <c r="F618" s="426"/>
      <c r="G618" s="426"/>
      <c r="H618" s="426"/>
      <c r="I618" s="426"/>
      <c r="J618" s="426"/>
    </row>
    <row r="619" spans="1:10" x14ac:dyDescent="0.2">
      <c r="A619" s="426"/>
      <c r="B619" s="113">
        <v>68</v>
      </c>
      <c r="C619" s="432">
        <v>145.56</v>
      </c>
      <c r="D619" s="432">
        <v>147.18</v>
      </c>
      <c r="E619" s="432">
        <v>147.57</v>
      </c>
      <c r="F619" s="426"/>
      <c r="G619" s="426"/>
      <c r="H619" s="426"/>
      <c r="I619" s="426"/>
      <c r="J619" s="426"/>
    </row>
    <row r="620" spans="1:10" x14ac:dyDescent="0.2">
      <c r="A620" s="426"/>
      <c r="B620" s="113">
        <v>69</v>
      </c>
      <c r="C620" s="432">
        <v>146.69999999999999</v>
      </c>
      <c r="D620" s="432">
        <v>148.32</v>
      </c>
      <c r="E620" s="432">
        <v>148.71</v>
      </c>
      <c r="F620" s="426"/>
      <c r="G620" s="426"/>
      <c r="H620" s="426"/>
      <c r="I620" s="426"/>
      <c r="J620" s="426"/>
    </row>
    <row r="621" spans="1:10" x14ac:dyDescent="0.2">
      <c r="A621" s="426"/>
      <c r="B621" s="113">
        <v>70</v>
      </c>
      <c r="C621" s="432">
        <v>147.47</v>
      </c>
      <c r="D621" s="432">
        <v>149.08000000000001</v>
      </c>
      <c r="E621" s="432">
        <v>149.47</v>
      </c>
      <c r="F621" s="426"/>
      <c r="G621" s="426"/>
      <c r="H621" s="426"/>
      <c r="I621" s="426"/>
      <c r="J621" s="426"/>
    </row>
    <row r="622" spans="1:10" x14ac:dyDescent="0.2">
      <c r="A622" s="426"/>
      <c r="B622" s="113">
        <v>71</v>
      </c>
      <c r="C622" s="432">
        <v>147.83000000000001</v>
      </c>
      <c r="D622" s="432">
        <v>149.43</v>
      </c>
      <c r="E622" s="432">
        <v>149.82</v>
      </c>
      <c r="F622" s="426"/>
      <c r="G622" s="426"/>
      <c r="H622" s="426"/>
      <c r="I622" s="426"/>
      <c r="J622" s="426"/>
    </row>
    <row r="623" spans="1:10" x14ac:dyDescent="0.2">
      <c r="A623" s="426"/>
      <c r="B623" s="113">
        <v>72</v>
      </c>
      <c r="C623" s="432">
        <v>147.75</v>
      </c>
      <c r="D623" s="432">
        <v>149.34</v>
      </c>
      <c r="E623" s="432">
        <v>149.72999999999999</v>
      </c>
      <c r="F623" s="426"/>
      <c r="G623" s="426"/>
      <c r="H623" s="426"/>
      <c r="I623" s="426"/>
      <c r="J623" s="426"/>
    </row>
    <row r="624" spans="1:10" x14ac:dyDescent="0.2">
      <c r="A624" s="426"/>
      <c r="B624" s="113">
        <v>73</v>
      </c>
      <c r="C624" s="432">
        <v>147.21</v>
      </c>
      <c r="D624" s="432">
        <v>148.79</v>
      </c>
      <c r="E624" s="432">
        <v>149.16999999999999</v>
      </c>
      <c r="F624" s="426"/>
      <c r="G624" s="426"/>
      <c r="H624" s="426"/>
      <c r="I624" s="426"/>
      <c r="J624" s="426"/>
    </row>
    <row r="625" spans="1:10" x14ac:dyDescent="0.2">
      <c r="A625" s="426"/>
      <c r="B625" s="113">
        <v>74</v>
      </c>
      <c r="C625" s="432">
        <v>146.19</v>
      </c>
      <c r="D625" s="432">
        <v>147.75</v>
      </c>
      <c r="E625" s="432">
        <v>148.13</v>
      </c>
      <c r="F625" s="426"/>
      <c r="G625" s="426"/>
      <c r="H625" s="426"/>
      <c r="I625" s="426"/>
      <c r="J625" s="426"/>
    </row>
    <row r="626" spans="1:10" x14ac:dyDescent="0.2">
      <c r="A626" s="426"/>
      <c r="B626" s="113">
        <v>75</v>
      </c>
      <c r="C626" s="432">
        <v>144.69</v>
      </c>
      <c r="D626" s="432">
        <v>146.22999999999999</v>
      </c>
      <c r="E626" s="432">
        <v>146.6</v>
      </c>
      <c r="F626" s="426"/>
      <c r="G626" s="426"/>
      <c r="H626" s="426"/>
      <c r="I626" s="426"/>
      <c r="J626" s="426"/>
    </row>
    <row r="627" spans="1:10" x14ac:dyDescent="0.2">
      <c r="A627" s="426"/>
      <c r="B627" s="113">
        <v>76</v>
      </c>
      <c r="C627" s="432">
        <v>142.69999999999999</v>
      </c>
      <c r="D627" s="432">
        <v>144.22</v>
      </c>
      <c r="E627" s="432">
        <v>144.59</v>
      </c>
      <c r="F627" s="426"/>
      <c r="G627" s="426"/>
      <c r="H627" s="426"/>
      <c r="I627" s="426"/>
      <c r="J627" s="426"/>
    </row>
    <row r="628" spans="1:10" x14ac:dyDescent="0.2">
      <c r="A628" s="426"/>
      <c r="B628" s="113">
        <v>77</v>
      </c>
      <c r="C628" s="432">
        <v>140.25</v>
      </c>
      <c r="D628" s="432">
        <v>141.74</v>
      </c>
      <c r="E628" s="432">
        <v>142.1</v>
      </c>
      <c r="F628" s="426"/>
      <c r="G628" s="426"/>
      <c r="H628" s="426"/>
      <c r="I628" s="426"/>
      <c r="J628" s="426"/>
    </row>
    <row r="629" spans="1:10" x14ac:dyDescent="0.2">
      <c r="A629" s="426"/>
      <c r="B629" s="113">
        <v>78</v>
      </c>
      <c r="C629" s="432">
        <v>137.34</v>
      </c>
      <c r="D629" s="432">
        <v>138.80000000000001</v>
      </c>
      <c r="E629" s="432">
        <v>139.16</v>
      </c>
      <c r="F629" s="426"/>
      <c r="G629" s="426"/>
      <c r="H629" s="426"/>
      <c r="I629" s="426"/>
      <c r="J629" s="426"/>
    </row>
    <row r="630" spans="1:10" x14ac:dyDescent="0.2">
      <c r="A630" s="426"/>
      <c r="B630" s="113">
        <v>79</v>
      </c>
      <c r="C630" s="432">
        <v>134.01</v>
      </c>
      <c r="D630" s="432">
        <v>135.44</v>
      </c>
      <c r="E630" s="432">
        <v>135.80000000000001</v>
      </c>
      <c r="F630" s="426"/>
      <c r="G630" s="426"/>
      <c r="H630" s="426"/>
      <c r="I630" s="426"/>
      <c r="J630" s="426"/>
    </row>
    <row r="631" spans="1:10" x14ac:dyDescent="0.2">
      <c r="A631" s="426"/>
      <c r="B631" s="113">
        <v>80</v>
      </c>
      <c r="C631" s="432">
        <v>130.29</v>
      </c>
      <c r="D631" s="432">
        <v>131.69</v>
      </c>
      <c r="E631" s="432">
        <v>132.04</v>
      </c>
      <c r="F631" s="426"/>
      <c r="G631" s="426"/>
      <c r="H631" s="426"/>
      <c r="I631" s="426"/>
      <c r="J631" s="426"/>
    </row>
    <row r="632" spans="1:10" x14ac:dyDescent="0.2">
      <c r="A632" s="426"/>
      <c r="B632" s="113">
        <v>81</v>
      </c>
      <c r="C632" s="432">
        <v>126.23</v>
      </c>
      <c r="D632" s="432">
        <v>127.6</v>
      </c>
      <c r="E632" s="432">
        <v>127.94</v>
      </c>
      <c r="F632" s="426"/>
      <c r="G632" s="426"/>
      <c r="H632" s="426"/>
      <c r="I632" s="426"/>
      <c r="J632" s="426"/>
    </row>
    <row r="633" spans="1:10" x14ac:dyDescent="0.2">
      <c r="A633" s="426"/>
      <c r="B633" s="113">
        <v>82</v>
      </c>
      <c r="C633" s="432">
        <v>121.88</v>
      </c>
      <c r="D633" s="432">
        <v>123.21</v>
      </c>
      <c r="E633" s="432">
        <v>123.55</v>
      </c>
      <c r="F633" s="426"/>
      <c r="G633" s="426"/>
      <c r="H633" s="426"/>
      <c r="I633" s="426"/>
      <c r="J633" s="426"/>
    </row>
    <row r="634" spans="1:10" x14ac:dyDescent="0.2">
      <c r="A634" s="426"/>
      <c r="B634" s="113">
        <v>83</v>
      </c>
      <c r="C634" s="432">
        <v>117.28</v>
      </c>
      <c r="D634" s="432">
        <v>118.58</v>
      </c>
      <c r="E634" s="432">
        <v>118.91</v>
      </c>
      <c r="F634" s="426"/>
      <c r="G634" s="426"/>
      <c r="H634" s="426"/>
      <c r="I634" s="426"/>
      <c r="J634" s="426"/>
    </row>
    <row r="635" spans="1:10" x14ac:dyDescent="0.2">
      <c r="A635" s="426"/>
      <c r="B635" s="113">
        <v>84</v>
      </c>
      <c r="C635" s="432">
        <v>112.49</v>
      </c>
      <c r="D635" s="432">
        <v>113.75</v>
      </c>
      <c r="E635" s="432">
        <v>114.08</v>
      </c>
      <c r="F635" s="426"/>
      <c r="G635" s="426"/>
      <c r="H635" s="426"/>
      <c r="I635" s="426"/>
      <c r="J635" s="426"/>
    </row>
    <row r="636" spans="1:10" x14ac:dyDescent="0.2">
      <c r="A636" s="426"/>
      <c r="B636" s="113">
        <v>85</v>
      </c>
      <c r="C636" s="432">
        <v>107.56</v>
      </c>
      <c r="D636" s="432">
        <v>108.78</v>
      </c>
      <c r="E636" s="432">
        <v>109.1</v>
      </c>
      <c r="F636" s="426"/>
      <c r="G636" s="426"/>
      <c r="H636" s="426"/>
      <c r="I636" s="426"/>
      <c r="J636" s="426"/>
    </row>
    <row r="637" spans="1:10" x14ac:dyDescent="0.2">
      <c r="A637" s="426"/>
      <c r="B637" s="113">
        <v>86</v>
      </c>
      <c r="C637" s="432">
        <v>102.53</v>
      </c>
      <c r="D637" s="432">
        <v>103.72</v>
      </c>
      <c r="E637" s="432">
        <v>104.04</v>
      </c>
      <c r="F637" s="426"/>
      <c r="G637" s="426"/>
      <c r="H637" s="426"/>
      <c r="I637" s="426"/>
      <c r="J637" s="426"/>
    </row>
    <row r="638" spans="1:10" x14ac:dyDescent="0.2">
      <c r="A638" s="426"/>
      <c r="B638" s="113">
        <v>87</v>
      </c>
      <c r="C638" s="432">
        <v>97.47</v>
      </c>
      <c r="D638" s="432">
        <v>98.62</v>
      </c>
      <c r="E638" s="432">
        <v>98.93</v>
      </c>
      <c r="F638" s="426"/>
      <c r="G638" s="426"/>
      <c r="H638" s="426"/>
      <c r="I638" s="426"/>
      <c r="J638" s="426"/>
    </row>
    <row r="639" spans="1:10" x14ac:dyDescent="0.2">
      <c r="A639" s="426"/>
      <c r="B639" s="113">
        <v>88</v>
      </c>
      <c r="C639" s="432">
        <v>92.4</v>
      </c>
      <c r="D639" s="432">
        <v>93.52</v>
      </c>
      <c r="E639" s="432">
        <v>93.83</v>
      </c>
      <c r="F639" s="426"/>
      <c r="G639" s="426"/>
      <c r="H639" s="426"/>
      <c r="I639" s="426"/>
      <c r="J639" s="426"/>
    </row>
    <row r="640" spans="1:10" x14ac:dyDescent="0.2">
      <c r="A640" s="426"/>
      <c r="B640" s="113">
        <v>89</v>
      </c>
      <c r="C640" s="432">
        <v>87.38</v>
      </c>
      <c r="D640" s="432">
        <v>88.47</v>
      </c>
      <c r="E640" s="432">
        <v>88.76</v>
      </c>
      <c r="F640" s="426"/>
      <c r="G640" s="426"/>
      <c r="H640" s="426"/>
      <c r="I640" s="426"/>
      <c r="J640" s="426"/>
    </row>
    <row r="641" spans="1:10" x14ac:dyDescent="0.2">
      <c r="A641" s="426"/>
      <c r="B641" s="113">
        <v>90</v>
      </c>
      <c r="C641" s="432">
        <v>82.43</v>
      </c>
      <c r="D641" s="432">
        <v>83.48</v>
      </c>
      <c r="E641" s="432">
        <v>83.78</v>
      </c>
      <c r="F641" s="426"/>
      <c r="G641" s="426"/>
      <c r="H641" s="426"/>
      <c r="I641" s="426"/>
      <c r="J641" s="426"/>
    </row>
    <row r="642" spans="1:10" x14ac:dyDescent="0.2">
      <c r="A642" s="426"/>
      <c r="B642" s="113">
        <v>91</v>
      </c>
      <c r="C642" s="432">
        <v>77.59</v>
      </c>
      <c r="D642" s="432">
        <v>78.61</v>
      </c>
      <c r="E642" s="432">
        <v>78.900000000000006</v>
      </c>
      <c r="F642" s="426"/>
      <c r="G642" s="426"/>
      <c r="H642" s="426"/>
      <c r="I642" s="426"/>
      <c r="J642" s="426"/>
    </row>
    <row r="643" spans="1:10" x14ac:dyDescent="0.2">
      <c r="A643" s="426"/>
      <c r="B643" s="113">
        <v>92</v>
      </c>
      <c r="C643" s="432">
        <v>72.88</v>
      </c>
      <c r="D643" s="432">
        <v>73.87</v>
      </c>
      <c r="E643" s="432">
        <v>74.150000000000006</v>
      </c>
      <c r="F643" s="426"/>
      <c r="G643" s="426"/>
      <c r="H643" s="426"/>
      <c r="I643" s="426"/>
      <c r="J643" s="426"/>
    </row>
    <row r="644" spans="1:10" x14ac:dyDescent="0.2">
      <c r="A644" s="426"/>
      <c r="B644" s="113">
        <v>93</v>
      </c>
      <c r="C644" s="432">
        <v>68.33</v>
      </c>
      <c r="D644" s="432">
        <v>69.28</v>
      </c>
      <c r="E644" s="432">
        <v>69.56</v>
      </c>
      <c r="F644" s="426"/>
      <c r="G644" s="426"/>
      <c r="H644" s="426"/>
      <c r="I644" s="426"/>
      <c r="J644" s="426"/>
    </row>
    <row r="645" spans="1:10" x14ac:dyDescent="0.2">
      <c r="A645" s="426"/>
      <c r="B645" s="113">
        <v>94</v>
      </c>
      <c r="C645" s="432">
        <v>63.94</v>
      </c>
      <c r="D645" s="432">
        <v>64.87</v>
      </c>
      <c r="E645" s="432">
        <v>65.14</v>
      </c>
      <c r="F645" s="426"/>
      <c r="G645" s="426"/>
      <c r="H645" s="426"/>
      <c r="I645" s="426"/>
      <c r="J645" s="426"/>
    </row>
    <row r="646" spans="1:10" x14ac:dyDescent="0.2">
      <c r="A646" s="426"/>
      <c r="B646" s="113">
        <v>95</v>
      </c>
      <c r="C646" s="432">
        <v>59.73</v>
      </c>
      <c r="D646" s="432">
        <v>60.64</v>
      </c>
      <c r="E646" s="432">
        <v>60.91</v>
      </c>
      <c r="F646" s="426"/>
      <c r="G646" s="426"/>
      <c r="H646" s="426"/>
      <c r="I646" s="426"/>
      <c r="J646" s="426"/>
    </row>
    <row r="647" spans="1:10" x14ac:dyDescent="0.2">
      <c r="A647" s="426"/>
      <c r="B647" s="113">
        <v>96</v>
      </c>
      <c r="C647" s="432">
        <v>55.72</v>
      </c>
      <c r="D647" s="432">
        <v>56.61</v>
      </c>
      <c r="E647" s="432">
        <v>56.88</v>
      </c>
      <c r="F647" s="426"/>
      <c r="G647" s="426"/>
      <c r="H647" s="426"/>
      <c r="I647" s="426"/>
      <c r="J647" s="426"/>
    </row>
    <row r="648" spans="1:10" x14ac:dyDescent="0.2">
      <c r="A648" s="426"/>
      <c r="B648" s="113">
        <v>97</v>
      </c>
      <c r="C648" s="432">
        <v>51.91</v>
      </c>
      <c r="D648" s="432">
        <v>52.78</v>
      </c>
      <c r="E648" s="432">
        <v>53.05</v>
      </c>
      <c r="F648" s="426"/>
      <c r="G648" s="426"/>
      <c r="H648" s="426"/>
      <c r="I648" s="426"/>
      <c r="J648" s="426"/>
    </row>
    <row r="649" spans="1:10" x14ac:dyDescent="0.2">
      <c r="A649" s="426"/>
      <c r="B649" s="113">
        <v>98</v>
      </c>
      <c r="C649" s="432">
        <v>48.31</v>
      </c>
      <c r="D649" s="432">
        <v>49.17</v>
      </c>
      <c r="E649" s="432">
        <v>49.43</v>
      </c>
      <c r="F649" s="426"/>
      <c r="G649" s="426"/>
      <c r="H649" s="426"/>
      <c r="I649" s="426"/>
      <c r="J649" s="426"/>
    </row>
    <row r="650" spans="1:10" x14ac:dyDescent="0.2">
      <c r="A650" s="426"/>
      <c r="B650" s="113">
        <v>99</v>
      </c>
      <c r="C650" s="432">
        <v>44.93</v>
      </c>
      <c r="D650" s="432">
        <v>45.78</v>
      </c>
      <c r="E650" s="432">
        <v>46.04</v>
      </c>
      <c r="F650" s="426"/>
      <c r="G650" s="426"/>
      <c r="H650" s="426"/>
      <c r="I650" s="426"/>
      <c r="J650" s="426"/>
    </row>
    <row r="651" spans="1:10" x14ac:dyDescent="0.2">
      <c r="A651" s="426"/>
      <c r="B651" s="113">
        <v>100</v>
      </c>
      <c r="C651" s="432">
        <v>41.77</v>
      </c>
      <c r="D651" s="432">
        <v>42.61</v>
      </c>
      <c r="E651" s="432">
        <v>42.87</v>
      </c>
      <c r="F651" s="426"/>
      <c r="G651" s="426"/>
      <c r="H651" s="426"/>
      <c r="I651" s="426"/>
      <c r="J651" s="42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H648"/>
  <sheetViews>
    <sheetView workbookViewId="0">
      <selection sqref="A1:XFD1048576"/>
    </sheetView>
  </sheetViews>
  <sheetFormatPr defaultColWidth="9.140625" defaultRowHeight="12.75" x14ac:dyDescent="0.2"/>
  <cols>
    <col min="1" max="1" width="2.140625" style="426" customWidth="1"/>
    <col min="2" max="2" width="6.85546875" style="426" customWidth="1"/>
    <col min="3" max="5" width="7.85546875" style="426" customWidth="1"/>
    <col min="6" max="6" width="1.42578125" style="426" customWidth="1"/>
    <col min="7" max="7" width="6.140625" style="426" customWidth="1"/>
    <col min="8" max="10" width="7.85546875" style="426" customWidth="1"/>
    <col min="11" max="11" width="2.140625" style="426" customWidth="1"/>
    <col min="12" max="12" width="6.5703125" style="426" customWidth="1"/>
    <col min="13" max="15" width="7.85546875" style="426" customWidth="1"/>
    <col min="16" max="16" width="1.42578125" style="426" customWidth="1"/>
    <col min="17" max="17" width="6.140625" style="426" customWidth="1"/>
    <col min="18" max="20" width="7.85546875" style="426" customWidth="1"/>
    <col min="21" max="21" width="2.140625" style="426" customWidth="1"/>
    <col min="22" max="22" width="7" style="426" customWidth="1"/>
    <col min="23" max="25" width="7.85546875" style="426" customWidth="1"/>
    <col min="26" max="26" width="1.42578125" style="426" customWidth="1"/>
    <col min="27" max="27" width="5.85546875" style="426" customWidth="1"/>
    <col min="28" max="30" width="7.85546875" style="426" customWidth="1"/>
    <col min="31" max="31" width="2.140625" style="426" customWidth="1"/>
    <col min="32" max="32" width="7.140625" style="426" customWidth="1"/>
    <col min="33" max="35" width="7.85546875" style="426" customWidth="1"/>
    <col min="36" max="36" width="1.42578125" style="426" customWidth="1"/>
    <col min="37" max="37" width="7.140625" style="426" customWidth="1"/>
    <col min="38" max="40" width="7.85546875" style="426" customWidth="1"/>
    <col min="41" max="41" width="2.140625" style="426" customWidth="1"/>
    <col min="42" max="45" width="7.85546875" style="426" customWidth="1"/>
    <col min="46" max="46" width="1.42578125" style="426" customWidth="1"/>
    <col min="47" max="50" width="7.85546875" style="426" customWidth="1"/>
    <col min="51" max="51" width="2.140625" style="426" customWidth="1"/>
    <col min="52" max="52" width="7" style="426" customWidth="1"/>
    <col min="53" max="55" width="7.85546875" style="426" customWidth="1"/>
    <col min="56" max="56" width="1.42578125" style="426" customWidth="1"/>
    <col min="57" max="57" width="7.140625" style="426" customWidth="1"/>
    <col min="58" max="60" width="7.85546875" style="426" customWidth="1"/>
    <col min="61" max="16384" width="9.140625" style="426"/>
  </cols>
  <sheetData>
    <row r="1" spans="1:60" x14ac:dyDescent="0.2">
      <c r="B1" s="425" t="s">
        <v>284</v>
      </c>
      <c r="C1" s="425"/>
      <c r="D1" s="425"/>
      <c r="J1" s="427" t="s">
        <v>151</v>
      </c>
      <c r="L1" s="425"/>
      <c r="M1" s="425"/>
      <c r="N1" s="425"/>
      <c r="T1" s="427"/>
      <c r="V1" s="425"/>
      <c r="W1" s="425"/>
      <c r="X1" s="425"/>
      <c r="AD1" s="427"/>
      <c r="AF1" s="425"/>
      <c r="AG1" s="425"/>
      <c r="AH1" s="425"/>
      <c r="AN1" s="427"/>
      <c r="AP1" s="425"/>
      <c r="AQ1" s="425"/>
      <c r="AR1" s="425"/>
      <c r="AU1" s="432"/>
      <c r="AV1" s="432"/>
      <c r="AX1" s="427"/>
      <c r="AZ1" s="425"/>
      <c r="BA1" s="425"/>
      <c r="BB1" s="425"/>
      <c r="BH1" s="427"/>
    </row>
    <row r="2" spans="1:60" x14ac:dyDescent="0.2">
      <c r="B2" s="430" t="s">
        <v>330</v>
      </c>
      <c r="L2" s="430" t="s">
        <v>331</v>
      </c>
      <c r="V2" s="430" t="s">
        <v>332</v>
      </c>
      <c r="AF2" s="430" t="s">
        <v>333</v>
      </c>
      <c r="AP2" s="430" t="s">
        <v>334</v>
      </c>
      <c r="AZ2" s="430" t="s">
        <v>335</v>
      </c>
    </row>
    <row r="3" spans="1:60" ht="70.5" customHeight="1" x14ac:dyDescent="0.2">
      <c r="B3" s="544" t="s">
        <v>321</v>
      </c>
      <c r="C3" s="545"/>
      <c r="D3" s="545"/>
      <c r="E3" s="545"/>
      <c r="F3" s="542"/>
      <c r="G3" s="542"/>
      <c r="H3" s="542"/>
      <c r="I3" s="542"/>
      <c r="J3" s="543"/>
      <c r="L3" s="544" t="s">
        <v>322</v>
      </c>
      <c r="M3" s="545"/>
      <c r="N3" s="545"/>
      <c r="O3" s="545"/>
      <c r="P3" s="542"/>
      <c r="Q3" s="542"/>
      <c r="R3" s="542"/>
      <c r="S3" s="542"/>
      <c r="T3" s="543"/>
      <c r="V3" s="544" t="s">
        <v>323</v>
      </c>
      <c r="W3" s="545"/>
      <c r="X3" s="545"/>
      <c r="Y3" s="545"/>
      <c r="Z3" s="542"/>
      <c r="AA3" s="542"/>
      <c r="AB3" s="542"/>
      <c r="AC3" s="542"/>
      <c r="AD3" s="543"/>
      <c r="AF3" s="544" t="s">
        <v>324</v>
      </c>
      <c r="AG3" s="545"/>
      <c r="AH3" s="545"/>
      <c r="AI3" s="545"/>
      <c r="AJ3" s="542"/>
      <c r="AK3" s="542"/>
      <c r="AL3" s="542"/>
      <c r="AM3" s="542"/>
      <c r="AN3" s="543"/>
      <c r="AP3" s="544" t="s">
        <v>325</v>
      </c>
      <c r="AQ3" s="545"/>
      <c r="AR3" s="545"/>
      <c r="AS3" s="545"/>
      <c r="AT3" s="542"/>
      <c r="AU3" s="542"/>
      <c r="AV3" s="542"/>
      <c r="AW3" s="542"/>
      <c r="AX3" s="543"/>
      <c r="AZ3" s="544" t="s">
        <v>326</v>
      </c>
      <c r="BA3" s="545"/>
      <c r="BB3" s="545"/>
      <c r="BC3" s="545"/>
      <c r="BD3" s="542"/>
      <c r="BE3" s="542"/>
      <c r="BF3" s="542"/>
      <c r="BG3" s="542"/>
      <c r="BH3" s="543"/>
    </row>
    <row r="4" spans="1:60" ht="40.5" customHeight="1" x14ac:dyDescent="0.2">
      <c r="B4" s="141" t="s">
        <v>1</v>
      </c>
      <c r="C4" s="141" t="s">
        <v>327</v>
      </c>
      <c r="D4" s="141" t="s">
        <v>328</v>
      </c>
      <c r="E4" s="141" t="s">
        <v>329</v>
      </c>
      <c r="F4" s="431"/>
      <c r="G4" s="141"/>
      <c r="H4" s="141"/>
      <c r="I4" s="141"/>
      <c r="J4" s="141"/>
      <c r="L4" s="141" t="s">
        <v>1</v>
      </c>
      <c r="M4" s="141" t="s">
        <v>327</v>
      </c>
      <c r="N4" s="141" t="s">
        <v>328</v>
      </c>
      <c r="O4" s="141" t="s">
        <v>329</v>
      </c>
      <c r="P4" s="431"/>
      <c r="Q4" s="141"/>
      <c r="R4" s="141"/>
      <c r="S4" s="141"/>
      <c r="T4" s="141"/>
      <c r="V4" s="141" t="s">
        <v>1</v>
      </c>
      <c r="W4" s="141" t="s">
        <v>327</v>
      </c>
      <c r="X4" s="141" t="s">
        <v>328</v>
      </c>
      <c r="Y4" s="141" t="s">
        <v>329</v>
      </c>
      <c r="Z4" s="431"/>
      <c r="AA4" s="141"/>
      <c r="AB4" s="141"/>
      <c r="AC4" s="141"/>
      <c r="AD4" s="141"/>
      <c r="AF4" s="141" t="s">
        <v>1</v>
      </c>
      <c r="AG4" s="141" t="s">
        <v>327</v>
      </c>
      <c r="AH4" s="141" t="s">
        <v>328</v>
      </c>
      <c r="AI4" s="141" t="s">
        <v>329</v>
      </c>
      <c r="AJ4" s="431"/>
      <c r="AK4" s="141"/>
      <c r="AL4" s="141"/>
      <c r="AM4" s="141"/>
      <c r="AN4" s="141"/>
      <c r="AP4" s="141" t="s">
        <v>1</v>
      </c>
      <c r="AQ4" s="141" t="s">
        <v>327</v>
      </c>
      <c r="AR4" s="141" t="s">
        <v>328</v>
      </c>
      <c r="AS4" s="141" t="s">
        <v>329</v>
      </c>
      <c r="AT4" s="431"/>
      <c r="AU4" s="141"/>
      <c r="AV4" s="141"/>
      <c r="AW4" s="141"/>
      <c r="AX4" s="141"/>
      <c r="AZ4" s="141" t="s">
        <v>1</v>
      </c>
      <c r="BA4" s="141" t="s">
        <v>327</v>
      </c>
      <c r="BB4" s="141" t="s">
        <v>328</v>
      </c>
      <c r="BC4" s="141" t="s">
        <v>329</v>
      </c>
      <c r="BD4" s="431"/>
      <c r="BE4" s="141"/>
      <c r="BF4" s="141"/>
      <c r="BG4" s="141"/>
      <c r="BH4" s="141"/>
    </row>
    <row r="5" spans="1:60" s="429" customFormat="1" x14ac:dyDescent="0.2">
      <c r="A5" s="426"/>
      <c r="B5" s="113">
        <v>0</v>
      </c>
      <c r="C5" s="432">
        <v>64.37</v>
      </c>
      <c r="D5" s="432">
        <v>64.84</v>
      </c>
      <c r="E5" s="432">
        <v>65.17</v>
      </c>
      <c r="F5" s="426"/>
      <c r="G5" s="426"/>
      <c r="H5" s="426"/>
      <c r="I5" s="426"/>
      <c r="J5" s="426"/>
      <c r="K5" s="426"/>
      <c r="L5" s="113">
        <v>0</v>
      </c>
      <c r="M5" s="432">
        <v>67.91</v>
      </c>
      <c r="N5" s="432">
        <v>68.47</v>
      </c>
      <c r="O5" s="432">
        <v>68.819999999999993</v>
      </c>
      <c r="P5" s="426"/>
      <c r="Q5" s="426"/>
      <c r="R5" s="426"/>
      <c r="S5" s="426"/>
      <c r="T5" s="426"/>
      <c r="U5" s="426"/>
      <c r="V5" s="113">
        <v>0</v>
      </c>
      <c r="W5" s="432">
        <v>71.61</v>
      </c>
      <c r="X5" s="432">
        <v>72.260000000000005</v>
      </c>
      <c r="Y5" s="432">
        <v>72.650000000000006</v>
      </c>
      <c r="Z5" s="426"/>
      <c r="AA5" s="426"/>
      <c r="AB5" s="426"/>
      <c r="AC5" s="426"/>
      <c r="AD5" s="426"/>
      <c r="AE5" s="426"/>
      <c r="AF5" s="113">
        <v>0</v>
      </c>
      <c r="AG5" s="432">
        <v>75.48</v>
      </c>
      <c r="AH5" s="432">
        <v>76.23</v>
      </c>
      <c r="AI5" s="432">
        <v>76.650000000000006</v>
      </c>
      <c r="AJ5" s="426"/>
      <c r="AK5" s="426"/>
      <c r="AL5" s="426"/>
      <c r="AM5" s="426"/>
      <c r="AN5" s="426"/>
      <c r="AO5" s="426"/>
      <c r="AP5" s="113">
        <v>0</v>
      </c>
      <c r="AQ5" s="432">
        <v>79.53</v>
      </c>
      <c r="AR5" s="432">
        <v>80.38</v>
      </c>
      <c r="AS5" s="432">
        <v>80.83</v>
      </c>
      <c r="AT5" s="426"/>
      <c r="AU5" s="426"/>
      <c r="AV5" s="426"/>
      <c r="AW5" s="426"/>
      <c r="AX5" s="426"/>
      <c r="AY5" s="426"/>
      <c r="AZ5" s="113">
        <v>0</v>
      </c>
      <c r="BA5" s="432">
        <v>83.75</v>
      </c>
      <c r="BB5" s="432">
        <v>84.71</v>
      </c>
      <c r="BC5" s="432">
        <v>85.2</v>
      </c>
      <c r="BD5" s="426"/>
      <c r="BE5" s="426"/>
      <c r="BF5" s="426"/>
      <c r="BG5" s="426"/>
      <c r="BH5" s="426"/>
    </row>
    <row r="6" spans="1:60" s="429" customFormat="1" x14ac:dyDescent="0.2">
      <c r="A6" s="433"/>
      <c r="B6" s="113">
        <v>1</v>
      </c>
      <c r="C6" s="432">
        <v>64.489999999999995</v>
      </c>
      <c r="D6" s="432">
        <v>64.97</v>
      </c>
      <c r="E6" s="432">
        <v>65.3</v>
      </c>
      <c r="F6" s="426"/>
      <c r="G6" s="426"/>
      <c r="H6" s="426"/>
      <c r="I6" s="426"/>
      <c r="J6" s="426"/>
      <c r="K6" s="433"/>
      <c r="L6" s="113">
        <v>1</v>
      </c>
      <c r="M6" s="432">
        <v>68.05</v>
      </c>
      <c r="N6" s="432">
        <v>68.61</v>
      </c>
      <c r="O6" s="432">
        <v>68.97</v>
      </c>
      <c r="P6" s="426"/>
      <c r="Q6" s="426"/>
      <c r="R6" s="426"/>
      <c r="S6" s="426"/>
      <c r="T6" s="426"/>
      <c r="U6" s="433"/>
      <c r="V6" s="113">
        <v>1</v>
      </c>
      <c r="W6" s="432">
        <v>71.77</v>
      </c>
      <c r="X6" s="432">
        <v>72.42</v>
      </c>
      <c r="Y6" s="432">
        <v>72.81</v>
      </c>
      <c r="Z6" s="426"/>
      <c r="AA6" s="426"/>
      <c r="AB6" s="426"/>
      <c r="AC6" s="426"/>
      <c r="AD6" s="426"/>
      <c r="AE6" s="433"/>
      <c r="AF6" s="113">
        <v>1</v>
      </c>
      <c r="AG6" s="432">
        <v>75.66</v>
      </c>
      <c r="AH6" s="432">
        <v>76.41</v>
      </c>
      <c r="AI6" s="432">
        <v>76.83</v>
      </c>
      <c r="AJ6" s="426"/>
      <c r="AK6" s="426"/>
      <c r="AL6" s="426"/>
      <c r="AM6" s="426"/>
      <c r="AN6" s="426"/>
      <c r="AO6" s="433"/>
      <c r="AP6" s="113">
        <v>1</v>
      </c>
      <c r="AQ6" s="432">
        <v>79.72</v>
      </c>
      <c r="AR6" s="432">
        <v>80.58</v>
      </c>
      <c r="AS6" s="432">
        <v>81.03</v>
      </c>
      <c r="AT6" s="426"/>
      <c r="AU6" s="426"/>
      <c r="AV6" s="426"/>
      <c r="AW6" s="426"/>
      <c r="AX6" s="426"/>
      <c r="AY6" s="433"/>
      <c r="AZ6" s="113">
        <v>1</v>
      </c>
      <c r="BA6" s="432">
        <v>83.97</v>
      </c>
      <c r="BB6" s="432">
        <v>84.94</v>
      </c>
      <c r="BC6" s="432">
        <v>85.43</v>
      </c>
      <c r="BD6" s="426"/>
      <c r="BE6" s="426"/>
      <c r="BF6" s="426"/>
      <c r="BG6" s="426"/>
      <c r="BH6" s="426"/>
    </row>
    <row r="7" spans="1:60" s="429" customFormat="1" x14ac:dyDescent="0.2">
      <c r="A7" s="433"/>
      <c r="B7" s="113">
        <v>2</v>
      </c>
      <c r="C7" s="432">
        <v>64.63</v>
      </c>
      <c r="D7" s="432">
        <v>65.099999999999994</v>
      </c>
      <c r="E7" s="432">
        <v>65.430000000000007</v>
      </c>
      <c r="F7" s="426"/>
      <c r="G7" s="426"/>
      <c r="H7" s="426"/>
      <c r="I7" s="426"/>
      <c r="J7" s="426"/>
      <c r="K7" s="433"/>
      <c r="L7" s="113">
        <v>2</v>
      </c>
      <c r="M7" s="432">
        <v>68.2</v>
      </c>
      <c r="N7" s="432">
        <v>68.760000000000005</v>
      </c>
      <c r="O7" s="432">
        <v>69.12</v>
      </c>
      <c r="P7" s="426"/>
      <c r="Q7" s="426"/>
      <c r="R7" s="426"/>
      <c r="S7" s="426"/>
      <c r="T7" s="426"/>
      <c r="U7" s="433"/>
      <c r="V7" s="113">
        <v>2</v>
      </c>
      <c r="W7" s="432">
        <v>71.94</v>
      </c>
      <c r="X7" s="432">
        <v>72.59</v>
      </c>
      <c r="Y7" s="432">
        <v>72.98</v>
      </c>
      <c r="Z7" s="426"/>
      <c r="AA7" s="426"/>
      <c r="AB7" s="426"/>
      <c r="AC7" s="426"/>
      <c r="AD7" s="426"/>
      <c r="AE7" s="433"/>
      <c r="AF7" s="113">
        <v>2</v>
      </c>
      <c r="AG7" s="432">
        <v>75.84</v>
      </c>
      <c r="AH7" s="432">
        <v>76.599999999999994</v>
      </c>
      <c r="AI7" s="432">
        <v>77.02</v>
      </c>
      <c r="AJ7" s="426"/>
      <c r="AK7" s="426"/>
      <c r="AL7" s="426"/>
      <c r="AM7" s="426"/>
      <c r="AN7" s="426"/>
      <c r="AO7" s="433"/>
      <c r="AP7" s="113">
        <v>2</v>
      </c>
      <c r="AQ7" s="432">
        <v>79.930000000000007</v>
      </c>
      <c r="AR7" s="432">
        <v>80.790000000000006</v>
      </c>
      <c r="AS7" s="432">
        <v>81.239999999999995</v>
      </c>
      <c r="AT7" s="426"/>
      <c r="AU7" s="426"/>
      <c r="AV7" s="426"/>
      <c r="AW7" s="426"/>
      <c r="AX7" s="426"/>
      <c r="AY7" s="433"/>
      <c r="AZ7" s="113">
        <v>2</v>
      </c>
      <c r="BA7" s="432">
        <v>84.19</v>
      </c>
      <c r="BB7" s="432">
        <v>85.17</v>
      </c>
      <c r="BC7" s="432">
        <v>85.66</v>
      </c>
      <c r="BD7" s="426"/>
      <c r="BE7" s="426"/>
      <c r="BF7" s="426"/>
      <c r="BG7" s="426"/>
      <c r="BH7" s="426"/>
    </row>
    <row r="8" spans="1:60" s="429" customFormat="1" x14ac:dyDescent="0.2">
      <c r="A8" s="433"/>
      <c r="B8" s="113">
        <v>3</v>
      </c>
      <c r="C8" s="432">
        <v>64.760000000000005</v>
      </c>
      <c r="D8" s="432">
        <v>65.239999999999995</v>
      </c>
      <c r="E8" s="432">
        <v>65.569999999999993</v>
      </c>
      <c r="F8" s="426"/>
      <c r="G8" s="426"/>
      <c r="H8" s="426"/>
      <c r="I8" s="426"/>
      <c r="J8" s="426"/>
      <c r="K8" s="433"/>
      <c r="L8" s="113">
        <v>3</v>
      </c>
      <c r="M8" s="432">
        <v>68.349999999999994</v>
      </c>
      <c r="N8" s="432">
        <v>68.92</v>
      </c>
      <c r="O8" s="432">
        <v>69.28</v>
      </c>
      <c r="P8" s="426"/>
      <c r="Q8" s="426"/>
      <c r="R8" s="426"/>
      <c r="S8" s="426"/>
      <c r="T8" s="426"/>
      <c r="U8" s="433"/>
      <c r="V8" s="113">
        <v>3</v>
      </c>
      <c r="W8" s="432">
        <v>72.11</v>
      </c>
      <c r="X8" s="432">
        <v>72.760000000000005</v>
      </c>
      <c r="Y8" s="432">
        <v>73.150000000000006</v>
      </c>
      <c r="Z8" s="426"/>
      <c r="AA8" s="426"/>
      <c r="AB8" s="426"/>
      <c r="AC8" s="426"/>
      <c r="AD8" s="426"/>
      <c r="AE8" s="433"/>
      <c r="AF8" s="113">
        <v>3</v>
      </c>
      <c r="AG8" s="432">
        <v>76.040000000000006</v>
      </c>
      <c r="AH8" s="432">
        <v>76.790000000000006</v>
      </c>
      <c r="AI8" s="432">
        <v>77.209999999999994</v>
      </c>
      <c r="AJ8" s="426"/>
      <c r="AK8" s="426"/>
      <c r="AL8" s="426"/>
      <c r="AM8" s="426"/>
      <c r="AN8" s="426"/>
      <c r="AO8" s="433"/>
      <c r="AP8" s="113">
        <v>3</v>
      </c>
      <c r="AQ8" s="432">
        <v>80.14</v>
      </c>
      <c r="AR8" s="432">
        <v>81</v>
      </c>
      <c r="AS8" s="432">
        <v>81.459999999999994</v>
      </c>
      <c r="AT8" s="426"/>
      <c r="AU8" s="426"/>
      <c r="AV8" s="426"/>
      <c r="AW8" s="426"/>
      <c r="AX8" s="426"/>
      <c r="AY8" s="433"/>
      <c r="AZ8" s="113">
        <v>3</v>
      </c>
      <c r="BA8" s="432">
        <v>84.43</v>
      </c>
      <c r="BB8" s="432">
        <v>85.41</v>
      </c>
      <c r="BC8" s="432">
        <v>85.9</v>
      </c>
      <c r="BD8" s="426"/>
      <c r="BE8" s="426"/>
      <c r="BF8" s="426"/>
      <c r="BG8" s="426"/>
      <c r="BH8" s="426"/>
    </row>
    <row r="9" spans="1:60" s="429" customFormat="1" x14ac:dyDescent="0.2">
      <c r="A9" s="433"/>
      <c r="B9" s="113">
        <v>4</v>
      </c>
      <c r="C9" s="432">
        <v>64.91</v>
      </c>
      <c r="D9" s="432">
        <v>65.39</v>
      </c>
      <c r="E9" s="432">
        <v>65.72</v>
      </c>
      <c r="F9" s="426"/>
      <c r="G9" s="426"/>
      <c r="H9" s="426"/>
      <c r="I9" s="426"/>
      <c r="J9" s="426"/>
      <c r="K9" s="433"/>
      <c r="L9" s="113">
        <v>4</v>
      </c>
      <c r="M9" s="432">
        <v>68.510000000000005</v>
      </c>
      <c r="N9" s="432">
        <v>69.08</v>
      </c>
      <c r="O9" s="432">
        <v>69.44</v>
      </c>
      <c r="P9" s="426"/>
      <c r="Q9" s="426"/>
      <c r="R9" s="426"/>
      <c r="S9" s="426"/>
      <c r="T9" s="426"/>
      <c r="U9" s="433"/>
      <c r="V9" s="113">
        <v>4</v>
      </c>
      <c r="W9" s="432">
        <v>72.290000000000006</v>
      </c>
      <c r="X9" s="432">
        <v>72.95</v>
      </c>
      <c r="Y9" s="432">
        <v>73.34</v>
      </c>
      <c r="Z9" s="426"/>
      <c r="AA9" s="426"/>
      <c r="AB9" s="426"/>
      <c r="AC9" s="426"/>
      <c r="AD9" s="426"/>
      <c r="AE9" s="433"/>
      <c r="AF9" s="113">
        <v>4</v>
      </c>
      <c r="AG9" s="432">
        <v>76.23</v>
      </c>
      <c r="AH9" s="432">
        <v>76.989999999999995</v>
      </c>
      <c r="AI9" s="432">
        <v>77.42</v>
      </c>
      <c r="AJ9" s="426"/>
      <c r="AK9" s="426"/>
      <c r="AL9" s="426"/>
      <c r="AM9" s="426"/>
      <c r="AN9" s="426"/>
      <c r="AO9" s="433"/>
      <c r="AP9" s="113">
        <v>4</v>
      </c>
      <c r="AQ9" s="432">
        <v>80.36</v>
      </c>
      <c r="AR9" s="432">
        <v>81.23</v>
      </c>
      <c r="AS9" s="432">
        <v>81.69</v>
      </c>
      <c r="AT9" s="426"/>
      <c r="AU9" s="426"/>
      <c r="AV9" s="426"/>
      <c r="AW9" s="426"/>
      <c r="AX9" s="426"/>
      <c r="AY9" s="433"/>
      <c r="AZ9" s="113">
        <v>4</v>
      </c>
      <c r="BA9" s="432">
        <v>84.67</v>
      </c>
      <c r="BB9" s="432">
        <v>85.66</v>
      </c>
      <c r="BC9" s="432">
        <v>86.15</v>
      </c>
      <c r="BD9" s="426"/>
      <c r="BE9" s="426"/>
      <c r="BF9" s="426"/>
      <c r="BG9" s="426"/>
      <c r="BH9" s="426"/>
    </row>
    <row r="10" spans="1:60" s="429" customFormat="1" x14ac:dyDescent="0.2">
      <c r="A10" s="433"/>
      <c r="B10" s="113">
        <v>5</v>
      </c>
      <c r="C10" s="432">
        <v>65.06</v>
      </c>
      <c r="D10" s="432">
        <v>65.540000000000006</v>
      </c>
      <c r="E10" s="432">
        <v>65.87</v>
      </c>
      <c r="F10" s="426"/>
      <c r="G10" s="426"/>
      <c r="H10" s="426"/>
      <c r="I10" s="426"/>
      <c r="J10" s="426"/>
      <c r="K10" s="433"/>
      <c r="L10" s="113">
        <v>5</v>
      </c>
      <c r="M10" s="432">
        <v>68.680000000000007</v>
      </c>
      <c r="N10" s="432">
        <v>69.25</v>
      </c>
      <c r="O10" s="432">
        <v>69.61</v>
      </c>
      <c r="P10" s="426"/>
      <c r="Q10" s="426"/>
      <c r="R10" s="426"/>
      <c r="S10" s="426"/>
      <c r="T10" s="426"/>
      <c r="U10" s="433"/>
      <c r="V10" s="113">
        <v>5</v>
      </c>
      <c r="W10" s="432">
        <v>72.47</v>
      </c>
      <c r="X10" s="432">
        <v>73.13</v>
      </c>
      <c r="Y10" s="432">
        <v>73.53</v>
      </c>
      <c r="Z10" s="426"/>
      <c r="AA10" s="426"/>
      <c r="AB10" s="426"/>
      <c r="AC10" s="426"/>
      <c r="AD10" s="426"/>
      <c r="AE10" s="433"/>
      <c r="AF10" s="113">
        <v>5</v>
      </c>
      <c r="AG10" s="432">
        <v>76.44</v>
      </c>
      <c r="AH10" s="432">
        <v>77.2</v>
      </c>
      <c r="AI10" s="432">
        <v>77.63</v>
      </c>
      <c r="AJ10" s="426"/>
      <c r="AK10" s="426"/>
      <c r="AL10" s="426"/>
      <c r="AM10" s="426"/>
      <c r="AN10" s="426"/>
      <c r="AO10" s="433"/>
      <c r="AP10" s="113">
        <v>5</v>
      </c>
      <c r="AQ10" s="432">
        <v>80.59</v>
      </c>
      <c r="AR10" s="432">
        <v>81.459999999999994</v>
      </c>
      <c r="AS10" s="432">
        <v>81.92</v>
      </c>
      <c r="AT10" s="426"/>
      <c r="AU10" s="426"/>
      <c r="AV10" s="426"/>
      <c r="AW10" s="426"/>
      <c r="AX10" s="426"/>
      <c r="AY10" s="433"/>
      <c r="AZ10" s="113">
        <v>5</v>
      </c>
      <c r="BA10" s="432">
        <v>84.93</v>
      </c>
      <c r="BB10" s="432">
        <v>85.92</v>
      </c>
      <c r="BC10" s="432">
        <v>86.41</v>
      </c>
      <c r="BD10" s="426"/>
      <c r="BE10" s="426"/>
      <c r="BF10" s="426"/>
      <c r="BG10" s="426"/>
      <c r="BH10" s="426"/>
    </row>
    <row r="11" spans="1:60" s="429" customFormat="1" x14ac:dyDescent="0.2">
      <c r="A11" s="433"/>
      <c r="B11" s="113">
        <v>6</v>
      </c>
      <c r="C11" s="432">
        <v>65.209999999999994</v>
      </c>
      <c r="D11" s="432">
        <v>65.7</v>
      </c>
      <c r="E11" s="432">
        <v>66.03</v>
      </c>
      <c r="F11" s="426"/>
      <c r="G11" s="426"/>
      <c r="H11" s="426"/>
      <c r="I11" s="426"/>
      <c r="J11" s="426"/>
      <c r="K11" s="433"/>
      <c r="L11" s="113">
        <v>6</v>
      </c>
      <c r="M11" s="432">
        <v>68.849999999999994</v>
      </c>
      <c r="N11" s="432">
        <v>69.42</v>
      </c>
      <c r="O11" s="432">
        <v>69.790000000000006</v>
      </c>
      <c r="P11" s="426"/>
      <c r="Q11" s="426"/>
      <c r="R11" s="426"/>
      <c r="S11" s="426"/>
      <c r="T11" s="426"/>
      <c r="U11" s="433"/>
      <c r="V11" s="113">
        <v>6</v>
      </c>
      <c r="W11" s="432">
        <v>72.66</v>
      </c>
      <c r="X11" s="432">
        <v>73.33</v>
      </c>
      <c r="Y11" s="432">
        <v>73.72</v>
      </c>
      <c r="Z11" s="426"/>
      <c r="AA11" s="426"/>
      <c r="AB11" s="426"/>
      <c r="AC11" s="426"/>
      <c r="AD11" s="426"/>
      <c r="AE11" s="433"/>
      <c r="AF11" s="113">
        <v>6</v>
      </c>
      <c r="AG11" s="432">
        <v>76.650000000000006</v>
      </c>
      <c r="AH11" s="432">
        <v>77.42</v>
      </c>
      <c r="AI11" s="432">
        <v>77.849999999999994</v>
      </c>
      <c r="AJ11" s="426"/>
      <c r="AK11" s="426"/>
      <c r="AL11" s="426"/>
      <c r="AM11" s="426"/>
      <c r="AN11" s="426"/>
      <c r="AO11" s="433"/>
      <c r="AP11" s="113">
        <v>6</v>
      </c>
      <c r="AQ11" s="432">
        <v>80.83</v>
      </c>
      <c r="AR11" s="432">
        <v>81.7</v>
      </c>
      <c r="AS11" s="432">
        <v>82.17</v>
      </c>
      <c r="AT11" s="426"/>
      <c r="AU11" s="426"/>
      <c r="AV11" s="426"/>
      <c r="AW11" s="426"/>
      <c r="AX11" s="426"/>
      <c r="AY11" s="433"/>
      <c r="AZ11" s="113">
        <v>6</v>
      </c>
      <c r="BA11" s="432">
        <v>85.19</v>
      </c>
      <c r="BB11" s="432">
        <v>86.18</v>
      </c>
      <c r="BC11" s="432">
        <v>86.69</v>
      </c>
      <c r="BD11" s="426"/>
      <c r="BE11" s="426"/>
      <c r="BF11" s="426"/>
      <c r="BG11" s="426"/>
      <c r="BH11" s="426"/>
    </row>
    <row r="12" spans="1:60" s="429" customFormat="1" x14ac:dyDescent="0.2">
      <c r="A12" s="433"/>
      <c r="B12" s="113">
        <v>7</v>
      </c>
      <c r="C12" s="432">
        <v>65.37</v>
      </c>
      <c r="D12" s="432">
        <v>65.86</v>
      </c>
      <c r="E12" s="432">
        <v>66.2</v>
      </c>
      <c r="F12" s="426"/>
      <c r="G12" s="426"/>
      <c r="H12" s="426"/>
      <c r="I12" s="426"/>
      <c r="J12" s="426"/>
      <c r="K12" s="433"/>
      <c r="L12" s="113">
        <v>7</v>
      </c>
      <c r="M12" s="432">
        <v>69.03</v>
      </c>
      <c r="N12" s="432">
        <v>69.61</v>
      </c>
      <c r="O12" s="432">
        <v>69.97</v>
      </c>
      <c r="P12" s="426"/>
      <c r="Q12" s="426"/>
      <c r="R12" s="426"/>
      <c r="S12" s="426"/>
      <c r="T12" s="426"/>
      <c r="U12" s="433"/>
      <c r="V12" s="113">
        <v>7</v>
      </c>
      <c r="W12" s="432">
        <v>72.86</v>
      </c>
      <c r="X12" s="432">
        <v>73.53</v>
      </c>
      <c r="Y12" s="432">
        <v>73.930000000000007</v>
      </c>
      <c r="Z12" s="426"/>
      <c r="AA12" s="426"/>
      <c r="AB12" s="426"/>
      <c r="AC12" s="426"/>
      <c r="AD12" s="426"/>
      <c r="AE12" s="433"/>
      <c r="AF12" s="113">
        <v>7</v>
      </c>
      <c r="AG12" s="432">
        <v>76.88</v>
      </c>
      <c r="AH12" s="432">
        <v>77.650000000000006</v>
      </c>
      <c r="AI12" s="432">
        <v>78.08</v>
      </c>
      <c r="AJ12" s="426"/>
      <c r="AK12" s="426"/>
      <c r="AL12" s="426"/>
      <c r="AM12" s="426"/>
      <c r="AN12" s="426"/>
      <c r="AO12" s="433"/>
      <c r="AP12" s="113">
        <v>7</v>
      </c>
      <c r="AQ12" s="432">
        <v>81.08</v>
      </c>
      <c r="AR12" s="432">
        <v>81.96</v>
      </c>
      <c r="AS12" s="432">
        <v>82.42</v>
      </c>
      <c r="AT12" s="426"/>
      <c r="AU12" s="426"/>
      <c r="AV12" s="426"/>
      <c r="AW12" s="426"/>
      <c r="AX12" s="426"/>
      <c r="AY12" s="433"/>
      <c r="AZ12" s="113">
        <v>7</v>
      </c>
      <c r="BA12" s="432">
        <v>85.47</v>
      </c>
      <c r="BB12" s="432">
        <v>86.47</v>
      </c>
      <c r="BC12" s="432">
        <v>86.97</v>
      </c>
      <c r="BD12" s="426"/>
      <c r="BE12" s="426"/>
      <c r="BF12" s="426"/>
      <c r="BG12" s="426"/>
      <c r="BH12" s="426"/>
    </row>
    <row r="13" spans="1:60" s="429" customFormat="1" x14ac:dyDescent="0.2">
      <c r="A13" s="433"/>
      <c r="B13" s="113">
        <v>8</v>
      </c>
      <c r="C13" s="432">
        <v>65.540000000000006</v>
      </c>
      <c r="D13" s="432">
        <v>66.03</v>
      </c>
      <c r="E13" s="432">
        <v>66.37</v>
      </c>
      <c r="F13" s="426"/>
      <c r="G13" s="426"/>
      <c r="H13" s="426"/>
      <c r="I13" s="426"/>
      <c r="J13" s="426"/>
      <c r="K13" s="433"/>
      <c r="L13" s="113">
        <v>8</v>
      </c>
      <c r="M13" s="432">
        <v>69.22</v>
      </c>
      <c r="N13" s="432">
        <v>69.8</v>
      </c>
      <c r="O13" s="432">
        <v>70.16</v>
      </c>
      <c r="P13" s="426"/>
      <c r="Q13" s="426"/>
      <c r="R13" s="426"/>
      <c r="S13" s="426"/>
      <c r="T13" s="426"/>
      <c r="U13" s="433"/>
      <c r="V13" s="113">
        <v>8</v>
      </c>
      <c r="W13" s="432">
        <v>73.069999999999993</v>
      </c>
      <c r="X13" s="432">
        <v>73.739999999999995</v>
      </c>
      <c r="Y13" s="432">
        <v>74.14</v>
      </c>
      <c r="Z13" s="426"/>
      <c r="AA13" s="426"/>
      <c r="AB13" s="426"/>
      <c r="AC13" s="426"/>
      <c r="AD13" s="426"/>
      <c r="AE13" s="433"/>
      <c r="AF13" s="113">
        <v>8</v>
      </c>
      <c r="AG13" s="432">
        <v>77.11</v>
      </c>
      <c r="AH13" s="432">
        <v>77.88</v>
      </c>
      <c r="AI13" s="432">
        <v>78.31</v>
      </c>
      <c r="AJ13" s="426"/>
      <c r="AK13" s="426"/>
      <c r="AL13" s="426"/>
      <c r="AM13" s="426"/>
      <c r="AN13" s="426"/>
      <c r="AO13" s="433"/>
      <c r="AP13" s="113">
        <v>8</v>
      </c>
      <c r="AQ13" s="432">
        <v>81.34</v>
      </c>
      <c r="AR13" s="432">
        <v>82.22</v>
      </c>
      <c r="AS13" s="432">
        <v>82.69</v>
      </c>
      <c r="AT13" s="426"/>
      <c r="AU13" s="426"/>
      <c r="AV13" s="426"/>
      <c r="AW13" s="426"/>
      <c r="AX13" s="426"/>
      <c r="AY13" s="433"/>
      <c r="AZ13" s="113">
        <v>8</v>
      </c>
      <c r="BA13" s="432">
        <v>85.76</v>
      </c>
      <c r="BB13" s="432">
        <v>86.76</v>
      </c>
      <c r="BC13" s="432">
        <v>87.26</v>
      </c>
      <c r="BD13" s="426"/>
      <c r="BE13" s="426"/>
      <c r="BF13" s="426"/>
      <c r="BG13" s="426"/>
      <c r="BH13" s="426"/>
    </row>
    <row r="14" spans="1:60" s="429" customFormat="1" x14ac:dyDescent="0.2">
      <c r="A14" s="433"/>
      <c r="B14" s="113">
        <v>9</v>
      </c>
      <c r="C14" s="432">
        <v>65.72</v>
      </c>
      <c r="D14" s="432">
        <v>66.209999999999994</v>
      </c>
      <c r="E14" s="432">
        <v>66.540000000000006</v>
      </c>
      <c r="F14" s="426"/>
      <c r="G14" s="426"/>
      <c r="H14" s="426"/>
      <c r="I14" s="426"/>
      <c r="J14" s="426"/>
      <c r="K14" s="433"/>
      <c r="L14" s="113">
        <v>9</v>
      </c>
      <c r="M14" s="432">
        <v>69.41</v>
      </c>
      <c r="N14" s="432">
        <v>69.989999999999995</v>
      </c>
      <c r="O14" s="432">
        <v>70.36</v>
      </c>
      <c r="P14" s="426"/>
      <c r="Q14" s="426"/>
      <c r="R14" s="426"/>
      <c r="S14" s="426"/>
      <c r="T14" s="426"/>
      <c r="U14" s="433"/>
      <c r="V14" s="113">
        <v>9</v>
      </c>
      <c r="W14" s="432">
        <v>73.290000000000006</v>
      </c>
      <c r="X14" s="432">
        <v>73.959999999999994</v>
      </c>
      <c r="Y14" s="432">
        <v>74.36</v>
      </c>
      <c r="Z14" s="426"/>
      <c r="AA14" s="426"/>
      <c r="AB14" s="426"/>
      <c r="AC14" s="426"/>
      <c r="AD14" s="426"/>
      <c r="AE14" s="433"/>
      <c r="AF14" s="113">
        <v>9</v>
      </c>
      <c r="AG14" s="432">
        <v>77.349999999999994</v>
      </c>
      <c r="AH14" s="432">
        <v>78.13</v>
      </c>
      <c r="AI14" s="432">
        <v>78.56</v>
      </c>
      <c r="AJ14" s="426"/>
      <c r="AK14" s="426"/>
      <c r="AL14" s="426"/>
      <c r="AM14" s="426"/>
      <c r="AN14" s="426"/>
      <c r="AO14" s="433"/>
      <c r="AP14" s="113">
        <v>9</v>
      </c>
      <c r="AQ14" s="432">
        <v>81.61</v>
      </c>
      <c r="AR14" s="432">
        <v>82.49</v>
      </c>
      <c r="AS14" s="432">
        <v>82.96</v>
      </c>
      <c r="AT14" s="426"/>
      <c r="AU14" s="426"/>
      <c r="AV14" s="426"/>
      <c r="AW14" s="426"/>
      <c r="AX14" s="426"/>
      <c r="AY14" s="433"/>
      <c r="AZ14" s="113">
        <v>9</v>
      </c>
      <c r="BA14" s="432">
        <v>86.06</v>
      </c>
      <c r="BB14" s="432">
        <v>87.06</v>
      </c>
      <c r="BC14" s="432">
        <v>87.57</v>
      </c>
      <c r="BD14" s="426"/>
      <c r="BE14" s="426"/>
      <c r="BF14" s="426"/>
      <c r="BG14" s="426"/>
      <c r="BH14" s="426"/>
    </row>
    <row r="15" spans="1:60" s="429" customFormat="1" x14ac:dyDescent="0.2">
      <c r="A15" s="433"/>
      <c r="B15" s="113">
        <v>10</v>
      </c>
      <c r="C15" s="432">
        <v>65.900000000000006</v>
      </c>
      <c r="D15" s="432">
        <v>66.39</v>
      </c>
      <c r="E15" s="432">
        <v>66.73</v>
      </c>
      <c r="F15" s="426"/>
      <c r="G15" s="426"/>
      <c r="H15" s="426"/>
      <c r="I15" s="426"/>
      <c r="J15" s="426"/>
      <c r="K15" s="433"/>
      <c r="L15" s="113">
        <v>10</v>
      </c>
      <c r="M15" s="432">
        <v>69.62</v>
      </c>
      <c r="N15" s="432">
        <v>70.2</v>
      </c>
      <c r="O15" s="432">
        <v>70.569999999999993</v>
      </c>
      <c r="P15" s="426"/>
      <c r="Q15" s="426"/>
      <c r="R15" s="426"/>
      <c r="S15" s="426"/>
      <c r="T15" s="426"/>
      <c r="U15" s="433"/>
      <c r="V15" s="113">
        <v>10</v>
      </c>
      <c r="W15" s="432">
        <v>73.52</v>
      </c>
      <c r="X15" s="432">
        <v>74.19</v>
      </c>
      <c r="Y15" s="432">
        <v>74.59</v>
      </c>
      <c r="Z15" s="426"/>
      <c r="AA15" s="426"/>
      <c r="AB15" s="426"/>
      <c r="AC15" s="426"/>
      <c r="AD15" s="426"/>
      <c r="AE15" s="433"/>
      <c r="AF15" s="113">
        <v>10</v>
      </c>
      <c r="AG15" s="432">
        <v>77.599999999999994</v>
      </c>
      <c r="AH15" s="432">
        <v>78.38</v>
      </c>
      <c r="AI15" s="432">
        <v>78.819999999999993</v>
      </c>
      <c r="AJ15" s="426"/>
      <c r="AK15" s="426"/>
      <c r="AL15" s="426"/>
      <c r="AM15" s="426"/>
      <c r="AN15" s="426"/>
      <c r="AO15" s="433"/>
      <c r="AP15" s="113">
        <v>10</v>
      </c>
      <c r="AQ15" s="432">
        <v>81.89</v>
      </c>
      <c r="AR15" s="432">
        <v>82.78</v>
      </c>
      <c r="AS15" s="432">
        <v>83.25</v>
      </c>
      <c r="AT15" s="426"/>
      <c r="AU15" s="426"/>
      <c r="AV15" s="426"/>
      <c r="AW15" s="426"/>
      <c r="AX15" s="426"/>
      <c r="AY15" s="433"/>
      <c r="AZ15" s="113">
        <v>10</v>
      </c>
      <c r="BA15" s="432">
        <v>86.37</v>
      </c>
      <c r="BB15" s="432">
        <v>87.38</v>
      </c>
      <c r="BC15" s="432">
        <v>87.89</v>
      </c>
      <c r="BD15" s="426"/>
      <c r="BE15" s="426"/>
      <c r="BF15" s="426"/>
      <c r="BG15" s="426"/>
      <c r="BH15" s="426"/>
    </row>
    <row r="16" spans="1:60" s="429" customFormat="1" x14ac:dyDescent="0.2">
      <c r="A16" s="433"/>
      <c r="B16" s="113">
        <v>11</v>
      </c>
      <c r="C16" s="432">
        <v>66.09</v>
      </c>
      <c r="D16" s="432">
        <v>66.58</v>
      </c>
      <c r="E16" s="432">
        <v>66.92</v>
      </c>
      <c r="F16" s="426"/>
      <c r="G16" s="426"/>
      <c r="H16" s="426"/>
      <c r="I16" s="426"/>
      <c r="J16" s="426"/>
      <c r="K16" s="433"/>
      <c r="L16" s="113">
        <v>11</v>
      </c>
      <c r="M16" s="432">
        <v>69.83</v>
      </c>
      <c r="N16" s="432">
        <v>70.41</v>
      </c>
      <c r="O16" s="432">
        <v>70.78</v>
      </c>
      <c r="P16" s="426"/>
      <c r="Q16" s="426"/>
      <c r="R16" s="426"/>
      <c r="S16" s="426"/>
      <c r="T16" s="426"/>
      <c r="U16" s="433"/>
      <c r="V16" s="113">
        <v>11</v>
      </c>
      <c r="W16" s="432">
        <v>73.75</v>
      </c>
      <c r="X16" s="432">
        <v>74.430000000000007</v>
      </c>
      <c r="Y16" s="432">
        <v>74.84</v>
      </c>
      <c r="Z16" s="426"/>
      <c r="AA16" s="426"/>
      <c r="AB16" s="426"/>
      <c r="AC16" s="426"/>
      <c r="AD16" s="426"/>
      <c r="AE16" s="433"/>
      <c r="AF16" s="113">
        <v>11</v>
      </c>
      <c r="AG16" s="432">
        <v>77.87</v>
      </c>
      <c r="AH16" s="432">
        <v>78.650000000000006</v>
      </c>
      <c r="AI16" s="432">
        <v>79.09</v>
      </c>
      <c r="AJ16" s="426"/>
      <c r="AK16" s="426"/>
      <c r="AL16" s="426"/>
      <c r="AM16" s="426"/>
      <c r="AN16" s="426"/>
      <c r="AO16" s="433"/>
      <c r="AP16" s="113">
        <v>11</v>
      </c>
      <c r="AQ16" s="432">
        <v>82.18</v>
      </c>
      <c r="AR16" s="432">
        <v>83.08</v>
      </c>
      <c r="AS16" s="432">
        <v>83.55</v>
      </c>
      <c r="AT16" s="426"/>
      <c r="AU16" s="426"/>
      <c r="AV16" s="426"/>
      <c r="AW16" s="426"/>
      <c r="AX16" s="426"/>
      <c r="AY16" s="433"/>
      <c r="AZ16" s="113">
        <v>11</v>
      </c>
      <c r="BA16" s="432">
        <v>86.69</v>
      </c>
      <c r="BB16" s="432">
        <v>87.71</v>
      </c>
      <c r="BC16" s="432">
        <v>88.23</v>
      </c>
      <c r="BD16" s="426"/>
      <c r="BE16" s="426"/>
      <c r="BF16" s="426"/>
      <c r="BG16" s="426"/>
      <c r="BH16" s="426"/>
    </row>
    <row r="17" spans="1:60" s="429" customFormat="1" x14ac:dyDescent="0.2">
      <c r="A17" s="433"/>
      <c r="B17" s="113">
        <v>12</v>
      </c>
      <c r="C17" s="432">
        <v>66.28</v>
      </c>
      <c r="D17" s="432">
        <v>66.78</v>
      </c>
      <c r="E17" s="432">
        <v>67.12</v>
      </c>
      <c r="F17" s="426"/>
      <c r="G17" s="426"/>
      <c r="H17" s="426"/>
      <c r="I17" s="426"/>
      <c r="J17" s="426"/>
      <c r="K17" s="433"/>
      <c r="L17" s="113">
        <v>12</v>
      </c>
      <c r="M17" s="432">
        <v>70.05</v>
      </c>
      <c r="N17" s="432">
        <v>70.64</v>
      </c>
      <c r="O17" s="432">
        <v>71.010000000000005</v>
      </c>
      <c r="P17" s="426"/>
      <c r="Q17" s="426"/>
      <c r="R17" s="426"/>
      <c r="S17" s="426"/>
      <c r="T17" s="426"/>
      <c r="U17" s="433"/>
      <c r="V17" s="113">
        <v>12</v>
      </c>
      <c r="W17" s="432">
        <v>74</v>
      </c>
      <c r="X17" s="432">
        <v>74.680000000000007</v>
      </c>
      <c r="Y17" s="432">
        <v>75.09</v>
      </c>
      <c r="Z17" s="426"/>
      <c r="AA17" s="426"/>
      <c r="AB17" s="426"/>
      <c r="AC17" s="426"/>
      <c r="AD17" s="426"/>
      <c r="AE17" s="433"/>
      <c r="AF17" s="113">
        <v>12</v>
      </c>
      <c r="AG17" s="432">
        <v>78.14</v>
      </c>
      <c r="AH17" s="432">
        <v>78.930000000000007</v>
      </c>
      <c r="AI17" s="432">
        <v>79.37</v>
      </c>
      <c r="AJ17" s="426"/>
      <c r="AK17" s="426"/>
      <c r="AL17" s="426"/>
      <c r="AM17" s="426"/>
      <c r="AN17" s="426"/>
      <c r="AO17" s="433"/>
      <c r="AP17" s="113">
        <v>12</v>
      </c>
      <c r="AQ17" s="432">
        <v>82.48</v>
      </c>
      <c r="AR17" s="432">
        <v>83.38</v>
      </c>
      <c r="AS17" s="432">
        <v>83.86</v>
      </c>
      <c r="AT17" s="426"/>
      <c r="AU17" s="426"/>
      <c r="AV17" s="426"/>
      <c r="AW17" s="426"/>
      <c r="AX17" s="426"/>
      <c r="AY17" s="433"/>
      <c r="AZ17" s="113">
        <v>12</v>
      </c>
      <c r="BA17" s="432">
        <v>87.03</v>
      </c>
      <c r="BB17" s="432">
        <v>88.05</v>
      </c>
      <c r="BC17" s="432">
        <v>88.57</v>
      </c>
      <c r="BD17" s="426"/>
      <c r="BE17" s="426"/>
      <c r="BF17" s="426"/>
      <c r="BG17" s="426"/>
      <c r="BH17" s="426"/>
    </row>
    <row r="18" spans="1:60" s="429" customFormat="1" x14ac:dyDescent="0.2">
      <c r="A18" s="433"/>
      <c r="B18" s="113">
        <v>13</v>
      </c>
      <c r="C18" s="432">
        <v>66.489999999999995</v>
      </c>
      <c r="D18" s="432">
        <v>66.989999999999995</v>
      </c>
      <c r="E18" s="432">
        <v>67.33</v>
      </c>
      <c r="F18" s="426"/>
      <c r="G18" s="426"/>
      <c r="H18" s="426"/>
      <c r="I18" s="426"/>
      <c r="J18" s="426"/>
      <c r="K18" s="433"/>
      <c r="L18" s="113">
        <v>13</v>
      </c>
      <c r="M18" s="432">
        <v>70.28</v>
      </c>
      <c r="N18" s="432">
        <v>70.87</v>
      </c>
      <c r="O18" s="432">
        <v>71.239999999999995</v>
      </c>
      <c r="P18" s="426"/>
      <c r="Q18" s="426"/>
      <c r="R18" s="426"/>
      <c r="S18" s="426"/>
      <c r="T18" s="426"/>
      <c r="U18" s="433"/>
      <c r="V18" s="113">
        <v>13</v>
      </c>
      <c r="W18" s="432">
        <v>74.25</v>
      </c>
      <c r="X18" s="432">
        <v>74.94</v>
      </c>
      <c r="Y18" s="432">
        <v>75.349999999999994</v>
      </c>
      <c r="Z18" s="426"/>
      <c r="AA18" s="426"/>
      <c r="AB18" s="426"/>
      <c r="AC18" s="426"/>
      <c r="AD18" s="426"/>
      <c r="AE18" s="433"/>
      <c r="AF18" s="113">
        <v>13</v>
      </c>
      <c r="AG18" s="432">
        <v>78.42</v>
      </c>
      <c r="AH18" s="432">
        <v>79.22</v>
      </c>
      <c r="AI18" s="432">
        <v>79.66</v>
      </c>
      <c r="AJ18" s="426"/>
      <c r="AK18" s="426"/>
      <c r="AL18" s="426"/>
      <c r="AM18" s="426"/>
      <c r="AN18" s="426"/>
      <c r="AO18" s="433"/>
      <c r="AP18" s="113">
        <v>13</v>
      </c>
      <c r="AQ18" s="432">
        <v>82.8</v>
      </c>
      <c r="AR18" s="432">
        <v>83.7</v>
      </c>
      <c r="AS18" s="432">
        <v>84.18</v>
      </c>
      <c r="AT18" s="426"/>
      <c r="AU18" s="426"/>
      <c r="AV18" s="426"/>
      <c r="AW18" s="426"/>
      <c r="AX18" s="426"/>
      <c r="AY18" s="433"/>
      <c r="AZ18" s="113">
        <v>13</v>
      </c>
      <c r="BA18" s="432">
        <v>87.38</v>
      </c>
      <c r="BB18" s="432">
        <v>88.41</v>
      </c>
      <c r="BC18" s="432">
        <v>88.93</v>
      </c>
      <c r="BD18" s="426"/>
      <c r="BE18" s="426"/>
      <c r="BF18" s="426"/>
      <c r="BG18" s="426"/>
      <c r="BH18" s="426"/>
    </row>
    <row r="19" spans="1:60" s="429" customFormat="1" x14ac:dyDescent="0.2">
      <c r="A19" s="433"/>
      <c r="B19" s="113">
        <v>14</v>
      </c>
      <c r="C19" s="432">
        <v>66.7</v>
      </c>
      <c r="D19" s="432">
        <v>67.209999999999994</v>
      </c>
      <c r="E19" s="432">
        <v>67.55</v>
      </c>
      <c r="F19" s="426"/>
      <c r="G19" s="426"/>
      <c r="H19" s="426"/>
      <c r="I19" s="426"/>
      <c r="J19" s="426"/>
      <c r="K19" s="433"/>
      <c r="L19" s="113">
        <v>14</v>
      </c>
      <c r="M19" s="432">
        <v>70.510000000000005</v>
      </c>
      <c r="N19" s="432">
        <v>71.11</v>
      </c>
      <c r="O19" s="432">
        <v>71.489999999999995</v>
      </c>
      <c r="P19" s="426"/>
      <c r="Q19" s="426"/>
      <c r="R19" s="426"/>
      <c r="S19" s="426"/>
      <c r="T19" s="426"/>
      <c r="U19" s="433"/>
      <c r="V19" s="113">
        <v>14</v>
      </c>
      <c r="W19" s="432">
        <v>74.52</v>
      </c>
      <c r="X19" s="432">
        <v>75.209999999999994</v>
      </c>
      <c r="Y19" s="432">
        <v>75.62</v>
      </c>
      <c r="Z19" s="426"/>
      <c r="AA19" s="426"/>
      <c r="AB19" s="426"/>
      <c r="AC19" s="426"/>
      <c r="AD19" s="426"/>
      <c r="AE19" s="433"/>
      <c r="AF19" s="113">
        <v>14</v>
      </c>
      <c r="AG19" s="432">
        <v>78.72</v>
      </c>
      <c r="AH19" s="432">
        <v>79.52</v>
      </c>
      <c r="AI19" s="432">
        <v>79.959999999999994</v>
      </c>
      <c r="AJ19" s="426"/>
      <c r="AK19" s="426"/>
      <c r="AL19" s="426"/>
      <c r="AM19" s="426"/>
      <c r="AN19" s="426"/>
      <c r="AO19" s="433"/>
      <c r="AP19" s="113">
        <v>14</v>
      </c>
      <c r="AQ19" s="432">
        <v>83.12</v>
      </c>
      <c r="AR19" s="432">
        <v>84.04</v>
      </c>
      <c r="AS19" s="432">
        <v>84.52</v>
      </c>
      <c r="AT19" s="426"/>
      <c r="AU19" s="426"/>
      <c r="AV19" s="426"/>
      <c r="AW19" s="426"/>
      <c r="AX19" s="426"/>
      <c r="AY19" s="433"/>
      <c r="AZ19" s="113">
        <v>14</v>
      </c>
      <c r="BA19" s="432">
        <v>87.74</v>
      </c>
      <c r="BB19" s="432">
        <v>88.78</v>
      </c>
      <c r="BC19" s="432">
        <v>89.3</v>
      </c>
      <c r="BD19" s="426"/>
      <c r="BE19" s="426"/>
      <c r="BF19" s="426"/>
      <c r="BG19" s="426"/>
      <c r="BH19" s="426"/>
    </row>
    <row r="20" spans="1:60" s="429" customFormat="1" x14ac:dyDescent="0.2">
      <c r="A20" s="433"/>
      <c r="B20" s="113">
        <v>15</v>
      </c>
      <c r="C20" s="432">
        <v>66.92</v>
      </c>
      <c r="D20" s="432">
        <v>67.430000000000007</v>
      </c>
      <c r="E20" s="432">
        <v>67.78</v>
      </c>
      <c r="F20" s="426"/>
      <c r="G20" s="426"/>
      <c r="H20" s="426"/>
      <c r="I20" s="426"/>
      <c r="J20" s="426"/>
      <c r="K20" s="433"/>
      <c r="L20" s="113">
        <v>15</v>
      </c>
      <c r="M20" s="432">
        <v>70.760000000000005</v>
      </c>
      <c r="N20" s="432">
        <v>71.36</v>
      </c>
      <c r="O20" s="432">
        <v>71.739999999999995</v>
      </c>
      <c r="P20" s="426"/>
      <c r="Q20" s="426"/>
      <c r="R20" s="426"/>
      <c r="S20" s="426"/>
      <c r="T20" s="426"/>
      <c r="U20" s="433"/>
      <c r="V20" s="113">
        <v>15</v>
      </c>
      <c r="W20" s="432">
        <v>74.790000000000006</v>
      </c>
      <c r="X20" s="432">
        <v>75.489999999999995</v>
      </c>
      <c r="Y20" s="432">
        <v>75.900000000000006</v>
      </c>
      <c r="Z20" s="426"/>
      <c r="AA20" s="426"/>
      <c r="AB20" s="426"/>
      <c r="AC20" s="426"/>
      <c r="AD20" s="426"/>
      <c r="AE20" s="433"/>
      <c r="AF20" s="113">
        <v>15</v>
      </c>
      <c r="AG20" s="432">
        <v>79.02</v>
      </c>
      <c r="AH20" s="432">
        <v>79.83</v>
      </c>
      <c r="AI20" s="432">
        <v>80.27</v>
      </c>
      <c r="AJ20" s="426"/>
      <c r="AK20" s="426"/>
      <c r="AL20" s="426"/>
      <c r="AM20" s="426"/>
      <c r="AN20" s="426"/>
      <c r="AO20" s="433"/>
      <c r="AP20" s="113">
        <v>15</v>
      </c>
      <c r="AQ20" s="432">
        <v>83.46</v>
      </c>
      <c r="AR20" s="432">
        <v>84.38</v>
      </c>
      <c r="AS20" s="432">
        <v>84.87</v>
      </c>
      <c r="AT20" s="426"/>
      <c r="AU20" s="426"/>
      <c r="AV20" s="426"/>
      <c r="AW20" s="426"/>
      <c r="AX20" s="426"/>
      <c r="AY20" s="433"/>
      <c r="AZ20" s="113">
        <v>15</v>
      </c>
      <c r="BA20" s="432">
        <v>88.12</v>
      </c>
      <c r="BB20" s="432">
        <v>89.16</v>
      </c>
      <c r="BC20" s="432">
        <v>89.68</v>
      </c>
      <c r="BD20" s="426"/>
      <c r="BE20" s="426"/>
      <c r="BF20" s="426"/>
      <c r="BG20" s="426"/>
      <c r="BH20" s="426"/>
    </row>
    <row r="21" spans="1:60" s="429" customFormat="1" x14ac:dyDescent="0.2">
      <c r="A21" s="433"/>
      <c r="B21" s="113">
        <v>16</v>
      </c>
      <c r="C21" s="432">
        <v>67.150000000000006</v>
      </c>
      <c r="D21" s="432">
        <v>67.67</v>
      </c>
      <c r="E21" s="432">
        <v>68.010000000000005</v>
      </c>
      <c r="F21" s="426"/>
      <c r="G21" s="426"/>
      <c r="H21" s="426"/>
      <c r="I21" s="426"/>
      <c r="J21" s="426"/>
      <c r="K21" s="433"/>
      <c r="L21" s="113">
        <v>16</v>
      </c>
      <c r="M21" s="432">
        <v>71.02</v>
      </c>
      <c r="N21" s="432">
        <v>71.62</v>
      </c>
      <c r="O21" s="432">
        <v>72</v>
      </c>
      <c r="P21" s="426"/>
      <c r="Q21" s="426"/>
      <c r="R21" s="426"/>
      <c r="S21" s="426"/>
      <c r="T21" s="426"/>
      <c r="U21" s="433"/>
      <c r="V21" s="113">
        <v>16</v>
      </c>
      <c r="W21" s="432">
        <v>75.08</v>
      </c>
      <c r="X21" s="432">
        <v>75.78</v>
      </c>
      <c r="Y21" s="432">
        <v>76.19</v>
      </c>
      <c r="Z21" s="426"/>
      <c r="AA21" s="426"/>
      <c r="AB21" s="426"/>
      <c r="AC21" s="426"/>
      <c r="AD21" s="426"/>
      <c r="AE21" s="433"/>
      <c r="AF21" s="113">
        <v>16</v>
      </c>
      <c r="AG21" s="432">
        <v>79.34</v>
      </c>
      <c r="AH21" s="432">
        <v>80.150000000000006</v>
      </c>
      <c r="AI21" s="432">
        <v>80.599999999999994</v>
      </c>
      <c r="AJ21" s="426"/>
      <c r="AK21" s="426"/>
      <c r="AL21" s="426"/>
      <c r="AM21" s="426"/>
      <c r="AN21" s="426"/>
      <c r="AO21" s="433"/>
      <c r="AP21" s="113">
        <v>16</v>
      </c>
      <c r="AQ21" s="432">
        <v>83.81</v>
      </c>
      <c r="AR21" s="432">
        <v>84.74</v>
      </c>
      <c r="AS21" s="432">
        <v>85.23</v>
      </c>
      <c r="AT21" s="426"/>
      <c r="AU21" s="426"/>
      <c r="AV21" s="426"/>
      <c r="AW21" s="426"/>
      <c r="AX21" s="426"/>
      <c r="AY21" s="433"/>
      <c r="AZ21" s="113">
        <v>16</v>
      </c>
      <c r="BA21" s="432">
        <v>88.51</v>
      </c>
      <c r="BB21" s="432">
        <v>89.56</v>
      </c>
      <c r="BC21" s="432">
        <v>90.09</v>
      </c>
      <c r="BD21" s="426"/>
      <c r="BE21" s="426"/>
      <c r="BF21" s="426"/>
      <c r="BG21" s="426"/>
      <c r="BH21" s="426"/>
    </row>
    <row r="22" spans="1:60" s="429" customFormat="1" x14ac:dyDescent="0.2">
      <c r="A22" s="433"/>
      <c r="B22" s="113">
        <v>17</v>
      </c>
      <c r="C22" s="432">
        <v>67.39</v>
      </c>
      <c r="D22" s="432">
        <v>67.91</v>
      </c>
      <c r="E22" s="432">
        <v>68.260000000000005</v>
      </c>
      <c r="F22" s="426"/>
      <c r="G22" s="426"/>
      <c r="H22" s="426"/>
      <c r="I22" s="426"/>
      <c r="J22" s="426"/>
      <c r="K22" s="433"/>
      <c r="L22" s="113">
        <v>17</v>
      </c>
      <c r="M22" s="432">
        <v>71.290000000000006</v>
      </c>
      <c r="N22" s="432">
        <v>71.89</v>
      </c>
      <c r="O22" s="432">
        <v>72.27</v>
      </c>
      <c r="P22" s="426"/>
      <c r="Q22" s="426"/>
      <c r="R22" s="426"/>
      <c r="S22" s="426"/>
      <c r="T22" s="426"/>
      <c r="U22" s="433"/>
      <c r="V22" s="113">
        <v>17</v>
      </c>
      <c r="W22" s="432">
        <v>75.37</v>
      </c>
      <c r="X22" s="432">
        <v>76.08</v>
      </c>
      <c r="Y22" s="432">
        <v>76.5</v>
      </c>
      <c r="Z22" s="426"/>
      <c r="AA22" s="426"/>
      <c r="AB22" s="426"/>
      <c r="AC22" s="426"/>
      <c r="AD22" s="426"/>
      <c r="AE22" s="433"/>
      <c r="AF22" s="113">
        <v>17</v>
      </c>
      <c r="AG22" s="432">
        <v>79.67</v>
      </c>
      <c r="AH22" s="432">
        <v>80.48</v>
      </c>
      <c r="AI22" s="432">
        <v>80.94</v>
      </c>
      <c r="AJ22" s="426"/>
      <c r="AK22" s="426"/>
      <c r="AL22" s="426"/>
      <c r="AM22" s="426"/>
      <c r="AN22" s="426"/>
      <c r="AO22" s="433"/>
      <c r="AP22" s="113">
        <v>17</v>
      </c>
      <c r="AQ22" s="432">
        <v>84.18</v>
      </c>
      <c r="AR22" s="432">
        <v>85.11</v>
      </c>
      <c r="AS22" s="432">
        <v>85.6</v>
      </c>
      <c r="AT22" s="426"/>
      <c r="AU22" s="426"/>
      <c r="AV22" s="426"/>
      <c r="AW22" s="426"/>
      <c r="AX22" s="426"/>
      <c r="AY22" s="433"/>
      <c r="AZ22" s="113">
        <v>17</v>
      </c>
      <c r="BA22" s="432">
        <v>88.91</v>
      </c>
      <c r="BB22" s="432">
        <v>89.97</v>
      </c>
      <c r="BC22" s="432">
        <v>90.5</v>
      </c>
      <c r="BD22" s="426"/>
      <c r="BE22" s="426"/>
      <c r="BF22" s="426"/>
      <c r="BG22" s="426"/>
      <c r="BH22" s="426"/>
    </row>
    <row r="23" spans="1:60" s="429" customFormat="1" x14ac:dyDescent="0.2">
      <c r="A23" s="433"/>
      <c r="B23" s="113">
        <v>18</v>
      </c>
      <c r="C23" s="432">
        <v>67.64</v>
      </c>
      <c r="D23" s="432">
        <v>68.16</v>
      </c>
      <c r="E23" s="432">
        <v>68.510000000000005</v>
      </c>
      <c r="F23" s="426"/>
      <c r="G23" s="426"/>
      <c r="H23" s="426"/>
      <c r="I23" s="426"/>
      <c r="J23" s="426"/>
      <c r="K23" s="433"/>
      <c r="L23" s="113">
        <v>18</v>
      </c>
      <c r="M23" s="432">
        <v>71.56</v>
      </c>
      <c r="N23" s="432">
        <v>72.17</v>
      </c>
      <c r="O23" s="432">
        <v>72.56</v>
      </c>
      <c r="P23" s="426"/>
      <c r="Q23" s="426"/>
      <c r="R23" s="426"/>
      <c r="S23" s="426"/>
      <c r="T23" s="426"/>
      <c r="U23" s="433"/>
      <c r="V23" s="113">
        <v>18</v>
      </c>
      <c r="W23" s="432">
        <v>75.680000000000007</v>
      </c>
      <c r="X23" s="432">
        <v>76.39</v>
      </c>
      <c r="Y23" s="432">
        <v>76.81</v>
      </c>
      <c r="Z23" s="426"/>
      <c r="AA23" s="426"/>
      <c r="AB23" s="426"/>
      <c r="AC23" s="426"/>
      <c r="AD23" s="426"/>
      <c r="AE23" s="433"/>
      <c r="AF23" s="113">
        <v>18</v>
      </c>
      <c r="AG23" s="432">
        <v>80.010000000000005</v>
      </c>
      <c r="AH23" s="432">
        <v>80.83</v>
      </c>
      <c r="AI23" s="432">
        <v>81.290000000000006</v>
      </c>
      <c r="AJ23" s="426"/>
      <c r="AK23" s="426"/>
      <c r="AL23" s="426"/>
      <c r="AM23" s="426"/>
      <c r="AN23" s="426"/>
      <c r="AO23" s="433"/>
      <c r="AP23" s="113">
        <v>18</v>
      </c>
      <c r="AQ23" s="432">
        <v>84.56</v>
      </c>
      <c r="AR23" s="432">
        <v>85.5</v>
      </c>
      <c r="AS23" s="432">
        <v>85.99</v>
      </c>
      <c r="AT23" s="426"/>
      <c r="AU23" s="426"/>
      <c r="AV23" s="426"/>
      <c r="AW23" s="426"/>
      <c r="AX23" s="426"/>
      <c r="AY23" s="433"/>
      <c r="AZ23" s="113">
        <v>18</v>
      </c>
      <c r="BA23" s="432">
        <v>89.34</v>
      </c>
      <c r="BB23" s="432">
        <v>90.4</v>
      </c>
      <c r="BC23" s="432">
        <v>90.94</v>
      </c>
      <c r="BD23" s="426"/>
      <c r="BE23" s="426"/>
      <c r="BF23" s="426"/>
      <c r="BG23" s="426"/>
      <c r="BH23" s="426"/>
    </row>
    <row r="24" spans="1:60" s="429" customFormat="1" x14ac:dyDescent="0.2">
      <c r="A24" s="433"/>
      <c r="B24" s="113">
        <v>19</v>
      </c>
      <c r="C24" s="432">
        <v>67.900000000000006</v>
      </c>
      <c r="D24" s="432">
        <v>68.42</v>
      </c>
      <c r="E24" s="432">
        <v>68.78</v>
      </c>
      <c r="F24" s="426"/>
      <c r="G24" s="426"/>
      <c r="H24" s="426"/>
      <c r="I24" s="426"/>
      <c r="J24" s="426"/>
      <c r="K24" s="433"/>
      <c r="L24" s="113">
        <v>19</v>
      </c>
      <c r="M24" s="432">
        <v>71.849999999999994</v>
      </c>
      <c r="N24" s="432">
        <v>72.459999999999994</v>
      </c>
      <c r="O24" s="432">
        <v>72.849999999999994</v>
      </c>
      <c r="P24" s="426"/>
      <c r="Q24" s="426"/>
      <c r="R24" s="426"/>
      <c r="S24" s="426"/>
      <c r="T24" s="426"/>
      <c r="U24" s="433"/>
      <c r="V24" s="113">
        <v>19</v>
      </c>
      <c r="W24" s="432">
        <v>76</v>
      </c>
      <c r="X24" s="432">
        <v>76.72</v>
      </c>
      <c r="Y24" s="432">
        <v>77.14</v>
      </c>
      <c r="Z24" s="426"/>
      <c r="AA24" s="426"/>
      <c r="AB24" s="426"/>
      <c r="AC24" s="426"/>
      <c r="AD24" s="426"/>
      <c r="AE24" s="433"/>
      <c r="AF24" s="113">
        <v>19</v>
      </c>
      <c r="AG24" s="432">
        <v>80.37</v>
      </c>
      <c r="AH24" s="432">
        <v>81.19</v>
      </c>
      <c r="AI24" s="432">
        <v>81.650000000000006</v>
      </c>
      <c r="AJ24" s="426"/>
      <c r="AK24" s="426"/>
      <c r="AL24" s="426"/>
      <c r="AM24" s="426"/>
      <c r="AN24" s="426"/>
      <c r="AO24" s="433"/>
      <c r="AP24" s="113">
        <v>19</v>
      </c>
      <c r="AQ24" s="432">
        <v>84.96</v>
      </c>
      <c r="AR24" s="432">
        <v>85.9</v>
      </c>
      <c r="AS24" s="432">
        <v>86.4</v>
      </c>
      <c r="AT24" s="426"/>
      <c r="AU24" s="426"/>
      <c r="AV24" s="426"/>
      <c r="AW24" s="426"/>
      <c r="AX24" s="426"/>
      <c r="AY24" s="433"/>
      <c r="AZ24" s="113">
        <v>19</v>
      </c>
      <c r="BA24" s="432">
        <v>89.78</v>
      </c>
      <c r="BB24" s="432">
        <v>90.85</v>
      </c>
      <c r="BC24" s="432">
        <v>91.39</v>
      </c>
      <c r="BD24" s="426"/>
      <c r="BE24" s="426"/>
      <c r="BF24" s="426"/>
      <c r="BG24" s="426"/>
      <c r="BH24" s="426"/>
    </row>
    <row r="25" spans="1:60" s="429" customFormat="1" x14ac:dyDescent="0.2">
      <c r="A25" s="433"/>
      <c r="B25" s="113">
        <v>20</v>
      </c>
      <c r="C25" s="432">
        <v>68.14</v>
      </c>
      <c r="D25" s="432">
        <v>68.680000000000007</v>
      </c>
      <c r="E25" s="432">
        <v>69.040000000000006</v>
      </c>
      <c r="F25" s="426"/>
      <c r="G25" s="426"/>
      <c r="H25" s="426"/>
      <c r="I25" s="426"/>
      <c r="J25" s="426"/>
      <c r="K25" s="433"/>
      <c r="L25" s="113">
        <v>20</v>
      </c>
      <c r="M25" s="432">
        <v>72.150000000000006</v>
      </c>
      <c r="N25" s="432">
        <v>72.77</v>
      </c>
      <c r="O25" s="432">
        <v>73.16</v>
      </c>
      <c r="P25" s="426"/>
      <c r="Q25" s="426"/>
      <c r="R25" s="426"/>
      <c r="S25" s="426"/>
      <c r="T25" s="426"/>
      <c r="U25" s="433"/>
      <c r="V25" s="113">
        <v>20</v>
      </c>
      <c r="W25" s="432">
        <v>76.34</v>
      </c>
      <c r="X25" s="432">
        <v>77.06</v>
      </c>
      <c r="Y25" s="432">
        <v>77.48</v>
      </c>
      <c r="Z25" s="426"/>
      <c r="AA25" s="426"/>
      <c r="AB25" s="426"/>
      <c r="AC25" s="426"/>
      <c r="AD25" s="426"/>
      <c r="AE25" s="433"/>
      <c r="AF25" s="113">
        <v>20</v>
      </c>
      <c r="AG25" s="432">
        <v>80.739999999999995</v>
      </c>
      <c r="AH25" s="432">
        <v>81.569999999999993</v>
      </c>
      <c r="AI25" s="432">
        <v>82.03</v>
      </c>
      <c r="AJ25" s="426"/>
      <c r="AK25" s="426"/>
      <c r="AL25" s="426"/>
      <c r="AM25" s="426"/>
      <c r="AN25" s="426"/>
      <c r="AO25" s="433"/>
      <c r="AP25" s="113">
        <v>20</v>
      </c>
      <c r="AQ25" s="432">
        <v>85.37</v>
      </c>
      <c r="AR25" s="432">
        <v>86.33</v>
      </c>
      <c r="AS25" s="432">
        <v>86.83</v>
      </c>
      <c r="AT25" s="426"/>
      <c r="AU25" s="426"/>
      <c r="AV25" s="426"/>
      <c r="AW25" s="426"/>
      <c r="AX25" s="426"/>
      <c r="AY25" s="433"/>
      <c r="AZ25" s="113">
        <v>20</v>
      </c>
      <c r="BA25" s="432">
        <v>90.25</v>
      </c>
      <c r="BB25" s="432">
        <v>91.33</v>
      </c>
      <c r="BC25" s="432">
        <v>91.87</v>
      </c>
      <c r="BD25" s="426"/>
      <c r="BE25" s="426"/>
      <c r="BF25" s="426"/>
      <c r="BG25" s="426"/>
      <c r="BH25" s="426"/>
    </row>
    <row r="26" spans="1:60" s="429" customFormat="1" x14ac:dyDescent="0.2">
      <c r="A26" s="433"/>
      <c r="B26" s="113">
        <v>21</v>
      </c>
      <c r="C26" s="432">
        <v>68.28</v>
      </c>
      <c r="D26" s="432">
        <v>68.83</v>
      </c>
      <c r="E26" s="432">
        <v>69.19</v>
      </c>
      <c r="F26" s="426"/>
      <c r="G26" s="426"/>
      <c r="H26" s="426"/>
      <c r="I26" s="426"/>
      <c r="J26" s="426"/>
      <c r="K26" s="433"/>
      <c r="L26" s="113">
        <v>21</v>
      </c>
      <c r="M26" s="432">
        <v>72.44</v>
      </c>
      <c r="N26" s="432">
        <v>73.09</v>
      </c>
      <c r="O26" s="432">
        <v>73.48</v>
      </c>
      <c r="P26" s="426"/>
      <c r="Q26" s="426"/>
      <c r="R26" s="426"/>
      <c r="S26" s="426"/>
      <c r="T26" s="426"/>
      <c r="U26" s="433"/>
      <c r="V26" s="113">
        <v>21</v>
      </c>
      <c r="W26" s="432">
        <v>76.680000000000007</v>
      </c>
      <c r="X26" s="432">
        <v>77.41</v>
      </c>
      <c r="Y26" s="432">
        <v>77.84</v>
      </c>
      <c r="Z26" s="426"/>
      <c r="AA26" s="426"/>
      <c r="AB26" s="426"/>
      <c r="AC26" s="426"/>
      <c r="AD26" s="426"/>
      <c r="AE26" s="433"/>
      <c r="AF26" s="113">
        <v>21</v>
      </c>
      <c r="AG26" s="432">
        <v>81.13</v>
      </c>
      <c r="AH26" s="432">
        <v>81.97</v>
      </c>
      <c r="AI26" s="432">
        <v>82.43</v>
      </c>
      <c r="AJ26" s="426"/>
      <c r="AK26" s="426"/>
      <c r="AL26" s="426"/>
      <c r="AM26" s="426"/>
      <c r="AN26" s="426"/>
      <c r="AO26" s="433"/>
      <c r="AP26" s="113">
        <v>21</v>
      </c>
      <c r="AQ26" s="432">
        <v>85.81</v>
      </c>
      <c r="AR26" s="432">
        <v>86.77</v>
      </c>
      <c r="AS26" s="432">
        <v>87.27</v>
      </c>
      <c r="AT26" s="426"/>
      <c r="AU26" s="426"/>
      <c r="AV26" s="426"/>
      <c r="AW26" s="426"/>
      <c r="AX26" s="426"/>
      <c r="AY26" s="433"/>
      <c r="AZ26" s="113">
        <v>21</v>
      </c>
      <c r="BA26" s="432">
        <v>90.73</v>
      </c>
      <c r="BB26" s="432">
        <v>91.82</v>
      </c>
      <c r="BC26" s="432">
        <v>92.37</v>
      </c>
      <c r="BD26" s="426"/>
      <c r="BE26" s="426"/>
      <c r="BF26" s="426"/>
      <c r="BG26" s="426"/>
      <c r="BH26" s="426"/>
    </row>
    <row r="27" spans="1:60" s="429" customFormat="1" x14ac:dyDescent="0.2">
      <c r="A27" s="433"/>
      <c r="B27" s="113">
        <v>22</v>
      </c>
      <c r="C27" s="432">
        <v>68.42</v>
      </c>
      <c r="D27" s="432">
        <v>68.98</v>
      </c>
      <c r="E27" s="432">
        <v>69.34</v>
      </c>
      <c r="F27" s="426"/>
      <c r="G27" s="426"/>
      <c r="H27" s="426"/>
      <c r="I27" s="426"/>
      <c r="J27" s="426"/>
      <c r="K27" s="433"/>
      <c r="L27" s="113">
        <v>22</v>
      </c>
      <c r="M27" s="432">
        <v>72.61</v>
      </c>
      <c r="N27" s="432">
        <v>73.27</v>
      </c>
      <c r="O27" s="432">
        <v>73.66</v>
      </c>
      <c r="P27" s="426"/>
      <c r="Q27" s="426"/>
      <c r="R27" s="426"/>
      <c r="S27" s="426"/>
      <c r="T27" s="426"/>
      <c r="U27" s="433"/>
      <c r="V27" s="113">
        <v>22</v>
      </c>
      <c r="W27" s="432">
        <v>77.03</v>
      </c>
      <c r="X27" s="432">
        <v>77.78</v>
      </c>
      <c r="Y27" s="432">
        <v>78.209999999999994</v>
      </c>
      <c r="Z27" s="426"/>
      <c r="AA27" s="426"/>
      <c r="AB27" s="426"/>
      <c r="AC27" s="426"/>
      <c r="AD27" s="426"/>
      <c r="AE27" s="433"/>
      <c r="AF27" s="113">
        <v>22</v>
      </c>
      <c r="AG27" s="432">
        <v>81.540000000000006</v>
      </c>
      <c r="AH27" s="432">
        <v>82.39</v>
      </c>
      <c r="AI27" s="432">
        <v>82.85</v>
      </c>
      <c r="AJ27" s="426"/>
      <c r="AK27" s="426"/>
      <c r="AL27" s="426"/>
      <c r="AM27" s="426"/>
      <c r="AN27" s="426"/>
      <c r="AO27" s="433"/>
      <c r="AP27" s="113">
        <v>22</v>
      </c>
      <c r="AQ27" s="432">
        <v>86.27</v>
      </c>
      <c r="AR27" s="432">
        <v>87.23</v>
      </c>
      <c r="AS27" s="432">
        <v>87.74</v>
      </c>
      <c r="AT27" s="426"/>
      <c r="AU27" s="426"/>
      <c r="AV27" s="426"/>
      <c r="AW27" s="426"/>
      <c r="AX27" s="426"/>
      <c r="AY27" s="433"/>
      <c r="AZ27" s="113">
        <v>22</v>
      </c>
      <c r="BA27" s="432">
        <v>91.24</v>
      </c>
      <c r="BB27" s="432">
        <v>92.34</v>
      </c>
      <c r="BC27" s="432">
        <v>92.9</v>
      </c>
      <c r="BD27" s="426"/>
      <c r="BE27" s="426"/>
      <c r="BF27" s="426"/>
      <c r="BG27" s="426"/>
      <c r="BH27" s="426"/>
    </row>
    <row r="28" spans="1:60" s="429" customFormat="1" x14ac:dyDescent="0.2">
      <c r="A28" s="433"/>
      <c r="B28" s="113">
        <v>23</v>
      </c>
      <c r="C28" s="432">
        <v>68.58</v>
      </c>
      <c r="D28" s="432">
        <v>69.13</v>
      </c>
      <c r="E28" s="432">
        <v>69.5</v>
      </c>
      <c r="F28" s="426"/>
      <c r="G28" s="426"/>
      <c r="H28" s="426"/>
      <c r="I28" s="426"/>
      <c r="J28" s="426"/>
      <c r="K28" s="433"/>
      <c r="L28" s="113">
        <v>23</v>
      </c>
      <c r="M28" s="432">
        <v>72.790000000000006</v>
      </c>
      <c r="N28" s="432">
        <v>73.45</v>
      </c>
      <c r="O28" s="432">
        <v>73.849999999999994</v>
      </c>
      <c r="P28" s="426"/>
      <c r="Q28" s="426"/>
      <c r="R28" s="426"/>
      <c r="S28" s="426"/>
      <c r="T28" s="426"/>
      <c r="U28" s="433"/>
      <c r="V28" s="113">
        <v>23</v>
      </c>
      <c r="W28" s="432">
        <v>77.239999999999995</v>
      </c>
      <c r="X28" s="432">
        <v>78.010000000000005</v>
      </c>
      <c r="Y28" s="432">
        <v>78.45</v>
      </c>
      <c r="Z28" s="426"/>
      <c r="AA28" s="426"/>
      <c r="AB28" s="426"/>
      <c r="AC28" s="426"/>
      <c r="AD28" s="426"/>
      <c r="AE28" s="433"/>
      <c r="AF28" s="113">
        <v>23</v>
      </c>
      <c r="AG28" s="432">
        <v>81.94</v>
      </c>
      <c r="AH28" s="432">
        <v>82.82</v>
      </c>
      <c r="AI28" s="432">
        <v>83.29</v>
      </c>
      <c r="AJ28" s="426"/>
      <c r="AK28" s="426"/>
      <c r="AL28" s="426"/>
      <c r="AM28" s="426"/>
      <c r="AN28" s="426"/>
      <c r="AO28" s="433"/>
      <c r="AP28" s="113">
        <v>23</v>
      </c>
      <c r="AQ28" s="432">
        <v>86.75</v>
      </c>
      <c r="AR28" s="432">
        <v>87.72</v>
      </c>
      <c r="AS28" s="432">
        <v>88.23</v>
      </c>
      <c r="AT28" s="426"/>
      <c r="AU28" s="426"/>
      <c r="AV28" s="426"/>
      <c r="AW28" s="426"/>
      <c r="AX28" s="426"/>
      <c r="AY28" s="433"/>
      <c r="AZ28" s="113">
        <v>23</v>
      </c>
      <c r="BA28" s="432">
        <v>91.78</v>
      </c>
      <c r="BB28" s="432">
        <v>92.89</v>
      </c>
      <c r="BC28" s="432">
        <v>93.45</v>
      </c>
      <c r="BD28" s="426"/>
      <c r="BE28" s="426"/>
      <c r="BF28" s="426"/>
      <c r="BG28" s="426"/>
      <c r="BH28" s="426"/>
    </row>
    <row r="29" spans="1:60" s="429" customFormat="1" x14ac:dyDescent="0.2">
      <c r="A29" s="433"/>
      <c r="B29" s="113">
        <v>24</v>
      </c>
      <c r="C29" s="432">
        <v>68.73</v>
      </c>
      <c r="D29" s="432">
        <v>69.290000000000006</v>
      </c>
      <c r="E29" s="432">
        <v>69.66</v>
      </c>
      <c r="F29" s="426"/>
      <c r="G29" s="426"/>
      <c r="H29" s="426"/>
      <c r="I29" s="426"/>
      <c r="J29" s="426"/>
      <c r="K29" s="433"/>
      <c r="L29" s="113">
        <v>24</v>
      </c>
      <c r="M29" s="432">
        <v>72.98</v>
      </c>
      <c r="N29" s="432">
        <v>73.64</v>
      </c>
      <c r="O29" s="432">
        <v>74.040000000000006</v>
      </c>
      <c r="P29" s="426"/>
      <c r="Q29" s="426"/>
      <c r="R29" s="426"/>
      <c r="S29" s="426"/>
      <c r="T29" s="426"/>
      <c r="U29" s="433"/>
      <c r="V29" s="113">
        <v>24</v>
      </c>
      <c r="W29" s="432">
        <v>77.459999999999994</v>
      </c>
      <c r="X29" s="432">
        <v>78.23</v>
      </c>
      <c r="Y29" s="432">
        <v>78.680000000000007</v>
      </c>
      <c r="Z29" s="426"/>
      <c r="AA29" s="426"/>
      <c r="AB29" s="426"/>
      <c r="AC29" s="426"/>
      <c r="AD29" s="426"/>
      <c r="AE29" s="433"/>
      <c r="AF29" s="113">
        <v>24</v>
      </c>
      <c r="AG29" s="432">
        <v>82.19</v>
      </c>
      <c r="AH29" s="432">
        <v>83.09</v>
      </c>
      <c r="AI29" s="432">
        <v>83.57</v>
      </c>
      <c r="AJ29" s="426"/>
      <c r="AK29" s="426"/>
      <c r="AL29" s="426"/>
      <c r="AM29" s="426"/>
      <c r="AN29" s="426"/>
      <c r="AO29" s="433"/>
      <c r="AP29" s="113">
        <v>24</v>
      </c>
      <c r="AQ29" s="432">
        <v>87.18</v>
      </c>
      <c r="AR29" s="432">
        <v>88.21</v>
      </c>
      <c r="AS29" s="432">
        <v>88.73</v>
      </c>
      <c r="AT29" s="426"/>
      <c r="AU29" s="426"/>
      <c r="AV29" s="426"/>
      <c r="AW29" s="426"/>
      <c r="AX29" s="426"/>
      <c r="AY29" s="433"/>
      <c r="AZ29" s="113">
        <v>24</v>
      </c>
      <c r="BA29" s="432">
        <v>92.35</v>
      </c>
      <c r="BB29" s="432">
        <v>93.47</v>
      </c>
      <c r="BC29" s="432">
        <v>94.03</v>
      </c>
      <c r="BD29" s="426"/>
      <c r="BE29" s="426"/>
      <c r="BF29" s="426"/>
      <c r="BG29" s="426"/>
      <c r="BH29" s="426"/>
    </row>
    <row r="30" spans="1:60" s="429" customFormat="1" x14ac:dyDescent="0.2">
      <c r="A30" s="433"/>
      <c r="B30" s="113">
        <v>25</v>
      </c>
      <c r="C30" s="432">
        <v>68.900000000000006</v>
      </c>
      <c r="D30" s="432">
        <v>69.459999999999994</v>
      </c>
      <c r="E30" s="432">
        <v>69.83</v>
      </c>
      <c r="F30" s="426"/>
      <c r="G30" s="426"/>
      <c r="H30" s="426"/>
      <c r="I30" s="426"/>
      <c r="J30" s="426"/>
      <c r="K30" s="433"/>
      <c r="L30" s="113">
        <v>25</v>
      </c>
      <c r="M30" s="432">
        <v>73.17</v>
      </c>
      <c r="N30" s="432">
        <v>73.84</v>
      </c>
      <c r="O30" s="432">
        <v>74.239999999999995</v>
      </c>
      <c r="P30" s="426"/>
      <c r="Q30" s="426"/>
      <c r="R30" s="426"/>
      <c r="S30" s="426"/>
      <c r="T30" s="426"/>
      <c r="U30" s="433"/>
      <c r="V30" s="113">
        <v>25</v>
      </c>
      <c r="W30" s="432">
        <v>77.69</v>
      </c>
      <c r="X30" s="432">
        <v>78.47</v>
      </c>
      <c r="Y30" s="432">
        <v>78.91</v>
      </c>
      <c r="Z30" s="426"/>
      <c r="AA30" s="426"/>
      <c r="AB30" s="426"/>
      <c r="AC30" s="426"/>
      <c r="AD30" s="426"/>
      <c r="AE30" s="433"/>
      <c r="AF30" s="113">
        <v>25</v>
      </c>
      <c r="AG30" s="432">
        <v>82.46</v>
      </c>
      <c r="AH30" s="432">
        <v>83.36</v>
      </c>
      <c r="AI30" s="432">
        <v>83.84</v>
      </c>
      <c r="AJ30" s="426"/>
      <c r="AK30" s="426"/>
      <c r="AL30" s="426"/>
      <c r="AM30" s="426"/>
      <c r="AN30" s="426"/>
      <c r="AO30" s="433"/>
      <c r="AP30" s="113">
        <v>25</v>
      </c>
      <c r="AQ30" s="432">
        <v>87.49</v>
      </c>
      <c r="AR30" s="432">
        <v>88.52</v>
      </c>
      <c r="AS30" s="432">
        <v>89.05</v>
      </c>
      <c r="AT30" s="426"/>
      <c r="AU30" s="426"/>
      <c r="AV30" s="426"/>
      <c r="AW30" s="426"/>
      <c r="AX30" s="426"/>
      <c r="AY30" s="433"/>
      <c r="AZ30" s="113">
        <v>25</v>
      </c>
      <c r="BA30" s="432">
        <v>92.79</v>
      </c>
      <c r="BB30" s="432">
        <v>93.97</v>
      </c>
      <c r="BC30" s="432">
        <v>94.54</v>
      </c>
      <c r="BD30" s="426"/>
      <c r="BE30" s="426"/>
      <c r="BF30" s="426"/>
      <c r="BG30" s="426"/>
      <c r="BH30" s="426"/>
    </row>
    <row r="31" spans="1:60" s="429" customFormat="1" x14ac:dyDescent="0.2">
      <c r="A31" s="433"/>
      <c r="B31" s="113">
        <v>26</v>
      </c>
      <c r="C31" s="432">
        <v>69.069999999999993</v>
      </c>
      <c r="D31" s="432">
        <v>69.63</v>
      </c>
      <c r="E31" s="432">
        <v>70</v>
      </c>
      <c r="F31" s="426"/>
      <c r="G31" s="426"/>
      <c r="H31" s="426"/>
      <c r="I31" s="426"/>
      <c r="J31" s="426"/>
      <c r="K31" s="433"/>
      <c r="L31" s="113">
        <v>26</v>
      </c>
      <c r="M31" s="432">
        <v>73.37</v>
      </c>
      <c r="N31" s="432">
        <v>74.040000000000006</v>
      </c>
      <c r="O31" s="432">
        <v>74.45</v>
      </c>
      <c r="P31" s="426"/>
      <c r="Q31" s="426"/>
      <c r="R31" s="426"/>
      <c r="S31" s="426"/>
      <c r="T31" s="426"/>
      <c r="U31" s="433"/>
      <c r="V31" s="113">
        <v>26</v>
      </c>
      <c r="W31" s="432">
        <v>77.930000000000007</v>
      </c>
      <c r="X31" s="432">
        <v>78.709999999999994</v>
      </c>
      <c r="Y31" s="432">
        <v>79.16</v>
      </c>
      <c r="Z31" s="426"/>
      <c r="AA31" s="426"/>
      <c r="AB31" s="426"/>
      <c r="AC31" s="426"/>
      <c r="AD31" s="426"/>
      <c r="AE31" s="433"/>
      <c r="AF31" s="113">
        <v>26</v>
      </c>
      <c r="AG31" s="432">
        <v>82.73</v>
      </c>
      <c r="AH31" s="432">
        <v>83.64</v>
      </c>
      <c r="AI31" s="432">
        <v>84.13</v>
      </c>
      <c r="AJ31" s="426"/>
      <c r="AK31" s="426"/>
      <c r="AL31" s="426"/>
      <c r="AM31" s="426"/>
      <c r="AN31" s="426"/>
      <c r="AO31" s="433"/>
      <c r="AP31" s="113">
        <v>26</v>
      </c>
      <c r="AQ31" s="432">
        <v>87.81</v>
      </c>
      <c r="AR31" s="432">
        <v>88.85</v>
      </c>
      <c r="AS31" s="432">
        <v>89.38</v>
      </c>
      <c r="AT31" s="426"/>
      <c r="AU31" s="426"/>
      <c r="AV31" s="426"/>
      <c r="AW31" s="426"/>
      <c r="AX31" s="426"/>
      <c r="AY31" s="433"/>
      <c r="AZ31" s="113">
        <v>26</v>
      </c>
      <c r="BA31" s="432">
        <v>93.15</v>
      </c>
      <c r="BB31" s="432">
        <v>94.34</v>
      </c>
      <c r="BC31" s="432">
        <v>94.92</v>
      </c>
      <c r="BD31" s="426"/>
      <c r="BE31" s="426"/>
      <c r="BF31" s="426"/>
      <c r="BG31" s="426"/>
      <c r="BH31" s="426"/>
    </row>
    <row r="32" spans="1:60" s="429" customFormat="1" x14ac:dyDescent="0.2">
      <c r="A32" s="433"/>
      <c r="B32" s="113">
        <v>27</v>
      </c>
      <c r="C32" s="432">
        <v>69.239999999999995</v>
      </c>
      <c r="D32" s="432">
        <v>69.81</v>
      </c>
      <c r="E32" s="432">
        <v>70.180000000000007</v>
      </c>
      <c r="F32" s="426"/>
      <c r="G32" s="426"/>
      <c r="H32" s="426"/>
      <c r="I32" s="426"/>
      <c r="J32" s="426"/>
      <c r="K32" s="433"/>
      <c r="L32" s="113">
        <v>27</v>
      </c>
      <c r="M32" s="432">
        <v>73.58</v>
      </c>
      <c r="N32" s="432">
        <v>74.260000000000005</v>
      </c>
      <c r="O32" s="432">
        <v>74.67</v>
      </c>
      <c r="P32" s="426"/>
      <c r="Q32" s="426"/>
      <c r="R32" s="426"/>
      <c r="S32" s="426"/>
      <c r="T32" s="426"/>
      <c r="U32" s="433"/>
      <c r="V32" s="113">
        <v>27</v>
      </c>
      <c r="W32" s="432">
        <v>78.17</v>
      </c>
      <c r="X32" s="432">
        <v>78.959999999999994</v>
      </c>
      <c r="Y32" s="432">
        <v>79.41</v>
      </c>
      <c r="Z32" s="426"/>
      <c r="AA32" s="426"/>
      <c r="AB32" s="426"/>
      <c r="AC32" s="426"/>
      <c r="AD32" s="426"/>
      <c r="AE32" s="433"/>
      <c r="AF32" s="113">
        <v>27</v>
      </c>
      <c r="AG32" s="432">
        <v>83.02</v>
      </c>
      <c r="AH32" s="432">
        <v>83.93</v>
      </c>
      <c r="AI32" s="432">
        <v>84.42</v>
      </c>
      <c r="AJ32" s="426"/>
      <c r="AK32" s="426"/>
      <c r="AL32" s="426"/>
      <c r="AM32" s="426"/>
      <c r="AN32" s="426"/>
      <c r="AO32" s="433"/>
      <c r="AP32" s="113">
        <v>27</v>
      </c>
      <c r="AQ32" s="432">
        <v>88.13</v>
      </c>
      <c r="AR32" s="432">
        <v>89.18</v>
      </c>
      <c r="AS32" s="432">
        <v>89.72</v>
      </c>
      <c r="AT32" s="426"/>
      <c r="AU32" s="426"/>
      <c r="AV32" s="426"/>
      <c r="AW32" s="426"/>
      <c r="AX32" s="426"/>
      <c r="AY32" s="433"/>
      <c r="AZ32" s="113">
        <v>27</v>
      </c>
      <c r="BA32" s="432">
        <v>93.53</v>
      </c>
      <c r="BB32" s="432">
        <v>94.73</v>
      </c>
      <c r="BC32" s="432">
        <v>95.31</v>
      </c>
      <c r="BD32" s="426"/>
      <c r="BE32" s="426"/>
      <c r="BF32" s="426"/>
      <c r="BG32" s="426"/>
      <c r="BH32" s="426"/>
    </row>
    <row r="33" spans="1:60" s="429" customFormat="1" x14ac:dyDescent="0.2">
      <c r="A33" s="433"/>
      <c r="B33" s="113">
        <v>28</v>
      </c>
      <c r="C33" s="432">
        <v>69.42</v>
      </c>
      <c r="D33" s="432">
        <v>70</v>
      </c>
      <c r="E33" s="432">
        <v>70.37</v>
      </c>
      <c r="F33" s="426"/>
      <c r="G33" s="426"/>
      <c r="H33" s="426"/>
      <c r="I33" s="426"/>
      <c r="J33" s="426"/>
      <c r="K33" s="433"/>
      <c r="L33" s="113">
        <v>28</v>
      </c>
      <c r="M33" s="432">
        <v>73.8</v>
      </c>
      <c r="N33" s="432">
        <v>74.48</v>
      </c>
      <c r="O33" s="432">
        <v>74.89</v>
      </c>
      <c r="P33" s="426"/>
      <c r="Q33" s="426"/>
      <c r="R33" s="426"/>
      <c r="S33" s="426"/>
      <c r="T33" s="426"/>
      <c r="U33" s="433"/>
      <c r="V33" s="113">
        <v>28</v>
      </c>
      <c r="W33" s="432">
        <v>78.42</v>
      </c>
      <c r="X33" s="432">
        <v>79.22</v>
      </c>
      <c r="Y33" s="432">
        <v>79.67</v>
      </c>
      <c r="Z33" s="426"/>
      <c r="AA33" s="426"/>
      <c r="AB33" s="426"/>
      <c r="AC33" s="426"/>
      <c r="AD33" s="426"/>
      <c r="AE33" s="433"/>
      <c r="AF33" s="113">
        <v>28</v>
      </c>
      <c r="AG33" s="432">
        <v>83.31</v>
      </c>
      <c r="AH33" s="432">
        <v>84.23</v>
      </c>
      <c r="AI33" s="432">
        <v>84.73</v>
      </c>
      <c r="AJ33" s="426"/>
      <c r="AK33" s="426"/>
      <c r="AL33" s="426"/>
      <c r="AM33" s="426"/>
      <c r="AN33" s="426"/>
      <c r="AO33" s="433"/>
      <c r="AP33" s="113">
        <v>28</v>
      </c>
      <c r="AQ33" s="432">
        <v>88.47</v>
      </c>
      <c r="AR33" s="432">
        <v>89.53</v>
      </c>
      <c r="AS33" s="432">
        <v>90.07</v>
      </c>
      <c r="AT33" s="426"/>
      <c r="AU33" s="426"/>
      <c r="AV33" s="426"/>
      <c r="AW33" s="426"/>
      <c r="AX33" s="426"/>
      <c r="AY33" s="433"/>
      <c r="AZ33" s="113">
        <v>28</v>
      </c>
      <c r="BA33" s="432">
        <v>93.92</v>
      </c>
      <c r="BB33" s="432">
        <v>95.13</v>
      </c>
      <c r="BC33" s="432">
        <v>95.71</v>
      </c>
      <c r="BD33" s="426"/>
      <c r="BE33" s="426"/>
      <c r="BF33" s="426"/>
      <c r="BG33" s="426"/>
      <c r="BH33" s="426"/>
    </row>
    <row r="34" spans="1:60" s="429" customFormat="1" x14ac:dyDescent="0.2">
      <c r="A34" s="433"/>
      <c r="B34" s="113">
        <v>29</v>
      </c>
      <c r="C34" s="432">
        <v>69.61</v>
      </c>
      <c r="D34" s="432">
        <v>70.19</v>
      </c>
      <c r="E34" s="432">
        <v>70.56</v>
      </c>
      <c r="F34" s="426"/>
      <c r="G34" s="426"/>
      <c r="H34" s="426"/>
      <c r="I34" s="426"/>
      <c r="J34" s="426"/>
      <c r="K34" s="433"/>
      <c r="L34" s="113">
        <v>29</v>
      </c>
      <c r="M34" s="432">
        <v>74.02</v>
      </c>
      <c r="N34" s="432">
        <v>74.7</v>
      </c>
      <c r="O34" s="432">
        <v>75.12</v>
      </c>
      <c r="P34" s="426"/>
      <c r="Q34" s="426"/>
      <c r="R34" s="426"/>
      <c r="S34" s="426"/>
      <c r="T34" s="426"/>
      <c r="U34" s="433"/>
      <c r="V34" s="113">
        <v>29</v>
      </c>
      <c r="W34" s="432">
        <v>78.680000000000007</v>
      </c>
      <c r="X34" s="432">
        <v>79.48</v>
      </c>
      <c r="Y34" s="432">
        <v>79.94</v>
      </c>
      <c r="Z34" s="426"/>
      <c r="AA34" s="426"/>
      <c r="AB34" s="426"/>
      <c r="AC34" s="426"/>
      <c r="AD34" s="426"/>
      <c r="AE34" s="433"/>
      <c r="AF34" s="113">
        <v>29</v>
      </c>
      <c r="AG34" s="432">
        <v>83.61</v>
      </c>
      <c r="AH34" s="432">
        <v>84.54</v>
      </c>
      <c r="AI34" s="432">
        <v>85.04</v>
      </c>
      <c r="AJ34" s="426"/>
      <c r="AK34" s="426"/>
      <c r="AL34" s="426"/>
      <c r="AM34" s="426"/>
      <c r="AN34" s="426"/>
      <c r="AO34" s="433"/>
      <c r="AP34" s="113">
        <v>29</v>
      </c>
      <c r="AQ34" s="432">
        <v>88.82</v>
      </c>
      <c r="AR34" s="432">
        <v>89.89</v>
      </c>
      <c r="AS34" s="432">
        <v>90.43</v>
      </c>
      <c r="AT34" s="426"/>
      <c r="AU34" s="426"/>
      <c r="AV34" s="426"/>
      <c r="AW34" s="426"/>
      <c r="AX34" s="426"/>
      <c r="AY34" s="433"/>
      <c r="AZ34" s="113">
        <v>29</v>
      </c>
      <c r="BA34" s="432">
        <v>94.32</v>
      </c>
      <c r="BB34" s="432">
        <v>95.54</v>
      </c>
      <c r="BC34" s="432">
        <v>96.13</v>
      </c>
      <c r="BD34" s="426"/>
      <c r="BE34" s="426"/>
      <c r="BF34" s="426"/>
      <c r="BG34" s="426"/>
      <c r="BH34" s="426"/>
    </row>
    <row r="35" spans="1:60" s="429" customFormat="1" x14ac:dyDescent="0.2">
      <c r="A35" s="433"/>
      <c r="B35" s="113">
        <v>30</v>
      </c>
      <c r="C35" s="432">
        <v>69.8</v>
      </c>
      <c r="D35" s="432">
        <v>70.38</v>
      </c>
      <c r="E35" s="432">
        <v>70.760000000000005</v>
      </c>
      <c r="F35" s="426"/>
      <c r="G35" s="426"/>
      <c r="H35" s="426"/>
      <c r="I35" s="426"/>
      <c r="J35" s="426"/>
      <c r="K35" s="433"/>
      <c r="L35" s="113">
        <v>30</v>
      </c>
      <c r="M35" s="432">
        <v>74.25</v>
      </c>
      <c r="N35" s="432">
        <v>74.94</v>
      </c>
      <c r="O35" s="432">
        <v>75.349999999999994</v>
      </c>
      <c r="P35" s="426"/>
      <c r="Q35" s="426"/>
      <c r="R35" s="426"/>
      <c r="S35" s="426"/>
      <c r="T35" s="426"/>
      <c r="U35" s="433"/>
      <c r="V35" s="113">
        <v>30</v>
      </c>
      <c r="W35" s="432">
        <v>78.95</v>
      </c>
      <c r="X35" s="432">
        <v>79.760000000000005</v>
      </c>
      <c r="Y35" s="432">
        <v>80.22</v>
      </c>
      <c r="Z35" s="426"/>
      <c r="AA35" s="426"/>
      <c r="AB35" s="426"/>
      <c r="AC35" s="426"/>
      <c r="AD35" s="426"/>
      <c r="AE35" s="433"/>
      <c r="AF35" s="113">
        <v>30</v>
      </c>
      <c r="AG35" s="432">
        <v>83.92</v>
      </c>
      <c r="AH35" s="432">
        <v>84.86</v>
      </c>
      <c r="AI35" s="432">
        <v>85.36</v>
      </c>
      <c r="AJ35" s="426"/>
      <c r="AK35" s="426"/>
      <c r="AL35" s="426"/>
      <c r="AM35" s="426"/>
      <c r="AN35" s="426"/>
      <c r="AO35" s="433"/>
      <c r="AP35" s="113">
        <v>30</v>
      </c>
      <c r="AQ35" s="432">
        <v>89.18</v>
      </c>
      <c r="AR35" s="432">
        <v>90.26</v>
      </c>
      <c r="AS35" s="432">
        <v>90.81</v>
      </c>
      <c r="AT35" s="426"/>
      <c r="AU35" s="426"/>
      <c r="AV35" s="426"/>
      <c r="AW35" s="426"/>
      <c r="AX35" s="426"/>
      <c r="AY35" s="433"/>
      <c r="AZ35" s="113">
        <v>30</v>
      </c>
      <c r="BA35" s="432">
        <v>94.73</v>
      </c>
      <c r="BB35" s="432">
        <v>95.96</v>
      </c>
      <c r="BC35" s="432">
        <v>96.56</v>
      </c>
      <c r="BD35" s="426"/>
      <c r="BE35" s="426"/>
      <c r="BF35" s="426"/>
      <c r="BG35" s="426"/>
      <c r="BH35" s="426"/>
    </row>
    <row r="36" spans="1:60" s="429" customFormat="1" x14ac:dyDescent="0.2">
      <c r="A36" s="433"/>
      <c r="B36" s="113">
        <v>31</v>
      </c>
      <c r="C36" s="432">
        <v>70</v>
      </c>
      <c r="D36" s="432">
        <v>70.58</v>
      </c>
      <c r="E36" s="432">
        <v>70.97</v>
      </c>
      <c r="F36" s="426"/>
      <c r="G36" s="426"/>
      <c r="H36" s="426"/>
      <c r="I36" s="426"/>
      <c r="J36" s="426"/>
      <c r="K36" s="433"/>
      <c r="L36" s="113">
        <v>31</v>
      </c>
      <c r="M36" s="432">
        <v>74.48</v>
      </c>
      <c r="N36" s="432">
        <v>75.180000000000007</v>
      </c>
      <c r="O36" s="432">
        <v>75.599999999999994</v>
      </c>
      <c r="P36" s="426"/>
      <c r="Q36" s="426"/>
      <c r="R36" s="426"/>
      <c r="S36" s="426"/>
      <c r="T36" s="426"/>
      <c r="U36" s="433"/>
      <c r="V36" s="113">
        <v>31</v>
      </c>
      <c r="W36" s="432">
        <v>79.22</v>
      </c>
      <c r="X36" s="432">
        <v>80.040000000000006</v>
      </c>
      <c r="Y36" s="432">
        <v>80.5</v>
      </c>
      <c r="Z36" s="426"/>
      <c r="AA36" s="426"/>
      <c r="AB36" s="426"/>
      <c r="AC36" s="426"/>
      <c r="AD36" s="426"/>
      <c r="AE36" s="433"/>
      <c r="AF36" s="113">
        <v>31</v>
      </c>
      <c r="AG36" s="432">
        <v>84.24</v>
      </c>
      <c r="AH36" s="432">
        <v>85.19</v>
      </c>
      <c r="AI36" s="432">
        <v>85.69</v>
      </c>
      <c r="AJ36" s="426"/>
      <c r="AK36" s="426"/>
      <c r="AL36" s="426"/>
      <c r="AM36" s="426"/>
      <c r="AN36" s="426"/>
      <c r="AO36" s="433"/>
      <c r="AP36" s="113">
        <v>31</v>
      </c>
      <c r="AQ36" s="432">
        <v>89.55</v>
      </c>
      <c r="AR36" s="432">
        <v>90.64</v>
      </c>
      <c r="AS36" s="432">
        <v>91.19</v>
      </c>
      <c r="AT36" s="426"/>
      <c r="AU36" s="426"/>
      <c r="AV36" s="426"/>
      <c r="AW36" s="426"/>
      <c r="AX36" s="426"/>
      <c r="AY36" s="433"/>
      <c r="AZ36" s="113">
        <v>31</v>
      </c>
      <c r="BA36" s="432">
        <v>95.15</v>
      </c>
      <c r="BB36" s="432">
        <v>96.39</v>
      </c>
      <c r="BC36" s="432">
        <v>97</v>
      </c>
      <c r="BD36" s="426"/>
      <c r="BE36" s="426"/>
      <c r="BF36" s="426"/>
      <c r="BG36" s="426"/>
      <c r="BH36" s="426"/>
    </row>
    <row r="37" spans="1:60" s="429" customFormat="1" x14ac:dyDescent="0.2">
      <c r="A37" s="433"/>
      <c r="B37" s="113">
        <v>32</v>
      </c>
      <c r="C37" s="432">
        <v>70.2</v>
      </c>
      <c r="D37" s="432">
        <v>70.790000000000006</v>
      </c>
      <c r="E37" s="432">
        <v>71.180000000000007</v>
      </c>
      <c r="F37" s="426"/>
      <c r="G37" s="426"/>
      <c r="H37" s="426"/>
      <c r="I37" s="426"/>
      <c r="J37" s="426"/>
      <c r="K37" s="433"/>
      <c r="L37" s="113">
        <v>32</v>
      </c>
      <c r="M37" s="432">
        <v>74.72</v>
      </c>
      <c r="N37" s="432">
        <v>75.42</v>
      </c>
      <c r="O37" s="432">
        <v>75.849999999999994</v>
      </c>
      <c r="P37" s="426"/>
      <c r="Q37" s="426"/>
      <c r="R37" s="426"/>
      <c r="S37" s="426"/>
      <c r="T37" s="426"/>
      <c r="U37" s="433"/>
      <c r="V37" s="113">
        <v>32</v>
      </c>
      <c r="W37" s="432">
        <v>79.510000000000005</v>
      </c>
      <c r="X37" s="432">
        <v>80.33</v>
      </c>
      <c r="Y37" s="432">
        <v>80.790000000000006</v>
      </c>
      <c r="Z37" s="426"/>
      <c r="AA37" s="426"/>
      <c r="AB37" s="426"/>
      <c r="AC37" s="426"/>
      <c r="AD37" s="426"/>
      <c r="AE37" s="433"/>
      <c r="AF37" s="113">
        <v>32</v>
      </c>
      <c r="AG37" s="432">
        <v>84.57</v>
      </c>
      <c r="AH37" s="432">
        <v>85.53</v>
      </c>
      <c r="AI37" s="432">
        <v>86.04</v>
      </c>
      <c r="AJ37" s="426"/>
      <c r="AK37" s="426"/>
      <c r="AL37" s="426"/>
      <c r="AM37" s="426"/>
      <c r="AN37" s="426"/>
      <c r="AO37" s="433"/>
      <c r="AP37" s="113">
        <v>32</v>
      </c>
      <c r="AQ37" s="432">
        <v>89.93</v>
      </c>
      <c r="AR37" s="432">
        <v>91.03</v>
      </c>
      <c r="AS37" s="432">
        <v>91.58</v>
      </c>
      <c r="AT37" s="426"/>
      <c r="AU37" s="426"/>
      <c r="AV37" s="426"/>
      <c r="AW37" s="426"/>
      <c r="AX37" s="426"/>
      <c r="AY37" s="433"/>
      <c r="AZ37" s="113">
        <v>32</v>
      </c>
      <c r="BA37" s="432">
        <v>95.58</v>
      </c>
      <c r="BB37" s="432">
        <v>96.84</v>
      </c>
      <c r="BC37" s="432">
        <v>97.45</v>
      </c>
      <c r="BD37" s="426"/>
      <c r="BE37" s="426"/>
      <c r="BF37" s="426"/>
      <c r="BG37" s="426"/>
      <c r="BH37" s="426"/>
    </row>
    <row r="38" spans="1:60" s="429" customFormat="1" x14ac:dyDescent="0.2">
      <c r="A38" s="433"/>
      <c r="B38" s="113">
        <v>33</v>
      </c>
      <c r="C38" s="432">
        <v>70.41</v>
      </c>
      <c r="D38" s="432">
        <v>71</v>
      </c>
      <c r="E38" s="432">
        <v>71.39</v>
      </c>
      <c r="F38" s="426"/>
      <c r="G38" s="426"/>
      <c r="H38" s="426"/>
      <c r="I38" s="426"/>
      <c r="J38" s="426"/>
      <c r="K38" s="433"/>
      <c r="L38" s="113">
        <v>33</v>
      </c>
      <c r="M38" s="432">
        <v>74.97</v>
      </c>
      <c r="N38" s="432">
        <v>75.680000000000007</v>
      </c>
      <c r="O38" s="432">
        <v>76.099999999999994</v>
      </c>
      <c r="P38" s="426"/>
      <c r="Q38" s="426"/>
      <c r="R38" s="426"/>
      <c r="S38" s="426"/>
      <c r="T38" s="426"/>
      <c r="U38" s="433"/>
      <c r="V38" s="113">
        <v>33</v>
      </c>
      <c r="W38" s="432">
        <v>79.8</v>
      </c>
      <c r="X38" s="432">
        <v>80.63</v>
      </c>
      <c r="Y38" s="432">
        <v>81.099999999999994</v>
      </c>
      <c r="Z38" s="426"/>
      <c r="AA38" s="426"/>
      <c r="AB38" s="426"/>
      <c r="AC38" s="426"/>
      <c r="AD38" s="426"/>
      <c r="AE38" s="433"/>
      <c r="AF38" s="113">
        <v>33</v>
      </c>
      <c r="AG38" s="432">
        <v>84.91</v>
      </c>
      <c r="AH38" s="432">
        <v>85.88</v>
      </c>
      <c r="AI38" s="432">
        <v>86.39</v>
      </c>
      <c r="AJ38" s="426"/>
      <c r="AK38" s="426"/>
      <c r="AL38" s="426"/>
      <c r="AM38" s="426"/>
      <c r="AN38" s="426"/>
      <c r="AO38" s="433"/>
      <c r="AP38" s="113">
        <v>33</v>
      </c>
      <c r="AQ38" s="432">
        <v>90.32</v>
      </c>
      <c r="AR38" s="432">
        <v>91.43</v>
      </c>
      <c r="AS38" s="432">
        <v>91.99</v>
      </c>
      <c r="AT38" s="426"/>
      <c r="AU38" s="426"/>
      <c r="AV38" s="426"/>
      <c r="AW38" s="426"/>
      <c r="AX38" s="426"/>
      <c r="AY38" s="433"/>
      <c r="AZ38" s="113">
        <v>33</v>
      </c>
      <c r="BA38" s="432">
        <v>96.03</v>
      </c>
      <c r="BB38" s="432">
        <v>97.3</v>
      </c>
      <c r="BC38" s="432">
        <v>97.91</v>
      </c>
      <c r="BD38" s="426"/>
      <c r="BE38" s="426"/>
      <c r="BF38" s="426"/>
      <c r="BG38" s="426"/>
      <c r="BH38" s="426"/>
    </row>
    <row r="39" spans="1:60" s="429" customFormat="1" x14ac:dyDescent="0.2">
      <c r="A39" s="433"/>
      <c r="B39" s="113">
        <v>34</v>
      </c>
      <c r="C39" s="432">
        <v>70.62</v>
      </c>
      <c r="D39" s="432">
        <v>71.22</v>
      </c>
      <c r="E39" s="432">
        <v>71.61</v>
      </c>
      <c r="F39" s="426"/>
      <c r="G39" s="426"/>
      <c r="H39" s="426"/>
      <c r="I39" s="426"/>
      <c r="J39" s="426"/>
      <c r="K39" s="433"/>
      <c r="L39" s="113">
        <v>34</v>
      </c>
      <c r="M39" s="432">
        <v>75.22</v>
      </c>
      <c r="N39" s="432">
        <v>75.930000000000007</v>
      </c>
      <c r="O39" s="432">
        <v>76.36</v>
      </c>
      <c r="P39" s="426"/>
      <c r="Q39" s="426"/>
      <c r="R39" s="426"/>
      <c r="S39" s="426"/>
      <c r="T39" s="426"/>
      <c r="U39" s="433"/>
      <c r="V39" s="113">
        <v>34</v>
      </c>
      <c r="W39" s="432">
        <v>80.099999999999994</v>
      </c>
      <c r="X39" s="432">
        <v>80.94</v>
      </c>
      <c r="Y39" s="432">
        <v>81.41</v>
      </c>
      <c r="Z39" s="426"/>
      <c r="AA39" s="426"/>
      <c r="AB39" s="426"/>
      <c r="AC39" s="426"/>
      <c r="AD39" s="426"/>
      <c r="AE39" s="433"/>
      <c r="AF39" s="113">
        <v>34</v>
      </c>
      <c r="AG39" s="432">
        <v>85.26</v>
      </c>
      <c r="AH39" s="432">
        <v>86.23</v>
      </c>
      <c r="AI39" s="432">
        <v>86.75</v>
      </c>
      <c r="AJ39" s="426"/>
      <c r="AK39" s="426"/>
      <c r="AL39" s="426"/>
      <c r="AM39" s="426"/>
      <c r="AN39" s="426"/>
      <c r="AO39" s="433"/>
      <c r="AP39" s="113">
        <v>34</v>
      </c>
      <c r="AQ39" s="432">
        <v>90.72</v>
      </c>
      <c r="AR39" s="432">
        <v>91.84</v>
      </c>
      <c r="AS39" s="432">
        <v>92.4</v>
      </c>
      <c r="AT39" s="426"/>
      <c r="AU39" s="426"/>
      <c r="AV39" s="426"/>
      <c r="AW39" s="426"/>
      <c r="AX39" s="426"/>
      <c r="AY39" s="433"/>
      <c r="AZ39" s="113">
        <v>34</v>
      </c>
      <c r="BA39" s="432">
        <v>96.48</v>
      </c>
      <c r="BB39" s="432">
        <v>97.76</v>
      </c>
      <c r="BC39" s="432">
        <v>98.38</v>
      </c>
      <c r="BD39" s="426"/>
      <c r="BE39" s="426"/>
      <c r="BF39" s="426"/>
      <c r="BG39" s="426"/>
      <c r="BH39" s="426"/>
    </row>
    <row r="40" spans="1:60" s="429" customFormat="1" x14ac:dyDescent="0.2">
      <c r="A40" s="433"/>
      <c r="B40" s="113">
        <v>35</v>
      </c>
      <c r="C40" s="432">
        <v>70.83</v>
      </c>
      <c r="D40" s="432">
        <v>71.44</v>
      </c>
      <c r="E40" s="432">
        <v>71.84</v>
      </c>
      <c r="F40" s="426"/>
      <c r="G40" s="426"/>
      <c r="H40" s="426"/>
      <c r="I40" s="426"/>
      <c r="J40" s="426"/>
      <c r="K40" s="433"/>
      <c r="L40" s="113">
        <v>35</v>
      </c>
      <c r="M40" s="432">
        <v>75.48</v>
      </c>
      <c r="N40" s="432">
        <v>76.2</v>
      </c>
      <c r="O40" s="432">
        <v>76.63</v>
      </c>
      <c r="P40" s="426"/>
      <c r="Q40" s="426"/>
      <c r="R40" s="426"/>
      <c r="S40" s="426"/>
      <c r="T40" s="426"/>
      <c r="U40" s="433"/>
      <c r="V40" s="113">
        <v>35</v>
      </c>
      <c r="W40" s="432">
        <v>80.400000000000006</v>
      </c>
      <c r="X40" s="432">
        <v>81.25</v>
      </c>
      <c r="Y40" s="432">
        <v>81.72</v>
      </c>
      <c r="Z40" s="426"/>
      <c r="AA40" s="426"/>
      <c r="AB40" s="426"/>
      <c r="AC40" s="426"/>
      <c r="AD40" s="426"/>
      <c r="AE40" s="433"/>
      <c r="AF40" s="113">
        <v>35</v>
      </c>
      <c r="AG40" s="432">
        <v>85.61</v>
      </c>
      <c r="AH40" s="432">
        <v>86.6</v>
      </c>
      <c r="AI40" s="432">
        <v>87.12</v>
      </c>
      <c r="AJ40" s="426"/>
      <c r="AK40" s="426"/>
      <c r="AL40" s="426"/>
      <c r="AM40" s="426"/>
      <c r="AN40" s="426"/>
      <c r="AO40" s="433"/>
      <c r="AP40" s="113">
        <v>35</v>
      </c>
      <c r="AQ40" s="432">
        <v>91.13</v>
      </c>
      <c r="AR40" s="432">
        <v>92.26</v>
      </c>
      <c r="AS40" s="432">
        <v>92.83</v>
      </c>
      <c r="AT40" s="426"/>
      <c r="AU40" s="426"/>
      <c r="AV40" s="426"/>
      <c r="AW40" s="426"/>
      <c r="AX40" s="426"/>
      <c r="AY40" s="433"/>
      <c r="AZ40" s="113">
        <v>35</v>
      </c>
      <c r="BA40" s="432">
        <v>96.94</v>
      </c>
      <c r="BB40" s="432">
        <v>98.24</v>
      </c>
      <c r="BC40" s="432">
        <v>98.86</v>
      </c>
      <c r="BD40" s="426"/>
      <c r="BE40" s="426"/>
      <c r="BF40" s="426"/>
      <c r="BG40" s="426"/>
      <c r="BH40" s="426"/>
    </row>
    <row r="41" spans="1:60" s="429" customFormat="1" x14ac:dyDescent="0.2">
      <c r="A41" s="433"/>
      <c r="B41" s="113">
        <v>36</v>
      </c>
      <c r="C41" s="432">
        <v>71.06</v>
      </c>
      <c r="D41" s="432">
        <v>71.67</v>
      </c>
      <c r="E41" s="432">
        <v>72.069999999999993</v>
      </c>
      <c r="F41" s="426"/>
      <c r="G41" s="426"/>
      <c r="H41" s="426"/>
      <c r="I41" s="426"/>
      <c r="J41" s="426"/>
      <c r="K41" s="433"/>
      <c r="L41" s="113">
        <v>36</v>
      </c>
      <c r="M41" s="432">
        <v>75.739999999999995</v>
      </c>
      <c r="N41" s="432">
        <v>76.47</v>
      </c>
      <c r="O41" s="432">
        <v>76.91</v>
      </c>
      <c r="P41" s="426"/>
      <c r="Q41" s="426"/>
      <c r="R41" s="426"/>
      <c r="S41" s="426"/>
      <c r="T41" s="426"/>
      <c r="U41" s="433"/>
      <c r="V41" s="113">
        <v>36</v>
      </c>
      <c r="W41" s="432">
        <v>80.72</v>
      </c>
      <c r="X41" s="432">
        <v>81.569999999999993</v>
      </c>
      <c r="Y41" s="432">
        <v>82.05</v>
      </c>
      <c r="Z41" s="426"/>
      <c r="AA41" s="426"/>
      <c r="AB41" s="426"/>
      <c r="AC41" s="426"/>
      <c r="AD41" s="426"/>
      <c r="AE41" s="433"/>
      <c r="AF41" s="113">
        <v>36</v>
      </c>
      <c r="AG41" s="432">
        <v>85.98</v>
      </c>
      <c r="AH41" s="432">
        <v>86.97</v>
      </c>
      <c r="AI41" s="432">
        <v>87.5</v>
      </c>
      <c r="AJ41" s="426"/>
      <c r="AK41" s="426"/>
      <c r="AL41" s="426"/>
      <c r="AM41" s="426"/>
      <c r="AN41" s="426"/>
      <c r="AO41" s="433"/>
      <c r="AP41" s="113">
        <v>36</v>
      </c>
      <c r="AQ41" s="432">
        <v>91.54</v>
      </c>
      <c r="AR41" s="432">
        <v>92.69</v>
      </c>
      <c r="AS41" s="432">
        <v>93.26</v>
      </c>
      <c r="AT41" s="426"/>
      <c r="AU41" s="426"/>
      <c r="AV41" s="426"/>
      <c r="AW41" s="426"/>
      <c r="AX41" s="426"/>
      <c r="AY41" s="433"/>
      <c r="AZ41" s="113">
        <v>36</v>
      </c>
      <c r="BA41" s="432">
        <v>97.41</v>
      </c>
      <c r="BB41" s="432">
        <v>98.72</v>
      </c>
      <c r="BC41" s="432">
        <v>99.35</v>
      </c>
      <c r="BD41" s="426"/>
      <c r="BE41" s="426"/>
      <c r="BF41" s="426"/>
      <c r="BG41" s="426"/>
      <c r="BH41" s="426"/>
    </row>
    <row r="42" spans="1:60" s="429" customFormat="1" x14ac:dyDescent="0.2">
      <c r="A42" s="433"/>
      <c r="B42" s="113">
        <v>37</v>
      </c>
      <c r="C42" s="432">
        <v>71.28</v>
      </c>
      <c r="D42" s="432">
        <v>71.900000000000006</v>
      </c>
      <c r="E42" s="432">
        <v>72.3</v>
      </c>
      <c r="F42" s="426"/>
      <c r="G42" s="426"/>
      <c r="H42" s="426"/>
      <c r="I42" s="426"/>
      <c r="J42" s="426"/>
      <c r="K42" s="433"/>
      <c r="L42" s="113">
        <v>37</v>
      </c>
      <c r="M42" s="432">
        <v>76.02</v>
      </c>
      <c r="N42" s="432">
        <v>76.75</v>
      </c>
      <c r="O42" s="432">
        <v>77.19</v>
      </c>
      <c r="P42" s="426"/>
      <c r="Q42" s="426"/>
      <c r="R42" s="426"/>
      <c r="S42" s="426"/>
      <c r="T42" s="426"/>
      <c r="U42" s="433"/>
      <c r="V42" s="113">
        <v>37</v>
      </c>
      <c r="W42" s="432">
        <v>81.040000000000006</v>
      </c>
      <c r="X42" s="432">
        <v>81.900000000000006</v>
      </c>
      <c r="Y42" s="432">
        <v>82.38</v>
      </c>
      <c r="Z42" s="426"/>
      <c r="AA42" s="426"/>
      <c r="AB42" s="426"/>
      <c r="AC42" s="426"/>
      <c r="AD42" s="426"/>
      <c r="AE42" s="433"/>
      <c r="AF42" s="113">
        <v>37</v>
      </c>
      <c r="AG42" s="432">
        <v>86.35</v>
      </c>
      <c r="AH42" s="432">
        <v>87.36</v>
      </c>
      <c r="AI42" s="432">
        <v>87.88</v>
      </c>
      <c r="AJ42" s="426"/>
      <c r="AK42" s="426"/>
      <c r="AL42" s="426"/>
      <c r="AM42" s="426"/>
      <c r="AN42" s="426"/>
      <c r="AO42" s="433"/>
      <c r="AP42" s="113">
        <v>37</v>
      </c>
      <c r="AQ42" s="432">
        <v>91.97</v>
      </c>
      <c r="AR42" s="432">
        <v>93.13</v>
      </c>
      <c r="AS42" s="432">
        <v>93.7</v>
      </c>
      <c r="AT42" s="426"/>
      <c r="AU42" s="426"/>
      <c r="AV42" s="426"/>
      <c r="AW42" s="426"/>
      <c r="AX42" s="426"/>
      <c r="AY42" s="433"/>
      <c r="AZ42" s="113">
        <v>37</v>
      </c>
      <c r="BA42" s="432">
        <v>97.89</v>
      </c>
      <c r="BB42" s="432">
        <v>99.22</v>
      </c>
      <c r="BC42" s="432">
        <v>99.85</v>
      </c>
      <c r="BD42" s="426"/>
      <c r="BE42" s="426"/>
      <c r="BF42" s="426"/>
      <c r="BG42" s="426"/>
      <c r="BH42" s="426"/>
    </row>
    <row r="43" spans="1:60" s="429" customFormat="1" x14ac:dyDescent="0.2">
      <c r="A43" s="433"/>
      <c r="B43" s="113">
        <v>38</v>
      </c>
      <c r="C43" s="432">
        <v>71.510000000000005</v>
      </c>
      <c r="D43" s="432">
        <v>72.14</v>
      </c>
      <c r="E43" s="432">
        <v>72.540000000000006</v>
      </c>
      <c r="F43" s="426"/>
      <c r="G43" s="426"/>
      <c r="H43" s="426"/>
      <c r="I43" s="426"/>
      <c r="J43" s="426"/>
      <c r="K43" s="433"/>
      <c r="L43" s="113">
        <v>38</v>
      </c>
      <c r="M43" s="432">
        <v>76.290000000000006</v>
      </c>
      <c r="N43" s="432">
        <v>77.040000000000006</v>
      </c>
      <c r="O43" s="432">
        <v>77.48</v>
      </c>
      <c r="P43" s="426"/>
      <c r="Q43" s="426"/>
      <c r="R43" s="426"/>
      <c r="S43" s="426"/>
      <c r="T43" s="426"/>
      <c r="U43" s="433"/>
      <c r="V43" s="113">
        <v>38</v>
      </c>
      <c r="W43" s="432">
        <v>81.36</v>
      </c>
      <c r="X43" s="432">
        <v>82.24</v>
      </c>
      <c r="Y43" s="432">
        <v>82.72</v>
      </c>
      <c r="Z43" s="426"/>
      <c r="AA43" s="426"/>
      <c r="AB43" s="426"/>
      <c r="AC43" s="426"/>
      <c r="AD43" s="426"/>
      <c r="AE43" s="433"/>
      <c r="AF43" s="113">
        <v>38</v>
      </c>
      <c r="AG43" s="432">
        <v>86.73</v>
      </c>
      <c r="AH43" s="432">
        <v>87.75</v>
      </c>
      <c r="AI43" s="432">
        <v>88.28</v>
      </c>
      <c r="AJ43" s="426"/>
      <c r="AK43" s="426"/>
      <c r="AL43" s="426"/>
      <c r="AM43" s="426"/>
      <c r="AN43" s="426"/>
      <c r="AO43" s="433"/>
      <c r="AP43" s="113">
        <v>38</v>
      </c>
      <c r="AQ43" s="432">
        <v>92.4</v>
      </c>
      <c r="AR43" s="432">
        <v>93.57</v>
      </c>
      <c r="AS43" s="432">
        <v>94.15</v>
      </c>
      <c r="AT43" s="426"/>
      <c r="AU43" s="426"/>
      <c r="AV43" s="426"/>
      <c r="AW43" s="426"/>
      <c r="AX43" s="426"/>
      <c r="AY43" s="433"/>
      <c r="AZ43" s="113">
        <v>38</v>
      </c>
      <c r="BA43" s="432">
        <v>98.37</v>
      </c>
      <c r="BB43" s="432">
        <v>99.72</v>
      </c>
      <c r="BC43" s="432">
        <v>100.35</v>
      </c>
      <c r="BD43" s="426"/>
      <c r="BE43" s="426"/>
      <c r="BF43" s="426"/>
      <c r="BG43" s="426"/>
      <c r="BH43" s="426"/>
    </row>
    <row r="44" spans="1:60" s="429" customFormat="1" x14ac:dyDescent="0.2">
      <c r="A44" s="433"/>
      <c r="B44" s="113">
        <v>39</v>
      </c>
      <c r="C44" s="432">
        <v>71.75</v>
      </c>
      <c r="D44" s="432">
        <v>72.38</v>
      </c>
      <c r="E44" s="432">
        <v>72.790000000000006</v>
      </c>
      <c r="F44" s="426"/>
      <c r="G44" s="426"/>
      <c r="H44" s="426"/>
      <c r="I44" s="426"/>
      <c r="J44" s="426"/>
      <c r="K44" s="433"/>
      <c r="L44" s="113">
        <v>39</v>
      </c>
      <c r="M44" s="432">
        <v>76.58</v>
      </c>
      <c r="N44" s="432">
        <v>77.33</v>
      </c>
      <c r="O44" s="432">
        <v>77.78</v>
      </c>
      <c r="P44" s="426"/>
      <c r="Q44" s="426"/>
      <c r="R44" s="426"/>
      <c r="S44" s="426"/>
      <c r="T44" s="426"/>
      <c r="U44" s="433"/>
      <c r="V44" s="113">
        <v>39</v>
      </c>
      <c r="W44" s="432">
        <v>81.7</v>
      </c>
      <c r="X44" s="432">
        <v>82.58</v>
      </c>
      <c r="Y44" s="432">
        <v>83.07</v>
      </c>
      <c r="Z44" s="426"/>
      <c r="AA44" s="426"/>
      <c r="AB44" s="426"/>
      <c r="AC44" s="426"/>
      <c r="AD44" s="426"/>
      <c r="AE44" s="433"/>
      <c r="AF44" s="113">
        <v>39</v>
      </c>
      <c r="AG44" s="432">
        <v>87.11</v>
      </c>
      <c r="AH44" s="432">
        <v>88.14</v>
      </c>
      <c r="AI44" s="432">
        <v>88.68</v>
      </c>
      <c r="AJ44" s="426"/>
      <c r="AK44" s="426"/>
      <c r="AL44" s="426"/>
      <c r="AM44" s="426"/>
      <c r="AN44" s="426"/>
      <c r="AO44" s="433"/>
      <c r="AP44" s="113">
        <v>39</v>
      </c>
      <c r="AQ44" s="432">
        <v>92.83</v>
      </c>
      <c r="AR44" s="432">
        <v>94.02</v>
      </c>
      <c r="AS44" s="432">
        <v>94.61</v>
      </c>
      <c r="AT44" s="426"/>
      <c r="AU44" s="426"/>
      <c r="AV44" s="426"/>
      <c r="AW44" s="426"/>
      <c r="AX44" s="426"/>
      <c r="AY44" s="433"/>
      <c r="AZ44" s="113">
        <v>39</v>
      </c>
      <c r="BA44" s="432">
        <v>98.86</v>
      </c>
      <c r="BB44" s="432">
        <v>100.22</v>
      </c>
      <c r="BC44" s="432">
        <v>100.86</v>
      </c>
      <c r="BD44" s="426"/>
      <c r="BE44" s="426"/>
      <c r="BF44" s="426"/>
      <c r="BG44" s="426"/>
      <c r="BH44" s="426"/>
    </row>
    <row r="45" spans="1:60" s="429" customFormat="1" x14ac:dyDescent="0.2">
      <c r="A45" s="433"/>
      <c r="B45" s="113">
        <v>40</v>
      </c>
      <c r="C45" s="432">
        <v>71.989999999999995</v>
      </c>
      <c r="D45" s="432">
        <v>72.63</v>
      </c>
      <c r="E45" s="432">
        <v>73.040000000000006</v>
      </c>
      <c r="F45" s="426"/>
      <c r="G45" s="426"/>
      <c r="H45" s="426"/>
      <c r="I45" s="426"/>
      <c r="J45" s="426"/>
      <c r="K45" s="433"/>
      <c r="L45" s="113">
        <v>40</v>
      </c>
      <c r="M45" s="432">
        <v>76.87</v>
      </c>
      <c r="N45" s="432">
        <v>77.63</v>
      </c>
      <c r="O45" s="432">
        <v>78.08</v>
      </c>
      <c r="P45" s="426"/>
      <c r="Q45" s="426"/>
      <c r="R45" s="426"/>
      <c r="S45" s="426"/>
      <c r="T45" s="426"/>
      <c r="U45" s="433"/>
      <c r="V45" s="113">
        <v>40</v>
      </c>
      <c r="W45" s="432">
        <v>82.03</v>
      </c>
      <c r="X45" s="432">
        <v>82.93</v>
      </c>
      <c r="Y45" s="432">
        <v>83.42</v>
      </c>
      <c r="Z45" s="426"/>
      <c r="AA45" s="426"/>
      <c r="AB45" s="426"/>
      <c r="AC45" s="426"/>
      <c r="AD45" s="426"/>
      <c r="AE45" s="433"/>
      <c r="AF45" s="113">
        <v>40</v>
      </c>
      <c r="AG45" s="432">
        <v>87.5</v>
      </c>
      <c r="AH45" s="432">
        <v>88.54</v>
      </c>
      <c r="AI45" s="432">
        <v>89.08</v>
      </c>
      <c r="AJ45" s="426"/>
      <c r="AK45" s="426"/>
      <c r="AL45" s="426"/>
      <c r="AM45" s="426"/>
      <c r="AN45" s="426"/>
      <c r="AO45" s="433"/>
      <c r="AP45" s="113">
        <v>40</v>
      </c>
      <c r="AQ45" s="432">
        <v>93.27</v>
      </c>
      <c r="AR45" s="432">
        <v>94.48</v>
      </c>
      <c r="AS45" s="432">
        <v>95.07</v>
      </c>
      <c r="AT45" s="426"/>
      <c r="AU45" s="426"/>
      <c r="AV45" s="426"/>
      <c r="AW45" s="426"/>
      <c r="AX45" s="426"/>
      <c r="AY45" s="433"/>
      <c r="AZ45" s="113">
        <v>40</v>
      </c>
      <c r="BA45" s="432">
        <v>99.35</v>
      </c>
      <c r="BB45" s="432">
        <v>100.73</v>
      </c>
      <c r="BC45" s="432">
        <v>101.37</v>
      </c>
      <c r="BD45" s="426"/>
      <c r="BE45" s="426"/>
      <c r="BF45" s="426"/>
      <c r="BG45" s="426"/>
      <c r="BH45" s="426"/>
    </row>
    <row r="46" spans="1:60" s="429" customFormat="1" x14ac:dyDescent="0.2">
      <c r="A46" s="433"/>
      <c r="B46" s="113">
        <v>41</v>
      </c>
      <c r="C46" s="432">
        <v>72.23</v>
      </c>
      <c r="D46" s="432">
        <v>72.88</v>
      </c>
      <c r="E46" s="432">
        <v>73.290000000000006</v>
      </c>
      <c r="F46" s="426"/>
      <c r="G46" s="426"/>
      <c r="H46" s="426"/>
      <c r="I46" s="426"/>
      <c r="J46" s="426"/>
      <c r="K46" s="433"/>
      <c r="L46" s="113">
        <v>41</v>
      </c>
      <c r="M46" s="432">
        <v>77.16</v>
      </c>
      <c r="N46" s="432">
        <v>77.930000000000007</v>
      </c>
      <c r="O46" s="432">
        <v>78.38</v>
      </c>
      <c r="P46" s="426"/>
      <c r="Q46" s="426"/>
      <c r="R46" s="426"/>
      <c r="S46" s="426"/>
      <c r="T46" s="426"/>
      <c r="U46" s="433"/>
      <c r="V46" s="113">
        <v>41</v>
      </c>
      <c r="W46" s="432">
        <v>82.38</v>
      </c>
      <c r="X46" s="432">
        <v>83.28</v>
      </c>
      <c r="Y46" s="432">
        <v>83.78</v>
      </c>
      <c r="Z46" s="426"/>
      <c r="AA46" s="426"/>
      <c r="AB46" s="426"/>
      <c r="AC46" s="426"/>
      <c r="AD46" s="426"/>
      <c r="AE46" s="433"/>
      <c r="AF46" s="113">
        <v>41</v>
      </c>
      <c r="AG46" s="432">
        <v>87.9</v>
      </c>
      <c r="AH46" s="432">
        <v>88.95</v>
      </c>
      <c r="AI46" s="432">
        <v>89.49</v>
      </c>
      <c r="AJ46" s="426"/>
      <c r="AK46" s="426"/>
      <c r="AL46" s="426"/>
      <c r="AM46" s="426"/>
      <c r="AN46" s="426"/>
      <c r="AO46" s="433"/>
      <c r="AP46" s="113">
        <v>41</v>
      </c>
      <c r="AQ46" s="432">
        <v>93.72</v>
      </c>
      <c r="AR46" s="432">
        <v>94.94</v>
      </c>
      <c r="AS46" s="432">
        <v>95.53</v>
      </c>
      <c r="AT46" s="426"/>
      <c r="AU46" s="426"/>
      <c r="AV46" s="426"/>
      <c r="AW46" s="426"/>
      <c r="AX46" s="426"/>
      <c r="AY46" s="433"/>
      <c r="AZ46" s="113">
        <v>41</v>
      </c>
      <c r="BA46" s="432">
        <v>99.85</v>
      </c>
      <c r="BB46" s="432">
        <v>101.24</v>
      </c>
      <c r="BC46" s="432">
        <v>101.89</v>
      </c>
      <c r="BD46" s="426"/>
      <c r="BE46" s="426"/>
      <c r="BF46" s="426"/>
      <c r="BG46" s="426"/>
      <c r="BH46" s="426"/>
    </row>
    <row r="47" spans="1:60" s="429" customFormat="1" x14ac:dyDescent="0.2">
      <c r="A47" s="433"/>
      <c r="B47" s="113">
        <v>42</v>
      </c>
      <c r="C47" s="432">
        <v>72.48</v>
      </c>
      <c r="D47" s="432">
        <v>73.14</v>
      </c>
      <c r="E47" s="432">
        <v>73.55</v>
      </c>
      <c r="F47" s="426"/>
      <c r="G47" s="426"/>
      <c r="H47" s="426"/>
      <c r="I47" s="426"/>
      <c r="J47" s="426"/>
      <c r="K47" s="433"/>
      <c r="L47" s="113">
        <v>42</v>
      </c>
      <c r="M47" s="432">
        <v>77.45</v>
      </c>
      <c r="N47" s="432">
        <v>78.23</v>
      </c>
      <c r="O47" s="432">
        <v>78.69</v>
      </c>
      <c r="P47" s="426"/>
      <c r="Q47" s="426"/>
      <c r="R47" s="426"/>
      <c r="S47" s="426"/>
      <c r="T47" s="426"/>
      <c r="U47" s="433"/>
      <c r="V47" s="113">
        <v>42</v>
      </c>
      <c r="W47" s="432">
        <v>82.72</v>
      </c>
      <c r="X47" s="432">
        <v>83.64</v>
      </c>
      <c r="Y47" s="432">
        <v>84.14</v>
      </c>
      <c r="Z47" s="426"/>
      <c r="AA47" s="426"/>
      <c r="AB47" s="426"/>
      <c r="AC47" s="426"/>
      <c r="AD47" s="426"/>
      <c r="AE47" s="433"/>
      <c r="AF47" s="113">
        <v>42</v>
      </c>
      <c r="AG47" s="432">
        <v>88.29</v>
      </c>
      <c r="AH47" s="432">
        <v>89.36</v>
      </c>
      <c r="AI47" s="432">
        <v>89.91</v>
      </c>
      <c r="AJ47" s="426"/>
      <c r="AK47" s="426"/>
      <c r="AL47" s="426"/>
      <c r="AM47" s="426"/>
      <c r="AN47" s="426"/>
      <c r="AO47" s="433"/>
      <c r="AP47" s="113">
        <v>42</v>
      </c>
      <c r="AQ47" s="432">
        <v>94.17</v>
      </c>
      <c r="AR47" s="432">
        <v>95.4</v>
      </c>
      <c r="AS47" s="432">
        <v>96</v>
      </c>
      <c r="AT47" s="426"/>
      <c r="AU47" s="426"/>
      <c r="AV47" s="426"/>
      <c r="AW47" s="426"/>
      <c r="AX47" s="426"/>
      <c r="AY47" s="433"/>
      <c r="AZ47" s="113">
        <v>42</v>
      </c>
      <c r="BA47" s="432">
        <v>100.35</v>
      </c>
      <c r="BB47" s="432">
        <v>101.76</v>
      </c>
      <c r="BC47" s="432">
        <v>102.42</v>
      </c>
      <c r="BD47" s="426"/>
      <c r="BE47" s="426"/>
      <c r="BF47" s="426"/>
      <c r="BG47" s="426"/>
      <c r="BH47" s="426"/>
    </row>
    <row r="48" spans="1:60" s="429" customFormat="1" x14ac:dyDescent="0.2">
      <c r="A48" s="433"/>
      <c r="B48" s="113">
        <v>43</v>
      </c>
      <c r="C48" s="432">
        <v>72.73</v>
      </c>
      <c r="D48" s="432">
        <v>73.39</v>
      </c>
      <c r="E48" s="432">
        <v>73.81</v>
      </c>
      <c r="F48" s="426"/>
      <c r="G48" s="426"/>
      <c r="H48" s="426"/>
      <c r="I48" s="426"/>
      <c r="J48" s="426"/>
      <c r="K48" s="433"/>
      <c r="L48" s="113">
        <v>43</v>
      </c>
      <c r="M48" s="432">
        <v>77.75</v>
      </c>
      <c r="N48" s="432">
        <v>78.540000000000006</v>
      </c>
      <c r="O48" s="432">
        <v>79</v>
      </c>
      <c r="P48" s="426"/>
      <c r="Q48" s="426"/>
      <c r="R48" s="426"/>
      <c r="S48" s="426"/>
      <c r="T48" s="426"/>
      <c r="U48" s="433"/>
      <c r="V48" s="113">
        <v>43</v>
      </c>
      <c r="W48" s="432">
        <v>83.07</v>
      </c>
      <c r="X48" s="432">
        <v>84</v>
      </c>
      <c r="Y48" s="432">
        <v>84.5</v>
      </c>
      <c r="Z48" s="426"/>
      <c r="AA48" s="426"/>
      <c r="AB48" s="426"/>
      <c r="AC48" s="426"/>
      <c r="AD48" s="426"/>
      <c r="AE48" s="433"/>
      <c r="AF48" s="113">
        <v>43</v>
      </c>
      <c r="AG48" s="432">
        <v>88.69</v>
      </c>
      <c r="AH48" s="432">
        <v>89.77</v>
      </c>
      <c r="AI48" s="432">
        <v>90.33</v>
      </c>
      <c r="AJ48" s="426"/>
      <c r="AK48" s="426"/>
      <c r="AL48" s="426"/>
      <c r="AM48" s="426"/>
      <c r="AN48" s="426"/>
      <c r="AO48" s="433"/>
      <c r="AP48" s="113">
        <v>43</v>
      </c>
      <c r="AQ48" s="432">
        <v>94.62</v>
      </c>
      <c r="AR48" s="432">
        <v>95.87</v>
      </c>
      <c r="AS48" s="432">
        <v>96.47</v>
      </c>
      <c r="AT48" s="426"/>
      <c r="AU48" s="426"/>
      <c r="AV48" s="426"/>
      <c r="AW48" s="426"/>
      <c r="AX48" s="426"/>
      <c r="AY48" s="433"/>
      <c r="AZ48" s="113">
        <v>43</v>
      </c>
      <c r="BA48" s="432">
        <v>100.86</v>
      </c>
      <c r="BB48" s="432">
        <v>102.29</v>
      </c>
      <c r="BC48" s="432">
        <v>102.94</v>
      </c>
      <c r="BD48" s="426"/>
      <c r="BE48" s="426"/>
      <c r="BF48" s="426"/>
      <c r="BG48" s="426"/>
      <c r="BH48" s="426"/>
    </row>
    <row r="49" spans="1:60" s="429" customFormat="1" x14ac:dyDescent="0.2">
      <c r="A49" s="433"/>
      <c r="B49" s="113">
        <v>44</v>
      </c>
      <c r="C49" s="432">
        <v>72.98</v>
      </c>
      <c r="D49" s="432">
        <v>73.650000000000006</v>
      </c>
      <c r="E49" s="432">
        <v>74.069999999999993</v>
      </c>
      <c r="F49" s="426"/>
      <c r="G49" s="426"/>
      <c r="H49" s="426"/>
      <c r="I49" s="426"/>
      <c r="J49" s="426"/>
      <c r="K49" s="433"/>
      <c r="L49" s="113">
        <v>44</v>
      </c>
      <c r="M49" s="432">
        <v>78.05</v>
      </c>
      <c r="N49" s="432">
        <v>78.849999999999994</v>
      </c>
      <c r="O49" s="432">
        <v>79.31</v>
      </c>
      <c r="P49" s="426"/>
      <c r="Q49" s="426"/>
      <c r="R49" s="426"/>
      <c r="S49" s="426"/>
      <c r="T49" s="426"/>
      <c r="U49" s="433"/>
      <c r="V49" s="113">
        <v>44</v>
      </c>
      <c r="W49" s="432">
        <v>83.42</v>
      </c>
      <c r="X49" s="432">
        <v>84.36</v>
      </c>
      <c r="Y49" s="432">
        <v>84.87</v>
      </c>
      <c r="Z49" s="426"/>
      <c r="AA49" s="426"/>
      <c r="AB49" s="426"/>
      <c r="AC49" s="426"/>
      <c r="AD49" s="426"/>
      <c r="AE49" s="433"/>
      <c r="AF49" s="113">
        <v>44</v>
      </c>
      <c r="AG49" s="432">
        <v>89.09</v>
      </c>
      <c r="AH49" s="432">
        <v>90.19</v>
      </c>
      <c r="AI49" s="432">
        <v>90.75</v>
      </c>
      <c r="AJ49" s="426"/>
      <c r="AK49" s="426"/>
      <c r="AL49" s="426"/>
      <c r="AM49" s="426"/>
      <c r="AN49" s="426"/>
      <c r="AO49" s="433"/>
      <c r="AP49" s="113">
        <v>44</v>
      </c>
      <c r="AQ49" s="432">
        <v>95.07</v>
      </c>
      <c r="AR49" s="432">
        <v>96.34</v>
      </c>
      <c r="AS49" s="432">
        <v>96.95</v>
      </c>
      <c r="AT49" s="426"/>
      <c r="AU49" s="426"/>
      <c r="AV49" s="426"/>
      <c r="AW49" s="426"/>
      <c r="AX49" s="426"/>
      <c r="AY49" s="433"/>
      <c r="AZ49" s="113">
        <v>44</v>
      </c>
      <c r="BA49" s="432">
        <v>101.37</v>
      </c>
      <c r="BB49" s="432">
        <v>102.81</v>
      </c>
      <c r="BC49" s="432">
        <v>103.48</v>
      </c>
      <c r="BD49" s="426"/>
      <c r="BE49" s="426"/>
      <c r="BF49" s="426"/>
      <c r="BG49" s="426"/>
      <c r="BH49" s="426"/>
    </row>
    <row r="50" spans="1:60" s="429" customFormat="1" x14ac:dyDescent="0.2">
      <c r="A50" s="433"/>
      <c r="B50" s="113">
        <v>45</v>
      </c>
      <c r="C50" s="432">
        <v>73.23</v>
      </c>
      <c r="D50" s="432">
        <v>73.91</v>
      </c>
      <c r="E50" s="432">
        <v>74.33</v>
      </c>
      <c r="F50" s="426"/>
      <c r="G50" s="426"/>
      <c r="H50" s="426"/>
      <c r="I50" s="426"/>
      <c r="J50" s="426"/>
      <c r="K50" s="433"/>
      <c r="L50" s="113">
        <v>45</v>
      </c>
      <c r="M50" s="432">
        <v>78.349999999999994</v>
      </c>
      <c r="N50" s="432">
        <v>79.16</v>
      </c>
      <c r="O50" s="432">
        <v>79.63</v>
      </c>
      <c r="P50" s="426"/>
      <c r="Q50" s="426"/>
      <c r="R50" s="426"/>
      <c r="S50" s="426"/>
      <c r="T50" s="426"/>
      <c r="U50" s="433"/>
      <c r="V50" s="113">
        <v>45</v>
      </c>
      <c r="W50" s="432">
        <v>83.77</v>
      </c>
      <c r="X50" s="432">
        <v>84.72</v>
      </c>
      <c r="Y50" s="432">
        <v>85.24</v>
      </c>
      <c r="Z50" s="426"/>
      <c r="AA50" s="426"/>
      <c r="AB50" s="426"/>
      <c r="AC50" s="426"/>
      <c r="AD50" s="426"/>
      <c r="AE50" s="433"/>
      <c r="AF50" s="113">
        <v>45</v>
      </c>
      <c r="AG50" s="432">
        <v>89.49</v>
      </c>
      <c r="AH50" s="432">
        <v>90.61</v>
      </c>
      <c r="AI50" s="432">
        <v>91.17</v>
      </c>
      <c r="AJ50" s="426"/>
      <c r="AK50" s="426"/>
      <c r="AL50" s="426"/>
      <c r="AM50" s="426"/>
      <c r="AN50" s="426"/>
      <c r="AO50" s="433"/>
      <c r="AP50" s="113">
        <v>45</v>
      </c>
      <c r="AQ50" s="432">
        <v>95.53</v>
      </c>
      <c r="AR50" s="432">
        <v>96.81</v>
      </c>
      <c r="AS50" s="432">
        <v>97.42</v>
      </c>
      <c r="AT50" s="426"/>
      <c r="AU50" s="426"/>
      <c r="AV50" s="426"/>
      <c r="AW50" s="426"/>
      <c r="AX50" s="426"/>
      <c r="AY50" s="433"/>
      <c r="AZ50" s="113">
        <v>45</v>
      </c>
      <c r="BA50" s="432">
        <v>101.88</v>
      </c>
      <c r="BB50" s="432">
        <v>103.35</v>
      </c>
      <c r="BC50" s="432">
        <v>104.02</v>
      </c>
      <c r="BD50" s="426"/>
      <c r="BE50" s="426"/>
      <c r="BF50" s="426"/>
      <c r="BG50" s="426"/>
      <c r="BH50" s="426"/>
    </row>
    <row r="51" spans="1:60" s="429" customFormat="1" x14ac:dyDescent="0.2">
      <c r="A51" s="433"/>
      <c r="B51" s="113">
        <v>46</v>
      </c>
      <c r="C51" s="432">
        <v>73.48</v>
      </c>
      <c r="D51" s="432">
        <v>74.17</v>
      </c>
      <c r="E51" s="432">
        <v>74.599999999999994</v>
      </c>
      <c r="F51" s="426"/>
      <c r="G51" s="426"/>
      <c r="H51" s="426"/>
      <c r="I51" s="426"/>
      <c r="J51" s="426"/>
      <c r="K51" s="433"/>
      <c r="L51" s="113">
        <v>46</v>
      </c>
      <c r="M51" s="432">
        <v>78.650000000000006</v>
      </c>
      <c r="N51" s="432">
        <v>79.47</v>
      </c>
      <c r="O51" s="432">
        <v>79.94</v>
      </c>
      <c r="P51" s="426"/>
      <c r="Q51" s="426"/>
      <c r="R51" s="426"/>
      <c r="S51" s="426"/>
      <c r="T51" s="426"/>
      <c r="U51" s="433"/>
      <c r="V51" s="113">
        <v>46</v>
      </c>
      <c r="W51" s="432">
        <v>84.12</v>
      </c>
      <c r="X51" s="432">
        <v>85.09</v>
      </c>
      <c r="Y51" s="432">
        <v>85.6</v>
      </c>
      <c r="Z51" s="426"/>
      <c r="AA51" s="426"/>
      <c r="AB51" s="426"/>
      <c r="AC51" s="426"/>
      <c r="AD51" s="426"/>
      <c r="AE51" s="433"/>
      <c r="AF51" s="113">
        <v>46</v>
      </c>
      <c r="AG51" s="432">
        <v>89.9</v>
      </c>
      <c r="AH51" s="432">
        <v>91.03</v>
      </c>
      <c r="AI51" s="432">
        <v>91.59</v>
      </c>
      <c r="AJ51" s="426"/>
      <c r="AK51" s="426"/>
      <c r="AL51" s="426"/>
      <c r="AM51" s="426"/>
      <c r="AN51" s="426"/>
      <c r="AO51" s="433"/>
      <c r="AP51" s="113">
        <v>46</v>
      </c>
      <c r="AQ51" s="432">
        <v>95.99</v>
      </c>
      <c r="AR51" s="432">
        <v>97.29</v>
      </c>
      <c r="AS51" s="432">
        <v>97.91</v>
      </c>
      <c r="AT51" s="426"/>
      <c r="AU51" s="426"/>
      <c r="AV51" s="426"/>
      <c r="AW51" s="426"/>
      <c r="AX51" s="426"/>
      <c r="AY51" s="433"/>
      <c r="AZ51" s="113">
        <v>46</v>
      </c>
      <c r="BA51" s="432">
        <v>102.41</v>
      </c>
      <c r="BB51" s="432">
        <v>103.9</v>
      </c>
      <c r="BC51" s="432">
        <v>104.57</v>
      </c>
      <c r="BD51" s="426"/>
      <c r="BE51" s="426"/>
      <c r="BF51" s="426"/>
      <c r="BG51" s="426"/>
      <c r="BH51" s="426"/>
    </row>
    <row r="52" spans="1:60" s="429" customFormat="1" x14ac:dyDescent="0.2">
      <c r="A52" s="433"/>
      <c r="B52" s="113">
        <v>47</v>
      </c>
      <c r="C52" s="432">
        <v>73.73</v>
      </c>
      <c r="D52" s="432">
        <v>74.430000000000007</v>
      </c>
      <c r="E52" s="432">
        <v>74.86</v>
      </c>
      <c r="F52" s="426"/>
      <c r="G52" s="426"/>
      <c r="H52" s="426"/>
      <c r="I52" s="426"/>
      <c r="J52" s="426"/>
      <c r="K52" s="433"/>
      <c r="L52" s="113">
        <v>47</v>
      </c>
      <c r="M52" s="432">
        <v>78.95</v>
      </c>
      <c r="N52" s="432">
        <v>79.78</v>
      </c>
      <c r="O52" s="432">
        <v>80.260000000000005</v>
      </c>
      <c r="P52" s="426"/>
      <c r="Q52" s="426"/>
      <c r="R52" s="426"/>
      <c r="S52" s="426"/>
      <c r="T52" s="426"/>
      <c r="U52" s="433"/>
      <c r="V52" s="113">
        <v>47</v>
      </c>
      <c r="W52" s="432">
        <v>84.47</v>
      </c>
      <c r="X52" s="432">
        <v>85.46</v>
      </c>
      <c r="Y52" s="432">
        <v>85.98</v>
      </c>
      <c r="Z52" s="426"/>
      <c r="AA52" s="426"/>
      <c r="AB52" s="426"/>
      <c r="AC52" s="426"/>
      <c r="AD52" s="426"/>
      <c r="AE52" s="433"/>
      <c r="AF52" s="113">
        <v>47</v>
      </c>
      <c r="AG52" s="432">
        <v>90.31</v>
      </c>
      <c r="AH52" s="432">
        <v>91.45</v>
      </c>
      <c r="AI52" s="432">
        <v>92.02</v>
      </c>
      <c r="AJ52" s="426"/>
      <c r="AK52" s="426"/>
      <c r="AL52" s="426"/>
      <c r="AM52" s="426"/>
      <c r="AN52" s="426"/>
      <c r="AO52" s="433"/>
      <c r="AP52" s="113">
        <v>47</v>
      </c>
      <c r="AQ52" s="432">
        <v>96.47</v>
      </c>
      <c r="AR52" s="432">
        <v>97.79</v>
      </c>
      <c r="AS52" s="432">
        <v>98.41</v>
      </c>
      <c r="AT52" s="426"/>
      <c r="AU52" s="426"/>
      <c r="AV52" s="426"/>
      <c r="AW52" s="426"/>
      <c r="AX52" s="426"/>
      <c r="AY52" s="433"/>
      <c r="AZ52" s="113">
        <v>47</v>
      </c>
      <c r="BA52" s="432">
        <v>102.94</v>
      </c>
      <c r="BB52" s="432">
        <v>104.45</v>
      </c>
      <c r="BC52" s="432">
        <v>105.12</v>
      </c>
      <c r="BD52" s="426"/>
      <c r="BE52" s="426"/>
      <c r="BF52" s="426"/>
      <c r="BG52" s="426"/>
      <c r="BH52" s="426"/>
    </row>
    <row r="53" spans="1:60" s="429" customFormat="1" x14ac:dyDescent="0.2">
      <c r="A53" s="433"/>
      <c r="B53" s="113">
        <v>48</v>
      </c>
      <c r="C53" s="432">
        <v>73.98</v>
      </c>
      <c r="D53" s="432">
        <v>74.680000000000007</v>
      </c>
      <c r="E53" s="432">
        <v>75.12</v>
      </c>
      <c r="F53" s="426"/>
      <c r="G53" s="426"/>
      <c r="H53" s="426"/>
      <c r="I53" s="426"/>
      <c r="J53" s="426"/>
      <c r="K53" s="433"/>
      <c r="L53" s="113">
        <v>48</v>
      </c>
      <c r="M53" s="432">
        <v>79.25</v>
      </c>
      <c r="N53" s="432">
        <v>80.099999999999994</v>
      </c>
      <c r="O53" s="432">
        <v>80.569999999999993</v>
      </c>
      <c r="P53" s="426"/>
      <c r="Q53" s="426"/>
      <c r="R53" s="426"/>
      <c r="S53" s="426"/>
      <c r="T53" s="426"/>
      <c r="U53" s="433"/>
      <c r="V53" s="113">
        <v>48</v>
      </c>
      <c r="W53" s="432">
        <v>84.83</v>
      </c>
      <c r="X53" s="432">
        <v>85.83</v>
      </c>
      <c r="Y53" s="432">
        <v>86.35</v>
      </c>
      <c r="Z53" s="426"/>
      <c r="AA53" s="426"/>
      <c r="AB53" s="426"/>
      <c r="AC53" s="426"/>
      <c r="AD53" s="426"/>
      <c r="AE53" s="433"/>
      <c r="AF53" s="113">
        <v>48</v>
      </c>
      <c r="AG53" s="432">
        <v>90.73</v>
      </c>
      <c r="AH53" s="432">
        <v>91.89</v>
      </c>
      <c r="AI53" s="432">
        <v>92.46</v>
      </c>
      <c r="AJ53" s="426"/>
      <c r="AK53" s="426"/>
      <c r="AL53" s="426"/>
      <c r="AM53" s="426"/>
      <c r="AN53" s="426"/>
      <c r="AO53" s="433"/>
      <c r="AP53" s="113">
        <v>48</v>
      </c>
      <c r="AQ53" s="432">
        <v>96.95</v>
      </c>
      <c r="AR53" s="432">
        <v>98.29</v>
      </c>
      <c r="AS53" s="432">
        <v>98.91</v>
      </c>
      <c r="AT53" s="426"/>
      <c r="AU53" s="426"/>
      <c r="AV53" s="426"/>
      <c r="AW53" s="426"/>
      <c r="AX53" s="426"/>
      <c r="AY53" s="433"/>
      <c r="AZ53" s="113">
        <v>48</v>
      </c>
      <c r="BA53" s="432">
        <v>103.48</v>
      </c>
      <c r="BB53" s="432">
        <v>105.01</v>
      </c>
      <c r="BC53" s="432">
        <v>105.69</v>
      </c>
      <c r="BD53" s="426"/>
      <c r="BE53" s="426"/>
      <c r="BF53" s="426"/>
      <c r="BG53" s="426"/>
      <c r="BH53" s="426"/>
    </row>
    <row r="54" spans="1:60" s="429" customFormat="1" x14ac:dyDescent="0.2">
      <c r="A54" s="433"/>
      <c r="B54" s="113">
        <v>49</v>
      </c>
      <c r="C54" s="432">
        <v>74.22</v>
      </c>
      <c r="D54" s="432">
        <v>74.94</v>
      </c>
      <c r="E54" s="432">
        <v>75.38</v>
      </c>
      <c r="F54" s="426"/>
      <c r="G54" s="426"/>
      <c r="H54" s="426"/>
      <c r="I54" s="426"/>
      <c r="J54" s="426"/>
      <c r="K54" s="433"/>
      <c r="L54" s="113">
        <v>49</v>
      </c>
      <c r="M54" s="432">
        <v>79.55</v>
      </c>
      <c r="N54" s="432">
        <v>80.41</v>
      </c>
      <c r="O54" s="432">
        <v>80.89</v>
      </c>
      <c r="P54" s="426"/>
      <c r="Q54" s="426"/>
      <c r="R54" s="426"/>
      <c r="S54" s="426"/>
      <c r="T54" s="426"/>
      <c r="U54" s="433"/>
      <c r="V54" s="113">
        <v>49</v>
      </c>
      <c r="W54" s="432">
        <v>85.2</v>
      </c>
      <c r="X54" s="432">
        <v>86.21</v>
      </c>
      <c r="Y54" s="432">
        <v>86.73</v>
      </c>
      <c r="Z54" s="426"/>
      <c r="AA54" s="426"/>
      <c r="AB54" s="426"/>
      <c r="AC54" s="426"/>
      <c r="AD54" s="426"/>
      <c r="AE54" s="433"/>
      <c r="AF54" s="113">
        <v>49</v>
      </c>
      <c r="AG54" s="432">
        <v>91.16</v>
      </c>
      <c r="AH54" s="432">
        <v>92.34</v>
      </c>
      <c r="AI54" s="432">
        <v>92.91</v>
      </c>
      <c r="AJ54" s="426"/>
      <c r="AK54" s="426"/>
      <c r="AL54" s="426"/>
      <c r="AM54" s="426"/>
      <c r="AN54" s="426"/>
      <c r="AO54" s="433"/>
      <c r="AP54" s="113">
        <v>49</v>
      </c>
      <c r="AQ54" s="432">
        <v>97.44</v>
      </c>
      <c r="AR54" s="432">
        <v>98.8</v>
      </c>
      <c r="AS54" s="432">
        <v>99.43</v>
      </c>
      <c r="AT54" s="426"/>
      <c r="AU54" s="426"/>
      <c r="AV54" s="426"/>
      <c r="AW54" s="426"/>
      <c r="AX54" s="426"/>
      <c r="AY54" s="433"/>
      <c r="AZ54" s="113">
        <v>49</v>
      </c>
      <c r="BA54" s="432">
        <v>104.03</v>
      </c>
      <c r="BB54" s="432">
        <v>105.58</v>
      </c>
      <c r="BC54" s="432">
        <v>106.27</v>
      </c>
      <c r="BD54" s="426"/>
      <c r="BE54" s="426"/>
      <c r="BF54" s="426"/>
      <c r="BG54" s="426"/>
      <c r="BH54" s="426"/>
    </row>
    <row r="55" spans="1:60" s="429" customFormat="1" x14ac:dyDescent="0.2">
      <c r="A55" s="433"/>
      <c r="B55" s="113">
        <v>50</v>
      </c>
      <c r="C55" s="432">
        <v>74.48</v>
      </c>
      <c r="D55" s="432">
        <v>75.2</v>
      </c>
      <c r="E55" s="432">
        <v>75.64</v>
      </c>
      <c r="F55" s="426"/>
      <c r="G55" s="426"/>
      <c r="H55" s="426"/>
      <c r="I55" s="434"/>
      <c r="J55" s="435"/>
      <c r="K55" s="433"/>
      <c r="L55" s="113">
        <v>50</v>
      </c>
      <c r="M55" s="432">
        <v>79.86</v>
      </c>
      <c r="N55" s="432">
        <v>80.73</v>
      </c>
      <c r="O55" s="432">
        <v>81.22</v>
      </c>
      <c r="P55" s="426"/>
      <c r="Q55" s="426"/>
      <c r="R55" s="426"/>
      <c r="S55" s="434"/>
      <c r="T55" s="435"/>
      <c r="U55" s="433"/>
      <c r="V55" s="113">
        <v>50</v>
      </c>
      <c r="W55" s="432">
        <v>85.57</v>
      </c>
      <c r="X55" s="432">
        <v>86.6</v>
      </c>
      <c r="Y55" s="432">
        <v>87.13</v>
      </c>
      <c r="Z55" s="426"/>
      <c r="AA55" s="426"/>
      <c r="AB55" s="426"/>
      <c r="AC55" s="434"/>
      <c r="AD55" s="435"/>
      <c r="AE55" s="433"/>
      <c r="AF55" s="113">
        <v>50</v>
      </c>
      <c r="AG55" s="432">
        <v>91.6</v>
      </c>
      <c r="AH55" s="432">
        <v>92.8</v>
      </c>
      <c r="AI55" s="432">
        <v>93.38</v>
      </c>
      <c r="AJ55" s="426"/>
      <c r="AK55" s="426"/>
      <c r="AL55" s="426"/>
      <c r="AM55" s="434"/>
      <c r="AN55" s="435"/>
      <c r="AO55" s="433"/>
      <c r="AP55" s="113">
        <v>50</v>
      </c>
      <c r="AQ55" s="432">
        <v>97.95</v>
      </c>
      <c r="AR55" s="432">
        <v>99.33</v>
      </c>
      <c r="AS55" s="432">
        <v>99.96</v>
      </c>
      <c r="AT55" s="426"/>
      <c r="AU55" s="426"/>
      <c r="AV55" s="426"/>
      <c r="AW55" s="434"/>
      <c r="AX55" s="435"/>
      <c r="AY55" s="433"/>
      <c r="AZ55" s="113">
        <v>50</v>
      </c>
      <c r="BA55" s="432">
        <v>104.58</v>
      </c>
      <c r="BB55" s="432">
        <v>106.17</v>
      </c>
      <c r="BC55" s="432">
        <v>106.85</v>
      </c>
      <c r="BD55" s="426"/>
      <c r="BE55" s="426"/>
      <c r="BF55" s="426"/>
      <c r="BG55" s="434"/>
      <c r="BH55" s="435"/>
    </row>
    <row r="56" spans="1:60" s="429" customFormat="1" x14ac:dyDescent="0.2">
      <c r="A56" s="426"/>
      <c r="B56" s="113">
        <v>51</v>
      </c>
      <c r="C56" s="432">
        <v>74.73</v>
      </c>
      <c r="D56" s="432">
        <v>75.47</v>
      </c>
      <c r="E56" s="432">
        <v>75.91</v>
      </c>
      <c r="F56" s="426"/>
      <c r="G56" s="426"/>
      <c r="H56" s="426"/>
      <c r="I56" s="426"/>
      <c r="J56" s="436"/>
      <c r="K56" s="426"/>
      <c r="L56" s="113">
        <v>51</v>
      </c>
      <c r="M56" s="432">
        <v>80.180000000000007</v>
      </c>
      <c r="N56" s="432">
        <v>81.06</v>
      </c>
      <c r="O56" s="432">
        <v>81.55</v>
      </c>
      <c r="P56" s="426"/>
      <c r="Q56" s="426"/>
      <c r="R56" s="426"/>
      <c r="S56" s="426"/>
      <c r="T56" s="436"/>
      <c r="U56" s="426"/>
      <c r="V56" s="113">
        <v>51</v>
      </c>
      <c r="W56" s="432">
        <v>85.95</v>
      </c>
      <c r="X56" s="432">
        <v>87</v>
      </c>
      <c r="Y56" s="432">
        <v>87.53</v>
      </c>
      <c r="Z56" s="426"/>
      <c r="AA56" s="426"/>
      <c r="AB56" s="426"/>
      <c r="AC56" s="426"/>
      <c r="AD56" s="436"/>
      <c r="AE56" s="426"/>
      <c r="AF56" s="113">
        <v>51</v>
      </c>
      <c r="AG56" s="432">
        <v>92.05</v>
      </c>
      <c r="AH56" s="432">
        <v>93.27</v>
      </c>
      <c r="AI56" s="432">
        <v>93.85</v>
      </c>
      <c r="AJ56" s="426"/>
      <c r="AK56" s="426"/>
      <c r="AL56" s="426"/>
      <c r="AM56" s="426"/>
      <c r="AN56" s="436"/>
      <c r="AO56" s="426"/>
      <c r="AP56" s="113">
        <v>51</v>
      </c>
      <c r="AQ56" s="432">
        <v>98.46</v>
      </c>
      <c r="AR56" s="432">
        <v>99.87</v>
      </c>
      <c r="AS56" s="432">
        <v>100.5</v>
      </c>
      <c r="AT56" s="426"/>
      <c r="AU56" s="426"/>
      <c r="AV56" s="426"/>
      <c r="AW56" s="426"/>
      <c r="AX56" s="436"/>
      <c r="AY56" s="426"/>
      <c r="AZ56" s="113">
        <v>51</v>
      </c>
      <c r="BA56" s="432">
        <v>105.15</v>
      </c>
      <c r="BB56" s="432">
        <v>106.75</v>
      </c>
      <c r="BC56" s="432">
        <v>107.44</v>
      </c>
      <c r="BD56" s="426"/>
      <c r="BE56" s="426"/>
      <c r="BF56" s="426"/>
      <c r="BG56" s="426"/>
      <c r="BH56" s="436"/>
    </row>
    <row r="57" spans="1:60" s="429" customFormat="1" x14ac:dyDescent="0.2">
      <c r="A57" s="426"/>
      <c r="B57" s="113">
        <v>52</v>
      </c>
      <c r="C57" s="432">
        <v>74.989999999999995</v>
      </c>
      <c r="D57" s="432">
        <v>75.739999999999995</v>
      </c>
      <c r="E57" s="432">
        <v>76.180000000000007</v>
      </c>
      <c r="F57" s="426"/>
      <c r="G57" s="426"/>
      <c r="H57" s="426"/>
      <c r="I57" s="426"/>
      <c r="J57" s="426"/>
      <c r="K57" s="426"/>
      <c r="L57" s="113">
        <v>52</v>
      </c>
      <c r="M57" s="432">
        <v>80.5</v>
      </c>
      <c r="N57" s="432">
        <v>81.400000000000006</v>
      </c>
      <c r="O57" s="432">
        <v>81.89</v>
      </c>
      <c r="P57" s="426"/>
      <c r="Q57" s="426"/>
      <c r="R57" s="426"/>
      <c r="S57" s="426"/>
      <c r="T57" s="426"/>
      <c r="U57" s="426"/>
      <c r="V57" s="113">
        <v>52</v>
      </c>
      <c r="W57" s="432">
        <v>86.35</v>
      </c>
      <c r="X57" s="432">
        <v>87.41</v>
      </c>
      <c r="Y57" s="432">
        <v>87.95</v>
      </c>
      <c r="Z57" s="426"/>
      <c r="AA57" s="426"/>
      <c r="AB57" s="426"/>
      <c r="AC57" s="426"/>
      <c r="AD57" s="426"/>
      <c r="AE57" s="426"/>
      <c r="AF57" s="113">
        <v>52</v>
      </c>
      <c r="AG57" s="432">
        <v>92.52</v>
      </c>
      <c r="AH57" s="432">
        <v>93.76</v>
      </c>
      <c r="AI57" s="432">
        <v>94.35</v>
      </c>
      <c r="AJ57" s="426"/>
      <c r="AK57" s="426"/>
      <c r="AL57" s="426"/>
      <c r="AM57" s="426"/>
      <c r="AN57" s="426"/>
      <c r="AO57" s="426"/>
      <c r="AP57" s="113">
        <v>52</v>
      </c>
      <c r="AQ57" s="432">
        <v>98.99</v>
      </c>
      <c r="AR57" s="432">
        <v>100.42</v>
      </c>
      <c r="AS57" s="432">
        <v>101.06</v>
      </c>
      <c r="AT57" s="426"/>
      <c r="AU57" s="426"/>
      <c r="AV57" s="426"/>
      <c r="AW57" s="426"/>
      <c r="AX57" s="426"/>
      <c r="AY57" s="426"/>
      <c r="AZ57" s="113">
        <v>52</v>
      </c>
      <c r="BA57" s="432">
        <v>105.71</v>
      </c>
      <c r="BB57" s="432">
        <v>107.34</v>
      </c>
      <c r="BC57" s="432">
        <v>108.04</v>
      </c>
      <c r="BD57" s="426"/>
      <c r="BE57" s="426"/>
      <c r="BF57" s="426"/>
      <c r="BG57" s="426"/>
      <c r="BH57" s="426"/>
    </row>
    <row r="58" spans="1:60" s="429" customFormat="1" x14ac:dyDescent="0.2">
      <c r="A58" s="426"/>
      <c r="B58" s="113">
        <v>53</v>
      </c>
      <c r="C58" s="432">
        <v>75.25</v>
      </c>
      <c r="D58" s="432">
        <v>76.010000000000005</v>
      </c>
      <c r="E58" s="432">
        <v>76.459999999999994</v>
      </c>
      <c r="F58" s="426"/>
      <c r="G58" s="426"/>
      <c r="H58" s="426"/>
      <c r="I58" s="426"/>
      <c r="J58" s="426"/>
      <c r="K58" s="426"/>
      <c r="L58" s="113">
        <v>53</v>
      </c>
      <c r="M58" s="432">
        <v>80.84</v>
      </c>
      <c r="N58" s="432">
        <v>81.760000000000005</v>
      </c>
      <c r="O58" s="432">
        <v>82.25</v>
      </c>
      <c r="P58" s="426"/>
      <c r="Q58" s="426"/>
      <c r="R58" s="426"/>
      <c r="S58" s="426"/>
      <c r="T58" s="426"/>
      <c r="U58" s="426"/>
      <c r="V58" s="113">
        <v>53</v>
      </c>
      <c r="W58" s="432">
        <v>86.77</v>
      </c>
      <c r="X58" s="432">
        <v>87.85</v>
      </c>
      <c r="Y58" s="432">
        <v>88.39</v>
      </c>
      <c r="Z58" s="426"/>
      <c r="AA58" s="426"/>
      <c r="AB58" s="426"/>
      <c r="AC58" s="426"/>
      <c r="AD58" s="426"/>
      <c r="AE58" s="426"/>
      <c r="AF58" s="113">
        <v>53</v>
      </c>
      <c r="AG58" s="432">
        <v>93.01</v>
      </c>
      <c r="AH58" s="432">
        <v>94.26</v>
      </c>
      <c r="AI58" s="432">
        <v>94.86</v>
      </c>
      <c r="AJ58" s="426"/>
      <c r="AK58" s="426"/>
      <c r="AL58" s="426"/>
      <c r="AM58" s="426"/>
      <c r="AN58" s="426"/>
      <c r="AO58" s="426"/>
      <c r="AP58" s="113">
        <v>53</v>
      </c>
      <c r="AQ58" s="432">
        <v>99.53</v>
      </c>
      <c r="AR58" s="432">
        <v>100.98</v>
      </c>
      <c r="AS58" s="432">
        <v>101.62</v>
      </c>
      <c r="AT58" s="426"/>
      <c r="AU58" s="426"/>
      <c r="AV58" s="426"/>
      <c r="AW58" s="426"/>
      <c r="AX58" s="426"/>
      <c r="AY58" s="426"/>
      <c r="AZ58" s="113">
        <v>53</v>
      </c>
      <c r="BA58" s="432">
        <v>106.27</v>
      </c>
      <c r="BB58" s="432">
        <v>107.93</v>
      </c>
      <c r="BC58" s="432">
        <v>108.62</v>
      </c>
      <c r="BD58" s="426"/>
      <c r="BE58" s="426"/>
      <c r="BF58" s="426"/>
      <c r="BG58" s="426"/>
      <c r="BH58" s="426"/>
    </row>
    <row r="59" spans="1:60" s="429" customFormat="1" x14ac:dyDescent="0.2">
      <c r="A59" s="426"/>
      <c r="B59" s="113">
        <v>54</v>
      </c>
      <c r="C59" s="432">
        <v>75.52</v>
      </c>
      <c r="D59" s="432">
        <v>76.3</v>
      </c>
      <c r="E59" s="432">
        <v>76.75</v>
      </c>
      <c r="F59" s="426"/>
      <c r="G59" s="426"/>
      <c r="H59" s="426"/>
      <c r="I59" s="426"/>
      <c r="J59" s="426"/>
      <c r="K59" s="426"/>
      <c r="L59" s="113">
        <v>54</v>
      </c>
      <c r="M59" s="432">
        <v>81.19</v>
      </c>
      <c r="N59" s="432">
        <v>82.12</v>
      </c>
      <c r="O59" s="432">
        <v>82.62</v>
      </c>
      <c r="P59" s="426"/>
      <c r="Q59" s="426"/>
      <c r="R59" s="426"/>
      <c r="S59" s="426"/>
      <c r="T59" s="426"/>
      <c r="U59" s="426"/>
      <c r="V59" s="113">
        <v>54</v>
      </c>
      <c r="W59" s="432">
        <v>87.19</v>
      </c>
      <c r="X59" s="432">
        <v>88.29</v>
      </c>
      <c r="Y59" s="432">
        <v>88.84</v>
      </c>
      <c r="Z59" s="426"/>
      <c r="AA59" s="426"/>
      <c r="AB59" s="426"/>
      <c r="AC59" s="426"/>
      <c r="AD59" s="426"/>
      <c r="AE59" s="426"/>
      <c r="AF59" s="113">
        <v>54</v>
      </c>
      <c r="AG59" s="432">
        <v>93.5</v>
      </c>
      <c r="AH59" s="432">
        <v>94.78</v>
      </c>
      <c r="AI59" s="432">
        <v>95.38</v>
      </c>
      <c r="AJ59" s="426"/>
      <c r="AK59" s="426"/>
      <c r="AL59" s="426"/>
      <c r="AM59" s="426"/>
      <c r="AN59" s="426"/>
      <c r="AO59" s="426"/>
      <c r="AP59" s="113">
        <v>54</v>
      </c>
      <c r="AQ59" s="432">
        <v>100.06</v>
      </c>
      <c r="AR59" s="432">
        <v>101.54</v>
      </c>
      <c r="AS59" s="432">
        <v>102.19</v>
      </c>
      <c r="AT59" s="426"/>
      <c r="AU59" s="426"/>
      <c r="AV59" s="426"/>
      <c r="AW59" s="426"/>
      <c r="AX59" s="426"/>
      <c r="AY59" s="426"/>
      <c r="AZ59" s="113">
        <v>54</v>
      </c>
      <c r="BA59" s="432">
        <v>106.8</v>
      </c>
      <c r="BB59" s="432">
        <v>108.49</v>
      </c>
      <c r="BC59" s="432">
        <v>109.19</v>
      </c>
      <c r="BD59" s="426"/>
      <c r="BE59" s="426"/>
      <c r="BF59" s="426"/>
      <c r="BG59" s="426"/>
      <c r="BH59" s="426"/>
    </row>
    <row r="60" spans="1:60" s="429" customFormat="1" x14ac:dyDescent="0.2">
      <c r="A60" s="426"/>
      <c r="B60" s="113">
        <v>55</v>
      </c>
      <c r="C60" s="432">
        <v>75.81</v>
      </c>
      <c r="D60" s="432">
        <v>76.599999999999994</v>
      </c>
      <c r="E60" s="432">
        <v>77.05</v>
      </c>
      <c r="F60" s="426"/>
      <c r="G60" s="426"/>
      <c r="H60" s="426"/>
      <c r="I60" s="426"/>
      <c r="J60" s="426"/>
      <c r="K60" s="426"/>
      <c r="L60" s="113">
        <v>55</v>
      </c>
      <c r="M60" s="432">
        <v>81.56</v>
      </c>
      <c r="N60" s="432">
        <v>82.51</v>
      </c>
      <c r="O60" s="432">
        <v>83.01</v>
      </c>
      <c r="P60" s="426"/>
      <c r="Q60" s="426"/>
      <c r="R60" s="426"/>
      <c r="S60" s="426"/>
      <c r="T60" s="426"/>
      <c r="U60" s="426"/>
      <c r="V60" s="113">
        <v>55</v>
      </c>
      <c r="W60" s="432">
        <v>87.63</v>
      </c>
      <c r="X60" s="432">
        <v>88.75</v>
      </c>
      <c r="Y60" s="432">
        <v>89.3</v>
      </c>
      <c r="Z60" s="426"/>
      <c r="AA60" s="426"/>
      <c r="AB60" s="426"/>
      <c r="AC60" s="426"/>
      <c r="AD60" s="426"/>
      <c r="AE60" s="426"/>
      <c r="AF60" s="113">
        <v>55</v>
      </c>
      <c r="AG60" s="432">
        <v>94</v>
      </c>
      <c r="AH60" s="432">
        <v>95.3</v>
      </c>
      <c r="AI60" s="432">
        <v>95.9</v>
      </c>
      <c r="AJ60" s="426"/>
      <c r="AK60" s="426"/>
      <c r="AL60" s="426"/>
      <c r="AM60" s="426"/>
      <c r="AN60" s="426"/>
      <c r="AO60" s="426"/>
      <c r="AP60" s="113">
        <v>55</v>
      </c>
      <c r="AQ60" s="432">
        <v>100.58</v>
      </c>
      <c r="AR60" s="432">
        <v>102.09</v>
      </c>
      <c r="AS60" s="432">
        <v>102.74</v>
      </c>
      <c r="AT60" s="426"/>
      <c r="AU60" s="426"/>
      <c r="AV60" s="426"/>
      <c r="AW60" s="426"/>
      <c r="AX60" s="426"/>
      <c r="AY60" s="426"/>
      <c r="AZ60" s="113">
        <v>55</v>
      </c>
      <c r="BA60" s="432">
        <v>107.31</v>
      </c>
      <c r="BB60" s="432">
        <v>109.02</v>
      </c>
      <c r="BC60" s="432">
        <v>109.73</v>
      </c>
      <c r="BD60" s="426"/>
      <c r="BE60" s="426"/>
      <c r="BF60" s="426"/>
      <c r="BG60" s="426"/>
      <c r="BH60" s="426"/>
    </row>
    <row r="61" spans="1:60" s="429" customFormat="1" x14ac:dyDescent="0.2">
      <c r="A61" s="426"/>
      <c r="B61" s="113">
        <v>56</v>
      </c>
      <c r="C61" s="432">
        <v>76.099999999999994</v>
      </c>
      <c r="D61" s="432">
        <v>76.91</v>
      </c>
      <c r="E61" s="432">
        <v>77.36</v>
      </c>
      <c r="F61" s="426"/>
      <c r="G61" s="426"/>
      <c r="H61" s="426"/>
      <c r="I61" s="426"/>
      <c r="J61" s="426"/>
      <c r="K61" s="426"/>
      <c r="L61" s="113">
        <v>56</v>
      </c>
      <c r="M61" s="432">
        <v>81.94</v>
      </c>
      <c r="N61" s="432">
        <v>82.9</v>
      </c>
      <c r="O61" s="432">
        <v>83.4</v>
      </c>
      <c r="P61" s="426"/>
      <c r="Q61" s="426"/>
      <c r="R61" s="426"/>
      <c r="S61" s="426"/>
      <c r="T61" s="426"/>
      <c r="U61" s="426"/>
      <c r="V61" s="113">
        <v>56</v>
      </c>
      <c r="W61" s="432">
        <v>88.08</v>
      </c>
      <c r="X61" s="432">
        <v>89.22</v>
      </c>
      <c r="Y61" s="432">
        <v>89.77</v>
      </c>
      <c r="Z61" s="426"/>
      <c r="AA61" s="426"/>
      <c r="AB61" s="426"/>
      <c r="AC61" s="426"/>
      <c r="AD61" s="426"/>
      <c r="AE61" s="426"/>
      <c r="AF61" s="113">
        <v>56</v>
      </c>
      <c r="AG61" s="432">
        <v>94.49</v>
      </c>
      <c r="AH61" s="432">
        <v>95.82</v>
      </c>
      <c r="AI61" s="432">
        <v>96.42</v>
      </c>
      <c r="AJ61" s="426"/>
      <c r="AK61" s="426"/>
      <c r="AL61" s="426"/>
      <c r="AM61" s="426"/>
      <c r="AN61" s="426"/>
      <c r="AO61" s="426"/>
      <c r="AP61" s="113">
        <v>56</v>
      </c>
      <c r="AQ61" s="432">
        <v>101.08</v>
      </c>
      <c r="AR61" s="432">
        <v>102.61</v>
      </c>
      <c r="AS61" s="432">
        <v>103.27</v>
      </c>
      <c r="AT61" s="426"/>
      <c r="AU61" s="426"/>
      <c r="AV61" s="426"/>
      <c r="AW61" s="426"/>
      <c r="AX61" s="426"/>
      <c r="AY61" s="426"/>
      <c r="AZ61" s="113">
        <v>56</v>
      </c>
      <c r="BA61" s="432">
        <v>107.76</v>
      </c>
      <c r="BB61" s="432">
        <v>109.5</v>
      </c>
      <c r="BC61" s="432">
        <v>110.21</v>
      </c>
      <c r="BD61" s="426"/>
      <c r="BE61" s="426"/>
      <c r="BF61" s="426"/>
      <c r="BG61" s="426"/>
      <c r="BH61" s="426"/>
    </row>
    <row r="62" spans="1:60" s="429" customFormat="1" x14ac:dyDescent="0.2">
      <c r="A62" s="426"/>
      <c r="B62" s="113">
        <v>57</v>
      </c>
      <c r="C62" s="432">
        <v>76.41</v>
      </c>
      <c r="D62" s="432">
        <v>77.23</v>
      </c>
      <c r="E62" s="432">
        <v>77.69</v>
      </c>
      <c r="F62" s="426"/>
      <c r="G62" s="426"/>
      <c r="H62" s="426"/>
      <c r="I62" s="426"/>
      <c r="J62" s="426"/>
      <c r="K62" s="426"/>
      <c r="L62" s="113">
        <v>57</v>
      </c>
      <c r="M62" s="432">
        <v>82.32</v>
      </c>
      <c r="N62" s="432">
        <v>83.31</v>
      </c>
      <c r="O62" s="432">
        <v>83.81</v>
      </c>
      <c r="P62" s="426"/>
      <c r="Q62" s="426"/>
      <c r="R62" s="426"/>
      <c r="S62" s="426"/>
      <c r="T62" s="426"/>
      <c r="U62" s="426"/>
      <c r="V62" s="113">
        <v>57</v>
      </c>
      <c r="W62" s="432">
        <v>88.53</v>
      </c>
      <c r="X62" s="432">
        <v>89.69</v>
      </c>
      <c r="Y62" s="432">
        <v>90.25</v>
      </c>
      <c r="Z62" s="426"/>
      <c r="AA62" s="426"/>
      <c r="AB62" s="426"/>
      <c r="AC62" s="426"/>
      <c r="AD62" s="426"/>
      <c r="AE62" s="426"/>
      <c r="AF62" s="113">
        <v>57</v>
      </c>
      <c r="AG62" s="432">
        <v>94.97</v>
      </c>
      <c r="AH62" s="432">
        <v>96.32</v>
      </c>
      <c r="AI62" s="432">
        <v>96.93</v>
      </c>
      <c r="AJ62" s="426"/>
      <c r="AK62" s="426"/>
      <c r="AL62" s="426"/>
      <c r="AM62" s="426"/>
      <c r="AN62" s="426"/>
      <c r="AO62" s="426"/>
      <c r="AP62" s="113">
        <v>57</v>
      </c>
      <c r="AQ62" s="432">
        <v>101.55</v>
      </c>
      <c r="AR62" s="432">
        <v>103.1</v>
      </c>
      <c r="AS62" s="432">
        <v>103.76</v>
      </c>
      <c r="AT62" s="426"/>
      <c r="AU62" s="426"/>
      <c r="AV62" s="426"/>
      <c r="AW62" s="426"/>
      <c r="AX62" s="426"/>
      <c r="AY62" s="426"/>
      <c r="AZ62" s="113">
        <v>57</v>
      </c>
      <c r="BA62" s="432">
        <v>108.15</v>
      </c>
      <c r="BB62" s="432">
        <v>109.92</v>
      </c>
      <c r="BC62" s="432">
        <v>110.63</v>
      </c>
      <c r="BD62" s="426"/>
      <c r="BE62" s="426"/>
      <c r="BF62" s="426"/>
      <c r="BG62" s="426"/>
      <c r="BH62" s="426"/>
    </row>
    <row r="63" spans="1:60" s="429" customFormat="1" x14ac:dyDescent="0.2">
      <c r="A63" s="426"/>
      <c r="B63" s="113">
        <v>58</v>
      </c>
      <c r="C63" s="432">
        <v>76.72</v>
      </c>
      <c r="D63" s="432">
        <v>77.56</v>
      </c>
      <c r="E63" s="432">
        <v>78.02</v>
      </c>
      <c r="F63" s="426"/>
      <c r="G63" s="426"/>
      <c r="H63" s="426"/>
      <c r="I63" s="426"/>
      <c r="J63" s="426"/>
      <c r="K63" s="426"/>
      <c r="L63" s="113">
        <v>58</v>
      </c>
      <c r="M63" s="432">
        <v>82.71</v>
      </c>
      <c r="N63" s="432">
        <v>83.72</v>
      </c>
      <c r="O63" s="432">
        <v>84.23</v>
      </c>
      <c r="P63" s="426"/>
      <c r="Q63" s="426"/>
      <c r="R63" s="426"/>
      <c r="S63" s="426"/>
      <c r="T63" s="426"/>
      <c r="U63" s="426"/>
      <c r="V63" s="113">
        <v>58</v>
      </c>
      <c r="W63" s="432">
        <v>88.97</v>
      </c>
      <c r="X63" s="432">
        <v>90.16</v>
      </c>
      <c r="Y63" s="432">
        <v>90.71</v>
      </c>
      <c r="Z63" s="426"/>
      <c r="AA63" s="426"/>
      <c r="AB63" s="426"/>
      <c r="AC63" s="426"/>
      <c r="AD63" s="426"/>
      <c r="AE63" s="426"/>
      <c r="AF63" s="113">
        <v>58</v>
      </c>
      <c r="AG63" s="432">
        <v>95.42</v>
      </c>
      <c r="AH63" s="432">
        <v>96.8</v>
      </c>
      <c r="AI63" s="432">
        <v>97.41</v>
      </c>
      <c r="AJ63" s="426"/>
      <c r="AK63" s="426"/>
      <c r="AL63" s="426"/>
      <c r="AM63" s="426"/>
      <c r="AN63" s="426"/>
      <c r="AO63" s="426"/>
      <c r="AP63" s="113">
        <v>58</v>
      </c>
      <c r="AQ63" s="432">
        <v>101.96</v>
      </c>
      <c r="AR63" s="432">
        <v>103.54</v>
      </c>
      <c r="AS63" s="432">
        <v>104.2</v>
      </c>
      <c r="AT63" s="426"/>
      <c r="AU63" s="426"/>
      <c r="AV63" s="426"/>
      <c r="AW63" s="426"/>
      <c r="AX63" s="426"/>
      <c r="AY63" s="426"/>
      <c r="AZ63" s="113">
        <v>58</v>
      </c>
      <c r="BA63" s="432">
        <v>108.46</v>
      </c>
      <c r="BB63" s="432">
        <v>110.25</v>
      </c>
      <c r="BC63" s="432">
        <v>110.96</v>
      </c>
      <c r="BD63" s="426"/>
      <c r="BE63" s="426"/>
      <c r="BF63" s="426"/>
      <c r="BG63" s="426"/>
      <c r="BH63" s="426"/>
    </row>
    <row r="64" spans="1:60" s="429" customFormat="1" x14ac:dyDescent="0.2">
      <c r="A64" s="426"/>
      <c r="B64" s="113">
        <v>59</v>
      </c>
      <c r="C64" s="432">
        <v>77.040000000000006</v>
      </c>
      <c r="D64" s="432">
        <v>77.900000000000006</v>
      </c>
      <c r="E64" s="432">
        <v>78.36</v>
      </c>
      <c r="F64" s="426"/>
      <c r="G64" s="426"/>
      <c r="H64" s="426"/>
      <c r="I64" s="426"/>
      <c r="J64" s="426"/>
      <c r="K64" s="426"/>
      <c r="L64" s="113">
        <v>59</v>
      </c>
      <c r="M64" s="432">
        <v>83.1</v>
      </c>
      <c r="N64" s="432">
        <v>84.12</v>
      </c>
      <c r="O64" s="432">
        <v>84.63</v>
      </c>
      <c r="P64" s="426"/>
      <c r="Q64" s="426"/>
      <c r="R64" s="426"/>
      <c r="S64" s="426"/>
      <c r="T64" s="426"/>
      <c r="U64" s="426"/>
      <c r="V64" s="113">
        <v>59</v>
      </c>
      <c r="W64" s="432">
        <v>89.39</v>
      </c>
      <c r="X64" s="432">
        <v>90.6</v>
      </c>
      <c r="Y64" s="432">
        <v>91.16</v>
      </c>
      <c r="Z64" s="426"/>
      <c r="AA64" s="426"/>
      <c r="AB64" s="426"/>
      <c r="AC64" s="426"/>
      <c r="AD64" s="426"/>
      <c r="AE64" s="426"/>
      <c r="AF64" s="113">
        <v>59</v>
      </c>
      <c r="AG64" s="432">
        <v>95.83</v>
      </c>
      <c r="AH64" s="432">
        <v>97.24</v>
      </c>
      <c r="AI64" s="432">
        <v>97.85</v>
      </c>
      <c r="AJ64" s="426"/>
      <c r="AK64" s="426"/>
      <c r="AL64" s="426"/>
      <c r="AM64" s="426"/>
      <c r="AN64" s="426"/>
      <c r="AO64" s="426"/>
      <c r="AP64" s="113">
        <v>59</v>
      </c>
      <c r="AQ64" s="432">
        <v>102.3</v>
      </c>
      <c r="AR64" s="432">
        <v>103.91</v>
      </c>
      <c r="AS64" s="432">
        <v>104.57</v>
      </c>
      <c r="AT64" s="426"/>
      <c r="AU64" s="426"/>
      <c r="AV64" s="426"/>
      <c r="AW64" s="426"/>
      <c r="AX64" s="426"/>
      <c r="AY64" s="426"/>
      <c r="AZ64" s="113">
        <v>59</v>
      </c>
      <c r="BA64" s="432">
        <v>108.67</v>
      </c>
      <c r="BB64" s="432">
        <v>110.49</v>
      </c>
      <c r="BC64" s="432">
        <v>111.19</v>
      </c>
      <c r="BD64" s="426"/>
      <c r="BE64" s="426"/>
      <c r="BF64" s="426"/>
      <c r="BG64" s="426"/>
      <c r="BH64" s="426"/>
    </row>
    <row r="65" spans="1:60" s="429" customFormat="1" x14ac:dyDescent="0.2">
      <c r="A65" s="426"/>
      <c r="B65" s="113">
        <v>60</v>
      </c>
      <c r="C65" s="432">
        <v>77.349999999999994</v>
      </c>
      <c r="D65" s="432">
        <v>78.23</v>
      </c>
      <c r="E65" s="432">
        <v>78.7</v>
      </c>
      <c r="F65" s="426"/>
      <c r="G65" s="426"/>
      <c r="H65" s="426"/>
      <c r="I65" s="426"/>
      <c r="J65" s="426"/>
      <c r="K65" s="426"/>
      <c r="L65" s="113">
        <v>60</v>
      </c>
      <c r="M65" s="432">
        <v>83.47</v>
      </c>
      <c r="N65" s="432">
        <v>84.51</v>
      </c>
      <c r="O65" s="432">
        <v>85.03</v>
      </c>
      <c r="P65" s="426"/>
      <c r="Q65" s="426"/>
      <c r="R65" s="426"/>
      <c r="S65" s="426"/>
      <c r="T65" s="426"/>
      <c r="U65" s="426"/>
      <c r="V65" s="113">
        <v>60</v>
      </c>
      <c r="W65" s="432">
        <v>89.78</v>
      </c>
      <c r="X65" s="432">
        <v>91.01</v>
      </c>
      <c r="Y65" s="432">
        <v>91.58</v>
      </c>
      <c r="Z65" s="426"/>
      <c r="AA65" s="426"/>
      <c r="AB65" s="426"/>
      <c r="AC65" s="426"/>
      <c r="AD65" s="426"/>
      <c r="AE65" s="426"/>
      <c r="AF65" s="113">
        <v>60</v>
      </c>
      <c r="AG65" s="432">
        <v>96.19</v>
      </c>
      <c r="AH65" s="432">
        <v>97.62</v>
      </c>
      <c r="AI65" s="432">
        <v>98.23</v>
      </c>
      <c r="AJ65" s="426"/>
      <c r="AK65" s="426"/>
      <c r="AL65" s="426"/>
      <c r="AM65" s="426"/>
      <c r="AN65" s="426"/>
      <c r="AO65" s="426"/>
      <c r="AP65" s="113">
        <v>60</v>
      </c>
      <c r="AQ65" s="432">
        <v>102.56</v>
      </c>
      <c r="AR65" s="432">
        <v>104.2</v>
      </c>
      <c r="AS65" s="432">
        <v>104.85</v>
      </c>
      <c r="AT65" s="426"/>
      <c r="AU65" s="426"/>
      <c r="AV65" s="426"/>
      <c r="AW65" s="426"/>
      <c r="AX65" s="426"/>
      <c r="AY65" s="426"/>
      <c r="AZ65" s="113">
        <v>60</v>
      </c>
      <c r="BA65" s="432">
        <v>108.75</v>
      </c>
      <c r="BB65" s="432">
        <v>110.59</v>
      </c>
      <c r="BC65" s="432">
        <v>111.3</v>
      </c>
      <c r="BD65" s="426"/>
      <c r="BE65" s="426"/>
      <c r="BF65" s="426"/>
      <c r="BG65" s="426"/>
      <c r="BH65" s="426"/>
    </row>
    <row r="66" spans="1:60" s="429" customFormat="1" x14ac:dyDescent="0.2">
      <c r="A66" s="426"/>
      <c r="B66" s="113">
        <v>61</v>
      </c>
      <c r="C66" s="432">
        <v>77.66</v>
      </c>
      <c r="D66" s="432">
        <v>78.55</v>
      </c>
      <c r="E66" s="432">
        <v>79.02</v>
      </c>
      <c r="F66" s="426"/>
      <c r="G66" s="426"/>
      <c r="H66" s="426"/>
      <c r="I66" s="426"/>
      <c r="J66" s="426"/>
      <c r="K66" s="426"/>
      <c r="L66" s="113">
        <v>61</v>
      </c>
      <c r="M66" s="432">
        <v>83.81</v>
      </c>
      <c r="N66" s="432">
        <v>84.88</v>
      </c>
      <c r="O66" s="432">
        <v>85.4</v>
      </c>
      <c r="P66" s="426"/>
      <c r="Q66" s="426"/>
      <c r="R66" s="426"/>
      <c r="S66" s="426"/>
      <c r="T66" s="426"/>
      <c r="U66" s="426"/>
      <c r="V66" s="113">
        <v>61</v>
      </c>
      <c r="W66" s="432">
        <v>90.12</v>
      </c>
      <c r="X66" s="432">
        <v>91.38</v>
      </c>
      <c r="Y66" s="432">
        <v>91.95</v>
      </c>
      <c r="Z66" s="426"/>
      <c r="AA66" s="426"/>
      <c r="AB66" s="426"/>
      <c r="AC66" s="426"/>
      <c r="AD66" s="426"/>
      <c r="AE66" s="426"/>
      <c r="AF66" s="113">
        <v>61</v>
      </c>
      <c r="AG66" s="432">
        <v>96.47</v>
      </c>
      <c r="AH66" s="432">
        <v>97.93</v>
      </c>
      <c r="AI66" s="432">
        <v>98.54</v>
      </c>
      <c r="AJ66" s="426"/>
      <c r="AK66" s="426"/>
      <c r="AL66" s="426"/>
      <c r="AM66" s="426"/>
      <c r="AN66" s="426"/>
      <c r="AO66" s="426"/>
      <c r="AP66" s="113">
        <v>61</v>
      </c>
      <c r="AQ66" s="432">
        <v>102.71</v>
      </c>
      <c r="AR66" s="432">
        <v>104.37</v>
      </c>
      <c r="AS66" s="432">
        <v>105.03</v>
      </c>
      <c r="AT66" s="426"/>
      <c r="AU66" s="426"/>
      <c r="AV66" s="426"/>
      <c r="AW66" s="426"/>
      <c r="AX66" s="426"/>
      <c r="AY66" s="426"/>
      <c r="AZ66" s="113">
        <v>61</v>
      </c>
      <c r="BA66" s="432">
        <v>108.69</v>
      </c>
      <c r="BB66" s="432">
        <v>110.55</v>
      </c>
      <c r="BC66" s="432">
        <v>111.25</v>
      </c>
      <c r="BD66" s="426"/>
      <c r="BE66" s="426"/>
      <c r="BF66" s="426"/>
      <c r="BG66" s="426"/>
      <c r="BH66" s="426"/>
    </row>
    <row r="67" spans="1:60" s="429" customFormat="1" x14ac:dyDescent="0.2">
      <c r="A67" s="426"/>
      <c r="B67" s="113">
        <v>62</v>
      </c>
      <c r="C67" s="432">
        <v>77.94</v>
      </c>
      <c r="D67" s="432">
        <v>78.849999999999994</v>
      </c>
      <c r="E67" s="432">
        <v>79.319999999999993</v>
      </c>
      <c r="F67" s="426"/>
      <c r="G67" s="426"/>
      <c r="H67" s="426"/>
      <c r="I67" s="426"/>
      <c r="J67" s="426"/>
      <c r="K67" s="426"/>
      <c r="L67" s="113">
        <v>62</v>
      </c>
      <c r="M67" s="432">
        <v>84.12</v>
      </c>
      <c r="N67" s="432">
        <v>85.21</v>
      </c>
      <c r="O67" s="432">
        <v>85.73</v>
      </c>
      <c r="P67" s="426"/>
      <c r="Q67" s="426"/>
      <c r="R67" s="426"/>
      <c r="S67" s="426"/>
      <c r="T67" s="426"/>
      <c r="U67" s="426"/>
      <c r="V67" s="113">
        <v>62</v>
      </c>
      <c r="W67" s="432">
        <v>90.41</v>
      </c>
      <c r="X67" s="432">
        <v>91.69</v>
      </c>
      <c r="Y67" s="432">
        <v>92.26</v>
      </c>
      <c r="Z67" s="426"/>
      <c r="AA67" s="426"/>
      <c r="AB67" s="426"/>
      <c r="AC67" s="426"/>
      <c r="AD67" s="426"/>
      <c r="AE67" s="426"/>
      <c r="AF67" s="113">
        <v>62</v>
      </c>
      <c r="AG67" s="432">
        <v>96.67</v>
      </c>
      <c r="AH67" s="432">
        <v>98.15</v>
      </c>
      <c r="AI67" s="432">
        <v>98.76</v>
      </c>
      <c r="AJ67" s="426"/>
      <c r="AK67" s="426"/>
      <c r="AL67" s="426"/>
      <c r="AM67" s="426"/>
      <c r="AN67" s="426"/>
      <c r="AO67" s="426"/>
      <c r="AP67" s="113">
        <v>62</v>
      </c>
      <c r="AQ67" s="432">
        <v>102.74</v>
      </c>
      <c r="AR67" s="432">
        <v>104.42</v>
      </c>
      <c r="AS67" s="432">
        <v>105.08</v>
      </c>
      <c r="AT67" s="426"/>
      <c r="AU67" s="426"/>
      <c r="AV67" s="426"/>
      <c r="AW67" s="426"/>
      <c r="AX67" s="426"/>
      <c r="AY67" s="426"/>
      <c r="AZ67" s="113">
        <v>62</v>
      </c>
      <c r="BA67" s="432">
        <v>108.47</v>
      </c>
      <c r="BB67" s="432">
        <v>110.34</v>
      </c>
      <c r="BC67" s="432">
        <v>111.04</v>
      </c>
      <c r="BD67" s="426"/>
      <c r="BE67" s="426"/>
      <c r="BF67" s="426"/>
      <c r="BG67" s="426"/>
      <c r="BH67" s="426"/>
    </row>
    <row r="68" spans="1:60" s="429" customFormat="1" x14ac:dyDescent="0.2">
      <c r="A68" s="426"/>
      <c r="B68" s="113">
        <v>63</v>
      </c>
      <c r="C68" s="432">
        <v>78.19</v>
      </c>
      <c r="D68" s="432">
        <v>79.12</v>
      </c>
      <c r="E68" s="432">
        <v>79.599999999999994</v>
      </c>
      <c r="F68" s="426"/>
      <c r="G68" s="426"/>
      <c r="H68" s="426"/>
      <c r="I68" s="426"/>
      <c r="J68" s="426"/>
      <c r="K68" s="426"/>
      <c r="L68" s="113">
        <v>63</v>
      </c>
      <c r="M68" s="432">
        <v>84.38</v>
      </c>
      <c r="N68" s="432">
        <v>85.5</v>
      </c>
      <c r="O68" s="432">
        <v>86.02</v>
      </c>
      <c r="P68" s="426"/>
      <c r="Q68" s="426"/>
      <c r="R68" s="426"/>
      <c r="S68" s="426"/>
      <c r="T68" s="426"/>
      <c r="U68" s="426"/>
      <c r="V68" s="113">
        <v>63</v>
      </c>
      <c r="W68" s="432">
        <v>90.62</v>
      </c>
      <c r="X68" s="432">
        <v>91.93</v>
      </c>
      <c r="Y68" s="432">
        <v>92.5</v>
      </c>
      <c r="Z68" s="426"/>
      <c r="AA68" s="426"/>
      <c r="AB68" s="426"/>
      <c r="AC68" s="426"/>
      <c r="AD68" s="426"/>
      <c r="AE68" s="426"/>
      <c r="AF68" s="113">
        <v>63</v>
      </c>
      <c r="AG68" s="432">
        <v>96.76</v>
      </c>
      <c r="AH68" s="432">
        <v>98.26</v>
      </c>
      <c r="AI68" s="432">
        <v>98.88</v>
      </c>
      <c r="AJ68" s="426"/>
      <c r="AK68" s="426"/>
      <c r="AL68" s="426"/>
      <c r="AM68" s="426"/>
      <c r="AN68" s="426"/>
      <c r="AO68" s="426"/>
      <c r="AP68" s="113">
        <v>63</v>
      </c>
      <c r="AQ68" s="432">
        <v>102.63</v>
      </c>
      <c r="AR68" s="432">
        <v>104.33</v>
      </c>
      <c r="AS68" s="432">
        <v>104.98</v>
      </c>
      <c r="AT68" s="426"/>
      <c r="AU68" s="426"/>
      <c r="AV68" s="426"/>
      <c r="AW68" s="426"/>
      <c r="AX68" s="426"/>
      <c r="AY68" s="426"/>
      <c r="AZ68" s="113">
        <v>63</v>
      </c>
      <c r="BA68" s="432">
        <v>108.07</v>
      </c>
      <c r="BB68" s="432">
        <v>109.96</v>
      </c>
      <c r="BC68" s="432">
        <v>110.65</v>
      </c>
      <c r="BD68" s="426"/>
      <c r="BE68" s="426"/>
      <c r="BF68" s="426"/>
      <c r="BG68" s="426"/>
      <c r="BH68" s="426"/>
    </row>
    <row r="69" spans="1:60" s="429" customFormat="1" x14ac:dyDescent="0.2">
      <c r="A69" s="426"/>
      <c r="B69" s="113">
        <v>64</v>
      </c>
      <c r="C69" s="432">
        <v>78.41</v>
      </c>
      <c r="D69" s="432">
        <v>79.36</v>
      </c>
      <c r="E69" s="432">
        <v>79.84</v>
      </c>
      <c r="F69" s="426"/>
      <c r="G69" s="426"/>
      <c r="H69" s="426"/>
      <c r="I69" s="426"/>
      <c r="J69" s="426"/>
      <c r="K69" s="426"/>
      <c r="L69" s="113">
        <v>64</v>
      </c>
      <c r="M69" s="432">
        <v>84.59</v>
      </c>
      <c r="N69" s="432">
        <v>85.73</v>
      </c>
      <c r="O69" s="432">
        <v>86.26</v>
      </c>
      <c r="P69" s="426"/>
      <c r="Q69" s="426"/>
      <c r="R69" s="426"/>
      <c r="S69" s="426"/>
      <c r="T69" s="426"/>
      <c r="U69" s="426"/>
      <c r="V69" s="113">
        <v>64</v>
      </c>
      <c r="W69" s="432">
        <v>90.76</v>
      </c>
      <c r="X69" s="432">
        <v>92.09</v>
      </c>
      <c r="Y69" s="432">
        <v>92.66</v>
      </c>
      <c r="Z69" s="426"/>
      <c r="AA69" s="426"/>
      <c r="AB69" s="426"/>
      <c r="AC69" s="426"/>
      <c r="AD69" s="426"/>
      <c r="AE69" s="426"/>
      <c r="AF69" s="113">
        <v>64</v>
      </c>
      <c r="AG69" s="432">
        <v>96.74</v>
      </c>
      <c r="AH69" s="432">
        <v>98.27</v>
      </c>
      <c r="AI69" s="432">
        <v>98.88</v>
      </c>
      <c r="AJ69" s="426"/>
      <c r="AK69" s="426"/>
      <c r="AL69" s="426"/>
      <c r="AM69" s="426"/>
      <c r="AN69" s="426"/>
      <c r="AO69" s="426"/>
      <c r="AP69" s="113">
        <v>64</v>
      </c>
      <c r="AQ69" s="432">
        <v>102.37</v>
      </c>
      <c r="AR69" s="432">
        <v>104.09</v>
      </c>
      <c r="AS69" s="432">
        <v>104.74</v>
      </c>
      <c r="AT69" s="426"/>
      <c r="AU69" s="426"/>
      <c r="AV69" s="426"/>
      <c r="AW69" s="426"/>
      <c r="AX69" s="426"/>
      <c r="AY69" s="426"/>
      <c r="AZ69" s="113">
        <v>64</v>
      </c>
      <c r="BA69" s="432">
        <v>107.49</v>
      </c>
      <c r="BB69" s="432">
        <v>109.39</v>
      </c>
      <c r="BC69" s="432">
        <v>110.08</v>
      </c>
      <c r="BD69" s="426"/>
      <c r="BE69" s="426"/>
      <c r="BF69" s="426"/>
      <c r="BG69" s="426"/>
      <c r="BH69" s="426"/>
    </row>
    <row r="70" spans="1:60" s="429" customFormat="1" x14ac:dyDescent="0.2">
      <c r="A70" s="426"/>
      <c r="B70" s="113">
        <v>65</v>
      </c>
      <c r="C70" s="432">
        <v>78.59</v>
      </c>
      <c r="D70" s="432">
        <v>79.569999999999993</v>
      </c>
      <c r="E70" s="432">
        <v>80.05</v>
      </c>
      <c r="F70" s="426"/>
      <c r="G70" s="426"/>
      <c r="H70" s="426"/>
      <c r="I70" s="426"/>
      <c r="J70" s="426"/>
      <c r="K70" s="426"/>
      <c r="L70" s="113">
        <v>65</v>
      </c>
      <c r="M70" s="432">
        <v>84.75</v>
      </c>
      <c r="N70" s="432">
        <v>85.91</v>
      </c>
      <c r="O70" s="432">
        <v>86.44</v>
      </c>
      <c r="P70" s="426"/>
      <c r="Q70" s="426"/>
      <c r="R70" s="426"/>
      <c r="S70" s="426"/>
      <c r="T70" s="426"/>
      <c r="U70" s="426"/>
      <c r="V70" s="113">
        <v>65</v>
      </c>
      <c r="W70" s="432">
        <v>90.81</v>
      </c>
      <c r="X70" s="432">
        <v>92.16</v>
      </c>
      <c r="Y70" s="432">
        <v>92.73</v>
      </c>
      <c r="Z70" s="426"/>
      <c r="AA70" s="426"/>
      <c r="AB70" s="426"/>
      <c r="AC70" s="426"/>
      <c r="AD70" s="426"/>
      <c r="AE70" s="426"/>
      <c r="AF70" s="113">
        <v>65</v>
      </c>
      <c r="AG70" s="432">
        <v>96.6</v>
      </c>
      <c r="AH70" s="432">
        <v>98.15</v>
      </c>
      <c r="AI70" s="432">
        <v>98.76</v>
      </c>
      <c r="AJ70" s="426"/>
      <c r="AK70" s="426"/>
      <c r="AL70" s="426"/>
      <c r="AM70" s="426"/>
      <c r="AN70" s="426"/>
      <c r="AO70" s="426"/>
      <c r="AP70" s="113">
        <v>65</v>
      </c>
      <c r="AQ70" s="432">
        <v>101.96</v>
      </c>
      <c r="AR70" s="432">
        <v>103.69</v>
      </c>
      <c r="AS70" s="432">
        <v>104.34</v>
      </c>
      <c r="AT70" s="426"/>
      <c r="AU70" s="426"/>
      <c r="AV70" s="426"/>
      <c r="AW70" s="426"/>
      <c r="AX70" s="426"/>
      <c r="AY70" s="426"/>
      <c r="AZ70" s="113">
        <v>65</v>
      </c>
      <c r="BA70" s="432">
        <v>106.73</v>
      </c>
      <c r="BB70" s="432">
        <v>108.63</v>
      </c>
      <c r="BC70" s="432">
        <v>109.32</v>
      </c>
      <c r="BD70" s="426"/>
      <c r="BE70" s="426"/>
      <c r="BF70" s="426"/>
      <c r="BG70" s="426"/>
      <c r="BH70" s="426"/>
    </row>
    <row r="71" spans="1:60" s="429" customFormat="1" x14ac:dyDescent="0.2">
      <c r="A71" s="426"/>
      <c r="B71" s="113">
        <v>66</v>
      </c>
      <c r="C71" s="432">
        <v>78.739999999999995</v>
      </c>
      <c r="D71" s="432">
        <v>79.739999999999995</v>
      </c>
      <c r="E71" s="432">
        <v>80.22</v>
      </c>
      <c r="F71" s="426"/>
      <c r="G71" s="426"/>
      <c r="H71" s="426"/>
      <c r="I71" s="426"/>
      <c r="J71" s="426"/>
      <c r="K71" s="426"/>
      <c r="L71" s="113">
        <v>66</v>
      </c>
      <c r="M71" s="432">
        <v>84.84</v>
      </c>
      <c r="N71" s="432">
        <v>86.02</v>
      </c>
      <c r="O71" s="432">
        <v>86.55</v>
      </c>
      <c r="P71" s="426"/>
      <c r="Q71" s="426"/>
      <c r="R71" s="426"/>
      <c r="S71" s="426"/>
      <c r="T71" s="426"/>
      <c r="U71" s="426"/>
      <c r="V71" s="113">
        <v>66</v>
      </c>
      <c r="W71" s="432">
        <v>90.77</v>
      </c>
      <c r="X71" s="432">
        <v>92.14</v>
      </c>
      <c r="Y71" s="432">
        <v>92.72</v>
      </c>
      <c r="Z71" s="426"/>
      <c r="AA71" s="426"/>
      <c r="AB71" s="426"/>
      <c r="AC71" s="426"/>
      <c r="AD71" s="426"/>
      <c r="AE71" s="426"/>
      <c r="AF71" s="113">
        <v>66</v>
      </c>
      <c r="AG71" s="432">
        <v>96.34</v>
      </c>
      <c r="AH71" s="432">
        <v>97.91</v>
      </c>
      <c r="AI71" s="432">
        <v>98.52</v>
      </c>
      <c r="AJ71" s="426"/>
      <c r="AK71" s="426"/>
      <c r="AL71" s="426"/>
      <c r="AM71" s="426"/>
      <c r="AN71" s="426"/>
      <c r="AO71" s="426"/>
      <c r="AP71" s="113">
        <v>66</v>
      </c>
      <c r="AQ71" s="432">
        <v>101.4</v>
      </c>
      <c r="AR71" s="432">
        <v>103.14</v>
      </c>
      <c r="AS71" s="432">
        <v>103.78</v>
      </c>
      <c r="AT71" s="426"/>
      <c r="AU71" s="426"/>
      <c r="AV71" s="426"/>
      <c r="AW71" s="426"/>
      <c r="AX71" s="426"/>
      <c r="AY71" s="426"/>
      <c r="AZ71" s="113">
        <v>66</v>
      </c>
      <c r="BA71" s="432">
        <v>105.79</v>
      </c>
      <c r="BB71" s="432">
        <v>107.69</v>
      </c>
      <c r="BC71" s="432">
        <v>108.37</v>
      </c>
      <c r="BD71" s="426"/>
      <c r="BE71" s="426"/>
      <c r="BF71" s="426"/>
      <c r="BG71" s="426"/>
      <c r="BH71" s="426"/>
    </row>
    <row r="72" spans="1:60" s="429" customFormat="1" x14ac:dyDescent="0.2">
      <c r="A72" s="426"/>
      <c r="B72" s="113">
        <v>67</v>
      </c>
      <c r="C72" s="432">
        <v>78.84</v>
      </c>
      <c r="D72" s="432">
        <v>79.86</v>
      </c>
      <c r="E72" s="432">
        <v>80.349999999999994</v>
      </c>
      <c r="F72" s="426"/>
      <c r="G72" s="426"/>
      <c r="H72" s="426"/>
      <c r="I72" s="426"/>
      <c r="J72" s="426"/>
      <c r="K72" s="426"/>
      <c r="L72" s="113">
        <v>67</v>
      </c>
      <c r="M72" s="432">
        <v>84.86</v>
      </c>
      <c r="N72" s="432">
        <v>86.07</v>
      </c>
      <c r="O72" s="432">
        <v>86.6</v>
      </c>
      <c r="P72" s="426"/>
      <c r="Q72" s="426"/>
      <c r="R72" s="426"/>
      <c r="S72" s="426"/>
      <c r="T72" s="426"/>
      <c r="U72" s="426"/>
      <c r="V72" s="113">
        <v>67</v>
      </c>
      <c r="W72" s="432">
        <v>90.63</v>
      </c>
      <c r="X72" s="432">
        <v>92.03</v>
      </c>
      <c r="Y72" s="432">
        <v>92.6</v>
      </c>
      <c r="Z72" s="426"/>
      <c r="AA72" s="426"/>
      <c r="AB72" s="426"/>
      <c r="AC72" s="426"/>
      <c r="AD72" s="426"/>
      <c r="AE72" s="426"/>
      <c r="AF72" s="113">
        <v>67</v>
      </c>
      <c r="AG72" s="432">
        <v>95.95</v>
      </c>
      <c r="AH72" s="432">
        <v>97.53</v>
      </c>
      <c r="AI72" s="432">
        <v>98.14</v>
      </c>
      <c r="AJ72" s="426"/>
      <c r="AK72" s="426"/>
      <c r="AL72" s="426"/>
      <c r="AM72" s="426"/>
      <c r="AN72" s="426"/>
      <c r="AO72" s="426"/>
      <c r="AP72" s="113">
        <v>67</v>
      </c>
      <c r="AQ72" s="432">
        <v>100.67</v>
      </c>
      <c r="AR72" s="432">
        <v>102.42</v>
      </c>
      <c r="AS72" s="432">
        <v>103.06</v>
      </c>
      <c r="AT72" s="426"/>
      <c r="AU72" s="426"/>
      <c r="AV72" s="426"/>
      <c r="AW72" s="426"/>
      <c r="AX72" s="426"/>
      <c r="AY72" s="426"/>
      <c r="AZ72" s="113">
        <v>67</v>
      </c>
      <c r="BA72" s="432">
        <v>104.66</v>
      </c>
      <c r="BB72" s="432">
        <v>106.57</v>
      </c>
      <c r="BC72" s="432">
        <v>107.24</v>
      </c>
      <c r="BD72" s="426"/>
      <c r="BE72" s="426"/>
      <c r="BF72" s="426"/>
      <c r="BG72" s="426"/>
      <c r="BH72" s="426"/>
    </row>
    <row r="73" spans="1:60" s="429" customFormat="1" x14ac:dyDescent="0.2">
      <c r="A73" s="426"/>
      <c r="B73" s="113">
        <v>68</v>
      </c>
      <c r="C73" s="432">
        <v>78.89</v>
      </c>
      <c r="D73" s="432">
        <v>79.930000000000007</v>
      </c>
      <c r="E73" s="432">
        <v>80.42</v>
      </c>
      <c r="F73" s="426"/>
      <c r="G73" s="426"/>
      <c r="H73" s="426"/>
      <c r="I73" s="426"/>
      <c r="J73" s="426"/>
      <c r="K73" s="426"/>
      <c r="L73" s="113">
        <v>68</v>
      </c>
      <c r="M73" s="432">
        <v>84.81</v>
      </c>
      <c r="N73" s="432">
        <v>86.04</v>
      </c>
      <c r="O73" s="432">
        <v>86.57</v>
      </c>
      <c r="P73" s="426"/>
      <c r="Q73" s="426"/>
      <c r="R73" s="426"/>
      <c r="S73" s="426"/>
      <c r="T73" s="426"/>
      <c r="U73" s="426"/>
      <c r="V73" s="113">
        <v>68</v>
      </c>
      <c r="W73" s="432">
        <v>90.38</v>
      </c>
      <c r="X73" s="432">
        <v>91.8</v>
      </c>
      <c r="Y73" s="432">
        <v>92.37</v>
      </c>
      <c r="Z73" s="426"/>
      <c r="AA73" s="426"/>
      <c r="AB73" s="426"/>
      <c r="AC73" s="426"/>
      <c r="AD73" s="426"/>
      <c r="AE73" s="426"/>
      <c r="AF73" s="113">
        <v>68</v>
      </c>
      <c r="AG73" s="432">
        <v>95.42</v>
      </c>
      <c r="AH73" s="432">
        <v>97.02</v>
      </c>
      <c r="AI73" s="432">
        <v>97.62</v>
      </c>
      <c r="AJ73" s="426"/>
      <c r="AK73" s="426"/>
      <c r="AL73" s="426"/>
      <c r="AM73" s="426"/>
      <c r="AN73" s="426"/>
      <c r="AO73" s="426"/>
      <c r="AP73" s="113">
        <v>68</v>
      </c>
      <c r="AQ73" s="432">
        <v>99.78</v>
      </c>
      <c r="AR73" s="432">
        <v>101.54</v>
      </c>
      <c r="AS73" s="432">
        <v>102.17</v>
      </c>
      <c r="AT73" s="426"/>
      <c r="AU73" s="426"/>
      <c r="AV73" s="426"/>
      <c r="AW73" s="426"/>
      <c r="AX73" s="426"/>
      <c r="AY73" s="426"/>
      <c r="AZ73" s="113">
        <v>68</v>
      </c>
      <c r="BA73" s="432">
        <v>103.36</v>
      </c>
      <c r="BB73" s="432">
        <v>105.26</v>
      </c>
      <c r="BC73" s="432">
        <v>105.92</v>
      </c>
      <c r="BD73" s="426"/>
      <c r="BE73" s="426"/>
      <c r="BF73" s="426"/>
      <c r="BG73" s="426"/>
      <c r="BH73" s="426"/>
    </row>
    <row r="74" spans="1:60" s="429" customFormat="1" x14ac:dyDescent="0.2">
      <c r="A74" s="426"/>
      <c r="B74" s="113">
        <v>69</v>
      </c>
      <c r="C74" s="432">
        <v>78.89</v>
      </c>
      <c r="D74" s="432">
        <v>79.95</v>
      </c>
      <c r="E74" s="432">
        <v>80.45</v>
      </c>
      <c r="F74" s="426"/>
      <c r="G74" s="426"/>
      <c r="H74" s="426"/>
      <c r="I74" s="426"/>
      <c r="J74" s="426"/>
      <c r="K74" s="426"/>
      <c r="L74" s="113">
        <v>69</v>
      </c>
      <c r="M74" s="432">
        <v>84.68</v>
      </c>
      <c r="N74" s="432">
        <v>85.93</v>
      </c>
      <c r="O74" s="432">
        <v>86.46</v>
      </c>
      <c r="P74" s="426"/>
      <c r="Q74" s="426"/>
      <c r="R74" s="426"/>
      <c r="S74" s="426"/>
      <c r="T74" s="426"/>
      <c r="U74" s="426"/>
      <c r="V74" s="113">
        <v>69</v>
      </c>
      <c r="W74" s="432">
        <v>90.03</v>
      </c>
      <c r="X74" s="432">
        <v>91.46</v>
      </c>
      <c r="Y74" s="432">
        <v>92.03</v>
      </c>
      <c r="Z74" s="426"/>
      <c r="AA74" s="426"/>
      <c r="AB74" s="426"/>
      <c r="AC74" s="426"/>
      <c r="AD74" s="426"/>
      <c r="AE74" s="426"/>
      <c r="AF74" s="113">
        <v>69</v>
      </c>
      <c r="AG74" s="432">
        <v>94.76</v>
      </c>
      <c r="AH74" s="432">
        <v>96.36</v>
      </c>
      <c r="AI74" s="432">
        <v>96.96</v>
      </c>
      <c r="AJ74" s="426"/>
      <c r="AK74" s="426"/>
      <c r="AL74" s="426"/>
      <c r="AM74" s="426"/>
      <c r="AN74" s="426"/>
      <c r="AO74" s="426"/>
      <c r="AP74" s="113">
        <v>69</v>
      </c>
      <c r="AQ74" s="432">
        <v>98.73</v>
      </c>
      <c r="AR74" s="432">
        <v>100.49</v>
      </c>
      <c r="AS74" s="432">
        <v>101.12</v>
      </c>
      <c r="AT74" s="426"/>
      <c r="AU74" s="426"/>
      <c r="AV74" s="426"/>
      <c r="AW74" s="426"/>
      <c r="AX74" s="426"/>
      <c r="AY74" s="426"/>
      <c r="AZ74" s="113">
        <v>69</v>
      </c>
      <c r="BA74" s="432">
        <v>101.89</v>
      </c>
      <c r="BB74" s="432">
        <v>103.78</v>
      </c>
      <c r="BC74" s="432">
        <v>104.43</v>
      </c>
      <c r="BD74" s="426"/>
      <c r="BE74" s="426"/>
      <c r="BF74" s="426"/>
      <c r="BG74" s="426"/>
      <c r="BH74" s="426"/>
    </row>
    <row r="75" spans="1:60" s="429" customFormat="1" x14ac:dyDescent="0.2">
      <c r="A75" s="426"/>
      <c r="B75" s="113">
        <v>70</v>
      </c>
      <c r="C75" s="432">
        <v>78.83</v>
      </c>
      <c r="D75" s="432">
        <v>79.92</v>
      </c>
      <c r="E75" s="432">
        <v>80.41</v>
      </c>
      <c r="F75" s="426"/>
      <c r="G75" s="426"/>
      <c r="H75" s="426"/>
      <c r="I75" s="426"/>
      <c r="J75" s="426"/>
      <c r="K75" s="426"/>
      <c r="L75" s="113">
        <v>70</v>
      </c>
      <c r="M75" s="432">
        <v>84.46</v>
      </c>
      <c r="N75" s="432">
        <v>85.73</v>
      </c>
      <c r="O75" s="432">
        <v>86.26</v>
      </c>
      <c r="P75" s="426"/>
      <c r="Q75" s="426"/>
      <c r="R75" s="426"/>
      <c r="S75" s="426"/>
      <c r="T75" s="426"/>
      <c r="U75" s="426"/>
      <c r="V75" s="113">
        <v>70</v>
      </c>
      <c r="W75" s="432">
        <v>89.56</v>
      </c>
      <c r="X75" s="432">
        <v>91.01</v>
      </c>
      <c r="Y75" s="432">
        <v>91.57</v>
      </c>
      <c r="Z75" s="426"/>
      <c r="AA75" s="426"/>
      <c r="AB75" s="426"/>
      <c r="AC75" s="426"/>
      <c r="AD75" s="426"/>
      <c r="AE75" s="426"/>
      <c r="AF75" s="113">
        <v>70</v>
      </c>
      <c r="AG75" s="432">
        <v>93.95</v>
      </c>
      <c r="AH75" s="432">
        <v>95.56</v>
      </c>
      <c r="AI75" s="432">
        <v>96.16</v>
      </c>
      <c r="AJ75" s="426"/>
      <c r="AK75" s="426"/>
      <c r="AL75" s="426"/>
      <c r="AM75" s="426"/>
      <c r="AN75" s="426"/>
      <c r="AO75" s="426"/>
      <c r="AP75" s="113">
        <v>70</v>
      </c>
      <c r="AQ75" s="432">
        <v>97.52</v>
      </c>
      <c r="AR75" s="432">
        <v>99.28</v>
      </c>
      <c r="AS75" s="432">
        <v>99.91</v>
      </c>
      <c r="AT75" s="426"/>
      <c r="AU75" s="426"/>
      <c r="AV75" s="426"/>
      <c r="AW75" s="426"/>
      <c r="AX75" s="426"/>
      <c r="AY75" s="426"/>
      <c r="AZ75" s="113">
        <v>70</v>
      </c>
      <c r="BA75" s="432">
        <v>100.26</v>
      </c>
      <c r="BB75" s="432">
        <v>102.14</v>
      </c>
      <c r="BC75" s="432">
        <v>102.78</v>
      </c>
      <c r="BD75" s="426"/>
      <c r="BE75" s="426"/>
      <c r="BF75" s="426"/>
      <c r="BG75" s="426"/>
      <c r="BH75" s="426"/>
    </row>
    <row r="76" spans="1:60" s="429" customFormat="1" x14ac:dyDescent="0.2">
      <c r="A76" s="426"/>
      <c r="B76" s="113">
        <v>71</v>
      </c>
      <c r="C76" s="432">
        <v>78.7</v>
      </c>
      <c r="D76" s="432">
        <v>79.81</v>
      </c>
      <c r="E76" s="432">
        <v>80.31</v>
      </c>
      <c r="F76" s="426"/>
      <c r="G76" s="426"/>
      <c r="H76" s="426"/>
      <c r="I76" s="426"/>
      <c r="J76" s="426"/>
      <c r="K76" s="426"/>
      <c r="L76" s="113">
        <v>71</v>
      </c>
      <c r="M76" s="432">
        <v>84.15</v>
      </c>
      <c r="N76" s="432">
        <v>85.44</v>
      </c>
      <c r="O76" s="432">
        <v>85.97</v>
      </c>
      <c r="P76" s="426"/>
      <c r="Q76" s="426"/>
      <c r="R76" s="426"/>
      <c r="S76" s="426"/>
      <c r="T76" s="426"/>
      <c r="U76" s="426"/>
      <c r="V76" s="113">
        <v>71</v>
      </c>
      <c r="W76" s="432">
        <v>88.96</v>
      </c>
      <c r="X76" s="432">
        <v>90.43</v>
      </c>
      <c r="Y76" s="432">
        <v>90.99</v>
      </c>
      <c r="Z76" s="426"/>
      <c r="AA76" s="426"/>
      <c r="AB76" s="426"/>
      <c r="AC76" s="426"/>
      <c r="AD76" s="426"/>
      <c r="AE76" s="426"/>
      <c r="AF76" s="113">
        <v>71</v>
      </c>
      <c r="AG76" s="432">
        <v>92.99</v>
      </c>
      <c r="AH76" s="432">
        <v>94.62</v>
      </c>
      <c r="AI76" s="432">
        <v>95.21</v>
      </c>
      <c r="AJ76" s="426"/>
      <c r="AK76" s="426"/>
      <c r="AL76" s="426"/>
      <c r="AM76" s="426"/>
      <c r="AN76" s="426"/>
      <c r="AO76" s="426"/>
      <c r="AP76" s="113">
        <v>71</v>
      </c>
      <c r="AQ76" s="432">
        <v>96.16</v>
      </c>
      <c r="AR76" s="432">
        <v>97.92</v>
      </c>
      <c r="AS76" s="432">
        <v>98.54</v>
      </c>
      <c r="AT76" s="426"/>
      <c r="AU76" s="426"/>
      <c r="AV76" s="426"/>
      <c r="AW76" s="426"/>
      <c r="AX76" s="426"/>
      <c r="AY76" s="426"/>
      <c r="AZ76" s="113">
        <v>71</v>
      </c>
      <c r="BA76" s="432">
        <v>98.47</v>
      </c>
      <c r="BB76" s="432">
        <v>100.34</v>
      </c>
      <c r="BC76" s="432">
        <v>100.97</v>
      </c>
      <c r="BD76" s="426"/>
      <c r="BE76" s="426"/>
      <c r="BF76" s="426"/>
      <c r="BG76" s="426"/>
      <c r="BH76" s="426"/>
    </row>
    <row r="77" spans="1:60" s="429" customFormat="1" x14ac:dyDescent="0.2">
      <c r="A77" s="426"/>
      <c r="B77" s="113">
        <v>72</v>
      </c>
      <c r="C77" s="432">
        <v>78.5</v>
      </c>
      <c r="D77" s="432">
        <v>79.63</v>
      </c>
      <c r="E77" s="432">
        <v>80.12</v>
      </c>
      <c r="F77" s="426"/>
      <c r="G77" s="426"/>
      <c r="H77" s="426"/>
      <c r="I77" s="426"/>
      <c r="J77" s="426"/>
      <c r="K77" s="426"/>
      <c r="L77" s="113">
        <v>72</v>
      </c>
      <c r="M77" s="432">
        <v>83.73</v>
      </c>
      <c r="N77" s="432">
        <v>85.04</v>
      </c>
      <c r="O77" s="432">
        <v>85.57</v>
      </c>
      <c r="P77" s="426"/>
      <c r="Q77" s="426"/>
      <c r="R77" s="426"/>
      <c r="S77" s="426"/>
      <c r="T77" s="426"/>
      <c r="U77" s="426"/>
      <c r="V77" s="113">
        <v>72</v>
      </c>
      <c r="W77" s="432">
        <v>88.23</v>
      </c>
      <c r="X77" s="432">
        <v>89.71</v>
      </c>
      <c r="Y77" s="432">
        <v>90.28</v>
      </c>
      <c r="Z77" s="426"/>
      <c r="AA77" s="426"/>
      <c r="AB77" s="426"/>
      <c r="AC77" s="426"/>
      <c r="AD77" s="426"/>
      <c r="AE77" s="426"/>
      <c r="AF77" s="113">
        <v>72</v>
      </c>
      <c r="AG77" s="432">
        <v>91.89</v>
      </c>
      <c r="AH77" s="432">
        <v>93.51</v>
      </c>
      <c r="AI77" s="432">
        <v>94.1</v>
      </c>
      <c r="AJ77" s="426"/>
      <c r="AK77" s="426"/>
      <c r="AL77" s="426"/>
      <c r="AM77" s="426"/>
      <c r="AN77" s="426"/>
      <c r="AO77" s="426"/>
      <c r="AP77" s="113">
        <v>72</v>
      </c>
      <c r="AQ77" s="432">
        <v>94.64</v>
      </c>
      <c r="AR77" s="432">
        <v>96.39</v>
      </c>
      <c r="AS77" s="432">
        <v>97</v>
      </c>
      <c r="AT77" s="426"/>
      <c r="AU77" s="426"/>
      <c r="AV77" s="426"/>
      <c r="AW77" s="426"/>
      <c r="AX77" s="426"/>
      <c r="AY77" s="426"/>
      <c r="AZ77" s="113">
        <v>72</v>
      </c>
      <c r="BA77" s="432">
        <v>96.54</v>
      </c>
      <c r="BB77" s="432">
        <v>98.39</v>
      </c>
      <c r="BC77" s="432">
        <v>99.01</v>
      </c>
      <c r="BD77" s="426"/>
      <c r="BE77" s="426"/>
      <c r="BF77" s="426"/>
      <c r="BG77" s="426"/>
      <c r="BH77" s="426"/>
    </row>
    <row r="78" spans="1:60" s="429" customFormat="1" x14ac:dyDescent="0.2">
      <c r="A78" s="426"/>
      <c r="B78" s="113">
        <v>73</v>
      </c>
      <c r="C78" s="432">
        <v>78.22</v>
      </c>
      <c r="D78" s="432">
        <v>79.37</v>
      </c>
      <c r="E78" s="432">
        <v>79.87</v>
      </c>
      <c r="F78" s="426"/>
      <c r="G78" s="426"/>
      <c r="H78" s="426"/>
      <c r="I78" s="426"/>
      <c r="J78" s="426"/>
      <c r="K78" s="426"/>
      <c r="L78" s="113">
        <v>73</v>
      </c>
      <c r="M78" s="432">
        <v>83.2</v>
      </c>
      <c r="N78" s="432">
        <v>84.53</v>
      </c>
      <c r="O78" s="432">
        <v>85.07</v>
      </c>
      <c r="P78" s="426"/>
      <c r="Q78" s="426"/>
      <c r="R78" s="426"/>
      <c r="S78" s="426"/>
      <c r="T78" s="426"/>
      <c r="U78" s="426"/>
      <c r="V78" s="113">
        <v>73</v>
      </c>
      <c r="W78" s="432">
        <v>87.38</v>
      </c>
      <c r="X78" s="432">
        <v>88.87</v>
      </c>
      <c r="Y78" s="432">
        <v>89.43</v>
      </c>
      <c r="Z78" s="426"/>
      <c r="AA78" s="426"/>
      <c r="AB78" s="426"/>
      <c r="AC78" s="426"/>
      <c r="AD78" s="426"/>
      <c r="AE78" s="426"/>
      <c r="AF78" s="113">
        <v>73</v>
      </c>
      <c r="AG78" s="432">
        <v>90.64</v>
      </c>
      <c r="AH78" s="432">
        <v>92.27</v>
      </c>
      <c r="AI78" s="432">
        <v>92.86</v>
      </c>
      <c r="AJ78" s="426"/>
      <c r="AK78" s="426"/>
      <c r="AL78" s="426"/>
      <c r="AM78" s="426"/>
      <c r="AN78" s="426"/>
      <c r="AO78" s="426"/>
      <c r="AP78" s="113">
        <v>73</v>
      </c>
      <c r="AQ78" s="432">
        <v>92.98</v>
      </c>
      <c r="AR78" s="432">
        <v>94.73</v>
      </c>
      <c r="AS78" s="432">
        <v>95.33</v>
      </c>
      <c r="AT78" s="426"/>
      <c r="AU78" s="426"/>
      <c r="AV78" s="426"/>
      <c r="AW78" s="426"/>
      <c r="AX78" s="426"/>
      <c r="AY78" s="426"/>
      <c r="AZ78" s="113">
        <v>73</v>
      </c>
      <c r="BA78" s="432">
        <v>94.48</v>
      </c>
      <c r="BB78" s="432">
        <v>96.32</v>
      </c>
      <c r="BC78" s="432">
        <v>96.93</v>
      </c>
      <c r="BD78" s="426"/>
      <c r="BE78" s="426"/>
      <c r="BF78" s="426"/>
      <c r="BG78" s="426"/>
      <c r="BH78" s="426"/>
    </row>
    <row r="79" spans="1:60" s="429" customFormat="1" x14ac:dyDescent="0.2">
      <c r="A79" s="426"/>
      <c r="B79" s="113">
        <v>74</v>
      </c>
      <c r="C79" s="432">
        <v>77.86</v>
      </c>
      <c r="D79" s="432">
        <v>79.03</v>
      </c>
      <c r="E79" s="432">
        <v>79.53</v>
      </c>
      <c r="F79" s="426"/>
      <c r="G79" s="426"/>
      <c r="H79" s="426"/>
      <c r="I79" s="426"/>
      <c r="J79" s="426"/>
      <c r="K79" s="426"/>
      <c r="L79" s="113">
        <v>74</v>
      </c>
      <c r="M79" s="432">
        <v>82.58</v>
      </c>
      <c r="N79" s="432">
        <v>83.92</v>
      </c>
      <c r="O79" s="432">
        <v>84.45</v>
      </c>
      <c r="P79" s="426"/>
      <c r="Q79" s="426"/>
      <c r="R79" s="426"/>
      <c r="S79" s="426"/>
      <c r="T79" s="426"/>
      <c r="U79" s="426"/>
      <c r="V79" s="113">
        <v>74</v>
      </c>
      <c r="W79" s="432">
        <v>86.4</v>
      </c>
      <c r="X79" s="432">
        <v>87.9</v>
      </c>
      <c r="Y79" s="432">
        <v>88.46</v>
      </c>
      <c r="Z79" s="426"/>
      <c r="AA79" s="426"/>
      <c r="AB79" s="426"/>
      <c r="AC79" s="426"/>
      <c r="AD79" s="426"/>
      <c r="AE79" s="426"/>
      <c r="AF79" s="113">
        <v>74</v>
      </c>
      <c r="AG79" s="432">
        <v>89.26</v>
      </c>
      <c r="AH79" s="432">
        <v>90.89</v>
      </c>
      <c r="AI79" s="432">
        <v>91.47</v>
      </c>
      <c r="AJ79" s="426"/>
      <c r="AK79" s="426"/>
      <c r="AL79" s="426"/>
      <c r="AM79" s="426"/>
      <c r="AN79" s="426"/>
      <c r="AO79" s="426"/>
      <c r="AP79" s="113">
        <v>74</v>
      </c>
      <c r="AQ79" s="432">
        <v>91.2</v>
      </c>
      <c r="AR79" s="432">
        <v>92.93</v>
      </c>
      <c r="AS79" s="432">
        <v>93.53</v>
      </c>
      <c r="AT79" s="426"/>
      <c r="AU79" s="426"/>
      <c r="AV79" s="426"/>
      <c r="AW79" s="426"/>
      <c r="AX79" s="426"/>
      <c r="AY79" s="426"/>
      <c r="AZ79" s="113">
        <v>74</v>
      </c>
      <c r="BA79" s="432">
        <v>92.32</v>
      </c>
      <c r="BB79" s="432">
        <v>94.14</v>
      </c>
      <c r="BC79" s="432">
        <v>94.74</v>
      </c>
      <c r="BD79" s="426"/>
      <c r="BE79" s="426"/>
      <c r="BF79" s="426"/>
      <c r="BG79" s="426"/>
      <c r="BH79" s="426"/>
    </row>
    <row r="80" spans="1:60" s="429" customFormat="1" x14ac:dyDescent="0.2">
      <c r="A80" s="426"/>
      <c r="B80" s="113">
        <v>75</v>
      </c>
      <c r="C80" s="432">
        <v>77.42</v>
      </c>
      <c r="D80" s="432">
        <v>78.61</v>
      </c>
      <c r="E80" s="432">
        <v>79.11</v>
      </c>
      <c r="F80" s="426"/>
      <c r="G80" s="426"/>
      <c r="H80" s="426"/>
      <c r="I80" s="426"/>
      <c r="J80" s="426"/>
      <c r="K80" s="426"/>
      <c r="L80" s="113">
        <v>75</v>
      </c>
      <c r="M80" s="432">
        <v>81.84</v>
      </c>
      <c r="N80" s="432">
        <v>83.2</v>
      </c>
      <c r="O80" s="432">
        <v>83.73</v>
      </c>
      <c r="P80" s="426"/>
      <c r="Q80" s="426"/>
      <c r="R80" s="426"/>
      <c r="S80" s="426"/>
      <c r="T80" s="426"/>
      <c r="U80" s="426"/>
      <c r="V80" s="113">
        <v>75</v>
      </c>
      <c r="W80" s="432">
        <v>85.3</v>
      </c>
      <c r="X80" s="432">
        <v>86.8</v>
      </c>
      <c r="Y80" s="432">
        <v>87.36</v>
      </c>
      <c r="Z80" s="426"/>
      <c r="AA80" s="426"/>
      <c r="AB80" s="426"/>
      <c r="AC80" s="426"/>
      <c r="AD80" s="426"/>
      <c r="AE80" s="426"/>
      <c r="AF80" s="113">
        <v>75</v>
      </c>
      <c r="AG80" s="432">
        <v>87.76</v>
      </c>
      <c r="AH80" s="432">
        <v>89.38</v>
      </c>
      <c r="AI80" s="432">
        <v>89.96</v>
      </c>
      <c r="AJ80" s="426"/>
      <c r="AK80" s="426"/>
      <c r="AL80" s="426"/>
      <c r="AM80" s="426"/>
      <c r="AN80" s="426"/>
      <c r="AO80" s="426"/>
      <c r="AP80" s="113">
        <v>75</v>
      </c>
      <c r="AQ80" s="432">
        <v>89.3</v>
      </c>
      <c r="AR80" s="432">
        <v>91.02</v>
      </c>
      <c r="AS80" s="432">
        <v>91.61</v>
      </c>
      <c r="AT80" s="426"/>
      <c r="AU80" s="426"/>
      <c r="AV80" s="426"/>
      <c r="AW80" s="426"/>
      <c r="AX80" s="426"/>
      <c r="AY80" s="426"/>
      <c r="AZ80" s="113">
        <v>75</v>
      </c>
      <c r="BA80" s="432">
        <v>90.06</v>
      </c>
      <c r="BB80" s="432">
        <v>91.86</v>
      </c>
      <c r="BC80" s="432">
        <v>92.45</v>
      </c>
      <c r="BD80" s="426"/>
      <c r="BE80" s="426"/>
      <c r="BF80" s="426"/>
      <c r="BG80" s="426"/>
      <c r="BH80" s="426"/>
    </row>
    <row r="81" spans="1:60" s="429" customFormat="1" x14ac:dyDescent="0.2">
      <c r="A81" s="426"/>
      <c r="B81" s="113">
        <v>76</v>
      </c>
      <c r="C81" s="432">
        <v>76.900000000000006</v>
      </c>
      <c r="D81" s="432">
        <v>78.099999999999994</v>
      </c>
      <c r="E81" s="432">
        <v>78.61</v>
      </c>
      <c r="F81" s="426"/>
      <c r="G81" s="426"/>
      <c r="H81" s="426"/>
      <c r="I81" s="426"/>
      <c r="J81" s="426"/>
      <c r="K81" s="426"/>
      <c r="L81" s="113">
        <v>76</v>
      </c>
      <c r="M81" s="432">
        <v>81</v>
      </c>
      <c r="N81" s="432">
        <v>82.37</v>
      </c>
      <c r="O81" s="432">
        <v>82.9</v>
      </c>
      <c r="P81" s="426"/>
      <c r="Q81" s="426"/>
      <c r="R81" s="426"/>
      <c r="S81" s="426"/>
      <c r="T81" s="426"/>
      <c r="U81" s="426"/>
      <c r="V81" s="113">
        <v>76</v>
      </c>
      <c r="W81" s="432">
        <v>84.07</v>
      </c>
      <c r="X81" s="432">
        <v>85.58</v>
      </c>
      <c r="Y81" s="432">
        <v>86.14</v>
      </c>
      <c r="Z81" s="426"/>
      <c r="AA81" s="426"/>
      <c r="AB81" s="426"/>
      <c r="AC81" s="426"/>
      <c r="AD81" s="426"/>
      <c r="AE81" s="426"/>
      <c r="AF81" s="113">
        <v>76</v>
      </c>
      <c r="AG81" s="432">
        <v>86.13</v>
      </c>
      <c r="AH81" s="432">
        <v>87.76</v>
      </c>
      <c r="AI81" s="432">
        <v>88.33</v>
      </c>
      <c r="AJ81" s="426"/>
      <c r="AK81" s="426"/>
      <c r="AL81" s="426"/>
      <c r="AM81" s="426"/>
      <c r="AN81" s="426"/>
      <c r="AO81" s="426"/>
      <c r="AP81" s="113">
        <v>76</v>
      </c>
      <c r="AQ81" s="432">
        <v>87.3</v>
      </c>
      <c r="AR81" s="432">
        <v>89.01</v>
      </c>
      <c r="AS81" s="432">
        <v>89.58</v>
      </c>
      <c r="AT81" s="426"/>
      <c r="AU81" s="426"/>
      <c r="AV81" s="426"/>
      <c r="AW81" s="426"/>
      <c r="AX81" s="426"/>
      <c r="AY81" s="426"/>
      <c r="AZ81" s="113">
        <v>76</v>
      </c>
      <c r="BA81" s="432">
        <v>87.73</v>
      </c>
      <c r="BB81" s="432">
        <v>89.51</v>
      </c>
      <c r="BC81" s="432">
        <v>90.09</v>
      </c>
      <c r="BD81" s="426"/>
      <c r="BE81" s="426"/>
      <c r="BF81" s="426"/>
      <c r="BG81" s="426"/>
      <c r="BH81" s="426"/>
    </row>
    <row r="82" spans="1:60" s="429" customFormat="1" x14ac:dyDescent="0.2">
      <c r="A82" s="426"/>
      <c r="B82" s="113">
        <v>77</v>
      </c>
      <c r="C82" s="432">
        <v>76.28</v>
      </c>
      <c r="D82" s="432">
        <v>77.5</v>
      </c>
      <c r="E82" s="432">
        <v>78.010000000000005</v>
      </c>
      <c r="F82" s="426"/>
      <c r="G82" s="426"/>
      <c r="H82" s="426"/>
      <c r="I82" s="426"/>
      <c r="J82" s="426"/>
      <c r="K82" s="426"/>
      <c r="L82" s="113">
        <v>77</v>
      </c>
      <c r="M82" s="432">
        <v>80.040000000000006</v>
      </c>
      <c r="N82" s="432">
        <v>81.430000000000007</v>
      </c>
      <c r="O82" s="432">
        <v>81.96</v>
      </c>
      <c r="P82" s="426"/>
      <c r="Q82" s="426"/>
      <c r="R82" s="426"/>
      <c r="S82" s="426"/>
      <c r="T82" s="426"/>
      <c r="U82" s="426"/>
      <c r="V82" s="113">
        <v>77</v>
      </c>
      <c r="W82" s="432">
        <v>82.73</v>
      </c>
      <c r="X82" s="432">
        <v>84.24</v>
      </c>
      <c r="Y82" s="432">
        <v>84.79</v>
      </c>
      <c r="Z82" s="426"/>
      <c r="AA82" s="426"/>
      <c r="AB82" s="426"/>
      <c r="AC82" s="426"/>
      <c r="AD82" s="426"/>
      <c r="AE82" s="426"/>
      <c r="AF82" s="113">
        <v>77</v>
      </c>
      <c r="AG82" s="432">
        <v>84.4</v>
      </c>
      <c r="AH82" s="432">
        <v>86.01</v>
      </c>
      <c r="AI82" s="432">
        <v>86.58</v>
      </c>
      <c r="AJ82" s="426"/>
      <c r="AK82" s="426"/>
      <c r="AL82" s="426"/>
      <c r="AM82" s="426"/>
      <c r="AN82" s="426"/>
      <c r="AO82" s="426"/>
      <c r="AP82" s="113">
        <v>77</v>
      </c>
      <c r="AQ82" s="432">
        <v>85.2</v>
      </c>
      <c r="AR82" s="432">
        <v>86.9</v>
      </c>
      <c r="AS82" s="432">
        <v>87.47</v>
      </c>
      <c r="AT82" s="426"/>
      <c r="AU82" s="426"/>
      <c r="AV82" s="426"/>
      <c r="AW82" s="426"/>
      <c r="AX82" s="426"/>
      <c r="AY82" s="426"/>
      <c r="AZ82" s="113">
        <v>77</v>
      </c>
      <c r="BA82" s="432">
        <v>85.34</v>
      </c>
      <c r="BB82" s="432">
        <v>87.1</v>
      </c>
      <c r="BC82" s="432">
        <v>87.67</v>
      </c>
      <c r="BD82" s="426"/>
      <c r="BE82" s="426"/>
      <c r="BF82" s="426"/>
      <c r="BG82" s="426"/>
      <c r="BH82" s="426"/>
    </row>
    <row r="83" spans="1:60" s="429" customFormat="1" x14ac:dyDescent="0.2">
      <c r="A83" s="426"/>
      <c r="B83" s="113">
        <v>78</v>
      </c>
      <c r="C83" s="432">
        <v>75.569999999999993</v>
      </c>
      <c r="D83" s="432">
        <v>76.81</v>
      </c>
      <c r="E83" s="432">
        <v>77.319999999999993</v>
      </c>
      <c r="F83" s="426"/>
      <c r="G83" s="426"/>
      <c r="H83" s="426"/>
      <c r="I83" s="426"/>
      <c r="J83" s="426"/>
      <c r="K83" s="426"/>
      <c r="L83" s="113">
        <v>78</v>
      </c>
      <c r="M83" s="432">
        <v>78.98</v>
      </c>
      <c r="N83" s="432">
        <v>80.37</v>
      </c>
      <c r="O83" s="432">
        <v>80.900000000000006</v>
      </c>
      <c r="P83" s="426"/>
      <c r="Q83" s="426"/>
      <c r="R83" s="426"/>
      <c r="S83" s="426"/>
      <c r="T83" s="426"/>
      <c r="U83" s="426"/>
      <c r="V83" s="113">
        <v>78</v>
      </c>
      <c r="W83" s="432">
        <v>81.27</v>
      </c>
      <c r="X83" s="432">
        <v>82.79</v>
      </c>
      <c r="Y83" s="432">
        <v>83.33</v>
      </c>
      <c r="Z83" s="426"/>
      <c r="AA83" s="426"/>
      <c r="AB83" s="426"/>
      <c r="AC83" s="426"/>
      <c r="AD83" s="426"/>
      <c r="AE83" s="426"/>
      <c r="AF83" s="113">
        <v>78</v>
      </c>
      <c r="AG83" s="432">
        <v>82.56</v>
      </c>
      <c r="AH83" s="432">
        <v>84.17</v>
      </c>
      <c r="AI83" s="432">
        <v>84.73</v>
      </c>
      <c r="AJ83" s="426"/>
      <c r="AK83" s="426"/>
      <c r="AL83" s="426"/>
      <c r="AM83" s="426"/>
      <c r="AN83" s="426"/>
      <c r="AO83" s="426"/>
      <c r="AP83" s="113">
        <v>78</v>
      </c>
      <c r="AQ83" s="432">
        <v>83.03</v>
      </c>
      <c r="AR83" s="432">
        <v>84.71</v>
      </c>
      <c r="AS83" s="432">
        <v>85.28</v>
      </c>
      <c r="AT83" s="426"/>
      <c r="AU83" s="426"/>
      <c r="AV83" s="426"/>
      <c r="AW83" s="426"/>
      <c r="AX83" s="426"/>
      <c r="AY83" s="426"/>
      <c r="AZ83" s="113">
        <v>78</v>
      </c>
      <c r="BA83" s="432">
        <v>82.91</v>
      </c>
      <c r="BB83" s="432">
        <v>84.64</v>
      </c>
      <c r="BC83" s="432">
        <v>85.2</v>
      </c>
      <c r="BD83" s="426"/>
      <c r="BE83" s="426"/>
      <c r="BF83" s="426"/>
      <c r="BG83" s="426"/>
      <c r="BH83" s="426"/>
    </row>
    <row r="84" spans="1:60" s="429" customFormat="1" x14ac:dyDescent="0.2">
      <c r="A84" s="426"/>
      <c r="B84" s="113">
        <v>79</v>
      </c>
      <c r="C84" s="432">
        <v>74.760000000000005</v>
      </c>
      <c r="D84" s="432">
        <v>76.02</v>
      </c>
      <c r="E84" s="432">
        <v>76.52</v>
      </c>
      <c r="F84" s="426"/>
      <c r="G84" s="426"/>
      <c r="H84" s="426"/>
      <c r="I84" s="426"/>
      <c r="J84" s="426"/>
      <c r="K84" s="426"/>
      <c r="L84" s="113">
        <v>79</v>
      </c>
      <c r="M84" s="432">
        <v>77.8</v>
      </c>
      <c r="N84" s="432">
        <v>79.2</v>
      </c>
      <c r="O84" s="432">
        <v>79.73</v>
      </c>
      <c r="P84" s="426"/>
      <c r="Q84" s="426"/>
      <c r="R84" s="426"/>
      <c r="S84" s="426"/>
      <c r="T84" s="426"/>
      <c r="U84" s="426"/>
      <c r="V84" s="113">
        <v>79</v>
      </c>
      <c r="W84" s="432">
        <v>79.709999999999994</v>
      </c>
      <c r="X84" s="432">
        <v>81.22</v>
      </c>
      <c r="Y84" s="432">
        <v>81.760000000000005</v>
      </c>
      <c r="Z84" s="426"/>
      <c r="AA84" s="426"/>
      <c r="AB84" s="426"/>
      <c r="AC84" s="426"/>
      <c r="AD84" s="426"/>
      <c r="AE84" s="426"/>
      <c r="AF84" s="113">
        <v>79</v>
      </c>
      <c r="AG84" s="432">
        <v>80.63</v>
      </c>
      <c r="AH84" s="432">
        <v>82.23</v>
      </c>
      <c r="AI84" s="432">
        <v>82.78</v>
      </c>
      <c r="AJ84" s="426"/>
      <c r="AK84" s="426"/>
      <c r="AL84" s="426"/>
      <c r="AM84" s="426"/>
      <c r="AN84" s="426"/>
      <c r="AO84" s="426"/>
      <c r="AP84" s="113">
        <v>79</v>
      </c>
      <c r="AQ84" s="432">
        <v>80.8</v>
      </c>
      <c r="AR84" s="432">
        <v>82.47</v>
      </c>
      <c r="AS84" s="432">
        <v>83.02</v>
      </c>
      <c r="AT84" s="426"/>
      <c r="AU84" s="426"/>
      <c r="AV84" s="426"/>
      <c r="AW84" s="426"/>
      <c r="AX84" s="426"/>
      <c r="AY84" s="426"/>
      <c r="AZ84" s="113">
        <v>79</v>
      </c>
      <c r="BA84" s="432">
        <v>80.44</v>
      </c>
      <c r="BB84" s="432">
        <v>82.16</v>
      </c>
      <c r="BC84" s="432">
        <v>82.71</v>
      </c>
      <c r="BD84" s="426"/>
      <c r="BE84" s="426"/>
      <c r="BF84" s="426"/>
      <c r="BG84" s="426"/>
      <c r="BH84" s="426"/>
    </row>
    <row r="85" spans="1:60" s="429" customFormat="1" x14ac:dyDescent="0.2">
      <c r="A85" s="426"/>
      <c r="B85" s="113">
        <v>80</v>
      </c>
      <c r="C85" s="432">
        <v>73.849999999999994</v>
      </c>
      <c r="D85" s="432">
        <v>75.12</v>
      </c>
      <c r="E85" s="432">
        <v>75.63</v>
      </c>
      <c r="F85" s="426"/>
      <c r="G85" s="426"/>
      <c r="H85" s="426"/>
      <c r="I85" s="426"/>
      <c r="J85" s="426"/>
      <c r="K85" s="426"/>
      <c r="L85" s="113">
        <v>80</v>
      </c>
      <c r="M85" s="432">
        <v>76.52</v>
      </c>
      <c r="N85" s="432">
        <v>77.92</v>
      </c>
      <c r="O85" s="432">
        <v>78.45</v>
      </c>
      <c r="P85" s="426"/>
      <c r="Q85" s="426"/>
      <c r="R85" s="426"/>
      <c r="S85" s="426"/>
      <c r="T85" s="426"/>
      <c r="U85" s="426"/>
      <c r="V85" s="113">
        <v>80</v>
      </c>
      <c r="W85" s="432">
        <v>78.040000000000006</v>
      </c>
      <c r="X85" s="432">
        <v>79.55</v>
      </c>
      <c r="Y85" s="432">
        <v>80.09</v>
      </c>
      <c r="Z85" s="426"/>
      <c r="AA85" s="426"/>
      <c r="AB85" s="426"/>
      <c r="AC85" s="426"/>
      <c r="AD85" s="426"/>
      <c r="AE85" s="426"/>
      <c r="AF85" s="113">
        <v>80</v>
      </c>
      <c r="AG85" s="432">
        <v>78.62</v>
      </c>
      <c r="AH85" s="432">
        <v>80.209999999999994</v>
      </c>
      <c r="AI85" s="432">
        <v>80.760000000000005</v>
      </c>
      <c r="AJ85" s="426"/>
      <c r="AK85" s="426"/>
      <c r="AL85" s="426"/>
      <c r="AM85" s="426"/>
      <c r="AN85" s="426"/>
      <c r="AO85" s="426"/>
      <c r="AP85" s="113">
        <v>80</v>
      </c>
      <c r="AQ85" s="432">
        <v>78.52</v>
      </c>
      <c r="AR85" s="432">
        <v>80.17</v>
      </c>
      <c r="AS85" s="432">
        <v>80.709999999999994</v>
      </c>
      <c r="AT85" s="426"/>
      <c r="AU85" s="426"/>
      <c r="AV85" s="426"/>
      <c r="AW85" s="426"/>
      <c r="AX85" s="426"/>
      <c r="AY85" s="426"/>
      <c r="AZ85" s="113">
        <v>80</v>
      </c>
      <c r="BA85" s="432">
        <v>77.959999999999994</v>
      </c>
      <c r="BB85" s="432">
        <v>79.650000000000006</v>
      </c>
      <c r="BC85" s="432">
        <v>80.2</v>
      </c>
      <c r="BD85" s="426"/>
      <c r="BE85" s="426"/>
      <c r="BF85" s="426"/>
      <c r="BG85" s="426"/>
      <c r="BH85" s="426"/>
    </row>
    <row r="86" spans="1:60" s="429" customFormat="1" x14ac:dyDescent="0.2">
      <c r="A86" s="426"/>
      <c r="B86" s="113">
        <v>81</v>
      </c>
      <c r="C86" s="432">
        <v>72.849999999999994</v>
      </c>
      <c r="D86" s="432">
        <v>74.13</v>
      </c>
      <c r="E86" s="432">
        <v>74.64</v>
      </c>
      <c r="F86" s="426"/>
      <c r="G86" s="426"/>
      <c r="H86" s="426"/>
      <c r="I86" s="426"/>
      <c r="J86" s="426"/>
      <c r="K86" s="426"/>
      <c r="L86" s="113">
        <v>81</v>
      </c>
      <c r="M86" s="432">
        <v>75.13</v>
      </c>
      <c r="N86" s="432">
        <v>76.540000000000006</v>
      </c>
      <c r="O86" s="432">
        <v>77.069999999999993</v>
      </c>
      <c r="P86" s="426"/>
      <c r="Q86" s="426"/>
      <c r="R86" s="426"/>
      <c r="S86" s="426"/>
      <c r="T86" s="426"/>
      <c r="U86" s="426"/>
      <c r="V86" s="113">
        <v>81</v>
      </c>
      <c r="W86" s="432">
        <v>76.28</v>
      </c>
      <c r="X86" s="432">
        <v>77.790000000000006</v>
      </c>
      <c r="Y86" s="432">
        <v>78.319999999999993</v>
      </c>
      <c r="Z86" s="426"/>
      <c r="AA86" s="426"/>
      <c r="AB86" s="426"/>
      <c r="AC86" s="426"/>
      <c r="AD86" s="426"/>
      <c r="AE86" s="426"/>
      <c r="AF86" s="113">
        <v>81</v>
      </c>
      <c r="AG86" s="432">
        <v>76.540000000000006</v>
      </c>
      <c r="AH86" s="432">
        <v>78.12</v>
      </c>
      <c r="AI86" s="432">
        <v>78.66</v>
      </c>
      <c r="AJ86" s="426"/>
      <c r="AK86" s="426"/>
      <c r="AL86" s="426"/>
      <c r="AM86" s="426"/>
      <c r="AN86" s="426"/>
      <c r="AO86" s="426"/>
      <c r="AP86" s="113">
        <v>81</v>
      </c>
      <c r="AQ86" s="432">
        <v>76.2</v>
      </c>
      <c r="AR86" s="432">
        <v>77.83</v>
      </c>
      <c r="AS86" s="432">
        <v>78.37</v>
      </c>
      <c r="AT86" s="426"/>
      <c r="AU86" s="426"/>
      <c r="AV86" s="426"/>
      <c r="AW86" s="426"/>
      <c r="AX86" s="426"/>
      <c r="AY86" s="426"/>
      <c r="AZ86" s="113">
        <v>81</v>
      </c>
      <c r="BA86" s="432">
        <v>75.47</v>
      </c>
      <c r="BB86" s="432">
        <v>77.150000000000006</v>
      </c>
      <c r="BC86" s="432">
        <v>77.680000000000007</v>
      </c>
      <c r="BD86" s="426"/>
      <c r="BE86" s="426"/>
      <c r="BF86" s="426"/>
      <c r="BG86" s="426"/>
      <c r="BH86" s="426"/>
    </row>
    <row r="87" spans="1:60" s="429" customFormat="1" x14ac:dyDescent="0.2">
      <c r="A87" s="426"/>
      <c r="B87" s="113">
        <v>82</v>
      </c>
      <c r="C87" s="432">
        <v>71.739999999999995</v>
      </c>
      <c r="D87" s="432">
        <v>73.040000000000006</v>
      </c>
      <c r="E87" s="432">
        <v>73.55</v>
      </c>
      <c r="F87" s="426"/>
      <c r="G87" s="426"/>
      <c r="H87" s="426"/>
      <c r="I87" s="426"/>
      <c r="J87" s="426"/>
      <c r="K87" s="426"/>
      <c r="L87" s="113">
        <v>82</v>
      </c>
      <c r="M87" s="432">
        <v>73.64</v>
      </c>
      <c r="N87" s="432">
        <v>75.06</v>
      </c>
      <c r="O87" s="432">
        <v>75.59</v>
      </c>
      <c r="P87" s="426"/>
      <c r="Q87" s="426"/>
      <c r="R87" s="426"/>
      <c r="S87" s="426"/>
      <c r="T87" s="426"/>
      <c r="U87" s="426"/>
      <c r="V87" s="113">
        <v>82</v>
      </c>
      <c r="W87" s="432">
        <v>74.430000000000007</v>
      </c>
      <c r="X87" s="432">
        <v>75.94</v>
      </c>
      <c r="Y87" s="432">
        <v>76.47</v>
      </c>
      <c r="Z87" s="426"/>
      <c r="AA87" s="426"/>
      <c r="AB87" s="426"/>
      <c r="AC87" s="426"/>
      <c r="AD87" s="426"/>
      <c r="AE87" s="426"/>
      <c r="AF87" s="113">
        <v>82</v>
      </c>
      <c r="AG87" s="432">
        <v>74.41</v>
      </c>
      <c r="AH87" s="432">
        <v>75.98</v>
      </c>
      <c r="AI87" s="432">
        <v>76.510000000000005</v>
      </c>
      <c r="AJ87" s="426"/>
      <c r="AK87" s="426"/>
      <c r="AL87" s="426"/>
      <c r="AM87" s="426"/>
      <c r="AN87" s="426"/>
      <c r="AO87" s="426"/>
      <c r="AP87" s="113">
        <v>82</v>
      </c>
      <c r="AQ87" s="432">
        <v>73.849999999999994</v>
      </c>
      <c r="AR87" s="432">
        <v>75.47</v>
      </c>
      <c r="AS87" s="432">
        <v>76</v>
      </c>
      <c r="AT87" s="426"/>
      <c r="AU87" s="426"/>
      <c r="AV87" s="426"/>
      <c r="AW87" s="426"/>
      <c r="AX87" s="426"/>
      <c r="AY87" s="426"/>
      <c r="AZ87" s="113">
        <v>82</v>
      </c>
      <c r="BA87" s="432">
        <v>72.989999999999995</v>
      </c>
      <c r="BB87" s="432">
        <v>74.650000000000006</v>
      </c>
      <c r="BC87" s="432">
        <v>75.17</v>
      </c>
      <c r="BD87" s="426"/>
      <c r="BE87" s="426"/>
      <c r="BF87" s="426"/>
      <c r="BG87" s="426"/>
      <c r="BH87" s="426"/>
    </row>
    <row r="88" spans="1:60" s="429" customFormat="1" x14ac:dyDescent="0.2">
      <c r="A88" s="426"/>
      <c r="B88" s="113">
        <v>83</v>
      </c>
      <c r="C88" s="432">
        <v>70.540000000000006</v>
      </c>
      <c r="D88" s="432">
        <v>71.849999999999994</v>
      </c>
      <c r="E88" s="432">
        <v>72.36</v>
      </c>
      <c r="F88" s="426"/>
      <c r="G88" s="426"/>
      <c r="H88" s="426"/>
      <c r="I88" s="426"/>
      <c r="J88" s="426"/>
      <c r="K88" s="426"/>
      <c r="L88" s="113">
        <v>83</v>
      </c>
      <c r="M88" s="432">
        <v>72.06</v>
      </c>
      <c r="N88" s="432">
        <v>73.48</v>
      </c>
      <c r="O88" s="432">
        <v>74.010000000000005</v>
      </c>
      <c r="P88" s="426"/>
      <c r="Q88" s="426"/>
      <c r="R88" s="426"/>
      <c r="S88" s="426"/>
      <c r="T88" s="426"/>
      <c r="U88" s="426"/>
      <c r="V88" s="113">
        <v>83</v>
      </c>
      <c r="W88" s="432">
        <v>72.52</v>
      </c>
      <c r="X88" s="432">
        <v>74.02</v>
      </c>
      <c r="Y88" s="432">
        <v>74.55</v>
      </c>
      <c r="Z88" s="426"/>
      <c r="AA88" s="426"/>
      <c r="AB88" s="426"/>
      <c r="AC88" s="426"/>
      <c r="AD88" s="426"/>
      <c r="AE88" s="426"/>
      <c r="AF88" s="113">
        <v>83</v>
      </c>
      <c r="AG88" s="432">
        <v>72.23</v>
      </c>
      <c r="AH88" s="432">
        <v>73.790000000000006</v>
      </c>
      <c r="AI88" s="432">
        <v>74.319999999999993</v>
      </c>
      <c r="AJ88" s="426"/>
      <c r="AK88" s="426"/>
      <c r="AL88" s="426"/>
      <c r="AM88" s="426"/>
      <c r="AN88" s="426"/>
      <c r="AO88" s="426"/>
      <c r="AP88" s="113">
        <v>83</v>
      </c>
      <c r="AQ88" s="432">
        <v>71.489999999999995</v>
      </c>
      <c r="AR88" s="432">
        <v>73.099999999999994</v>
      </c>
      <c r="AS88" s="432">
        <v>73.62</v>
      </c>
      <c r="AT88" s="426"/>
      <c r="AU88" s="426"/>
      <c r="AV88" s="426"/>
      <c r="AW88" s="426"/>
      <c r="AX88" s="426"/>
      <c r="AY88" s="426"/>
      <c r="AZ88" s="113">
        <v>83</v>
      </c>
      <c r="BA88" s="432">
        <v>70.53</v>
      </c>
      <c r="BB88" s="432">
        <v>72.17</v>
      </c>
      <c r="BC88" s="432">
        <v>72.680000000000007</v>
      </c>
      <c r="BD88" s="426"/>
      <c r="BE88" s="426"/>
      <c r="BF88" s="426"/>
      <c r="BG88" s="426"/>
      <c r="BH88" s="426"/>
    </row>
    <row r="89" spans="1:60" s="429" customFormat="1" x14ac:dyDescent="0.2">
      <c r="A89" s="426"/>
      <c r="B89" s="113">
        <v>84</v>
      </c>
      <c r="C89" s="432">
        <v>69.239999999999995</v>
      </c>
      <c r="D89" s="432">
        <v>70.56</v>
      </c>
      <c r="E89" s="432">
        <v>71.069999999999993</v>
      </c>
      <c r="F89" s="426"/>
      <c r="G89" s="426"/>
      <c r="H89" s="426"/>
      <c r="I89" s="426"/>
      <c r="J89" s="426"/>
      <c r="K89" s="426"/>
      <c r="L89" s="113">
        <v>84</v>
      </c>
      <c r="M89" s="432">
        <v>70.39</v>
      </c>
      <c r="N89" s="432">
        <v>71.819999999999993</v>
      </c>
      <c r="O89" s="432">
        <v>72.34</v>
      </c>
      <c r="P89" s="426"/>
      <c r="Q89" s="426"/>
      <c r="R89" s="426"/>
      <c r="S89" s="426"/>
      <c r="T89" s="426"/>
      <c r="U89" s="426"/>
      <c r="V89" s="113">
        <v>84</v>
      </c>
      <c r="W89" s="432">
        <v>70.540000000000006</v>
      </c>
      <c r="X89" s="432">
        <v>72.03</v>
      </c>
      <c r="Y89" s="432">
        <v>72.56</v>
      </c>
      <c r="Z89" s="426"/>
      <c r="AA89" s="426"/>
      <c r="AB89" s="426"/>
      <c r="AC89" s="426"/>
      <c r="AD89" s="426"/>
      <c r="AE89" s="426"/>
      <c r="AF89" s="113">
        <v>84</v>
      </c>
      <c r="AG89" s="432">
        <v>70.02</v>
      </c>
      <c r="AH89" s="432">
        <v>71.569999999999993</v>
      </c>
      <c r="AI89" s="432">
        <v>72.09</v>
      </c>
      <c r="AJ89" s="426"/>
      <c r="AK89" s="426"/>
      <c r="AL89" s="426"/>
      <c r="AM89" s="426"/>
      <c r="AN89" s="426"/>
      <c r="AO89" s="426"/>
      <c r="AP89" s="113">
        <v>84</v>
      </c>
      <c r="AQ89" s="432">
        <v>69.14</v>
      </c>
      <c r="AR89" s="432">
        <v>70.72</v>
      </c>
      <c r="AS89" s="432">
        <v>71.239999999999995</v>
      </c>
      <c r="AT89" s="426"/>
      <c r="AU89" s="426"/>
      <c r="AV89" s="426"/>
      <c r="AW89" s="426"/>
      <c r="AX89" s="426"/>
      <c r="AY89" s="426"/>
      <c r="AZ89" s="113">
        <v>84</v>
      </c>
      <c r="BA89" s="432">
        <v>68.09</v>
      </c>
      <c r="BB89" s="432">
        <v>69.709999999999994</v>
      </c>
      <c r="BC89" s="432">
        <v>70.22</v>
      </c>
      <c r="BD89" s="426"/>
      <c r="BE89" s="426"/>
      <c r="BF89" s="426"/>
      <c r="BG89" s="426"/>
      <c r="BH89" s="426"/>
    </row>
    <row r="90" spans="1:60" s="429" customFormat="1" x14ac:dyDescent="0.2">
      <c r="A90" s="426"/>
      <c r="B90" s="113">
        <v>85</v>
      </c>
      <c r="C90" s="432">
        <v>67.849999999999994</v>
      </c>
      <c r="D90" s="432">
        <v>69.180000000000007</v>
      </c>
      <c r="E90" s="432">
        <v>69.69</v>
      </c>
      <c r="F90" s="426"/>
      <c r="G90" s="426"/>
      <c r="H90" s="426"/>
      <c r="I90" s="426"/>
      <c r="J90" s="426"/>
      <c r="K90" s="426"/>
      <c r="L90" s="113">
        <v>85</v>
      </c>
      <c r="M90" s="432">
        <v>68.650000000000006</v>
      </c>
      <c r="N90" s="432">
        <v>70.069999999999993</v>
      </c>
      <c r="O90" s="432">
        <v>70.59</v>
      </c>
      <c r="P90" s="426"/>
      <c r="Q90" s="426"/>
      <c r="R90" s="426"/>
      <c r="S90" s="426"/>
      <c r="T90" s="426"/>
      <c r="U90" s="426"/>
      <c r="V90" s="113">
        <v>85</v>
      </c>
      <c r="W90" s="432">
        <v>68.5</v>
      </c>
      <c r="X90" s="432">
        <v>69.989999999999995</v>
      </c>
      <c r="Y90" s="432">
        <v>70.510000000000005</v>
      </c>
      <c r="Z90" s="426"/>
      <c r="AA90" s="426"/>
      <c r="AB90" s="426"/>
      <c r="AC90" s="426"/>
      <c r="AD90" s="426"/>
      <c r="AE90" s="426"/>
      <c r="AF90" s="113">
        <v>85</v>
      </c>
      <c r="AG90" s="432">
        <v>67.790000000000006</v>
      </c>
      <c r="AH90" s="432">
        <v>69.33</v>
      </c>
      <c r="AI90" s="432">
        <v>69.84</v>
      </c>
      <c r="AJ90" s="426"/>
      <c r="AK90" s="426"/>
      <c r="AL90" s="426"/>
      <c r="AM90" s="426"/>
      <c r="AN90" s="426"/>
      <c r="AO90" s="426"/>
      <c r="AP90" s="113">
        <v>85</v>
      </c>
      <c r="AQ90" s="432">
        <v>66.78</v>
      </c>
      <c r="AR90" s="432">
        <v>68.36</v>
      </c>
      <c r="AS90" s="432">
        <v>68.86</v>
      </c>
      <c r="AT90" s="426"/>
      <c r="AU90" s="426"/>
      <c r="AV90" s="426"/>
      <c r="AW90" s="426"/>
      <c r="AX90" s="426"/>
      <c r="AY90" s="426"/>
      <c r="AZ90" s="113">
        <v>85</v>
      </c>
      <c r="BA90" s="432">
        <v>65.69</v>
      </c>
      <c r="BB90" s="432">
        <v>67.290000000000006</v>
      </c>
      <c r="BC90" s="432">
        <v>67.790000000000006</v>
      </c>
      <c r="BD90" s="426"/>
      <c r="BE90" s="426"/>
      <c r="BF90" s="426"/>
      <c r="BG90" s="426"/>
      <c r="BH90" s="426"/>
    </row>
    <row r="91" spans="1:60" s="429" customFormat="1" x14ac:dyDescent="0.2">
      <c r="A91" s="426"/>
      <c r="B91" s="113">
        <v>86</v>
      </c>
      <c r="C91" s="432">
        <v>66.37</v>
      </c>
      <c r="D91" s="432">
        <v>67.709999999999994</v>
      </c>
      <c r="E91" s="432">
        <v>68.22</v>
      </c>
      <c r="F91" s="426"/>
      <c r="G91" s="426"/>
      <c r="H91" s="426"/>
      <c r="I91" s="426"/>
      <c r="J91" s="426"/>
      <c r="K91" s="426"/>
      <c r="L91" s="113">
        <v>86</v>
      </c>
      <c r="M91" s="432">
        <v>66.83</v>
      </c>
      <c r="N91" s="432">
        <v>68.25</v>
      </c>
      <c r="O91" s="432">
        <v>68.77</v>
      </c>
      <c r="P91" s="426"/>
      <c r="Q91" s="426"/>
      <c r="R91" s="426"/>
      <c r="S91" s="426"/>
      <c r="T91" s="426"/>
      <c r="U91" s="426"/>
      <c r="V91" s="113">
        <v>86</v>
      </c>
      <c r="W91" s="432">
        <v>66.42</v>
      </c>
      <c r="X91" s="432">
        <v>67.91</v>
      </c>
      <c r="Y91" s="432">
        <v>68.430000000000007</v>
      </c>
      <c r="Z91" s="426"/>
      <c r="AA91" s="426"/>
      <c r="AB91" s="426"/>
      <c r="AC91" s="426"/>
      <c r="AD91" s="426"/>
      <c r="AE91" s="426"/>
      <c r="AF91" s="113">
        <v>86</v>
      </c>
      <c r="AG91" s="432">
        <v>65.540000000000006</v>
      </c>
      <c r="AH91" s="432">
        <v>67.069999999999993</v>
      </c>
      <c r="AI91" s="432">
        <v>67.58</v>
      </c>
      <c r="AJ91" s="426"/>
      <c r="AK91" s="426"/>
      <c r="AL91" s="426"/>
      <c r="AM91" s="426"/>
      <c r="AN91" s="426"/>
      <c r="AO91" s="426"/>
      <c r="AP91" s="113">
        <v>86</v>
      </c>
      <c r="AQ91" s="432">
        <v>64.45</v>
      </c>
      <c r="AR91" s="432">
        <v>66.010000000000005</v>
      </c>
      <c r="AS91" s="432">
        <v>66.510000000000005</v>
      </c>
      <c r="AT91" s="426"/>
      <c r="AU91" s="426"/>
      <c r="AV91" s="426"/>
      <c r="AW91" s="426"/>
      <c r="AX91" s="426"/>
      <c r="AY91" s="426"/>
      <c r="AZ91" s="113">
        <v>86</v>
      </c>
      <c r="BA91" s="432">
        <v>63.32</v>
      </c>
      <c r="BB91" s="432">
        <v>64.900000000000006</v>
      </c>
      <c r="BC91" s="432">
        <v>65.400000000000006</v>
      </c>
      <c r="BD91" s="426"/>
      <c r="BE91" s="426"/>
      <c r="BF91" s="426"/>
      <c r="BG91" s="426"/>
      <c r="BH91" s="426"/>
    </row>
    <row r="92" spans="1:60" s="429" customFormat="1" x14ac:dyDescent="0.2">
      <c r="A92" s="426"/>
      <c r="B92" s="113">
        <v>87</v>
      </c>
      <c r="C92" s="432">
        <v>64.81</v>
      </c>
      <c r="D92" s="432">
        <v>66.150000000000006</v>
      </c>
      <c r="E92" s="432">
        <v>66.67</v>
      </c>
      <c r="F92" s="426"/>
      <c r="G92" s="426"/>
      <c r="H92" s="426"/>
      <c r="I92" s="426"/>
      <c r="J92" s="426"/>
      <c r="K92" s="426"/>
      <c r="L92" s="113">
        <v>87</v>
      </c>
      <c r="M92" s="432">
        <v>64.95</v>
      </c>
      <c r="N92" s="432">
        <v>66.37</v>
      </c>
      <c r="O92" s="432">
        <v>66.89</v>
      </c>
      <c r="P92" s="426"/>
      <c r="Q92" s="426"/>
      <c r="R92" s="426"/>
      <c r="S92" s="426"/>
      <c r="T92" s="426"/>
      <c r="U92" s="426"/>
      <c r="V92" s="113">
        <v>87</v>
      </c>
      <c r="W92" s="432">
        <v>64.31</v>
      </c>
      <c r="X92" s="432">
        <v>65.790000000000006</v>
      </c>
      <c r="Y92" s="432">
        <v>66.31</v>
      </c>
      <c r="Z92" s="426"/>
      <c r="AA92" s="426"/>
      <c r="AB92" s="426"/>
      <c r="AC92" s="426"/>
      <c r="AD92" s="426"/>
      <c r="AE92" s="426"/>
      <c r="AF92" s="113">
        <v>87</v>
      </c>
      <c r="AG92" s="432">
        <v>63.29</v>
      </c>
      <c r="AH92" s="432">
        <v>64.81</v>
      </c>
      <c r="AI92" s="432">
        <v>65.319999999999993</v>
      </c>
      <c r="AJ92" s="426"/>
      <c r="AK92" s="426"/>
      <c r="AL92" s="426"/>
      <c r="AM92" s="426"/>
      <c r="AN92" s="426"/>
      <c r="AO92" s="426"/>
      <c r="AP92" s="113">
        <v>87</v>
      </c>
      <c r="AQ92" s="432">
        <v>62.13</v>
      </c>
      <c r="AR92" s="432">
        <v>63.68</v>
      </c>
      <c r="AS92" s="432">
        <v>64.180000000000007</v>
      </c>
      <c r="AT92" s="426"/>
      <c r="AU92" s="426"/>
      <c r="AV92" s="426"/>
      <c r="AW92" s="426"/>
      <c r="AX92" s="426"/>
      <c r="AY92" s="426"/>
      <c r="AZ92" s="113">
        <v>87</v>
      </c>
      <c r="BA92" s="432">
        <v>61</v>
      </c>
      <c r="BB92" s="432">
        <v>62.56</v>
      </c>
      <c r="BC92" s="432">
        <v>63.05</v>
      </c>
      <c r="BD92" s="426"/>
      <c r="BE92" s="426"/>
      <c r="BF92" s="426"/>
      <c r="BG92" s="426"/>
      <c r="BH92" s="426"/>
    </row>
    <row r="93" spans="1:60" s="429" customFormat="1" x14ac:dyDescent="0.2">
      <c r="A93" s="426"/>
      <c r="B93" s="113">
        <v>88</v>
      </c>
      <c r="C93" s="432">
        <v>63.17</v>
      </c>
      <c r="D93" s="432">
        <v>64.52</v>
      </c>
      <c r="E93" s="432">
        <v>65.040000000000006</v>
      </c>
      <c r="F93" s="426"/>
      <c r="G93" s="426"/>
      <c r="H93" s="426"/>
      <c r="I93" s="426"/>
      <c r="J93" s="426"/>
      <c r="K93" s="426"/>
      <c r="L93" s="113">
        <v>88</v>
      </c>
      <c r="M93" s="432">
        <v>63.01</v>
      </c>
      <c r="N93" s="432">
        <v>64.430000000000007</v>
      </c>
      <c r="O93" s="432">
        <v>64.95</v>
      </c>
      <c r="P93" s="426"/>
      <c r="Q93" s="426"/>
      <c r="R93" s="426"/>
      <c r="S93" s="426"/>
      <c r="T93" s="426"/>
      <c r="U93" s="426"/>
      <c r="V93" s="113">
        <v>88</v>
      </c>
      <c r="W93" s="432">
        <v>62.18</v>
      </c>
      <c r="X93" s="432">
        <v>63.65</v>
      </c>
      <c r="Y93" s="432">
        <v>64.16</v>
      </c>
      <c r="Z93" s="426"/>
      <c r="AA93" s="426"/>
      <c r="AB93" s="426"/>
      <c r="AC93" s="426"/>
      <c r="AD93" s="426"/>
      <c r="AE93" s="426"/>
      <c r="AF93" s="113">
        <v>88</v>
      </c>
      <c r="AG93" s="432">
        <v>61.05</v>
      </c>
      <c r="AH93" s="432">
        <v>62.56</v>
      </c>
      <c r="AI93" s="432">
        <v>63.06</v>
      </c>
      <c r="AJ93" s="426"/>
      <c r="AK93" s="426"/>
      <c r="AL93" s="426"/>
      <c r="AM93" s="426"/>
      <c r="AN93" s="426"/>
      <c r="AO93" s="426"/>
      <c r="AP93" s="113">
        <v>88</v>
      </c>
      <c r="AQ93" s="432">
        <v>59.85</v>
      </c>
      <c r="AR93" s="432">
        <v>61.38</v>
      </c>
      <c r="AS93" s="432">
        <v>61.87</v>
      </c>
      <c r="AT93" s="426"/>
      <c r="AU93" s="426"/>
      <c r="AV93" s="426"/>
      <c r="AW93" s="426"/>
      <c r="AX93" s="426"/>
      <c r="AY93" s="426"/>
      <c r="AZ93" s="113">
        <v>88</v>
      </c>
      <c r="BA93" s="432">
        <v>58.72</v>
      </c>
      <c r="BB93" s="432">
        <v>60.27</v>
      </c>
      <c r="BC93" s="432">
        <v>60.75</v>
      </c>
      <c r="BD93" s="426"/>
      <c r="BE93" s="426"/>
      <c r="BF93" s="426"/>
      <c r="BG93" s="426"/>
      <c r="BH93" s="426"/>
    </row>
    <row r="94" spans="1:60" s="429" customFormat="1" x14ac:dyDescent="0.2">
      <c r="A94" s="426"/>
      <c r="B94" s="113">
        <v>89</v>
      </c>
      <c r="C94" s="432">
        <v>61.46</v>
      </c>
      <c r="D94" s="432">
        <v>62.81</v>
      </c>
      <c r="E94" s="432">
        <v>63.33</v>
      </c>
      <c r="F94" s="426"/>
      <c r="G94" s="426"/>
      <c r="H94" s="426"/>
      <c r="I94" s="426"/>
      <c r="J94" s="426"/>
      <c r="K94" s="426"/>
      <c r="L94" s="113">
        <v>89</v>
      </c>
      <c r="M94" s="432">
        <v>61.03</v>
      </c>
      <c r="N94" s="432">
        <v>62.45</v>
      </c>
      <c r="O94" s="432">
        <v>62.97</v>
      </c>
      <c r="P94" s="426"/>
      <c r="Q94" s="426"/>
      <c r="R94" s="426"/>
      <c r="S94" s="426"/>
      <c r="T94" s="426"/>
      <c r="U94" s="426"/>
      <c r="V94" s="113">
        <v>89</v>
      </c>
      <c r="W94" s="432">
        <v>60.03</v>
      </c>
      <c r="X94" s="432">
        <v>61.5</v>
      </c>
      <c r="Y94" s="432">
        <v>62.01</v>
      </c>
      <c r="Z94" s="426"/>
      <c r="AA94" s="426"/>
      <c r="AB94" s="426"/>
      <c r="AC94" s="426"/>
      <c r="AD94" s="426"/>
      <c r="AE94" s="426"/>
      <c r="AF94" s="113">
        <v>89</v>
      </c>
      <c r="AG94" s="432">
        <v>58.82</v>
      </c>
      <c r="AH94" s="432">
        <v>60.32</v>
      </c>
      <c r="AI94" s="432">
        <v>60.81</v>
      </c>
      <c r="AJ94" s="426"/>
      <c r="AK94" s="426"/>
      <c r="AL94" s="426"/>
      <c r="AM94" s="426"/>
      <c r="AN94" s="426"/>
      <c r="AO94" s="426"/>
      <c r="AP94" s="113">
        <v>89</v>
      </c>
      <c r="AQ94" s="432">
        <v>57.6</v>
      </c>
      <c r="AR94" s="432">
        <v>59.12</v>
      </c>
      <c r="AS94" s="432">
        <v>59.61</v>
      </c>
      <c r="AT94" s="426"/>
      <c r="AU94" s="426"/>
      <c r="AV94" s="426"/>
      <c r="AW94" s="426"/>
      <c r="AX94" s="426"/>
      <c r="AY94" s="426"/>
      <c r="AZ94" s="113">
        <v>89</v>
      </c>
      <c r="BA94" s="432">
        <v>56.48</v>
      </c>
      <c r="BB94" s="432">
        <v>58.02</v>
      </c>
      <c r="BC94" s="432">
        <v>58.5</v>
      </c>
      <c r="BD94" s="426"/>
      <c r="BE94" s="426"/>
      <c r="BF94" s="426"/>
      <c r="BG94" s="426"/>
      <c r="BH94" s="426"/>
    </row>
    <row r="95" spans="1:60" s="429" customFormat="1" x14ac:dyDescent="0.2">
      <c r="A95" s="426"/>
      <c r="B95" s="113">
        <v>90</v>
      </c>
      <c r="C95" s="432">
        <v>59.68</v>
      </c>
      <c r="D95" s="432">
        <v>61.04</v>
      </c>
      <c r="E95" s="432">
        <v>61.56</v>
      </c>
      <c r="F95" s="426"/>
      <c r="G95" s="426"/>
      <c r="H95" s="426"/>
      <c r="I95" s="426"/>
      <c r="J95" s="426"/>
      <c r="K95" s="426"/>
      <c r="L95" s="113">
        <v>90</v>
      </c>
      <c r="M95" s="432">
        <v>59.01</v>
      </c>
      <c r="N95" s="432">
        <v>60.43</v>
      </c>
      <c r="O95" s="432">
        <v>60.95</v>
      </c>
      <c r="P95" s="426"/>
      <c r="Q95" s="426"/>
      <c r="R95" s="426"/>
      <c r="S95" s="426"/>
      <c r="T95" s="426"/>
      <c r="U95" s="426"/>
      <c r="V95" s="113">
        <v>90</v>
      </c>
      <c r="W95" s="432">
        <v>57.87</v>
      </c>
      <c r="X95" s="432">
        <v>59.34</v>
      </c>
      <c r="Y95" s="432">
        <v>59.84</v>
      </c>
      <c r="Z95" s="426"/>
      <c r="AA95" s="426"/>
      <c r="AB95" s="426"/>
      <c r="AC95" s="426"/>
      <c r="AD95" s="426"/>
      <c r="AE95" s="426"/>
      <c r="AF95" s="113">
        <v>90</v>
      </c>
      <c r="AG95" s="432">
        <v>56.6</v>
      </c>
      <c r="AH95" s="432">
        <v>58.09</v>
      </c>
      <c r="AI95" s="432">
        <v>58.59</v>
      </c>
      <c r="AJ95" s="426"/>
      <c r="AK95" s="426"/>
      <c r="AL95" s="426"/>
      <c r="AM95" s="426"/>
      <c r="AN95" s="426"/>
      <c r="AO95" s="426"/>
      <c r="AP95" s="113">
        <v>90</v>
      </c>
      <c r="AQ95" s="432">
        <v>55.38</v>
      </c>
      <c r="AR95" s="432">
        <v>56.89</v>
      </c>
      <c r="AS95" s="432">
        <v>57.38</v>
      </c>
      <c r="AT95" s="426"/>
      <c r="AU95" s="426"/>
      <c r="AV95" s="426"/>
      <c r="AW95" s="426"/>
      <c r="AX95" s="426"/>
      <c r="AY95" s="426"/>
      <c r="AZ95" s="113">
        <v>90</v>
      </c>
      <c r="BA95" s="432">
        <v>54.3</v>
      </c>
      <c r="BB95" s="432">
        <v>55.83</v>
      </c>
      <c r="BC95" s="432">
        <v>56.3</v>
      </c>
      <c r="BD95" s="426"/>
      <c r="BE95" s="426"/>
      <c r="BF95" s="426"/>
      <c r="BG95" s="426"/>
      <c r="BH95" s="426"/>
    </row>
    <row r="96" spans="1:60" s="429" customFormat="1" x14ac:dyDescent="0.2">
      <c r="A96" s="426"/>
      <c r="B96" s="113">
        <v>91</v>
      </c>
      <c r="C96" s="432">
        <v>57.85</v>
      </c>
      <c r="D96" s="432">
        <v>59.21</v>
      </c>
      <c r="E96" s="432">
        <v>59.73</v>
      </c>
      <c r="F96" s="426"/>
      <c r="G96" s="426"/>
      <c r="H96" s="426"/>
      <c r="I96" s="426"/>
      <c r="J96" s="426"/>
      <c r="K96" s="426"/>
      <c r="L96" s="113">
        <v>91</v>
      </c>
      <c r="M96" s="432">
        <v>56.96</v>
      </c>
      <c r="N96" s="432">
        <v>58.39</v>
      </c>
      <c r="O96" s="432">
        <v>58.9</v>
      </c>
      <c r="P96" s="426"/>
      <c r="Q96" s="426"/>
      <c r="R96" s="426"/>
      <c r="S96" s="426"/>
      <c r="T96" s="426"/>
      <c r="U96" s="426"/>
      <c r="V96" s="113">
        <v>91</v>
      </c>
      <c r="W96" s="432">
        <v>55.72</v>
      </c>
      <c r="X96" s="432">
        <v>57.17</v>
      </c>
      <c r="Y96" s="432">
        <v>57.67</v>
      </c>
      <c r="Z96" s="426"/>
      <c r="AA96" s="426"/>
      <c r="AB96" s="426"/>
      <c r="AC96" s="426"/>
      <c r="AD96" s="426"/>
      <c r="AE96" s="426"/>
      <c r="AF96" s="113">
        <v>91</v>
      </c>
      <c r="AG96" s="432">
        <v>54.41</v>
      </c>
      <c r="AH96" s="432">
        <v>55.9</v>
      </c>
      <c r="AI96" s="432">
        <v>56.38</v>
      </c>
      <c r="AJ96" s="426"/>
      <c r="AK96" s="426"/>
      <c r="AL96" s="426"/>
      <c r="AM96" s="426"/>
      <c r="AN96" s="426"/>
      <c r="AO96" s="426"/>
      <c r="AP96" s="113">
        <v>91</v>
      </c>
      <c r="AQ96" s="432">
        <v>53.2</v>
      </c>
      <c r="AR96" s="432">
        <v>54.71</v>
      </c>
      <c r="AS96" s="432">
        <v>55.19</v>
      </c>
      <c r="AT96" s="426"/>
      <c r="AU96" s="426"/>
      <c r="AV96" s="426"/>
      <c r="AW96" s="426"/>
      <c r="AX96" s="426"/>
      <c r="AY96" s="426"/>
      <c r="AZ96" s="113">
        <v>91</v>
      </c>
      <c r="BA96" s="432">
        <v>52.16</v>
      </c>
      <c r="BB96" s="432">
        <v>53.68</v>
      </c>
      <c r="BC96" s="432">
        <v>54.15</v>
      </c>
      <c r="BD96" s="426"/>
      <c r="BE96" s="426"/>
      <c r="BF96" s="426"/>
      <c r="BG96" s="426"/>
      <c r="BH96" s="426"/>
    </row>
    <row r="97" spans="1:60" s="429" customFormat="1" x14ac:dyDescent="0.2">
      <c r="A97" s="426"/>
      <c r="B97" s="113">
        <v>92</v>
      </c>
      <c r="C97" s="432">
        <v>55.96</v>
      </c>
      <c r="D97" s="432">
        <v>57.33</v>
      </c>
      <c r="E97" s="432">
        <v>57.85</v>
      </c>
      <c r="F97" s="426"/>
      <c r="G97" s="426"/>
      <c r="H97" s="426"/>
      <c r="I97" s="426"/>
      <c r="J97" s="426"/>
      <c r="K97" s="426"/>
      <c r="L97" s="113">
        <v>92</v>
      </c>
      <c r="M97" s="432">
        <v>54.89</v>
      </c>
      <c r="N97" s="432">
        <v>56.31</v>
      </c>
      <c r="O97" s="432">
        <v>56.82</v>
      </c>
      <c r="P97" s="426"/>
      <c r="Q97" s="426"/>
      <c r="R97" s="426"/>
      <c r="S97" s="426"/>
      <c r="T97" s="426"/>
      <c r="U97" s="426"/>
      <c r="V97" s="113">
        <v>92</v>
      </c>
      <c r="W97" s="432">
        <v>53.56</v>
      </c>
      <c r="X97" s="432">
        <v>55.02</v>
      </c>
      <c r="Y97" s="432">
        <v>55.51</v>
      </c>
      <c r="Z97" s="426"/>
      <c r="AA97" s="426"/>
      <c r="AB97" s="426"/>
      <c r="AC97" s="426"/>
      <c r="AD97" s="426"/>
      <c r="AE97" s="426"/>
      <c r="AF97" s="113">
        <v>92</v>
      </c>
      <c r="AG97" s="432">
        <v>52.24</v>
      </c>
      <c r="AH97" s="432">
        <v>53.72</v>
      </c>
      <c r="AI97" s="432">
        <v>54.21</v>
      </c>
      <c r="AJ97" s="426"/>
      <c r="AK97" s="426"/>
      <c r="AL97" s="426"/>
      <c r="AM97" s="426"/>
      <c r="AN97" s="426"/>
      <c r="AO97" s="426"/>
      <c r="AP97" s="113">
        <v>92</v>
      </c>
      <c r="AQ97" s="432">
        <v>51.07</v>
      </c>
      <c r="AR97" s="432">
        <v>52.56</v>
      </c>
      <c r="AS97" s="432">
        <v>53.04</v>
      </c>
      <c r="AT97" s="426"/>
      <c r="AU97" s="426"/>
      <c r="AV97" s="426"/>
      <c r="AW97" s="426"/>
      <c r="AX97" s="426"/>
      <c r="AY97" s="426"/>
      <c r="AZ97" s="113">
        <v>92</v>
      </c>
      <c r="BA97" s="432">
        <v>49.98</v>
      </c>
      <c r="BB97" s="432">
        <v>51.48</v>
      </c>
      <c r="BC97" s="432">
        <v>51.94</v>
      </c>
      <c r="BD97" s="426"/>
      <c r="BE97" s="426"/>
      <c r="BF97" s="426"/>
      <c r="BG97" s="426"/>
      <c r="BH97" s="426"/>
    </row>
    <row r="98" spans="1:60" s="429" customFormat="1" x14ac:dyDescent="0.2">
      <c r="A98" s="426"/>
      <c r="B98" s="113">
        <v>93</v>
      </c>
      <c r="C98" s="432">
        <v>54.02</v>
      </c>
      <c r="D98" s="432">
        <v>55.4</v>
      </c>
      <c r="E98" s="432">
        <v>55.92</v>
      </c>
      <c r="F98" s="426"/>
      <c r="G98" s="426"/>
      <c r="H98" s="426"/>
      <c r="I98" s="426"/>
      <c r="J98" s="426"/>
      <c r="K98" s="426"/>
      <c r="L98" s="113">
        <v>93</v>
      </c>
      <c r="M98" s="432">
        <v>52.8</v>
      </c>
      <c r="N98" s="432">
        <v>54.23</v>
      </c>
      <c r="O98" s="432">
        <v>54.73</v>
      </c>
      <c r="P98" s="426"/>
      <c r="Q98" s="426"/>
      <c r="R98" s="426"/>
      <c r="S98" s="426"/>
      <c r="T98" s="426"/>
      <c r="U98" s="426"/>
      <c r="V98" s="113">
        <v>93</v>
      </c>
      <c r="W98" s="432">
        <v>51.42</v>
      </c>
      <c r="X98" s="432">
        <v>52.87</v>
      </c>
      <c r="Y98" s="432">
        <v>53.36</v>
      </c>
      <c r="Z98" s="426"/>
      <c r="AA98" s="426"/>
      <c r="AB98" s="426"/>
      <c r="AC98" s="426"/>
      <c r="AD98" s="426"/>
      <c r="AE98" s="426"/>
      <c r="AF98" s="113">
        <v>93</v>
      </c>
      <c r="AG98" s="432">
        <v>50.11</v>
      </c>
      <c r="AH98" s="432">
        <v>51.58</v>
      </c>
      <c r="AI98" s="432">
        <v>52.06</v>
      </c>
      <c r="AJ98" s="426"/>
      <c r="AK98" s="426"/>
      <c r="AL98" s="426"/>
      <c r="AM98" s="426"/>
      <c r="AN98" s="426"/>
      <c r="AO98" s="426"/>
      <c r="AP98" s="113">
        <v>93</v>
      </c>
      <c r="AQ98" s="432">
        <v>48.97</v>
      </c>
      <c r="AR98" s="432">
        <v>50.45</v>
      </c>
      <c r="AS98" s="432">
        <v>50.93</v>
      </c>
      <c r="AT98" s="426"/>
      <c r="AU98" s="426"/>
      <c r="AV98" s="426"/>
      <c r="AW98" s="426"/>
      <c r="AX98" s="426"/>
      <c r="AY98" s="426"/>
      <c r="AZ98" s="113">
        <v>93</v>
      </c>
      <c r="BA98" s="432">
        <v>47.83</v>
      </c>
      <c r="BB98" s="432">
        <v>49.32</v>
      </c>
      <c r="BC98" s="432">
        <v>49.78</v>
      </c>
      <c r="BD98" s="426"/>
      <c r="BE98" s="426"/>
      <c r="BF98" s="426"/>
      <c r="BG98" s="426"/>
      <c r="BH98" s="426"/>
    </row>
    <row r="99" spans="1:60" s="429" customFormat="1" x14ac:dyDescent="0.2">
      <c r="A99" s="426"/>
      <c r="B99" s="113">
        <v>94</v>
      </c>
      <c r="C99" s="432">
        <v>52.05</v>
      </c>
      <c r="D99" s="432">
        <v>53.43</v>
      </c>
      <c r="E99" s="432">
        <v>53.94</v>
      </c>
      <c r="F99" s="426"/>
      <c r="G99" s="426"/>
      <c r="H99" s="426"/>
      <c r="I99" s="426"/>
      <c r="J99" s="426"/>
      <c r="K99" s="426"/>
      <c r="L99" s="113">
        <v>94</v>
      </c>
      <c r="M99" s="432">
        <v>50.7</v>
      </c>
      <c r="N99" s="432">
        <v>52.13</v>
      </c>
      <c r="O99" s="432">
        <v>52.63</v>
      </c>
      <c r="P99" s="426"/>
      <c r="Q99" s="426"/>
      <c r="R99" s="426"/>
      <c r="S99" s="426"/>
      <c r="T99" s="426"/>
      <c r="U99" s="426"/>
      <c r="V99" s="113">
        <v>94</v>
      </c>
      <c r="W99" s="432">
        <v>49.29</v>
      </c>
      <c r="X99" s="432">
        <v>50.74</v>
      </c>
      <c r="Y99" s="432">
        <v>51.23</v>
      </c>
      <c r="Z99" s="426"/>
      <c r="AA99" s="426"/>
      <c r="AB99" s="426"/>
      <c r="AC99" s="426"/>
      <c r="AD99" s="426"/>
      <c r="AE99" s="426"/>
      <c r="AF99" s="113">
        <v>94</v>
      </c>
      <c r="AG99" s="432">
        <v>47.99</v>
      </c>
      <c r="AH99" s="432">
        <v>49.46</v>
      </c>
      <c r="AI99" s="432">
        <v>49.94</v>
      </c>
      <c r="AJ99" s="426"/>
      <c r="AK99" s="426"/>
      <c r="AL99" s="426"/>
      <c r="AM99" s="426"/>
      <c r="AN99" s="426"/>
      <c r="AO99" s="426"/>
      <c r="AP99" s="113">
        <v>94</v>
      </c>
      <c r="AQ99" s="432">
        <v>46.78</v>
      </c>
      <c r="AR99" s="432">
        <v>48.26</v>
      </c>
      <c r="AS99" s="432">
        <v>48.73</v>
      </c>
      <c r="AT99" s="426"/>
      <c r="AU99" s="426"/>
      <c r="AV99" s="426"/>
      <c r="AW99" s="426"/>
      <c r="AX99" s="426"/>
      <c r="AY99" s="426"/>
      <c r="AZ99" s="113">
        <v>94</v>
      </c>
      <c r="BA99" s="432">
        <v>45.72</v>
      </c>
      <c r="BB99" s="432">
        <v>47.2</v>
      </c>
      <c r="BC99" s="432">
        <v>47.65</v>
      </c>
      <c r="BD99" s="426"/>
      <c r="BE99" s="426"/>
      <c r="BF99" s="426"/>
      <c r="BG99" s="426"/>
      <c r="BH99" s="426"/>
    </row>
    <row r="100" spans="1:60" s="429" customFormat="1" x14ac:dyDescent="0.2">
      <c r="A100" s="426"/>
      <c r="B100" s="113">
        <v>95</v>
      </c>
      <c r="C100" s="432">
        <v>50.03</v>
      </c>
      <c r="D100" s="432">
        <v>51.42</v>
      </c>
      <c r="E100" s="432">
        <v>51.94</v>
      </c>
      <c r="F100" s="426"/>
      <c r="G100" s="426"/>
      <c r="H100" s="426"/>
      <c r="I100" s="426"/>
      <c r="J100" s="426"/>
      <c r="K100" s="426"/>
      <c r="L100" s="113">
        <v>95</v>
      </c>
      <c r="M100" s="432">
        <v>48.6</v>
      </c>
      <c r="N100" s="432">
        <v>50.02</v>
      </c>
      <c r="O100" s="432">
        <v>50.53</v>
      </c>
      <c r="P100" s="426"/>
      <c r="Q100" s="426"/>
      <c r="R100" s="426"/>
      <c r="S100" s="426"/>
      <c r="T100" s="426"/>
      <c r="U100" s="426"/>
      <c r="V100" s="113">
        <v>95</v>
      </c>
      <c r="W100" s="432">
        <v>47.17</v>
      </c>
      <c r="X100" s="432">
        <v>48.61</v>
      </c>
      <c r="Y100" s="432">
        <v>49.11</v>
      </c>
      <c r="Z100" s="426"/>
      <c r="AA100" s="426"/>
      <c r="AB100" s="426"/>
      <c r="AC100" s="426"/>
      <c r="AD100" s="426"/>
      <c r="AE100" s="426"/>
      <c r="AF100" s="113">
        <v>95</v>
      </c>
      <c r="AG100" s="432">
        <v>45.91</v>
      </c>
      <c r="AH100" s="432">
        <v>47.37</v>
      </c>
      <c r="AI100" s="432">
        <v>47.85</v>
      </c>
      <c r="AJ100" s="426"/>
      <c r="AK100" s="426"/>
      <c r="AL100" s="426"/>
      <c r="AM100" s="426"/>
      <c r="AN100" s="426"/>
      <c r="AO100" s="426"/>
      <c r="AP100" s="113">
        <v>95</v>
      </c>
      <c r="AQ100" s="432">
        <v>44.61</v>
      </c>
      <c r="AR100" s="432">
        <v>46.08</v>
      </c>
      <c r="AS100" s="432">
        <v>46.55</v>
      </c>
      <c r="AT100" s="426"/>
      <c r="AU100" s="426"/>
      <c r="AV100" s="426"/>
      <c r="AW100" s="426"/>
      <c r="AX100" s="426"/>
      <c r="AY100" s="426"/>
      <c r="AZ100" s="113">
        <v>95</v>
      </c>
      <c r="BA100" s="432">
        <v>43.63</v>
      </c>
      <c r="BB100" s="432">
        <v>45.11</v>
      </c>
      <c r="BC100" s="432">
        <v>45.56</v>
      </c>
      <c r="BD100" s="426"/>
      <c r="BE100" s="426"/>
      <c r="BF100" s="426"/>
      <c r="BG100" s="426"/>
      <c r="BH100" s="426"/>
    </row>
    <row r="101" spans="1:60" s="429" customFormat="1" x14ac:dyDescent="0.2">
      <c r="A101" s="426"/>
      <c r="B101" s="113">
        <v>96</v>
      </c>
      <c r="C101" s="432">
        <v>47.98</v>
      </c>
      <c r="D101" s="432">
        <v>49.37</v>
      </c>
      <c r="E101" s="432">
        <v>49.89</v>
      </c>
      <c r="F101" s="426"/>
      <c r="G101" s="426"/>
      <c r="H101" s="426"/>
      <c r="I101" s="426"/>
      <c r="J101" s="426"/>
      <c r="K101" s="426"/>
      <c r="L101" s="113">
        <v>96</v>
      </c>
      <c r="M101" s="432">
        <v>46.48</v>
      </c>
      <c r="N101" s="432">
        <v>47.91</v>
      </c>
      <c r="O101" s="432">
        <v>48.41</v>
      </c>
      <c r="P101" s="426"/>
      <c r="Q101" s="426"/>
      <c r="R101" s="426"/>
      <c r="S101" s="426"/>
      <c r="T101" s="426"/>
      <c r="U101" s="426"/>
      <c r="V101" s="113">
        <v>96</v>
      </c>
      <c r="W101" s="432">
        <v>45.06</v>
      </c>
      <c r="X101" s="432">
        <v>46.51</v>
      </c>
      <c r="Y101" s="432">
        <v>47</v>
      </c>
      <c r="Z101" s="426"/>
      <c r="AA101" s="426"/>
      <c r="AB101" s="426"/>
      <c r="AC101" s="426"/>
      <c r="AD101" s="426"/>
      <c r="AE101" s="426"/>
      <c r="AF101" s="113">
        <v>96</v>
      </c>
      <c r="AG101" s="432">
        <v>43.68</v>
      </c>
      <c r="AH101" s="432">
        <v>45.14</v>
      </c>
      <c r="AI101" s="432">
        <v>45.61</v>
      </c>
      <c r="AJ101" s="426"/>
      <c r="AK101" s="426"/>
      <c r="AL101" s="426"/>
      <c r="AM101" s="426"/>
      <c r="AN101" s="426"/>
      <c r="AO101" s="426"/>
      <c r="AP101" s="113">
        <v>96</v>
      </c>
      <c r="AQ101" s="432">
        <v>42.46</v>
      </c>
      <c r="AR101" s="432">
        <v>43.92</v>
      </c>
      <c r="AS101" s="432">
        <v>44.39</v>
      </c>
      <c r="AT101" s="426"/>
      <c r="AU101" s="426"/>
      <c r="AV101" s="426"/>
      <c r="AW101" s="426"/>
      <c r="AX101" s="426"/>
      <c r="AY101" s="426"/>
      <c r="AZ101" s="113">
        <v>96</v>
      </c>
      <c r="BA101" s="432">
        <v>41.56</v>
      </c>
      <c r="BB101" s="432">
        <v>43.03</v>
      </c>
      <c r="BC101" s="432">
        <v>43.48</v>
      </c>
      <c r="BD101" s="426"/>
      <c r="BE101" s="426"/>
      <c r="BF101" s="426"/>
      <c r="BG101" s="426"/>
      <c r="BH101" s="426"/>
    </row>
    <row r="102" spans="1:60" s="429" customFormat="1" x14ac:dyDescent="0.2">
      <c r="A102" s="426"/>
      <c r="B102" s="113">
        <v>97</v>
      </c>
      <c r="C102" s="432">
        <v>45.9</v>
      </c>
      <c r="D102" s="432">
        <v>47.3</v>
      </c>
      <c r="E102" s="432">
        <v>47.82</v>
      </c>
      <c r="F102" s="426"/>
      <c r="G102" s="426"/>
      <c r="H102" s="426"/>
      <c r="I102" s="426"/>
      <c r="J102" s="426"/>
      <c r="K102" s="426"/>
      <c r="L102" s="113">
        <v>97</v>
      </c>
      <c r="M102" s="432">
        <v>44.35</v>
      </c>
      <c r="N102" s="432">
        <v>45.79</v>
      </c>
      <c r="O102" s="432">
        <v>46.29</v>
      </c>
      <c r="P102" s="426"/>
      <c r="Q102" s="426"/>
      <c r="R102" s="426"/>
      <c r="S102" s="426"/>
      <c r="T102" s="426"/>
      <c r="U102" s="426"/>
      <c r="V102" s="113">
        <v>97</v>
      </c>
      <c r="W102" s="432">
        <v>42.96</v>
      </c>
      <c r="X102" s="432">
        <v>44.41</v>
      </c>
      <c r="Y102" s="432">
        <v>44.9</v>
      </c>
      <c r="Z102" s="426"/>
      <c r="AA102" s="426"/>
      <c r="AB102" s="426"/>
      <c r="AC102" s="426"/>
      <c r="AD102" s="426"/>
      <c r="AE102" s="426"/>
      <c r="AF102" s="113">
        <v>97</v>
      </c>
      <c r="AG102" s="432">
        <v>41.44</v>
      </c>
      <c r="AH102" s="432">
        <v>42.89</v>
      </c>
      <c r="AI102" s="432">
        <v>43.36</v>
      </c>
      <c r="AJ102" s="426"/>
      <c r="AK102" s="426"/>
      <c r="AL102" s="426"/>
      <c r="AM102" s="426"/>
      <c r="AN102" s="426"/>
      <c r="AO102" s="426"/>
      <c r="AP102" s="113">
        <v>97</v>
      </c>
      <c r="AQ102" s="432">
        <v>40.32</v>
      </c>
      <c r="AR102" s="432">
        <v>41.77</v>
      </c>
      <c r="AS102" s="432">
        <v>42.23</v>
      </c>
      <c r="AT102" s="426"/>
      <c r="AU102" s="426"/>
      <c r="AV102" s="426"/>
      <c r="AW102" s="426"/>
      <c r="AX102" s="426"/>
      <c r="AY102" s="426"/>
      <c r="AZ102" s="113">
        <v>97</v>
      </c>
      <c r="BA102" s="432">
        <v>39.5</v>
      </c>
      <c r="BB102" s="432">
        <v>40.950000000000003</v>
      </c>
      <c r="BC102" s="432">
        <v>41.4</v>
      </c>
      <c r="BD102" s="426"/>
      <c r="BE102" s="426"/>
      <c r="BF102" s="426"/>
      <c r="BG102" s="426"/>
      <c r="BH102" s="426"/>
    </row>
    <row r="103" spans="1:60" s="429" customFormat="1" x14ac:dyDescent="0.2">
      <c r="A103" s="426"/>
      <c r="B103" s="113">
        <v>98</v>
      </c>
      <c r="C103" s="432">
        <v>43.77</v>
      </c>
      <c r="D103" s="432">
        <v>45.18</v>
      </c>
      <c r="E103" s="432">
        <v>45.7</v>
      </c>
      <c r="F103" s="426"/>
      <c r="G103" s="426"/>
      <c r="H103" s="426"/>
      <c r="I103" s="426"/>
      <c r="J103" s="426"/>
      <c r="K103" s="426"/>
      <c r="L103" s="113">
        <v>98</v>
      </c>
      <c r="M103" s="432">
        <v>42.21</v>
      </c>
      <c r="N103" s="432">
        <v>43.65</v>
      </c>
      <c r="O103" s="432">
        <v>44.15</v>
      </c>
      <c r="P103" s="426"/>
      <c r="Q103" s="426"/>
      <c r="R103" s="426"/>
      <c r="S103" s="426"/>
      <c r="T103" s="426"/>
      <c r="U103" s="426"/>
      <c r="V103" s="113">
        <v>98</v>
      </c>
      <c r="W103" s="432">
        <v>40.619999999999997</v>
      </c>
      <c r="X103" s="432">
        <v>42.06</v>
      </c>
      <c r="Y103" s="432">
        <v>42.55</v>
      </c>
      <c r="Z103" s="426"/>
      <c r="AA103" s="426"/>
      <c r="AB103" s="426"/>
      <c r="AC103" s="426"/>
      <c r="AD103" s="426"/>
      <c r="AE103" s="426"/>
      <c r="AF103" s="113">
        <v>98</v>
      </c>
      <c r="AG103" s="432">
        <v>39.19</v>
      </c>
      <c r="AH103" s="432">
        <v>40.64</v>
      </c>
      <c r="AI103" s="432">
        <v>41.11</v>
      </c>
      <c r="AJ103" s="426"/>
      <c r="AK103" s="426"/>
      <c r="AL103" s="426"/>
      <c r="AM103" s="426"/>
      <c r="AN103" s="426"/>
      <c r="AO103" s="426"/>
      <c r="AP103" s="113">
        <v>98</v>
      </c>
      <c r="AQ103" s="432">
        <v>38.159999999999997</v>
      </c>
      <c r="AR103" s="432">
        <v>39.61</v>
      </c>
      <c r="AS103" s="432">
        <v>40.06</v>
      </c>
      <c r="AT103" s="426"/>
      <c r="AU103" s="426"/>
      <c r="AV103" s="426"/>
      <c r="AW103" s="426"/>
      <c r="AX103" s="426"/>
      <c r="AY103" s="426"/>
      <c r="AZ103" s="113">
        <v>98</v>
      </c>
      <c r="BA103" s="432">
        <v>37.4</v>
      </c>
      <c r="BB103" s="432">
        <v>38.85</v>
      </c>
      <c r="BC103" s="432">
        <v>39.299999999999997</v>
      </c>
      <c r="BD103" s="426"/>
      <c r="BE103" s="426"/>
      <c r="BF103" s="426"/>
      <c r="BG103" s="426"/>
      <c r="BH103" s="426"/>
    </row>
    <row r="104" spans="1:60" s="429" customFormat="1" x14ac:dyDescent="0.2">
      <c r="A104" s="426"/>
      <c r="B104" s="113">
        <v>99</v>
      </c>
      <c r="C104" s="432">
        <v>41.6</v>
      </c>
      <c r="D104" s="432">
        <v>43.02</v>
      </c>
      <c r="E104" s="432">
        <v>43.54</v>
      </c>
      <c r="F104" s="426"/>
      <c r="G104" s="426"/>
      <c r="H104" s="426"/>
      <c r="I104" s="426"/>
      <c r="J104" s="426"/>
      <c r="K104" s="426"/>
      <c r="L104" s="113">
        <v>99</v>
      </c>
      <c r="M104" s="432">
        <v>40.04</v>
      </c>
      <c r="N104" s="432">
        <v>41.49</v>
      </c>
      <c r="O104" s="432">
        <v>41.99</v>
      </c>
      <c r="P104" s="426"/>
      <c r="Q104" s="426"/>
      <c r="R104" s="426"/>
      <c r="S104" s="426"/>
      <c r="T104" s="426"/>
      <c r="U104" s="426"/>
      <c r="V104" s="113">
        <v>99</v>
      </c>
      <c r="W104" s="432">
        <v>38.22</v>
      </c>
      <c r="X104" s="432">
        <v>39.659999999999997</v>
      </c>
      <c r="Y104" s="432">
        <v>40.14</v>
      </c>
      <c r="Z104" s="426"/>
      <c r="AA104" s="426"/>
      <c r="AB104" s="426"/>
      <c r="AC104" s="426"/>
      <c r="AD104" s="426"/>
      <c r="AE104" s="426"/>
      <c r="AF104" s="113">
        <v>99</v>
      </c>
      <c r="AG104" s="432">
        <v>36.9</v>
      </c>
      <c r="AH104" s="432">
        <v>38.340000000000003</v>
      </c>
      <c r="AI104" s="432">
        <v>38.81</v>
      </c>
      <c r="AJ104" s="426"/>
      <c r="AK104" s="426"/>
      <c r="AL104" s="426"/>
      <c r="AM104" s="426"/>
      <c r="AN104" s="426"/>
      <c r="AO104" s="426"/>
      <c r="AP104" s="113">
        <v>99</v>
      </c>
      <c r="AQ104" s="432">
        <v>35.950000000000003</v>
      </c>
      <c r="AR104" s="432">
        <v>37.39</v>
      </c>
      <c r="AS104" s="432">
        <v>37.85</v>
      </c>
      <c r="AT104" s="426"/>
      <c r="AU104" s="426"/>
      <c r="AV104" s="426"/>
      <c r="AW104" s="426"/>
      <c r="AX104" s="426"/>
      <c r="AY104" s="426"/>
      <c r="AZ104" s="113">
        <v>99</v>
      </c>
      <c r="BA104" s="432">
        <v>35.26</v>
      </c>
      <c r="BB104" s="432">
        <v>36.700000000000003</v>
      </c>
      <c r="BC104" s="432">
        <v>37.15</v>
      </c>
      <c r="BD104" s="426"/>
      <c r="BE104" s="426"/>
      <c r="BF104" s="426"/>
      <c r="BG104" s="426"/>
      <c r="BH104" s="426"/>
    </row>
    <row r="105" spans="1:60" s="429" customFormat="1" x14ac:dyDescent="0.2">
      <c r="A105" s="426"/>
      <c r="B105" s="113">
        <v>100</v>
      </c>
      <c r="C105" s="432">
        <v>39.36</v>
      </c>
      <c r="D105" s="432">
        <v>40.79</v>
      </c>
      <c r="E105" s="432">
        <v>41.32</v>
      </c>
      <c r="F105" s="426"/>
      <c r="G105" s="426"/>
      <c r="H105" s="426"/>
      <c r="I105" s="426"/>
      <c r="J105" s="426"/>
      <c r="K105" s="426"/>
      <c r="L105" s="113">
        <v>100</v>
      </c>
      <c r="M105" s="432">
        <v>37.47</v>
      </c>
      <c r="N105" s="432">
        <v>38.909999999999997</v>
      </c>
      <c r="O105" s="432">
        <v>39.409999999999997</v>
      </c>
      <c r="P105" s="426"/>
      <c r="Q105" s="426"/>
      <c r="R105" s="426"/>
      <c r="S105" s="426"/>
      <c r="T105" s="426"/>
      <c r="U105" s="426"/>
      <c r="V105" s="113">
        <v>100</v>
      </c>
      <c r="W105" s="432">
        <v>35.74</v>
      </c>
      <c r="X105" s="432">
        <v>37.18</v>
      </c>
      <c r="Y105" s="432">
        <v>37.659999999999997</v>
      </c>
      <c r="Z105" s="426"/>
      <c r="AA105" s="426"/>
      <c r="AB105" s="426"/>
      <c r="AC105" s="426"/>
      <c r="AD105" s="426"/>
      <c r="AE105" s="426"/>
      <c r="AF105" s="113">
        <v>100</v>
      </c>
      <c r="AG105" s="432">
        <v>34.53</v>
      </c>
      <c r="AH105" s="432">
        <v>35.97</v>
      </c>
      <c r="AI105" s="432">
        <v>36.43</v>
      </c>
      <c r="AJ105" s="426"/>
      <c r="AK105" s="426"/>
      <c r="AL105" s="426"/>
      <c r="AM105" s="426"/>
      <c r="AN105" s="426"/>
      <c r="AO105" s="426"/>
      <c r="AP105" s="113">
        <v>100</v>
      </c>
      <c r="AQ105" s="432">
        <v>33.659999999999997</v>
      </c>
      <c r="AR105" s="432">
        <v>35.1</v>
      </c>
      <c r="AS105" s="432">
        <v>35.549999999999997</v>
      </c>
      <c r="AT105" s="426"/>
      <c r="AU105" s="426"/>
      <c r="AV105" s="426"/>
      <c r="AW105" s="426"/>
      <c r="AX105" s="426"/>
      <c r="AY105" s="426"/>
      <c r="AZ105" s="113">
        <v>100</v>
      </c>
      <c r="BA105" s="432">
        <v>33.020000000000003</v>
      </c>
      <c r="BB105" s="432">
        <v>34.46</v>
      </c>
      <c r="BC105" s="432">
        <v>34.9</v>
      </c>
      <c r="BD105" s="426"/>
      <c r="BE105" s="426"/>
      <c r="BF105" s="426"/>
      <c r="BG105" s="426"/>
      <c r="BH105" s="426"/>
    </row>
    <row r="107" spans="1:60" x14ac:dyDescent="0.2">
      <c r="B107" s="426" t="s">
        <v>341</v>
      </c>
    </row>
    <row r="108" spans="1:60" x14ac:dyDescent="0.2">
      <c r="B108" s="426" t="s">
        <v>291</v>
      </c>
      <c r="L108" s="426" t="s">
        <v>292</v>
      </c>
      <c r="V108" s="426" t="s">
        <v>293</v>
      </c>
      <c r="AF108" s="426" t="s">
        <v>294</v>
      </c>
      <c r="AP108" s="426" t="s">
        <v>295</v>
      </c>
    </row>
    <row r="109" spans="1:60" ht="13.7" customHeight="1" x14ac:dyDescent="0.2">
      <c r="B109" s="544" t="s">
        <v>336</v>
      </c>
      <c r="C109" s="545"/>
      <c r="D109" s="545"/>
      <c r="E109" s="545"/>
      <c r="F109" s="542"/>
      <c r="G109" s="542"/>
      <c r="H109" s="542"/>
      <c r="I109" s="542"/>
      <c r="J109" s="543"/>
      <c r="L109" s="544" t="s">
        <v>337</v>
      </c>
      <c r="M109" s="545"/>
      <c r="N109" s="545"/>
      <c r="O109" s="545"/>
      <c r="P109" s="542"/>
      <c r="Q109" s="542"/>
      <c r="R109" s="542"/>
      <c r="S109" s="542"/>
      <c r="T109" s="543"/>
      <c r="V109" s="544" t="s">
        <v>338</v>
      </c>
      <c r="W109" s="545"/>
      <c r="X109" s="545"/>
      <c r="Y109" s="545"/>
      <c r="Z109" s="542"/>
      <c r="AA109" s="542"/>
      <c r="AB109" s="542"/>
      <c r="AC109" s="542"/>
      <c r="AD109" s="543"/>
      <c r="AF109" s="544" t="s">
        <v>339</v>
      </c>
      <c r="AG109" s="545"/>
      <c r="AH109" s="545"/>
      <c r="AI109" s="545"/>
      <c r="AJ109" s="542"/>
      <c r="AK109" s="542"/>
      <c r="AL109" s="542"/>
      <c r="AM109" s="542"/>
      <c r="AN109" s="543"/>
      <c r="AP109" s="544" t="s">
        <v>340</v>
      </c>
      <c r="AQ109" s="545"/>
      <c r="AR109" s="545"/>
      <c r="AS109" s="545"/>
      <c r="AT109" s="542"/>
      <c r="AU109" s="542"/>
      <c r="AV109" s="542"/>
      <c r="AW109" s="542"/>
      <c r="AX109" s="543"/>
    </row>
    <row r="110" spans="1:60" ht="25.5" x14ac:dyDescent="0.2">
      <c r="B110" s="141" t="s">
        <v>1</v>
      </c>
      <c r="C110" s="141" t="s">
        <v>327</v>
      </c>
      <c r="D110" s="141" t="s">
        <v>328</v>
      </c>
      <c r="E110" s="141" t="s">
        <v>329</v>
      </c>
      <c r="F110" s="431"/>
      <c r="G110" s="141"/>
      <c r="H110" s="141"/>
      <c r="I110" s="141"/>
      <c r="J110" s="141"/>
      <c r="L110" s="141" t="s">
        <v>1</v>
      </c>
      <c r="M110" s="141" t="s">
        <v>327</v>
      </c>
      <c r="N110" s="141" t="s">
        <v>328</v>
      </c>
      <c r="O110" s="141" t="s">
        <v>329</v>
      </c>
      <c r="P110" s="431"/>
      <c r="Q110" s="141"/>
      <c r="R110" s="141"/>
      <c r="S110" s="141"/>
      <c r="T110" s="141"/>
      <c r="V110" s="141" t="s">
        <v>1</v>
      </c>
      <c r="W110" s="141" t="s">
        <v>327</v>
      </c>
      <c r="X110" s="141" t="s">
        <v>328</v>
      </c>
      <c r="Y110" s="141" t="s">
        <v>329</v>
      </c>
      <c r="Z110" s="431"/>
      <c r="AA110" s="141"/>
      <c r="AB110" s="141"/>
      <c r="AC110" s="141"/>
      <c r="AD110" s="141"/>
      <c r="AF110" s="141" t="s">
        <v>1</v>
      </c>
      <c r="AG110" s="141" t="s">
        <v>327</v>
      </c>
      <c r="AH110" s="141" t="s">
        <v>328</v>
      </c>
      <c r="AI110" s="141" t="s">
        <v>329</v>
      </c>
      <c r="AJ110" s="431"/>
      <c r="AK110" s="141"/>
      <c r="AL110" s="141"/>
      <c r="AM110" s="141"/>
      <c r="AN110" s="141"/>
      <c r="AP110" s="141" t="s">
        <v>1</v>
      </c>
      <c r="AQ110" s="141" t="s">
        <v>327</v>
      </c>
      <c r="AR110" s="141" t="s">
        <v>328</v>
      </c>
      <c r="AS110" s="141" t="s">
        <v>329</v>
      </c>
      <c r="AT110" s="431"/>
      <c r="AU110" s="141"/>
      <c r="AV110" s="141"/>
      <c r="AW110" s="141"/>
      <c r="AX110" s="141"/>
    </row>
    <row r="111" spans="1:60" s="429" customFormat="1" x14ac:dyDescent="0.2">
      <c r="A111" s="426"/>
      <c r="B111" s="113">
        <v>0</v>
      </c>
      <c r="C111" s="432">
        <v>66.239999999999995</v>
      </c>
      <c r="D111" s="432">
        <v>66.760000000000005</v>
      </c>
      <c r="E111" s="432">
        <v>67.08</v>
      </c>
      <c r="F111" s="426"/>
      <c r="G111" s="426"/>
      <c r="H111" s="426"/>
      <c r="I111" s="426"/>
      <c r="J111" s="426"/>
      <c r="K111" s="426"/>
      <c r="L111" s="113">
        <v>0</v>
      </c>
      <c r="M111" s="432">
        <v>69.86</v>
      </c>
      <c r="N111" s="432">
        <v>70.459999999999994</v>
      </c>
      <c r="O111" s="432">
        <v>70.81</v>
      </c>
      <c r="P111" s="426"/>
      <c r="Q111" s="426"/>
      <c r="R111" s="426"/>
      <c r="S111" s="426"/>
      <c r="T111" s="426"/>
      <c r="U111" s="426"/>
      <c r="V111" s="113">
        <v>0</v>
      </c>
      <c r="W111" s="432">
        <v>73.650000000000006</v>
      </c>
      <c r="X111" s="432">
        <v>74.34</v>
      </c>
      <c r="Y111" s="432">
        <v>74.709999999999994</v>
      </c>
      <c r="Z111" s="426"/>
      <c r="AA111" s="426"/>
      <c r="AB111" s="426"/>
      <c r="AC111" s="426"/>
      <c r="AD111" s="426"/>
      <c r="AE111" s="426"/>
      <c r="AF111" s="113">
        <v>0</v>
      </c>
      <c r="AG111" s="432">
        <v>77.61</v>
      </c>
      <c r="AH111" s="432">
        <v>78.39</v>
      </c>
      <c r="AI111" s="432">
        <v>78.790000000000006</v>
      </c>
      <c r="AJ111" s="426"/>
      <c r="AK111" s="426"/>
      <c r="AL111" s="426"/>
      <c r="AM111" s="426"/>
      <c r="AN111" s="426"/>
      <c r="AO111" s="426"/>
      <c r="AP111" s="113">
        <v>0</v>
      </c>
      <c r="AQ111" s="432">
        <v>81.739999999999995</v>
      </c>
      <c r="AR111" s="432">
        <v>82.62</v>
      </c>
      <c r="AS111" s="432">
        <v>83.05</v>
      </c>
      <c r="AT111" s="426"/>
      <c r="AU111" s="426"/>
      <c r="AV111" s="426"/>
      <c r="AW111" s="426"/>
      <c r="AX111" s="426"/>
    </row>
    <row r="112" spans="1:60" s="429" customFormat="1" x14ac:dyDescent="0.2">
      <c r="A112" s="433"/>
      <c r="B112" s="113">
        <v>1</v>
      </c>
      <c r="C112" s="432">
        <v>66.38</v>
      </c>
      <c r="D112" s="432">
        <v>66.900000000000006</v>
      </c>
      <c r="E112" s="432">
        <v>67.22</v>
      </c>
      <c r="F112" s="426"/>
      <c r="G112" s="426"/>
      <c r="H112" s="426"/>
      <c r="I112" s="426"/>
      <c r="J112" s="426"/>
      <c r="K112" s="433"/>
      <c r="L112" s="113">
        <v>1</v>
      </c>
      <c r="M112" s="432">
        <v>70.02</v>
      </c>
      <c r="N112" s="432">
        <v>70.62</v>
      </c>
      <c r="O112" s="432">
        <v>70.97</v>
      </c>
      <c r="P112" s="426"/>
      <c r="Q112" s="426"/>
      <c r="R112" s="426"/>
      <c r="S112" s="426"/>
      <c r="T112" s="426"/>
      <c r="U112" s="433"/>
      <c r="V112" s="113">
        <v>1</v>
      </c>
      <c r="W112" s="432">
        <v>73.819999999999993</v>
      </c>
      <c r="X112" s="432">
        <v>74.510000000000005</v>
      </c>
      <c r="Y112" s="432">
        <v>74.89</v>
      </c>
      <c r="Z112" s="426"/>
      <c r="AA112" s="426"/>
      <c r="AB112" s="426"/>
      <c r="AC112" s="426"/>
      <c r="AD112" s="426"/>
      <c r="AE112" s="433"/>
      <c r="AF112" s="113">
        <v>1</v>
      </c>
      <c r="AG112" s="432">
        <v>77.8</v>
      </c>
      <c r="AH112" s="432">
        <v>78.58</v>
      </c>
      <c r="AI112" s="432">
        <v>78.989999999999995</v>
      </c>
      <c r="AJ112" s="426"/>
      <c r="AK112" s="426"/>
      <c r="AL112" s="426"/>
      <c r="AM112" s="426"/>
      <c r="AN112" s="426"/>
      <c r="AO112" s="433"/>
      <c r="AP112" s="113">
        <v>1</v>
      </c>
      <c r="AQ112" s="432">
        <v>81.95</v>
      </c>
      <c r="AR112" s="432">
        <v>82.83</v>
      </c>
      <c r="AS112" s="432">
        <v>83.27</v>
      </c>
      <c r="AT112" s="426"/>
      <c r="AU112" s="426"/>
      <c r="AV112" s="426"/>
      <c r="AW112" s="426"/>
      <c r="AX112" s="426"/>
    </row>
    <row r="113" spans="1:50" s="429" customFormat="1" x14ac:dyDescent="0.2">
      <c r="A113" s="433"/>
      <c r="B113" s="113">
        <v>2</v>
      </c>
      <c r="C113" s="432">
        <v>66.52</v>
      </c>
      <c r="D113" s="432">
        <v>67.05</v>
      </c>
      <c r="E113" s="432">
        <v>67.37</v>
      </c>
      <c r="F113" s="426"/>
      <c r="G113" s="426"/>
      <c r="H113" s="426"/>
      <c r="I113" s="426"/>
      <c r="J113" s="426"/>
      <c r="K113" s="433"/>
      <c r="L113" s="113">
        <v>2</v>
      </c>
      <c r="M113" s="432">
        <v>70.180000000000007</v>
      </c>
      <c r="N113" s="432">
        <v>70.790000000000006</v>
      </c>
      <c r="O113" s="432">
        <v>71.13</v>
      </c>
      <c r="P113" s="426"/>
      <c r="Q113" s="426"/>
      <c r="R113" s="426"/>
      <c r="S113" s="426"/>
      <c r="T113" s="426"/>
      <c r="U113" s="433"/>
      <c r="V113" s="113">
        <v>2</v>
      </c>
      <c r="W113" s="432">
        <v>74</v>
      </c>
      <c r="X113" s="432">
        <v>74.69</v>
      </c>
      <c r="Y113" s="432">
        <v>75.069999999999993</v>
      </c>
      <c r="Z113" s="426"/>
      <c r="AA113" s="426"/>
      <c r="AB113" s="426"/>
      <c r="AC113" s="426"/>
      <c r="AD113" s="426"/>
      <c r="AE113" s="433"/>
      <c r="AF113" s="113">
        <v>2</v>
      </c>
      <c r="AG113" s="432">
        <v>78</v>
      </c>
      <c r="AH113" s="432">
        <v>78.78</v>
      </c>
      <c r="AI113" s="432">
        <v>79.19</v>
      </c>
      <c r="AJ113" s="426"/>
      <c r="AK113" s="426"/>
      <c r="AL113" s="426"/>
      <c r="AM113" s="426"/>
      <c r="AN113" s="426"/>
      <c r="AO113" s="433"/>
      <c r="AP113" s="113">
        <v>2</v>
      </c>
      <c r="AQ113" s="432">
        <v>82.17</v>
      </c>
      <c r="AR113" s="432">
        <v>83.06</v>
      </c>
      <c r="AS113" s="432">
        <v>83.5</v>
      </c>
      <c r="AT113" s="426"/>
      <c r="AU113" s="426"/>
      <c r="AV113" s="426"/>
      <c r="AW113" s="426"/>
      <c r="AX113" s="426"/>
    </row>
    <row r="114" spans="1:50" s="429" customFormat="1" x14ac:dyDescent="0.2">
      <c r="A114" s="433"/>
      <c r="B114" s="113">
        <v>3</v>
      </c>
      <c r="C114" s="432">
        <v>66.67</v>
      </c>
      <c r="D114" s="432">
        <v>67.2</v>
      </c>
      <c r="E114" s="432">
        <v>67.53</v>
      </c>
      <c r="F114" s="426"/>
      <c r="G114" s="426"/>
      <c r="H114" s="426"/>
      <c r="I114" s="426"/>
      <c r="J114" s="426"/>
      <c r="K114" s="433"/>
      <c r="L114" s="113">
        <v>3</v>
      </c>
      <c r="M114" s="432">
        <v>70.34</v>
      </c>
      <c r="N114" s="432">
        <v>70.959999999999994</v>
      </c>
      <c r="O114" s="432">
        <v>71.31</v>
      </c>
      <c r="P114" s="426"/>
      <c r="Q114" s="426"/>
      <c r="R114" s="426"/>
      <c r="S114" s="426"/>
      <c r="T114" s="426"/>
      <c r="U114" s="433"/>
      <c r="V114" s="113">
        <v>3</v>
      </c>
      <c r="W114" s="432">
        <v>74.19</v>
      </c>
      <c r="X114" s="432">
        <v>74.88</v>
      </c>
      <c r="Y114" s="432">
        <v>75.260000000000005</v>
      </c>
      <c r="Z114" s="426"/>
      <c r="AA114" s="426"/>
      <c r="AB114" s="426"/>
      <c r="AC114" s="426"/>
      <c r="AD114" s="426"/>
      <c r="AE114" s="433"/>
      <c r="AF114" s="113">
        <v>3</v>
      </c>
      <c r="AG114" s="432">
        <v>78.2</v>
      </c>
      <c r="AH114" s="432">
        <v>78.989999999999995</v>
      </c>
      <c r="AI114" s="432">
        <v>79.400000000000006</v>
      </c>
      <c r="AJ114" s="426"/>
      <c r="AK114" s="426"/>
      <c r="AL114" s="426"/>
      <c r="AM114" s="426"/>
      <c r="AN114" s="426"/>
      <c r="AO114" s="433"/>
      <c r="AP114" s="113">
        <v>3</v>
      </c>
      <c r="AQ114" s="432">
        <v>82.4</v>
      </c>
      <c r="AR114" s="432">
        <v>83.29</v>
      </c>
      <c r="AS114" s="432">
        <v>83.73</v>
      </c>
      <c r="AT114" s="426"/>
      <c r="AU114" s="426"/>
      <c r="AV114" s="426"/>
      <c r="AW114" s="426"/>
      <c r="AX114" s="426"/>
    </row>
    <row r="115" spans="1:50" s="429" customFormat="1" x14ac:dyDescent="0.2">
      <c r="A115" s="433"/>
      <c r="B115" s="113">
        <v>4</v>
      </c>
      <c r="C115" s="432">
        <v>66.83</v>
      </c>
      <c r="D115" s="432">
        <v>67.36</v>
      </c>
      <c r="E115" s="432">
        <v>67.680000000000007</v>
      </c>
      <c r="F115" s="426"/>
      <c r="G115" s="426"/>
      <c r="H115" s="426"/>
      <c r="I115" s="426"/>
      <c r="J115" s="426"/>
      <c r="K115" s="433"/>
      <c r="L115" s="113">
        <v>4</v>
      </c>
      <c r="M115" s="432">
        <v>70.52</v>
      </c>
      <c r="N115" s="432">
        <v>71.13</v>
      </c>
      <c r="O115" s="432">
        <v>71.48</v>
      </c>
      <c r="P115" s="426"/>
      <c r="Q115" s="426"/>
      <c r="R115" s="426"/>
      <c r="S115" s="426"/>
      <c r="T115" s="426"/>
      <c r="U115" s="433"/>
      <c r="V115" s="113">
        <v>4</v>
      </c>
      <c r="W115" s="432">
        <v>74.38</v>
      </c>
      <c r="X115" s="432">
        <v>75.08</v>
      </c>
      <c r="Y115" s="432">
        <v>75.459999999999994</v>
      </c>
      <c r="Z115" s="426"/>
      <c r="AA115" s="426"/>
      <c r="AB115" s="426"/>
      <c r="AC115" s="426"/>
      <c r="AD115" s="426"/>
      <c r="AE115" s="433"/>
      <c r="AF115" s="113">
        <v>4</v>
      </c>
      <c r="AG115" s="432">
        <v>78.42</v>
      </c>
      <c r="AH115" s="432">
        <v>79.209999999999994</v>
      </c>
      <c r="AI115" s="432">
        <v>79.62</v>
      </c>
      <c r="AJ115" s="426"/>
      <c r="AK115" s="426"/>
      <c r="AL115" s="426"/>
      <c r="AM115" s="426"/>
      <c r="AN115" s="426"/>
      <c r="AO115" s="433"/>
      <c r="AP115" s="113">
        <v>4</v>
      </c>
      <c r="AQ115" s="432">
        <v>82.64</v>
      </c>
      <c r="AR115" s="432">
        <v>83.53</v>
      </c>
      <c r="AS115" s="432">
        <v>83.98</v>
      </c>
      <c r="AT115" s="426"/>
      <c r="AU115" s="426"/>
      <c r="AV115" s="426"/>
      <c r="AW115" s="426"/>
      <c r="AX115" s="426"/>
    </row>
    <row r="116" spans="1:50" s="429" customFormat="1" x14ac:dyDescent="0.2">
      <c r="A116" s="433"/>
      <c r="B116" s="113">
        <v>5</v>
      </c>
      <c r="C116" s="432">
        <v>66.989999999999995</v>
      </c>
      <c r="D116" s="432">
        <v>67.52</v>
      </c>
      <c r="E116" s="432">
        <v>67.849999999999994</v>
      </c>
      <c r="F116" s="426"/>
      <c r="G116" s="426"/>
      <c r="H116" s="426"/>
      <c r="I116" s="426"/>
      <c r="J116" s="426"/>
      <c r="K116" s="433"/>
      <c r="L116" s="113">
        <v>5</v>
      </c>
      <c r="M116" s="432">
        <v>70.7</v>
      </c>
      <c r="N116" s="432">
        <v>71.319999999999993</v>
      </c>
      <c r="O116" s="432">
        <v>71.67</v>
      </c>
      <c r="P116" s="426"/>
      <c r="Q116" s="426"/>
      <c r="R116" s="426"/>
      <c r="S116" s="426"/>
      <c r="T116" s="426"/>
      <c r="U116" s="433"/>
      <c r="V116" s="113">
        <v>5</v>
      </c>
      <c r="W116" s="432">
        <v>74.58</v>
      </c>
      <c r="X116" s="432">
        <v>75.28</v>
      </c>
      <c r="Y116" s="432">
        <v>75.67</v>
      </c>
      <c r="Z116" s="426"/>
      <c r="AA116" s="426"/>
      <c r="AB116" s="426"/>
      <c r="AC116" s="426"/>
      <c r="AD116" s="426"/>
      <c r="AE116" s="433"/>
      <c r="AF116" s="113">
        <v>5</v>
      </c>
      <c r="AG116" s="432">
        <v>78.64</v>
      </c>
      <c r="AH116" s="432">
        <v>79.44</v>
      </c>
      <c r="AI116" s="432">
        <v>79.849999999999994</v>
      </c>
      <c r="AJ116" s="426"/>
      <c r="AK116" s="426"/>
      <c r="AL116" s="426"/>
      <c r="AM116" s="426"/>
      <c r="AN116" s="426"/>
      <c r="AO116" s="433"/>
      <c r="AP116" s="113">
        <v>5</v>
      </c>
      <c r="AQ116" s="432">
        <v>82.89</v>
      </c>
      <c r="AR116" s="432">
        <v>83.79</v>
      </c>
      <c r="AS116" s="432">
        <v>84.23</v>
      </c>
      <c r="AT116" s="426"/>
      <c r="AU116" s="426"/>
      <c r="AV116" s="426"/>
      <c r="AW116" s="426"/>
      <c r="AX116" s="426"/>
    </row>
    <row r="117" spans="1:50" s="429" customFormat="1" x14ac:dyDescent="0.2">
      <c r="A117" s="433"/>
      <c r="B117" s="113">
        <v>6</v>
      </c>
      <c r="C117" s="432">
        <v>67.16</v>
      </c>
      <c r="D117" s="432">
        <v>67.7</v>
      </c>
      <c r="E117" s="432">
        <v>68.02</v>
      </c>
      <c r="F117" s="426"/>
      <c r="G117" s="426"/>
      <c r="H117" s="426"/>
      <c r="I117" s="426"/>
      <c r="J117" s="426"/>
      <c r="K117" s="433"/>
      <c r="L117" s="113">
        <v>6</v>
      </c>
      <c r="M117" s="432">
        <v>70.89</v>
      </c>
      <c r="N117" s="432">
        <v>71.510000000000005</v>
      </c>
      <c r="O117" s="432">
        <v>71.86</v>
      </c>
      <c r="P117" s="426"/>
      <c r="Q117" s="426"/>
      <c r="R117" s="426"/>
      <c r="S117" s="426"/>
      <c r="T117" s="426"/>
      <c r="U117" s="433"/>
      <c r="V117" s="113">
        <v>6</v>
      </c>
      <c r="W117" s="432">
        <v>74.790000000000006</v>
      </c>
      <c r="X117" s="432">
        <v>75.5</v>
      </c>
      <c r="Y117" s="432">
        <v>75.88</v>
      </c>
      <c r="Z117" s="426"/>
      <c r="AA117" s="426"/>
      <c r="AB117" s="426"/>
      <c r="AC117" s="426"/>
      <c r="AD117" s="426"/>
      <c r="AE117" s="433"/>
      <c r="AF117" s="113">
        <v>6</v>
      </c>
      <c r="AG117" s="432">
        <v>78.88</v>
      </c>
      <c r="AH117" s="432">
        <v>79.680000000000007</v>
      </c>
      <c r="AI117" s="432">
        <v>80.09</v>
      </c>
      <c r="AJ117" s="426"/>
      <c r="AK117" s="426"/>
      <c r="AL117" s="426"/>
      <c r="AM117" s="426"/>
      <c r="AN117" s="426"/>
      <c r="AO117" s="433"/>
      <c r="AP117" s="113">
        <v>6</v>
      </c>
      <c r="AQ117" s="432">
        <v>83.15</v>
      </c>
      <c r="AR117" s="432">
        <v>84.05</v>
      </c>
      <c r="AS117" s="432">
        <v>84.5</v>
      </c>
      <c r="AT117" s="426"/>
      <c r="AU117" s="426"/>
      <c r="AV117" s="426"/>
      <c r="AW117" s="426"/>
      <c r="AX117" s="426"/>
    </row>
    <row r="118" spans="1:50" s="429" customFormat="1" x14ac:dyDescent="0.2">
      <c r="A118" s="433"/>
      <c r="B118" s="113">
        <v>7</v>
      </c>
      <c r="C118" s="432">
        <v>67.33</v>
      </c>
      <c r="D118" s="432">
        <v>67.87</v>
      </c>
      <c r="E118" s="432">
        <v>68.2</v>
      </c>
      <c r="F118" s="426"/>
      <c r="G118" s="426"/>
      <c r="H118" s="426"/>
      <c r="I118" s="426"/>
      <c r="J118" s="426"/>
      <c r="K118" s="433"/>
      <c r="L118" s="113">
        <v>7</v>
      </c>
      <c r="M118" s="432">
        <v>71.08</v>
      </c>
      <c r="N118" s="432">
        <v>71.7</v>
      </c>
      <c r="O118" s="432">
        <v>72.06</v>
      </c>
      <c r="P118" s="426"/>
      <c r="Q118" s="426"/>
      <c r="R118" s="426"/>
      <c r="S118" s="426"/>
      <c r="T118" s="426"/>
      <c r="U118" s="433"/>
      <c r="V118" s="113">
        <v>7</v>
      </c>
      <c r="W118" s="432">
        <v>75.010000000000005</v>
      </c>
      <c r="X118" s="432">
        <v>75.72</v>
      </c>
      <c r="Y118" s="432">
        <v>76.099999999999994</v>
      </c>
      <c r="Z118" s="426"/>
      <c r="AA118" s="426"/>
      <c r="AB118" s="426"/>
      <c r="AC118" s="426"/>
      <c r="AD118" s="426"/>
      <c r="AE118" s="433"/>
      <c r="AF118" s="113">
        <v>7</v>
      </c>
      <c r="AG118" s="432">
        <v>79.12</v>
      </c>
      <c r="AH118" s="432">
        <v>79.92</v>
      </c>
      <c r="AI118" s="432">
        <v>80.34</v>
      </c>
      <c r="AJ118" s="426"/>
      <c r="AK118" s="426"/>
      <c r="AL118" s="426"/>
      <c r="AM118" s="426"/>
      <c r="AN118" s="426"/>
      <c r="AO118" s="433"/>
      <c r="AP118" s="113">
        <v>7</v>
      </c>
      <c r="AQ118" s="432">
        <v>83.42</v>
      </c>
      <c r="AR118" s="432">
        <v>84.33</v>
      </c>
      <c r="AS118" s="432">
        <v>84.78</v>
      </c>
      <c r="AT118" s="426"/>
      <c r="AU118" s="426"/>
      <c r="AV118" s="426"/>
      <c r="AW118" s="426"/>
      <c r="AX118" s="426"/>
    </row>
    <row r="119" spans="1:50" s="429" customFormat="1" x14ac:dyDescent="0.2">
      <c r="A119" s="433"/>
      <c r="B119" s="113">
        <v>8</v>
      </c>
      <c r="C119" s="432">
        <v>67.510000000000005</v>
      </c>
      <c r="D119" s="432">
        <v>68.06</v>
      </c>
      <c r="E119" s="432">
        <v>68.39</v>
      </c>
      <c r="F119" s="426"/>
      <c r="G119" s="426"/>
      <c r="H119" s="426"/>
      <c r="I119" s="426"/>
      <c r="J119" s="426"/>
      <c r="K119" s="433"/>
      <c r="L119" s="113">
        <v>8</v>
      </c>
      <c r="M119" s="432">
        <v>71.28</v>
      </c>
      <c r="N119" s="432">
        <v>71.91</v>
      </c>
      <c r="O119" s="432">
        <v>72.27</v>
      </c>
      <c r="P119" s="426"/>
      <c r="Q119" s="426"/>
      <c r="R119" s="426"/>
      <c r="S119" s="426"/>
      <c r="T119" s="426"/>
      <c r="U119" s="433"/>
      <c r="V119" s="113">
        <v>8</v>
      </c>
      <c r="W119" s="432">
        <v>75.23</v>
      </c>
      <c r="X119" s="432">
        <v>75.95</v>
      </c>
      <c r="Y119" s="432">
        <v>76.34</v>
      </c>
      <c r="Z119" s="426"/>
      <c r="AA119" s="426"/>
      <c r="AB119" s="426"/>
      <c r="AC119" s="426"/>
      <c r="AD119" s="426"/>
      <c r="AE119" s="433"/>
      <c r="AF119" s="113">
        <v>8</v>
      </c>
      <c r="AG119" s="432">
        <v>79.37</v>
      </c>
      <c r="AH119" s="432">
        <v>80.180000000000007</v>
      </c>
      <c r="AI119" s="432">
        <v>80.599999999999994</v>
      </c>
      <c r="AJ119" s="426"/>
      <c r="AK119" s="426"/>
      <c r="AL119" s="426"/>
      <c r="AM119" s="426"/>
      <c r="AN119" s="426"/>
      <c r="AO119" s="433"/>
      <c r="AP119" s="113">
        <v>8</v>
      </c>
      <c r="AQ119" s="432">
        <v>83.7</v>
      </c>
      <c r="AR119" s="432">
        <v>84.61</v>
      </c>
      <c r="AS119" s="432">
        <v>85.06</v>
      </c>
      <c r="AT119" s="426"/>
      <c r="AU119" s="426"/>
      <c r="AV119" s="426"/>
      <c r="AW119" s="426"/>
      <c r="AX119" s="426"/>
    </row>
    <row r="120" spans="1:50" s="429" customFormat="1" x14ac:dyDescent="0.2">
      <c r="A120" s="433"/>
      <c r="B120" s="113">
        <v>9</v>
      </c>
      <c r="C120" s="432">
        <v>67.7</v>
      </c>
      <c r="D120" s="432">
        <v>68.25</v>
      </c>
      <c r="E120" s="432">
        <v>68.58</v>
      </c>
      <c r="F120" s="426"/>
      <c r="G120" s="426"/>
      <c r="H120" s="426"/>
      <c r="I120" s="426"/>
      <c r="J120" s="426"/>
      <c r="K120" s="433"/>
      <c r="L120" s="113">
        <v>9</v>
      </c>
      <c r="M120" s="432">
        <v>71.5</v>
      </c>
      <c r="N120" s="432">
        <v>72.13</v>
      </c>
      <c r="O120" s="432">
        <v>72.48</v>
      </c>
      <c r="P120" s="426"/>
      <c r="Q120" s="426"/>
      <c r="R120" s="426"/>
      <c r="S120" s="426"/>
      <c r="T120" s="426"/>
      <c r="U120" s="433"/>
      <c r="V120" s="113">
        <v>9</v>
      </c>
      <c r="W120" s="432">
        <v>75.47</v>
      </c>
      <c r="X120" s="432">
        <v>76.19</v>
      </c>
      <c r="Y120" s="432">
        <v>76.58</v>
      </c>
      <c r="Z120" s="426"/>
      <c r="AA120" s="426"/>
      <c r="AB120" s="426"/>
      <c r="AC120" s="426"/>
      <c r="AD120" s="426"/>
      <c r="AE120" s="433"/>
      <c r="AF120" s="113">
        <v>9</v>
      </c>
      <c r="AG120" s="432">
        <v>79.63</v>
      </c>
      <c r="AH120" s="432">
        <v>80.45</v>
      </c>
      <c r="AI120" s="432">
        <v>80.87</v>
      </c>
      <c r="AJ120" s="426"/>
      <c r="AK120" s="426"/>
      <c r="AL120" s="426"/>
      <c r="AM120" s="426"/>
      <c r="AN120" s="426"/>
      <c r="AO120" s="433"/>
      <c r="AP120" s="113">
        <v>9</v>
      </c>
      <c r="AQ120" s="432">
        <v>83.99</v>
      </c>
      <c r="AR120" s="432">
        <v>84.91</v>
      </c>
      <c r="AS120" s="432">
        <v>85.36</v>
      </c>
      <c r="AT120" s="426"/>
      <c r="AU120" s="426"/>
      <c r="AV120" s="426"/>
      <c r="AW120" s="426"/>
      <c r="AX120" s="426"/>
    </row>
    <row r="121" spans="1:50" s="429" customFormat="1" x14ac:dyDescent="0.2">
      <c r="A121" s="433"/>
      <c r="B121" s="113">
        <v>10</v>
      </c>
      <c r="C121" s="432">
        <v>67.900000000000006</v>
      </c>
      <c r="D121" s="432">
        <v>68.45</v>
      </c>
      <c r="E121" s="432">
        <v>68.78</v>
      </c>
      <c r="F121" s="426"/>
      <c r="G121" s="426"/>
      <c r="H121" s="426"/>
      <c r="I121" s="426"/>
      <c r="J121" s="426"/>
      <c r="K121" s="433"/>
      <c r="L121" s="113">
        <v>10</v>
      </c>
      <c r="M121" s="432">
        <v>71.72</v>
      </c>
      <c r="N121" s="432">
        <v>72.349999999999994</v>
      </c>
      <c r="O121" s="432">
        <v>72.709999999999994</v>
      </c>
      <c r="P121" s="426"/>
      <c r="Q121" s="426"/>
      <c r="R121" s="426"/>
      <c r="S121" s="426"/>
      <c r="T121" s="426"/>
      <c r="U121" s="433"/>
      <c r="V121" s="113">
        <v>10</v>
      </c>
      <c r="W121" s="432">
        <v>75.72</v>
      </c>
      <c r="X121" s="432">
        <v>76.44</v>
      </c>
      <c r="Y121" s="432">
        <v>76.83</v>
      </c>
      <c r="Z121" s="426"/>
      <c r="AA121" s="426"/>
      <c r="AB121" s="426"/>
      <c r="AC121" s="426"/>
      <c r="AD121" s="426"/>
      <c r="AE121" s="433"/>
      <c r="AF121" s="113">
        <v>10</v>
      </c>
      <c r="AG121" s="432">
        <v>79.91</v>
      </c>
      <c r="AH121" s="432">
        <v>80.73</v>
      </c>
      <c r="AI121" s="432">
        <v>81.150000000000006</v>
      </c>
      <c r="AJ121" s="426"/>
      <c r="AK121" s="426"/>
      <c r="AL121" s="426"/>
      <c r="AM121" s="426"/>
      <c r="AN121" s="426"/>
      <c r="AO121" s="433"/>
      <c r="AP121" s="113">
        <v>10</v>
      </c>
      <c r="AQ121" s="432">
        <v>84.3</v>
      </c>
      <c r="AR121" s="432">
        <v>85.22</v>
      </c>
      <c r="AS121" s="432">
        <v>85.68</v>
      </c>
      <c r="AT121" s="426"/>
      <c r="AU121" s="426"/>
      <c r="AV121" s="426"/>
      <c r="AW121" s="426"/>
      <c r="AX121" s="426"/>
    </row>
    <row r="122" spans="1:50" s="429" customFormat="1" x14ac:dyDescent="0.2">
      <c r="A122" s="433"/>
      <c r="B122" s="113">
        <v>11</v>
      </c>
      <c r="C122" s="432">
        <v>68.11</v>
      </c>
      <c r="D122" s="432">
        <v>68.66</v>
      </c>
      <c r="E122" s="432">
        <v>68.989999999999995</v>
      </c>
      <c r="F122" s="426"/>
      <c r="G122" s="426"/>
      <c r="H122" s="426"/>
      <c r="I122" s="426"/>
      <c r="J122" s="426"/>
      <c r="K122" s="433"/>
      <c r="L122" s="113">
        <v>11</v>
      </c>
      <c r="M122" s="432">
        <v>71.95</v>
      </c>
      <c r="N122" s="432">
        <v>72.58</v>
      </c>
      <c r="O122" s="432">
        <v>72.95</v>
      </c>
      <c r="P122" s="426"/>
      <c r="Q122" s="426"/>
      <c r="R122" s="426"/>
      <c r="S122" s="426"/>
      <c r="T122" s="426"/>
      <c r="U122" s="433"/>
      <c r="V122" s="113">
        <v>11</v>
      </c>
      <c r="W122" s="432">
        <v>75.97</v>
      </c>
      <c r="X122" s="432">
        <v>76.7</v>
      </c>
      <c r="Y122" s="432">
        <v>77.09</v>
      </c>
      <c r="Z122" s="426"/>
      <c r="AA122" s="426"/>
      <c r="AB122" s="426"/>
      <c r="AC122" s="426"/>
      <c r="AD122" s="426"/>
      <c r="AE122" s="433"/>
      <c r="AF122" s="113">
        <v>11</v>
      </c>
      <c r="AG122" s="432">
        <v>80.19</v>
      </c>
      <c r="AH122" s="432">
        <v>81.02</v>
      </c>
      <c r="AI122" s="432">
        <v>81.44</v>
      </c>
      <c r="AJ122" s="426"/>
      <c r="AK122" s="426"/>
      <c r="AL122" s="426"/>
      <c r="AM122" s="426"/>
      <c r="AN122" s="426"/>
      <c r="AO122" s="433"/>
      <c r="AP122" s="113">
        <v>11</v>
      </c>
      <c r="AQ122" s="432">
        <v>84.61</v>
      </c>
      <c r="AR122" s="432">
        <v>85.54</v>
      </c>
      <c r="AS122" s="432">
        <v>86</v>
      </c>
      <c r="AT122" s="426"/>
      <c r="AU122" s="426"/>
      <c r="AV122" s="426"/>
      <c r="AW122" s="426"/>
      <c r="AX122" s="426"/>
    </row>
    <row r="123" spans="1:50" s="429" customFormat="1" x14ac:dyDescent="0.2">
      <c r="A123" s="433"/>
      <c r="B123" s="113">
        <v>12</v>
      </c>
      <c r="C123" s="432">
        <v>68.319999999999993</v>
      </c>
      <c r="D123" s="432">
        <v>68.88</v>
      </c>
      <c r="E123" s="432">
        <v>69.209999999999994</v>
      </c>
      <c r="F123" s="426"/>
      <c r="G123" s="426"/>
      <c r="H123" s="426"/>
      <c r="I123" s="426"/>
      <c r="J123" s="426"/>
      <c r="K123" s="433"/>
      <c r="L123" s="113">
        <v>12</v>
      </c>
      <c r="M123" s="432">
        <v>72.19</v>
      </c>
      <c r="N123" s="432">
        <v>72.83</v>
      </c>
      <c r="O123" s="432">
        <v>73.19</v>
      </c>
      <c r="P123" s="426"/>
      <c r="Q123" s="426"/>
      <c r="R123" s="426"/>
      <c r="S123" s="426"/>
      <c r="T123" s="426"/>
      <c r="U123" s="433"/>
      <c r="V123" s="113">
        <v>12</v>
      </c>
      <c r="W123" s="432">
        <v>76.239999999999995</v>
      </c>
      <c r="X123" s="432">
        <v>76.97</v>
      </c>
      <c r="Y123" s="432">
        <v>77.37</v>
      </c>
      <c r="Z123" s="426"/>
      <c r="AA123" s="426"/>
      <c r="AB123" s="426"/>
      <c r="AC123" s="426"/>
      <c r="AD123" s="426"/>
      <c r="AE123" s="433"/>
      <c r="AF123" s="113">
        <v>12</v>
      </c>
      <c r="AG123" s="432">
        <v>80.489999999999995</v>
      </c>
      <c r="AH123" s="432">
        <v>81.319999999999993</v>
      </c>
      <c r="AI123" s="432">
        <v>81.75</v>
      </c>
      <c r="AJ123" s="426"/>
      <c r="AK123" s="426"/>
      <c r="AL123" s="426"/>
      <c r="AM123" s="426"/>
      <c r="AN123" s="426"/>
      <c r="AO123" s="433"/>
      <c r="AP123" s="113">
        <v>12</v>
      </c>
      <c r="AQ123" s="432">
        <v>84.94</v>
      </c>
      <c r="AR123" s="432">
        <v>85.88</v>
      </c>
      <c r="AS123" s="432">
        <v>86.34</v>
      </c>
      <c r="AT123" s="426"/>
      <c r="AU123" s="426"/>
      <c r="AV123" s="426"/>
      <c r="AW123" s="426"/>
      <c r="AX123" s="426"/>
    </row>
    <row r="124" spans="1:50" s="429" customFormat="1" x14ac:dyDescent="0.2">
      <c r="A124" s="433"/>
      <c r="B124" s="113">
        <v>13</v>
      </c>
      <c r="C124" s="432">
        <v>68.55</v>
      </c>
      <c r="D124" s="432">
        <v>69.099999999999994</v>
      </c>
      <c r="E124" s="432">
        <v>69.44</v>
      </c>
      <c r="F124" s="426"/>
      <c r="G124" s="426"/>
      <c r="H124" s="426"/>
      <c r="I124" s="426"/>
      <c r="J124" s="426"/>
      <c r="K124" s="433"/>
      <c r="L124" s="113">
        <v>13</v>
      </c>
      <c r="M124" s="432">
        <v>72.44</v>
      </c>
      <c r="N124" s="432">
        <v>73.08</v>
      </c>
      <c r="O124" s="432">
        <v>73.45</v>
      </c>
      <c r="P124" s="426"/>
      <c r="Q124" s="426"/>
      <c r="R124" s="426"/>
      <c r="S124" s="426"/>
      <c r="T124" s="426"/>
      <c r="U124" s="433"/>
      <c r="V124" s="113">
        <v>13</v>
      </c>
      <c r="W124" s="432">
        <v>76.52</v>
      </c>
      <c r="X124" s="432">
        <v>77.25</v>
      </c>
      <c r="Y124" s="432">
        <v>77.650000000000006</v>
      </c>
      <c r="Z124" s="426"/>
      <c r="AA124" s="426"/>
      <c r="AB124" s="426"/>
      <c r="AC124" s="426"/>
      <c r="AD124" s="426"/>
      <c r="AE124" s="433"/>
      <c r="AF124" s="113">
        <v>13</v>
      </c>
      <c r="AG124" s="432">
        <v>80.8</v>
      </c>
      <c r="AH124" s="432">
        <v>81.63</v>
      </c>
      <c r="AI124" s="432">
        <v>82.06</v>
      </c>
      <c r="AJ124" s="426"/>
      <c r="AK124" s="426"/>
      <c r="AL124" s="426"/>
      <c r="AM124" s="426"/>
      <c r="AN124" s="426"/>
      <c r="AO124" s="433"/>
      <c r="AP124" s="113">
        <v>13</v>
      </c>
      <c r="AQ124" s="432">
        <v>85.28</v>
      </c>
      <c r="AR124" s="432">
        <v>86.22</v>
      </c>
      <c r="AS124" s="432">
        <v>86.69</v>
      </c>
      <c r="AT124" s="426"/>
      <c r="AU124" s="426"/>
      <c r="AV124" s="426"/>
      <c r="AW124" s="426"/>
      <c r="AX124" s="426"/>
    </row>
    <row r="125" spans="1:50" s="429" customFormat="1" x14ac:dyDescent="0.2">
      <c r="A125" s="433"/>
      <c r="B125" s="113">
        <v>14</v>
      </c>
      <c r="C125" s="432">
        <v>68.78</v>
      </c>
      <c r="D125" s="432">
        <v>69.34</v>
      </c>
      <c r="E125" s="432">
        <v>69.680000000000007</v>
      </c>
      <c r="F125" s="426"/>
      <c r="G125" s="426"/>
      <c r="H125" s="426"/>
      <c r="I125" s="426"/>
      <c r="J125" s="426"/>
      <c r="K125" s="433"/>
      <c r="L125" s="113">
        <v>14</v>
      </c>
      <c r="M125" s="432">
        <v>72.7</v>
      </c>
      <c r="N125" s="432">
        <v>73.34</v>
      </c>
      <c r="O125" s="432">
        <v>73.709999999999994</v>
      </c>
      <c r="P125" s="426"/>
      <c r="Q125" s="426"/>
      <c r="R125" s="426"/>
      <c r="S125" s="426"/>
      <c r="T125" s="426"/>
      <c r="U125" s="433"/>
      <c r="V125" s="113">
        <v>14</v>
      </c>
      <c r="W125" s="432">
        <v>76.8</v>
      </c>
      <c r="X125" s="432">
        <v>77.540000000000006</v>
      </c>
      <c r="Y125" s="432">
        <v>77.94</v>
      </c>
      <c r="Z125" s="426"/>
      <c r="AA125" s="426"/>
      <c r="AB125" s="426"/>
      <c r="AC125" s="426"/>
      <c r="AD125" s="426"/>
      <c r="AE125" s="433"/>
      <c r="AF125" s="113">
        <v>14</v>
      </c>
      <c r="AG125" s="432">
        <v>81.11</v>
      </c>
      <c r="AH125" s="432">
        <v>81.95</v>
      </c>
      <c r="AI125" s="432">
        <v>82.39</v>
      </c>
      <c r="AJ125" s="426"/>
      <c r="AK125" s="426"/>
      <c r="AL125" s="426"/>
      <c r="AM125" s="426"/>
      <c r="AN125" s="426"/>
      <c r="AO125" s="433"/>
      <c r="AP125" s="113">
        <v>14</v>
      </c>
      <c r="AQ125" s="432">
        <v>85.63</v>
      </c>
      <c r="AR125" s="432">
        <v>86.58</v>
      </c>
      <c r="AS125" s="432">
        <v>87.05</v>
      </c>
      <c r="AT125" s="426"/>
      <c r="AU125" s="426"/>
      <c r="AV125" s="426"/>
      <c r="AW125" s="426"/>
      <c r="AX125" s="426"/>
    </row>
    <row r="126" spans="1:50" s="429" customFormat="1" x14ac:dyDescent="0.2">
      <c r="A126" s="433"/>
      <c r="B126" s="113">
        <v>15</v>
      </c>
      <c r="C126" s="432">
        <v>69.02</v>
      </c>
      <c r="D126" s="432">
        <v>69.59</v>
      </c>
      <c r="E126" s="432">
        <v>69.930000000000007</v>
      </c>
      <c r="F126" s="426"/>
      <c r="G126" s="426"/>
      <c r="H126" s="426"/>
      <c r="I126" s="426"/>
      <c r="J126" s="426"/>
      <c r="K126" s="433"/>
      <c r="L126" s="113">
        <v>15</v>
      </c>
      <c r="M126" s="432">
        <v>72.959999999999994</v>
      </c>
      <c r="N126" s="432">
        <v>73.62</v>
      </c>
      <c r="O126" s="432">
        <v>73.989999999999995</v>
      </c>
      <c r="P126" s="426"/>
      <c r="Q126" s="426"/>
      <c r="R126" s="426"/>
      <c r="S126" s="426"/>
      <c r="T126" s="426"/>
      <c r="U126" s="433"/>
      <c r="V126" s="113">
        <v>15</v>
      </c>
      <c r="W126" s="432">
        <v>77.099999999999994</v>
      </c>
      <c r="X126" s="432">
        <v>77.849999999999994</v>
      </c>
      <c r="Y126" s="432">
        <v>78.25</v>
      </c>
      <c r="Z126" s="426"/>
      <c r="AA126" s="426"/>
      <c r="AB126" s="426"/>
      <c r="AC126" s="426"/>
      <c r="AD126" s="426"/>
      <c r="AE126" s="433"/>
      <c r="AF126" s="113">
        <v>15</v>
      </c>
      <c r="AG126" s="432">
        <v>81.44</v>
      </c>
      <c r="AH126" s="432">
        <v>82.29</v>
      </c>
      <c r="AI126" s="432">
        <v>82.72</v>
      </c>
      <c r="AJ126" s="426"/>
      <c r="AK126" s="426"/>
      <c r="AL126" s="426"/>
      <c r="AM126" s="426"/>
      <c r="AN126" s="426"/>
      <c r="AO126" s="433"/>
      <c r="AP126" s="113">
        <v>15</v>
      </c>
      <c r="AQ126" s="432">
        <v>86</v>
      </c>
      <c r="AR126" s="432">
        <v>86.95</v>
      </c>
      <c r="AS126" s="432">
        <v>87.42</v>
      </c>
      <c r="AT126" s="426"/>
      <c r="AU126" s="426"/>
      <c r="AV126" s="426"/>
      <c r="AW126" s="426"/>
      <c r="AX126" s="426"/>
    </row>
    <row r="127" spans="1:50" s="429" customFormat="1" x14ac:dyDescent="0.2">
      <c r="A127" s="433"/>
      <c r="B127" s="113">
        <v>16</v>
      </c>
      <c r="C127" s="432">
        <v>69.27</v>
      </c>
      <c r="D127" s="432">
        <v>69.84</v>
      </c>
      <c r="E127" s="432">
        <v>70.180000000000007</v>
      </c>
      <c r="F127" s="426"/>
      <c r="G127" s="426"/>
      <c r="H127" s="426"/>
      <c r="I127" s="426"/>
      <c r="J127" s="426"/>
      <c r="K127" s="433"/>
      <c r="L127" s="113">
        <v>16</v>
      </c>
      <c r="M127" s="432">
        <v>73.239999999999995</v>
      </c>
      <c r="N127" s="432">
        <v>73.900000000000006</v>
      </c>
      <c r="O127" s="432">
        <v>74.27</v>
      </c>
      <c r="P127" s="426"/>
      <c r="Q127" s="426"/>
      <c r="R127" s="426"/>
      <c r="S127" s="426"/>
      <c r="T127" s="426"/>
      <c r="U127" s="433"/>
      <c r="V127" s="113">
        <v>16</v>
      </c>
      <c r="W127" s="432">
        <v>77.41</v>
      </c>
      <c r="X127" s="432">
        <v>78.16</v>
      </c>
      <c r="Y127" s="432">
        <v>78.56</v>
      </c>
      <c r="Z127" s="426"/>
      <c r="AA127" s="426"/>
      <c r="AB127" s="426"/>
      <c r="AC127" s="426"/>
      <c r="AD127" s="426"/>
      <c r="AE127" s="433"/>
      <c r="AF127" s="113">
        <v>16</v>
      </c>
      <c r="AG127" s="432">
        <v>81.790000000000006</v>
      </c>
      <c r="AH127" s="432">
        <v>82.64</v>
      </c>
      <c r="AI127" s="432">
        <v>83.08</v>
      </c>
      <c r="AJ127" s="426"/>
      <c r="AK127" s="426"/>
      <c r="AL127" s="426"/>
      <c r="AM127" s="426"/>
      <c r="AN127" s="426"/>
      <c r="AO127" s="433"/>
      <c r="AP127" s="113">
        <v>16</v>
      </c>
      <c r="AQ127" s="432">
        <v>86.38</v>
      </c>
      <c r="AR127" s="432">
        <v>87.34</v>
      </c>
      <c r="AS127" s="432">
        <v>87.81</v>
      </c>
      <c r="AT127" s="426"/>
      <c r="AU127" s="426"/>
      <c r="AV127" s="426"/>
      <c r="AW127" s="426"/>
      <c r="AX127" s="426"/>
    </row>
    <row r="128" spans="1:50" s="429" customFormat="1" x14ac:dyDescent="0.2">
      <c r="A128" s="433"/>
      <c r="B128" s="113">
        <v>17</v>
      </c>
      <c r="C128" s="432">
        <v>69.53</v>
      </c>
      <c r="D128" s="432">
        <v>70.099999999999994</v>
      </c>
      <c r="E128" s="432">
        <v>70.45</v>
      </c>
      <c r="F128" s="426"/>
      <c r="G128" s="426"/>
      <c r="H128" s="426"/>
      <c r="I128" s="426"/>
      <c r="J128" s="426"/>
      <c r="K128" s="433"/>
      <c r="L128" s="113">
        <v>17</v>
      </c>
      <c r="M128" s="432">
        <v>73.53</v>
      </c>
      <c r="N128" s="432">
        <v>74.19</v>
      </c>
      <c r="O128" s="432">
        <v>74.56</v>
      </c>
      <c r="P128" s="426"/>
      <c r="Q128" s="426"/>
      <c r="R128" s="426"/>
      <c r="S128" s="426"/>
      <c r="T128" s="426"/>
      <c r="U128" s="433"/>
      <c r="V128" s="113">
        <v>17</v>
      </c>
      <c r="W128" s="432">
        <v>77.73</v>
      </c>
      <c r="X128" s="432">
        <v>78.489999999999995</v>
      </c>
      <c r="Y128" s="432">
        <v>78.89</v>
      </c>
      <c r="Z128" s="426"/>
      <c r="AA128" s="426"/>
      <c r="AB128" s="426"/>
      <c r="AC128" s="426"/>
      <c r="AD128" s="426"/>
      <c r="AE128" s="433"/>
      <c r="AF128" s="113">
        <v>17</v>
      </c>
      <c r="AG128" s="432">
        <v>82.14</v>
      </c>
      <c r="AH128" s="432">
        <v>83</v>
      </c>
      <c r="AI128" s="432">
        <v>83.44</v>
      </c>
      <c r="AJ128" s="426"/>
      <c r="AK128" s="426"/>
      <c r="AL128" s="426"/>
      <c r="AM128" s="426"/>
      <c r="AN128" s="426"/>
      <c r="AO128" s="433"/>
      <c r="AP128" s="113">
        <v>17</v>
      </c>
      <c r="AQ128" s="432">
        <v>86.78</v>
      </c>
      <c r="AR128" s="432">
        <v>87.74</v>
      </c>
      <c r="AS128" s="432">
        <v>88.22</v>
      </c>
      <c r="AT128" s="426"/>
      <c r="AU128" s="426"/>
      <c r="AV128" s="426"/>
      <c r="AW128" s="426"/>
      <c r="AX128" s="426"/>
    </row>
    <row r="129" spans="1:50" s="429" customFormat="1" x14ac:dyDescent="0.2">
      <c r="A129" s="433"/>
      <c r="B129" s="113">
        <v>18</v>
      </c>
      <c r="C129" s="432">
        <v>69.8</v>
      </c>
      <c r="D129" s="432">
        <v>70.38</v>
      </c>
      <c r="E129" s="432">
        <v>70.72</v>
      </c>
      <c r="F129" s="426"/>
      <c r="G129" s="426"/>
      <c r="H129" s="426"/>
      <c r="I129" s="426"/>
      <c r="J129" s="426"/>
      <c r="K129" s="433"/>
      <c r="L129" s="113">
        <v>18</v>
      </c>
      <c r="M129" s="432">
        <v>73.83</v>
      </c>
      <c r="N129" s="432">
        <v>74.5</v>
      </c>
      <c r="O129" s="432">
        <v>74.87</v>
      </c>
      <c r="P129" s="426"/>
      <c r="Q129" s="426"/>
      <c r="R129" s="426"/>
      <c r="S129" s="426"/>
      <c r="T129" s="426"/>
      <c r="U129" s="433"/>
      <c r="V129" s="113">
        <v>18</v>
      </c>
      <c r="W129" s="432">
        <v>78.069999999999993</v>
      </c>
      <c r="X129" s="432">
        <v>78.83</v>
      </c>
      <c r="Y129" s="432">
        <v>79.23</v>
      </c>
      <c r="Z129" s="426"/>
      <c r="AA129" s="426"/>
      <c r="AB129" s="426"/>
      <c r="AC129" s="426"/>
      <c r="AD129" s="426"/>
      <c r="AE129" s="433"/>
      <c r="AF129" s="113">
        <v>18</v>
      </c>
      <c r="AG129" s="432">
        <v>82.52</v>
      </c>
      <c r="AH129" s="432">
        <v>83.38</v>
      </c>
      <c r="AI129" s="432">
        <v>83.82</v>
      </c>
      <c r="AJ129" s="426"/>
      <c r="AK129" s="426"/>
      <c r="AL129" s="426"/>
      <c r="AM129" s="426"/>
      <c r="AN129" s="426"/>
      <c r="AO129" s="433"/>
      <c r="AP129" s="113">
        <v>18</v>
      </c>
      <c r="AQ129" s="432">
        <v>87.19</v>
      </c>
      <c r="AR129" s="432">
        <v>88.17</v>
      </c>
      <c r="AS129" s="432">
        <v>88.64</v>
      </c>
      <c r="AT129" s="426"/>
      <c r="AU129" s="426"/>
      <c r="AV129" s="426"/>
      <c r="AW129" s="426"/>
      <c r="AX129" s="426"/>
    </row>
    <row r="130" spans="1:50" s="429" customFormat="1" x14ac:dyDescent="0.2">
      <c r="A130" s="433"/>
      <c r="B130" s="113">
        <v>19</v>
      </c>
      <c r="C130" s="432">
        <v>70.08</v>
      </c>
      <c r="D130" s="432">
        <v>70.66</v>
      </c>
      <c r="E130" s="432">
        <v>71.010000000000005</v>
      </c>
      <c r="F130" s="426"/>
      <c r="G130" s="426"/>
      <c r="H130" s="426"/>
      <c r="I130" s="426"/>
      <c r="J130" s="426"/>
      <c r="K130" s="433"/>
      <c r="L130" s="113">
        <v>19</v>
      </c>
      <c r="M130" s="432">
        <v>74.14</v>
      </c>
      <c r="N130" s="432">
        <v>74.81</v>
      </c>
      <c r="O130" s="432">
        <v>75.19</v>
      </c>
      <c r="P130" s="426"/>
      <c r="Q130" s="426"/>
      <c r="R130" s="426"/>
      <c r="S130" s="426"/>
      <c r="T130" s="426"/>
      <c r="U130" s="433"/>
      <c r="V130" s="113">
        <v>19</v>
      </c>
      <c r="W130" s="432">
        <v>78.41</v>
      </c>
      <c r="X130" s="432">
        <v>79.180000000000007</v>
      </c>
      <c r="Y130" s="432">
        <v>79.59</v>
      </c>
      <c r="Z130" s="426"/>
      <c r="AA130" s="426"/>
      <c r="AB130" s="426"/>
      <c r="AC130" s="426"/>
      <c r="AD130" s="426"/>
      <c r="AE130" s="433"/>
      <c r="AF130" s="113">
        <v>19</v>
      </c>
      <c r="AG130" s="432">
        <v>82.9</v>
      </c>
      <c r="AH130" s="432">
        <v>83.78</v>
      </c>
      <c r="AI130" s="432">
        <v>84.22</v>
      </c>
      <c r="AJ130" s="426"/>
      <c r="AK130" s="426"/>
      <c r="AL130" s="426"/>
      <c r="AM130" s="426"/>
      <c r="AN130" s="426"/>
      <c r="AO130" s="433"/>
      <c r="AP130" s="113">
        <v>19</v>
      </c>
      <c r="AQ130" s="432">
        <v>87.62</v>
      </c>
      <c r="AR130" s="432">
        <v>88.61</v>
      </c>
      <c r="AS130" s="432">
        <v>89.09</v>
      </c>
      <c r="AT130" s="426"/>
      <c r="AU130" s="426"/>
      <c r="AV130" s="426"/>
      <c r="AW130" s="426"/>
      <c r="AX130" s="426"/>
    </row>
    <row r="131" spans="1:50" s="429" customFormat="1" x14ac:dyDescent="0.2">
      <c r="A131" s="433"/>
      <c r="B131" s="113">
        <v>20</v>
      </c>
      <c r="C131" s="432">
        <v>70.33</v>
      </c>
      <c r="D131" s="432">
        <v>70.94</v>
      </c>
      <c r="E131" s="432">
        <v>71.290000000000006</v>
      </c>
      <c r="F131" s="426"/>
      <c r="G131" s="426"/>
      <c r="H131" s="426"/>
      <c r="I131" s="426"/>
      <c r="J131" s="426"/>
      <c r="K131" s="433"/>
      <c r="L131" s="113">
        <v>20</v>
      </c>
      <c r="M131" s="432">
        <v>74.47</v>
      </c>
      <c r="N131" s="432">
        <v>75.14</v>
      </c>
      <c r="O131" s="432">
        <v>75.52</v>
      </c>
      <c r="P131" s="426"/>
      <c r="Q131" s="426"/>
      <c r="R131" s="426"/>
      <c r="S131" s="426"/>
      <c r="T131" s="426"/>
      <c r="U131" s="433"/>
      <c r="V131" s="113">
        <v>20</v>
      </c>
      <c r="W131" s="432">
        <v>78.78</v>
      </c>
      <c r="X131" s="432">
        <v>79.55</v>
      </c>
      <c r="Y131" s="432">
        <v>79.959999999999994</v>
      </c>
      <c r="Z131" s="426"/>
      <c r="AA131" s="426"/>
      <c r="AB131" s="426"/>
      <c r="AC131" s="426"/>
      <c r="AD131" s="426"/>
      <c r="AE131" s="433"/>
      <c r="AF131" s="113">
        <v>20</v>
      </c>
      <c r="AG131" s="432">
        <v>83.31</v>
      </c>
      <c r="AH131" s="432">
        <v>84.19</v>
      </c>
      <c r="AI131" s="432">
        <v>84.64</v>
      </c>
      <c r="AJ131" s="426"/>
      <c r="AK131" s="426"/>
      <c r="AL131" s="426"/>
      <c r="AM131" s="426"/>
      <c r="AN131" s="426"/>
      <c r="AO131" s="433"/>
      <c r="AP131" s="113">
        <v>20</v>
      </c>
      <c r="AQ131" s="432">
        <v>88.08</v>
      </c>
      <c r="AR131" s="432">
        <v>89.07</v>
      </c>
      <c r="AS131" s="432">
        <v>89.55</v>
      </c>
      <c r="AT131" s="426"/>
      <c r="AU131" s="426"/>
      <c r="AV131" s="426"/>
      <c r="AW131" s="426"/>
      <c r="AX131" s="426"/>
    </row>
    <row r="132" spans="1:50" s="429" customFormat="1" x14ac:dyDescent="0.2">
      <c r="A132" s="433"/>
      <c r="B132" s="113">
        <v>21</v>
      </c>
      <c r="C132" s="432">
        <v>70.489999999999995</v>
      </c>
      <c r="D132" s="432">
        <v>71.099999999999994</v>
      </c>
      <c r="E132" s="432">
        <v>71.45</v>
      </c>
      <c r="F132" s="426"/>
      <c r="G132" s="426"/>
      <c r="H132" s="426"/>
      <c r="I132" s="426"/>
      <c r="J132" s="426"/>
      <c r="K132" s="433"/>
      <c r="L132" s="113">
        <v>21</v>
      </c>
      <c r="M132" s="432">
        <v>74.77</v>
      </c>
      <c r="N132" s="432">
        <v>75.48</v>
      </c>
      <c r="O132" s="432">
        <v>75.86</v>
      </c>
      <c r="P132" s="426"/>
      <c r="Q132" s="426"/>
      <c r="R132" s="426"/>
      <c r="S132" s="426"/>
      <c r="T132" s="426"/>
      <c r="U132" s="433"/>
      <c r="V132" s="113">
        <v>21</v>
      </c>
      <c r="W132" s="432">
        <v>79.16</v>
      </c>
      <c r="X132" s="432">
        <v>79.94</v>
      </c>
      <c r="Y132" s="432">
        <v>80.349999999999994</v>
      </c>
      <c r="Z132" s="426"/>
      <c r="AA132" s="426"/>
      <c r="AB132" s="426"/>
      <c r="AC132" s="426"/>
      <c r="AD132" s="426"/>
      <c r="AE132" s="433"/>
      <c r="AF132" s="113">
        <v>21</v>
      </c>
      <c r="AG132" s="432">
        <v>83.74</v>
      </c>
      <c r="AH132" s="432">
        <v>84.62</v>
      </c>
      <c r="AI132" s="432">
        <v>85.07</v>
      </c>
      <c r="AJ132" s="426"/>
      <c r="AK132" s="426"/>
      <c r="AL132" s="426"/>
      <c r="AM132" s="426"/>
      <c r="AN132" s="426"/>
      <c r="AO132" s="433"/>
      <c r="AP132" s="113">
        <v>21</v>
      </c>
      <c r="AQ132" s="432">
        <v>88.55</v>
      </c>
      <c r="AR132" s="432">
        <v>89.55</v>
      </c>
      <c r="AS132" s="432">
        <v>90.04</v>
      </c>
      <c r="AT132" s="426"/>
      <c r="AU132" s="426"/>
      <c r="AV132" s="426"/>
      <c r="AW132" s="426"/>
      <c r="AX132" s="426"/>
    </row>
    <row r="133" spans="1:50" s="429" customFormat="1" x14ac:dyDescent="0.2">
      <c r="A133" s="433"/>
      <c r="B133" s="113">
        <v>22</v>
      </c>
      <c r="C133" s="432">
        <v>70.650000000000006</v>
      </c>
      <c r="D133" s="432">
        <v>71.27</v>
      </c>
      <c r="E133" s="432">
        <v>71.62</v>
      </c>
      <c r="F133" s="426"/>
      <c r="G133" s="426"/>
      <c r="H133" s="426"/>
      <c r="I133" s="426"/>
      <c r="J133" s="426"/>
      <c r="K133" s="433"/>
      <c r="L133" s="113">
        <v>22</v>
      </c>
      <c r="M133" s="432">
        <v>74.959999999999994</v>
      </c>
      <c r="N133" s="432">
        <v>75.67</v>
      </c>
      <c r="O133" s="432">
        <v>76.06</v>
      </c>
      <c r="P133" s="426"/>
      <c r="Q133" s="426"/>
      <c r="R133" s="426"/>
      <c r="S133" s="426"/>
      <c r="T133" s="426"/>
      <c r="U133" s="433"/>
      <c r="V133" s="113">
        <v>22</v>
      </c>
      <c r="W133" s="432">
        <v>79.510000000000005</v>
      </c>
      <c r="X133" s="432">
        <v>80.33</v>
      </c>
      <c r="Y133" s="432">
        <v>80.75</v>
      </c>
      <c r="Z133" s="426"/>
      <c r="AA133" s="426"/>
      <c r="AB133" s="426"/>
      <c r="AC133" s="426"/>
      <c r="AD133" s="426"/>
      <c r="AE133" s="433"/>
      <c r="AF133" s="113">
        <v>22</v>
      </c>
      <c r="AG133" s="432">
        <v>84.18</v>
      </c>
      <c r="AH133" s="432">
        <v>85.07</v>
      </c>
      <c r="AI133" s="432">
        <v>85.53</v>
      </c>
      <c r="AJ133" s="426"/>
      <c r="AK133" s="426"/>
      <c r="AL133" s="426"/>
      <c r="AM133" s="426"/>
      <c r="AN133" s="426"/>
      <c r="AO133" s="433"/>
      <c r="AP133" s="113">
        <v>22</v>
      </c>
      <c r="AQ133" s="432">
        <v>89.05</v>
      </c>
      <c r="AR133" s="432">
        <v>90.06</v>
      </c>
      <c r="AS133" s="432">
        <v>90.55</v>
      </c>
      <c r="AT133" s="426"/>
      <c r="AU133" s="426"/>
      <c r="AV133" s="426"/>
      <c r="AW133" s="426"/>
      <c r="AX133" s="426"/>
    </row>
    <row r="134" spans="1:50" s="429" customFormat="1" x14ac:dyDescent="0.2">
      <c r="A134" s="433"/>
      <c r="B134" s="113">
        <v>23</v>
      </c>
      <c r="C134" s="432">
        <v>70.819999999999993</v>
      </c>
      <c r="D134" s="432">
        <v>71.44</v>
      </c>
      <c r="E134" s="432">
        <v>71.8</v>
      </c>
      <c r="F134" s="426"/>
      <c r="G134" s="426"/>
      <c r="H134" s="426"/>
      <c r="I134" s="426"/>
      <c r="J134" s="426"/>
      <c r="K134" s="433"/>
      <c r="L134" s="113">
        <v>23</v>
      </c>
      <c r="M134" s="432">
        <v>75.17</v>
      </c>
      <c r="N134" s="432">
        <v>75.88</v>
      </c>
      <c r="O134" s="432">
        <v>76.27</v>
      </c>
      <c r="P134" s="426"/>
      <c r="Q134" s="426"/>
      <c r="R134" s="426"/>
      <c r="S134" s="426"/>
      <c r="T134" s="426"/>
      <c r="U134" s="433"/>
      <c r="V134" s="113">
        <v>23</v>
      </c>
      <c r="W134" s="432">
        <v>79.75</v>
      </c>
      <c r="X134" s="432">
        <v>80.569999999999993</v>
      </c>
      <c r="Y134" s="432">
        <v>80.989999999999995</v>
      </c>
      <c r="Z134" s="426"/>
      <c r="AA134" s="426"/>
      <c r="AB134" s="426"/>
      <c r="AC134" s="426"/>
      <c r="AD134" s="426"/>
      <c r="AE134" s="433"/>
      <c r="AF134" s="113">
        <v>23</v>
      </c>
      <c r="AG134" s="432">
        <v>84.58</v>
      </c>
      <c r="AH134" s="432">
        <v>85.51</v>
      </c>
      <c r="AI134" s="432">
        <v>85.97</v>
      </c>
      <c r="AJ134" s="426"/>
      <c r="AK134" s="426"/>
      <c r="AL134" s="426"/>
      <c r="AM134" s="426"/>
      <c r="AN134" s="426"/>
      <c r="AO134" s="433"/>
      <c r="AP134" s="113">
        <v>23</v>
      </c>
      <c r="AQ134" s="432">
        <v>89.58</v>
      </c>
      <c r="AR134" s="432">
        <v>90.6</v>
      </c>
      <c r="AS134" s="432">
        <v>91.09</v>
      </c>
      <c r="AT134" s="426"/>
      <c r="AU134" s="426"/>
      <c r="AV134" s="426"/>
      <c r="AW134" s="426"/>
      <c r="AX134" s="426"/>
    </row>
    <row r="135" spans="1:50" s="429" customFormat="1" x14ac:dyDescent="0.2">
      <c r="A135" s="433"/>
      <c r="B135" s="113">
        <v>24</v>
      </c>
      <c r="C135" s="432">
        <v>71</v>
      </c>
      <c r="D135" s="432">
        <v>71.62</v>
      </c>
      <c r="E135" s="432">
        <v>71.98</v>
      </c>
      <c r="F135" s="426"/>
      <c r="G135" s="426"/>
      <c r="H135" s="426"/>
      <c r="I135" s="426"/>
      <c r="J135" s="426"/>
      <c r="K135" s="433"/>
      <c r="L135" s="113">
        <v>24</v>
      </c>
      <c r="M135" s="432">
        <v>75.38</v>
      </c>
      <c r="N135" s="432">
        <v>76.09</v>
      </c>
      <c r="O135" s="432">
        <v>76.489999999999995</v>
      </c>
      <c r="P135" s="426"/>
      <c r="Q135" s="426"/>
      <c r="R135" s="426"/>
      <c r="S135" s="426"/>
      <c r="T135" s="426"/>
      <c r="U135" s="433"/>
      <c r="V135" s="113">
        <v>24</v>
      </c>
      <c r="W135" s="432">
        <v>79.989999999999995</v>
      </c>
      <c r="X135" s="432">
        <v>80.819999999999993</v>
      </c>
      <c r="Y135" s="432">
        <v>81.25</v>
      </c>
      <c r="Z135" s="426"/>
      <c r="AA135" s="426"/>
      <c r="AB135" s="426"/>
      <c r="AC135" s="426"/>
      <c r="AD135" s="426"/>
      <c r="AE135" s="433"/>
      <c r="AF135" s="113">
        <v>24</v>
      </c>
      <c r="AG135" s="432">
        <v>84.86</v>
      </c>
      <c r="AH135" s="432">
        <v>85.8</v>
      </c>
      <c r="AI135" s="432">
        <v>86.27</v>
      </c>
      <c r="AJ135" s="426"/>
      <c r="AK135" s="426"/>
      <c r="AL135" s="426"/>
      <c r="AM135" s="426"/>
      <c r="AN135" s="426"/>
      <c r="AO135" s="433"/>
      <c r="AP135" s="113">
        <v>24</v>
      </c>
      <c r="AQ135" s="432">
        <v>89.99</v>
      </c>
      <c r="AR135" s="432">
        <v>91.06</v>
      </c>
      <c r="AS135" s="432">
        <v>91.56</v>
      </c>
      <c r="AT135" s="426"/>
      <c r="AU135" s="426"/>
      <c r="AV135" s="426"/>
      <c r="AW135" s="426"/>
      <c r="AX135" s="426"/>
    </row>
    <row r="136" spans="1:50" s="429" customFormat="1" x14ac:dyDescent="0.2">
      <c r="A136" s="433"/>
      <c r="B136" s="113">
        <v>25</v>
      </c>
      <c r="C136" s="432">
        <v>71.19</v>
      </c>
      <c r="D136" s="432">
        <v>71.81</v>
      </c>
      <c r="E136" s="432">
        <v>72.17</v>
      </c>
      <c r="F136" s="426"/>
      <c r="G136" s="426"/>
      <c r="H136" s="426"/>
      <c r="I136" s="426"/>
      <c r="J136" s="426"/>
      <c r="K136" s="433"/>
      <c r="L136" s="113">
        <v>25</v>
      </c>
      <c r="M136" s="432">
        <v>75.59</v>
      </c>
      <c r="N136" s="432">
        <v>76.319999999999993</v>
      </c>
      <c r="O136" s="432">
        <v>76.709999999999994</v>
      </c>
      <c r="P136" s="426"/>
      <c r="Q136" s="426"/>
      <c r="R136" s="426"/>
      <c r="S136" s="426"/>
      <c r="T136" s="426"/>
      <c r="U136" s="433"/>
      <c r="V136" s="113">
        <v>25</v>
      </c>
      <c r="W136" s="432">
        <v>80.239999999999995</v>
      </c>
      <c r="X136" s="432">
        <v>81.08</v>
      </c>
      <c r="Y136" s="432">
        <v>81.510000000000005</v>
      </c>
      <c r="Z136" s="426"/>
      <c r="AA136" s="426"/>
      <c r="AB136" s="426"/>
      <c r="AC136" s="426"/>
      <c r="AD136" s="426"/>
      <c r="AE136" s="433"/>
      <c r="AF136" s="113">
        <v>25</v>
      </c>
      <c r="AG136" s="432">
        <v>85.15</v>
      </c>
      <c r="AH136" s="432">
        <v>86.1</v>
      </c>
      <c r="AI136" s="432">
        <v>86.57</v>
      </c>
      <c r="AJ136" s="426"/>
      <c r="AK136" s="426"/>
      <c r="AL136" s="426"/>
      <c r="AM136" s="426"/>
      <c r="AN136" s="426"/>
      <c r="AO136" s="433"/>
      <c r="AP136" s="113">
        <v>25</v>
      </c>
      <c r="AQ136" s="432">
        <v>90.33</v>
      </c>
      <c r="AR136" s="432">
        <v>91.4</v>
      </c>
      <c r="AS136" s="432">
        <v>91.91</v>
      </c>
      <c r="AT136" s="426"/>
      <c r="AU136" s="426"/>
      <c r="AV136" s="426"/>
      <c r="AW136" s="426"/>
      <c r="AX136" s="426"/>
    </row>
    <row r="137" spans="1:50" s="429" customFormat="1" x14ac:dyDescent="0.2">
      <c r="A137" s="433"/>
      <c r="B137" s="113">
        <v>26</v>
      </c>
      <c r="C137" s="432">
        <v>71.38</v>
      </c>
      <c r="D137" s="432">
        <v>72.010000000000005</v>
      </c>
      <c r="E137" s="432">
        <v>72.37</v>
      </c>
      <c r="F137" s="426"/>
      <c r="G137" s="426"/>
      <c r="H137" s="426"/>
      <c r="I137" s="426"/>
      <c r="J137" s="426"/>
      <c r="K137" s="433"/>
      <c r="L137" s="113">
        <v>26</v>
      </c>
      <c r="M137" s="432">
        <v>75.819999999999993</v>
      </c>
      <c r="N137" s="432">
        <v>76.55</v>
      </c>
      <c r="O137" s="432">
        <v>76.94</v>
      </c>
      <c r="P137" s="426"/>
      <c r="Q137" s="426"/>
      <c r="R137" s="426"/>
      <c r="S137" s="426"/>
      <c r="T137" s="426"/>
      <c r="U137" s="433"/>
      <c r="V137" s="113">
        <v>26</v>
      </c>
      <c r="W137" s="432">
        <v>80.510000000000005</v>
      </c>
      <c r="X137" s="432">
        <v>81.349999999999994</v>
      </c>
      <c r="Y137" s="432">
        <v>81.78</v>
      </c>
      <c r="Z137" s="426"/>
      <c r="AA137" s="426"/>
      <c r="AB137" s="426"/>
      <c r="AC137" s="426"/>
      <c r="AD137" s="426"/>
      <c r="AE137" s="433"/>
      <c r="AF137" s="113">
        <v>26</v>
      </c>
      <c r="AG137" s="432">
        <v>85.46</v>
      </c>
      <c r="AH137" s="432">
        <v>86.41</v>
      </c>
      <c r="AI137" s="432">
        <v>86.88</v>
      </c>
      <c r="AJ137" s="426"/>
      <c r="AK137" s="426"/>
      <c r="AL137" s="426"/>
      <c r="AM137" s="426"/>
      <c r="AN137" s="426"/>
      <c r="AO137" s="433"/>
      <c r="AP137" s="113">
        <v>26</v>
      </c>
      <c r="AQ137" s="432">
        <v>90.68</v>
      </c>
      <c r="AR137" s="432">
        <v>91.76</v>
      </c>
      <c r="AS137" s="432">
        <v>92.27</v>
      </c>
      <c r="AT137" s="426"/>
      <c r="AU137" s="426"/>
      <c r="AV137" s="426"/>
      <c r="AW137" s="426"/>
      <c r="AX137" s="426"/>
    </row>
    <row r="138" spans="1:50" s="429" customFormat="1" x14ac:dyDescent="0.2">
      <c r="A138" s="433"/>
      <c r="B138" s="113">
        <v>27</v>
      </c>
      <c r="C138" s="432">
        <v>71.569999999999993</v>
      </c>
      <c r="D138" s="432">
        <v>72.209999999999994</v>
      </c>
      <c r="E138" s="432">
        <v>72.58</v>
      </c>
      <c r="F138" s="426"/>
      <c r="G138" s="426"/>
      <c r="H138" s="426"/>
      <c r="I138" s="426"/>
      <c r="J138" s="426"/>
      <c r="K138" s="433"/>
      <c r="L138" s="113">
        <v>27</v>
      </c>
      <c r="M138" s="432">
        <v>76.05</v>
      </c>
      <c r="N138" s="432">
        <v>76.78</v>
      </c>
      <c r="O138" s="432">
        <v>77.19</v>
      </c>
      <c r="P138" s="426"/>
      <c r="Q138" s="426"/>
      <c r="R138" s="426"/>
      <c r="S138" s="426"/>
      <c r="T138" s="426"/>
      <c r="U138" s="433"/>
      <c r="V138" s="113">
        <v>27</v>
      </c>
      <c r="W138" s="432">
        <v>80.78</v>
      </c>
      <c r="X138" s="432">
        <v>81.62</v>
      </c>
      <c r="Y138" s="432">
        <v>82.06</v>
      </c>
      <c r="Z138" s="426"/>
      <c r="AA138" s="426"/>
      <c r="AB138" s="426"/>
      <c r="AC138" s="426"/>
      <c r="AD138" s="426"/>
      <c r="AE138" s="433"/>
      <c r="AF138" s="113">
        <v>27</v>
      </c>
      <c r="AG138" s="432">
        <v>85.77</v>
      </c>
      <c r="AH138" s="432">
        <v>86.73</v>
      </c>
      <c r="AI138" s="432">
        <v>87.21</v>
      </c>
      <c r="AJ138" s="426"/>
      <c r="AK138" s="426"/>
      <c r="AL138" s="426"/>
      <c r="AM138" s="426"/>
      <c r="AN138" s="426"/>
      <c r="AO138" s="433"/>
      <c r="AP138" s="113">
        <v>27</v>
      </c>
      <c r="AQ138" s="432">
        <v>91.03</v>
      </c>
      <c r="AR138" s="432">
        <v>92.13</v>
      </c>
      <c r="AS138" s="432">
        <v>92.65</v>
      </c>
      <c r="AT138" s="426"/>
      <c r="AU138" s="426"/>
      <c r="AV138" s="426"/>
      <c r="AW138" s="426"/>
      <c r="AX138" s="426"/>
    </row>
    <row r="139" spans="1:50" s="429" customFormat="1" x14ac:dyDescent="0.2">
      <c r="A139" s="433"/>
      <c r="B139" s="113">
        <v>28</v>
      </c>
      <c r="C139" s="432">
        <v>71.78</v>
      </c>
      <c r="D139" s="432">
        <v>72.42</v>
      </c>
      <c r="E139" s="432">
        <v>72.790000000000006</v>
      </c>
      <c r="F139" s="426"/>
      <c r="G139" s="426"/>
      <c r="H139" s="426"/>
      <c r="I139" s="426"/>
      <c r="J139" s="426"/>
      <c r="K139" s="433"/>
      <c r="L139" s="113">
        <v>28</v>
      </c>
      <c r="M139" s="432">
        <v>76.290000000000006</v>
      </c>
      <c r="N139" s="432">
        <v>77.03</v>
      </c>
      <c r="O139" s="432">
        <v>77.430000000000007</v>
      </c>
      <c r="P139" s="426"/>
      <c r="Q139" s="426"/>
      <c r="R139" s="426"/>
      <c r="S139" s="426"/>
      <c r="T139" s="426"/>
      <c r="U139" s="433"/>
      <c r="V139" s="113">
        <v>28</v>
      </c>
      <c r="W139" s="432">
        <v>81.06</v>
      </c>
      <c r="X139" s="432">
        <v>81.91</v>
      </c>
      <c r="Y139" s="432">
        <v>82.35</v>
      </c>
      <c r="Z139" s="426"/>
      <c r="AA139" s="426"/>
      <c r="AB139" s="426"/>
      <c r="AC139" s="426"/>
      <c r="AD139" s="426"/>
      <c r="AE139" s="433"/>
      <c r="AF139" s="113">
        <v>28</v>
      </c>
      <c r="AG139" s="432">
        <v>86.09</v>
      </c>
      <c r="AH139" s="432">
        <v>87.07</v>
      </c>
      <c r="AI139" s="432">
        <v>87.54</v>
      </c>
      <c r="AJ139" s="426"/>
      <c r="AK139" s="426"/>
      <c r="AL139" s="426"/>
      <c r="AM139" s="426"/>
      <c r="AN139" s="426"/>
      <c r="AO139" s="433"/>
      <c r="AP139" s="113">
        <v>28</v>
      </c>
      <c r="AQ139" s="432">
        <v>91.41</v>
      </c>
      <c r="AR139" s="432">
        <v>92.51</v>
      </c>
      <c r="AS139" s="432">
        <v>93.03</v>
      </c>
      <c r="AT139" s="426"/>
      <c r="AU139" s="426"/>
      <c r="AV139" s="426"/>
      <c r="AW139" s="426"/>
      <c r="AX139" s="426"/>
    </row>
    <row r="140" spans="1:50" s="429" customFormat="1" x14ac:dyDescent="0.2">
      <c r="A140" s="433"/>
      <c r="B140" s="113">
        <v>29</v>
      </c>
      <c r="C140" s="432">
        <v>71.989999999999995</v>
      </c>
      <c r="D140" s="432">
        <v>72.63</v>
      </c>
      <c r="E140" s="432">
        <v>73</v>
      </c>
      <c r="F140" s="426"/>
      <c r="G140" s="426"/>
      <c r="H140" s="426"/>
      <c r="I140" s="426"/>
      <c r="J140" s="426"/>
      <c r="K140" s="433"/>
      <c r="L140" s="113">
        <v>29</v>
      </c>
      <c r="M140" s="432">
        <v>76.53</v>
      </c>
      <c r="N140" s="432">
        <v>77.28</v>
      </c>
      <c r="O140" s="432">
        <v>77.69</v>
      </c>
      <c r="P140" s="426"/>
      <c r="Q140" s="426"/>
      <c r="R140" s="426"/>
      <c r="S140" s="426"/>
      <c r="T140" s="426"/>
      <c r="U140" s="433"/>
      <c r="V140" s="113">
        <v>29</v>
      </c>
      <c r="W140" s="432">
        <v>81.34</v>
      </c>
      <c r="X140" s="432">
        <v>82.2</v>
      </c>
      <c r="Y140" s="432">
        <v>82.65</v>
      </c>
      <c r="Z140" s="426"/>
      <c r="AA140" s="426"/>
      <c r="AB140" s="426"/>
      <c r="AC140" s="426"/>
      <c r="AD140" s="426"/>
      <c r="AE140" s="433"/>
      <c r="AF140" s="113">
        <v>29</v>
      </c>
      <c r="AG140" s="432">
        <v>86.42</v>
      </c>
      <c r="AH140" s="432">
        <v>87.41</v>
      </c>
      <c r="AI140" s="432">
        <v>87.89</v>
      </c>
      <c r="AJ140" s="426"/>
      <c r="AK140" s="426"/>
      <c r="AL140" s="426"/>
      <c r="AM140" s="426"/>
      <c r="AN140" s="426"/>
      <c r="AO140" s="433"/>
      <c r="AP140" s="113">
        <v>29</v>
      </c>
      <c r="AQ140" s="432">
        <v>91.79</v>
      </c>
      <c r="AR140" s="432">
        <v>92.9</v>
      </c>
      <c r="AS140" s="432">
        <v>93.43</v>
      </c>
      <c r="AT140" s="426"/>
      <c r="AU140" s="426"/>
      <c r="AV140" s="426"/>
      <c r="AW140" s="426"/>
      <c r="AX140" s="426"/>
    </row>
    <row r="141" spans="1:50" s="429" customFormat="1" x14ac:dyDescent="0.2">
      <c r="A141" s="433"/>
      <c r="B141" s="113">
        <v>30</v>
      </c>
      <c r="C141" s="432">
        <v>72.2</v>
      </c>
      <c r="D141" s="432">
        <v>72.849999999999994</v>
      </c>
      <c r="E141" s="432">
        <v>73.23</v>
      </c>
      <c r="F141" s="426"/>
      <c r="G141" s="426"/>
      <c r="H141" s="426"/>
      <c r="I141" s="426"/>
      <c r="J141" s="426"/>
      <c r="K141" s="433"/>
      <c r="L141" s="113">
        <v>30</v>
      </c>
      <c r="M141" s="432">
        <v>76.790000000000006</v>
      </c>
      <c r="N141" s="432">
        <v>77.540000000000006</v>
      </c>
      <c r="O141" s="432">
        <v>77.95</v>
      </c>
      <c r="P141" s="426"/>
      <c r="Q141" s="426"/>
      <c r="R141" s="426"/>
      <c r="S141" s="426"/>
      <c r="T141" s="426"/>
      <c r="U141" s="433"/>
      <c r="V141" s="113">
        <v>30</v>
      </c>
      <c r="W141" s="432">
        <v>81.64</v>
      </c>
      <c r="X141" s="432">
        <v>82.51</v>
      </c>
      <c r="Y141" s="432">
        <v>82.95</v>
      </c>
      <c r="Z141" s="426"/>
      <c r="AA141" s="426"/>
      <c r="AB141" s="426"/>
      <c r="AC141" s="426"/>
      <c r="AD141" s="426"/>
      <c r="AE141" s="433"/>
      <c r="AF141" s="113">
        <v>30</v>
      </c>
      <c r="AG141" s="432">
        <v>86.77</v>
      </c>
      <c r="AH141" s="432">
        <v>87.76</v>
      </c>
      <c r="AI141" s="432">
        <v>88.24</v>
      </c>
      <c r="AJ141" s="426"/>
      <c r="AK141" s="426"/>
      <c r="AL141" s="426"/>
      <c r="AM141" s="426"/>
      <c r="AN141" s="426"/>
      <c r="AO141" s="433"/>
      <c r="AP141" s="113">
        <v>30</v>
      </c>
      <c r="AQ141" s="432">
        <v>92.18</v>
      </c>
      <c r="AR141" s="432">
        <v>93.31</v>
      </c>
      <c r="AS141" s="432">
        <v>93.83</v>
      </c>
      <c r="AT141" s="426"/>
      <c r="AU141" s="426"/>
      <c r="AV141" s="426"/>
      <c r="AW141" s="426"/>
      <c r="AX141" s="426"/>
    </row>
    <row r="142" spans="1:50" s="429" customFormat="1" x14ac:dyDescent="0.2">
      <c r="A142" s="433"/>
      <c r="B142" s="113">
        <v>31</v>
      </c>
      <c r="C142" s="432">
        <v>72.42</v>
      </c>
      <c r="D142" s="432">
        <v>73.08</v>
      </c>
      <c r="E142" s="432">
        <v>73.45</v>
      </c>
      <c r="F142" s="426"/>
      <c r="G142" s="426"/>
      <c r="H142" s="426"/>
      <c r="I142" s="426"/>
      <c r="J142" s="426"/>
      <c r="K142" s="433"/>
      <c r="L142" s="113">
        <v>31</v>
      </c>
      <c r="M142" s="432">
        <v>77.05</v>
      </c>
      <c r="N142" s="432">
        <v>77.81</v>
      </c>
      <c r="O142" s="432">
        <v>78.22</v>
      </c>
      <c r="P142" s="426"/>
      <c r="Q142" s="426"/>
      <c r="R142" s="426"/>
      <c r="S142" s="426"/>
      <c r="T142" s="426"/>
      <c r="U142" s="433"/>
      <c r="V142" s="113">
        <v>31</v>
      </c>
      <c r="W142" s="432">
        <v>81.94</v>
      </c>
      <c r="X142" s="432">
        <v>82.82</v>
      </c>
      <c r="Y142" s="432">
        <v>83.27</v>
      </c>
      <c r="Z142" s="426"/>
      <c r="AA142" s="426"/>
      <c r="AB142" s="426"/>
      <c r="AC142" s="426"/>
      <c r="AD142" s="426"/>
      <c r="AE142" s="433"/>
      <c r="AF142" s="113">
        <v>31</v>
      </c>
      <c r="AG142" s="432">
        <v>87.12</v>
      </c>
      <c r="AH142" s="432">
        <v>88.12</v>
      </c>
      <c r="AI142" s="432">
        <v>88.61</v>
      </c>
      <c r="AJ142" s="426"/>
      <c r="AK142" s="426"/>
      <c r="AL142" s="426"/>
      <c r="AM142" s="426"/>
      <c r="AN142" s="426"/>
      <c r="AO142" s="433"/>
      <c r="AP142" s="113">
        <v>31</v>
      </c>
      <c r="AQ142" s="432">
        <v>92.58</v>
      </c>
      <c r="AR142" s="432">
        <v>93.72</v>
      </c>
      <c r="AS142" s="432">
        <v>94.25</v>
      </c>
      <c r="AT142" s="426"/>
      <c r="AU142" s="426"/>
      <c r="AV142" s="426"/>
      <c r="AW142" s="426"/>
      <c r="AX142" s="426"/>
    </row>
    <row r="143" spans="1:50" s="429" customFormat="1" x14ac:dyDescent="0.2">
      <c r="A143" s="433"/>
      <c r="B143" s="113">
        <v>32</v>
      </c>
      <c r="C143" s="432">
        <v>72.650000000000006</v>
      </c>
      <c r="D143" s="432">
        <v>73.31</v>
      </c>
      <c r="E143" s="432">
        <v>73.69</v>
      </c>
      <c r="F143" s="426"/>
      <c r="G143" s="426"/>
      <c r="H143" s="426"/>
      <c r="I143" s="426"/>
      <c r="J143" s="426"/>
      <c r="K143" s="433"/>
      <c r="L143" s="113">
        <v>32</v>
      </c>
      <c r="M143" s="432">
        <v>77.319999999999993</v>
      </c>
      <c r="N143" s="432">
        <v>78.09</v>
      </c>
      <c r="O143" s="432">
        <v>78.5</v>
      </c>
      <c r="P143" s="426"/>
      <c r="Q143" s="426"/>
      <c r="R143" s="426"/>
      <c r="S143" s="426"/>
      <c r="T143" s="426"/>
      <c r="U143" s="433"/>
      <c r="V143" s="113">
        <v>32</v>
      </c>
      <c r="W143" s="432">
        <v>82.26</v>
      </c>
      <c r="X143" s="432">
        <v>83.14</v>
      </c>
      <c r="Y143" s="432">
        <v>83.59</v>
      </c>
      <c r="Z143" s="426"/>
      <c r="AA143" s="426"/>
      <c r="AB143" s="426"/>
      <c r="AC143" s="426"/>
      <c r="AD143" s="426"/>
      <c r="AE143" s="433"/>
      <c r="AF143" s="113">
        <v>32</v>
      </c>
      <c r="AG143" s="432">
        <v>87.48</v>
      </c>
      <c r="AH143" s="432">
        <v>88.49</v>
      </c>
      <c r="AI143" s="432">
        <v>88.98</v>
      </c>
      <c r="AJ143" s="426"/>
      <c r="AK143" s="426"/>
      <c r="AL143" s="426"/>
      <c r="AM143" s="426"/>
      <c r="AN143" s="426"/>
      <c r="AO143" s="433"/>
      <c r="AP143" s="113">
        <v>32</v>
      </c>
      <c r="AQ143" s="432">
        <v>93</v>
      </c>
      <c r="AR143" s="432">
        <v>94.15</v>
      </c>
      <c r="AS143" s="432">
        <v>94.68</v>
      </c>
      <c r="AT143" s="426"/>
      <c r="AU143" s="426"/>
      <c r="AV143" s="426"/>
      <c r="AW143" s="426"/>
      <c r="AX143" s="426"/>
    </row>
    <row r="144" spans="1:50" s="429" customFormat="1" x14ac:dyDescent="0.2">
      <c r="A144" s="433"/>
      <c r="B144" s="113">
        <v>33</v>
      </c>
      <c r="C144" s="432">
        <v>72.88</v>
      </c>
      <c r="D144" s="432">
        <v>73.55</v>
      </c>
      <c r="E144" s="432">
        <v>73.930000000000007</v>
      </c>
      <c r="F144" s="426"/>
      <c r="G144" s="426"/>
      <c r="H144" s="426"/>
      <c r="I144" s="426"/>
      <c r="J144" s="426"/>
      <c r="K144" s="433"/>
      <c r="L144" s="113">
        <v>33</v>
      </c>
      <c r="M144" s="432">
        <v>77.59</v>
      </c>
      <c r="N144" s="432">
        <v>78.37</v>
      </c>
      <c r="O144" s="432">
        <v>78.78</v>
      </c>
      <c r="P144" s="426"/>
      <c r="Q144" s="426"/>
      <c r="R144" s="426"/>
      <c r="S144" s="426"/>
      <c r="T144" s="426"/>
      <c r="U144" s="433"/>
      <c r="V144" s="113">
        <v>33</v>
      </c>
      <c r="W144" s="432">
        <v>82.58</v>
      </c>
      <c r="X144" s="432">
        <v>83.47</v>
      </c>
      <c r="Y144" s="432">
        <v>83.93</v>
      </c>
      <c r="Z144" s="426"/>
      <c r="AA144" s="426"/>
      <c r="AB144" s="426"/>
      <c r="AC144" s="426"/>
      <c r="AD144" s="426"/>
      <c r="AE144" s="433"/>
      <c r="AF144" s="113">
        <v>33</v>
      </c>
      <c r="AG144" s="432">
        <v>87.85</v>
      </c>
      <c r="AH144" s="432">
        <v>88.87</v>
      </c>
      <c r="AI144" s="432">
        <v>89.37</v>
      </c>
      <c r="AJ144" s="426"/>
      <c r="AK144" s="426"/>
      <c r="AL144" s="426"/>
      <c r="AM144" s="426"/>
      <c r="AN144" s="426"/>
      <c r="AO144" s="433"/>
      <c r="AP144" s="113">
        <v>33</v>
      </c>
      <c r="AQ144" s="432">
        <v>93.42</v>
      </c>
      <c r="AR144" s="432">
        <v>94.58</v>
      </c>
      <c r="AS144" s="432">
        <v>95.12</v>
      </c>
      <c r="AT144" s="426"/>
      <c r="AU144" s="426"/>
      <c r="AV144" s="426"/>
      <c r="AW144" s="426"/>
      <c r="AX144" s="426"/>
    </row>
    <row r="145" spans="1:50" s="429" customFormat="1" x14ac:dyDescent="0.2">
      <c r="A145" s="433"/>
      <c r="B145" s="113">
        <v>34</v>
      </c>
      <c r="C145" s="432">
        <v>73.12</v>
      </c>
      <c r="D145" s="432">
        <v>73.8</v>
      </c>
      <c r="E145" s="432">
        <v>74.180000000000007</v>
      </c>
      <c r="F145" s="426"/>
      <c r="G145" s="426"/>
      <c r="H145" s="426"/>
      <c r="I145" s="426"/>
      <c r="J145" s="426"/>
      <c r="K145" s="433"/>
      <c r="L145" s="113">
        <v>34</v>
      </c>
      <c r="M145" s="432">
        <v>77.87</v>
      </c>
      <c r="N145" s="432">
        <v>78.66</v>
      </c>
      <c r="O145" s="432">
        <v>79.08</v>
      </c>
      <c r="P145" s="426"/>
      <c r="Q145" s="426"/>
      <c r="R145" s="426"/>
      <c r="S145" s="426"/>
      <c r="T145" s="426"/>
      <c r="U145" s="433"/>
      <c r="V145" s="113">
        <v>34</v>
      </c>
      <c r="W145" s="432">
        <v>82.91</v>
      </c>
      <c r="X145" s="432">
        <v>83.81</v>
      </c>
      <c r="Y145" s="432">
        <v>84.27</v>
      </c>
      <c r="Z145" s="426"/>
      <c r="AA145" s="426"/>
      <c r="AB145" s="426"/>
      <c r="AC145" s="426"/>
      <c r="AD145" s="426"/>
      <c r="AE145" s="433"/>
      <c r="AF145" s="113">
        <v>34</v>
      </c>
      <c r="AG145" s="432">
        <v>88.23</v>
      </c>
      <c r="AH145" s="432">
        <v>89.26</v>
      </c>
      <c r="AI145" s="432">
        <v>89.76</v>
      </c>
      <c r="AJ145" s="426"/>
      <c r="AK145" s="426"/>
      <c r="AL145" s="426"/>
      <c r="AM145" s="426"/>
      <c r="AN145" s="426"/>
      <c r="AO145" s="433"/>
      <c r="AP145" s="113">
        <v>34</v>
      </c>
      <c r="AQ145" s="432">
        <v>93.85</v>
      </c>
      <c r="AR145" s="432">
        <v>95.02</v>
      </c>
      <c r="AS145" s="432">
        <v>95.57</v>
      </c>
      <c r="AT145" s="426"/>
      <c r="AU145" s="426"/>
      <c r="AV145" s="426"/>
      <c r="AW145" s="426"/>
      <c r="AX145" s="426"/>
    </row>
    <row r="146" spans="1:50" s="429" customFormat="1" x14ac:dyDescent="0.2">
      <c r="A146" s="433"/>
      <c r="B146" s="113">
        <v>35</v>
      </c>
      <c r="C146" s="432">
        <v>73.36</v>
      </c>
      <c r="D146" s="432">
        <v>74.05</v>
      </c>
      <c r="E146" s="432">
        <v>74.430000000000007</v>
      </c>
      <c r="F146" s="426"/>
      <c r="G146" s="426"/>
      <c r="H146" s="426"/>
      <c r="I146" s="426"/>
      <c r="J146" s="426"/>
      <c r="K146" s="433"/>
      <c r="L146" s="113">
        <v>35</v>
      </c>
      <c r="M146" s="432">
        <v>78.16</v>
      </c>
      <c r="N146" s="432">
        <v>78.95</v>
      </c>
      <c r="O146" s="432">
        <v>79.38</v>
      </c>
      <c r="P146" s="426"/>
      <c r="Q146" s="426"/>
      <c r="R146" s="426"/>
      <c r="S146" s="426"/>
      <c r="T146" s="426"/>
      <c r="U146" s="433"/>
      <c r="V146" s="113">
        <v>35</v>
      </c>
      <c r="W146" s="432">
        <v>83.24</v>
      </c>
      <c r="X146" s="432">
        <v>84.16</v>
      </c>
      <c r="Y146" s="432">
        <v>84.62</v>
      </c>
      <c r="Z146" s="426"/>
      <c r="AA146" s="426"/>
      <c r="AB146" s="426"/>
      <c r="AC146" s="426"/>
      <c r="AD146" s="426"/>
      <c r="AE146" s="433"/>
      <c r="AF146" s="113">
        <v>35</v>
      </c>
      <c r="AG146" s="432">
        <v>88.62</v>
      </c>
      <c r="AH146" s="432">
        <v>89.66</v>
      </c>
      <c r="AI146" s="432">
        <v>90.16</v>
      </c>
      <c r="AJ146" s="426"/>
      <c r="AK146" s="426"/>
      <c r="AL146" s="426"/>
      <c r="AM146" s="426"/>
      <c r="AN146" s="426"/>
      <c r="AO146" s="433"/>
      <c r="AP146" s="113">
        <v>35</v>
      </c>
      <c r="AQ146" s="432">
        <v>94.29</v>
      </c>
      <c r="AR146" s="432">
        <v>95.48</v>
      </c>
      <c r="AS146" s="432">
        <v>96.02</v>
      </c>
      <c r="AT146" s="426"/>
      <c r="AU146" s="426"/>
      <c r="AV146" s="426"/>
      <c r="AW146" s="426"/>
      <c r="AX146" s="426"/>
    </row>
    <row r="147" spans="1:50" s="429" customFormat="1" x14ac:dyDescent="0.2">
      <c r="A147" s="433"/>
      <c r="B147" s="113">
        <v>36</v>
      </c>
      <c r="C147" s="432">
        <v>73.61</v>
      </c>
      <c r="D147" s="432">
        <v>74.3</v>
      </c>
      <c r="E147" s="432">
        <v>74.69</v>
      </c>
      <c r="F147" s="426"/>
      <c r="G147" s="426"/>
      <c r="H147" s="426"/>
      <c r="I147" s="426"/>
      <c r="J147" s="426"/>
      <c r="K147" s="433"/>
      <c r="L147" s="113">
        <v>36</v>
      </c>
      <c r="M147" s="432">
        <v>78.459999999999994</v>
      </c>
      <c r="N147" s="432">
        <v>79.260000000000005</v>
      </c>
      <c r="O147" s="432">
        <v>79.680000000000007</v>
      </c>
      <c r="P147" s="426"/>
      <c r="Q147" s="426"/>
      <c r="R147" s="426"/>
      <c r="S147" s="426"/>
      <c r="T147" s="426"/>
      <c r="U147" s="433"/>
      <c r="V147" s="113">
        <v>36</v>
      </c>
      <c r="W147" s="432">
        <v>83.59</v>
      </c>
      <c r="X147" s="432">
        <v>84.51</v>
      </c>
      <c r="Y147" s="432">
        <v>84.97</v>
      </c>
      <c r="Z147" s="426"/>
      <c r="AA147" s="426"/>
      <c r="AB147" s="426"/>
      <c r="AC147" s="426"/>
      <c r="AD147" s="426"/>
      <c r="AE147" s="433"/>
      <c r="AF147" s="113">
        <v>36</v>
      </c>
      <c r="AG147" s="432">
        <v>89.01</v>
      </c>
      <c r="AH147" s="432">
        <v>90.07</v>
      </c>
      <c r="AI147" s="432">
        <v>90.57</v>
      </c>
      <c r="AJ147" s="426"/>
      <c r="AK147" s="426"/>
      <c r="AL147" s="426"/>
      <c r="AM147" s="426"/>
      <c r="AN147" s="426"/>
      <c r="AO147" s="433"/>
      <c r="AP147" s="113">
        <v>36</v>
      </c>
      <c r="AQ147" s="432">
        <v>94.73</v>
      </c>
      <c r="AR147" s="432">
        <v>95.94</v>
      </c>
      <c r="AS147" s="432">
        <v>96.49</v>
      </c>
      <c r="AT147" s="426"/>
      <c r="AU147" s="426"/>
      <c r="AV147" s="426"/>
      <c r="AW147" s="426"/>
      <c r="AX147" s="426"/>
    </row>
    <row r="148" spans="1:50" s="429" customFormat="1" x14ac:dyDescent="0.2">
      <c r="A148" s="433"/>
      <c r="B148" s="113">
        <v>37</v>
      </c>
      <c r="C148" s="432">
        <v>73.87</v>
      </c>
      <c r="D148" s="432">
        <v>74.56</v>
      </c>
      <c r="E148" s="432">
        <v>74.95</v>
      </c>
      <c r="F148" s="426"/>
      <c r="G148" s="426"/>
      <c r="H148" s="426"/>
      <c r="I148" s="426"/>
      <c r="J148" s="426"/>
      <c r="K148" s="433"/>
      <c r="L148" s="113">
        <v>37</v>
      </c>
      <c r="M148" s="432">
        <v>78.760000000000005</v>
      </c>
      <c r="N148" s="432">
        <v>79.569999999999993</v>
      </c>
      <c r="O148" s="432">
        <v>80</v>
      </c>
      <c r="P148" s="426"/>
      <c r="Q148" s="426"/>
      <c r="R148" s="426"/>
      <c r="S148" s="426"/>
      <c r="T148" s="426"/>
      <c r="U148" s="433"/>
      <c r="V148" s="113">
        <v>37</v>
      </c>
      <c r="W148" s="432">
        <v>83.94</v>
      </c>
      <c r="X148" s="432">
        <v>84.87</v>
      </c>
      <c r="Y148" s="432">
        <v>85.34</v>
      </c>
      <c r="Z148" s="426"/>
      <c r="AA148" s="426"/>
      <c r="AB148" s="426"/>
      <c r="AC148" s="426"/>
      <c r="AD148" s="426"/>
      <c r="AE148" s="433"/>
      <c r="AF148" s="113">
        <v>37</v>
      </c>
      <c r="AG148" s="432">
        <v>89.41</v>
      </c>
      <c r="AH148" s="432">
        <v>90.48</v>
      </c>
      <c r="AI148" s="432">
        <v>90.99</v>
      </c>
      <c r="AJ148" s="426"/>
      <c r="AK148" s="426"/>
      <c r="AL148" s="426"/>
      <c r="AM148" s="426"/>
      <c r="AN148" s="426"/>
      <c r="AO148" s="433"/>
      <c r="AP148" s="113">
        <v>37</v>
      </c>
      <c r="AQ148" s="432">
        <v>95.19</v>
      </c>
      <c r="AR148" s="432">
        <v>96.4</v>
      </c>
      <c r="AS148" s="432">
        <v>96.96</v>
      </c>
      <c r="AT148" s="426"/>
      <c r="AU148" s="426"/>
      <c r="AV148" s="426"/>
      <c r="AW148" s="426"/>
      <c r="AX148" s="426"/>
    </row>
    <row r="149" spans="1:50" s="429" customFormat="1" x14ac:dyDescent="0.2">
      <c r="A149" s="433"/>
      <c r="B149" s="113">
        <v>38</v>
      </c>
      <c r="C149" s="432">
        <v>74.13</v>
      </c>
      <c r="D149" s="432">
        <v>74.83</v>
      </c>
      <c r="E149" s="432">
        <v>75.22</v>
      </c>
      <c r="F149" s="426"/>
      <c r="G149" s="426"/>
      <c r="H149" s="426"/>
      <c r="I149" s="426"/>
      <c r="J149" s="426"/>
      <c r="K149" s="433"/>
      <c r="L149" s="113">
        <v>38</v>
      </c>
      <c r="M149" s="432">
        <v>79.069999999999993</v>
      </c>
      <c r="N149" s="432">
        <v>79.89</v>
      </c>
      <c r="O149" s="432">
        <v>80.319999999999993</v>
      </c>
      <c r="P149" s="426"/>
      <c r="Q149" s="426"/>
      <c r="R149" s="426"/>
      <c r="S149" s="426"/>
      <c r="T149" s="426"/>
      <c r="U149" s="433"/>
      <c r="V149" s="113">
        <v>38</v>
      </c>
      <c r="W149" s="432">
        <v>84.3</v>
      </c>
      <c r="X149" s="432">
        <v>85.24</v>
      </c>
      <c r="Y149" s="432">
        <v>85.71</v>
      </c>
      <c r="Z149" s="426"/>
      <c r="AA149" s="426"/>
      <c r="AB149" s="426"/>
      <c r="AC149" s="426"/>
      <c r="AD149" s="426"/>
      <c r="AE149" s="433"/>
      <c r="AF149" s="113">
        <v>38</v>
      </c>
      <c r="AG149" s="432">
        <v>89.82</v>
      </c>
      <c r="AH149" s="432">
        <v>90.9</v>
      </c>
      <c r="AI149" s="432">
        <v>91.41</v>
      </c>
      <c r="AJ149" s="426"/>
      <c r="AK149" s="426"/>
      <c r="AL149" s="426"/>
      <c r="AM149" s="426"/>
      <c r="AN149" s="426"/>
      <c r="AO149" s="433"/>
      <c r="AP149" s="113">
        <v>38</v>
      </c>
      <c r="AQ149" s="432">
        <v>95.64</v>
      </c>
      <c r="AR149" s="432">
        <v>96.87</v>
      </c>
      <c r="AS149" s="432">
        <v>97.43</v>
      </c>
      <c r="AT149" s="426"/>
      <c r="AU149" s="426"/>
      <c r="AV149" s="426"/>
      <c r="AW149" s="426"/>
      <c r="AX149" s="426"/>
    </row>
    <row r="150" spans="1:50" s="429" customFormat="1" x14ac:dyDescent="0.2">
      <c r="A150" s="433"/>
      <c r="B150" s="113">
        <v>39</v>
      </c>
      <c r="C150" s="432">
        <v>74.39</v>
      </c>
      <c r="D150" s="432">
        <v>75.11</v>
      </c>
      <c r="E150" s="432">
        <v>75.5</v>
      </c>
      <c r="F150" s="426"/>
      <c r="G150" s="426"/>
      <c r="H150" s="426"/>
      <c r="I150" s="426"/>
      <c r="J150" s="426"/>
      <c r="K150" s="433"/>
      <c r="L150" s="113">
        <v>39</v>
      </c>
      <c r="M150" s="432">
        <v>79.38</v>
      </c>
      <c r="N150" s="432">
        <v>80.209999999999994</v>
      </c>
      <c r="O150" s="432">
        <v>80.64</v>
      </c>
      <c r="P150" s="426"/>
      <c r="Q150" s="426"/>
      <c r="R150" s="426"/>
      <c r="S150" s="426"/>
      <c r="T150" s="426"/>
      <c r="U150" s="433"/>
      <c r="V150" s="113">
        <v>39</v>
      </c>
      <c r="W150" s="432">
        <v>84.66</v>
      </c>
      <c r="X150" s="432">
        <v>85.61</v>
      </c>
      <c r="Y150" s="432">
        <v>86.08</v>
      </c>
      <c r="Z150" s="426"/>
      <c r="AA150" s="426"/>
      <c r="AB150" s="426"/>
      <c r="AC150" s="426"/>
      <c r="AD150" s="426"/>
      <c r="AE150" s="433"/>
      <c r="AF150" s="113">
        <v>39</v>
      </c>
      <c r="AG150" s="432">
        <v>90.23</v>
      </c>
      <c r="AH150" s="432">
        <v>91.33</v>
      </c>
      <c r="AI150" s="432">
        <v>91.84</v>
      </c>
      <c r="AJ150" s="426"/>
      <c r="AK150" s="426"/>
      <c r="AL150" s="426"/>
      <c r="AM150" s="426"/>
      <c r="AN150" s="426"/>
      <c r="AO150" s="433"/>
      <c r="AP150" s="113">
        <v>39</v>
      </c>
      <c r="AQ150" s="432">
        <v>96.11</v>
      </c>
      <c r="AR150" s="432">
        <v>97.35</v>
      </c>
      <c r="AS150" s="432">
        <v>97.91</v>
      </c>
      <c r="AT150" s="426"/>
      <c r="AU150" s="426"/>
      <c r="AV150" s="426"/>
      <c r="AW150" s="426"/>
      <c r="AX150" s="426"/>
    </row>
    <row r="151" spans="1:50" s="429" customFormat="1" x14ac:dyDescent="0.2">
      <c r="A151" s="433"/>
      <c r="B151" s="113">
        <v>40</v>
      </c>
      <c r="C151" s="432">
        <v>74.66</v>
      </c>
      <c r="D151" s="432">
        <v>75.38</v>
      </c>
      <c r="E151" s="432">
        <v>75.78</v>
      </c>
      <c r="F151" s="426"/>
      <c r="G151" s="426"/>
      <c r="H151" s="426"/>
      <c r="I151" s="426"/>
      <c r="J151" s="426"/>
      <c r="K151" s="433"/>
      <c r="L151" s="113">
        <v>40</v>
      </c>
      <c r="M151" s="432">
        <v>79.7</v>
      </c>
      <c r="N151" s="432">
        <v>80.53</v>
      </c>
      <c r="O151" s="432">
        <v>80.97</v>
      </c>
      <c r="P151" s="426"/>
      <c r="Q151" s="426"/>
      <c r="R151" s="426"/>
      <c r="S151" s="426"/>
      <c r="T151" s="426"/>
      <c r="U151" s="433"/>
      <c r="V151" s="113">
        <v>40</v>
      </c>
      <c r="W151" s="432">
        <v>85.02</v>
      </c>
      <c r="X151" s="432">
        <v>85.99</v>
      </c>
      <c r="Y151" s="432">
        <v>86.47</v>
      </c>
      <c r="Z151" s="426"/>
      <c r="AA151" s="426"/>
      <c r="AB151" s="426"/>
      <c r="AC151" s="426"/>
      <c r="AD151" s="426"/>
      <c r="AE151" s="433"/>
      <c r="AF151" s="113">
        <v>40</v>
      </c>
      <c r="AG151" s="432">
        <v>90.65</v>
      </c>
      <c r="AH151" s="432">
        <v>91.75</v>
      </c>
      <c r="AI151" s="432">
        <v>92.27</v>
      </c>
      <c r="AJ151" s="426"/>
      <c r="AK151" s="426"/>
      <c r="AL151" s="426"/>
      <c r="AM151" s="426"/>
      <c r="AN151" s="426"/>
      <c r="AO151" s="433"/>
      <c r="AP151" s="113">
        <v>40</v>
      </c>
      <c r="AQ151" s="432">
        <v>96.57</v>
      </c>
      <c r="AR151" s="432">
        <v>97.83</v>
      </c>
      <c r="AS151" s="432">
        <v>98.4</v>
      </c>
      <c r="AT151" s="426"/>
      <c r="AU151" s="426"/>
      <c r="AV151" s="426"/>
      <c r="AW151" s="426"/>
      <c r="AX151" s="426"/>
    </row>
    <row r="152" spans="1:50" s="429" customFormat="1" x14ac:dyDescent="0.2">
      <c r="A152" s="433"/>
      <c r="B152" s="113">
        <v>41</v>
      </c>
      <c r="C152" s="432">
        <v>74.930000000000007</v>
      </c>
      <c r="D152" s="432">
        <v>75.66</v>
      </c>
      <c r="E152" s="432">
        <v>76.06</v>
      </c>
      <c r="F152" s="426"/>
      <c r="G152" s="426"/>
      <c r="H152" s="426"/>
      <c r="I152" s="426"/>
      <c r="J152" s="426"/>
      <c r="K152" s="433"/>
      <c r="L152" s="113">
        <v>41</v>
      </c>
      <c r="M152" s="432">
        <v>80.02</v>
      </c>
      <c r="N152" s="432">
        <v>80.86</v>
      </c>
      <c r="O152" s="432">
        <v>81.3</v>
      </c>
      <c r="P152" s="426"/>
      <c r="Q152" s="426"/>
      <c r="R152" s="426"/>
      <c r="S152" s="426"/>
      <c r="T152" s="426"/>
      <c r="U152" s="433"/>
      <c r="V152" s="113">
        <v>41</v>
      </c>
      <c r="W152" s="432">
        <v>85.39</v>
      </c>
      <c r="X152" s="432">
        <v>86.37</v>
      </c>
      <c r="Y152" s="432">
        <v>86.85</v>
      </c>
      <c r="Z152" s="426"/>
      <c r="AA152" s="426"/>
      <c r="AB152" s="426"/>
      <c r="AC152" s="426"/>
      <c r="AD152" s="426"/>
      <c r="AE152" s="433"/>
      <c r="AF152" s="113">
        <v>41</v>
      </c>
      <c r="AG152" s="432">
        <v>91.06</v>
      </c>
      <c r="AH152" s="432">
        <v>92.19</v>
      </c>
      <c r="AI152" s="432">
        <v>92.71</v>
      </c>
      <c r="AJ152" s="426"/>
      <c r="AK152" s="426"/>
      <c r="AL152" s="426"/>
      <c r="AM152" s="426"/>
      <c r="AN152" s="426"/>
      <c r="AO152" s="433"/>
      <c r="AP152" s="113">
        <v>41</v>
      </c>
      <c r="AQ152" s="432">
        <v>97.04</v>
      </c>
      <c r="AR152" s="432">
        <v>98.31</v>
      </c>
      <c r="AS152" s="432">
        <v>98.88</v>
      </c>
      <c r="AT152" s="426"/>
      <c r="AU152" s="426"/>
      <c r="AV152" s="426"/>
      <c r="AW152" s="426"/>
      <c r="AX152" s="426"/>
    </row>
    <row r="153" spans="1:50" s="429" customFormat="1" x14ac:dyDescent="0.2">
      <c r="A153" s="433"/>
      <c r="B153" s="113">
        <v>42</v>
      </c>
      <c r="C153" s="432">
        <v>75.209999999999994</v>
      </c>
      <c r="D153" s="432">
        <v>75.95</v>
      </c>
      <c r="E153" s="432">
        <v>76.349999999999994</v>
      </c>
      <c r="F153" s="426"/>
      <c r="G153" s="426"/>
      <c r="H153" s="426"/>
      <c r="I153" s="426"/>
      <c r="J153" s="426"/>
      <c r="K153" s="433"/>
      <c r="L153" s="113">
        <v>42</v>
      </c>
      <c r="M153" s="432">
        <v>80.34</v>
      </c>
      <c r="N153" s="432">
        <v>81.2</v>
      </c>
      <c r="O153" s="432">
        <v>81.64</v>
      </c>
      <c r="P153" s="426"/>
      <c r="Q153" s="426"/>
      <c r="R153" s="426"/>
      <c r="S153" s="426"/>
      <c r="T153" s="426"/>
      <c r="U153" s="433"/>
      <c r="V153" s="113">
        <v>42</v>
      </c>
      <c r="W153" s="432">
        <v>85.76</v>
      </c>
      <c r="X153" s="432">
        <v>86.75</v>
      </c>
      <c r="Y153" s="432">
        <v>87.23</v>
      </c>
      <c r="Z153" s="426"/>
      <c r="AA153" s="426"/>
      <c r="AB153" s="426"/>
      <c r="AC153" s="426"/>
      <c r="AD153" s="426"/>
      <c r="AE153" s="433"/>
      <c r="AF153" s="113">
        <v>42</v>
      </c>
      <c r="AG153" s="432">
        <v>91.48</v>
      </c>
      <c r="AH153" s="432">
        <v>92.62</v>
      </c>
      <c r="AI153" s="432">
        <v>93.15</v>
      </c>
      <c r="AJ153" s="426"/>
      <c r="AK153" s="426"/>
      <c r="AL153" s="426"/>
      <c r="AM153" s="426"/>
      <c r="AN153" s="426"/>
      <c r="AO153" s="433"/>
      <c r="AP153" s="113">
        <v>42</v>
      </c>
      <c r="AQ153" s="432">
        <v>97.51</v>
      </c>
      <c r="AR153" s="432">
        <v>98.8</v>
      </c>
      <c r="AS153" s="432">
        <v>99.37</v>
      </c>
      <c r="AT153" s="426"/>
      <c r="AU153" s="426"/>
      <c r="AV153" s="426"/>
      <c r="AW153" s="426"/>
      <c r="AX153" s="426"/>
    </row>
    <row r="154" spans="1:50" s="429" customFormat="1" x14ac:dyDescent="0.2">
      <c r="A154" s="433"/>
      <c r="B154" s="113">
        <v>43</v>
      </c>
      <c r="C154" s="432">
        <v>75.48</v>
      </c>
      <c r="D154" s="432">
        <v>76.23</v>
      </c>
      <c r="E154" s="432">
        <v>76.63</v>
      </c>
      <c r="F154" s="426"/>
      <c r="G154" s="426"/>
      <c r="H154" s="426"/>
      <c r="I154" s="426"/>
      <c r="J154" s="426"/>
      <c r="K154" s="433"/>
      <c r="L154" s="113">
        <v>43</v>
      </c>
      <c r="M154" s="432">
        <v>80.66</v>
      </c>
      <c r="N154" s="432">
        <v>81.53</v>
      </c>
      <c r="O154" s="432">
        <v>81.97</v>
      </c>
      <c r="P154" s="426"/>
      <c r="Q154" s="426"/>
      <c r="R154" s="426"/>
      <c r="S154" s="426"/>
      <c r="T154" s="426"/>
      <c r="U154" s="433"/>
      <c r="V154" s="113">
        <v>43</v>
      </c>
      <c r="W154" s="432">
        <v>86.13</v>
      </c>
      <c r="X154" s="432">
        <v>87.14</v>
      </c>
      <c r="Y154" s="432">
        <v>87.62</v>
      </c>
      <c r="Z154" s="426"/>
      <c r="AA154" s="426"/>
      <c r="AB154" s="426"/>
      <c r="AC154" s="426"/>
      <c r="AD154" s="426"/>
      <c r="AE154" s="433"/>
      <c r="AF154" s="113">
        <v>43</v>
      </c>
      <c r="AG154" s="432">
        <v>91.9</v>
      </c>
      <c r="AH154" s="432">
        <v>93.06</v>
      </c>
      <c r="AI154" s="432">
        <v>93.58</v>
      </c>
      <c r="AJ154" s="426"/>
      <c r="AK154" s="426"/>
      <c r="AL154" s="426"/>
      <c r="AM154" s="426"/>
      <c r="AN154" s="426"/>
      <c r="AO154" s="433"/>
      <c r="AP154" s="113">
        <v>43</v>
      </c>
      <c r="AQ154" s="432">
        <v>97.98</v>
      </c>
      <c r="AR154" s="432">
        <v>99.29</v>
      </c>
      <c r="AS154" s="432">
        <v>99.86</v>
      </c>
      <c r="AT154" s="426"/>
      <c r="AU154" s="426"/>
      <c r="AV154" s="426"/>
      <c r="AW154" s="426"/>
      <c r="AX154" s="426"/>
    </row>
    <row r="155" spans="1:50" s="429" customFormat="1" x14ac:dyDescent="0.2">
      <c r="A155" s="433"/>
      <c r="B155" s="113">
        <v>44</v>
      </c>
      <c r="C155" s="432">
        <v>75.760000000000005</v>
      </c>
      <c r="D155" s="432">
        <v>76.510000000000005</v>
      </c>
      <c r="E155" s="432">
        <v>76.92</v>
      </c>
      <c r="F155" s="426"/>
      <c r="G155" s="426"/>
      <c r="H155" s="426"/>
      <c r="I155" s="426"/>
      <c r="J155" s="426"/>
      <c r="K155" s="433"/>
      <c r="L155" s="113">
        <v>44</v>
      </c>
      <c r="M155" s="432">
        <v>80.98</v>
      </c>
      <c r="N155" s="432">
        <v>81.86</v>
      </c>
      <c r="O155" s="432">
        <v>82.31</v>
      </c>
      <c r="P155" s="426"/>
      <c r="Q155" s="426"/>
      <c r="R155" s="426"/>
      <c r="S155" s="426"/>
      <c r="T155" s="426"/>
      <c r="U155" s="433"/>
      <c r="V155" s="113">
        <v>44</v>
      </c>
      <c r="W155" s="432">
        <v>86.51</v>
      </c>
      <c r="X155" s="432">
        <v>87.52</v>
      </c>
      <c r="Y155" s="432">
        <v>88.01</v>
      </c>
      <c r="Z155" s="426"/>
      <c r="AA155" s="426"/>
      <c r="AB155" s="426"/>
      <c r="AC155" s="426"/>
      <c r="AD155" s="426"/>
      <c r="AE155" s="433"/>
      <c r="AF155" s="113">
        <v>44</v>
      </c>
      <c r="AG155" s="432">
        <v>92.33</v>
      </c>
      <c r="AH155" s="432">
        <v>93.49</v>
      </c>
      <c r="AI155" s="432">
        <v>94.02</v>
      </c>
      <c r="AJ155" s="426"/>
      <c r="AK155" s="426"/>
      <c r="AL155" s="426"/>
      <c r="AM155" s="426"/>
      <c r="AN155" s="426"/>
      <c r="AO155" s="433"/>
      <c r="AP155" s="113">
        <v>44</v>
      </c>
      <c r="AQ155" s="432">
        <v>98.46</v>
      </c>
      <c r="AR155" s="432">
        <v>99.78</v>
      </c>
      <c r="AS155" s="432">
        <v>100.36</v>
      </c>
      <c r="AT155" s="426"/>
      <c r="AU155" s="426"/>
      <c r="AV155" s="426"/>
      <c r="AW155" s="426"/>
      <c r="AX155" s="426"/>
    </row>
    <row r="156" spans="1:50" s="429" customFormat="1" x14ac:dyDescent="0.2">
      <c r="A156" s="433"/>
      <c r="B156" s="113">
        <v>45</v>
      </c>
      <c r="C156" s="432">
        <v>76.03</v>
      </c>
      <c r="D156" s="432">
        <v>76.8</v>
      </c>
      <c r="E156" s="432">
        <v>77.209999999999994</v>
      </c>
      <c r="F156" s="426"/>
      <c r="G156" s="426"/>
      <c r="H156" s="426"/>
      <c r="I156" s="426"/>
      <c r="J156" s="426"/>
      <c r="K156" s="433"/>
      <c r="L156" s="113">
        <v>45</v>
      </c>
      <c r="M156" s="432">
        <v>81.31</v>
      </c>
      <c r="N156" s="432">
        <v>82.2</v>
      </c>
      <c r="O156" s="432">
        <v>82.65</v>
      </c>
      <c r="P156" s="426"/>
      <c r="Q156" s="426"/>
      <c r="R156" s="426"/>
      <c r="S156" s="426"/>
      <c r="T156" s="426"/>
      <c r="U156" s="433"/>
      <c r="V156" s="113">
        <v>45</v>
      </c>
      <c r="W156" s="432">
        <v>86.88</v>
      </c>
      <c r="X156" s="432">
        <v>87.91</v>
      </c>
      <c r="Y156" s="432">
        <v>88.4</v>
      </c>
      <c r="Z156" s="426"/>
      <c r="AA156" s="426"/>
      <c r="AB156" s="426"/>
      <c r="AC156" s="426"/>
      <c r="AD156" s="426"/>
      <c r="AE156" s="433"/>
      <c r="AF156" s="113">
        <v>45</v>
      </c>
      <c r="AG156" s="432">
        <v>92.75</v>
      </c>
      <c r="AH156" s="432">
        <v>93.93</v>
      </c>
      <c r="AI156" s="432">
        <v>94.47</v>
      </c>
      <c r="AJ156" s="426"/>
      <c r="AK156" s="426"/>
      <c r="AL156" s="426"/>
      <c r="AM156" s="426"/>
      <c r="AN156" s="426"/>
      <c r="AO156" s="433"/>
      <c r="AP156" s="113">
        <v>45</v>
      </c>
      <c r="AQ156" s="432">
        <v>98.94</v>
      </c>
      <c r="AR156" s="432">
        <v>100.28</v>
      </c>
      <c r="AS156" s="432">
        <v>100.86</v>
      </c>
      <c r="AT156" s="426"/>
      <c r="AU156" s="426"/>
      <c r="AV156" s="426"/>
      <c r="AW156" s="426"/>
      <c r="AX156" s="426"/>
    </row>
    <row r="157" spans="1:50" s="429" customFormat="1" x14ac:dyDescent="0.2">
      <c r="A157" s="433"/>
      <c r="B157" s="113">
        <v>46</v>
      </c>
      <c r="C157" s="432">
        <v>76.31</v>
      </c>
      <c r="D157" s="432">
        <v>77.08</v>
      </c>
      <c r="E157" s="432">
        <v>77.5</v>
      </c>
      <c r="F157" s="426"/>
      <c r="G157" s="426"/>
      <c r="H157" s="426"/>
      <c r="I157" s="426"/>
      <c r="J157" s="426"/>
      <c r="K157" s="433"/>
      <c r="L157" s="113">
        <v>46</v>
      </c>
      <c r="M157" s="432">
        <v>81.63</v>
      </c>
      <c r="N157" s="432">
        <v>82.54</v>
      </c>
      <c r="O157" s="432">
        <v>82.99</v>
      </c>
      <c r="P157" s="426"/>
      <c r="Q157" s="426"/>
      <c r="R157" s="426"/>
      <c r="S157" s="426"/>
      <c r="T157" s="426"/>
      <c r="U157" s="433"/>
      <c r="V157" s="113">
        <v>46</v>
      </c>
      <c r="W157" s="432">
        <v>87.25</v>
      </c>
      <c r="X157" s="432">
        <v>88.3</v>
      </c>
      <c r="Y157" s="432">
        <v>88.79</v>
      </c>
      <c r="Z157" s="426"/>
      <c r="AA157" s="426"/>
      <c r="AB157" s="426"/>
      <c r="AC157" s="426"/>
      <c r="AD157" s="426"/>
      <c r="AE157" s="433"/>
      <c r="AF157" s="113">
        <v>46</v>
      </c>
      <c r="AG157" s="432">
        <v>93.18</v>
      </c>
      <c r="AH157" s="432">
        <v>94.38</v>
      </c>
      <c r="AI157" s="432">
        <v>94.92</v>
      </c>
      <c r="AJ157" s="426"/>
      <c r="AK157" s="426"/>
      <c r="AL157" s="426"/>
      <c r="AM157" s="426"/>
      <c r="AN157" s="426"/>
      <c r="AO157" s="433"/>
      <c r="AP157" s="113">
        <v>46</v>
      </c>
      <c r="AQ157" s="432">
        <v>99.42</v>
      </c>
      <c r="AR157" s="432">
        <v>100.79</v>
      </c>
      <c r="AS157" s="432">
        <v>101.37</v>
      </c>
      <c r="AT157" s="426"/>
      <c r="AU157" s="426"/>
      <c r="AV157" s="426"/>
      <c r="AW157" s="426"/>
      <c r="AX157" s="426"/>
    </row>
    <row r="158" spans="1:50" s="429" customFormat="1" x14ac:dyDescent="0.2">
      <c r="A158" s="433"/>
      <c r="B158" s="113">
        <v>47</v>
      </c>
      <c r="C158" s="432">
        <v>76.58</v>
      </c>
      <c r="D158" s="432">
        <v>77.37</v>
      </c>
      <c r="E158" s="432">
        <v>77.78</v>
      </c>
      <c r="F158" s="426"/>
      <c r="G158" s="426"/>
      <c r="H158" s="426"/>
      <c r="I158" s="426"/>
      <c r="J158" s="426"/>
      <c r="K158" s="433"/>
      <c r="L158" s="113">
        <v>47</v>
      </c>
      <c r="M158" s="432">
        <v>81.95</v>
      </c>
      <c r="N158" s="432">
        <v>82.87</v>
      </c>
      <c r="O158" s="432">
        <v>83.33</v>
      </c>
      <c r="P158" s="426"/>
      <c r="Q158" s="426"/>
      <c r="R158" s="426"/>
      <c r="S158" s="426"/>
      <c r="T158" s="426"/>
      <c r="U158" s="433"/>
      <c r="V158" s="113">
        <v>47</v>
      </c>
      <c r="W158" s="432">
        <v>87.63</v>
      </c>
      <c r="X158" s="432">
        <v>88.69</v>
      </c>
      <c r="Y158" s="432">
        <v>89.19</v>
      </c>
      <c r="Z158" s="426"/>
      <c r="AA158" s="426"/>
      <c r="AB158" s="426"/>
      <c r="AC158" s="426"/>
      <c r="AD158" s="426"/>
      <c r="AE158" s="433"/>
      <c r="AF158" s="113">
        <v>47</v>
      </c>
      <c r="AG158" s="432">
        <v>93.62</v>
      </c>
      <c r="AH158" s="432">
        <v>94.84</v>
      </c>
      <c r="AI158" s="432">
        <v>95.38</v>
      </c>
      <c r="AJ158" s="426"/>
      <c r="AK158" s="426"/>
      <c r="AL158" s="426"/>
      <c r="AM158" s="426"/>
      <c r="AN158" s="426"/>
      <c r="AO158" s="433"/>
      <c r="AP158" s="113">
        <v>47</v>
      </c>
      <c r="AQ158" s="432">
        <v>99.92</v>
      </c>
      <c r="AR158" s="432">
        <v>101.3</v>
      </c>
      <c r="AS158" s="432">
        <v>101.89</v>
      </c>
      <c r="AT158" s="426"/>
      <c r="AU158" s="426"/>
      <c r="AV158" s="426"/>
      <c r="AW158" s="426"/>
      <c r="AX158" s="426"/>
    </row>
    <row r="159" spans="1:50" s="429" customFormat="1" x14ac:dyDescent="0.2">
      <c r="A159" s="433"/>
      <c r="B159" s="113">
        <v>48</v>
      </c>
      <c r="C159" s="432">
        <v>76.849999999999994</v>
      </c>
      <c r="D159" s="432">
        <v>77.650000000000006</v>
      </c>
      <c r="E159" s="432">
        <v>78.069999999999993</v>
      </c>
      <c r="F159" s="426"/>
      <c r="G159" s="426"/>
      <c r="H159" s="426"/>
      <c r="I159" s="426"/>
      <c r="J159" s="426"/>
      <c r="K159" s="433"/>
      <c r="L159" s="113">
        <v>48</v>
      </c>
      <c r="M159" s="432">
        <v>82.28</v>
      </c>
      <c r="N159" s="432">
        <v>83.21</v>
      </c>
      <c r="O159" s="432">
        <v>83.67</v>
      </c>
      <c r="P159" s="426"/>
      <c r="Q159" s="426"/>
      <c r="R159" s="426"/>
      <c r="S159" s="426"/>
      <c r="T159" s="426"/>
      <c r="U159" s="433"/>
      <c r="V159" s="113">
        <v>48</v>
      </c>
      <c r="W159" s="432">
        <v>88.02</v>
      </c>
      <c r="X159" s="432">
        <v>89.09</v>
      </c>
      <c r="Y159" s="432">
        <v>89.59</v>
      </c>
      <c r="Z159" s="426"/>
      <c r="AA159" s="426"/>
      <c r="AB159" s="426"/>
      <c r="AC159" s="426"/>
      <c r="AD159" s="426"/>
      <c r="AE159" s="433"/>
      <c r="AF159" s="113">
        <v>48</v>
      </c>
      <c r="AG159" s="432">
        <v>94.07</v>
      </c>
      <c r="AH159" s="432">
        <v>95.3</v>
      </c>
      <c r="AI159" s="432">
        <v>95.84</v>
      </c>
      <c r="AJ159" s="426"/>
      <c r="AK159" s="426"/>
      <c r="AL159" s="426"/>
      <c r="AM159" s="426"/>
      <c r="AN159" s="426"/>
      <c r="AO159" s="433"/>
      <c r="AP159" s="113">
        <v>48</v>
      </c>
      <c r="AQ159" s="432">
        <v>100.42</v>
      </c>
      <c r="AR159" s="432">
        <v>101.82</v>
      </c>
      <c r="AS159" s="432">
        <v>102.41</v>
      </c>
      <c r="AT159" s="426"/>
      <c r="AU159" s="426"/>
      <c r="AV159" s="426"/>
      <c r="AW159" s="426"/>
      <c r="AX159" s="426"/>
    </row>
    <row r="160" spans="1:50" s="429" customFormat="1" x14ac:dyDescent="0.2">
      <c r="A160" s="433"/>
      <c r="B160" s="113">
        <v>49</v>
      </c>
      <c r="C160" s="432">
        <v>77.13</v>
      </c>
      <c r="D160" s="432">
        <v>77.94</v>
      </c>
      <c r="E160" s="432">
        <v>78.36</v>
      </c>
      <c r="F160" s="426"/>
      <c r="G160" s="426"/>
      <c r="H160" s="426"/>
      <c r="I160" s="426"/>
      <c r="J160" s="426"/>
      <c r="K160" s="433"/>
      <c r="L160" s="113">
        <v>49</v>
      </c>
      <c r="M160" s="432">
        <v>82.61</v>
      </c>
      <c r="N160" s="432">
        <v>83.56</v>
      </c>
      <c r="O160" s="432">
        <v>84.02</v>
      </c>
      <c r="P160" s="426"/>
      <c r="Q160" s="426"/>
      <c r="R160" s="426"/>
      <c r="S160" s="426"/>
      <c r="T160" s="426"/>
      <c r="U160" s="433"/>
      <c r="V160" s="113">
        <v>49</v>
      </c>
      <c r="W160" s="432">
        <v>88.41</v>
      </c>
      <c r="X160" s="432">
        <v>89.5</v>
      </c>
      <c r="Y160" s="432">
        <v>90</v>
      </c>
      <c r="Z160" s="426"/>
      <c r="AA160" s="426"/>
      <c r="AB160" s="426"/>
      <c r="AC160" s="426"/>
      <c r="AD160" s="426"/>
      <c r="AE160" s="433"/>
      <c r="AF160" s="113">
        <v>49</v>
      </c>
      <c r="AG160" s="432">
        <v>94.52</v>
      </c>
      <c r="AH160" s="432">
        <v>95.77</v>
      </c>
      <c r="AI160" s="432">
        <v>96.32</v>
      </c>
      <c r="AJ160" s="426"/>
      <c r="AK160" s="426"/>
      <c r="AL160" s="426"/>
      <c r="AM160" s="426"/>
      <c r="AN160" s="426"/>
      <c r="AO160" s="433"/>
      <c r="AP160" s="113">
        <v>49</v>
      </c>
      <c r="AQ160" s="432">
        <v>100.93</v>
      </c>
      <c r="AR160" s="432">
        <v>102.35</v>
      </c>
      <c r="AS160" s="432">
        <v>102.94</v>
      </c>
      <c r="AT160" s="426"/>
      <c r="AU160" s="426"/>
      <c r="AV160" s="426"/>
      <c r="AW160" s="426"/>
      <c r="AX160" s="426"/>
    </row>
    <row r="161" spans="1:50" s="429" customFormat="1" x14ac:dyDescent="0.2">
      <c r="A161" s="433"/>
      <c r="B161" s="113">
        <v>50</v>
      </c>
      <c r="C161" s="432">
        <v>77.41</v>
      </c>
      <c r="D161" s="432">
        <v>78.23</v>
      </c>
      <c r="E161" s="432">
        <v>78.650000000000006</v>
      </c>
      <c r="F161" s="426"/>
      <c r="G161" s="426"/>
      <c r="H161" s="426"/>
      <c r="I161" s="434"/>
      <c r="J161" s="435"/>
      <c r="K161" s="433"/>
      <c r="L161" s="113">
        <v>50</v>
      </c>
      <c r="M161" s="432">
        <v>82.95</v>
      </c>
      <c r="N161" s="432">
        <v>83.91</v>
      </c>
      <c r="O161" s="432">
        <v>84.37</v>
      </c>
      <c r="P161" s="426"/>
      <c r="Q161" s="426"/>
      <c r="R161" s="426"/>
      <c r="S161" s="434"/>
      <c r="T161" s="435"/>
      <c r="U161" s="433"/>
      <c r="V161" s="113">
        <v>50</v>
      </c>
      <c r="W161" s="432">
        <v>88.81</v>
      </c>
      <c r="X161" s="432">
        <v>89.92</v>
      </c>
      <c r="Y161" s="432">
        <v>90.42</v>
      </c>
      <c r="Z161" s="426"/>
      <c r="AA161" s="426"/>
      <c r="AB161" s="426"/>
      <c r="AC161" s="434"/>
      <c r="AD161" s="435"/>
      <c r="AE161" s="433"/>
      <c r="AF161" s="113">
        <v>50</v>
      </c>
      <c r="AG161" s="432">
        <v>94.98</v>
      </c>
      <c r="AH161" s="432">
        <v>96.25</v>
      </c>
      <c r="AI161" s="432">
        <v>96.8</v>
      </c>
      <c r="AJ161" s="426"/>
      <c r="AK161" s="426"/>
      <c r="AL161" s="426"/>
      <c r="AM161" s="434"/>
      <c r="AN161" s="435"/>
      <c r="AO161" s="433"/>
      <c r="AP161" s="113">
        <v>50</v>
      </c>
      <c r="AQ161" s="432">
        <v>101.44</v>
      </c>
      <c r="AR161" s="432">
        <v>102.88</v>
      </c>
      <c r="AS161" s="432">
        <v>103.48</v>
      </c>
      <c r="AT161" s="426"/>
      <c r="AU161" s="426"/>
      <c r="AV161" s="426"/>
      <c r="AW161" s="434"/>
      <c r="AX161" s="435"/>
    </row>
    <row r="162" spans="1:50" s="429" customFormat="1" x14ac:dyDescent="0.2">
      <c r="A162" s="426"/>
      <c r="B162" s="113">
        <v>51</v>
      </c>
      <c r="C162" s="432">
        <v>77.69</v>
      </c>
      <c r="D162" s="432">
        <v>78.52</v>
      </c>
      <c r="E162" s="432">
        <v>78.95</v>
      </c>
      <c r="F162" s="426"/>
      <c r="G162" s="426"/>
      <c r="H162" s="426"/>
      <c r="I162" s="426"/>
      <c r="J162" s="436"/>
      <c r="K162" s="426"/>
      <c r="L162" s="113">
        <v>51</v>
      </c>
      <c r="M162" s="432">
        <v>83.3</v>
      </c>
      <c r="N162" s="432">
        <v>84.27</v>
      </c>
      <c r="O162" s="432">
        <v>84.74</v>
      </c>
      <c r="P162" s="426"/>
      <c r="Q162" s="426"/>
      <c r="R162" s="426"/>
      <c r="S162" s="426"/>
      <c r="T162" s="436"/>
      <c r="U162" s="426"/>
      <c r="V162" s="113">
        <v>51</v>
      </c>
      <c r="W162" s="432">
        <v>89.23</v>
      </c>
      <c r="X162" s="432">
        <v>90.35</v>
      </c>
      <c r="Y162" s="432">
        <v>90.86</v>
      </c>
      <c r="Z162" s="426"/>
      <c r="AA162" s="426"/>
      <c r="AB162" s="426"/>
      <c r="AC162" s="426"/>
      <c r="AD162" s="436"/>
      <c r="AE162" s="426"/>
      <c r="AF162" s="113">
        <v>51</v>
      </c>
      <c r="AG162" s="432">
        <v>95.46</v>
      </c>
      <c r="AH162" s="432">
        <v>96.75</v>
      </c>
      <c r="AI162" s="432">
        <v>97.3</v>
      </c>
      <c r="AJ162" s="426"/>
      <c r="AK162" s="426"/>
      <c r="AL162" s="426"/>
      <c r="AM162" s="426"/>
      <c r="AN162" s="436"/>
      <c r="AO162" s="426"/>
      <c r="AP162" s="113">
        <v>51</v>
      </c>
      <c r="AQ162" s="432">
        <v>101.95</v>
      </c>
      <c r="AR162" s="432">
        <v>103.42</v>
      </c>
      <c r="AS162" s="432">
        <v>104.02</v>
      </c>
      <c r="AT162" s="426"/>
      <c r="AU162" s="426"/>
      <c r="AV162" s="426"/>
      <c r="AW162" s="426"/>
      <c r="AX162" s="436"/>
    </row>
    <row r="163" spans="1:50" s="429" customFormat="1" x14ac:dyDescent="0.2">
      <c r="A163" s="426"/>
      <c r="B163" s="113">
        <v>52</v>
      </c>
      <c r="C163" s="432">
        <v>77.98</v>
      </c>
      <c r="D163" s="432">
        <v>78.83</v>
      </c>
      <c r="E163" s="432">
        <v>79.25</v>
      </c>
      <c r="F163" s="426"/>
      <c r="G163" s="426"/>
      <c r="H163" s="426"/>
      <c r="I163" s="426"/>
      <c r="J163" s="426"/>
      <c r="K163" s="426"/>
      <c r="L163" s="113">
        <v>52</v>
      </c>
      <c r="M163" s="432">
        <v>83.66</v>
      </c>
      <c r="N163" s="432">
        <v>84.65</v>
      </c>
      <c r="O163" s="432">
        <v>85.12</v>
      </c>
      <c r="P163" s="426"/>
      <c r="Q163" s="426"/>
      <c r="R163" s="426"/>
      <c r="S163" s="426"/>
      <c r="T163" s="426"/>
      <c r="U163" s="426"/>
      <c r="V163" s="113">
        <v>52</v>
      </c>
      <c r="W163" s="432">
        <v>89.66</v>
      </c>
      <c r="X163" s="432">
        <v>90.8</v>
      </c>
      <c r="Y163" s="432">
        <v>91.31</v>
      </c>
      <c r="Z163" s="426"/>
      <c r="AA163" s="426"/>
      <c r="AB163" s="426"/>
      <c r="AC163" s="426"/>
      <c r="AD163" s="426"/>
      <c r="AE163" s="426"/>
      <c r="AF163" s="113">
        <v>52</v>
      </c>
      <c r="AG163" s="432">
        <v>95.94</v>
      </c>
      <c r="AH163" s="432">
        <v>97.25</v>
      </c>
      <c r="AI163" s="432">
        <v>97.8</v>
      </c>
      <c r="AJ163" s="426"/>
      <c r="AK163" s="426"/>
      <c r="AL163" s="426"/>
      <c r="AM163" s="426"/>
      <c r="AN163" s="426"/>
      <c r="AO163" s="426"/>
      <c r="AP163" s="113">
        <v>52</v>
      </c>
      <c r="AQ163" s="432">
        <v>102.47</v>
      </c>
      <c r="AR163" s="432">
        <v>103.96</v>
      </c>
      <c r="AS163" s="432">
        <v>104.56</v>
      </c>
      <c r="AT163" s="426"/>
      <c r="AU163" s="426"/>
      <c r="AV163" s="426"/>
      <c r="AW163" s="426"/>
      <c r="AX163" s="426"/>
    </row>
    <row r="164" spans="1:50" s="429" customFormat="1" x14ac:dyDescent="0.2">
      <c r="A164" s="426"/>
      <c r="B164" s="113">
        <v>53</v>
      </c>
      <c r="C164" s="432">
        <v>78.28</v>
      </c>
      <c r="D164" s="432">
        <v>79.14</v>
      </c>
      <c r="E164" s="432">
        <v>79.569999999999993</v>
      </c>
      <c r="F164" s="426"/>
      <c r="G164" s="426"/>
      <c r="H164" s="426"/>
      <c r="I164" s="426"/>
      <c r="J164" s="426"/>
      <c r="K164" s="426"/>
      <c r="L164" s="113">
        <v>53</v>
      </c>
      <c r="M164" s="432">
        <v>84.03</v>
      </c>
      <c r="N164" s="432">
        <v>85.04</v>
      </c>
      <c r="O164" s="432">
        <v>85.51</v>
      </c>
      <c r="P164" s="426"/>
      <c r="Q164" s="426"/>
      <c r="R164" s="426"/>
      <c r="S164" s="426"/>
      <c r="T164" s="426"/>
      <c r="U164" s="426"/>
      <c r="V164" s="113">
        <v>53</v>
      </c>
      <c r="W164" s="432">
        <v>90.09</v>
      </c>
      <c r="X164" s="432">
        <v>91.26</v>
      </c>
      <c r="Y164" s="432">
        <v>91.77</v>
      </c>
      <c r="Z164" s="426"/>
      <c r="AA164" s="426"/>
      <c r="AB164" s="426"/>
      <c r="AC164" s="426"/>
      <c r="AD164" s="426"/>
      <c r="AE164" s="426"/>
      <c r="AF164" s="113">
        <v>53</v>
      </c>
      <c r="AG164" s="432">
        <v>96.43</v>
      </c>
      <c r="AH164" s="432">
        <v>97.76</v>
      </c>
      <c r="AI164" s="432">
        <v>98.31</v>
      </c>
      <c r="AJ164" s="426"/>
      <c r="AK164" s="426"/>
      <c r="AL164" s="426"/>
      <c r="AM164" s="426"/>
      <c r="AN164" s="426"/>
      <c r="AO164" s="426"/>
      <c r="AP164" s="113">
        <v>53</v>
      </c>
      <c r="AQ164" s="432">
        <v>102.98</v>
      </c>
      <c r="AR164" s="432">
        <v>104.49</v>
      </c>
      <c r="AS164" s="432">
        <v>105.09</v>
      </c>
      <c r="AT164" s="426"/>
      <c r="AU164" s="426"/>
      <c r="AV164" s="426"/>
      <c r="AW164" s="426"/>
      <c r="AX164" s="426"/>
    </row>
    <row r="165" spans="1:50" s="429" customFormat="1" x14ac:dyDescent="0.2">
      <c r="A165" s="426"/>
      <c r="B165" s="113">
        <v>54</v>
      </c>
      <c r="C165" s="432">
        <v>78.599999999999994</v>
      </c>
      <c r="D165" s="432">
        <v>79.47</v>
      </c>
      <c r="E165" s="432">
        <v>79.900000000000006</v>
      </c>
      <c r="F165" s="426"/>
      <c r="G165" s="426"/>
      <c r="H165" s="426"/>
      <c r="I165" s="426"/>
      <c r="J165" s="426"/>
      <c r="K165" s="426"/>
      <c r="L165" s="113">
        <v>54</v>
      </c>
      <c r="M165" s="432">
        <v>84.42</v>
      </c>
      <c r="N165" s="432">
        <v>85.44</v>
      </c>
      <c r="O165" s="432">
        <v>85.91</v>
      </c>
      <c r="P165" s="426"/>
      <c r="Q165" s="426"/>
      <c r="R165" s="426"/>
      <c r="S165" s="426"/>
      <c r="T165" s="426"/>
      <c r="U165" s="426"/>
      <c r="V165" s="113">
        <v>54</v>
      </c>
      <c r="W165" s="432">
        <v>90.54</v>
      </c>
      <c r="X165" s="432">
        <v>91.72</v>
      </c>
      <c r="Y165" s="432">
        <v>92.24</v>
      </c>
      <c r="Z165" s="426"/>
      <c r="AA165" s="426"/>
      <c r="AB165" s="426"/>
      <c r="AC165" s="426"/>
      <c r="AD165" s="426"/>
      <c r="AE165" s="426"/>
      <c r="AF165" s="113">
        <v>54</v>
      </c>
      <c r="AG165" s="432">
        <v>96.91</v>
      </c>
      <c r="AH165" s="432">
        <v>98.27</v>
      </c>
      <c r="AI165" s="432">
        <v>98.82</v>
      </c>
      <c r="AJ165" s="426"/>
      <c r="AK165" s="426"/>
      <c r="AL165" s="426"/>
      <c r="AM165" s="426"/>
      <c r="AN165" s="426"/>
      <c r="AO165" s="426"/>
      <c r="AP165" s="113">
        <v>54</v>
      </c>
      <c r="AQ165" s="432">
        <v>103.46</v>
      </c>
      <c r="AR165" s="432">
        <v>105</v>
      </c>
      <c r="AS165" s="432">
        <v>105.6</v>
      </c>
      <c r="AT165" s="426"/>
      <c r="AU165" s="426"/>
      <c r="AV165" s="426"/>
      <c r="AW165" s="426"/>
      <c r="AX165" s="426"/>
    </row>
    <row r="166" spans="1:50" s="429" customFormat="1" x14ac:dyDescent="0.2">
      <c r="A166" s="426"/>
      <c r="B166" s="113">
        <v>55</v>
      </c>
      <c r="C166" s="432">
        <v>78.92</v>
      </c>
      <c r="D166" s="432">
        <v>79.81</v>
      </c>
      <c r="E166" s="432">
        <v>80.239999999999995</v>
      </c>
      <c r="F166" s="426"/>
      <c r="G166" s="426"/>
      <c r="H166" s="426"/>
      <c r="I166" s="426"/>
      <c r="J166" s="426"/>
      <c r="K166" s="426"/>
      <c r="L166" s="113">
        <v>55</v>
      </c>
      <c r="M166" s="432">
        <v>84.81</v>
      </c>
      <c r="N166" s="432">
        <v>85.86</v>
      </c>
      <c r="O166" s="432">
        <v>86.33</v>
      </c>
      <c r="P166" s="426"/>
      <c r="Q166" s="426"/>
      <c r="R166" s="426"/>
      <c r="S166" s="426"/>
      <c r="T166" s="426"/>
      <c r="U166" s="426"/>
      <c r="V166" s="113">
        <v>55</v>
      </c>
      <c r="W166" s="432">
        <v>90.99</v>
      </c>
      <c r="X166" s="432">
        <v>92.19</v>
      </c>
      <c r="Y166" s="432">
        <v>92.71</v>
      </c>
      <c r="Z166" s="426"/>
      <c r="AA166" s="426"/>
      <c r="AB166" s="426"/>
      <c r="AC166" s="426"/>
      <c r="AD166" s="426"/>
      <c r="AE166" s="426"/>
      <c r="AF166" s="113">
        <v>55</v>
      </c>
      <c r="AG166" s="432">
        <v>97.38</v>
      </c>
      <c r="AH166" s="432">
        <v>98.76</v>
      </c>
      <c r="AI166" s="432">
        <v>99.32</v>
      </c>
      <c r="AJ166" s="426"/>
      <c r="AK166" s="426"/>
      <c r="AL166" s="426"/>
      <c r="AM166" s="426"/>
      <c r="AN166" s="426"/>
      <c r="AO166" s="426"/>
      <c r="AP166" s="113">
        <v>55</v>
      </c>
      <c r="AQ166" s="432">
        <v>103.91</v>
      </c>
      <c r="AR166" s="432">
        <v>105.47</v>
      </c>
      <c r="AS166" s="432">
        <v>106.07</v>
      </c>
      <c r="AT166" s="426"/>
      <c r="AU166" s="426"/>
      <c r="AV166" s="426"/>
      <c r="AW166" s="426"/>
      <c r="AX166" s="426"/>
    </row>
    <row r="167" spans="1:50" s="429" customFormat="1" x14ac:dyDescent="0.2">
      <c r="A167" s="426"/>
      <c r="B167" s="113">
        <v>56</v>
      </c>
      <c r="C167" s="432">
        <v>79.25</v>
      </c>
      <c r="D167" s="432">
        <v>80.16</v>
      </c>
      <c r="E167" s="432">
        <v>80.59</v>
      </c>
      <c r="F167" s="426"/>
      <c r="G167" s="426"/>
      <c r="H167" s="426"/>
      <c r="I167" s="426"/>
      <c r="J167" s="426"/>
      <c r="K167" s="426"/>
      <c r="L167" s="113">
        <v>56</v>
      </c>
      <c r="M167" s="432">
        <v>85.21</v>
      </c>
      <c r="N167" s="432">
        <v>86.27</v>
      </c>
      <c r="O167" s="432">
        <v>86.75</v>
      </c>
      <c r="P167" s="426"/>
      <c r="Q167" s="426"/>
      <c r="R167" s="426"/>
      <c r="S167" s="426"/>
      <c r="T167" s="426"/>
      <c r="U167" s="426"/>
      <c r="V167" s="113">
        <v>56</v>
      </c>
      <c r="W167" s="432">
        <v>91.43</v>
      </c>
      <c r="X167" s="432">
        <v>92.66</v>
      </c>
      <c r="Y167" s="432">
        <v>93.17</v>
      </c>
      <c r="Z167" s="426"/>
      <c r="AA167" s="426"/>
      <c r="AB167" s="426"/>
      <c r="AC167" s="426"/>
      <c r="AD167" s="426"/>
      <c r="AE167" s="426"/>
      <c r="AF167" s="113">
        <v>56</v>
      </c>
      <c r="AG167" s="432">
        <v>97.83</v>
      </c>
      <c r="AH167" s="432">
        <v>99.23</v>
      </c>
      <c r="AI167" s="432">
        <v>99.79</v>
      </c>
      <c r="AJ167" s="426"/>
      <c r="AK167" s="426"/>
      <c r="AL167" s="426"/>
      <c r="AM167" s="426"/>
      <c r="AN167" s="426"/>
      <c r="AO167" s="426"/>
      <c r="AP167" s="113">
        <v>56</v>
      </c>
      <c r="AQ167" s="432">
        <v>104.31</v>
      </c>
      <c r="AR167" s="432">
        <v>105.89</v>
      </c>
      <c r="AS167" s="432">
        <v>106.5</v>
      </c>
      <c r="AT167" s="426"/>
      <c r="AU167" s="426"/>
      <c r="AV167" s="426"/>
      <c r="AW167" s="426"/>
      <c r="AX167" s="426"/>
    </row>
    <row r="168" spans="1:50" s="429" customFormat="1" x14ac:dyDescent="0.2">
      <c r="A168" s="426"/>
      <c r="B168" s="113">
        <v>57</v>
      </c>
      <c r="C168" s="432">
        <v>79.59</v>
      </c>
      <c r="D168" s="432">
        <v>80.52</v>
      </c>
      <c r="E168" s="432">
        <v>80.95</v>
      </c>
      <c r="F168" s="426"/>
      <c r="G168" s="426"/>
      <c r="H168" s="426"/>
      <c r="I168" s="426"/>
      <c r="J168" s="426"/>
      <c r="K168" s="426"/>
      <c r="L168" s="113">
        <v>57</v>
      </c>
      <c r="M168" s="432">
        <v>85.61</v>
      </c>
      <c r="N168" s="432">
        <v>86.69</v>
      </c>
      <c r="O168" s="432">
        <v>87.17</v>
      </c>
      <c r="P168" s="426"/>
      <c r="Q168" s="426"/>
      <c r="R168" s="426"/>
      <c r="S168" s="426"/>
      <c r="T168" s="426"/>
      <c r="U168" s="426"/>
      <c r="V168" s="113">
        <v>57</v>
      </c>
      <c r="W168" s="432">
        <v>91.85</v>
      </c>
      <c r="X168" s="432">
        <v>93.1</v>
      </c>
      <c r="Y168" s="432">
        <v>93.62</v>
      </c>
      <c r="Z168" s="426"/>
      <c r="AA168" s="426"/>
      <c r="AB168" s="426"/>
      <c r="AC168" s="426"/>
      <c r="AD168" s="426"/>
      <c r="AE168" s="426"/>
      <c r="AF168" s="113">
        <v>57</v>
      </c>
      <c r="AG168" s="432">
        <v>98.23</v>
      </c>
      <c r="AH168" s="432">
        <v>99.66</v>
      </c>
      <c r="AI168" s="432">
        <v>100.22</v>
      </c>
      <c r="AJ168" s="426"/>
      <c r="AK168" s="426"/>
      <c r="AL168" s="426"/>
      <c r="AM168" s="426"/>
      <c r="AN168" s="426"/>
      <c r="AO168" s="426"/>
      <c r="AP168" s="113">
        <v>57</v>
      </c>
      <c r="AQ168" s="432">
        <v>104.64</v>
      </c>
      <c r="AR168" s="432">
        <v>106.25</v>
      </c>
      <c r="AS168" s="432">
        <v>106.85</v>
      </c>
      <c r="AT168" s="426"/>
      <c r="AU168" s="426"/>
      <c r="AV168" s="426"/>
      <c r="AW168" s="426"/>
      <c r="AX168" s="426"/>
    </row>
    <row r="169" spans="1:50" s="429" customFormat="1" x14ac:dyDescent="0.2">
      <c r="A169" s="426"/>
      <c r="B169" s="113">
        <v>58</v>
      </c>
      <c r="C169" s="432">
        <v>79.930000000000007</v>
      </c>
      <c r="D169" s="432">
        <v>80.87</v>
      </c>
      <c r="E169" s="432">
        <v>81.31</v>
      </c>
      <c r="F169" s="426"/>
      <c r="G169" s="426"/>
      <c r="H169" s="426"/>
      <c r="I169" s="426"/>
      <c r="J169" s="426"/>
      <c r="K169" s="426"/>
      <c r="L169" s="113">
        <v>58</v>
      </c>
      <c r="M169" s="432">
        <v>85.99</v>
      </c>
      <c r="N169" s="432">
        <v>87.09</v>
      </c>
      <c r="O169" s="432">
        <v>87.57</v>
      </c>
      <c r="P169" s="426"/>
      <c r="Q169" s="426"/>
      <c r="R169" s="426"/>
      <c r="S169" s="426"/>
      <c r="T169" s="426"/>
      <c r="U169" s="426"/>
      <c r="V169" s="113">
        <v>58</v>
      </c>
      <c r="W169" s="432">
        <v>92.25</v>
      </c>
      <c r="X169" s="432">
        <v>93.52</v>
      </c>
      <c r="Y169" s="432">
        <v>94.03</v>
      </c>
      <c r="Z169" s="426"/>
      <c r="AA169" s="426"/>
      <c r="AB169" s="426"/>
      <c r="AC169" s="426"/>
      <c r="AD169" s="426"/>
      <c r="AE169" s="426"/>
      <c r="AF169" s="113">
        <v>58</v>
      </c>
      <c r="AG169" s="432">
        <v>98.59</v>
      </c>
      <c r="AH169" s="432">
        <v>100.03</v>
      </c>
      <c r="AI169" s="432">
        <v>100.59</v>
      </c>
      <c r="AJ169" s="426"/>
      <c r="AK169" s="426"/>
      <c r="AL169" s="426"/>
      <c r="AM169" s="426"/>
      <c r="AN169" s="426"/>
      <c r="AO169" s="426"/>
      <c r="AP169" s="113">
        <v>58</v>
      </c>
      <c r="AQ169" s="432">
        <v>104.89</v>
      </c>
      <c r="AR169" s="432">
        <v>106.52</v>
      </c>
      <c r="AS169" s="432">
        <v>107.12</v>
      </c>
      <c r="AT169" s="426"/>
      <c r="AU169" s="426"/>
      <c r="AV169" s="426"/>
      <c r="AW169" s="426"/>
      <c r="AX169" s="426"/>
    </row>
    <row r="170" spans="1:50" s="429" customFormat="1" x14ac:dyDescent="0.2">
      <c r="A170" s="426"/>
      <c r="B170" s="113">
        <v>59</v>
      </c>
      <c r="C170" s="432">
        <v>80.260000000000005</v>
      </c>
      <c r="D170" s="432">
        <v>81.22</v>
      </c>
      <c r="E170" s="432">
        <v>81.66</v>
      </c>
      <c r="F170" s="426"/>
      <c r="G170" s="426"/>
      <c r="H170" s="426"/>
      <c r="I170" s="426"/>
      <c r="J170" s="426"/>
      <c r="K170" s="426"/>
      <c r="L170" s="113">
        <v>59</v>
      </c>
      <c r="M170" s="432">
        <v>86.36</v>
      </c>
      <c r="N170" s="432">
        <v>87.48</v>
      </c>
      <c r="O170" s="432">
        <v>87.96</v>
      </c>
      <c r="P170" s="426"/>
      <c r="Q170" s="426"/>
      <c r="R170" s="426"/>
      <c r="S170" s="426"/>
      <c r="T170" s="426"/>
      <c r="U170" s="426"/>
      <c r="V170" s="113">
        <v>59</v>
      </c>
      <c r="W170" s="432">
        <v>92.6</v>
      </c>
      <c r="X170" s="432">
        <v>93.89</v>
      </c>
      <c r="Y170" s="432">
        <v>94.41</v>
      </c>
      <c r="Z170" s="426"/>
      <c r="AA170" s="426"/>
      <c r="AB170" s="426"/>
      <c r="AC170" s="426"/>
      <c r="AD170" s="426"/>
      <c r="AE170" s="426"/>
      <c r="AF170" s="113">
        <v>59</v>
      </c>
      <c r="AG170" s="432">
        <v>98.87</v>
      </c>
      <c r="AH170" s="432">
        <v>100.34</v>
      </c>
      <c r="AI170" s="432">
        <v>100.89</v>
      </c>
      <c r="AJ170" s="426"/>
      <c r="AK170" s="426"/>
      <c r="AL170" s="426"/>
      <c r="AM170" s="426"/>
      <c r="AN170" s="426"/>
      <c r="AO170" s="426"/>
      <c r="AP170" s="113">
        <v>59</v>
      </c>
      <c r="AQ170" s="432">
        <v>105.04</v>
      </c>
      <c r="AR170" s="432">
        <v>106.68</v>
      </c>
      <c r="AS170" s="432">
        <v>107.28</v>
      </c>
      <c r="AT170" s="426"/>
      <c r="AU170" s="426"/>
      <c r="AV170" s="426"/>
      <c r="AW170" s="426"/>
      <c r="AX170" s="426"/>
    </row>
    <row r="171" spans="1:50" s="429" customFormat="1" x14ac:dyDescent="0.2">
      <c r="A171" s="426"/>
      <c r="B171" s="113">
        <v>60</v>
      </c>
      <c r="C171" s="432">
        <v>80.569999999999993</v>
      </c>
      <c r="D171" s="432">
        <v>81.55</v>
      </c>
      <c r="E171" s="432">
        <v>81.99</v>
      </c>
      <c r="F171" s="426"/>
      <c r="G171" s="426"/>
      <c r="H171" s="426"/>
      <c r="I171" s="426"/>
      <c r="J171" s="426"/>
      <c r="K171" s="426"/>
      <c r="L171" s="113">
        <v>60</v>
      </c>
      <c r="M171" s="432">
        <v>86.68</v>
      </c>
      <c r="N171" s="432">
        <v>87.83</v>
      </c>
      <c r="O171" s="432">
        <v>88.31</v>
      </c>
      <c r="P171" s="426"/>
      <c r="Q171" s="426"/>
      <c r="R171" s="426"/>
      <c r="S171" s="426"/>
      <c r="T171" s="426"/>
      <c r="U171" s="426"/>
      <c r="V171" s="113">
        <v>60</v>
      </c>
      <c r="W171" s="432">
        <v>92.89</v>
      </c>
      <c r="X171" s="432">
        <v>94.2</v>
      </c>
      <c r="Y171" s="432">
        <v>94.72</v>
      </c>
      <c r="Z171" s="426"/>
      <c r="AA171" s="426"/>
      <c r="AB171" s="426"/>
      <c r="AC171" s="426"/>
      <c r="AD171" s="426"/>
      <c r="AE171" s="426"/>
      <c r="AF171" s="113">
        <v>60</v>
      </c>
      <c r="AG171" s="432">
        <v>99.06</v>
      </c>
      <c r="AH171" s="432">
        <v>100.55</v>
      </c>
      <c r="AI171" s="432">
        <v>101.11</v>
      </c>
      <c r="AJ171" s="426"/>
      <c r="AK171" s="426"/>
      <c r="AL171" s="426"/>
      <c r="AM171" s="426"/>
      <c r="AN171" s="426"/>
      <c r="AO171" s="426"/>
      <c r="AP171" s="113">
        <v>60</v>
      </c>
      <c r="AQ171" s="432">
        <v>105.06</v>
      </c>
      <c r="AR171" s="432">
        <v>106.72</v>
      </c>
      <c r="AS171" s="432">
        <v>107.32</v>
      </c>
      <c r="AT171" s="426"/>
      <c r="AU171" s="426"/>
      <c r="AV171" s="426"/>
      <c r="AW171" s="426"/>
      <c r="AX171" s="426"/>
    </row>
    <row r="172" spans="1:50" s="429" customFormat="1" x14ac:dyDescent="0.2">
      <c r="A172" s="426"/>
      <c r="B172" s="113">
        <v>61</v>
      </c>
      <c r="C172" s="432">
        <v>80.849999999999994</v>
      </c>
      <c r="D172" s="432">
        <v>81.849999999999994</v>
      </c>
      <c r="E172" s="432">
        <v>82.29</v>
      </c>
      <c r="F172" s="426"/>
      <c r="G172" s="426"/>
      <c r="H172" s="426"/>
      <c r="I172" s="426"/>
      <c r="J172" s="426"/>
      <c r="K172" s="426"/>
      <c r="L172" s="113">
        <v>61</v>
      </c>
      <c r="M172" s="432">
        <v>86.96</v>
      </c>
      <c r="N172" s="432">
        <v>88.12</v>
      </c>
      <c r="O172" s="432">
        <v>88.61</v>
      </c>
      <c r="P172" s="426"/>
      <c r="Q172" s="426"/>
      <c r="R172" s="426"/>
      <c r="S172" s="426"/>
      <c r="T172" s="426"/>
      <c r="U172" s="426"/>
      <c r="V172" s="113">
        <v>61</v>
      </c>
      <c r="W172" s="432">
        <v>93.11</v>
      </c>
      <c r="X172" s="432">
        <v>94.44</v>
      </c>
      <c r="Y172" s="432">
        <v>94.96</v>
      </c>
      <c r="Z172" s="426"/>
      <c r="AA172" s="426"/>
      <c r="AB172" s="426"/>
      <c r="AC172" s="426"/>
      <c r="AD172" s="426"/>
      <c r="AE172" s="426"/>
      <c r="AF172" s="113">
        <v>61</v>
      </c>
      <c r="AG172" s="432">
        <v>99.15</v>
      </c>
      <c r="AH172" s="432">
        <v>100.65</v>
      </c>
      <c r="AI172" s="432">
        <v>101.21</v>
      </c>
      <c r="AJ172" s="426"/>
      <c r="AK172" s="426"/>
      <c r="AL172" s="426"/>
      <c r="AM172" s="426"/>
      <c r="AN172" s="426"/>
      <c r="AO172" s="426"/>
      <c r="AP172" s="113">
        <v>61</v>
      </c>
      <c r="AQ172" s="432">
        <v>104.94</v>
      </c>
      <c r="AR172" s="432">
        <v>106.62</v>
      </c>
      <c r="AS172" s="432">
        <v>107.21</v>
      </c>
      <c r="AT172" s="426"/>
      <c r="AU172" s="426"/>
      <c r="AV172" s="426"/>
      <c r="AW172" s="426"/>
      <c r="AX172" s="426"/>
    </row>
    <row r="173" spans="1:50" s="429" customFormat="1" x14ac:dyDescent="0.2">
      <c r="A173" s="426"/>
      <c r="B173" s="113">
        <v>62</v>
      </c>
      <c r="C173" s="432">
        <v>81.099999999999994</v>
      </c>
      <c r="D173" s="432">
        <v>82.11</v>
      </c>
      <c r="E173" s="432">
        <v>82.56</v>
      </c>
      <c r="F173" s="426"/>
      <c r="G173" s="426"/>
      <c r="H173" s="426"/>
      <c r="I173" s="426"/>
      <c r="J173" s="426"/>
      <c r="K173" s="426"/>
      <c r="L173" s="113">
        <v>62</v>
      </c>
      <c r="M173" s="432">
        <v>87.18</v>
      </c>
      <c r="N173" s="432">
        <v>88.36</v>
      </c>
      <c r="O173" s="432">
        <v>88.84</v>
      </c>
      <c r="P173" s="426"/>
      <c r="Q173" s="426"/>
      <c r="R173" s="426"/>
      <c r="S173" s="426"/>
      <c r="T173" s="426"/>
      <c r="U173" s="426"/>
      <c r="V173" s="113">
        <v>62</v>
      </c>
      <c r="W173" s="432">
        <v>93.23</v>
      </c>
      <c r="X173" s="432">
        <v>94.58</v>
      </c>
      <c r="Y173" s="432">
        <v>95.1</v>
      </c>
      <c r="Z173" s="426"/>
      <c r="AA173" s="426"/>
      <c r="AB173" s="426"/>
      <c r="AC173" s="426"/>
      <c r="AD173" s="426"/>
      <c r="AE173" s="426"/>
      <c r="AF173" s="113">
        <v>62</v>
      </c>
      <c r="AG173" s="432">
        <v>99.11</v>
      </c>
      <c r="AH173" s="432">
        <v>100.63</v>
      </c>
      <c r="AI173" s="432">
        <v>101.18</v>
      </c>
      <c r="AJ173" s="426"/>
      <c r="AK173" s="426"/>
      <c r="AL173" s="426"/>
      <c r="AM173" s="426"/>
      <c r="AN173" s="426"/>
      <c r="AO173" s="426"/>
      <c r="AP173" s="113">
        <v>62</v>
      </c>
      <c r="AQ173" s="432">
        <v>104.65</v>
      </c>
      <c r="AR173" s="432">
        <v>106.34</v>
      </c>
      <c r="AS173" s="432">
        <v>106.93</v>
      </c>
      <c r="AT173" s="426"/>
      <c r="AU173" s="426"/>
      <c r="AV173" s="426"/>
      <c r="AW173" s="426"/>
      <c r="AX173" s="426"/>
    </row>
    <row r="174" spans="1:50" s="429" customFormat="1" x14ac:dyDescent="0.2">
      <c r="A174" s="426"/>
      <c r="B174" s="113">
        <v>63</v>
      </c>
      <c r="C174" s="432">
        <v>81.290000000000006</v>
      </c>
      <c r="D174" s="432">
        <v>82.33</v>
      </c>
      <c r="E174" s="432">
        <v>82.77</v>
      </c>
      <c r="F174" s="426"/>
      <c r="G174" s="426"/>
      <c r="H174" s="426"/>
      <c r="I174" s="426"/>
      <c r="J174" s="426"/>
      <c r="K174" s="426"/>
      <c r="L174" s="113">
        <v>63</v>
      </c>
      <c r="M174" s="432">
        <v>87.32</v>
      </c>
      <c r="N174" s="432">
        <v>88.52</v>
      </c>
      <c r="O174" s="432">
        <v>89</v>
      </c>
      <c r="P174" s="426"/>
      <c r="Q174" s="426"/>
      <c r="R174" s="426"/>
      <c r="S174" s="426"/>
      <c r="T174" s="426"/>
      <c r="U174" s="426"/>
      <c r="V174" s="113">
        <v>63</v>
      </c>
      <c r="W174" s="432">
        <v>93.25</v>
      </c>
      <c r="X174" s="432">
        <v>94.62</v>
      </c>
      <c r="Y174" s="432">
        <v>95.14</v>
      </c>
      <c r="Z174" s="426"/>
      <c r="AA174" s="426"/>
      <c r="AB174" s="426"/>
      <c r="AC174" s="426"/>
      <c r="AD174" s="426"/>
      <c r="AE174" s="426"/>
      <c r="AF174" s="113">
        <v>63</v>
      </c>
      <c r="AG174" s="432">
        <v>98.93</v>
      </c>
      <c r="AH174" s="432">
        <v>100.46</v>
      </c>
      <c r="AI174" s="432">
        <v>101.02</v>
      </c>
      <c r="AJ174" s="426"/>
      <c r="AK174" s="426"/>
      <c r="AL174" s="426"/>
      <c r="AM174" s="426"/>
      <c r="AN174" s="426"/>
      <c r="AO174" s="426"/>
      <c r="AP174" s="113">
        <v>63</v>
      </c>
      <c r="AQ174" s="432">
        <v>104.2</v>
      </c>
      <c r="AR174" s="432">
        <v>105.89</v>
      </c>
      <c r="AS174" s="432">
        <v>106.47</v>
      </c>
      <c r="AT174" s="426"/>
      <c r="AU174" s="426"/>
      <c r="AV174" s="426"/>
      <c r="AW174" s="426"/>
      <c r="AX174" s="426"/>
    </row>
    <row r="175" spans="1:50" s="429" customFormat="1" x14ac:dyDescent="0.2">
      <c r="A175" s="426"/>
      <c r="B175" s="113">
        <v>64</v>
      </c>
      <c r="C175" s="432">
        <v>81.430000000000007</v>
      </c>
      <c r="D175" s="432">
        <v>82.49</v>
      </c>
      <c r="E175" s="432">
        <v>82.93</v>
      </c>
      <c r="F175" s="426"/>
      <c r="G175" s="426"/>
      <c r="H175" s="426"/>
      <c r="I175" s="426"/>
      <c r="J175" s="426"/>
      <c r="K175" s="426"/>
      <c r="L175" s="113">
        <v>64</v>
      </c>
      <c r="M175" s="432">
        <v>87.38</v>
      </c>
      <c r="N175" s="432">
        <v>88.6</v>
      </c>
      <c r="O175" s="432">
        <v>89.09</v>
      </c>
      <c r="P175" s="426"/>
      <c r="Q175" s="426"/>
      <c r="R175" s="426"/>
      <c r="S175" s="426"/>
      <c r="T175" s="426"/>
      <c r="U175" s="426"/>
      <c r="V175" s="113">
        <v>64</v>
      </c>
      <c r="W175" s="432">
        <v>93.16</v>
      </c>
      <c r="X175" s="432">
        <v>94.55</v>
      </c>
      <c r="Y175" s="432">
        <v>95.07</v>
      </c>
      <c r="Z175" s="426"/>
      <c r="AA175" s="426"/>
      <c r="AB175" s="426"/>
      <c r="AC175" s="426"/>
      <c r="AD175" s="426"/>
      <c r="AE175" s="426"/>
      <c r="AF175" s="113">
        <v>64</v>
      </c>
      <c r="AG175" s="432">
        <v>98.6</v>
      </c>
      <c r="AH175" s="432">
        <v>100.15</v>
      </c>
      <c r="AI175" s="432">
        <v>100.7</v>
      </c>
      <c r="AJ175" s="426"/>
      <c r="AK175" s="426"/>
      <c r="AL175" s="426"/>
      <c r="AM175" s="426"/>
      <c r="AN175" s="426"/>
      <c r="AO175" s="426"/>
      <c r="AP175" s="113">
        <v>64</v>
      </c>
      <c r="AQ175" s="432">
        <v>103.56</v>
      </c>
      <c r="AR175" s="432">
        <v>105.25</v>
      </c>
      <c r="AS175" s="432">
        <v>105.83</v>
      </c>
      <c r="AT175" s="426"/>
      <c r="AU175" s="426"/>
      <c r="AV175" s="426"/>
      <c r="AW175" s="426"/>
      <c r="AX175" s="426"/>
    </row>
    <row r="176" spans="1:50" s="429" customFormat="1" x14ac:dyDescent="0.2">
      <c r="A176" s="426"/>
      <c r="B176" s="113">
        <v>65</v>
      </c>
      <c r="C176" s="432">
        <v>81.510000000000005</v>
      </c>
      <c r="D176" s="432">
        <v>82.59</v>
      </c>
      <c r="E176" s="432">
        <v>83.03</v>
      </c>
      <c r="F176" s="426"/>
      <c r="G176" s="426"/>
      <c r="H176" s="426"/>
      <c r="I176" s="426"/>
      <c r="J176" s="426"/>
      <c r="K176" s="426"/>
      <c r="L176" s="113">
        <v>65</v>
      </c>
      <c r="M176" s="432">
        <v>87.36</v>
      </c>
      <c r="N176" s="432">
        <v>88.6</v>
      </c>
      <c r="O176" s="432">
        <v>89.08</v>
      </c>
      <c r="P176" s="426"/>
      <c r="Q176" s="426"/>
      <c r="R176" s="426"/>
      <c r="S176" s="426"/>
      <c r="T176" s="426"/>
      <c r="U176" s="426"/>
      <c r="V176" s="113">
        <v>65</v>
      </c>
      <c r="W176" s="432">
        <v>92.95</v>
      </c>
      <c r="X176" s="432">
        <v>94.36</v>
      </c>
      <c r="Y176" s="432">
        <v>94.87</v>
      </c>
      <c r="Z176" s="426"/>
      <c r="AA176" s="426"/>
      <c r="AB176" s="426"/>
      <c r="AC176" s="426"/>
      <c r="AD176" s="426"/>
      <c r="AE176" s="426"/>
      <c r="AF176" s="113">
        <v>65</v>
      </c>
      <c r="AG176" s="432">
        <v>98.13</v>
      </c>
      <c r="AH176" s="432">
        <v>99.68</v>
      </c>
      <c r="AI176" s="432">
        <v>100.23</v>
      </c>
      <c r="AJ176" s="426"/>
      <c r="AK176" s="426"/>
      <c r="AL176" s="426"/>
      <c r="AM176" s="426"/>
      <c r="AN176" s="426"/>
      <c r="AO176" s="426"/>
      <c r="AP176" s="113">
        <v>65</v>
      </c>
      <c r="AQ176" s="432">
        <v>102.74</v>
      </c>
      <c r="AR176" s="432">
        <v>104.44</v>
      </c>
      <c r="AS176" s="432">
        <v>105.01</v>
      </c>
      <c r="AT176" s="426"/>
      <c r="AU176" s="426"/>
      <c r="AV176" s="426"/>
      <c r="AW176" s="426"/>
      <c r="AX176" s="426"/>
    </row>
    <row r="177" spans="1:50" s="429" customFormat="1" x14ac:dyDescent="0.2">
      <c r="A177" s="426"/>
      <c r="B177" s="113">
        <v>66</v>
      </c>
      <c r="C177" s="432">
        <v>81.53</v>
      </c>
      <c r="D177" s="432">
        <v>82.62</v>
      </c>
      <c r="E177" s="432">
        <v>83.07</v>
      </c>
      <c r="F177" s="426"/>
      <c r="G177" s="426"/>
      <c r="H177" s="426"/>
      <c r="I177" s="426"/>
      <c r="J177" s="426"/>
      <c r="K177" s="426"/>
      <c r="L177" s="113">
        <v>66</v>
      </c>
      <c r="M177" s="432">
        <v>87.24</v>
      </c>
      <c r="N177" s="432">
        <v>88.5</v>
      </c>
      <c r="O177" s="432">
        <v>88.98</v>
      </c>
      <c r="P177" s="426"/>
      <c r="Q177" s="426"/>
      <c r="R177" s="426"/>
      <c r="S177" s="426"/>
      <c r="T177" s="426"/>
      <c r="U177" s="426"/>
      <c r="V177" s="113">
        <v>66</v>
      </c>
      <c r="W177" s="432">
        <v>92.62</v>
      </c>
      <c r="X177" s="432">
        <v>94.04</v>
      </c>
      <c r="Y177" s="432">
        <v>94.55</v>
      </c>
      <c r="Z177" s="426"/>
      <c r="AA177" s="426"/>
      <c r="AB177" s="426"/>
      <c r="AC177" s="426"/>
      <c r="AD177" s="426"/>
      <c r="AE177" s="426"/>
      <c r="AF177" s="113">
        <v>66</v>
      </c>
      <c r="AG177" s="432">
        <v>97.5</v>
      </c>
      <c r="AH177" s="432">
        <v>99.06</v>
      </c>
      <c r="AI177" s="432">
        <v>99.6</v>
      </c>
      <c r="AJ177" s="426"/>
      <c r="AK177" s="426"/>
      <c r="AL177" s="426"/>
      <c r="AM177" s="426"/>
      <c r="AN177" s="426"/>
      <c r="AO177" s="426"/>
      <c r="AP177" s="113">
        <v>66</v>
      </c>
      <c r="AQ177" s="432">
        <v>101.74</v>
      </c>
      <c r="AR177" s="432">
        <v>103.44</v>
      </c>
      <c r="AS177" s="432">
        <v>104</v>
      </c>
      <c r="AT177" s="426"/>
      <c r="AU177" s="426"/>
      <c r="AV177" s="426"/>
      <c r="AW177" s="426"/>
      <c r="AX177" s="426"/>
    </row>
    <row r="178" spans="1:50" s="429" customFormat="1" x14ac:dyDescent="0.2">
      <c r="A178" s="426"/>
      <c r="B178" s="113">
        <v>67</v>
      </c>
      <c r="C178" s="432">
        <v>81.48</v>
      </c>
      <c r="D178" s="432">
        <v>82.58</v>
      </c>
      <c r="E178" s="432">
        <v>83.03</v>
      </c>
      <c r="F178" s="426"/>
      <c r="G178" s="426"/>
      <c r="H178" s="426"/>
      <c r="I178" s="426"/>
      <c r="J178" s="426"/>
      <c r="K178" s="426"/>
      <c r="L178" s="113">
        <v>67</v>
      </c>
      <c r="M178" s="432">
        <v>87.03</v>
      </c>
      <c r="N178" s="432">
        <v>88.3</v>
      </c>
      <c r="O178" s="432">
        <v>88.78</v>
      </c>
      <c r="P178" s="426"/>
      <c r="Q178" s="426"/>
      <c r="R178" s="426"/>
      <c r="S178" s="426"/>
      <c r="T178" s="426"/>
      <c r="U178" s="426"/>
      <c r="V178" s="113">
        <v>67</v>
      </c>
      <c r="W178" s="432">
        <v>92.16</v>
      </c>
      <c r="X178" s="432">
        <v>93.58</v>
      </c>
      <c r="Y178" s="432">
        <v>94.09</v>
      </c>
      <c r="Z178" s="426"/>
      <c r="AA178" s="426"/>
      <c r="AB178" s="426"/>
      <c r="AC178" s="426"/>
      <c r="AD178" s="426"/>
      <c r="AE178" s="426"/>
      <c r="AF178" s="113">
        <v>67</v>
      </c>
      <c r="AG178" s="432">
        <v>96.71</v>
      </c>
      <c r="AH178" s="432">
        <v>98.27</v>
      </c>
      <c r="AI178" s="432">
        <v>98.81</v>
      </c>
      <c r="AJ178" s="426"/>
      <c r="AK178" s="426"/>
      <c r="AL178" s="426"/>
      <c r="AM178" s="426"/>
      <c r="AN178" s="426"/>
      <c r="AO178" s="426"/>
      <c r="AP178" s="113">
        <v>67</v>
      </c>
      <c r="AQ178" s="432">
        <v>100.57</v>
      </c>
      <c r="AR178" s="432">
        <v>102.25</v>
      </c>
      <c r="AS178" s="432">
        <v>102.82</v>
      </c>
      <c r="AT178" s="426"/>
      <c r="AU178" s="426"/>
      <c r="AV178" s="426"/>
      <c r="AW178" s="426"/>
      <c r="AX178" s="426"/>
    </row>
    <row r="179" spans="1:50" s="429" customFormat="1" x14ac:dyDescent="0.2">
      <c r="A179" s="426"/>
      <c r="B179" s="113">
        <v>68</v>
      </c>
      <c r="C179" s="432">
        <v>81.349999999999994</v>
      </c>
      <c r="D179" s="432">
        <v>82.47</v>
      </c>
      <c r="E179" s="432">
        <v>82.92</v>
      </c>
      <c r="F179" s="426"/>
      <c r="G179" s="426"/>
      <c r="H179" s="426"/>
      <c r="I179" s="426"/>
      <c r="J179" s="426"/>
      <c r="K179" s="426"/>
      <c r="L179" s="113">
        <v>68</v>
      </c>
      <c r="M179" s="432">
        <v>86.71</v>
      </c>
      <c r="N179" s="432">
        <v>87.99</v>
      </c>
      <c r="O179" s="432">
        <v>88.47</v>
      </c>
      <c r="P179" s="426"/>
      <c r="Q179" s="426"/>
      <c r="R179" s="426"/>
      <c r="S179" s="426"/>
      <c r="T179" s="426"/>
      <c r="U179" s="426"/>
      <c r="V179" s="113">
        <v>68</v>
      </c>
      <c r="W179" s="432">
        <v>91.56</v>
      </c>
      <c r="X179" s="432">
        <v>92.99</v>
      </c>
      <c r="Y179" s="432">
        <v>93.5</v>
      </c>
      <c r="Z179" s="426"/>
      <c r="AA179" s="426"/>
      <c r="AB179" s="426"/>
      <c r="AC179" s="426"/>
      <c r="AD179" s="426"/>
      <c r="AE179" s="426"/>
      <c r="AF179" s="113">
        <v>68</v>
      </c>
      <c r="AG179" s="432">
        <v>95.76</v>
      </c>
      <c r="AH179" s="432">
        <v>97.33</v>
      </c>
      <c r="AI179" s="432">
        <v>97.86</v>
      </c>
      <c r="AJ179" s="426"/>
      <c r="AK179" s="426"/>
      <c r="AL179" s="426"/>
      <c r="AM179" s="426"/>
      <c r="AN179" s="426"/>
      <c r="AO179" s="426"/>
      <c r="AP179" s="113">
        <v>68</v>
      </c>
      <c r="AQ179" s="432">
        <v>99.22</v>
      </c>
      <c r="AR179" s="432">
        <v>100.9</v>
      </c>
      <c r="AS179" s="432">
        <v>101.45</v>
      </c>
      <c r="AT179" s="426"/>
      <c r="AU179" s="426"/>
      <c r="AV179" s="426"/>
      <c r="AW179" s="426"/>
      <c r="AX179" s="426"/>
    </row>
    <row r="180" spans="1:50" s="429" customFormat="1" x14ac:dyDescent="0.2">
      <c r="A180" s="426"/>
      <c r="B180" s="113">
        <v>69</v>
      </c>
      <c r="C180" s="432">
        <v>81.13</v>
      </c>
      <c r="D180" s="432">
        <v>82.28</v>
      </c>
      <c r="E180" s="432">
        <v>82.72</v>
      </c>
      <c r="F180" s="426"/>
      <c r="G180" s="426"/>
      <c r="H180" s="426"/>
      <c r="I180" s="426"/>
      <c r="J180" s="426"/>
      <c r="K180" s="426"/>
      <c r="L180" s="113">
        <v>69</v>
      </c>
      <c r="M180" s="432">
        <v>86.28</v>
      </c>
      <c r="N180" s="432">
        <v>87.57</v>
      </c>
      <c r="O180" s="432">
        <v>88.05</v>
      </c>
      <c r="P180" s="426"/>
      <c r="Q180" s="426"/>
      <c r="R180" s="426"/>
      <c r="S180" s="426"/>
      <c r="T180" s="426"/>
      <c r="U180" s="426"/>
      <c r="V180" s="113">
        <v>69</v>
      </c>
      <c r="W180" s="432">
        <v>90.83</v>
      </c>
      <c r="X180" s="432">
        <v>92.27</v>
      </c>
      <c r="Y180" s="432">
        <v>92.77</v>
      </c>
      <c r="Z180" s="426"/>
      <c r="AA180" s="426"/>
      <c r="AB180" s="426"/>
      <c r="AC180" s="426"/>
      <c r="AD180" s="426"/>
      <c r="AE180" s="426"/>
      <c r="AF180" s="113">
        <v>69</v>
      </c>
      <c r="AG180" s="432">
        <v>94.66</v>
      </c>
      <c r="AH180" s="432">
        <v>96.22</v>
      </c>
      <c r="AI180" s="432">
        <v>96.75</v>
      </c>
      <c r="AJ180" s="426"/>
      <c r="AK180" s="426"/>
      <c r="AL180" s="426"/>
      <c r="AM180" s="426"/>
      <c r="AN180" s="426"/>
      <c r="AO180" s="426"/>
      <c r="AP180" s="113">
        <v>69</v>
      </c>
      <c r="AQ180" s="432">
        <v>97.7</v>
      </c>
      <c r="AR180" s="432">
        <v>99.37</v>
      </c>
      <c r="AS180" s="432">
        <v>99.92</v>
      </c>
      <c r="AT180" s="426"/>
      <c r="AU180" s="426"/>
      <c r="AV180" s="426"/>
      <c r="AW180" s="426"/>
      <c r="AX180" s="426"/>
    </row>
    <row r="181" spans="1:50" s="429" customFormat="1" x14ac:dyDescent="0.2">
      <c r="A181" s="426"/>
      <c r="B181" s="113">
        <v>70</v>
      </c>
      <c r="C181" s="432">
        <v>80.84</v>
      </c>
      <c r="D181" s="432">
        <v>81.99</v>
      </c>
      <c r="E181" s="432">
        <v>82.44</v>
      </c>
      <c r="F181" s="426"/>
      <c r="G181" s="426"/>
      <c r="H181" s="426"/>
      <c r="I181" s="426"/>
      <c r="J181" s="426"/>
      <c r="K181" s="426"/>
      <c r="L181" s="113">
        <v>70</v>
      </c>
      <c r="M181" s="432">
        <v>85.73</v>
      </c>
      <c r="N181" s="432">
        <v>87.04</v>
      </c>
      <c r="O181" s="432">
        <v>87.52</v>
      </c>
      <c r="P181" s="426"/>
      <c r="Q181" s="426"/>
      <c r="R181" s="426"/>
      <c r="S181" s="426"/>
      <c r="T181" s="426"/>
      <c r="U181" s="426"/>
      <c r="V181" s="113">
        <v>70</v>
      </c>
      <c r="W181" s="432">
        <v>89.95</v>
      </c>
      <c r="X181" s="432">
        <v>91.39</v>
      </c>
      <c r="Y181" s="432">
        <v>91.9</v>
      </c>
      <c r="Z181" s="426"/>
      <c r="AA181" s="426"/>
      <c r="AB181" s="426"/>
      <c r="AC181" s="426"/>
      <c r="AD181" s="426"/>
      <c r="AE181" s="426"/>
      <c r="AF181" s="113">
        <v>70</v>
      </c>
      <c r="AG181" s="432">
        <v>93.4</v>
      </c>
      <c r="AH181" s="432">
        <v>94.96</v>
      </c>
      <c r="AI181" s="432">
        <v>95.48</v>
      </c>
      <c r="AJ181" s="426"/>
      <c r="AK181" s="426"/>
      <c r="AL181" s="426"/>
      <c r="AM181" s="426"/>
      <c r="AN181" s="426"/>
      <c r="AO181" s="426"/>
      <c r="AP181" s="113">
        <v>70</v>
      </c>
      <c r="AQ181" s="432">
        <v>96.03</v>
      </c>
      <c r="AR181" s="432">
        <v>97.69</v>
      </c>
      <c r="AS181" s="432">
        <v>98.22</v>
      </c>
      <c r="AT181" s="426"/>
      <c r="AU181" s="426"/>
      <c r="AV181" s="426"/>
      <c r="AW181" s="426"/>
      <c r="AX181" s="426"/>
    </row>
    <row r="182" spans="1:50" s="429" customFormat="1" x14ac:dyDescent="0.2">
      <c r="A182" s="426"/>
      <c r="B182" s="113">
        <v>71</v>
      </c>
      <c r="C182" s="432">
        <v>80.45</v>
      </c>
      <c r="D182" s="432">
        <v>81.62</v>
      </c>
      <c r="E182" s="432">
        <v>82.06</v>
      </c>
      <c r="F182" s="426"/>
      <c r="G182" s="426"/>
      <c r="H182" s="426"/>
      <c r="I182" s="426"/>
      <c r="J182" s="426"/>
      <c r="K182" s="426"/>
      <c r="L182" s="113">
        <v>71</v>
      </c>
      <c r="M182" s="432">
        <v>85.07</v>
      </c>
      <c r="N182" s="432">
        <v>86.38</v>
      </c>
      <c r="O182" s="432">
        <v>86.86</v>
      </c>
      <c r="P182" s="426"/>
      <c r="Q182" s="426"/>
      <c r="R182" s="426"/>
      <c r="S182" s="426"/>
      <c r="T182" s="426"/>
      <c r="U182" s="426"/>
      <c r="V182" s="113">
        <v>71</v>
      </c>
      <c r="W182" s="432">
        <v>88.94</v>
      </c>
      <c r="X182" s="432">
        <v>90.38</v>
      </c>
      <c r="Y182" s="432">
        <v>90.88</v>
      </c>
      <c r="Z182" s="426"/>
      <c r="AA182" s="426"/>
      <c r="AB182" s="426"/>
      <c r="AC182" s="426"/>
      <c r="AD182" s="426"/>
      <c r="AE182" s="426"/>
      <c r="AF182" s="113">
        <v>71</v>
      </c>
      <c r="AG182" s="432">
        <v>91.99</v>
      </c>
      <c r="AH182" s="432">
        <v>93.54</v>
      </c>
      <c r="AI182" s="432">
        <v>94.06</v>
      </c>
      <c r="AJ182" s="426"/>
      <c r="AK182" s="426"/>
      <c r="AL182" s="426"/>
      <c r="AM182" s="426"/>
      <c r="AN182" s="426"/>
      <c r="AO182" s="426"/>
      <c r="AP182" s="113">
        <v>71</v>
      </c>
      <c r="AQ182" s="432">
        <v>94.22</v>
      </c>
      <c r="AR182" s="432">
        <v>95.85</v>
      </c>
      <c r="AS182" s="432">
        <v>96.38</v>
      </c>
      <c r="AT182" s="426"/>
      <c r="AU182" s="426"/>
      <c r="AV182" s="426"/>
      <c r="AW182" s="426"/>
      <c r="AX182" s="426"/>
    </row>
    <row r="183" spans="1:50" s="429" customFormat="1" x14ac:dyDescent="0.2">
      <c r="A183" s="426"/>
      <c r="B183" s="113">
        <v>72</v>
      </c>
      <c r="C183" s="432">
        <v>79.95</v>
      </c>
      <c r="D183" s="432">
        <v>81.13</v>
      </c>
      <c r="E183" s="432">
        <v>81.58</v>
      </c>
      <c r="F183" s="426"/>
      <c r="G183" s="426"/>
      <c r="H183" s="426"/>
      <c r="I183" s="426"/>
      <c r="J183" s="426"/>
      <c r="K183" s="426"/>
      <c r="L183" s="113">
        <v>72</v>
      </c>
      <c r="M183" s="432">
        <v>84.27</v>
      </c>
      <c r="N183" s="432">
        <v>85.59</v>
      </c>
      <c r="O183" s="432">
        <v>86.06</v>
      </c>
      <c r="P183" s="426"/>
      <c r="Q183" s="426"/>
      <c r="R183" s="426"/>
      <c r="S183" s="426"/>
      <c r="T183" s="426"/>
      <c r="U183" s="426"/>
      <c r="V183" s="113">
        <v>72</v>
      </c>
      <c r="W183" s="432">
        <v>87.78</v>
      </c>
      <c r="X183" s="432">
        <v>89.22</v>
      </c>
      <c r="Y183" s="432">
        <v>89.71</v>
      </c>
      <c r="Z183" s="426"/>
      <c r="AA183" s="426"/>
      <c r="AB183" s="426"/>
      <c r="AC183" s="426"/>
      <c r="AD183" s="426"/>
      <c r="AE183" s="426"/>
      <c r="AF183" s="113">
        <v>72</v>
      </c>
      <c r="AG183" s="432">
        <v>90.43</v>
      </c>
      <c r="AH183" s="432">
        <v>91.97</v>
      </c>
      <c r="AI183" s="432">
        <v>92.48</v>
      </c>
      <c r="AJ183" s="426"/>
      <c r="AK183" s="426"/>
      <c r="AL183" s="426"/>
      <c r="AM183" s="426"/>
      <c r="AN183" s="426"/>
      <c r="AO183" s="426"/>
      <c r="AP183" s="113">
        <v>72</v>
      </c>
      <c r="AQ183" s="432">
        <v>92.25</v>
      </c>
      <c r="AR183" s="432">
        <v>93.87</v>
      </c>
      <c r="AS183" s="432">
        <v>94.39</v>
      </c>
      <c r="AT183" s="426"/>
      <c r="AU183" s="426"/>
      <c r="AV183" s="426"/>
      <c r="AW183" s="426"/>
      <c r="AX183" s="426"/>
    </row>
    <row r="184" spans="1:50" s="429" customFormat="1" x14ac:dyDescent="0.2">
      <c r="A184" s="426"/>
      <c r="B184" s="113">
        <v>73</v>
      </c>
      <c r="C184" s="432">
        <v>79.349999999999994</v>
      </c>
      <c r="D184" s="432">
        <v>80.540000000000006</v>
      </c>
      <c r="E184" s="432">
        <v>80.989999999999995</v>
      </c>
      <c r="F184" s="426"/>
      <c r="G184" s="426"/>
      <c r="H184" s="426"/>
      <c r="I184" s="426"/>
      <c r="J184" s="426"/>
      <c r="K184" s="426"/>
      <c r="L184" s="113">
        <v>73</v>
      </c>
      <c r="M184" s="432">
        <v>83.35</v>
      </c>
      <c r="N184" s="432">
        <v>84.68</v>
      </c>
      <c r="O184" s="432">
        <v>85.15</v>
      </c>
      <c r="P184" s="426"/>
      <c r="Q184" s="426"/>
      <c r="R184" s="426"/>
      <c r="S184" s="426"/>
      <c r="T184" s="426"/>
      <c r="U184" s="426"/>
      <c r="V184" s="113">
        <v>73</v>
      </c>
      <c r="W184" s="432">
        <v>86.48</v>
      </c>
      <c r="X184" s="432">
        <v>87.92</v>
      </c>
      <c r="Y184" s="432">
        <v>88.41</v>
      </c>
      <c r="Z184" s="426"/>
      <c r="AA184" s="426"/>
      <c r="AB184" s="426"/>
      <c r="AC184" s="426"/>
      <c r="AD184" s="426"/>
      <c r="AE184" s="426"/>
      <c r="AF184" s="113">
        <v>73</v>
      </c>
      <c r="AG184" s="432">
        <v>88.73</v>
      </c>
      <c r="AH184" s="432">
        <v>90.26</v>
      </c>
      <c r="AI184" s="432">
        <v>90.76</v>
      </c>
      <c r="AJ184" s="426"/>
      <c r="AK184" s="426"/>
      <c r="AL184" s="426"/>
      <c r="AM184" s="426"/>
      <c r="AN184" s="426"/>
      <c r="AO184" s="426"/>
      <c r="AP184" s="113">
        <v>73</v>
      </c>
      <c r="AQ184" s="432">
        <v>90.18</v>
      </c>
      <c r="AR184" s="432">
        <v>91.77</v>
      </c>
      <c r="AS184" s="432">
        <v>92.29</v>
      </c>
      <c r="AT184" s="426"/>
      <c r="AU184" s="426"/>
      <c r="AV184" s="426"/>
      <c r="AW184" s="426"/>
      <c r="AX184" s="426"/>
    </row>
    <row r="185" spans="1:50" s="429" customFormat="1" x14ac:dyDescent="0.2">
      <c r="A185" s="426"/>
      <c r="B185" s="113">
        <v>74</v>
      </c>
      <c r="C185" s="432">
        <v>78.650000000000006</v>
      </c>
      <c r="D185" s="432">
        <v>79.849999999999994</v>
      </c>
      <c r="E185" s="432">
        <v>80.3</v>
      </c>
      <c r="F185" s="426"/>
      <c r="G185" s="426"/>
      <c r="H185" s="426"/>
      <c r="I185" s="426"/>
      <c r="J185" s="426"/>
      <c r="K185" s="426"/>
      <c r="L185" s="113">
        <v>74</v>
      </c>
      <c r="M185" s="432">
        <v>82.31</v>
      </c>
      <c r="N185" s="432">
        <v>83.64</v>
      </c>
      <c r="O185" s="432">
        <v>84.11</v>
      </c>
      <c r="P185" s="426"/>
      <c r="Q185" s="426"/>
      <c r="R185" s="426"/>
      <c r="S185" s="426"/>
      <c r="T185" s="426"/>
      <c r="U185" s="426"/>
      <c r="V185" s="113">
        <v>74</v>
      </c>
      <c r="W185" s="432">
        <v>85.05</v>
      </c>
      <c r="X185" s="432">
        <v>86.49</v>
      </c>
      <c r="Y185" s="432">
        <v>86.97</v>
      </c>
      <c r="Z185" s="426"/>
      <c r="AA185" s="426"/>
      <c r="AB185" s="426"/>
      <c r="AC185" s="426"/>
      <c r="AD185" s="426"/>
      <c r="AE185" s="426"/>
      <c r="AF185" s="113">
        <v>74</v>
      </c>
      <c r="AG185" s="432">
        <v>86.92</v>
      </c>
      <c r="AH185" s="432">
        <v>88.43</v>
      </c>
      <c r="AI185" s="432">
        <v>88.93</v>
      </c>
      <c r="AJ185" s="426"/>
      <c r="AK185" s="426"/>
      <c r="AL185" s="426"/>
      <c r="AM185" s="426"/>
      <c r="AN185" s="426"/>
      <c r="AO185" s="426"/>
      <c r="AP185" s="113">
        <v>74</v>
      </c>
      <c r="AQ185" s="432">
        <v>88</v>
      </c>
      <c r="AR185" s="432">
        <v>89.57</v>
      </c>
      <c r="AS185" s="432">
        <v>90.08</v>
      </c>
      <c r="AT185" s="426"/>
      <c r="AU185" s="426"/>
      <c r="AV185" s="426"/>
      <c r="AW185" s="426"/>
      <c r="AX185" s="426"/>
    </row>
    <row r="186" spans="1:50" s="429" customFormat="1" x14ac:dyDescent="0.2">
      <c r="A186" s="426"/>
      <c r="B186" s="113">
        <v>75</v>
      </c>
      <c r="C186" s="432">
        <v>77.84</v>
      </c>
      <c r="D186" s="432">
        <v>79.06</v>
      </c>
      <c r="E186" s="432">
        <v>79.5</v>
      </c>
      <c r="F186" s="426"/>
      <c r="G186" s="426"/>
      <c r="H186" s="426"/>
      <c r="I186" s="426"/>
      <c r="J186" s="426"/>
      <c r="K186" s="426"/>
      <c r="L186" s="113">
        <v>75</v>
      </c>
      <c r="M186" s="432">
        <v>81.150000000000006</v>
      </c>
      <c r="N186" s="432">
        <v>82.48</v>
      </c>
      <c r="O186" s="432">
        <v>82.95</v>
      </c>
      <c r="P186" s="426"/>
      <c r="Q186" s="426"/>
      <c r="R186" s="426"/>
      <c r="S186" s="426"/>
      <c r="T186" s="426"/>
      <c r="U186" s="426"/>
      <c r="V186" s="113">
        <v>75</v>
      </c>
      <c r="W186" s="432">
        <v>83.51</v>
      </c>
      <c r="X186" s="432">
        <v>84.93</v>
      </c>
      <c r="Y186" s="432">
        <v>85.41</v>
      </c>
      <c r="Z186" s="426"/>
      <c r="AA186" s="426"/>
      <c r="AB186" s="426"/>
      <c r="AC186" s="426"/>
      <c r="AD186" s="426"/>
      <c r="AE186" s="426"/>
      <c r="AF186" s="113">
        <v>75</v>
      </c>
      <c r="AG186" s="432">
        <v>84.99</v>
      </c>
      <c r="AH186" s="432">
        <v>86.49</v>
      </c>
      <c r="AI186" s="432">
        <v>86.98</v>
      </c>
      <c r="AJ186" s="426"/>
      <c r="AK186" s="426"/>
      <c r="AL186" s="426"/>
      <c r="AM186" s="426"/>
      <c r="AN186" s="426"/>
      <c r="AO186" s="426"/>
      <c r="AP186" s="113">
        <v>75</v>
      </c>
      <c r="AQ186" s="432">
        <v>85.73</v>
      </c>
      <c r="AR186" s="432">
        <v>87.29</v>
      </c>
      <c r="AS186" s="432">
        <v>87.78</v>
      </c>
      <c r="AT186" s="426"/>
      <c r="AU186" s="426"/>
      <c r="AV186" s="426"/>
      <c r="AW186" s="426"/>
      <c r="AX186" s="426"/>
    </row>
    <row r="187" spans="1:50" s="429" customFormat="1" x14ac:dyDescent="0.2">
      <c r="A187" s="426"/>
      <c r="B187" s="113">
        <v>76</v>
      </c>
      <c r="C187" s="432">
        <v>76.930000000000007</v>
      </c>
      <c r="D187" s="432">
        <v>78.150000000000006</v>
      </c>
      <c r="E187" s="432">
        <v>78.599999999999994</v>
      </c>
      <c r="F187" s="426"/>
      <c r="G187" s="426"/>
      <c r="H187" s="426"/>
      <c r="I187" s="426"/>
      <c r="J187" s="426"/>
      <c r="K187" s="426"/>
      <c r="L187" s="113">
        <v>76</v>
      </c>
      <c r="M187" s="432">
        <v>79.87</v>
      </c>
      <c r="N187" s="432">
        <v>81.2</v>
      </c>
      <c r="O187" s="432">
        <v>81.67</v>
      </c>
      <c r="P187" s="426"/>
      <c r="Q187" s="426"/>
      <c r="R187" s="426"/>
      <c r="S187" s="426"/>
      <c r="T187" s="426"/>
      <c r="U187" s="426"/>
      <c r="V187" s="113">
        <v>76</v>
      </c>
      <c r="W187" s="432">
        <v>81.849999999999994</v>
      </c>
      <c r="X187" s="432">
        <v>83.26</v>
      </c>
      <c r="Y187" s="432">
        <v>83.74</v>
      </c>
      <c r="Z187" s="426"/>
      <c r="AA187" s="426"/>
      <c r="AB187" s="426"/>
      <c r="AC187" s="426"/>
      <c r="AD187" s="426"/>
      <c r="AE187" s="426"/>
      <c r="AF187" s="113">
        <v>76</v>
      </c>
      <c r="AG187" s="432">
        <v>82.97</v>
      </c>
      <c r="AH187" s="432">
        <v>84.45</v>
      </c>
      <c r="AI187" s="432">
        <v>84.93</v>
      </c>
      <c r="AJ187" s="426"/>
      <c r="AK187" s="426"/>
      <c r="AL187" s="426"/>
      <c r="AM187" s="426"/>
      <c r="AN187" s="426"/>
      <c r="AO187" s="426"/>
      <c r="AP187" s="113">
        <v>76</v>
      </c>
      <c r="AQ187" s="432">
        <v>83.4</v>
      </c>
      <c r="AR187" s="432">
        <v>84.93</v>
      </c>
      <c r="AS187" s="432">
        <v>85.41</v>
      </c>
      <c r="AT187" s="426"/>
      <c r="AU187" s="426"/>
      <c r="AV187" s="426"/>
      <c r="AW187" s="426"/>
      <c r="AX187" s="426"/>
    </row>
    <row r="188" spans="1:50" s="429" customFormat="1" x14ac:dyDescent="0.2">
      <c r="A188" s="426"/>
      <c r="B188" s="113">
        <v>77</v>
      </c>
      <c r="C188" s="432">
        <v>75.91</v>
      </c>
      <c r="D188" s="432">
        <v>77.14</v>
      </c>
      <c r="E188" s="432">
        <v>77.59</v>
      </c>
      <c r="F188" s="426"/>
      <c r="G188" s="426"/>
      <c r="H188" s="426"/>
      <c r="I188" s="426"/>
      <c r="J188" s="426"/>
      <c r="K188" s="426"/>
      <c r="L188" s="113">
        <v>77</v>
      </c>
      <c r="M188" s="432">
        <v>78.48</v>
      </c>
      <c r="N188" s="432">
        <v>79.81</v>
      </c>
      <c r="O188" s="432">
        <v>80.27</v>
      </c>
      <c r="P188" s="426"/>
      <c r="Q188" s="426"/>
      <c r="R188" s="426"/>
      <c r="S188" s="426"/>
      <c r="T188" s="426"/>
      <c r="U188" s="426"/>
      <c r="V188" s="113">
        <v>77</v>
      </c>
      <c r="W188" s="432">
        <v>80.08</v>
      </c>
      <c r="X188" s="432">
        <v>81.489999999999995</v>
      </c>
      <c r="Y188" s="432">
        <v>81.96</v>
      </c>
      <c r="Z188" s="426"/>
      <c r="AA188" s="426"/>
      <c r="AB188" s="426"/>
      <c r="AC188" s="426"/>
      <c r="AD188" s="426"/>
      <c r="AE188" s="426"/>
      <c r="AF188" s="113">
        <v>77</v>
      </c>
      <c r="AG188" s="432">
        <v>80.86</v>
      </c>
      <c r="AH188" s="432">
        <v>82.33</v>
      </c>
      <c r="AI188" s="432">
        <v>82.8</v>
      </c>
      <c r="AJ188" s="426"/>
      <c r="AK188" s="426"/>
      <c r="AL188" s="426"/>
      <c r="AM188" s="426"/>
      <c r="AN188" s="426"/>
      <c r="AO188" s="426"/>
      <c r="AP188" s="113">
        <v>77</v>
      </c>
      <c r="AQ188" s="432">
        <v>81.010000000000005</v>
      </c>
      <c r="AR188" s="432">
        <v>82.52</v>
      </c>
      <c r="AS188" s="432">
        <v>82.99</v>
      </c>
      <c r="AT188" s="426"/>
      <c r="AU188" s="426"/>
      <c r="AV188" s="426"/>
      <c r="AW188" s="426"/>
      <c r="AX188" s="426"/>
    </row>
    <row r="189" spans="1:50" s="429" customFormat="1" x14ac:dyDescent="0.2">
      <c r="A189" s="426"/>
      <c r="B189" s="113">
        <v>78</v>
      </c>
      <c r="C189" s="432">
        <v>74.790000000000006</v>
      </c>
      <c r="D189" s="432">
        <v>76.02</v>
      </c>
      <c r="E189" s="432">
        <v>76.47</v>
      </c>
      <c r="F189" s="426"/>
      <c r="G189" s="426"/>
      <c r="H189" s="426"/>
      <c r="I189" s="426"/>
      <c r="J189" s="426"/>
      <c r="K189" s="426"/>
      <c r="L189" s="113">
        <v>78</v>
      </c>
      <c r="M189" s="432">
        <v>76.98</v>
      </c>
      <c r="N189" s="432">
        <v>78.31</v>
      </c>
      <c r="O189" s="432">
        <v>78.760000000000005</v>
      </c>
      <c r="P189" s="426"/>
      <c r="Q189" s="426"/>
      <c r="R189" s="426"/>
      <c r="S189" s="426"/>
      <c r="T189" s="426"/>
      <c r="U189" s="426"/>
      <c r="V189" s="113">
        <v>78</v>
      </c>
      <c r="W189" s="432">
        <v>78.22</v>
      </c>
      <c r="X189" s="432">
        <v>79.61</v>
      </c>
      <c r="Y189" s="432">
        <v>80.08</v>
      </c>
      <c r="Z189" s="426"/>
      <c r="AA189" s="426"/>
      <c r="AB189" s="426"/>
      <c r="AC189" s="426"/>
      <c r="AD189" s="426"/>
      <c r="AE189" s="426"/>
      <c r="AF189" s="113">
        <v>78</v>
      </c>
      <c r="AG189" s="432">
        <v>78.680000000000007</v>
      </c>
      <c r="AH189" s="432">
        <v>80.13</v>
      </c>
      <c r="AI189" s="432">
        <v>80.599999999999994</v>
      </c>
      <c r="AJ189" s="426"/>
      <c r="AK189" s="426"/>
      <c r="AL189" s="426"/>
      <c r="AM189" s="426"/>
      <c r="AN189" s="426"/>
      <c r="AO189" s="426"/>
      <c r="AP189" s="113">
        <v>78</v>
      </c>
      <c r="AQ189" s="432">
        <v>78.58</v>
      </c>
      <c r="AR189" s="432">
        <v>80.06</v>
      </c>
      <c r="AS189" s="432">
        <v>80.53</v>
      </c>
      <c r="AT189" s="426"/>
      <c r="AU189" s="426"/>
      <c r="AV189" s="426"/>
      <c r="AW189" s="426"/>
      <c r="AX189" s="426"/>
    </row>
    <row r="190" spans="1:50" s="429" customFormat="1" x14ac:dyDescent="0.2">
      <c r="A190" s="426"/>
      <c r="B190" s="113">
        <v>79</v>
      </c>
      <c r="C190" s="432">
        <v>73.56</v>
      </c>
      <c r="D190" s="432">
        <v>74.790000000000006</v>
      </c>
      <c r="E190" s="432">
        <v>75.239999999999995</v>
      </c>
      <c r="F190" s="426"/>
      <c r="G190" s="426"/>
      <c r="H190" s="426"/>
      <c r="I190" s="426"/>
      <c r="J190" s="426"/>
      <c r="K190" s="426"/>
      <c r="L190" s="113">
        <v>79</v>
      </c>
      <c r="M190" s="432">
        <v>75.38</v>
      </c>
      <c r="N190" s="432">
        <v>76.7</v>
      </c>
      <c r="O190" s="432">
        <v>77.150000000000006</v>
      </c>
      <c r="P190" s="426"/>
      <c r="Q190" s="426"/>
      <c r="R190" s="426"/>
      <c r="S190" s="426"/>
      <c r="T190" s="426"/>
      <c r="U190" s="426"/>
      <c r="V190" s="113">
        <v>79</v>
      </c>
      <c r="W190" s="432">
        <v>76.27</v>
      </c>
      <c r="X190" s="432">
        <v>77.66</v>
      </c>
      <c r="Y190" s="432">
        <v>78.12</v>
      </c>
      <c r="Z190" s="426"/>
      <c r="AA190" s="426"/>
      <c r="AB190" s="426"/>
      <c r="AC190" s="426"/>
      <c r="AD190" s="426"/>
      <c r="AE190" s="426"/>
      <c r="AF190" s="113">
        <v>79</v>
      </c>
      <c r="AG190" s="432">
        <v>76.45</v>
      </c>
      <c r="AH190" s="432">
        <v>77.88</v>
      </c>
      <c r="AI190" s="432">
        <v>78.34</v>
      </c>
      <c r="AJ190" s="426"/>
      <c r="AK190" s="426"/>
      <c r="AL190" s="426"/>
      <c r="AM190" s="426"/>
      <c r="AN190" s="426"/>
      <c r="AO190" s="426"/>
      <c r="AP190" s="113">
        <v>79</v>
      </c>
      <c r="AQ190" s="432">
        <v>76.12</v>
      </c>
      <c r="AR190" s="432">
        <v>77.59</v>
      </c>
      <c r="AS190" s="432">
        <v>78.05</v>
      </c>
      <c r="AT190" s="426"/>
      <c r="AU190" s="426"/>
      <c r="AV190" s="426"/>
      <c r="AW190" s="426"/>
      <c r="AX190" s="426"/>
    </row>
    <row r="191" spans="1:50" s="429" customFormat="1" x14ac:dyDescent="0.2">
      <c r="A191" s="426"/>
      <c r="B191" s="113">
        <v>80</v>
      </c>
      <c r="C191" s="432">
        <v>72.23</v>
      </c>
      <c r="D191" s="432">
        <v>73.47</v>
      </c>
      <c r="E191" s="432">
        <v>73.91</v>
      </c>
      <c r="F191" s="426"/>
      <c r="G191" s="426"/>
      <c r="H191" s="426"/>
      <c r="I191" s="426"/>
      <c r="J191" s="426"/>
      <c r="K191" s="426"/>
      <c r="L191" s="113">
        <v>80</v>
      </c>
      <c r="M191" s="432">
        <v>73.680000000000007</v>
      </c>
      <c r="N191" s="432">
        <v>75</v>
      </c>
      <c r="O191" s="432">
        <v>75.45</v>
      </c>
      <c r="P191" s="426"/>
      <c r="Q191" s="426"/>
      <c r="R191" s="426"/>
      <c r="S191" s="426"/>
      <c r="T191" s="426"/>
      <c r="U191" s="426"/>
      <c r="V191" s="113">
        <v>80</v>
      </c>
      <c r="W191" s="432">
        <v>74.25</v>
      </c>
      <c r="X191" s="432">
        <v>75.62</v>
      </c>
      <c r="Y191" s="432">
        <v>76.08</v>
      </c>
      <c r="Z191" s="426"/>
      <c r="AA191" s="426"/>
      <c r="AB191" s="426"/>
      <c r="AC191" s="426"/>
      <c r="AD191" s="426"/>
      <c r="AE191" s="426"/>
      <c r="AF191" s="113">
        <v>80</v>
      </c>
      <c r="AG191" s="432">
        <v>74.17</v>
      </c>
      <c r="AH191" s="432">
        <v>75.58</v>
      </c>
      <c r="AI191" s="432">
        <v>76.03</v>
      </c>
      <c r="AJ191" s="426"/>
      <c r="AK191" s="426"/>
      <c r="AL191" s="426"/>
      <c r="AM191" s="426"/>
      <c r="AN191" s="426"/>
      <c r="AO191" s="426"/>
      <c r="AP191" s="113">
        <v>80</v>
      </c>
      <c r="AQ191" s="432">
        <v>73.650000000000006</v>
      </c>
      <c r="AR191" s="432">
        <v>75.099999999999994</v>
      </c>
      <c r="AS191" s="432">
        <v>75.55</v>
      </c>
      <c r="AT191" s="426"/>
      <c r="AU191" s="426"/>
      <c r="AV191" s="426"/>
      <c r="AW191" s="426"/>
      <c r="AX191" s="426"/>
    </row>
    <row r="192" spans="1:50" s="429" customFormat="1" x14ac:dyDescent="0.2">
      <c r="A192" s="426"/>
      <c r="B192" s="113">
        <v>81</v>
      </c>
      <c r="C192" s="432">
        <v>70.8</v>
      </c>
      <c r="D192" s="432">
        <v>72.040000000000006</v>
      </c>
      <c r="E192" s="432">
        <v>72.48</v>
      </c>
      <c r="F192" s="426"/>
      <c r="G192" s="426"/>
      <c r="H192" s="426"/>
      <c r="I192" s="426"/>
      <c r="J192" s="426"/>
      <c r="K192" s="426"/>
      <c r="L192" s="113">
        <v>81</v>
      </c>
      <c r="M192" s="432">
        <v>71.900000000000006</v>
      </c>
      <c r="N192" s="432">
        <v>73.209999999999994</v>
      </c>
      <c r="O192" s="432">
        <v>73.66</v>
      </c>
      <c r="P192" s="426"/>
      <c r="Q192" s="426"/>
      <c r="R192" s="426"/>
      <c r="S192" s="426"/>
      <c r="T192" s="426"/>
      <c r="U192" s="426"/>
      <c r="V192" s="113">
        <v>81</v>
      </c>
      <c r="W192" s="432">
        <v>72.17</v>
      </c>
      <c r="X192" s="432">
        <v>73.53</v>
      </c>
      <c r="Y192" s="432">
        <v>73.98</v>
      </c>
      <c r="Z192" s="426"/>
      <c r="AA192" s="426"/>
      <c r="AB192" s="426"/>
      <c r="AC192" s="426"/>
      <c r="AD192" s="426"/>
      <c r="AE192" s="426"/>
      <c r="AF192" s="113">
        <v>81</v>
      </c>
      <c r="AG192" s="432">
        <v>71.849999999999994</v>
      </c>
      <c r="AH192" s="432">
        <v>73.25</v>
      </c>
      <c r="AI192" s="432">
        <v>73.7</v>
      </c>
      <c r="AJ192" s="426"/>
      <c r="AK192" s="426"/>
      <c r="AL192" s="426"/>
      <c r="AM192" s="426"/>
      <c r="AN192" s="426"/>
      <c r="AO192" s="426"/>
      <c r="AP192" s="113">
        <v>81</v>
      </c>
      <c r="AQ192" s="432">
        <v>71.19</v>
      </c>
      <c r="AR192" s="432">
        <v>72.61</v>
      </c>
      <c r="AS192" s="432">
        <v>73.05</v>
      </c>
      <c r="AT192" s="426"/>
      <c r="AU192" s="426"/>
      <c r="AV192" s="426"/>
      <c r="AW192" s="426"/>
      <c r="AX192" s="426"/>
    </row>
    <row r="193" spans="1:50" s="429" customFormat="1" x14ac:dyDescent="0.2">
      <c r="A193" s="426"/>
      <c r="B193" s="113">
        <v>82</v>
      </c>
      <c r="C193" s="432">
        <v>69.28</v>
      </c>
      <c r="D193" s="432">
        <v>70.52</v>
      </c>
      <c r="E193" s="432">
        <v>70.959999999999994</v>
      </c>
      <c r="F193" s="426"/>
      <c r="G193" s="426"/>
      <c r="H193" s="426"/>
      <c r="I193" s="426"/>
      <c r="J193" s="426"/>
      <c r="K193" s="426"/>
      <c r="L193" s="113">
        <v>82</v>
      </c>
      <c r="M193" s="432">
        <v>70.05</v>
      </c>
      <c r="N193" s="432">
        <v>71.349999999999994</v>
      </c>
      <c r="O193" s="432">
        <v>71.790000000000006</v>
      </c>
      <c r="P193" s="426"/>
      <c r="Q193" s="426"/>
      <c r="R193" s="426"/>
      <c r="S193" s="426"/>
      <c r="T193" s="426"/>
      <c r="U193" s="426"/>
      <c r="V193" s="113">
        <v>82</v>
      </c>
      <c r="W193" s="432">
        <v>70.040000000000006</v>
      </c>
      <c r="X193" s="432">
        <v>71.38</v>
      </c>
      <c r="Y193" s="432">
        <v>71.83</v>
      </c>
      <c r="Z193" s="426"/>
      <c r="AA193" s="426"/>
      <c r="AB193" s="426"/>
      <c r="AC193" s="426"/>
      <c r="AD193" s="426"/>
      <c r="AE193" s="426"/>
      <c r="AF193" s="113">
        <v>82</v>
      </c>
      <c r="AG193" s="432">
        <v>69.52</v>
      </c>
      <c r="AH193" s="432">
        <v>70.900000000000006</v>
      </c>
      <c r="AI193" s="432">
        <v>71.349999999999994</v>
      </c>
      <c r="AJ193" s="426"/>
      <c r="AK193" s="426"/>
      <c r="AL193" s="426"/>
      <c r="AM193" s="426"/>
      <c r="AN193" s="426"/>
      <c r="AO193" s="426"/>
      <c r="AP193" s="113">
        <v>82</v>
      </c>
      <c r="AQ193" s="432">
        <v>68.73</v>
      </c>
      <c r="AR193" s="432">
        <v>70.13</v>
      </c>
      <c r="AS193" s="432">
        <v>70.569999999999993</v>
      </c>
      <c r="AT193" s="426"/>
      <c r="AU193" s="426"/>
      <c r="AV193" s="426"/>
      <c r="AW193" s="426"/>
      <c r="AX193" s="426"/>
    </row>
    <row r="194" spans="1:50" s="429" customFormat="1" x14ac:dyDescent="0.2">
      <c r="A194" s="426"/>
      <c r="B194" s="113">
        <v>83</v>
      </c>
      <c r="C194" s="432">
        <v>67.680000000000007</v>
      </c>
      <c r="D194" s="432">
        <v>68.91</v>
      </c>
      <c r="E194" s="432">
        <v>69.349999999999994</v>
      </c>
      <c r="F194" s="426"/>
      <c r="G194" s="426"/>
      <c r="H194" s="426"/>
      <c r="I194" s="426"/>
      <c r="J194" s="426"/>
      <c r="K194" s="426"/>
      <c r="L194" s="113">
        <v>83</v>
      </c>
      <c r="M194" s="432">
        <v>68.12</v>
      </c>
      <c r="N194" s="432">
        <v>69.41</v>
      </c>
      <c r="O194" s="432">
        <v>69.86</v>
      </c>
      <c r="P194" s="426"/>
      <c r="Q194" s="426"/>
      <c r="R194" s="426"/>
      <c r="S194" s="426"/>
      <c r="T194" s="426"/>
      <c r="U194" s="426"/>
      <c r="V194" s="113">
        <v>83</v>
      </c>
      <c r="W194" s="432">
        <v>67.87</v>
      </c>
      <c r="X194" s="432">
        <v>69.2</v>
      </c>
      <c r="Y194" s="432">
        <v>69.64</v>
      </c>
      <c r="Z194" s="426"/>
      <c r="AA194" s="426"/>
      <c r="AB194" s="426"/>
      <c r="AC194" s="426"/>
      <c r="AD194" s="426"/>
      <c r="AE194" s="426"/>
      <c r="AF194" s="113">
        <v>83</v>
      </c>
      <c r="AG194" s="432">
        <v>67.19</v>
      </c>
      <c r="AH194" s="432">
        <v>68.55</v>
      </c>
      <c r="AI194" s="432">
        <v>68.989999999999995</v>
      </c>
      <c r="AJ194" s="426"/>
      <c r="AK194" s="426"/>
      <c r="AL194" s="426"/>
      <c r="AM194" s="426"/>
      <c r="AN194" s="426"/>
      <c r="AO194" s="426"/>
      <c r="AP194" s="113">
        <v>83</v>
      </c>
      <c r="AQ194" s="432">
        <v>66.290000000000006</v>
      </c>
      <c r="AR194" s="432">
        <v>67.680000000000007</v>
      </c>
      <c r="AS194" s="432">
        <v>68.11</v>
      </c>
      <c r="AT194" s="426"/>
      <c r="AU194" s="426"/>
      <c r="AV194" s="426"/>
      <c r="AW194" s="426"/>
      <c r="AX194" s="426"/>
    </row>
    <row r="195" spans="1:50" s="429" customFormat="1" x14ac:dyDescent="0.2">
      <c r="A195" s="426"/>
      <c r="B195" s="113">
        <v>84</v>
      </c>
      <c r="C195" s="432">
        <v>65.989999999999995</v>
      </c>
      <c r="D195" s="432">
        <v>67.22</v>
      </c>
      <c r="E195" s="432">
        <v>67.66</v>
      </c>
      <c r="F195" s="426"/>
      <c r="G195" s="426"/>
      <c r="H195" s="426"/>
      <c r="I195" s="426"/>
      <c r="J195" s="426"/>
      <c r="K195" s="426"/>
      <c r="L195" s="113">
        <v>84</v>
      </c>
      <c r="M195" s="432">
        <v>66.14</v>
      </c>
      <c r="N195" s="432">
        <v>67.430000000000007</v>
      </c>
      <c r="O195" s="432">
        <v>67.86</v>
      </c>
      <c r="P195" s="426"/>
      <c r="Q195" s="426"/>
      <c r="R195" s="426"/>
      <c r="S195" s="426"/>
      <c r="T195" s="426"/>
      <c r="U195" s="426"/>
      <c r="V195" s="113">
        <v>84</v>
      </c>
      <c r="W195" s="432">
        <v>65.67</v>
      </c>
      <c r="X195" s="432">
        <v>66.989999999999995</v>
      </c>
      <c r="Y195" s="432">
        <v>67.430000000000007</v>
      </c>
      <c r="Z195" s="426"/>
      <c r="AA195" s="426"/>
      <c r="AB195" s="426"/>
      <c r="AC195" s="426"/>
      <c r="AD195" s="426"/>
      <c r="AE195" s="426"/>
      <c r="AF195" s="113">
        <v>84</v>
      </c>
      <c r="AG195" s="432">
        <v>64.849999999999994</v>
      </c>
      <c r="AH195" s="432">
        <v>66.2</v>
      </c>
      <c r="AI195" s="432">
        <v>66.63</v>
      </c>
      <c r="AJ195" s="426"/>
      <c r="AK195" s="426"/>
      <c r="AL195" s="426"/>
      <c r="AM195" s="426"/>
      <c r="AN195" s="426"/>
      <c r="AO195" s="426"/>
      <c r="AP195" s="113">
        <v>84</v>
      </c>
      <c r="AQ195" s="432">
        <v>63.89</v>
      </c>
      <c r="AR195" s="432">
        <v>65.25</v>
      </c>
      <c r="AS195" s="432">
        <v>65.680000000000007</v>
      </c>
      <c r="AT195" s="426"/>
      <c r="AU195" s="426"/>
      <c r="AV195" s="426"/>
      <c r="AW195" s="426"/>
      <c r="AX195" s="426"/>
    </row>
    <row r="196" spans="1:50" s="429" customFormat="1" x14ac:dyDescent="0.2">
      <c r="A196" s="426"/>
      <c r="B196" s="113">
        <v>85</v>
      </c>
      <c r="C196" s="432">
        <v>64.23</v>
      </c>
      <c r="D196" s="432">
        <v>65.459999999999994</v>
      </c>
      <c r="E196" s="432">
        <v>65.900000000000006</v>
      </c>
      <c r="F196" s="426"/>
      <c r="G196" s="426"/>
      <c r="H196" s="426"/>
      <c r="I196" s="426"/>
      <c r="J196" s="426"/>
      <c r="K196" s="426"/>
      <c r="L196" s="113">
        <v>85</v>
      </c>
      <c r="M196" s="432">
        <v>64.12</v>
      </c>
      <c r="N196" s="432">
        <v>65.39</v>
      </c>
      <c r="O196" s="432">
        <v>65.83</v>
      </c>
      <c r="P196" s="426"/>
      <c r="Q196" s="426"/>
      <c r="R196" s="426"/>
      <c r="S196" s="426"/>
      <c r="T196" s="426"/>
      <c r="U196" s="426"/>
      <c r="V196" s="113">
        <v>85</v>
      </c>
      <c r="W196" s="432">
        <v>63.46</v>
      </c>
      <c r="X196" s="432">
        <v>64.77</v>
      </c>
      <c r="Y196" s="432">
        <v>65.2</v>
      </c>
      <c r="Z196" s="426"/>
      <c r="AA196" s="426"/>
      <c r="AB196" s="426"/>
      <c r="AC196" s="426"/>
      <c r="AD196" s="426"/>
      <c r="AE196" s="426"/>
      <c r="AF196" s="113">
        <v>85</v>
      </c>
      <c r="AG196" s="432">
        <v>62.53</v>
      </c>
      <c r="AH196" s="432">
        <v>63.86</v>
      </c>
      <c r="AI196" s="432">
        <v>64.290000000000006</v>
      </c>
      <c r="AJ196" s="426"/>
      <c r="AK196" s="426"/>
      <c r="AL196" s="426"/>
      <c r="AM196" s="426"/>
      <c r="AN196" s="426"/>
      <c r="AO196" s="426"/>
      <c r="AP196" s="113">
        <v>85</v>
      </c>
      <c r="AQ196" s="432">
        <v>61.51</v>
      </c>
      <c r="AR196" s="432">
        <v>62.86</v>
      </c>
      <c r="AS196" s="432">
        <v>63.28</v>
      </c>
      <c r="AT196" s="426"/>
      <c r="AU196" s="426"/>
      <c r="AV196" s="426"/>
      <c r="AW196" s="426"/>
      <c r="AX196" s="426"/>
    </row>
    <row r="197" spans="1:50" s="429" customFormat="1" x14ac:dyDescent="0.2">
      <c r="A197" s="426"/>
      <c r="B197" s="113">
        <v>86</v>
      </c>
      <c r="C197" s="432">
        <v>62.41</v>
      </c>
      <c r="D197" s="432">
        <v>63.64</v>
      </c>
      <c r="E197" s="432">
        <v>64.069999999999993</v>
      </c>
      <c r="F197" s="426"/>
      <c r="G197" s="426"/>
      <c r="H197" s="426"/>
      <c r="I197" s="426"/>
      <c r="J197" s="426"/>
      <c r="K197" s="426"/>
      <c r="L197" s="113">
        <v>86</v>
      </c>
      <c r="M197" s="432">
        <v>62.05</v>
      </c>
      <c r="N197" s="432">
        <v>63.32</v>
      </c>
      <c r="O197" s="432">
        <v>63.75</v>
      </c>
      <c r="P197" s="426"/>
      <c r="Q197" s="426"/>
      <c r="R197" s="426"/>
      <c r="S197" s="426"/>
      <c r="T197" s="426"/>
      <c r="U197" s="426"/>
      <c r="V197" s="113">
        <v>86</v>
      </c>
      <c r="W197" s="432">
        <v>61.24</v>
      </c>
      <c r="X197" s="432">
        <v>62.54</v>
      </c>
      <c r="Y197" s="432">
        <v>62.96</v>
      </c>
      <c r="Z197" s="426"/>
      <c r="AA197" s="426"/>
      <c r="AB197" s="426"/>
      <c r="AC197" s="426"/>
      <c r="AD197" s="426"/>
      <c r="AE197" s="426"/>
      <c r="AF197" s="113">
        <v>86</v>
      </c>
      <c r="AG197" s="432">
        <v>60.23</v>
      </c>
      <c r="AH197" s="432">
        <v>61.55</v>
      </c>
      <c r="AI197" s="432">
        <v>61.97</v>
      </c>
      <c r="AJ197" s="426"/>
      <c r="AK197" s="426"/>
      <c r="AL197" s="426"/>
      <c r="AM197" s="426"/>
      <c r="AN197" s="426"/>
      <c r="AO197" s="426"/>
      <c r="AP197" s="113">
        <v>86</v>
      </c>
      <c r="AQ197" s="432">
        <v>59.18</v>
      </c>
      <c r="AR197" s="432">
        <v>60.52</v>
      </c>
      <c r="AS197" s="432">
        <v>60.93</v>
      </c>
      <c r="AT197" s="426"/>
      <c r="AU197" s="426"/>
      <c r="AV197" s="426"/>
      <c r="AW197" s="426"/>
      <c r="AX197" s="426"/>
    </row>
    <row r="198" spans="1:50" s="429" customFormat="1" x14ac:dyDescent="0.2">
      <c r="A198" s="426"/>
      <c r="B198" s="113">
        <v>87</v>
      </c>
      <c r="C198" s="432">
        <v>60.54</v>
      </c>
      <c r="D198" s="432">
        <v>61.76</v>
      </c>
      <c r="E198" s="432">
        <v>62.19</v>
      </c>
      <c r="F198" s="426"/>
      <c r="G198" s="426"/>
      <c r="H198" s="426"/>
      <c r="I198" s="426"/>
      <c r="J198" s="426"/>
      <c r="K198" s="426"/>
      <c r="L198" s="113">
        <v>87</v>
      </c>
      <c r="M198" s="432">
        <v>59.97</v>
      </c>
      <c r="N198" s="432">
        <v>61.23</v>
      </c>
      <c r="O198" s="432">
        <v>61.65</v>
      </c>
      <c r="P198" s="426"/>
      <c r="Q198" s="426"/>
      <c r="R198" s="426"/>
      <c r="S198" s="426"/>
      <c r="T198" s="426"/>
      <c r="U198" s="426"/>
      <c r="V198" s="113">
        <v>87</v>
      </c>
      <c r="W198" s="432">
        <v>59.02</v>
      </c>
      <c r="X198" s="432">
        <v>60.31</v>
      </c>
      <c r="Y198" s="432">
        <v>60.73</v>
      </c>
      <c r="Z198" s="426"/>
      <c r="AA198" s="426"/>
      <c r="AB198" s="426"/>
      <c r="AC198" s="426"/>
      <c r="AD198" s="426"/>
      <c r="AE198" s="426"/>
      <c r="AF198" s="113">
        <v>87</v>
      </c>
      <c r="AG198" s="432">
        <v>57.95</v>
      </c>
      <c r="AH198" s="432">
        <v>59.26</v>
      </c>
      <c r="AI198" s="432">
        <v>59.67</v>
      </c>
      <c r="AJ198" s="426"/>
      <c r="AK198" s="426"/>
      <c r="AL198" s="426"/>
      <c r="AM198" s="426"/>
      <c r="AN198" s="426"/>
      <c r="AO198" s="426"/>
      <c r="AP198" s="113">
        <v>87</v>
      </c>
      <c r="AQ198" s="432">
        <v>56.9</v>
      </c>
      <c r="AR198" s="432">
        <v>58.22</v>
      </c>
      <c r="AS198" s="432">
        <v>58.62</v>
      </c>
      <c r="AT198" s="426"/>
      <c r="AU198" s="426"/>
      <c r="AV198" s="426"/>
      <c r="AW198" s="426"/>
      <c r="AX198" s="426"/>
    </row>
    <row r="199" spans="1:50" s="429" customFormat="1" x14ac:dyDescent="0.2">
      <c r="A199" s="426"/>
      <c r="B199" s="113">
        <v>88</v>
      </c>
      <c r="C199" s="432">
        <v>58.62</v>
      </c>
      <c r="D199" s="432">
        <v>59.84</v>
      </c>
      <c r="E199" s="432">
        <v>60.27</v>
      </c>
      <c r="F199" s="426"/>
      <c r="G199" s="426"/>
      <c r="H199" s="426"/>
      <c r="I199" s="426"/>
      <c r="J199" s="426"/>
      <c r="K199" s="426"/>
      <c r="L199" s="113">
        <v>88</v>
      </c>
      <c r="M199" s="432">
        <v>57.86</v>
      </c>
      <c r="N199" s="432">
        <v>59.11</v>
      </c>
      <c r="O199" s="432">
        <v>59.54</v>
      </c>
      <c r="P199" s="426"/>
      <c r="Q199" s="426"/>
      <c r="R199" s="426"/>
      <c r="S199" s="426"/>
      <c r="T199" s="426"/>
      <c r="U199" s="426"/>
      <c r="V199" s="113">
        <v>88</v>
      </c>
      <c r="W199" s="432">
        <v>56.82</v>
      </c>
      <c r="X199" s="432">
        <v>58.09</v>
      </c>
      <c r="Y199" s="432">
        <v>58.51</v>
      </c>
      <c r="Z199" s="426"/>
      <c r="AA199" s="426"/>
      <c r="AB199" s="426"/>
      <c r="AC199" s="426"/>
      <c r="AD199" s="426"/>
      <c r="AE199" s="426"/>
      <c r="AF199" s="113">
        <v>88</v>
      </c>
      <c r="AG199" s="432">
        <v>55.71</v>
      </c>
      <c r="AH199" s="432">
        <v>57</v>
      </c>
      <c r="AI199" s="432">
        <v>57.41</v>
      </c>
      <c r="AJ199" s="426"/>
      <c r="AK199" s="426"/>
      <c r="AL199" s="426"/>
      <c r="AM199" s="426"/>
      <c r="AN199" s="426"/>
      <c r="AO199" s="426"/>
      <c r="AP199" s="113">
        <v>88</v>
      </c>
      <c r="AQ199" s="432">
        <v>54.66</v>
      </c>
      <c r="AR199" s="432">
        <v>55.97</v>
      </c>
      <c r="AS199" s="432">
        <v>56.37</v>
      </c>
      <c r="AT199" s="426"/>
      <c r="AU199" s="426"/>
      <c r="AV199" s="426"/>
      <c r="AW199" s="426"/>
      <c r="AX199" s="426"/>
    </row>
    <row r="200" spans="1:50" s="429" customFormat="1" x14ac:dyDescent="0.2">
      <c r="A200" s="426"/>
      <c r="B200" s="113">
        <v>89</v>
      </c>
      <c r="C200" s="432">
        <v>56.66</v>
      </c>
      <c r="D200" s="432">
        <v>57.87</v>
      </c>
      <c r="E200" s="432">
        <v>58.3</v>
      </c>
      <c r="F200" s="426"/>
      <c r="G200" s="426"/>
      <c r="H200" s="426"/>
      <c r="I200" s="426"/>
      <c r="J200" s="426"/>
      <c r="K200" s="426"/>
      <c r="L200" s="113">
        <v>89</v>
      </c>
      <c r="M200" s="432">
        <v>55.75</v>
      </c>
      <c r="N200" s="432">
        <v>56.99</v>
      </c>
      <c r="O200" s="432">
        <v>57.41</v>
      </c>
      <c r="P200" s="426"/>
      <c r="Q200" s="426"/>
      <c r="R200" s="426"/>
      <c r="S200" s="426"/>
      <c r="T200" s="426"/>
      <c r="U200" s="426"/>
      <c r="V200" s="113">
        <v>89</v>
      </c>
      <c r="W200" s="432">
        <v>54.63</v>
      </c>
      <c r="X200" s="432">
        <v>55.9</v>
      </c>
      <c r="Y200" s="432">
        <v>56.31</v>
      </c>
      <c r="Z200" s="426"/>
      <c r="AA200" s="426"/>
      <c r="AB200" s="426"/>
      <c r="AC200" s="426"/>
      <c r="AD200" s="426"/>
      <c r="AE200" s="426"/>
      <c r="AF200" s="113">
        <v>89</v>
      </c>
      <c r="AG200" s="432">
        <v>53.51</v>
      </c>
      <c r="AH200" s="432">
        <v>54.79</v>
      </c>
      <c r="AI200" s="432">
        <v>55.19</v>
      </c>
      <c r="AJ200" s="426"/>
      <c r="AK200" s="426"/>
      <c r="AL200" s="426"/>
      <c r="AM200" s="426"/>
      <c r="AN200" s="426"/>
      <c r="AO200" s="426"/>
      <c r="AP200" s="113">
        <v>89</v>
      </c>
      <c r="AQ200" s="432">
        <v>52.48</v>
      </c>
      <c r="AR200" s="432">
        <v>53.77</v>
      </c>
      <c r="AS200" s="432">
        <v>54.17</v>
      </c>
      <c r="AT200" s="426"/>
      <c r="AU200" s="426"/>
      <c r="AV200" s="426"/>
      <c r="AW200" s="426"/>
      <c r="AX200" s="426"/>
    </row>
    <row r="201" spans="1:50" s="429" customFormat="1" x14ac:dyDescent="0.2">
      <c r="A201" s="426"/>
      <c r="B201" s="113">
        <v>90</v>
      </c>
      <c r="C201" s="432">
        <v>54.67</v>
      </c>
      <c r="D201" s="432">
        <v>55.88</v>
      </c>
      <c r="E201" s="432">
        <v>56.31</v>
      </c>
      <c r="F201" s="426"/>
      <c r="G201" s="426"/>
      <c r="H201" s="426"/>
      <c r="I201" s="426"/>
      <c r="J201" s="426"/>
      <c r="K201" s="426"/>
      <c r="L201" s="113">
        <v>90</v>
      </c>
      <c r="M201" s="432">
        <v>53.63</v>
      </c>
      <c r="N201" s="432">
        <v>54.87</v>
      </c>
      <c r="O201" s="432">
        <v>55.29</v>
      </c>
      <c r="P201" s="426"/>
      <c r="Q201" s="426"/>
      <c r="R201" s="426"/>
      <c r="S201" s="426"/>
      <c r="T201" s="426"/>
      <c r="U201" s="426"/>
      <c r="V201" s="113">
        <v>90</v>
      </c>
      <c r="W201" s="432">
        <v>52.46</v>
      </c>
      <c r="X201" s="432">
        <v>53.72</v>
      </c>
      <c r="Y201" s="432">
        <v>54.13</v>
      </c>
      <c r="Z201" s="426"/>
      <c r="AA201" s="426"/>
      <c r="AB201" s="426"/>
      <c r="AC201" s="426"/>
      <c r="AD201" s="426"/>
      <c r="AE201" s="426"/>
      <c r="AF201" s="113">
        <v>90</v>
      </c>
      <c r="AG201" s="432">
        <v>51.34</v>
      </c>
      <c r="AH201" s="432">
        <v>52.61</v>
      </c>
      <c r="AI201" s="432">
        <v>53.01</v>
      </c>
      <c r="AJ201" s="426"/>
      <c r="AK201" s="426"/>
      <c r="AL201" s="426"/>
      <c r="AM201" s="426"/>
      <c r="AN201" s="426"/>
      <c r="AO201" s="426"/>
      <c r="AP201" s="113">
        <v>90</v>
      </c>
      <c r="AQ201" s="432">
        <v>50.34</v>
      </c>
      <c r="AR201" s="432">
        <v>51.62</v>
      </c>
      <c r="AS201" s="432">
        <v>52.02</v>
      </c>
      <c r="AT201" s="426"/>
      <c r="AU201" s="426"/>
      <c r="AV201" s="426"/>
      <c r="AW201" s="426"/>
      <c r="AX201" s="426"/>
    </row>
    <row r="202" spans="1:50" s="429" customFormat="1" x14ac:dyDescent="0.2">
      <c r="A202" s="426"/>
      <c r="B202" s="113">
        <v>91</v>
      </c>
      <c r="C202" s="432">
        <v>52.66</v>
      </c>
      <c r="D202" s="432">
        <v>53.87</v>
      </c>
      <c r="E202" s="432">
        <v>54.3</v>
      </c>
      <c r="F202" s="426"/>
      <c r="G202" s="426"/>
      <c r="H202" s="426"/>
      <c r="I202" s="426"/>
      <c r="J202" s="426"/>
      <c r="K202" s="426"/>
      <c r="L202" s="113">
        <v>91</v>
      </c>
      <c r="M202" s="432">
        <v>51.52</v>
      </c>
      <c r="N202" s="432">
        <v>52.75</v>
      </c>
      <c r="O202" s="432">
        <v>53.17</v>
      </c>
      <c r="P202" s="426"/>
      <c r="Q202" s="426"/>
      <c r="R202" s="426"/>
      <c r="S202" s="426"/>
      <c r="T202" s="426"/>
      <c r="U202" s="426"/>
      <c r="V202" s="113">
        <v>91</v>
      </c>
      <c r="W202" s="432">
        <v>50.33</v>
      </c>
      <c r="X202" s="432">
        <v>51.57</v>
      </c>
      <c r="Y202" s="432">
        <v>51.98</v>
      </c>
      <c r="Z202" s="426"/>
      <c r="AA202" s="426"/>
      <c r="AB202" s="426"/>
      <c r="AC202" s="426"/>
      <c r="AD202" s="426"/>
      <c r="AE202" s="426"/>
      <c r="AF202" s="113">
        <v>91</v>
      </c>
      <c r="AG202" s="432">
        <v>49.22</v>
      </c>
      <c r="AH202" s="432">
        <v>50.48</v>
      </c>
      <c r="AI202" s="432">
        <v>50.88</v>
      </c>
      <c r="AJ202" s="426"/>
      <c r="AK202" s="426"/>
      <c r="AL202" s="426"/>
      <c r="AM202" s="426"/>
      <c r="AN202" s="426"/>
      <c r="AO202" s="426"/>
      <c r="AP202" s="113">
        <v>91</v>
      </c>
      <c r="AQ202" s="432">
        <v>48.26</v>
      </c>
      <c r="AR202" s="432">
        <v>49.53</v>
      </c>
      <c r="AS202" s="432">
        <v>49.92</v>
      </c>
      <c r="AT202" s="426"/>
      <c r="AU202" s="426"/>
      <c r="AV202" s="426"/>
      <c r="AW202" s="426"/>
      <c r="AX202" s="426"/>
    </row>
    <row r="203" spans="1:50" s="429" customFormat="1" x14ac:dyDescent="0.2">
      <c r="A203" s="426"/>
      <c r="B203" s="113">
        <v>92</v>
      </c>
      <c r="C203" s="432">
        <v>50.64</v>
      </c>
      <c r="D203" s="432">
        <v>51.84</v>
      </c>
      <c r="E203" s="432">
        <v>52.27</v>
      </c>
      <c r="F203" s="426"/>
      <c r="G203" s="426"/>
      <c r="H203" s="426"/>
      <c r="I203" s="426"/>
      <c r="J203" s="426"/>
      <c r="K203" s="426"/>
      <c r="L203" s="113">
        <v>92</v>
      </c>
      <c r="M203" s="432">
        <v>49.42</v>
      </c>
      <c r="N203" s="432">
        <v>50.65</v>
      </c>
      <c r="O203" s="432">
        <v>51.06</v>
      </c>
      <c r="P203" s="426"/>
      <c r="Q203" s="426"/>
      <c r="R203" s="426"/>
      <c r="S203" s="426"/>
      <c r="T203" s="426"/>
      <c r="U203" s="426"/>
      <c r="V203" s="113">
        <v>92</v>
      </c>
      <c r="W203" s="432">
        <v>48.22</v>
      </c>
      <c r="X203" s="432">
        <v>49.46</v>
      </c>
      <c r="Y203" s="432">
        <v>49.86</v>
      </c>
      <c r="Z203" s="426"/>
      <c r="AA203" s="426"/>
      <c r="AB203" s="426"/>
      <c r="AC203" s="426"/>
      <c r="AD203" s="426"/>
      <c r="AE203" s="426"/>
      <c r="AF203" s="113">
        <v>92</v>
      </c>
      <c r="AG203" s="432">
        <v>47.14</v>
      </c>
      <c r="AH203" s="432">
        <v>48.39</v>
      </c>
      <c r="AI203" s="432">
        <v>48.79</v>
      </c>
      <c r="AJ203" s="426"/>
      <c r="AK203" s="426"/>
      <c r="AL203" s="426"/>
      <c r="AM203" s="426"/>
      <c r="AN203" s="426"/>
      <c r="AO203" s="426"/>
      <c r="AP203" s="113">
        <v>92</v>
      </c>
      <c r="AQ203" s="432">
        <v>46.14</v>
      </c>
      <c r="AR203" s="432">
        <v>47.39</v>
      </c>
      <c r="AS203" s="432">
        <v>47.78</v>
      </c>
      <c r="AT203" s="426"/>
      <c r="AU203" s="426"/>
      <c r="AV203" s="426"/>
      <c r="AW203" s="426"/>
      <c r="AX203" s="426"/>
    </row>
    <row r="204" spans="1:50" s="429" customFormat="1" x14ac:dyDescent="0.2">
      <c r="A204" s="426"/>
      <c r="B204" s="113">
        <v>93</v>
      </c>
      <c r="C204" s="432">
        <v>48.6</v>
      </c>
      <c r="D204" s="432">
        <v>49.81</v>
      </c>
      <c r="E204" s="432">
        <v>50.23</v>
      </c>
      <c r="F204" s="426"/>
      <c r="G204" s="426"/>
      <c r="H204" s="426"/>
      <c r="I204" s="426"/>
      <c r="J204" s="426"/>
      <c r="K204" s="426"/>
      <c r="L204" s="113">
        <v>93</v>
      </c>
      <c r="M204" s="432">
        <v>47.34</v>
      </c>
      <c r="N204" s="432">
        <v>48.56</v>
      </c>
      <c r="O204" s="432">
        <v>48.97</v>
      </c>
      <c r="P204" s="426"/>
      <c r="Q204" s="426"/>
      <c r="R204" s="426"/>
      <c r="S204" s="426"/>
      <c r="T204" s="426"/>
      <c r="U204" s="426"/>
      <c r="V204" s="113">
        <v>93</v>
      </c>
      <c r="W204" s="432">
        <v>46.14</v>
      </c>
      <c r="X204" s="432">
        <v>47.37</v>
      </c>
      <c r="Y204" s="432">
        <v>47.78</v>
      </c>
      <c r="Z204" s="426"/>
      <c r="AA204" s="426"/>
      <c r="AB204" s="426"/>
      <c r="AC204" s="426"/>
      <c r="AD204" s="426"/>
      <c r="AE204" s="426"/>
      <c r="AF204" s="113">
        <v>93</v>
      </c>
      <c r="AG204" s="432">
        <v>45.1</v>
      </c>
      <c r="AH204" s="432">
        <v>46.34</v>
      </c>
      <c r="AI204" s="432">
        <v>46.74</v>
      </c>
      <c r="AJ204" s="426"/>
      <c r="AK204" s="426"/>
      <c r="AL204" s="426"/>
      <c r="AM204" s="426"/>
      <c r="AN204" s="426"/>
      <c r="AO204" s="426"/>
      <c r="AP204" s="113">
        <v>93</v>
      </c>
      <c r="AQ204" s="432">
        <v>44.05</v>
      </c>
      <c r="AR204" s="432">
        <v>45.3</v>
      </c>
      <c r="AS204" s="432">
        <v>45.68</v>
      </c>
      <c r="AT204" s="426"/>
      <c r="AU204" s="426"/>
      <c r="AV204" s="426"/>
      <c r="AW204" s="426"/>
      <c r="AX204" s="426"/>
    </row>
    <row r="205" spans="1:50" s="429" customFormat="1" x14ac:dyDescent="0.2">
      <c r="A205" s="426"/>
      <c r="B205" s="113">
        <v>94</v>
      </c>
      <c r="C205" s="432">
        <v>46.56</v>
      </c>
      <c r="D205" s="432">
        <v>47.76</v>
      </c>
      <c r="E205" s="432">
        <v>48.19</v>
      </c>
      <c r="F205" s="426"/>
      <c r="G205" s="426"/>
      <c r="H205" s="426"/>
      <c r="I205" s="426"/>
      <c r="J205" s="426"/>
      <c r="K205" s="426"/>
      <c r="L205" s="113">
        <v>94</v>
      </c>
      <c r="M205" s="432">
        <v>45.27</v>
      </c>
      <c r="N205" s="432">
        <v>46.49</v>
      </c>
      <c r="O205" s="432">
        <v>46.9</v>
      </c>
      <c r="P205" s="426"/>
      <c r="Q205" s="426"/>
      <c r="R205" s="426"/>
      <c r="S205" s="426"/>
      <c r="T205" s="426"/>
      <c r="U205" s="426"/>
      <c r="V205" s="113">
        <v>94</v>
      </c>
      <c r="W205" s="432">
        <v>44.09</v>
      </c>
      <c r="X205" s="432">
        <v>45.32</v>
      </c>
      <c r="Y205" s="432">
        <v>45.72</v>
      </c>
      <c r="Z205" s="426"/>
      <c r="AA205" s="426"/>
      <c r="AB205" s="426"/>
      <c r="AC205" s="426"/>
      <c r="AD205" s="426"/>
      <c r="AE205" s="426"/>
      <c r="AF205" s="113">
        <v>94</v>
      </c>
      <c r="AG205" s="432">
        <v>42.98</v>
      </c>
      <c r="AH205" s="432">
        <v>44.22</v>
      </c>
      <c r="AI205" s="432">
        <v>44.61</v>
      </c>
      <c r="AJ205" s="426"/>
      <c r="AK205" s="426"/>
      <c r="AL205" s="426"/>
      <c r="AM205" s="426"/>
      <c r="AN205" s="426"/>
      <c r="AO205" s="426"/>
      <c r="AP205" s="113">
        <v>94</v>
      </c>
      <c r="AQ205" s="432">
        <v>42.01</v>
      </c>
      <c r="AR205" s="432">
        <v>43.25</v>
      </c>
      <c r="AS205" s="432">
        <v>43.63</v>
      </c>
      <c r="AT205" s="426"/>
      <c r="AU205" s="426"/>
      <c r="AV205" s="426"/>
      <c r="AW205" s="426"/>
      <c r="AX205" s="426"/>
    </row>
    <row r="206" spans="1:50" s="429" customFormat="1" x14ac:dyDescent="0.2">
      <c r="A206" s="426"/>
      <c r="B206" s="113">
        <v>95</v>
      </c>
      <c r="C206" s="432">
        <v>44.52</v>
      </c>
      <c r="D206" s="432">
        <v>45.72</v>
      </c>
      <c r="E206" s="432">
        <v>46.14</v>
      </c>
      <c r="F206" s="426"/>
      <c r="G206" s="426"/>
      <c r="H206" s="426"/>
      <c r="I206" s="426"/>
      <c r="J206" s="426"/>
      <c r="K206" s="426"/>
      <c r="L206" s="113">
        <v>95</v>
      </c>
      <c r="M206" s="432">
        <v>43.22</v>
      </c>
      <c r="N206" s="432">
        <v>44.43</v>
      </c>
      <c r="O206" s="432">
        <v>44.84</v>
      </c>
      <c r="P206" s="426"/>
      <c r="Q206" s="426"/>
      <c r="R206" s="426"/>
      <c r="S206" s="426"/>
      <c r="T206" s="426"/>
      <c r="U206" s="426"/>
      <c r="V206" s="113">
        <v>95</v>
      </c>
      <c r="W206" s="432">
        <v>42.07</v>
      </c>
      <c r="X206" s="432">
        <v>43.3</v>
      </c>
      <c r="Y206" s="432">
        <v>43.7</v>
      </c>
      <c r="Z206" s="426"/>
      <c r="AA206" s="426"/>
      <c r="AB206" s="426"/>
      <c r="AC206" s="426"/>
      <c r="AD206" s="426"/>
      <c r="AE206" s="426"/>
      <c r="AF206" s="113">
        <v>95</v>
      </c>
      <c r="AG206" s="432">
        <v>40.89</v>
      </c>
      <c r="AH206" s="432">
        <v>42.12</v>
      </c>
      <c r="AI206" s="432">
        <v>42.51</v>
      </c>
      <c r="AJ206" s="426"/>
      <c r="AK206" s="426"/>
      <c r="AL206" s="426"/>
      <c r="AM206" s="426"/>
      <c r="AN206" s="426"/>
      <c r="AO206" s="426"/>
      <c r="AP206" s="113">
        <v>95</v>
      </c>
      <c r="AQ206" s="432">
        <v>40</v>
      </c>
      <c r="AR206" s="432">
        <v>41.23</v>
      </c>
      <c r="AS206" s="432">
        <v>41.61</v>
      </c>
      <c r="AT206" s="426"/>
      <c r="AU206" s="426"/>
      <c r="AV206" s="426"/>
      <c r="AW206" s="426"/>
      <c r="AX206" s="426"/>
    </row>
    <row r="207" spans="1:50" s="429" customFormat="1" x14ac:dyDescent="0.2">
      <c r="A207" s="426"/>
      <c r="B207" s="113">
        <v>96</v>
      </c>
      <c r="C207" s="432">
        <v>42.47</v>
      </c>
      <c r="D207" s="432">
        <v>43.67</v>
      </c>
      <c r="E207" s="432">
        <v>44.09</v>
      </c>
      <c r="F207" s="426"/>
      <c r="G207" s="426"/>
      <c r="H207" s="426"/>
      <c r="I207" s="426"/>
      <c r="J207" s="426"/>
      <c r="K207" s="426"/>
      <c r="L207" s="113">
        <v>96</v>
      </c>
      <c r="M207" s="432">
        <v>41.18</v>
      </c>
      <c r="N207" s="432">
        <v>42.4</v>
      </c>
      <c r="O207" s="432">
        <v>42.8</v>
      </c>
      <c r="P207" s="426"/>
      <c r="Q207" s="426"/>
      <c r="R207" s="426"/>
      <c r="S207" s="426"/>
      <c r="T207" s="426"/>
      <c r="U207" s="426"/>
      <c r="V207" s="113">
        <v>96</v>
      </c>
      <c r="W207" s="432">
        <v>39.93</v>
      </c>
      <c r="X207" s="432">
        <v>41.15</v>
      </c>
      <c r="Y207" s="432">
        <v>41.54</v>
      </c>
      <c r="Z207" s="426"/>
      <c r="AA207" s="426"/>
      <c r="AB207" s="426"/>
      <c r="AC207" s="426"/>
      <c r="AD207" s="426"/>
      <c r="AE207" s="426"/>
      <c r="AF207" s="113">
        <v>96</v>
      </c>
      <c r="AG207" s="432">
        <v>38.82</v>
      </c>
      <c r="AH207" s="432">
        <v>40.04</v>
      </c>
      <c r="AI207" s="432">
        <v>40.43</v>
      </c>
      <c r="AJ207" s="426"/>
      <c r="AK207" s="426"/>
      <c r="AL207" s="426"/>
      <c r="AM207" s="426"/>
      <c r="AN207" s="426"/>
      <c r="AO207" s="426"/>
      <c r="AP207" s="113">
        <v>96</v>
      </c>
      <c r="AQ207" s="432">
        <v>38</v>
      </c>
      <c r="AR207" s="432">
        <v>39.229999999999997</v>
      </c>
      <c r="AS207" s="432">
        <v>39.6</v>
      </c>
      <c r="AT207" s="426"/>
      <c r="AU207" s="426"/>
      <c r="AV207" s="426"/>
      <c r="AW207" s="426"/>
      <c r="AX207" s="426"/>
    </row>
    <row r="208" spans="1:50" s="429" customFormat="1" x14ac:dyDescent="0.2">
      <c r="A208" s="426"/>
      <c r="B208" s="113">
        <v>97</v>
      </c>
      <c r="C208" s="432">
        <v>40.42</v>
      </c>
      <c r="D208" s="432">
        <v>41.62</v>
      </c>
      <c r="E208" s="432">
        <v>42.04</v>
      </c>
      <c r="F208" s="426"/>
      <c r="G208" s="426"/>
      <c r="H208" s="426"/>
      <c r="I208" s="426"/>
      <c r="J208" s="426"/>
      <c r="K208" s="426"/>
      <c r="L208" s="113">
        <v>97</v>
      </c>
      <c r="M208" s="432">
        <v>39.159999999999997</v>
      </c>
      <c r="N208" s="432">
        <v>40.369999999999997</v>
      </c>
      <c r="O208" s="432">
        <v>40.78</v>
      </c>
      <c r="P208" s="426"/>
      <c r="Q208" s="426"/>
      <c r="R208" s="426"/>
      <c r="S208" s="426"/>
      <c r="T208" s="426"/>
      <c r="U208" s="426"/>
      <c r="V208" s="113">
        <v>97</v>
      </c>
      <c r="W208" s="432">
        <v>37.78</v>
      </c>
      <c r="X208" s="432">
        <v>38.99</v>
      </c>
      <c r="Y208" s="432">
        <v>39.39</v>
      </c>
      <c r="Z208" s="426"/>
      <c r="AA208" s="426"/>
      <c r="AB208" s="426"/>
      <c r="AC208" s="426"/>
      <c r="AD208" s="426"/>
      <c r="AE208" s="426"/>
      <c r="AF208" s="113">
        <v>97</v>
      </c>
      <c r="AG208" s="432">
        <v>36.76</v>
      </c>
      <c r="AH208" s="432">
        <v>37.979999999999997</v>
      </c>
      <c r="AI208" s="432">
        <v>38.36</v>
      </c>
      <c r="AJ208" s="426"/>
      <c r="AK208" s="426"/>
      <c r="AL208" s="426"/>
      <c r="AM208" s="426"/>
      <c r="AN208" s="426"/>
      <c r="AO208" s="426"/>
      <c r="AP208" s="113">
        <v>97</v>
      </c>
      <c r="AQ208" s="432">
        <v>36.01</v>
      </c>
      <c r="AR208" s="432">
        <v>37.229999999999997</v>
      </c>
      <c r="AS208" s="432">
        <v>37.6</v>
      </c>
      <c r="AT208" s="426"/>
      <c r="AU208" s="426"/>
      <c r="AV208" s="426"/>
      <c r="AW208" s="426"/>
      <c r="AX208" s="426"/>
    </row>
    <row r="209" spans="1:50" s="429" customFormat="1" x14ac:dyDescent="0.2">
      <c r="A209" s="426"/>
      <c r="B209" s="113">
        <v>98</v>
      </c>
      <c r="C209" s="432">
        <v>38.36</v>
      </c>
      <c r="D209" s="432">
        <v>39.56</v>
      </c>
      <c r="E209" s="432">
        <v>39.979999999999997</v>
      </c>
      <c r="F209" s="426"/>
      <c r="G209" s="426"/>
      <c r="H209" s="426"/>
      <c r="I209" s="426"/>
      <c r="J209" s="426"/>
      <c r="K209" s="426"/>
      <c r="L209" s="113">
        <v>98</v>
      </c>
      <c r="M209" s="432">
        <v>36.909999999999997</v>
      </c>
      <c r="N209" s="432">
        <v>38.119999999999997</v>
      </c>
      <c r="O209" s="432">
        <v>38.53</v>
      </c>
      <c r="P209" s="426"/>
      <c r="Q209" s="426"/>
      <c r="R209" s="426"/>
      <c r="S209" s="426"/>
      <c r="T209" s="426"/>
      <c r="U209" s="426"/>
      <c r="V209" s="113">
        <v>98</v>
      </c>
      <c r="W209" s="432">
        <v>35.630000000000003</v>
      </c>
      <c r="X209" s="432">
        <v>36.83</v>
      </c>
      <c r="Y209" s="432">
        <v>37.22</v>
      </c>
      <c r="Z209" s="426"/>
      <c r="AA209" s="426"/>
      <c r="AB209" s="426"/>
      <c r="AC209" s="426"/>
      <c r="AD209" s="426"/>
      <c r="AE209" s="426"/>
      <c r="AF209" s="113">
        <v>98</v>
      </c>
      <c r="AG209" s="432">
        <v>34.69</v>
      </c>
      <c r="AH209" s="432">
        <v>35.9</v>
      </c>
      <c r="AI209" s="432">
        <v>36.28</v>
      </c>
      <c r="AJ209" s="426"/>
      <c r="AK209" s="426"/>
      <c r="AL209" s="426"/>
      <c r="AM209" s="426"/>
      <c r="AN209" s="426"/>
      <c r="AO209" s="426"/>
      <c r="AP209" s="113">
        <v>98</v>
      </c>
      <c r="AQ209" s="432">
        <v>34.01</v>
      </c>
      <c r="AR209" s="432">
        <v>35.21</v>
      </c>
      <c r="AS209" s="432">
        <v>35.590000000000003</v>
      </c>
      <c r="AT209" s="426"/>
      <c r="AU209" s="426"/>
      <c r="AV209" s="426"/>
      <c r="AW209" s="426"/>
      <c r="AX209" s="426"/>
    </row>
    <row r="210" spans="1:50" s="429" customFormat="1" x14ac:dyDescent="0.2">
      <c r="A210" s="426"/>
      <c r="B210" s="113">
        <v>99</v>
      </c>
      <c r="C210" s="432">
        <v>36.270000000000003</v>
      </c>
      <c r="D210" s="432">
        <v>37.479999999999997</v>
      </c>
      <c r="E210" s="432">
        <v>37.9</v>
      </c>
      <c r="F210" s="426"/>
      <c r="G210" s="426"/>
      <c r="H210" s="426"/>
      <c r="I210" s="426"/>
      <c r="J210" s="426"/>
      <c r="K210" s="426"/>
      <c r="L210" s="113">
        <v>99</v>
      </c>
      <c r="M210" s="432">
        <v>34.619999999999997</v>
      </c>
      <c r="N210" s="432">
        <v>35.82</v>
      </c>
      <c r="O210" s="432">
        <v>36.229999999999997</v>
      </c>
      <c r="P210" s="426"/>
      <c r="Q210" s="426"/>
      <c r="R210" s="426"/>
      <c r="S210" s="426"/>
      <c r="T210" s="426"/>
      <c r="U210" s="426"/>
      <c r="V210" s="113">
        <v>99</v>
      </c>
      <c r="W210" s="432">
        <v>33.44</v>
      </c>
      <c r="X210" s="432">
        <v>34.64</v>
      </c>
      <c r="Y210" s="432">
        <v>35.03</v>
      </c>
      <c r="Z210" s="426"/>
      <c r="AA210" s="426"/>
      <c r="AB210" s="426"/>
      <c r="AC210" s="426"/>
      <c r="AD210" s="426"/>
      <c r="AE210" s="426"/>
      <c r="AF210" s="113">
        <v>99</v>
      </c>
      <c r="AG210" s="432">
        <v>32.58</v>
      </c>
      <c r="AH210" s="432">
        <v>33.78</v>
      </c>
      <c r="AI210" s="432">
        <v>34.159999999999997</v>
      </c>
      <c r="AJ210" s="426"/>
      <c r="AK210" s="426"/>
      <c r="AL210" s="426"/>
      <c r="AM210" s="426"/>
      <c r="AN210" s="426"/>
      <c r="AO210" s="426"/>
      <c r="AP210" s="113">
        <v>99</v>
      </c>
      <c r="AQ210" s="432">
        <v>31.95</v>
      </c>
      <c r="AR210" s="432">
        <v>33.159999999999997</v>
      </c>
      <c r="AS210" s="432">
        <v>33.53</v>
      </c>
      <c r="AT210" s="426"/>
      <c r="AU210" s="426"/>
      <c r="AV210" s="426"/>
      <c r="AW210" s="426"/>
      <c r="AX210" s="426"/>
    </row>
    <row r="211" spans="1:50" s="429" customFormat="1" x14ac:dyDescent="0.2">
      <c r="A211" s="426"/>
      <c r="B211" s="113">
        <v>100</v>
      </c>
      <c r="C211" s="432">
        <v>33.81</v>
      </c>
      <c r="D211" s="432">
        <v>35.020000000000003</v>
      </c>
      <c r="E211" s="432">
        <v>35.44</v>
      </c>
      <c r="F211" s="426"/>
      <c r="G211" s="426"/>
      <c r="H211" s="426"/>
      <c r="I211" s="426"/>
      <c r="J211" s="426"/>
      <c r="K211" s="426"/>
      <c r="L211" s="113">
        <v>100</v>
      </c>
      <c r="M211" s="432">
        <v>32.270000000000003</v>
      </c>
      <c r="N211" s="432">
        <v>33.46</v>
      </c>
      <c r="O211" s="432">
        <v>33.86</v>
      </c>
      <c r="P211" s="426"/>
      <c r="Q211" s="426"/>
      <c r="R211" s="426"/>
      <c r="S211" s="426"/>
      <c r="T211" s="426"/>
      <c r="U211" s="426"/>
      <c r="V211" s="113">
        <v>100</v>
      </c>
      <c r="W211" s="432">
        <v>31.18</v>
      </c>
      <c r="X211" s="432">
        <v>32.369999999999997</v>
      </c>
      <c r="Y211" s="432">
        <v>32.76</v>
      </c>
      <c r="Z211" s="426"/>
      <c r="AA211" s="426"/>
      <c r="AB211" s="426"/>
      <c r="AC211" s="426"/>
      <c r="AD211" s="426"/>
      <c r="AE211" s="426"/>
      <c r="AF211" s="113">
        <v>100</v>
      </c>
      <c r="AG211" s="432">
        <v>30.39</v>
      </c>
      <c r="AH211" s="432">
        <v>31.59</v>
      </c>
      <c r="AI211" s="432">
        <v>31.97</v>
      </c>
      <c r="AJ211" s="426"/>
      <c r="AK211" s="426"/>
      <c r="AL211" s="426"/>
      <c r="AM211" s="426"/>
      <c r="AN211" s="426"/>
      <c r="AO211" s="426"/>
      <c r="AP211" s="113">
        <v>100</v>
      </c>
      <c r="AQ211" s="432">
        <v>29.82</v>
      </c>
      <c r="AR211" s="432">
        <v>31.01</v>
      </c>
      <c r="AS211" s="432">
        <v>31.38</v>
      </c>
      <c r="AT211" s="426"/>
      <c r="AU211" s="426"/>
      <c r="AV211" s="426"/>
      <c r="AW211" s="426"/>
      <c r="AX211" s="426"/>
    </row>
    <row r="215" spans="1:50" x14ac:dyDescent="0.2">
      <c r="B215" s="426" t="s">
        <v>296</v>
      </c>
    </row>
    <row r="217" spans="1:50" x14ac:dyDescent="0.2">
      <c r="B217" s="426" t="s">
        <v>301</v>
      </c>
      <c r="L217" s="426" t="s">
        <v>302</v>
      </c>
      <c r="V217" s="426" t="s">
        <v>303</v>
      </c>
      <c r="AF217" s="426" t="s">
        <v>304</v>
      </c>
    </row>
    <row r="218" spans="1:50" ht="13.7" customHeight="1" x14ac:dyDescent="0.2">
      <c r="B218" s="544" t="s">
        <v>342</v>
      </c>
      <c r="C218" s="545"/>
      <c r="D218" s="545"/>
      <c r="E218" s="545"/>
      <c r="F218" s="542"/>
      <c r="G218" s="542"/>
      <c r="H218" s="542"/>
      <c r="I218" s="542"/>
      <c r="J218" s="543"/>
      <c r="L218" s="544" t="s">
        <v>343</v>
      </c>
      <c r="M218" s="545"/>
      <c r="N218" s="545"/>
      <c r="O218" s="545"/>
      <c r="P218" s="542"/>
      <c r="Q218" s="542"/>
      <c r="R218" s="542"/>
      <c r="S218" s="542"/>
      <c r="T218" s="543"/>
      <c r="V218" s="544" t="s">
        <v>344</v>
      </c>
      <c r="W218" s="545"/>
      <c r="X218" s="545"/>
      <c r="Y218" s="545"/>
      <c r="Z218" s="542"/>
      <c r="AA218" s="542"/>
      <c r="AB218" s="542"/>
      <c r="AC218" s="542"/>
      <c r="AD218" s="543"/>
      <c r="AF218" s="544" t="s">
        <v>345</v>
      </c>
      <c r="AG218" s="545"/>
      <c r="AH218" s="545"/>
      <c r="AI218" s="545"/>
      <c r="AJ218" s="542"/>
      <c r="AK218" s="542"/>
      <c r="AL218" s="542"/>
      <c r="AM218" s="542"/>
      <c r="AN218" s="543"/>
    </row>
    <row r="219" spans="1:50" ht="25.5" x14ac:dyDescent="0.2">
      <c r="B219" s="141" t="s">
        <v>1</v>
      </c>
      <c r="C219" s="141" t="s">
        <v>327</v>
      </c>
      <c r="D219" s="141" t="s">
        <v>328</v>
      </c>
      <c r="E219" s="141" t="s">
        <v>329</v>
      </c>
      <c r="F219" s="431"/>
      <c r="G219" s="141"/>
      <c r="H219" s="141"/>
      <c r="I219" s="141"/>
      <c r="J219" s="141"/>
      <c r="L219" s="141" t="s">
        <v>1</v>
      </c>
      <c r="M219" s="141" t="s">
        <v>327</v>
      </c>
      <c r="N219" s="141" t="s">
        <v>328</v>
      </c>
      <c r="O219" s="141" t="s">
        <v>329</v>
      </c>
      <c r="P219" s="431"/>
      <c r="Q219" s="141"/>
      <c r="R219" s="141"/>
      <c r="S219" s="141"/>
      <c r="T219" s="141"/>
      <c r="V219" s="141" t="s">
        <v>1</v>
      </c>
      <c r="W219" s="141" t="s">
        <v>327</v>
      </c>
      <c r="X219" s="141" t="s">
        <v>328</v>
      </c>
      <c r="Y219" s="141" t="s">
        <v>329</v>
      </c>
      <c r="Z219" s="431"/>
      <c r="AA219" s="141"/>
      <c r="AB219" s="141"/>
      <c r="AC219" s="141"/>
      <c r="AD219" s="141"/>
      <c r="AF219" s="141" t="s">
        <v>1</v>
      </c>
      <c r="AG219" s="141" t="s">
        <v>327</v>
      </c>
      <c r="AH219" s="141" t="s">
        <v>328</v>
      </c>
      <c r="AI219" s="141" t="s">
        <v>329</v>
      </c>
      <c r="AJ219" s="431"/>
      <c r="AK219" s="141"/>
      <c r="AL219" s="141"/>
      <c r="AM219" s="141"/>
      <c r="AN219" s="141"/>
    </row>
    <row r="220" spans="1:50" s="429" customFormat="1" x14ac:dyDescent="0.2">
      <c r="A220" s="426"/>
      <c r="B220" s="113">
        <v>0</v>
      </c>
      <c r="C220" s="432">
        <v>68.08</v>
      </c>
      <c r="D220" s="432">
        <v>68.650000000000006</v>
      </c>
      <c r="E220" s="432">
        <v>68.97</v>
      </c>
      <c r="F220" s="426"/>
      <c r="G220" s="426"/>
      <c r="H220" s="426"/>
      <c r="I220" s="426"/>
      <c r="J220" s="426"/>
      <c r="K220" s="426"/>
      <c r="L220" s="113">
        <v>0</v>
      </c>
      <c r="M220" s="432">
        <v>71.78</v>
      </c>
      <c r="N220" s="432">
        <v>72.42</v>
      </c>
      <c r="O220" s="432">
        <v>72.77</v>
      </c>
      <c r="P220" s="426"/>
      <c r="Q220" s="426"/>
      <c r="R220" s="426"/>
      <c r="S220" s="426"/>
      <c r="T220" s="426"/>
      <c r="U220" s="426"/>
      <c r="V220" s="113">
        <v>0</v>
      </c>
      <c r="W220" s="432">
        <v>75.64</v>
      </c>
      <c r="X220" s="432">
        <v>76.37</v>
      </c>
      <c r="Y220" s="432">
        <v>76.739999999999995</v>
      </c>
      <c r="Z220" s="426"/>
      <c r="AA220" s="426"/>
      <c r="AB220" s="426"/>
      <c r="AC220" s="426"/>
      <c r="AD220" s="426"/>
      <c r="AE220" s="426"/>
      <c r="AF220" s="113">
        <v>0</v>
      </c>
      <c r="AG220" s="432">
        <v>79.680000000000007</v>
      </c>
      <c r="AH220" s="432">
        <v>80.489999999999995</v>
      </c>
      <c r="AI220" s="432">
        <v>80.89</v>
      </c>
      <c r="AJ220" s="426"/>
      <c r="AK220" s="426"/>
      <c r="AL220" s="426"/>
      <c r="AM220" s="426"/>
      <c r="AN220" s="426"/>
    </row>
    <row r="221" spans="1:50" s="429" customFormat="1" x14ac:dyDescent="0.2">
      <c r="A221" s="433"/>
      <c r="B221" s="113">
        <v>1</v>
      </c>
      <c r="C221" s="432">
        <v>68.23</v>
      </c>
      <c r="D221" s="432">
        <v>68.8</v>
      </c>
      <c r="E221" s="432">
        <v>69.12</v>
      </c>
      <c r="F221" s="426"/>
      <c r="G221" s="426"/>
      <c r="H221" s="426"/>
      <c r="I221" s="426"/>
      <c r="J221" s="426"/>
      <c r="K221" s="433"/>
      <c r="L221" s="113">
        <v>1</v>
      </c>
      <c r="M221" s="432">
        <v>71.94</v>
      </c>
      <c r="N221" s="432">
        <v>72.599999999999994</v>
      </c>
      <c r="O221" s="432">
        <v>72.94</v>
      </c>
      <c r="P221" s="426"/>
      <c r="Q221" s="426"/>
      <c r="R221" s="426"/>
      <c r="S221" s="426"/>
      <c r="T221" s="426"/>
      <c r="U221" s="433"/>
      <c r="V221" s="113">
        <v>1</v>
      </c>
      <c r="W221" s="432">
        <v>75.83</v>
      </c>
      <c r="X221" s="432">
        <v>76.56</v>
      </c>
      <c r="Y221" s="432">
        <v>76.930000000000007</v>
      </c>
      <c r="Z221" s="426"/>
      <c r="AA221" s="426"/>
      <c r="AB221" s="426"/>
      <c r="AC221" s="426"/>
      <c r="AD221" s="426"/>
      <c r="AE221" s="433"/>
      <c r="AF221" s="113">
        <v>1</v>
      </c>
      <c r="AG221" s="432">
        <v>79.88</v>
      </c>
      <c r="AH221" s="432">
        <v>80.709999999999994</v>
      </c>
      <c r="AI221" s="432">
        <v>81.099999999999994</v>
      </c>
      <c r="AJ221" s="426"/>
      <c r="AK221" s="426"/>
      <c r="AL221" s="426"/>
      <c r="AM221" s="426"/>
      <c r="AN221" s="426"/>
    </row>
    <row r="222" spans="1:50" s="429" customFormat="1" x14ac:dyDescent="0.2">
      <c r="A222" s="433"/>
      <c r="B222" s="113">
        <v>2</v>
      </c>
      <c r="C222" s="432">
        <v>68.38</v>
      </c>
      <c r="D222" s="432">
        <v>68.959999999999994</v>
      </c>
      <c r="E222" s="432">
        <v>69.28</v>
      </c>
      <c r="F222" s="426"/>
      <c r="G222" s="426"/>
      <c r="H222" s="426"/>
      <c r="I222" s="426"/>
      <c r="J222" s="426"/>
      <c r="K222" s="433"/>
      <c r="L222" s="113">
        <v>2</v>
      </c>
      <c r="M222" s="432">
        <v>72.12</v>
      </c>
      <c r="N222" s="432">
        <v>72.77</v>
      </c>
      <c r="O222" s="432">
        <v>73.12</v>
      </c>
      <c r="P222" s="426"/>
      <c r="Q222" s="426"/>
      <c r="R222" s="426"/>
      <c r="S222" s="426"/>
      <c r="T222" s="426"/>
      <c r="U222" s="433"/>
      <c r="V222" s="113">
        <v>2</v>
      </c>
      <c r="W222" s="432">
        <v>76.02</v>
      </c>
      <c r="X222" s="432">
        <v>76.760000000000005</v>
      </c>
      <c r="Y222" s="432">
        <v>77.13</v>
      </c>
      <c r="Z222" s="426"/>
      <c r="AA222" s="426"/>
      <c r="AB222" s="426"/>
      <c r="AC222" s="426"/>
      <c r="AD222" s="426"/>
      <c r="AE222" s="433"/>
      <c r="AF222" s="113">
        <v>2</v>
      </c>
      <c r="AG222" s="432">
        <v>80.099999999999994</v>
      </c>
      <c r="AH222" s="432">
        <v>80.92</v>
      </c>
      <c r="AI222" s="432">
        <v>81.319999999999993</v>
      </c>
      <c r="AJ222" s="426"/>
      <c r="AK222" s="426"/>
      <c r="AL222" s="426"/>
      <c r="AM222" s="426"/>
      <c r="AN222" s="426"/>
    </row>
    <row r="223" spans="1:50" s="429" customFormat="1" x14ac:dyDescent="0.2">
      <c r="A223" s="433"/>
      <c r="B223" s="113">
        <v>3</v>
      </c>
      <c r="C223" s="432">
        <v>68.55</v>
      </c>
      <c r="D223" s="432">
        <v>69.13</v>
      </c>
      <c r="E223" s="432">
        <v>69.45</v>
      </c>
      <c r="F223" s="426"/>
      <c r="G223" s="426"/>
      <c r="H223" s="426"/>
      <c r="I223" s="426"/>
      <c r="J223" s="426"/>
      <c r="K223" s="433"/>
      <c r="L223" s="113">
        <v>3</v>
      </c>
      <c r="M223" s="432">
        <v>72.3</v>
      </c>
      <c r="N223" s="432">
        <v>72.959999999999994</v>
      </c>
      <c r="O223" s="432">
        <v>73.3</v>
      </c>
      <c r="P223" s="426"/>
      <c r="Q223" s="426"/>
      <c r="R223" s="426"/>
      <c r="S223" s="426"/>
      <c r="T223" s="426"/>
      <c r="U223" s="433"/>
      <c r="V223" s="113">
        <v>3</v>
      </c>
      <c r="W223" s="432">
        <v>76.22</v>
      </c>
      <c r="X223" s="432">
        <v>76.959999999999994</v>
      </c>
      <c r="Y223" s="432">
        <v>77.34</v>
      </c>
      <c r="Z223" s="426"/>
      <c r="AA223" s="426"/>
      <c r="AB223" s="426"/>
      <c r="AC223" s="426"/>
      <c r="AD223" s="426"/>
      <c r="AE223" s="433"/>
      <c r="AF223" s="113">
        <v>3</v>
      </c>
      <c r="AG223" s="432">
        <v>80.319999999999993</v>
      </c>
      <c r="AH223" s="432">
        <v>81.150000000000006</v>
      </c>
      <c r="AI223" s="432">
        <v>81.55</v>
      </c>
      <c r="AJ223" s="426"/>
      <c r="AK223" s="426"/>
      <c r="AL223" s="426"/>
      <c r="AM223" s="426"/>
      <c r="AN223" s="426"/>
    </row>
    <row r="224" spans="1:50" s="429" customFormat="1" x14ac:dyDescent="0.2">
      <c r="A224" s="433"/>
      <c r="B224" s="113">
        <v>4</v>
      </c>
      <c r="C224" s="432">
        <v>68.72</v>
      </c>
      <c r="D224" s="432">
        <v>69.3</v>
      </c>
      <c r="E224" s="432">
        <v>69.62</v>
      </c>
      <c r="F224" s="426"/>
      <c r="G224" s="426"/>
      <c r="H224" s="426"/>
      <c r="I224" s="426"/>
      <c r="J224" s="426"/>
      <c r="K224" s="433"/>
      <c r="L224" s="113">
        <v>4</v>
      </c>
      <c r="M224" s="432">
        <v>72.489999999999995</v>
      </c>
      <c r="N224" s="432">
        <v>73.150000000000006</v>
      </c>
      <c r="O224" s="432">
        <v>73.489999999999995</v>
      </c>
      <c r="P224" s="426"/>
      <c r="Q224" s="426"/>
      <c r="R224" s="426"/>
      <c r="S224" s="426"/>
      <c r="T224" s="426"/>
      <c r="U224" s="433"/>
      <c r="V224" s="113">
        <v>4</v>
      </c>
      <c r="W224" s="432">
        <v>76.430000000000007</v>
      </c>
      <c r="X224" s="432">
        <v>77.180000000000007</v>
      </c>
      <c r="Y224" s="432">
        <v>77.55</v>
      </c>
      <c r="Z224" s="426"/>
      <c r="AA224" s="426"/>
      <c r="AB224" s="426"/>
      <c r="AC224" s="426"/>
      <c r="AD224" s="426"/>
      <c r="AE224" s="433"/>
      <c r="AF224" s="113">
        <v>4</v>
      </c>
      <c r="AG224" s="432">
        <v>80.56</v>
      </c>
      <c r="AH224" s="432">
        <v>81.39</v>
      </c>
      <c r="AI224" s="432">
        <v>81.790000000000006</v>
      </c>
      <c r="AJ224" s="426"/>
      <c r="AK224" s="426"/>
      <c r="AL224" s="426"/>
      <c r="AM224" s="426"/>
      <c r="AN224" s="426"/>
    </row>
    <row r="225" spans="1:40" s="429" customFormat="1" x14ac:dyDescent="0.2">
      <c r="A225" s="433"/>
      <c r="B225" s="113">
        <v>5</v>
      </c>
      <c r="C225" s="432">
        <v>68.89</v>
      </c>
      <c r="D225" s="432">
        <v>69.48</v>
      </c>
      <c r="E225" s="432">
        <v>69.8</v>
      </c>
      <c r="F225" s="426"/>
      <c r="G225" s="426"/>
      <c r="H225" s="426"/>
      <c r="I225" s="426"/>
      <c r="J225" s="426"/>
      <c r="K225" s="433"/>
      <c r="L225" s="113">
        <v>5</v>
      </c>
      <c r="M225" s="432">
        <v>72.680000000000007</v>
      </c>
      <c r="N225" s="432">
        <v>73.349999999999994</v>
      </c>
      <c r="O225" s="432">
        <v>73.7</v>
      </c>
      <c r="P225" s="426"/>
      <c r="Q225" s="426"/>
      <c r="R225" s="426"/>
      <c r="S225" s="426"/>
      <c r="T225" s="426"/>
      <c r="U225" s="433"/>
      <c r="V225" s="113">
        <v>5</v>
      </c>
      <c r="W225" s="432">
        <v>76.650000000000006</v>
      </c>
      <c r="X225" s="432">
        <v>77.400000000000006</v>
      </c>
      <c r="Y225" s="432">
        <v>77.77</v>
      </c>
      <c r="Z225" s="426"/>
      <c r="AA225" s="426"/>
      <c r="AB225" s="426"/>
      <c r="AC225" s="426"/>
      <c r="AD225" s="426"/>
      <c r="AE225" s="433"/>
      <c r="AF225" s="113">
        <v>5</v>
      </c>
      <c r="AG225" s="432">
        <v>80.8</v>
      </c>
      <c r="AH225" s="432">
        <v>81.64</v>
      </c>
      <c r="AI225" s="432">
        <v>82.04</v>
      </c>
      <c r="AJ225" s="426"/>
      <c r="AK225" s="426"/>
      <c r="AL225" s="426"/>
      <c r="AM225" s="426"/>
      <c r="AN225" s="426"/>
    </row>
    <row r="226" spans="1:40" s="429" customFormat="1" x14ac:dyDescent="0.2">
      <c r="A226" s="433"/>
      <c r="B226" s="113">
        <v>6</v>
      </c>
      <c r="C226" s="432">
        <v>69.08</v>
      </c>
      <c r="D226" s="432">
        <v>69.66</v>
      </c>
      <c r="E226" s="432">
        <v>69.989999999999995</v>
      </c>
      <c r="F226" s="426"/>
      <c r="G226" s="426"/>
      <c r="H226" s="426"/>
      <c r="I226" s="426"/>
      <c r="J226" s="426"/>
      <c r="K226" s="433"/>
      <c r="L226" s="113">
        <v>6</v>
      </c>
      <c r="M226" s="432">
        <v>72.89</v>
      </c>
      <c r="N226" s="432">
        <v>73.56</v>
      </c>
      <c r="O226" s="432">
        <v>73.900000000000006</v>
      </c>
      <c r="P226" s="426"/>
      <c r="Q226" s="426"/>
      <c r="R226" s="426"/>
      <c r="S226" s="426"/>
      <c r="T226" s="426"/>
      <c r="U226" s="433"/>
      <c r="V226" s="113">
        <v>6</v>
      </c>
      <c r="W226" s="432">
        <v>76.88</v>
      </c>
      <c r="X226" s="432">
        <v>77.63</v>
      </c>
      <c r="Y226" s="432">
        <v>78.010000000000005</v>
      </c>
      <c r="Z226" s="426"/>
      <c r="AA226" s="426"/>
      <c r="AB226" s="426"/>
      <c r="AC226" s="426"/>
      <c r="AD226" s="426"/>
      <c r="AE226" s="433"/>
      <c r="AF226" s="113">
        <v>6</v>
      </c>
      <c r="AG226" s="432">
        <v>81.05</v>
      </c>
      <c r="AH226" s="432">
        <v>81.89</v>
      </c>
      <c r="AI226" s="432">
        <v>82.3</v>
      </c>
      <c r="AJ226" s="426"/>
      <c r="AK226" s="426"/>
      <c r="AL226" s="426"/>
      <c r="AM226" s="426"/>
      <c r="AN226" s="426"/>
    </row>
    <row r="227" spans="1:40" s="429" customFormat="1" x14ac:dyDescent="0.2">
      <c r="A227" s="433"/>
      <c r="B227" s="113">
        <v>7</v>
      </c>
      <c r="C227" s="432">
        <v>69.27</v>
      </c>
      <c r="D227" s="432">
        <v>69.86</v>
      </c>
      <c r="E227" s="432">
        <v>70.180000000000007</v>
      </c>
      <c r="F227" s="426"/>
      <c r="G227" s="426"/>
      <c r="H227" s="426"/>
      <c r="I227" s="426"/>
      <c r="J227" s="426"/>
      <c r="K227" s="433"/>
      <c r="L227" s="113">
        <v>7</v>
      </c>
      <c r="M227" s="432">
        <v>73.099999999999994</v>
      </c>
      <c r="N227" s="432">
        <v>73.77</v>
      </c>
      <c r="O227" s="432">
        <v>74.12</v>
      </c>
      <c r="P227" s="426"/>
      <c r="Q227" s="426"/>
      <c r="R227" s="426"/>
      <c r="S227" s="426"/>
      <c r="T227" s="426"/>
      <c r="U227" s="433"/>
      <c r="V227" s="113">
        <v>7</v>
      </c>
      <c r="W227" s="432">
        <v>77.11</v>
      </c>
      <c r="X227" s="432">
        <v>77.87</v>
      </c>
      <c r="Y227" s="432">
        <v>78.25</v>
      </c>
      <c r="Z227" s="426"/>
      <c r="AA227" s="426"/>
      <c r="AB227" s="426"/>
      <c r="AC227" s="426"/>
      <c r="AD227" s="426"/>
      <c r="AE227" s="433"/>
      <c r="AF227" s="113">
        <v>7</v>
      </c>
      <c r="AG227" s="432">
        <v>81.31</v>
      </c>
      <c r="AH227" s="432">
        <v>82.16</v>
      </c>
      <c r="AI227" s="432">
        <v>82.57</v>
      </c>
      <c r="AJ227" s="426"/>
      <c r="AK227" s="426"/>
      <c r="AL227" s="426"/>
      <c r="AM227" s="426"/>
      <c r="AN227" s="426"/>
    </row>
    <row r="228" spans="1:40" s="429" customFormat="1" x14ac:dyDescent="0.2">
      <c r="A228" s="433"/>
      <c r="B228" s="113">
        <v>8</v>
      </c>
      <c r="C228" s="432">
        <v>69.459999999999994</v>
      </c>
      <c r="D228" s="432">
        <v>70.06</v>
      </c>
      <c r="E228" s="432">
        <v>70.38</v>
      </c>
      <c r="F228" s="426"/>
      <c r="G228" s="426"/>
      <c r="H228" s="426"/>
      <c r="I228" s="426"/>
      <c r="J228" s="426"/>
      <c r="K228" s="433"/>
      <c r="L228" s="113">
        <v>8</v>
      </c>
      <c r="M228" s="432">
        <v>73.319999999999993</v>
      </c>
      <c r="N228" s="432">
        <v>74</v>
      </c>
      <c r="O228" s="432">
        <v>74.349999999999994</v>
      </c>
      <c r="P228" s="426"/>
      <c r="Q228" s="426"/>
      <c r="R228" s="426"/>
      <c r="S228" s="426"/>
      <c r="T228" s="426"/>
      <c r="U228" s="433"/>
      <c r="V228" s="113">
        <v>8</v>
      </c>
      <c r="W228" s="432">
        <v>77.36</v>
      </c>
      <c r="X228" s="432">
        <v>78.12</v>
      </c>
      <c r="Y228" s="432">
        <v>78.5</v>
      </c>
      <c r="Z228" s="426"/>
      <c r="AA228" s="426"/>
      <c r="AB228" s="426"/>
      <c r="AC228" s="426"/>
      <c r="AD228" s="426"/>
      <c r="AE228" s="433"/>
      <c r="AF228" s="113">
        <v>8</v>
      </c>
      <c r="AG228" s="432">
        <v>81.59</v>
      </c>
      <c r="AH228" s="432">
        <v>82.44</v>
      </c>
      <c r="AI228" s="432">
        <v>82.85</v>
      </c>
      <c r="AJ228" s="426"/>
      <c r="AK228" s="426"/>
      <c r="AL228" s="426"/>
      <c r="AM228" s="426"/>
      <c r="AN228" s="426"/>
    </row>
    <row r="229" spans="1:40" s="429" customFormat="1" x14ac:dyDescent="0.2">
      <c r="A229" s="433"/>
      <c r="B229" s="113">
        <v>9</v>
      </c>
      <c r="C229" s="432">
        <v>69.67</v>
      </c>
      <c r="D229" s="432">
        <v>70.27</v>
      </c>
      <c r="E229" s="432">
        <v>70.599999999999994</v>
      </c>
      <c r="F229" s="426"/>
      <c r="G229" s="426"/>
      <c r="H229" s="426"/>
      <c r="I229" s="426"/>
      <c r="J229" s="426"/>
      <c r="K229" s="433"/>
      <c r="L229" s="113">
        <v>9</v>
      </c>
      <c r="M229" s="432">
        <v>73.55</v>
      </c>
      <c r="N229" s="432">
        <v>74.23</v>
      </c>
      <c r="O229" s="432">
        <v>74.58</v>
      </c>
      <c r="P229" s="426"/>
      <c r="Q229" s="426"/>
      <c r="R229" s="426"/>
      <c r="S229" s="426"/>
      <c r="T229" s="426"/>
      <c r="U229" s="433"/>
      <c r="V229" s="113">
        <v>9</v>
      </c>
      <c r="W229" s="432">
        <v>77.62</v>
      </c>
      <c r="X229" s="432">
        <v>78.38</v>
      </c>
      <c r="Y229" s="432">
        <v>78.760000000000005</v>
      </c>
      <c r="Z229" s="426"/>
      <c r="AA229" s="426"/>
      <c r="AB229" s="426"/>
      <c r="AC229" s="426"/>
      <c r="AD229" s="426"/>
      <c r="AE229" s="433"/>
      <c r="AF229" s="113">
        <v>9</v>
      </c>
      <c r="AG229" s="432">
        <v>81.87</v>
      </c>
      <c r="AH229" s="432">
        <v>82.73</v>
      </c>
      <c r="AI229" s="432">
        <v>83.14</v>
      </c>
      <c r="AJ229" s="426"/>
      <c r="AK229" s="426"/>
      <c r="AL229" s="426"/>
      <c r="AM229" s="426"/>
      <c r="AN229" s="426"/>
    </row>
    <row r="230" spans="1:40" s="429" customFormat="1" x14ac:dyDescent="0.2">
      <c r="A230" s="433"/>
      <c r="B230" s="113">
        <v>10</v>
      </c>
      <c r="C230" s="432">
        <v>69.89</v>
      </c>
      <c r="D230" s="432">
        <v>70.489999999999995</v>
      </c>
      <c r="E230" s="432">
        <v>70.81</v>
      </c>
      <c r="F230" s="426"/>
      <c r="G230" s="426"/>
      <c r="H230" s="426"/>
      <c r="I230" s="426"/>
      <c r="J230" s="426"/>
      <c r="K230" s="433"/>
      <c r="L230" s="113">
        <v>10</v>
      </c>
      <c r="M230" s="432">
        <v>73.790000000000006</v>
      </c>
      <c r="N230" s="432">
        <v>74.47</v>
      </c>
      <c r="O230" s="432">
        <v>74.83</v>
      </c>
      <c r="P230" s="426"/>
      <c r="Q230" s="426"/>
      <c r="R230" s="426"/>
      <c r="S230" s="426"/>
      <c r="T230" s="426"/>
      <c r="U230" s="433"/>
      <c r="V230" s="113">
        <v>10</v>
      </c>
      <c r="W230" s="432">
        <v>77.88</v>
      </c>
      <c r="X230" s="432">
        <v>78.650000000000006</v>
      </c>
      <c r="Y230" s="432">
        <v>79.040000000000006</v>
      </c>
      <c r="Z230" s="426"/>
      <c r="AA230" s="426"/>
      <c r="AB230" s="426"/>
      <c r="AC230" s="426"/>
      <c r="AD230" s="426"/>
      <c r="AE230" s="433"/>
      <c r="AF230" s="113">
        <v>10</v>
      </c>
      <c r="AG230" s="432">
        <v>82.17</v>
      </c>
      <c r="AH230" s="432">
        <v>83.03</v>
      </c>
      <c r="AI230" s="432">
        <v>83.45</v>
      </c>
      <c r="AJ230" s="426"/>
      <c r="AK230" s="426"/>
      <c r="AL230" s="426"/>
      <c r="AM230" s="426"/>
      <c r="AN230" s="426"/>
    </row>
    <row r="231" spans="1:40" s="429" customFormat="1" x14ac:dyDescent="0.2">
      <c r="A231" s="433"/>
      <c r="B231" s="113">
        <v>11</v>
      </c>
      <c r="C231" s="432">
        <v>70.11</v>
      </c>
      <c r="D231" s="432">
        <v>70.72</v>
      </c>
      <c r="E231" s="432">
        <v>71.040000000000006</v>
      </c>
      <c r="F231" s="426"/>
      <c r="G231" s="426"/>
      <c r="H231" s="426"/>
      <c r="I231" s="426"/>
      <c r="J231" s="426"/>
      <c r="K231" s="433"/>
      <c r="L231" s="113">
        <v>11</v>
      </c>
      <c r="M231" s="432">
        <v>74.040000000000006</v>
      </c>
      <c r="N231" s="432">
        <v>74.73</v>
      </c>
      <c r="O231" s="432">
        <v>75.08</v>
      </c>
      <c r="P231" s="426"/>
      <c r="Q231" s="426"/>
      <c r="R231" s="426"/>
      <c r="S231" s="426"/>
      <c r="T231" s="426"/>
      <c r="U231" s="433"/>
      <c r="V231" s="113">
        <v>11</v>
      </c>
      <c r="W231" s="432">
        <v>78.16</v>
      </c>
      <c r="X231" s="432">
        <v>78.94</v>
      </c>
      <c r="Y231" s="432">
        <v>79.319999999999993</v>
      </c>
      <c r="Z231" s="426"/>
      <c r="AA231" s="426"/>
      <c r="AB231" s="426"/>
      <c r="AC231" s="426"/>
      <c r="AD231" s="426"/>
      <c r="AE231" s="433"/>
      <c r="AF231" s="113">
        <v>11</v>
      </c>
      <c r="AG231" s="432">
        <v>82.48</v>
      </c>
      <c r="AH231" s="432">
        <v>83.35</v>
      </c>
      <c r="AI231" s="432">
        <v>83.76</v>
      </c>
      <c r="AJ231" s="426"/>
      <c r="AK231" s="426"/>
      <c r="AL231" s="426"/>
      <c r="AM231" s="426"/>
      <c r="AN231" s="426"/>
    </row>
    <row r="232" spans="1:40" s="429" customFormat="1" x14ac:dyDescent="0.2">
      <c r="A232" s="433"/>
      <c r="B232" s="113">
        <v>12</v>
      </c>
      <c r="C232" s="432">
        <v>70.34</v>
      </c>
      <c r="D232" s="432">
        <v>70.95</v>
      </c>
      <c r="E232" s="432">
        <v>71.28</v>
      </c>
      <c r="F232" s="426"/>
      <c r="G232" s="426"/>
      <c r="H232" s="426"/>
      <c r="I232" s="426"/>
      <c r="J232" s="426"/>
      <c r="K232" s="433"/>
      <c r="L232" s="113">
        <v>12</v>
      </c>
      <c r="M232" s="432">
        <v>74.3</v>
      </c>
      <c r="N232" s="432">
        <v>74.989999999999995</v>
      </c>
      <c r="O232" s="432">
        <v>75.349999999999994</v>
      </c>
      <c r="P232" s="426"/>
      <c r="Q232" s="426"/>
      <c r="R232" s="426"/>
      <c r="S232" s="426"/>
      <c r="T232" s="426"/>
      <c r="U232" s="433"/>
      <c r="V232" s="113">
        <v>12</v>
      </c>
      <c r="W232" s="432">
        <v>78.45</v>
      </c>
      <c r="X232" s="432">
        <v>79.23</v>
      </c>
      <c r="Y232" s="432">
        <v>79.62</v>
      </c>
      <c r="Z232" s="426"/>
      <c r="AA232" s="426"/>
      <c r="AB232" s="426"/>
      <c r="AC232" s="426"/>
      <c r="AD232" s="426"/>
      <c r="AE232" s="433"/>
      <c r="AF232" s="113">
        <v>12</v>
      </c>
      <c r="AG232" s="432">
        <v>82.8</v>
      </c>
      <c r="AH232" s="432">
        <v>83.67</v>
      </c>
      <c r="AI232" s="432">
        <v>84.09</v>
      </c>
      <c r="AJ232" s="426"/>
      <c r="AK232" s="426"/>
      <c r="AL232" s="426"/>
      <c r="AM232" s="426"/>
      <c r="AN232" s="426"/>
    </row>
    <row r="233" spans="1:40" s="429" customFormat="1" x14ac:dyDescent="0.2">
      <c r="A233" s="433"/>
      <c r="B233" s="113">
        <v>13</v>
      </c>
      <c r="C233" s="432">
        <v>70.59</v>
      </c>
      <c r="D233" s="432">
        <v>71.2</v>
      </c>
      <c r="E233" s="432">
        <v>71.53</v>
      </c>
      <c r="F233" s="426"/>
      <c r="G233" s="426"/>
      <c r="H233" s="426"/>
      <c r="I233" s="426"/>
      <c r="J233" s="426"/>
      <c r="K233" s="433"/>
      <c r="L233" s="113">
        <v>13</v>
      </c>
      <c r="M233" s="432">
        <v>74.569999999999993</v>
      </c>
      <c r="N233" s="432">
        <v>75.27</v>
      </c>
      <c r="O233" s="432">
        <v>75.63</v>
      </c>
      <c r="P233" s="426"/>
      <c r="Q233" s="426"/>
      <c r="R233" s="426"/>
      <c r="S233" s="426"/>
      <c r="T233" s="426"/>
      <c r="U233" s="433"/>
      <c r="V233" s="113">
        <v>13</v>
      </c>
      <c r="W233" s="432">
        <v>78.75</v>
      </c>
      <c r="X233" s="432">
        <v>79.53</v>
      </c>
      <c r="Y233" s="432">
        <v>79.92</v>
      </c>
      <c r="Z233" s="426"/>
      <c r="AA233" s="426"/>
      <c r="AB233" s="426"/>
      <c r="AC233" s="426"/>
      <c r="AD233" s="426"/>
      <c r="AE233" s="433"/>
      <c r="AF233" s="113">
        <v>13</v>
      </c>
      <c r="AG233" s="432">
        <v>83.13</v>
      </c>
      <c r="AH233" s="432">
        <v>84.01</v>
      </c>
      <c r="AI233" s="432">
        <v>84.43</v>
      </c>
      <c r="AJ233" s="426"/>
      <c r="AK233" s="426"/>
      <c r="AL233" s="426"/>
      <c r="AM233" s="426"/>
      <c r="AN233" s="426"/>
    </row>
    <row r="234" spans="1:40" s="429" customFormat="1" x14ac:dyDescent="0.2">
      <c r="A234" s="433"/>
      <c r="B234" s="113">
        <v>14</v>
      </c>
      <c r="C234" s="432">
        <v>70.84</v>
      </c>
      <c r="D234" s="432">
        <v>71.459999999999994</v>
      </c>
      <c r="E234" s="432">
        <v>71.790000000000006</v>
      </c>
      <c r="F234" s="426"/>
      <c r="G234" s="426"/>
      <c r="H234" s="426"/>
      <c r="I234" s="426"/>
      <c r="J234" s="426"/>
      <c r="K234" s="433"/>
      <c r="L234" s="113">
        <v>14</v>
      </c>
      <c r="M234" s="432">
        <v>74.849999999999994</v>
      </c>
      <c r="N234" s="432">
        <v>75.55</v>
      </c>
      <c r="O234" s="432">
        <v>75.91</v>
      </c>
      <c r="P234" s="426"/>
      <c r="Q234" s="426"/>
      <c r="R234" s="426"/>
      <c r="S234" s="426"/>
      <c r="T234" s="426"/>
      <c r="U234" s="433"/>
      <c r="V234" s="113">
        <v>14</v>
      </c>
      <c r="W234" s="432">
        <v>79.06</v>
      </c>
      <c r="X234" s="432">
        <v>79.849999999999994</v>
      </c>
      <c r="Y234" s="432">
        <v>80.239999999999995</v>
      </c>
      <c r="Z234" s="426"/>
      <c r="AA234" s="426"/>
      <c r="AB234" s="426"/>
      <c r="AC234" s="426"/>
      <c r="AD234" s="426"/>
      <c r="AE234" s="433"/>
      <c r="AF234" s="113">
        <v>14</v>
      </c>
      <c r="AG234" s="432">
        <v>83.47</v>
      </c>
      <c r="AH234" s="432">
        <v>84.36</v>
      </c>
      <c r="AI234" s="432">
        <v>84.78</v>
      </c>
      <c r="AJ234" s="426"/>
      <c r="AK234" s="426"/>
      <c r="AL234" s="426"/>
      <c r="AM234" s="426"/>
      <c r="AN234" s="426"/>
    </row>
    <row r="235" spans="1:40" s="429" customFormat="1" x14ac:dyDescent="0.2">
      <c r="A235" s="433"/>
      <c r="B235" s="113">
        <v>15</v>
      </c>
      <c r="C235" s="432">
        <v>71.099999999999994</v>
      </c>
      <c r="D235" s="432">
        <v>71.72</v>
      </c>
      <c r="E235" s="432">
        <v>72.06</v>
      </c>
      <c r="F235" s="426"/>
      <c r="G235" s="426"/>
      <c r="H235" s="426"/>
      <c r="I235" s="426"/>
      <c r="J235" s="426"/>
      <c r="K235" s="433"/>
      <c r="L235" s="113">
        <v>15</v>
      </c>
      <c r="M235" s="432">
        <v>75.14</v>
      </c>
      <c r="N235" s="432">
        <v>75.849999999999994</v>
      </c>
      <c r="O235" s="432">
        <v>76.209999999999994</v>
      </c>
      <c r="P235" s="426"/>
      <c r="Q235" s="426"/>
      <c r="R235" s="426"/>
      <c r="S235" s="426"/>
      <c r="T235" s="426"/>
      <c r="U235" s="433"/>
      <c r="V235" s="113">
        <v>15</v>
      </c>
      <c r="W235" s="432">
        <v>79.38</v>
      </c>
      <c r="X235" s="432">
        <v>80.180000000000007</v>
      </c>
      <c r="Y235" s="432">
        <v>80.569999999999993</v>
      </c>
      <c r="Z235" s="426"/>
      <c r="AA235" s="426"/>
      <c r="AB235" s="426"/>
      <c r="AC235" s="426"/>
      <c r="AD235" s="426"/>
      <c r="AE235" s="433"/>
      <c r="AF235" s="113">
        <v>15</v>
      </c>
      <c r="AG235" s="432">
        <v>83.83</v>
      </c>
      <c r="AH235" s="432">
        <v>84.72</v>
      </c>
      <c r="AI235" s="432">
        <v>85.15</v>
      </c>
      <c r="AJ235" s="426"/>
      <c r="AK235" s="426"/>
      <c r="AL235" s="426"/>
      <c r="AM235" s="426"/>
      <c r="AN235" s="426"/>
    </row>
    <row r="236" spans="1:40" s="429" customFormat="1" x14ac:dyDescent="0.2">
      <c r="A236" s="433"/>
      <c r="B236" s="113">
        <v>16</v>
      </c>
      <c r="C236" s="432">
        <v>71.37</v>
      </c>
      <c r="D236" s="432">
        <v>72</v>
      </c>
      <c r="E236" s="432">
        <v>72.33</v>
      </c>
      <c r="F236" s="426"/>
      <c r="G236" s="426"/>
      <c r="H236" s="426"/>
      <c r="I236" s="426"/>
      <c r="J236" s="426"/>
      <c r="K236" s="433"/>
      <c r="L236" s="113">
        <v>16</v>
      </c>
      <c r="M236" s="432">
        <v>75.44</v>
      </c>
      <c r="N236" s="432">
        <v>76.150000000000006</v>
      </c>
      <c r="O236" s="432">
        <v>76.52</v>
      </c>
      <c r="P236" s="426"/>
      <c r="Q236" s="426"/>
      <c r="R236" s="426"/>
      <c r="S236" s="426"/>
      <c r="T236" s="426"/>
      <c r="U236" s="433"/>
      <c r="V236" s="113">
        <v>16</v>
      </c>
      <c r="W236" s="432">
        <v>79.72</v>
      </c>
      <c r="X236" s="432">
        <v>80.52</v>
      </c>
      <c r="Y236" s="432">
        <v>80.91</v>
      </c>
      <c r="Z236" s="426"/>
      <c r="AA236" s="426"/>
      <c r="AB236" s="426"/>
      <c r="AC236" s="426"/>
      <c r="AD236" s="426"/>
      <c r="AE236" s="433"/>
      <c r="AF236" s="113">
        <v>16</v>
      </c>
      <c r="AG236" s="432">
        <v>84.2</v>
      </c>
      <c r="AH236" s="432">
        <v>85.1</v>
      </c>
      <c r="AI236" s="432">
        <v>85.53</v>
      </c>
      <c r="AJ236" s="426"/>
      <c r="AK236" s="426"/>
      <c r="AL236" s="426"/>
      <c r="AM236" s="426"/>
      <c r="AN236" s="426"/>
    </row>
    <row r="237" spans="1:40" s="429" customFormat="1" x14ac:dyDescent="0.2">
      <c r="A237" s="433"/>
      <c r="B237" s="113">
        <v>17</v>
      </c>
      <c r="C237" s="432">
        <v>71.650000000000006</v>
      </c>
      <c r="D237" s="432">
        <v>72.28</v>
      </c>
      <c r="E237" s="432">
        <v>72.62</v>
      </c>
      <c r="F237" s="426"/>
      <c r="G237" s="426"/>
      <c r="H237" s="426"/>
      <c r="I237" s="426"/>
      <c r="J237" s="426"/>
      <c r="K237" s="433"/>
      <c r="L237" s="113">
        <v>17</v>
      </c>
      <c r="M237" s="432">
        <v>75.760000000000005</v>
      </c>
      <c r="N237" s="432">
        <v>76.47</v>
      </c>
      <c r="O237" s="432">
        <v>76.84</v>
      </c>
      <c r="P237" s="426"/>
      <c r="Q237" s="426"/>
      <c r="R237" s="426"/>
      <c r="S237" s="426"/>
      <c r="T237" s="426"/>
      <c r="U237" s="433"/>
      <c r="V237" s="113">
        <v>17</v>
      </c>
      <c r="W237" s="432">
        <v>80.06</v>
      </c>
      <c r="X237" s="432">
        <v>80.87</v>
      </c>
      <c r="Y237" s="432">
        <v>81.27</v>
      </c>
      <c r="Z237" s="426"/>
      <c r="AA237" s="426"/>
      <c r="AB237" s="426"/>
      <c r="AC237" s="426"/>
      <c r="AD237" s="426"/>
      <c r="AE237" s="433"/>
      <c r="AF237" s="113">
        <v>17</v>
      </c>
      <c r="AG237" s="432">
        <v>84.59</v>
      </c>
      <c r="AH237" s="432">
        <v>85.49</v>
      </c>
      <c r="AI237" s="432">
        <v>85.92</v>
      </c>
      <c r="AJ237" s="426"/>
      <c r="AK237" s="426"/>
      <c r="AL237" s="426"/>
      <c r="AM237" s="426"/>
      <c r="AN237" s="426"/>
    </row>
    <row r="238" spans="1:40" s="429" customFormat="1" x14ac:dyDescent="0.2">
      <c r="A238" s="433"/>
      <c r="B238" s="113">
        <v>18</v>
      </c>
      <c r="C238" s="432">
        <v>71.94</v>
      </c>
      <c r="D238" s="432">
        <v>72.58</v>
      </c>
      <c r="E238" s="432">
        <v>72.92</v>
      </c>
      <c r="F238" s="426"/>
      <c r="G238" s="426"/>
      <c r="H238" s="426"/>
      <c r="I238" s="426"/>
      <c r="J238" s="426"/>
      <c r="K238" s="433"/>
      <c r="L238" s="113">
        <v>18</v>
      </c>
      <c r="M238" s="432">
        <v>76.08</v>
      </c>
      <c r="N238" s="432">
        <v>76.8</v>
      </c>
      <c r="O238" s="432">
        <v>77.17</v>
      </c>
      <c r="P238" s="426"/>
      <c r="Q238" s="426"/>
      <c r="R238" s="426"/>
      <c r="S238" s="426"/>
      <c r="T238" s="426"/>
      <c r="U238" s="433"/>
      <c r="V238" s="113">
        <v>18</v>
      </c>
      <c r="W238" s="432">
        <v>80.430000000000007</v>
      </c>
      <c r="X238" s="432">
        <v>81.239999999999995</v>
      </c>
      <c r="Y238" s="432">
        <v>81.64</v>
      </c>
      <c r="Z238" s="426"/>
      <c r="AA238" s="426"/>
      <c r="AB238" s="426"/>
      <c r="AC238" s="426"/>
      <c r="AD238" s="426"/>
      <c r="AE238" s="433"/>
      <c r="AF238" s="113">
        <v>18</v>
      </c>
      <c r="AG238" s="432">
        <v>84.99</v>
      </c>
      <c r="AH238" s="432">
        <v>85.9</v>
      </c>
      <c r="AI238" s="432">
        <v>86.34</v>
      </c>
      <c r="AJ238" s="426"/>
      <c r="AK238" s="426"/>
      <c r="AL238" s="426"/>
      <c r="AM238" s="426"/>
      <c r="AN238" s="426"/>
    </row>
    <row r="239" spans="1:40" s="429" customFormat="1" x14ac:dyDescent="0.2">
      <c r="A239" s="433"/>
      <c r="B239" s="113">
        <v>19</v>
      </c>
      <c r="C239" s="432">
        <v>72.25</v>
      </c>
      <c r="D239" s="432">
        <v>72.89</v>
      </c>
      <c r="E239" s="432">
        <v>73.23</v>
      </c>
      <c r="F239" s="426"/>
      <c r="G239" s="426"/>
      <c r="H239" s="426"/>
      <c r="I239" s="426"/>
      <c r="J239" s="426"/>
      <c r="K239" s="433"/>
      <c r="L239" s="113">
        <v>19</v>
      </c>
      <c r="M239" s="432">
        <v>76.42</v>
      </c>
      <c r="N239" s="432">
        <v>77.150000000000006</v>
      </c>
      <c r="O239" s="432">
        <v>77.52</v>
      </c>
      <c r="P239" s="426"/>
      <c r="Q239" s="426"/>
      <c r="R239" s="426"/>
      <c r="S239" s="426"/>
      <c r="T239" s="426"/>
      <c r="U239" s="433"/>
      <c r="V239" s="113">
        <v>19</v>
      </c>
      <c r="W239" s="432">
        <v>80.8</v>
      </c>
      <c r="X239" s="432">
        <v>81.62</v>
      </c>
      <c r="Y239" s="432">
        <v>82.03</v>
      </c>
      <c r="Z239" s="426"/>
      <c r="AA239" s="426"/>
      <c r="AB239" s="426"/>
      <c r="AC239" s="426"/>
      <c r="AD239" s="426"/>
      <c r="AE239" s="433"/>
      <c r="AF239" s="113">
        <v>19</v>
      </c>
      <c r="AG239" s="432">
        <v>85.41</v>
      </c>
      <c r="AH239" s="432">
        <v>86.33</v>
      </c>
      <c r="AI239" s="432">
        <v>86.77</v>
      </c>
      <c r="AJ239" s="426"/>
      <c r="AK239" s="426"/>
      <c r="AL239" s="426"/>
      <c r="AM239" s="426"/>
      <c r="AN239" s="426"/>
    </row>
    <row r="240" spans="1:40" s="429" customFormat="1" x14ac:dyDescent="0.2">
      <c r="A240" s="433"/>
      <c r="B240" s="113">
        <v>20</v>
      </c>
      <c r="C240" s="432">
        <v>72.5</v>
      </c>
      <c r="D240" s="432">
        <v>73.17</v>
      </c>
      <c r="E240" s="432">
        <v>73.52</v>
      </c>
      <c r="F240" s="426"/>
      <c r="G240" s="426"/>
      <c r="H240" s="426"/>
      <c r="I240" s="426"/>
      <c r="J240" s="426"/>
      <c r="K240" s="433"/>
      <c r="L240" s="113">
        <v>20</v>
      </c>
      <c r="M240" s="432">
        <v>76.77</v>
      </c>
      <c r="N240" s="432">
        <v>77.510000000000005</v>
      </c>
      <c r="O240" s="432">
        <v>77.88</v>
      </c>
      <c r="P240" s="426"/>
      <c r="Q240" s="426"/>
      <c r="R240" s="426"/>
      <c r="S240" s="426"/>
      <c r="T240" s="426"/>
      <c r="U240" s="433"/>
      <c r="V240" s="113">
        <v>20</v>
      </c>
      <c r="W240" s="432">
        <v>81.2</v>
      </c>
      <c r="X240" s="432">
        <v>82.03</v>
      </c>
      <c r="Y240" s="432">
        <v>82.43</v>
      </c>
      <c r="Z240" s="426"/>
      <c r="AA240" s="426"/>
      <c r="AB240" s="426"/>
      <c r="AC240" s="426"/>
      <c r="AD240" s="426"/>
      <c r="AE240" s="433"/>
      <c r="AF240" s="113">
        <v>20</v>
      </c>
      <c r="AG240" s="432">
        <v>85.86</v>
      </c>
      <c r="AH240" s="432">
        <v>86.78</v>
      </c>
      <c r="AI240" s="432">
        <v>87.22</v>
      </c>
      <c r="AJ240" s="426"/>
      <c r="AK240" s="426"/>
      <c r="AL240" s="426"/>
      <c r="AM240" s="426"/>
      <c r="AN240" s="426"/>
    </row>
    <row r="241" spans="1:40" s="429" customFormat="1" x14ac:dyDescent="0.2">
      <c r="A241" s="433"/>
      <c r="B241" s="113">
        <v>21</v>
      </c>
      <c r="C241" s="432">
        <v>72.680000000000007</v>
      </c>
      <c r="D241" s="432">
        <v>73.349999999999994</v>
      </c>
      <c r="E241" s="432">
        <v>73.7</v>
      </c>
      <c r="F241" s="426"/>
      <c r="G241" s="426"/>
      <c r="H241" s="426"/>
      <c r="I241" s="426"/>
      <c r="J241" s="426"/>
      <c r="K241" s="433"/>
      <c r="L241" s="113">
        <v>21</v>
      </c>
      <c r="M241" s="432">
        <v>77.08</v>
      </c>
      <c r="N241" s="432">
        <v>77.84</v>
      </c>
      <c r="O241" s="432">
        <v>78.22</v>
      </c>
      <c r="P241" s="426"/>
      <c r="Q241" s="426"/>
      <c r="R241" s="426"/>
      <c r="S241" s="426"/>
      <c r="T241" s="426"/>
      <c r="U241" s="433"/>
      <c r="V241" s="113">
        <v>21</v>
      </c>
      <c r="W241" s="432">
        <v>81.61</v>
      </c>
      <c r="X241" s="432">
        <v>82.45</v>
      </c>
      <c r="Y241" s="432">
        <v>82.86</v>
      </c>
      <c r="Z241" s="426"/>
      <c r="AA241" s="426"/>
      <c r="AB241" s="426"/>
      <c r="AC241" s="426"/>
      <c r="AD241" s="426"/>
      <c r="AE241" s="433"/>
      <c r="AF241" s="113">
        <v>21</v>
      </c>
      <c r="AG241" s="432">
        <v>86.32</v>
      </c>
      <c r="AH241" s="432">
        <v>87.26</v>
      </c>
      <c r="AI241" s="432">
        <v>87.7</v>
      </c>
      <c r="AJ241" s="426"/>
      <c r="AK241" s="426"/>
      <c r="AL241" s="426"/>
      <c r="AM241" s="426"/>
      <c r="AN241" s="426"/>
    </row>
    <row r="242" spans="1:40" s="429" customFormat="1" x14ac:dyDescent="0.2">
      <c r="A242" s="433"/>
      <c r="B242" s="113">
        <v>22</v>
      </c>
      <c r="C242" s="432">
        <v>72.87</v>
      </c>
      <c r="D242" s="432">
        <v>73.540000000000006</v>
      </c>
      <c r="E242" s="432">
        <v>73.89</v>
      </c>
      <c r="F242" s="426"/>
      <c r="G242" s="426"/>
      <c r="H242" s="426"/>
      <c r="I242" s="426"/>
      <c r="J242" s="426"/>
      <c r="K242" s="433"/>
      <c r="L242" s="113">
        <v>22</v>
      </c>
      <c r="M242" s="432">
        <v>77.290000000000006</v>
      </c>
      <c r="N242" s="432">
        <v>78.06</v>
      </c>
      <c r="O242" s="432">
        <v>78.44</v>
      </c>
      <c r="P242" s="426"/>
      <c r="Q242" s="426"/>
      <c r="R242" s="426"/>
      <c r="S242" s="426"/>
      <c r="T242" s="426"/>
      <c r="U242" s="433"/>
      <c r="V242" s="113">
        <v>22</v>
      </c>
      <c r="W242" s="432">
        <v>81.96</v>
      </c>
      <c r="X242" s="432">
        <v>82.83</v>
      </c>
      <c r="Y242" s="432">
        <v>83.25</v>
      </c>
      <c r="Z242" s="426"/>
      <c r="AA242" s="426"/>
      <c r="AB242" s="426"/>
      <c r="AC242" s="426"/>
      <c r="AD242" s="426"/>
      <c r="AE242" s="433"/>
      <c r="AF242" s="113">
        <v>22</v>
      </c>
      <c r="AG242" s="432">
        <v>86.8</v>
      </c>
      <c r="AH242" s="432">
        <v>87.75</v>
      </c>
      <c r="AI242" s="432">
        <v>88.19</v>
      </c>
      <c r="AJ242" s="426"/>
      <c r="AK242" s="426"/>
      <c r="AL242" s="426"/>
      <c r="AM242" s="426"/>
      <c r="AN242" s="426"/>
    </row>
    <row r="243" spans="1:40" s="429" customFormat="1" x14ac:dyDescent="0.2">
      <c r="A243" s="433"/>
      <c r="B243" s="113">
        <v>23</v>
      </c>
      <c r="C243" s="432">
        <v>73.06</v>
      </c>
      <c r="D243" s="432">
        <v>73.739999999999995</v>
      </c>
      <c r="E243" s="432">
        <v>74.09</v>
      </c>
      <c r="F243" s="426"/>
      <c r="G243" s="426"/>
      <c r="H243" s="426"/>
      <c r="I243" s="426"/>
      <c r="J243" s="426"/>
      <c r="K243" s="433"/>
      <c r="L243" s="113">
        <v>23</v>
      </c>
      <c r="M243" s="432">
        <v>77.52</v>
      </c>
      <c r="N243" s="432">
        <v>78.290000000000006</v>
      </c>
      <c r="O243" s="432">
        <v>78.680000000000007</v>
      </c>
      <c r="P243" s="426"/>
      <c r="Q243" s="426"/>
      <c r="R243" s="426"/>
      <c r="S243" s="426"/>
      <c r="T243" s="426"/>
      <c r="U243" s="433"/>
      <c r="V243" s="113">
        <v>23</v>
      </c>
      <c r="W243" s="432">
        <v>82.22</v>
      </c>
      <c r="X243" s="432">
        <v>83.1</v>
      </c>
      <c r="Y243" s="432">
        <v>83.52</v>
      </c>
      <c r="Z243" s="426"/>
      <c r="AA243" s="426"/>
      <c r="AB243" s="426"/>
      <c r="AC243" s="426"/>
      <c r="AD243" s="426"/>
      <c r="AE243" s="433"/>
      <c r="AF243" s="113">
        <v>23</v>
      </c>
      <c r="AG243" s="432">
        <v>87.18</v>
      </c>
      <c r="AH243" s="432">
        <v>88.17</v>
      </c>
      <c r="AI243" s="432">
        <v>88.62</v>
      </c>
      <c r="AJ243" s="426"/>
      <c r="AK243" s="426"/>
      <c r="AL243" s="426"/>
      <c r="AM243" s="426"/>
      <c r="AN243" s="426"/>
    </row>
    <row r="244" spans="1:40" s="429" customFormat="1" x14ac:dyDescent="0.2">
      <c r="A244" s="433"/>
      <c r="B244" s="113">
        <v>24</v>
      </c>
      <c r="C244" s="432">
        <v>73.260000000000005</v>
      </c>
      <c r="D244" s="432">
        <v>73.94</v>
      </c>
      <c r="E244" s="432">
        <v>74.3</v>
      </c>
      <c r="F244" s="426"/>
      <c r="G244" s="426"/>
      <c r="H244" s="426"/>
      <c r="I244" s="426"/>
      <c r="J244" s="426"/>
      <c r="K244" s="433"/>
      <c r="L244" s="113">
        <v>24</v>
      </c>
      <c r="M244" s="432">
        <v>77.75</v>
      </c>
      <c r="N244" s="432">
        <v>78.53</v>
      </c>
      <c r="O244" s="432">
        <v>78.92</v>
      </c>
      <c r="P244" s="426"/>
      <c r="Q244" s="426"/>
      <c r="R244" s="426"/>
      <c r="S244" s="426"/>
      <c r="T244" s="426"/>
      <c r="U244" s="433"/>
      <c r="V244" s="113">
        <v>24</v>
      </c>
      <c r="W244" s="432">
        <v>82.49</v>
      </c>
      <c r="X244" s="432">
        <v>83.38</v>
      </c>
      <c r="Y244" s="432">
        <v>83.8</v>
      </c>
      <c r="Z244" s="426"/>
      <c r="AA244" s="426"/>
      <c r="AB244" s="426"/>
      <c r="AC244" s="426"/>
      <c r="AD244" s="426"/>
      <c r="AE244" s="433"/>
      <c r="AF244" s="113">
        <v>24</v>
      </c>
      <c r="AG244" s="432">
        <v>87.49</v>
      </c>
      <c r="AH244" s="432">
        <v>88.49</v>
      </c>
      <c r="AI244" s="432">
        <v>88.94</v>
      </c>
      <c r="AJ244" s="426"/>
      <c r="AK244" s="426"/>
      <c r="AL244" s="426"/>
      <c r="AM244" s="426"/>
      <c r="AN244" s="426"/>
    </row>
    <row r="245" spans="1:40" s="429" customFormat="1" x14ac:dyDescent="0.2">
      <c r="A245" s="433"/>
      <c r="B245" s="113">
        <v>25</v>
      </c>
      <c r="C245" s="432">
        <v>73.459999999999994</v>
      </c>
      <c r="D245" s="432">
        <v>74.150000000000006</v>
      </c>
      <c r="E245" s="432">
        <v>74.510000000000005</v>
      </c>
      <c r="F245" s="426"/>
      <c r="G245" s="426"/>
      <c r="H245" s="426"/>
      <c r="I245" s="426"/>
      <c r="J245" s="426"/>
      <c r="K245" s="433"/>
      <c r="L245" s="113">
        <v>25</v>
      </c>
      <c r="M245" s="432">
        <v>77.989999999999995</v>
      </c>
      <c r="N245" s="432">
        <v>78.78</v>
      </c>
      <c r="O245" s="432">
        <v>79.17</v>
      </c>
      <c r="P245" s="426"/>
      <c r="Q245" s="426"/>
      <c r="R245" s="426"/>
      <c r="S245" s="426"/>
      <c r="T245" s="426"/>
      <c r="U245" s="433"/>
      <c r="V245" s="113">
        <v>25</v>
      </c>
      <c r="W245" s="432">
        <v>82.77</v>
      </c>
      <c r="X245" s="432">
        <v>83.66</v>
      </c>
      <c r="Y245" s="432">
        <v>84.08</v>
      </c>
      <c r="Z245" s="426"/>
      <c r="AA245" s="426"/>
      <c r="AB245" s="426"/>
      <c r="AC245" s="426"/>
      <c r="AD245" s="426"/>
      <c r="AE245" s="433"/>
      <c r="AF245" s="113">
        <v>25</v>
      </c>
      <c r="AG245" s="432">
        <v>87.81</v>
      </c>
      <c r="AH245" s="432">
        <v>88.82</v>
      </c>
      <c r="AI245" s="432">
        <v>89.27</v>
      </c>
      <c r="AJ245" s="426"/>
      <c r="AK245" s="426"/>
      <c r="AL245" s="426"/>
      <c r="AM245" s="426"/>
      <c r="AN245" s="426"/>
    </row>
    <row r="246" spans="1:40" s="429" customFormat="1" x14ac:dyDescent="0.2">
      <c r="A246" s="433"/>
      <c r="B246" s="113">
        <v>26</v>
      </c>
      <c r="C246" s="432">
        <v>73.680000000000007</v>
      </c>
      <c r="D246" s="432">
        <v>74.37</v>
      </c>
      <c r="E246" s="432">
        <v>74.73</v>
      </c>
      <c r="F246" s="426"/>
      <c r="G246" s="426"/>
      <c r="H246" s="426"/>
      <c r="I246" s="426"/>
      <c r="J246" s="426"/>
      <c r="K246" s="433"/>
      <c r="L246" s="113">
        <v>26</v>
      </c>
      <c r="M246" s="432">
        <v>78.239999999999995</v>
      </c>
      <c r="N246" s="432">
        <v>79.03</v>
      </c>
      <c r="O246" s="432">
        <v>79.42</v>
      </c>
      <c r="P246" s="426"/>
      <c r="Q246" s="426"/>
      <c r="R246" s="426"/>
      <c r="S246" s="426"/>
      <c r="T246" s="426"/>
      <c r="U246" s="433"/>
      <c r="V246" s="113">
        <v>26</v>
      </c>
      <c r="W246" s="432">
        <v>83.06</v>
      </c>
      <c r="X246" s="432">
        <v>83.96</v>
      </c>
      <c r="Y246" s="432">
        <v>84.38</v>
      </c>
      <c r="Z246" s="426"/>
      <c r="AA246" s="426"/>
      <c r="AB246" s="426"/>
      <c r="AC246" s="426"/>
      <c r="AD246" s="426"/>
      <c r="AE246" s="433"/>
      <c r="AF246" s="113">
        <v>26</v>
      </c>
      <c r="AG246" s="432">
        <v>88.14</v>
      </c>
      <c r="AH246" s="432">
        <v>89.16</v>
      </c>
      <c r="AI246" s="432">
        <v>89.62</v>
      </c>
      <c r="AJ246" s="426"/>
      <c r="AK246" s="426"/>
      <c r="AL246" s="426"/>
      <c r="AM246" s="426"/>
      <c r="AN246" s="426"/>
    </row>
    <row r="247" spans="1:40" s="429" customFormat="1" x14ac:dyDescent="0.2">
      <c r="A247" s="433"/>
      <c r="B247" s="113">
        <v>27</v>
      </c>
      <c r="C247" s="432">
        <v>73.900000000000006</v>
      </c>
      <c r="D247" s="432">
        <v>74.599999999999994</v>
      </c>
      <c r="E247" s="432">
        <v>74.959999999999994</v>
      </c>
      <c r="F247" s="426"/>
      <c r="G247" s="426"/>
      <c r="H247" s="426"/>
      <c r="I247" s="426"/>
      <c r="J247" s="426"/>
      <c r="K247" s="433"/>
      <c r="L247" s="113">
        <v>27</v>
      </c>
      <c r="M247" s="432">
        <v>78.5</v>
      </c>
      <c r="N247" s="432">
        <v>79.3</v>
      </c>
      <c r="O247" s="432">
        <v>79.69</v>
      </c>
      <c r="P247" s="426"/>
      <c r="Q247" s="426"/>
      <c r="R247" s="426"/>
      <c r="S247" s="426"/>
      <c r="T247" s="426"/>
      <c r="U247" s="433"/>
      <c r="V247" s="113">
        <v>27</v>
      </c>
      <c r="W247" s="432">
        <v>83.36</v>
      </c>
      <c r="X247" s="432">
        <v>84.27</v>
      </c>
      <c r="Y247" s="432">
        <v>84.69</v>
      </c>
      <c r="Z247" s="426"/>
      <c r="AA247" s="426"/>
      <c r="AB247" s="426"/>
      <c r="AC247" s="426"/>
      <c r="AD247" s="426"/>
      <c r="AE247" s="433"/>
      <c r="AF247" s="113">
        <v>27</v>
      </c>
      <c r="AG247" s="432">
        <v>88.49</v>
      </c>
      <c r="AH247" s="432">
        <v>89.51</v>
      </c>
      <c r="AI247" s="432">
        <v>89.97</v>
      </c>
      <c r="AJ247" s="426"/>
      <c r="AK247" s="426"/>
      <c r="AL247" s="426"/>
      <c r="AM247" s="426"/>
      <c r="AN247" s="426"/>
    </row>
    <row r="248" spans="1:40" s="429" customFormat="1" x14ac:dyDescent="0.2">
      <c r="A248" s="433"/>
      <c r="B248" s="113">
        <v>28</v>
      </c>
      <c r="C248" s="432">
        <v>74.12</v>
      </c>
      <c r="D248" s="432">
        <v>74.83</v>
      </c>
      <c r="E248" s="432">
        <v>75.19</v>
      </c>
      <c r="F248" s="426"/>
      <c r="G248" s="426"/>
      <c r="H248" s="426"/>
      <c r="I248" s="426"/>
      <c r="J248" s="426"/>
      <c r="K248" s="433"/>
      <c r="L248" s="113">
        <v>28</v>
      </c>
      <c r="M248" s="432">
        <v>78.760000000000005</v>
      </c>
      <c r="N248" s="432">
        <v>79.569999999999993</v>
      </c>
      <c r="O248" s="432">
        <v>79.959999999999994</v>
      </c>
      <c r="P248" s="426"/>
      <c r="Q248" s="426"/>
      <c r="R248" s="426"/>
      <c r="S248" s="426"/>
      <c r="T248" s="426"/>
      <c r="U248" s="433"/>
      <c r="V248" s="113">
        <v>28</v>
      </c>
      <c r="W248" s="432">
        <v>83.67</v>
      </c>
      <c r="X248" s="432">
        <v>84.58</v>
      </c>
      <c r="Y248" s="432">
        <v>85.01</v>
      </c>
      <c r="Z248" s="426"/>
      <c r="AA248" s="426"/>
      <c r="AB248" s="426"/>
      <c r="AC248" s="426"/>
      <c r="AD248" s="426"/>
      <c r="AE248" s="433"/>
      <c r="AF248" s="113">
        <v>28</v>
      </c>
      <c r="AG248" s="432">
        <v>88.84</v>
      </c>
      <c r="AH248" s="432">
        <v>89.87</v>
      </c>
      <c r="AI248" s="432">
        <v>90.34</v>
      </c>
      <c r="AJ248" s="426"/>
      <c r="AK248" s="426"/>
      <c r="AL248" s="426"/>
      <c r="AM248" s="426"/>
      <c r="AN248" s="426"/>
    </row>
    <row r="249" spans="1:40" s="429" customFormat="1" x14ac:dyDescent="0.2">
      <c r="A249" s="433"/>
      <c r="B249" s="113">
        <v>29</v>
      </c>
      <c r="C249" s="432">
        <v>74.36</v>
      </c>
      <c r="D249" s="432">
        <v>75.069999999999993</v>
      </c>
      <c r="E249" s="432">
        <v>75.430000000000007</v>
      </c>
      <c r="F249" s="426"/>
      <c r="G249" s="426"/>
      <c r="H249" s="426"/>
      <c r="I249" s="426"/>
      <c r="J249" s="426"/>
      <c r="K249" s="433"/>
      <c r="L249" s="113">
        <v>29</v>
      </c>
      <c r="M249" s="432">
        <v>79.040000000000006</v>
      </c>
      <c r="N249" s="432">
        <v>79.849999999999994</v>
      </c>
      <c r="O249" s="432">
        <v>80.25</v>
      </c>
      <c r="P249" s="426"/>
      <c r="Q249" s="426"/>
      <c r="R249" s="426"/>
      <c r="S249" s="426"/>
      <c r="T249" s="426"/>
      <c r="U249" s="433"/>
      <c r="V249" s="113">
        <v>29</v>
      </c>
      <c r="W249" s="432">
        <v>83.98</v>
      </c>
      <c r="X249" s="432">
        <v>84.91</v>
      </c>
      <c r="Y249" s="432">
        <v>85.34</v>
      </c>
      <c r="Z249" s="426"/>
      <c r="AA249" s="426"/>
      <c r="AB249" s="426"/>
      <c r="AC249" s="426"/>
      <c r="AD249" s="426"/>
      <c r="AE249" s="433"/>
      <c r="AF249" s="113">
        <v>29</v>
      </c>
      <c r="AG249" s="432">
        <v>89.21</v>
      </c>
      <c r="AH249" s="432">
        <v>90.25</v>
      </c>
      <c r="AI249" s="432">
        <v>90.72</v>
      </c>
      <c r="AJ249" s="426"/>
      <c r="AK249" s="426"/>
      <c r="AL249" s="426"/>
      <c r="AM249" s="426"/>
      <c r="AN249" s="426"/>
    </row>
    <row r="250" spans="1:40" s="429" customFormat="1" x14ac:dyDescent="0.2">
      <c r="A250" s="433"/>
      <c r="B250" s="113">
        <v>30</v>
      </c>
      <c r="C250" s="432">
        <v>74.599999999999994</v>
      </c>
      <c r="D250" s="432">
        <v>75.31</v>
      </c>
      <c r="E250" s="432">
        <v>75.680000000000007</v>
      </c>
      <c r="F250" s="426"/>
      <c r="G250" s="426"/>
      <c r="H250" s="426"/>
      <c r="I250" s="426"/>
      <c r="J250" s="426"/>
      <c r="K250" s="433"/>
      <c r="L250" s="113">
        <v>30</v>
      </c>
      <c r="M250" s="432">
        <v>79.319999999999993</v>
      </c>
      <c r="N250" s="432">
        <v>80.14</v>
      </c>
      <c r="O250" s="432">
        <v>80.540000000000006</v>
      </c>
      <c r="P250" s="426"/>
      <c r="Q250" s="426"/>
      <c r="R250" s="426"/>
      <c r="S250" s="426"/>
      <c r="T250" s="426"/>
      <c r="U250" s="433"/>
      <c r="V250" s="113">
        <v>30</v>
      </c>
      <c r="W250" s="432">
        <v>84.31</v>
      </c>
      <c r="X250" s="432">
        <v>85.24</v>
      </c>
      <c r="Y250" s="432">
        <v>85.68</v>
      </c>
      <c r="Z250" s="426"/>
      <c r="AA250" s="426"/>
      <c r="AB250" s="426"/>
      <c r="AC250" s="426"/>
      <c r="AD250" s="426"/>
      <c r="AE250" s="433"/>
      <c r="AF250" s="113">
        <v>30</v>
      </c>
      <c r="AG250" s="432">
        <v>89.58</v>
      </c>
      <c r="AH250" s="432">
        <v>90.63</v>
      </c>
      <c r="AI250" s="432">
        <v>91.1</v>
      </c>
      <c r="AJ250" s="426"/>
      <c r="AK250" s="426"/>
      <c r="AL250" s="426"/>
      <c r="AM250" s="426"/>
      <c r="AN250" s="426"/>
    </row>
    <row r="251" spans="1:40" s="429" customFormat="1" x14ac:dyDescent="0.2">
      <c r="A251" s="433"/>
      <c r="B251" s="113">
        <v>31</v>
      </c>
      <c r="C251" s="432">
        <v>74.84</v>
      </c>
      <c r="D251" s="432">
        <v>75.569999999999993</v>
      </c>
      <c r="E251" s="432">
        <v>75.94</v>
      </c>
      <c r="F251" s="426"/>
      <c r="G251" s="426"/>
      <c r="H251" s="426"/>
      <c r="I251" s="426"/>
      <c r="J251" s="426"/>
      <c r="K251" s="433"/>
      <c r="L251" s="113">
        <v>31</v>
      </c>
      <c r="M251" s="432">
        <v>79.61</v>
      </c>
      <c r="N251" s="432">
        <v>80.430000000000007</v>
      </c>
      <c r="O251" s="432">
        <v>80.84</v>
      </c>
      <c r="P251" s="426"/>
      <c r="Q251" s="426"/>
      <c r="R251" s="426"/>
      <c r="S251" s="426"/>
      <c r="T251" s="426"/>
      <c r="U251" s="433"/>
      <c r="V251" s="113">
        <v>31</v>
      </c>
      <c r="W251" s="432">
        <v>84.64</v>
      </c>
      <c r="X251" s="432">
        <v>85.58</v>
      </c>
      <c r="Y251" s="432">
        <v>86.02</v>
      </c>
      <c r="Z251" s="426"/>
      <c r="AA251" s="426"/>
      <c r="AB251" s="426"/>
      <c r="AC251" s="426"/>
      <c r="AD251" s="426"/>
      <c r="AE251" s="433"/>
      <c r="AF251" s="113">
        <v>31</v>
      </c>
      <c r="AG251" s="432">
        <v>89.96</v>
      </c>
      <c r="AH251" s="432">
        <v>91.03</v>
      </c>
      <c r="AI251" s="432">
        <v>91.5</v>
      </c>
      <c r="AJ251" s="426"/>
      <c r="AK251" s="426"/>
      <c r="AL251" s="426"/>
      <c r="AM251" s="426"/>
      <c r="AN251" s="426"/>
    </row>
    <row r="252" spans="1:40" s="429" customFormat="1" x14ac:dyDescent="0.2">
      <c r="A252" s="433"/>
      <c r="B252" s="113">
        <v>32</v>
      </c>
      <c r="C252" s="432">
        <v>75.099999999999994</v>
      </c>
      <c r="D252" s="432">
        <v>75.83</v>
      </c>
      <c r="E252" s="432">
        <v>76.2</v>
      </c>
      <c r="F252" s="426"/>
      <c r="G252" s="426"/>
      <c r="H252" s="426"/>
      <c r="I252" s="426"/>
      <c r="J252" s="426"/>
      <c r="K252" s="433"/>
      <c r="L252" s="113">
        <v>32</v>
      </c>
      <c r="M252" s="432">
        <v>79.900000000000006</v>
      </c>
      <c r="N252" s="432">
        <v>80.739999999999995</v>
      </c>
      <c r="O252" s="432">
        <v>81.14</v>
      </c>
      <c r="P252" s="426"/>
      <c r="Q252" s="426"/>
      <c r="R252" s="426"/>
      <c r="S252" s="426"/>
      <c r="T252" s="426"/>
      <c r="U252" s="433"/>
      <c r="V252" s="113">
        <v>32</v>
      </c>
      <c r="W252" s="432">
        <v>84.99</v>
      </c>
      <c r="X252" s="432">
        <v>85.94</v>
      </c>
      <c r="Y252" s="432">
        <v>86.38</v>
      </c>
      <c r="Z252" s="426"/>
      <c r="AA252" s="426"/>
      <c r="AB252" s="426"/>
      <c r="AC252" s="426"/>
      <c r="AD252" s="426"/>
      <c r="AE252" s="433"/>
      <c r="AF252" s="113">
        <v>32</v>
      </c>
      <c r="AG252" s="432">
        <v>90.36</v>
      </c>
      <c r="AH252" s="432">
        <v>91.43</v>
      </c>
      <c r="AI252" s="432">
        <v>91.91</v>
      </c>
      <c r="AJ252" s="426"/>
      <c r="AK252" s="426"/>
      <c r="AL252" s="426"/>
      <c r="AM252" s="426"/>
      <c r="AN252" s="426"/>
    </row>
    <row r="253" spans="1:40" s="429" customFormat="1" x14ac:dyDescent="0.2">
      <c r="A253" s="433"/>
      <c r="B253" s="113">
        <v>33</v>
      </c>
      <c r="C253" s="432">
        <v>75.349999999999994</v>
      </c>
      <c r="D253" s="432">
        <v>76.09</v>
      </c>
      <c r="E253" s="432">
        <v>76.47</v>
      </c>
      <c r="F253" s="426"/>
      <c r="G253" s="426"/>
      <c r="H253" s="426"/>
      <c r="I253" s="426"/>
      <c r="J253" s="426"/>
      <c r="K253" s="433"/>
      <c r="L253" s="113">
        <v>33</v>
      </c>
      <c r="M253" s="432">
        <v>80.209999999999994</v>
      </c>
      <c r="N253" s="432">
        <v>81.05</v>
      </c>
      <c r="O253" s="432">
        <v>81.459999999999994</v>
      </c>
      <c r="P253" s="426"/>
      <c r="Q253" s="426"/>
      <c r="R253" s="426"/>
      <c r="S253" s="426"/>
      <c r="T253" s="426"/>
      <c r="U253" s="433"/>
      <c r="V253" s="113">
        <v>33</v>
      </c>
      <c r="W253" s="432">
        <v>85.34</v>
      </c>
      <c r="X253" s="432">
        <v>86.3</v>
      </c>
      <c r="Y253" s="432">
        <v>86.74</v>
      </c>
      <c r="Z253" s="426"/>
      <c r="AA253" s="426"/>
      <c r="AB253" s="426"/>
      <c r="AC253" s="426"/>
      <c r="AD253" s="426"/>
      <c r="AE253" s="433"/>
      <c r="AF253" s="113">
        <v>33</v>
      </c>
      <c r="AG253" s="432">
        <v>90.76</v>
      </c>
      <c r="AH253" s="432">
        <v>91.84</v>
      </c>
      <c r="AI253" s="432">
        <v>92.32</v>
      </c>
      <c r="AJ253" s="426"/>
      <c r="AK253" s="426"/>
      <c r="AL253" s="426"/>
      <c r="AM253" s="426"/>
      <c r="AN253" s="426"/>
    </row>
    <row r="254" spans="1:40" s="429" customFormat="1" x14ac:dyDescent="0.2">
      <c r="A254" s="433"/>
      <c r="B254" s="113">
        <v>34</v>
      </c>
      <c r="C254" s="432">
        <v>75.62</v>
      </c>
      <c r="D254" s="432">
        <v>76.36</v>
      </c>
      <c r="E254" s="432">
        <v>76.739999999999995</v>
      </c>
      <c r="F254" s="426"/>
      <c r="G254" s="426"/>
      <c r="H254" s="426"/>
      <c r="I254" s="426"/>
      <c r="J254" s="426"/>
      <c r="K254" s="433"/>
      <c r="L254" s="113">
        <v>34</v>
      </c>
      <c r="M254" s="432">
        <v>80.52</v>
      </c>
      <c r="N254" s="432">
        <v>81.37</v>
      </c>
      <c r="O254" s="432">
        <v>81.78</v>
      </c>
      <c r="P254" s="426"/>
      <c r="Q254" s="426"/>
      <c r="R254" s="426"/>
      <c r="S254" s="426"/>
      <c r="T254" s="426"/>
      <c r="U254" s="433"/>
      <c r="V254" s="113">
        <v>34</v>
      </c>
      <c r="W254" s="432">
        <v>85.7</v>
      </c>
      <c r="X254" s="432">
        <v>86.67</v>
      </c>
      <c r="Y254" s="432">
        <v>87.11</v>
      </c>
      <c r="Z254" s="426"/>
      <c r="AA254" s="426"/>
      <c r="AB254" s="426"/>
      <c r="AC254" s="426"/>
      <c r="AD254" s="426"/>
      <c r="AE254" s="433"/>
      <c r="AF254" s="113">
        <v>34</v>
      </c>
      <c r="AG254" s="432">
        <v>91.16</v>
      </c>
      <c r="AH254" s="432">
        <v>92.26</v>
      </c>
      <c r="AI254" s="432">
        <v>92.75</v>
      </c>
      <c r="AJ254" s="426"/>
      <c r="AK254" s="426"/>
      <c r="AL254" s="426"/>
      <c r="AM254" s="426"/>
      <c r="AN254" s="426"/>
    </row>
    <row r="255" spans="1:40" s="429" customFormat="1" x14ac:dyDescent="0.2">
      <c r="A255" s="433"/>
      <c r="B255" s="113">
        <v>35</v>
      </c>
      <c r="C255" s="432">
        <v>75.89</v>
      </c>
      <c r="D255" s="432">
        <v>76.64</v>
      </c>
      <c r="E255" s="432">
        <v>77.02</v>
      </c>
      <c r="F255" s="426"/>
      <c r="G255" s="426"/>
      <c r="H255" s="426"/>
      <c r="I255" s="426"/>
      <c r="J255" s="426"/>
      <c r="K255" s="433"/>
      <c r="L255" s="113">
        <v>35</v>
      </c>
      <c r="M255" s="432">
        <v>80.83</v>
      </c>
      <c r="N255" s="432">
        <v>81.7</v>
      </c>
      <c r="O255" s="432">
        <v>82.11</v>
      </c>
      <c r="P255" s="426"/>
      <c r="Q255" s="426"/>
      <c r="R255" s="426"/>
      <c r="S255" s="426"/>
      <c r="T255" s="426"/>
      <c r="U255" s="433"/>
      <c r="V255" s="113">
        <v>35</v>
      </c>
      <c r="W255" s="432">
        <v>86.06</v>
      </c>
      <c r="X255" s="432">
        <v>87.04</v>
      </c>
      <c r="Y255" s="432">
        <v>87.49</v>
      </c>
      <c r="Z255" s="426"/>
      <c r="AA255" s="426"/>
      <c r="AB255" s="426"/>
      <c r="AC255" s="426"/>
      <c r="AD255" s="426"/>
      <c r="AE255" s="433"/>
      <c r="AF255" s="113">
        <v>35</v>
      </c>
      <c r="AG255" s="432">
        <v>91.58</v>
      </c>
      <c r="AH255" s="432">
        <v>92.69</v>
      </c>
      <c r="AI255" s="432">
        <v>93.18</v>
      </c>
      <c r="AJ255" s="426"/>
      <c r="AK255" s="426"/>
      <c r="AL255" s="426"/>
      <c r="AM255" s="426"/>
      <c r="AN255" s="426"/>
    </row>
    <row r="256" spans="1:40" s="429" customFormat="1" x14ac:dyDescent="0.2">
      <c r="A256" s="433"/>
      <c r="B256" s="113">
        <v>36</v>
      </c>
      <c r="C256" s="432">
        <v>76.17</v>
      </c>
      <c r="D256" s="432">
        <v>76.930000000000007</v>
      </c>
      <c r="E256" s="432">
        <v>77.31</v>
      </c>
      <c r="F256" s="426"/>
      <c r="G256" s="426"/>
      <c r="H256" s="426"/>
      <c r="I256" s="426"/>
      <c r="J256" s="426"/>
      <c r="K256" s="433"/>
      <c r="L256" s="113">
        <v>36</v>
      </c>
      <c r="M256" s="432">
        <v>81.16</v>
      </c>
      <c r="N256" s="432">
        <v>82.03</v>
      </c>
      <c r="O256" s="432">
        <v>82.44</v>
      </c>
      <c r="P256" s="426"/>
      <c r="Q256" s="426"/>
      <c r="R256" s="426"/>
      <c r="S256" s="426"/>
      <c r="T256" s="426"/>
      <c r="U256" s="433"/>
      <c r="V256" s="113">
        <v>36</v>
      </c>
      <c r="W256" s="432">
        <v>86.43</v>
      </c>
      <c r="X256" s="432">
        <v>87.43</v>
      </c>
      <c r="Y256" s="432">
        <v>87.88</v>
      </c>
      <c r="Z256" s="426"/>
      <c r="AA256" s="426"/>
      <c r="AB256" s="426"/>
      <c r="AC256" s="426"/>
      <c r="AD256" s="426"/>
      <c r="AE256" s="433"/>
      <c r="AF256" s="113">
        <v>36</v>
      </c>
      <c r="AG256" s="432">
        <v>92</v>
      </c>
      <c r="AH256" s="432">
        <v>93.12</v>
      </c>
      <c r="AI256" s="432">
        <v>93.61</v>
      </c>
      <c r="AJ256" s="426"/>
      <c r="AK256" s="426"/>
      <c r="AL256" s="426"/>
      <c r="AM256" s="426"/>
      <c r="AN256" s="426"/>
    </row>
    <row r="257" spans="1:40" s="429" customFormat="1" x14ac:dyDescent="0.2">
      <c r="A257" s="433"/>
      <c r="B257" s="113">
        <v>37</v>
      </c>
      <c r="C257" s="432">
        <v>76.45</v>
      </c>
      <c r="D257" s="432">
        <v>77.22</v>
      </c>
      <c r="E257" s="432">
        <v>77.599999999999994</v>
      </c>
      <c r="F257" s="426"/>
      <c r="G257" s="426"/>
      <c r="H257" s="426"/>
      <c r="I257" s="426"/>
      <c r="J257" s="426"/>
      <c r="K257" s="433"/>
      <c r="L257" s="113">
        <v>37</v>
      </c>
      <c r="M257" s="432">
        <v>81.489999999999995</v>
      </c>
      <c r="N257" s="432">
        <v>82.37</v>
      </c>
      <c r="O257" s="432">
        <v>82.79</v>
      </c>
      <c r="P257" s="426"/>
      <c r="Q257" s="426"/>
      <c r="R257" s="426"/>
      <c r="S257" s="426"/>
      <c r="T257" s="426"/>
      <c r="U257" s="433"/>
      <c r="V257" s="113">
        <v>37</v>
      </c>
      <c r="W257" s="432">
        <v>86.81</v>
      </c>
      <c r="X257" s="432">
        <v>87.82</v>
      </c>
      <c r="Y257" s="432">
        <v>88.27</v>
      </c>
      <c r="Z257" s="426"/>
      <c r="AA257" s="426"/>
      <c r="AB257" s="426"/>
      <c r="AC257" s="426"/>
      <c r="AD257" s="426"/>
      <c r="AE257" s="433"/>
      <c r="AF257" s="113">
        <v>37</v>
      </c>
      <c r="AG257" s="432">
        <v>92.43</v>
      </c>
      <c r="AH257" s="432">
        <v>93.56</v>
      </c>
      <c r="AI257" s="432">
        <v>94.06</v>
      </c>
      <c r="AJ257" s="426"/>
      <c r="AK257" s="426"/>
      <c r="AL257" s="426"/>
      <c r="AM257" s="426"/>
      <c r="AN257" s="426"/>
    </row>
    <row r="258" spans="1:40" s="429" customFormat="1" x14ac:dyDescent="0.2">
      <c r="A258" s="433"/>
      <c r="B258" s="113">
        <v>38</v>
      </c>
      <c r="C258" s="432">
        <v>76.739999999999995</v>
      </c>
      <c r="D258" s="432">
        <v>77.52</v>
      </c>
      <c r="E258" s="432">
        <v>77.900000000000006</v>
      </c>
      <c r="F258" s="426"/>
      <c r="G258" s="426"/>
      <c r="H258" s="426"/>
      <c r="I258" s="426"/>
      <c r="J258" s="426"/>
      <c r="K258" s="433"/>
      <c r="L258" s="113">
        <v>38</v>
      </c>
      <c r="M258" s="432">
        <v>81.819999999999993</v>
      </c>
      <c r="N258" s="432">
        <v>82.71</v>
      </c>
      <c r="O258" s="432">
        <v>83.13</v>
      </c>
      <c r="P258" s="426"/>
      <c r="Q258" s="426"/>
      <c r="R258" s="426"/>
      <c r="S258" s="426"/>
      <c r="T258" s="426"/>
      <c r="U258" s="433"/>
      <c r="V258" s="113">
        <v>38</v>
      </c>
      <c r="W258" s="432">
        <v>87.19</v>
      </c>
      <c r="X258" s="432">
        <v>88.21</v>
      </c>
      <c r="Y258" s="432">
        <v>88.67</v>
      </c>
      <c r="Z258" s="426"/>
      <c r="AA258" s="426"/>
      <c r="AB258" s="426"/>
      <c r="AC258" s="426"/>
      <c r="AD258" s="426"/>
      <c r="AE258" s="433"/>
      <c r="AF258" s="113">
        <v>38</v>
      </c>
      <c r="AG258" s="432">
        <v>92.86</v>
      </c>
      <c r="AH258" s="432">
        <v>94.01</v>
      </c>
      <c r="AI258" s="432">
        <v>94.5</v>
      </c>
      <c r="AJ258" s="426"/>
      <c r="AK258" s="426"/>
      <c r="AL258" s="426"/>
      <c r="AM258" s="426"/>
      <c r="AN258" s="426"/>
    </row>
    <row r="259" spans="1:40" s="429" customFormat="1" x14ac:dyDescent="0.2">
      <c r="A259" s="433"/>
      <c r="B259" s="113">
        <v>39</v>
      </c>
      <c r="C259" s="432">
        <v>77.03</v>
      </c>
      <c r="D259" s="432">
        <v>77.819999999999993</v>
      </c>
      <c r="E259" s="432">
        <v>78.2</v>
      </c>
      <c r="F259" s="426"/>
      <c r="G259" s="426"/>
      <c r="H259" s="426"/>
      <c r="I259" s="426"/>
      <c r="J259" s="426"/>
      <c r="K259" s="433"/>
      <c r="L259" s="113">
        <v>39</v>
      </c>
      <c r="M259" s="432">
        <v>82.16</v>
      </c>
      <c r="N259" s="432">
        <v>83.06</v>
      </c>
      <c r="O259" s="432">
        <v>83.49</v>
      </c>
      <c r="P259" s="426"/>
      <c r="Q259" s="426"/>
      <c r="R259" s="426"/>
      <c r="S259" s="426"/>
      <c r="T259" s="426"/>
      <c r="U259" s="433"/>
      <c r="V259" s="113">
        <v>39</v>
      </c>
      <c r="W259" s="432">
        <v>87.58</v>
      </c>
      <c r="X259" s="432">
        <v>88.61</v>
      </c>
      <c r="Y259" s="432">
        <v>89.07</v>
      </c>
      <c r="Z259" s="426"/>
      <c r="AA259" s="426"/>
      <c r="AB259" s="426"/>
      <c r="AC259" s="426"/>
      <c r="AD259" s="426"/>
      <c r="AE259" s="433"/>
      <c r="AF259" s="113">
        <v>39</v>
      </c>
      <c r="AG259" s="432">
        <v>93.29</v>
      </c>
      <c r="AH259" s="432">
        <v>94.46</v>
      </c>
      <c r="AI259" s="432">
        <v>94.96</v>
      </c>
      <c r="AJ259" s="426"/>
      <c r="AK259" s="426"/>
      <c r="AL259" s="426"/>
      <c r="AM259" s="426"/>
      <c r="AN259" s="426"/>
    </row>
    <row r="260" spans="1:40" s="429" customFormat="1" x14ac:dyDescent="0.2">
      <c r="A260" s="433"/>
      <c r="B260" s="113">
        <v>40</v>
      </c>
      <c r="C260" s="432">
        <v>77.319999999999993</v>
      </c>
      <c r="D260" s="432">
        <v>78.12</v>
      </c>
      <c r="E260" s="432">
        <v>78.510000000000005</v>
      </c>
      <c r="F260" s="426"/>
      <c r="G260" s="426"/>
      <c r="H260" s="426"/>
      <c r="I260" s="426"/>
      <c r="J260" s="426"/>
      <c r="K260" s="433"/>
      <c r="L260" s="113">
        <v>40</v>
      </c>
      <c r="M260" s="432">
        <v>82.5</v>
      </c>
      <c r="N260" s="432">
        <v>83.42</v>
      </c>
      <c r="O260" s="432">
        <v>83.84</v>
      </c>
      <c r="P260" s="426"/>
      <c r="Q260" s="426"/>
      <c r="R260" s="426"/>
      <c r="S260" s="426"/>
      <c r="T260" s="426"/>
      <c r="U260" s="433"/>
      <c r="V260" s="113">
        <v>40</v>
      </c>
      <c r="W260" s="432">
        <v>87.97</v>
      </c>
      <c r="X260" s="432">
        <v>89.01</v>
      </c>
      <c r="Y260" s="432">
        <v>89.47</v>
      </c>
      <c r="Z260" s="426"/>
      <c r="AA260" s="426"/>
      <c r="AB260" s="426"/>
      <c r="AC260" s="426"/>
      <c r="AD260" s="426"/>
      <c r="AE260" s="433"/>
      <c r="AF260" s="113">
        <v>40</v>
      </c>
      <c r="AG260" s="432">
        <v>93.73</v>
      </c>
      <c r="AH260" s="432">
        <v>94.91</v>
      </c>
      <c r="AI260" s="432">
        <v>95.41</v>
      </c>
      <c r="AJ260" s="426"/>
      <c r="AK260" s="426"/>
      <c r="AL260" s="426"/>
      <c r="AM260" s="426"/>
      <c r="AN260" s="426"/>
    </row>
    <row r="261" spans="1:40" s="429" customFormat="1" x14ac:dyDescent="0.2">
      <c r="A261" s="433"/>
      <c r="B261" s="113">
        <v>41</v>
      </c>
      <c r="C261" s="432">
        <v>77.62</v>
      </c>
      <c r="D261" s="432">
        <v>78.430000000000007</v>
      </c>
      <c r="E261" s="432">
        <v>78.819999999999993</v>
      </c>
      <c r="F261" s="426"/>
      <c r="G261" s="426"/>
      <c r="H261" s="426"/>
      <c r="I261" s="426"/>
      <c r="J261" s="426"/>
      <c r="K261" s="433"/>
      <c r="L261" s="113">
        <v>41</v>
      </c>
      <c r="M261" s="432">
        <v>82.85</v>
      </c>
      <c r="N261" s="432">
        <v>83.77</v>
      </c>
      <c r="O261" s="432">
        <v>84.2</v>
      </c>
      <c r="P261" s="426"/>
      <c r="Q261" s="426"/>
      <c r="R261" s="426"/>
      <c r="S261" s="426"/>
      <c r="T261" s="426"/>
      <c r="U261" s="433"/>
      <c r="V261" s="113">
        <v>41</v>
      </c>
      <c r="W261" s="432">
        <v>88.36</v>
      </c>
      <c r="X261" s="432">
        <v>89.41</v>
      </c>
      <c r="Y261" s="432">
        <v>89.88</v>
      </c>
      <c r="Z261" s="426"/>
      <c r="AA261" s="426"/>
      <c r="AB261" s="426"/>
      <c r="AC261" s="426"/>
      <c r="AD261" s="426"/>
      <c r="AE261" s="433"/>
      <c r="AF261" s="113">
        <v>41</v>
      </c>
      <c r="AG261" s="432">
        <v>94.17</v>
      </c>
      <c r="AH261" s="432">
        <v>95.36</v>
      </c>
      <c r="AI261" s="432">
        <v>95.86</v>
      </c>
      <c r="AJ261" s="426"/>
      <c r="AK261" s="426"/>
      <c r="AL261" s="426"/>
      <c r="AM261" s="426"/>
      <c r="AN261" s="426"/>
    </row>
    <row r="262" spans="1:40" s="429" customFormat="1" x14ac:dyDescent="0.2">
      <c r="A262" s="433"/>
      <c r="B262" s="113">
        <v>42</v>
      </c>
      <c r="C262" s="432">
        <v>77.92</v>
      </c>
      <c r="D262" s="432">
        <v>78.739999999999995</v>
      </c>
      <c r="E262" s="432">
        <v>79.13</v>
      </c>
      <c r="F262" s="426"/>
      <c r="G262" s="426"/>
      <c r="H262" s="426"/>
      <c r="I262" s="426"/>
      <c r="J262" s="426"/>
      <c r="K262" s="433"/>
      <c r="L262" s="113">
        <v>42</v>
      </c>
      <c r="M262" s="432">
        <v>83.19</v>
      </c>
      <c r="N262" s="432">
        <v>84.13</v>
      </c>
      <c r="O262" s="432">
        <v>84.55</v>
      </c>
      <c r="P262" s="426"/>
      <c r="Q262" s="426"/>
      <c r="R262" s="426"/>
      <c r="S262" s="426"/>
      <c r="T262" s="426"/>
      <c r="U262" s="433"/>
      <c r="V262" s="113">
        <v>42</v>
      </c>
      <c r="W262" s="432">
        <v>88.75</v>
      </c>
      <c r="X262" s="432">
        <v>89.82</v>
      </c>
      <c r="Y262" s="432">
        <v>90.28</v>
      </c>
      <c r="Z262" s="426"/>
      <c r="AA262" s="426"/>
      <c r="AB262" s="426"/>
      <c r="AC262" s="426"/>
      <c r="AD262" s="426"/>
      <c r="AE262" s="433"/>
      <c r="AF262" s="113">
        <v>42</v>
      </c>
      <c r="AG262" s="432">
        <v>94.61</v>
      </c>
      <c r="AH262" s="432">
        <v>95.81</v>
      </c>
      <c r="AI262" s="432">
        <v>96.32</v>
      </c>
      <c r="AJ262" s="426"/>
      <c r="AK262" s="426"/>
      <c r="AL262" s="426"/>
      <c r="AM262" s="426"/>
      <c r="AN262" s="426"/>
    </row>
    <row r="263" spans="1:40" s="429" customFormat="1" x14ac:dyDescent="0.2">
      <c r="A263" s="433"/>
      <c r="B263" s="113">
        <v>43</v>
      </c>
      <c r="C263" s="432">
        <v>78.22</v>
      </c>
      <c r="D263" s="432">
        <v>79.040000000000006</v>
      </c>
      <c r="E263" s="432">
        <v>79.44</v>
      </c>
      <c r="F263" s="426"/>
      <c r="G263" s="426"/>
      <c r="H263" s="426"/>
      <c r="I263" s="426"/>
      <c r="J263" s="426"/>
      <c r="K263" s="433"/>
      <c r="L263" s="113">
        <v>43</v>
      </c>
      <c r="M263" s="432">
        <v>83.54</v>
      </c>
      <c r="N263" s="432">
        <v>84.48</v>
      </c>
      <c r="O263" s="432">
        <v>84.91</v>
      </c>
      <c r="P263" s="426"/>
      <c r="Q263" s="426"/>
      <c r="R263" s="426"/>
      <c r="S263" s="426"/>
      <c r="T263" s="426"/>
      <c r="U263" s="433"/>
      <c r="V263" s="113">
        <v>43</v>
      </c>
      <c r="W263" s="432">
        <v>89.14</v>
      </c>
      <c r="X263" s="432">
        <v>90.22</v>
      </c>
      <c r="Y263" s="432">
        <v>90.69</v>
      </c>
      <c r="Z263" s="426"/>
      <c r="AA263" s="426"/>
      <c r="AB263" s="426"/>
      <c r="AC263" s="426"/>
      <c r="AD263" s="426"/>
      <c r="AE263" s="433"/>
      <c r="AF263" s="113">
        <v>43</v>
      </c>
      <c r="AG263" s="432">
        <v>95.05</v>
      </c>
      <c r="AH263" s="432">
        <v>96.27</v>
      </c>
      <c r="AI263" s="432">
        <v>96.78</v>
      </c>
      <c r="AJ263" s="426"/>
      <c r="AK263" s="426"/>
      <c r="AL263" s="426"/>
      <c r="AM263" s="426"/>
      <c r="AN263" s="426"/>
    </row>
    <row r="264" spans="1:40" s="429" customFormat="1" x14ac:dyDescent="0.2">
      <c r="A264" s="433"/>
      <c r="B264" s="113">
        <v>44</v>
      </c>
      <c r="C264" s="432">
        <v>78.52</v>
      </c>
      <c r="D264" s="432">
        <v>79.349999999999994</v>
      </c>
      <c r="E264" s="432">
        <v>79.75</v>
      </c>
      <c r="F264" s="426"/>
      <c r="G264" s="426"/>
      <c r="H264" s="426"/>
      <c r="I264" s="426"/>
      <c r="J264" s="426"/>
      <c r="K264" s="433"/>
      <c r="L264" s="113">
        <v>44</v>
      </c>
      <c r="M264" s="432">
        <v>83.88</v>
      </c>
      <c r="N264" s="432">
        <v>84.84</v>
      </c>
      <c r="O264" s="432">
        <v>85.27</v>
      </c>
      <c r="P264" s="426"/>
      <c r="Q264" s="426"/>
      <c r="R264" s="426"/>
      <c r="S264" s="426"/>
      <c r="T264" s="426"/>
      <c r="U264" s="433"/>
      <c r="V264" s="113">
        <v>44</v>
      </c>
      <c r="W264" s="432">
        <v>89.54</v>
      </c>
      <c r="X264" s="432">
        <v>90.63</v>
      </c>
      <c r="Y264" s="432">
        <v>91.1</v>
      </c>
      <c r="Z264" s="426"/>
      <c r="AA264" s="426"/>
      <c r="AB264" s="426"/>
      <c r="AC264" s="426"/>
      <c r="AD264" s="426"/>
      <c r="AE264" s="433"/>
      <c r="AF264" s="113">
        <v>44</v>
      </c>
      <c r="AG264" s="432">
        <v>95.49</v>
      </c>
      <c r="AH264" s="432">
        <v>96.73</v>
      </c>
      <c r="AI264" s="432">
        <v>97.24</v>
      </c>
      <c r="AJ264" s="426"/>
      <c r="AK264" s="426"/>
      <c r="AL264" s="426"/>
      <c r="AM264" s="426"/>
      <c r="AN264" s="426"/>
    </row>
    <row r="265" spans="1:40" s="429" customFormat="1" x14ac:dyDescent="0.2">
      <c r="A265" s="433"/>
      <c r="B265" s="113">
        <v>45</v>
      </c>
      <c r="C265" s="432">
        <v>78.81</v>
      </c>
      <c r="D265" s="432">
        <v>79.66</v>
      </c>
      <c r="E265" s="432">
        <v>80.06</v>
      </c>
      <c r="F265" s="426"/>
      <c r="G265" s="426"/>
      <c r="H265" s="426"/>
      <c r="I265" s="426"/>
      <c r="J265" s="426"/>
      <c r="K265" s="433"/>
      <c r="L265" s="113">
        <v>45</v>
      </c>
      <c r="M265" s="432">
        <v>84.22</v>
      </c>
      <c r="N265" s="432">
        <v>85.19</v>
      </c>
      <c r="O265" s="432">
        <v>85.63</v>
      </c>
      <c r="P265" s="426"/>
      <c r="Q265" s="426"/>
      <c r="R265" s="426"/>
      <c r="S265" s="426"/>
      <c r="T265" s="426"/>
      <c r="U265" s="433"/>
      <c r="V265" s="113">
        <v>45</v>
      </c>
      <c r="W265" s="432">
        <v>89.93</v>
      </c>
      <c r="X265" s="432">
        <v>91.04</v>
      </c>
      <c r="Y265" s="432">
        <v>91.51</v>
      </c>
      <c r="Z265" s="426"/>
      <c r="AA265" s="426"/>
      <c r="AB265" s="426"/>
      <c r="AC265" s="426"/>
      <c r="AD265" s="426"/>
      <c r="AE265" s="433"/>
      <c r="AF265" s="113">
        <v>45</v>
      </c>
      <c r="AG265" s="432">
        <v>95.94</v>
      </c>
      <c r="AH265" s="432">
        <v>97.19</v>
      </c>
      <c r="AI265" s="432">
        <v>97.7</v>
      </c>
      <c r="AJ265" s="426"/>
      <c r="AK265" s="426"/>
      <c r="AL265" s="426"/>
      <c r="AM265" s="426"/>
      <c r="AN265" s="426"/>
    </row>
    <row r="266" spans="1:40" s="429" customFormat="1" x14ac:dyDescent="0.2">
      <c r="A266" s="433"/>
      <c r="B266" s="113">
        <v>46</v>
      </c>
      <c r="C266" s="432">
        <v>79.11</v>
      </c>
      <c r="D266" s="432">
        <v>79.959999999999994</v>
      </c>
      <c r="E266" s="432">
        <v>80.37</v>
      </c>
      <c r="F266" s="426"/>
      <c r="G266" s="426"/>
      <c r="H266" s="426"/>
      <c r="I266" s="426"/>
      <c r="J266" s="426"/>
      <c r="K266" s="433"/>
      <c r="L266" s="113">
        <v>46</v>
      </c>
      <c r="M266" s="432">
        <v>84.57</v>
      </c>
      <c r="N266" s="432">
        <v>85.55</v>
      </c>
      <c r="O266" s="432">
        <v>85.99</v>
      </c>
      <c r="P266" s="426"/>
      <c r="Q266" s="426"/>
      <c r="R266" s="426"/>
      <c r="S266" s="426"/>
      <c r="T266" s="426"/>
      <c r="U266" s="433"/>
      <c r="V266" s="113">
        <v>46</v>
      </c>
      <c r="W266" s="432">
        <v>90.32</v>
      </c>
      <c r="X266" s="432">
        <v>91.45</v>
      </c>
      <c r="Y266" s="432">
        <v>91.92</v>
      </c>
      <c r="Z266" s="426"/>
      <c r="AA266" s="426"/>
      <c r="AB266" s="426"/>
      <c r="AC266" s="426"/>
      <c r="AD266" s="426"/>
      <c r="AE266" s="433"/>
      <c r="AF266" s="113">
        <v>46</v>
      </c>
      <c r="AG266" s="432">
        <v>96.39</v>
      </c>
      <c r="AH266" s="432">
        <v>97.66</v>
      </c>
      <c r="AI266" s="432">
        <v>98.17</v>
      </c>
      <c r="AJ266" s="426"/>
      <c r="AK266" s="426"/>
      <c r="AL266" s="426"/>
      <c r="AM266" s="426"/>
      <c r="AN266" s="426"/>
    </row>
    <row r="267" spans="1:40" s="429" customFormat="1" x14ac:dyDescent="0.2">
      <c r="A267" s="433"/>
      <c r="B267" s="113">
        <v>47</v>
      </c>
      <c r="C267" s="432">
        <v>79.400000000000006</v>
      </c>
      <c r="D267" s="432">
        <v>80.27</v>
      </c>
      <c r="E267" s="432">
        <v>80.67</v>
      </c>
      <c r="F267" s="426"/>
      <c r="G267" s="426"/>
      <c r="H267" s="426"/>
      <c r="I267" s="426"/>
      <c r="J267" s="426"/>
      <c r="K267" s="433"/>
      <c r="L267" s="113">
        <v>47</v>
      </c>
      <c r="M267" s="432">
        <v>84.91</v>
      </c>
      <c r="N267" s="432">
        <v>85.91</v>
      </c>
      <c r="O267" s="432">
        <v>86.35</v>
      </c>
      <c r="P267" s="426"/>
      <c r="Q267" s="426"/>
      <c r="R267" s="426"/>
      <c r="S267" s="426"/>
      <c r="T267" s="426"/>
      <c r="U267" s="433"/>
      <c r="V267" s="113">
        <v>47</v>
      </c>
      <c r="W267" s="432">
        <v>90.73</v>
      </c>
      <c r="X267" s="432">
        <v>91.86</v>
      </c>
      <c r="Y267" s="432">
        <v>92.34</v>
      </c>
      <c r="Z267" s="426"/>
      <c r="AA267" s="426"/>
      <c r="AB267" s="426"/>
      <c r="AC267" s="426"/>
      <c r="AD267" s="426"/>
      <c r="AE267" s="433"/>
      <c r="AF267" s="113">
        <v>47</v>
      </c>
      <c r="AG267" s="432">
        <v>96.84</v>
      </c>
      <c r="AH267" s="432">
        <v>98.13</v>
      </c>
      <c r="AI267" s="432">
        <v>98.64</v>
      </c>
      <c r="AJ267" s="426"/>
      <c r="AK267" s="426"/>
      <c r="AL267" s="426"/>
      <c r="AM267" s="426"/>
      <c r="AN267" s="426"/>
    </row>
    <row r="268" spans="1:40" s="429" customFormat="1" x14ac:dyDescent="0.2">
      <c r="A268" s="433"/>
      <c r="B268" s="113">
        <v>48</v>
      </c>
      <c r="C268" s="432">
        <v>79.7</v>
      </c>
      <c r="D268" s="432">
        <v>80.58</v>
      </c>
      <c r="E268" s="432">
        <v>80.98</v>
      </c>
      <c r="F268" s="426"/>
      <c r="G268" s="426"/>
      <c r="H268" s="426"/>
      <c r="I268" s="426"/>
      <c r="J268" s="426"/>
      <c r="K268" s="433"/>
      <c r="L268" s="113">
        <v>48</v>
      </c>
      <c r="M268" s="432">
        <v>85.26</v>
      </c>
      <c r="N268" s="432">
        <v>86.28</v>
      </c>
      <c r="O268" s="432">
        <v>86.72</v>
      </c>
      <c r="P268" s="426"/>
      <c r="Q268" s="426"/>
      <c r="R268" s="426"/>
      <c r="S268" s="426"/>
      <c r="T268" s="426"/>
      <c r="U268" s="433"/>
      <c r="V268" s="113">
        <v>48</v>
      </c>
      <c r="W268" s="432">
        <v>91.13</v>
      </c>
      <c r="X268" s="432">
        <v>92.29</v>
      </c>
      <c r="Y268" s="432">
        <v>92.77</v>
      </c>
      <c r="Z268" s="426"/>
      <c r="AA268" s="426"/>
      <c r="AB268" s="426"/>
      <c r="AC268" s="426"/>
      <c r="AD268" s="426"/>
      <c r="AE268" s="433"/>
      <c r="AF268" s="113">
        <v>48</v>
      </c>
      <c r="AG268" s="432">
        <v>97.3</v>
      </c>
      <c r="AH268" s="432">
        <v>98.61</v>
      </c>
      <c r="AI268" s="432">
        <v>99.12</v>
      </c>
      <c r="AJ268" s="426"/>
      <c r="AK268" s="426"/>
      <c r="AL268" s="426"/>
      <c r="AM268" s="426"/>
      <c r="AN268" s="426"/>
    </row>
    <row r="269" spans="1:40" s="429" customFormat="1" x14ac:dyDescent="0.2">
      <c r="A269" s="433"/>
      <c r="B269" s="113">
        <v>49</v>
      </c>
      <c r="C269" s="432">
        <v>80</v>
      </c>
      <c r="D269" s="432">
        <v>80.89</v>
      </c>
      <c r="E269" s="432">
        <v>81.3</v>
      </c>
      <c r="F269" s="426"/>
      <c r="G269" s="426"/>
      <c r="H269" s="426"/>
      <c r="I269" s="426"/>
      <c r="J269" s="426"/>
      <c r="K269" s="433"/>
      <c r="L269" s="113">
        <v>49</v>
      </c>
      <c r="M269" s="432">
        <v>85.62</v>
      </c>
      <c r="N269" s="432">
        <v>86.65</v>
      </c>
      <c r="O269" s="432">
        <v>87.09</v>
      </c>
      <c r="P269" s="426"/>
      <c r="Q269" s="426"/>
      <c r="R269" s="426"/>
      <c r="S269" s="426"/>
      <c r="T269" s="426"/>
      <c r="U269" s="433"/>
      <c r="V269" s="113">
        <v>49</v>
      </c>
      <c r="W269" s="432">
        <v>91.55</v>
      </c>
      <c r="X269" s="432">
        <v>92.72</v>
      </c>
      <c r="Y269" s="432">
        <v>93.2</v>
      </c>
      <c r="Z269" s="426"/>
      <c r="AA269" s="426"/>
      <c r="AB269" s="426"/>
      <c r="AC269" s="426"/>
      <c r="AD269" s="426"/>
      <c r="AE269" s="433"/>
      <c r="AF269" s="113">
        <v>49</v>
      </c>
      <c r="AG269" s="432">
        <v>97.77</v>
      </c>
      <c r="AH269" s="432">
        <v>99.09</v>
      </c>
      <c r="AI269" s="432">
        <v>99.61</v>
      </c>
      <c r="AJ269" s="426"/>
      <c r="AK269" s="426"/>
      <c r="AL269" s="426"/>
      <c r="AM269" s="426"/>
      <c r="AN269" s="426"/>
    </row>
    <row r="270" spans="1:40" s="429" customFormat="1" x14ac:dyDescent="0.2">
      <c r="A270" s="433"/>
      <c r="B270" s="113">
        <v>50</v>
      </c>
      <c r="C270" s="432">
        <v>80.3</v>
      </c>
      <c r="D270" s="432">
        <v>81.209999999999994</v>
      </c>
      <c r="E270" s="432">
        <v>81.62</v>
      </c>
      <c r="F270" s="426"/>
      <c r="G270" s="426"/>
      <c r="H270" s="426"/>
      <c r="I270" s="434"/>
      <c r="J270" s="435"/>
      <c r="K270" s="433"/>
      <c r="L270" s="113">
        <v>50</v>
      </c>
      <c r="M270" s="432">
        <v>85.99</v>
      </c>
      <c r="N270" s="432">
        <v>87.03</v>
      </c>
      <c r="O270" s="432">
        <v>87.47</v>
      </c>
      <c r="P270" s="426"/>
      <c r="Q270" s="426"/>
      <c r="R270" s="426"/>
      <c r="S270" s="434"/>
      <c r="T270" s="435"/>
      <c r="U270" s="433"/>
      <c r="V270" s="113">
        <v>50</v>
      </c>
      <c r="W270" s="432">
        <v>91.97</v>
      </c>
      <c r="X270" s="432">
        <v>93.16</v>
      </c>
      <c r="Y270" s="432">
        <v>93.64</v>
      </c>
      <c r="Z270" s="426"/>
      <c r="AA270" s="426"/>
      <c r="AB270" s="426"/>
      <c r="AC270" s="434"/>
      <c r="AD270" s="435"/>
      <c r="AE270" s="433"/>
      <c r="AF270" s="113">
        <v>50</v>
      </c>
      <c r="AG270" s="432">
        <v>98.23</v>
      </c>
      <c r="AH270" s="432">
        <v>99.58</v>
      </c>
      <c r="AI270" s="432">
        <v>100.1</v>
      </c>
      <c r="AJ270" s="426"/>
      <c r="AK270" s="426"/>
      <c r="AL270" s="426"/>
      <c r="AM270" s="434"/>
      <c r="AN270" s="435"/>
    </row>
    <row r="271" spans="1:40" s="429" customFormat="1" x14ac:dyDescent="0.2">
      <c r="A271" s="426"/>
      <c r="B271" s="113">
        <v>51</v>
      </c>
      <c r="C271" s="432">
        <v>80.62</v>
      </c>
      <c r="D271" s="432">
        <v>81.540000000000006</v>
      </c>
      <c r="E271" s="432">
        <v>81.94</v>
      </c>
      <c r="F271" s="426"/>
      <c r="G271" s="426"/>
      <c r="H271" s="426"/>
      <c r="I271" s="426"/>
      <c r="J271" s="436"/>
      <c r="K271" s="426"/>
      <c r="L271" s="113">
        <v>51</v>
      </c>
      <c r="M271" s="432">
        <v>86.36</v>
      </c>
      <c r="N271" s="432">
        <v>87.42</v>
      </c>
      <c r="O271" s="432">
        <v>87.87</v>
      </c>
      <c r="P271" s="426"/>
      <c r="Q271" s="426"/>
      <c r="R271" s="426"/>
      <c r="S271" s="426"/>
      <c r="T271" s="436"/>
      <c r="U271" s="426"/>
      <c r="V271" s="113">
        <v>51</v>
      </c>
      <c r="W271" s="432">
        <v>92.4</v>
      </c>
      <c r="X271" s="432">
        <v>93.61</v>
      </c>
      <c r="Y271" s="432">
        <v>94.09</v>
      </c>
      <c r="Z271" s="426"/>
      <c r="AA271" s="426"/>
      <c r="AB271" s="426"/>
      <c r="AC271" s="426"/>
      <c r="AD271" s="436"/>
      <c r="AE271" s="426"/>
      <c r="AF271" s="113">
        <v>51</v>
      </c>
      <c r="AG271" s="432">
        <v>98.7</v>
      </c>
      <c r="AH271" s="432">
        <v>100.07</v>
      </c>
      <c r="AI271" s="432">
        <v>100.59</v>
      </c>
      <c r="AJ271" s="426"/>
      <c r="AK271" s="426"/>
      <c r="AL271" s="426"/>
      <c r="AM271" s="426"/>
      <c r="AN271" s="436"/>
    </row>
    <row r="272" spans="1:40" s="429" customFormat="1" x14ac:dyDescent="0.2">
      <c r="A272" s="426"/>
      <c r="B272" s="113">
        <v>52</v>
      </c>
      <c r="C272" s="432">
        <v>80.94</v>
      </c>
      <c r="D272" s="432">
        <v>81.87</v>
      </c>
      <c r="E272" s="432">
        <v>82.28</v>
      </c>
      <c r="F272" s="426"/>
      <c r="G272" s="426"/>
      <c r="H272" s="426"/>
      <c r="I272" s="426"/>
      <c r="J272" s="426"/>
      <c r="K272" s="426"/>
      <c r="L272" s="113">
        <v>52</v>
      </c>
      <c r="M272" s="432">
        <v>86.75</v>
      </c>
      <c r="N272" s="432">
        <v>87.82</v>
      </c>
      <c r="O272" s="432">
        <v>88.27</v>
      </c>
      <c r="P272" s="426"/>
      <c r="Q272" s="426"/>
      <c r="R272" s="426"/>
      <c r="S272" s="426"/>
      <c r="T272" s="426"/>
      <c r="U272" s="426"/>
      <c r="V272" s="113">
        <v>52</v>
      </c>
      <c r="W272" s="432">
        <v>92.84</v>
      </c>
      <c r="X272" s="432">
        <v>94.07</v>
      </c>
      <c r="Y272" s="432">
        <v>94.55</v>
      </c>
      <c r="Z272" s="426"/>
      <c r="AA272" s="426"/>
      <c r="AB272" s="426"/>
      <c r="AC272" s="426"/>
      <c r="AD272" s="426"/>
      <c r="AE272" s="426"/>
      <c r="AF272" s="113">
        <v>52</v>
      </c>
      <c r="AG272" s="432">
        <v>99.17</v>
      </c>
      <c r="AH272" s="432">
        <v>100.56</v>
      </c>
      <c r="AI272" s="432">
        <v>101.08</v>
      </c>
      <c r="AJ272" s="426"/>
      <c r="AK272" s="426"/>
      <c r="AL272" s="426"/>
      <c r="AM272" s="426"/>
      <c r="AN272" s="426"/>
    </row>
    <row r="273" spans="1:40" s="429" customFormat="1" x14ac:dyDescent="0.2">
      <c r="A273" s="426"/>
      <c r="B273" s="113">
        <v>53</v>
      </c>
      <c r="C273" s="432">
        <v>81.27</v>
      </c>
      <c r="D273" s="432">
        <v>82.22</v>
      </c>
      <c r="E273" s="432">
        <v>82.63</v>
      </c>
      <c r="F273" s="426"/>
      <c r="G273" s="426"/>
      <c r="H273" s="426"/>
      <c r="I273" s="426"/>
      <c r="J273" s="426"/>
      <c r="K273" s="426"/>
      <c r="L273" s="113">
        <v>53</v>
      </c>
      <c r="M273" s="432">
        <v>87.14</v>
      </c>
      <c r="N273" s="432">
        <v>88.24</v>
      </c>
      <c r="O273" s="432">
        <v>88.68</v>
      </c>
      <c r="P273" s="426"/>
      <c r="Q273" s="426"/>
      <c r="R273" s="426"/>
      <c r="S273" s="426"/>
      <c r="T273" s="426"/>
      <c r="U273" s="426"/>
      <c r="V273" s="113">
        <v>53</v>
      </c>
      <c r="W273" s="432">
        <v>93.28</v>
      </c>
      <c r="X273" s="432">
        <v>94.52</v>
      </c>
      <c r="Y273" s="432">
        <v>95.01</v>
      </c>
      <c r="Z273" s="426"/>
      <c r="AA273" s="426"/>
      <c r="AB273" s="426"/>
      <c r="AC273" s="426"/>
      <c r="AD273" s="426"/>
      <c r="AE273" s="426"/>
      <c r="AF273" s="113">
        <v>53</v>
      </c>
      <c r="AG273" s="432">
        <v>99.63</v>
      </c>
      <c r="AH273" s="432">
        <v>101.03</v>
      </c>
      <c r="AI273" s="432">
        <v>101.55</v>
      </c>
      <c r="AJ273" s="426"/>
      <c r="AK273" s="426"/>
      <c r="AL273" s="426"/>
      <c r="AM273" s="426"/>
      <c r="AN273" s="426"/>
    </row>
    <row r="274" spans="1:40" s="429" customFormat="1" x14ac:dyDescent="0.2">
      <c r="A274" s="426"/>
      <c r="B274" s="113">
        <v>54</v>
      </c>
      <c r="C274" s="432">
        <v>81.61</v>
      </c>
      <c r="D274" s="432">
        <v>82.58</v>
      </c>
      <c r="E274" s="432">
        <v>82.99</v>
      </c>
      <c r="F274" s="426"/>
      <c r="G274" s="426"/>
      <c r="H274" s="426"/>
      <c r="I274" s="426"/>
      <c r="J274" s="426"/>
      <c r="K274" s="426"/>
      <c r="L274" s="113">
        <v>54</v>
      </c>
      <c r="M274" s="432">
        <v>87.54</v>
      </c>
      <c r="N274" s="432">
        <v>88.65</v>
      </c>
      <c r="O274" s="432">
        <v>89.1</v>
      </c>
      <c r="P274" s="426"/>
      <c r="Q274" s="426"/>
      <c r="R274" s="426"/>
      <c r="S274" s="426"/>
      <c r="T274" s="426"/>
      <c r="U274" s="426"/>
      <c r="V274" s="113">
        <v>54</v>
      </c>
      <c r="W274" s="432">
        <v>93.71</v>
      </c>
      <c r="X274" s="432">
        <v>94.98</v>
      </c>
      <c r="Y274" s="432">
        <v>95.46</v>
      </c>
      <c r="Z274" s="426"/>
      <c r="AA274" s="426"/>
      <c r="AB274" s="426"/>
      <c r="AC274" s="426"/>
      <c r="AD274" s="426"/>
      <c r="AE274" s="426"/>
      <c r="AF274" s="113">
        <v>54</v>
      </c>
      <c r="AG274" s="432">
        <v>100.06</v>
      </c>
      <c r="AH274" s="432">
        <v>101.49</v>
      </c>
      <c r="AI274" s="432">
        <v>102.01</v>
      </c>
      <c r="AJ274" s="426"/>
      <c r="AK274" s="426"/>
      <c r="AL274" s="426"/>
      <c r="AM274" s="426"/>
      <c r="AN274" s="426"/>
    </row>
    <row r="275" spans="1:40" s="429" customFormat="1" x14ac:dyDescent="0.2">
      <c r="A275" s="426"/>
      <c r="B275" s="113">
        <v>55</v>
      </c>
      <c r="C275" s="432">
        <v>81.96</v>
      </c>
      <c r="D275" s="432">
        <v>82.95</v>
      </c>
      <c r="E275" s="432">
        <v>83.36</v>
      </c>
      <c r="F275" s="426"/>
      <c r="G275" s="426"/>
      <c r="H275" s="426"/>
      <c r="I275" s="426"/>
      <c r="J275" s="426"/>
      <c r="K275" s="426"/>
      <c r="L275" s="113">
        <v>55</v>
      </c>
      <c r="M275" s="432">
        <v>87.94</v>
      </c>
      <c r="N275" s="432">
        <v>89.07</v>
      </c>
      <c r="O275" s="432">
        <v>89.52</v>
      </c>
      <c r="P275" s="426"/>
      <c r="Q275" s="426"/>
      <c r="R275" s="426"/>
      <c r="S275" s="426"/>
      <c r="T275" s="426"/>
      <c r="U275" s="426"/>
      <c r="V275" s="113">
        <v>55</v>
      </c>
      <c r="W275" s="432">
        <v>94.13</v>
      </c>
      <c r="X275" s="432">
        <v>95.42</v>
      </c>
      <c r="Y275" s="432">
        <v>95.9</v>
      </c>
      <c r="Z275" s="426"/>
      <c r="AA275" s="426"/>
      <c r="AB275" s="426"/>
      <c r="AC275" s="426"/>
      <c r="AD275" s="426"/>
      <c r="AE275" s="426"/>
      <c r="AF275" s="113">
        <v>55</v>
      </c>
      <c r="AG275" s="432">
        <v>100.46</v>
      </c>
      <c r="AH275" s="432">
        <v>101.9</v>
      </c>
      <c r="AI275" s="432">
        <v>102.42</v>
      </c>
      <c r="AJ275" s="426"/>
      <c r="AK275" s="426"/>
      <c r="AL275" s="426"/>
      <c r="AM275" s="426"/>
      <c r="AN275" s="426"/>
    </row>
    <row r="276" spans="1:40" s="429" customFormat="1" x14ac:dyDescent="0.2">
      <c r="A276" s="426"/>
      <c r="B276" s="113">
        <v>56</v>
      </c>
      <c r="C276" s="432">
        <v>82.32</v>
      </c>
      <c r="D276" s="432">
        <v>83.31</v>
      </c>
      <c r="E276" s="432">
        <v>83.73</v>
      </c>
      <c r="F276" s="426"/>
      <c r="G276" s="426"/>
      <c r="H276" s="426"/>
      <c r="I276" s="426"/>
      <c r="J276" s="426"/>
      <c r="K276" s="426"/>
      <c r="L276" s="113">
        <v>56</v>
      </c>
      <c r="M276" s="432">
        <v>88.33</v>
      </c>
      <c r="N276" s="432">
        <v>89.48</v>
      </c>
      <c r="O276" s="432">
        <v>89.93</v>
      </c>
      <c r="P276" s="426"/>
      <c r="Q276" s="426"/>
      <c r="R276" s="426"/>
      <c r="S276" s="426"/>
      <c r="T276" s="426"/>
      <c r="U276" s="426"/>
      <c r="V276" s="113">
        <v>56</v>
      </c>
      <c r="W276" s="432">
        <v>94.52</v>
      </c>
      <c r="X276" s="432">
        <v>95.83</v>
      </c>
      <c r="Y276" s="432">
        <v>96.31</v>
      </c>
      <c r="Z276" s="426"/>
      <c r="AA276" s="426"/>
      <c r="AB276" s="426"/>
      <c r="AC276" s="426"/>
      <c r="AD276" s="426"/>
      <c r="AE276" s="426"/>
      <c r="AF276" s="113">
        <v>56</v>
      </c>
      <c r="AG276" s="432">
        <v>100.8</v>
      </c>
      <c r="AH276" s="432">
        <v>102.27</v>
      </c>
      <c r="AI276" s="432">
        <v>102.79</v>
      </c>
      <c r="AJ276" s="426"/>
      <c r="AK276" s="426"/>
      <c r="AL276" s="426"/>
      <c r="AM276" s="426"/>
      <c r="AN276" s="426"/>
    </row>
    <row r="277" spans="1:40" s="429" customFormat="1" x14ac:dyDescent="0.2">
      <c r="A277" s="426"/>
      <c r="B277" s="113">
        <v>57</v>
      </c>
      <c r="C277" s="432">
        <v>82.66</v>
      </c>
      <c r="D277" s="432">
        <v>83.68</v>
      </c>
      <c r="E277" s="432">
        <v>84.09</v>
      </c>
      <c r="F277" s="426"/>
      <c r="G277" s="426"/>
      <c r="H277" s="426"/>
      <c r="I277" s="426"/>
      <c r="J277" s="426"/>
      <c r="K277" s="426"/>
      <c r="L277" s="113">
        <v>57</v>
      </c>
      <c r="M277" s="432">
        <v>88.7</v>
      </c>
      <c r="N277" s="432">
        <v>89.86</v>
      </c>
      <c r="O277" s="432">
        <v>90.31</v>
      </c>
      <c r="P277" s="426"/>
      <c r="Q277" s="426"/>
      <c r="R277" s="426"/>
      <c r="S277" s="426"/>
      <c r="T277" s="426"/>
      <c r="U277" s="426"/>
      <c r="V277" s="113">
        <v>57</v>
      </c>
      <c r="W277" s="432">
        <v>94.87</v>
      </c>
      <c r="X277" s="432">
        <v>96.19</v>
      </c>
      <c r="Y277" s="432">
        <v>96.68</v>
      </c>
      <c r="Z277" s="426"/>
      <c r="AA277" s="426"/>
      <c r="AB277" s="426"/>
      <c r="AC277" s="426"/>
      <c r="AD277" s="426"/>
      <c r="AE277" s="426"/>
      <c r="AF277" s="113">
        <v>57</v>
      </c>
      <c r="AG277" s="432">
        <v>101.08</v>
      </c>
      <c r="AH277" s="432">
        <v>102.56</v>
      </c>
      <c r="AI277" s="432">
        <v>103.08</v>
      </c>
      <c r="AJ277" s="426"/>
      <c r="AK277" s="426"/>
      <c r="AL277" s="426"/>
      <c r="AM277" s="426"/>
      <c r="AN277" s="426"/>
    </row>
    <row r="278" spans="1:40" s="429" customFormat="1" x14ac:dyDescent="0.2">
      <c r="A278" s="426"/>
      <c r="B278" s="113">
        <v>58</v>
      </c>
      <c r="C278" s="432">
        <v>82.99</v>
      </c>
      <c r="D278" s="432">
        <v>84.02</v>
      </c>
      <c r="E278" s="432">
        <v>84.44</v>
      </c>
      <c r="F278" s="426"/>
      <c r="G278" s="426"/>
      <c r="H278" s="426"/>
      <c r="I278" s="426"/>
      <c r="J278" s="426"/>
      <c r="K278" s="426"/>
      <c r="L278" s="113">
        <v>58</v>
      </c>
      <c r="M278" s="432">
        <v>89.03</v>
      </c>
      <c r="N278" s="432">
        <v>90.22</v>
      </c>
      <c r="O278" s="432">
        <v>90.67</v>
      </c>
      <c r="P278" s="426"/>
      <c r="Q278" s="426"/>
      <c r="R278" s="426"/>
      <c r="S278" s="426"/>
      <c r="T278" s="426"/>
      <c r="U278" s="426"/>
      <c r="V278" s="113">
        <v>58</v>
      </c>
      <c r="W278" s="432">
        <v>95.16</v>
      </c>
      <c r="X278" s="432">
        <v>96.51</v>
      </c>
      <c r="Y278" s="432">
        <v>96.99</v>
      </c>
      <c r="Z278" s="426"/>
      <c r="AA278" s="426"/>
      <c r="AB278" s="426"/>
      <c r="AC278" s="426"/>
      <c r="AD278" s="426"/>
      <c r="AE278" s="426"/>
      <c r="AF278" s="113">
        <v>58</v>
      </c>
      <c r="AG278" s="432">
        <v>101.27</v>
      </c>
      <c r="AH278" s="432">
        <v>102.77</v>
      </c>
      <c r="AI278" s="432">
        <v>103.29</v>
      </c>
      <c r="AJ278" s="426"/>
      <c r="AK278" s="426"/>
      <c r="AL278" s="426"/>
      <c r="AM278" s="426"/>
      <c r="AN278" s="426"/>
    </row>
    <row r="279" spans="1:40" s="429" customFormat="1" x14ac:dyDescent="0.2">
      <c r="A279" s="426"/>
      <c r="B279" s="113">
        <v>59</v>
      </c>
      <c r="C279" s="432">
        <v>83.29</v>
      </c>
      <c r="D279" s="432">
        <v>84.34</v>
      </c>
      <c r="E279" s="432">
        <v>84.76</v>
      </c>
      <c r="F279" s="426"/>
      <c r="G279" s="426"/>
      <c r="H279" s="426"/>
      <c r="I279" s="426"/>
      <c r="J279" s="426"/>
      <c r="K279" s="426"/>
      <c r="L279" s="113">
        <v>59</v>
      </c>
      <c r="M279" s="432">
        <v>89.32</v>
      </c>
      <c r="N279" s="432">
        <v>90.53</v>
      </c>
      <c r="O279" s="432">
        <v>90.98</v>
      </c>
      <c r="P279" s="426"/>
      <c r="Q279" s="426"/>
      <c r="R279" s="426"/>
      <c r="S279" s="426"/>
      <c r="T279" s="426"/>
      <c r="U279" s="426"/>
      <c r="V279" s="113">
        <v>59</v>
      </c>
      <c r="W279" s="432">
        <v>95.39</v>
      </c>
      <c r="X279" s="432">
        <v>96.74</v>
      </c>
      <c r="Y279" s="432">
        <v>97.23</v>
      </c>
      <c r="Z279" s="426"/>
      <c r="AA279" s="426"/>
      <c r="AB279" s="426"/>
      <c r="AC279" s="426"/>
      <c r="AD279" s="426"/>
      <c r="AE279" s="426"/>
      <c r="AF279" s="113">
        <v>59</v>
      </c>
      <c r="AG279" s="432">
        <v>101.35</v>
      </c>
      <c r="AH279" s="432">
        <v>102.87</v>
      </c>
      <c r="AI279" s="432">
        <v>103.38</v>
      </c>
      <c r="AJ279" s="426"/>
      <c r="AK279" s="426"/>
      <c r="AL279" s="426"/>
      <c r="AM279" s="426"/>
      <c r="AN279" s="426"/>
    </row>
    <row r="280" spans="1:40" s="429" customFormat="1" x14ac:dyDescent="0.2">
      <c r="A280" s="426"/>
      <c r="B280" s="113">
        <v>60</v>
      </c>
      <c r="C280" s="432">
        <v>83.56</v>
      </c>
      <c r="D280" s="432">
        <v>84.63</v>
      </c>
      <c r="E280" s="432">
        <v>85.04</v>
      </c>
      <c r="F280" s="426"/>
      <c r="G280" s="426"/>
      <c r="H280" s="426"/>
      <c r="I280" s="426"/>
      <c r="J280" s="426"/>
      <c r="K280" s="426"/>
      <c r="L280" s="113">
        <v>60</v>
      </c>
      <c r="M280" s="432">
        <v>89.55</v>
      </c>
      <c r="N280" s="432">
        <v>90.77</v>
      </c>
      <c r="O280" s="432">
        <v>91.22</v>
      </c>
      <c r="P280" s="426"/>
      <c r="Q280" s="426"/>
      <c r="R280" s="426"/>
      <c r="S280" s="426"/>
      <c r="T280" s="426"/>
      <c r="U280" s="426"/>
      <c r="V280" s="113">
        <v>60</v>
      </c>
      <c r="W280" s="432">
        <v>95.51</v>
      </c>
      <c r="X280" s="432">
        <v>96.89</v>
      </c>
      <c r="Y280" s="432">
        <v>97.37</v>
      </c>
      <c r="Z280" s="426"/>
      <c r="AA280" s="426"/>
      <c r="AB280" s="426"/>
      <c r="AC280" s="426"/>
      <c r="AD280" s="426"/>
      <c r="AE280" s="426"/>
      <c r="AF280" s="113">
        <v>60</v>
      </c>
      <c r="AG280" s="432">
        <v>101.31</v>
      </c>
      <c r="AH280" s="432">
        <v>102.84</v>
      </c>
      <c r="AI280" s="432">
        <v>103.36</v>
      </c>
      <c r="AJ280" s="426"/>
      <c r="AK280" s="426"/>
      <c r="AL280" s="426"/>
      <c r="AM280" s="426"/>
      <c r="AN280" s="426"/>
    </row>
    <row r="281" spans="1:40" s="429" customFormat="1" x14ac:dyDescent="0.2">
      <c r="A281" s="426"/>
      <c r="B281" s="113">
        <v>61</v>
      </c>
      <c r="C281" s="432">
        <v>83.77</v>
      </c>
      <c r="D281" s="432">
        <v>84.86</v>
      </c>
      <c r="E281" s="432">
        <v>85.27</v>
      </c>
      <c r="F281" s="426"/>
      <c r="G281" s="426"/>
      <c r="H281" s="426"/>
      <c r="I281" s="426"/>
      <c r="J281" s="426"/>
      <c r="K281" s="426"/>
      <c r="L281" s="113">
        <v>61</v>
      </c>
      <c r="M281" s="432">
        <v>89.7</v>
      </c>
      <c r="N281" s="432">
        <v>90.94</v>
      </c>
      <c r="O281" s="432">
        <v>91.39</v>
      </c>
      <c r="P281" s="426"/>
      <c r="Q281" s="426"/>
      <c r="R281" s="426"/>
      <c r="S281" s="426"/>
      <c r="T281" s="426"/>
      <c r="U281" s="426"/>
      <c r="V281" s="113">
        <v>61</v>
      </c>
      <c r="W281" s="432">
        <v>95.54</v>
      </c>
      <c r="X281" s="432">
        <v>96.92</v>
      </c>
      <c r="Y281" s="432">
        <v>97.41</v>
      </c>
      <c r="Z281" s="426"/>
      <c r="AA281" s="426"/>
      <c r="AB281" s="426"/>
      <c r="AC281" s="426"/>
      <c r="AD281" s="426"/>
      <c r="AE281" s="426"/>
      <c r="AF281" s="113">
        <v>61</v>
      </c>
      <c r="AG281" s="432">
        <v>101.13</v>
      </c>
      <c r="AH281" s="432">
        <v>102.67</v>
      </c>
      <c r="AI281" s="432">
        <v>103.18</v>
      </c>
      <c r="AJ281" s="426"/>
      <c r="AK281" s="426"/>
      <c r="AL281" s="426"/>
      <c r="AM281" s="426"/>
      <c r="AN281" s="426"/>
    </row>
    <row r="282" spans="1:40" s="429" customFormat="1" x14ac:dyDescent="0.2">
      <c r="A282" s="426"/>
      <c r="B282" s="113">
        <v>62</v>
      </c>
      <c r="C282" s="432">
        <v>83.92</v>
      </c>
      <c r="D282" s="432">
        <v>85.02</v>
      </c>
      <c r="E282" s="432">
        <v>85.44</v>
      </c>
      <c r="F282" s="426"/>
      <c r="G282" s="426"/>
      <c r="H282" s="426"/>
      <c r="I282" s="426"/>
      <c r="J282" s="426"/>
      <c r="K282" s="426"/>
      <c r="L282" s="113">
        <v>62</v>
      </c>
      <c r="M282" s="432">
        <v>89.76</v>
      </c>
      <c r="N282" s="432">
        <v>91.01</v>
      </c>
      <c r="O282" s="432">
        <v>91.46</v>
      </c>
      <c r="P282" s="426"/>
      <c r="Q282" s="426"/>
      <c r="R282" s="426"/>
      <c r="S282" s="426"/>
      <c r="T282" s="426"/>
      <c r="U282" s="426"/>
      <c r="V282" s="113">
        <v>62</v>
      </c>
      <c r="W282" s="432">
        <v>95.43</v>
      </c>
      <c r="X282" s="432">
        <v>96.83</v>
      </c>
      <c r="Y282" s="432">
        <v>97.31</v>
      </c>
      <c r="Z282" s="426"/>
      <c r="AA282" s="426"/>
      <c r="AB282" s="426"/>
      <c r="AC282" s="426"/>
      <c r="AD282" s="426"/>
      <c r="AE282" s="426"/>
      <c r="AF282" s="113">
        <v>62</v>
      </c>
      <c r="AG282" s="432">
        <v>100.78</v>
      </c>
      <c r="AH282" s="432">
        <v>102.33</v>
      </c>
      <c r="AI282" s="432">
        <v>102.83</v>
      </c>
      <c r="AJ282" s="426"/>
      <c r="AK282" s="426"/>
      <c r="AL282" s="426"/>
      <c r="AM282" s="426"/>
      <c r="AN282" s="426"/>
    </row>
    <row r="283" spans="1:40" s="429" customFormat="1" x14ac:dyDescent="0.2">
      <c r="A283" s="426"/>
      <c r="B283" s="113">
        <v>63</v>
      </c>
      <c r="C283" s="432">
        <v>83.99</v>
      </c>
      <c r="D283" s="432">
        <v>85.11</v>
      </c>
      <c r="E283" s="432">
        <v>85.53</v>
      </c>
      <c r="F283" s="426"/>
      <c r="G283" s="426"/>
      <c r="H283" s="426"/>
      <c r="I283" s="426"/>
      <c r="J283" s="426"/>
      <c r="K283" s="426"/>
      <c r="L283" s="113">
        <v>63</v>
      </c>
      <c r="M283" s="432">
        <v>89.71</v>
      </c>
      <c r="N283" s="432">
        <v>90.98</v>
      </c>
      <c r="O283" s="432">
        <v>91.43</v>
      </c>
      <c r="P283" s="426"/>
      <c r="Q283" s="426"/>
      <c r="R283" s="426"/>
      <c r="S283" s="426"/>
      <c r="T283" s="426"/>
      <c r="U283" s="426"/>
      <c r="V283" s="113">
        <v>63</v>
      </c>
      <c r="W283" s="432">
        <v>95.18</v>
      </c>
      <c r="X283" s="432">
        <v>96.6</v>
      </c>
      <c r="Y283" s="432">
        <v>97.07</v>
      </c>
      <c r="Z283" s="426"/>
      <c r="AA283" s="426"/>
      <c r="AB283" s="426"/>
      <c r="AC283" s="426"/>
      <c r="AD283" s="426"/>
      <c r="AE283" s="426"/>
      <c r="AF283" s="113">
        <v>63</v>
      </c>
      <c r="AG283" s="432">
        <v>100.26</v>
      </c>
      <c r="AH283" s="432">
        <v>101.81</v>
      </c>
      <c r="AI283" s="432">
        <v>102.32</v>
      </c>
      <c r="AJ283" s="426"/>
      <c r="AK283" s="426"/>
      <c r="AL283" s="426"/>
      <c r="AM283" s="426"/>
      <c r="AN283" s="426"/>
    </row>
    <row r="284" spans="1:40" s="429" customFormat="1" x14ac:dyDescent="0.2">
      <c r="A284" s="426"/>
      <c r="B284" s="113">
        <v>64</v>
      </c>
      <c r="C284" s="432">
        <v>83.99</v>
      </c>
      <c r="D284" s="432">
        <v>85.12</v>
      </c>
      <c r="E284" s="432">
        <v>85.54</v>
      </c>
      <c r="F284" s="426"/>
      <c r="G284" s="426"/>
      <c r="H284" s="426"/>
      <c r="I284" s="426"/>
      <c r="J284" s="426"/>
      <c r="K284" s="426"/>
      <c r="L284" s="113">
        <v>64</v>
      </c>
      <c r="M284" s="432">
        <v>89.55</v>
      </c>
      <c r="N284" s="432">
        <v>90.83</v>
      </c>
      <c r="O284" s="432">
        <v>91.28</v>
      </c>
      <c r="P284" s="426"/>
      <c r="Q284" s="426"/>
      <c r="R284" s="426"/>
      <c r="S284" s="426"/>
      <c r="T284" s="426"/>
      <c r="U284" s="426"/>
      <c r="V284" s="113">
        <v>64</v>
      </c>
      <c r="W284" s="432">
        <v>94.79</v>
      </c>
      <c r="X284" s="432">
        <v>96.21</v>
      </c>
      <c r="Y284" s="432">
        <v>96.69</v>
      </c>
      <c r="Z284" s="426"/>
      <c r="AA284" s="426"/>
      <c r="AB284" s="426"/>
      <c r="AC284" s="426"/>
      <c r="AD284" s="426"/>
      <c r="AE284" s="426"/>
      <c r="AF284" s="113">
        <v>64</v>
      </c>
      <c r="AG284" s="432">
        <v>99.57</v>
      </c>
      <c r="AH284" s="432">
        <v>101.12</v>
      </c>
      <c r="AI284" s="432">
        <v>101.62</v>
      </c>
      <c r="AJ284" s="426"/>
      <c r="AK284" s="426"/>
      <c r="AL284" s="426"/>
      <c r="AM284" s="426"/>
      <c r="AN284" s="426"/>
    </row>
    <row r="285" spans="1:40" s="429" customFormat="1" x14ac:dyDescent="0.2">
      <c r="A285" s="426"/>
      <c r="B285" s="113">
        <v>65</v>
      </c>
      <c r="C285" s="432">
        <v>83.89</v>
      </c>
      <c r="D285" s="432">
        <v>85.04</v>
      </c>
      <c r="E285" s="432">
        <v>85.45</v>
      </c>
      <c r="F285" s="426"/>
      <c r="G285" s="426"/>
      <c r="H285" s="426"/>
      <c r="I285" s="426"/>
      <c r="J285" s="426"/>
      <c r="K285" s="426"/>
      <c r="L285" s="113">
        <v>65</v>
      </c>
      <c r="M285" s="432">
        <v>89.27</v>
      </c>
      <c r="N285" s="432">
        <v>90.56</v>
      </c>
      <c r="O285" s="432">
        <v>91.01</v>
      </c>
      <c r="P285" s="426"/>
      <c r="Q285" s="426"/>
      <c r="R285" s="426"/>
      <c r="S285" s="426"/>
      <c r="T285" s="426"/>
      <c r="U285" s="426"/>
      <c r="V285" s="113">
        <v>65</v>
      </c>
      <c r="W285" s="432">
        <v>94.26</v>
      </c>
      <c r="X285" s="432">
        <v>95.68</v>
      </c>
      <c r="Y285" s="432">
        <v>96.15</v>
      </c>
      <c r="Z285" s="426"/>
      <c r="AA285" s="426"/>
      <c r="AB285" s="426"/>
      <c r="AC285" s="426"/>
      <c r="AD285" s="426"/>
      <c r="AE285" s="426"/>
      <c r="AF285" s="113">
        <v>65</v>
      </c>
      <c r="AG285" s="432">
        <v>98.7</v>
      </c>
      <c r="AH285" s="432">
        <v>100.24</v>
      </c>
      <c r="AI285" s="432">
        <v>100.74</v>
      </c>
      <c r="AJ285" s="426"/>
      <c r="AK285" s="426"/>
      <c r="AL285" s="426"/>
      <c r="AM285" s="426"/>
      <c r="AN285" s="426"/>
    </row>
    <row r="286" spans="1:40" s="429" customFormat="1" x14ac:dyDescent="0.2">
      <c r="A286" s="426"/>
      <c r="B286" s="113">
        <v>66</v>
      </c>
      <c r="C286" s="432">
        <v>83.7</v>
      </c>
      <c r="D286" s="432">
        <v>84.86</v>
      </c>
      <c r="E286" s="432">
        <v>85.28</v>
      </c>
      <c r="F286" s="426"/>
      <c r="G286" s="426"/>
      <c r="H286" s="426"/>
      <c r="I286" s="426"/>
      <c r="J286" s="426"/>
      <c r="K286" s="426"/>
      <c r="L286" s="113">
        <v>66</v>
      </c>
      <c r="M286" s="432">
        <v>88.87</v>
      </c>
      <c r="N286" s="432">
        <v>90.17</v>
      </c>
      <c r="O286" s="432">
        <v>90.61</v>
      </c>
      <c r="P286" s="426"/>
      <c r="Q286" s="426"/>
      <c r="R286" s="426"/>
      <c r="S286" s="426"/>
      <c r="T286" s="426"/>
      <c r="U286" s="426"/>
      <c r="V286" s="113">
        <v>66</v>
      </c>
      <c r="W286" s="432">
        <v>93.56</v>
      </c>
      <c r="X286" s="432">
        <v>94.99</v>
      </c>
      <c r="Y286" s="432">
        <v>95.46</v>
      </c>
      <c r="Z286" s="426"/>
      <c r="AA286" s="426"/>
      <c r="AB286" s="426"/>
      <c r="AC286" s="426"/>
      <c r="AD286" s="426"/>
      <c r="AE286" s="426"/>
      <c r="AF286" s="113">
        <v>66</v>
      </c>
      <c r="AG286" s="432">
        <v>97.65</v>
      </c>
      <c r="AH286" s="432">
        <v>99.19</v>
      </c>
      <c r="AI286" s="432">
        <v>99.68</v>
      </c>
      <c r="AJ286" s="426"/>
      <c r="AK286" s="426"/>
      <c r="AL286" s="426"/>
      <c r="AM286" s="426"/>
      <c r="AN286" s="426"/>
    </row>
    <row r="287" spans="1:40" s="429" customFormat="1" x14ac:dyDescent="0.2">
      <c r="A287" s="426"/>
      <c r="B287" s="113">
        <v>67</v>
      </c>
      <c r="C287" s="432">
        <v>83.42</v>
      </c>
      <c r="D287" s="432">
        <v>84.59</v>
      </c>
      <c r="E287" s="432">
        <v>85</v>
      </c>
      <c r="F287" s="426"/>
      <c r="G287" s="426"/>
      <c r="H287" s="426"/>
      <c r="I287" s="426"/>
      <c r="J287" s="426"/>
      <c r="K287" s="426"/>
      <c r="L287" s="113">
        <v>67</v>
      </c>
      <c r="M287" s="432">
        <v>88.34</v>
      </c>
      <c r="N287" s="432">
        <v>89.65</v>
      </c>
      <c r="O287" s="432">
        <v>90.09</v>
      </c>
      <c r="P287" s="426"/>
      <c r="Q287" s="426"/>
      <c r="R287" s="426"/>
      <c r="S287" s="426"/>
      <c r="T287" s="426"/>
      <c r="U287" s="426"/>
      <c r="V287" s="113">
        <v>67</v>
      </c>
      <c r="W287" s="432">
        <v>92.72</v>
      </c>
      <c r="X287" s="432">
        <v>94.14</v>
      </c>
      <c r="Y287" s="432">
        <v>94.61</v>
      </c>
      <c r="Z287" s="426"/>
      <c r="AA287" s="426"/>
      <c r="AB287" s="426"/>
      <c r="AC287" s="426"/>
      <c r="AD287" s="426"/>
      <c r="AE287" s="426"/>
      <c r="AF287" s="113">
        <v>67</v>
      </c>
      <c r="AG287" s="432">
        <v>96.43</v>
      </c>
      <c r="AH287" s="432">
        <v>97.96</v>
      </c>
      <c r="AI287" s="432">
        <v>98.44</v>
      </c>
      <c r="AJ287" s="426"/>
      <c r="AK287" s="426"/>
      <c r="AL287" s="426"/>
      <c r="AM287" s="426"/>
      <c r="AN287" s="426"/>
    </row>
    <row r="288" spans="1:40" s="429" customFormat="1" x14ac:dyDescent="0.2">
      <c r="A288" s="426"/>
      <c r="B288" s="113">
        <v>68</v>
      </c>
      <c r="C288" s="432">
        <v>83.02</v>
      </c>
      <c r="D288" s="432">
        <v>84.2</v>
      </c>
      <c r="E288" s="432">
        <v>84.62</v>
      </c>
      <c r="F288" s="426"/>
      <c r="G288" s="426"/>
      <c r="H288" s="426"/>
      <c r="I288" s="426"/>
      <c r="J288" s="426"/>
      <c r="K288" s="426"/>
      <c r="L288" s="113">
        <v>68</v>
      </c>
      <c r="M288" s="432">
        <v>87.68</v>
      </c>
      <c r="N288" s="432">
        <v>88.99</v>
      </c>
      <c r="O288" s="432">
        <v>89.43</v>
      </c>
      <c r="P288" s="426"/>
      <c r="Q288" s="426"/>
      <c r="R288" s="426"/>
      <c r="S288" s="426"/>
      <c r="T288" s="426"/>
      <c r="U288" s="426"/>
      <c r="V288" s="113">
        <v>68</v>
      </c>
      <c r="W288" s="432">
        <v>91.72</v>
      </c>
      <c r="X288" s="432">
        <v>93.14</v>
      </c>
      <c r="Y288" s="432">
        <v>93.6</v>
      </c>
      <c r="Z288" s="426"/>
      <c r="AA288" s="426"/>
      <c r="AB288" s="426"/>
      <c r="AC288" s="426"/>
      <c r="AD288" s="426"/>
      <c r="AE288" s="426"/>
      <c r="AF288" s="113">
        <v>68</v>
      </c>
      <c r="AG288" s="432">
        <v>95.04</v>
      </c>
      <c r="AH288" s="432">
        <v>96.55</v>
      </c>
      <c r="AI288" s="432">
        <v>97.03</v>
      </c>
      <c r="AJ288" s="426"/>
      <c r="AK288" s="426"/>
      <c r="AL288" s="426"/>
      <c r="AM288" s="426"/>
      <c r="AN288" s="426"/>
    </row>
    <row r="289" spans="1:40" s="429" customFormat="1" x14ac:dyDescent="0.2">
      <c r="A289" s="426"/>
      <c r="B289" s="113">
        <v>69</v>
      </c>
      <c r="C289" s="432">
        <v>82.52</v>
      </c>
      <c r="D289" s="432">
        <v>83.71</v>
      </c>
      <c r="E289" s="432">
        <v>84.12</v>
      </c>
      <c r="F289" s="426"/>
      <c r="G289" s="426"/>
      <c r="H289" s="426"/>
      <c r="I289" s="426"/>
      <c r="J289" s="426"/>
      <c r="K289" s="426"/>
      <c r="L289" s="113">
        <v>69</v>
      </c>
      <c r="M289" s="432">
        <v>86.89</v>
      </c>
      <c r="N289" s="432">
        <v>88.2</v>
      </c>
      <c r="O289" s="432">
        <v>88.63</v>
      </c>
      <c r="P289" s="426"/>
      <c r="Q289" s="426"/>
      <c r="R289" s="426"/>
      <c r="S289" s="426"/>
      <c r="T289" s="426"/>
      <c r="U289" s="426"/>
      <c r="V289" s="113">
        <v>69</v>
      </c>
      <c r="W289" s="432">
        <v>90.56</v>
      </c>
      <c r="X289" s="432">
        <v>91.98</v>
      </c>
      <c r="Y289" s="432">
        <v>92.43</v>
      </c>
      <c r="Z289" s="426"/>
      <c r="AA289" s="426"/>
      <c r="AB289" s="426"/>
      <c r="AC289" s="426"/>
      <c r="AD289" s="426"/>
      <c r="AE289" s="426"/>
      <c r="AF289" s="113">
        <v>69</v>
      </c>
      <c r="AG289" s="432">
        <v>93.49</v>
      </c>
      <c r="AH289" s="432">
        <v>94.99</v>
      </c>
      <c r="AI289" s="432">
        <v>95.46</v>
      </c>
      <c r="AJ289" s="426"/>
      <c r="AK289" s="426"/>
      <c r="AL289" s="426"/>
      <c r="AM289" s="426"/>
      <c r="AN289" s="426"/>
    </row>
    <row r="290" spans="1:40" s="429" customFormat="1" x14ac:dyDescent="0.2">
      <c r="A290" s="426"/>
      <c r="B290" s="113">
        <v>70</v>
      </c>
      <c r="C290" s="432">
        <v>81.91</v>
      </c>
      <c r="D290" s="432">
        <v>83.1</v>
      </c>
      <c r="E290" s="432">
        <v>83.51</v>
      </c>
      <c r="F290" s="426"/>
      <c r="G290" s="426"/>
      <c r="H290" s="426"/>
      <c r="I290" s="426"/>
      <c r="J290" s="426"/>
      <c r="K290" s="426"/>
      <c r="L290" s="113">
        <v>70</v>
      </c>
      <c r="M290" s="432">
        <v>85.96</v>
      </c>
      <c r="N290" s="432">
        <v>87.26</v>
      </c>
      <c r="O290" s="432">
        <v>87.7</v>
      </c>
      <c r="P290" s="426"/>
      <c r="Q290" s="426"/>
      <c r="R290" s="426"/>
      <c r="S290" s="426"/>
      <c r="T290" s="426"/>
      <c r="U290" s="426"/>
      <c r="V290" s="113">
        <v>70</v>
      </c>
      <c r="W290" s="432">
        <v>89.26</v>
      </c>
      <c r="X290" s="432">
        <v>90.66</v>
      </c>
      <c r="Y290" s="432">
        <v>91.11</v>
      </c>
      <c r="Z290" s="426"/>
      <c r="AA290" s="426"/>
      <c r="AB290" s="426"/>
      <c r="AC290" s="426"/>
      <c r="AD290" s="426"/>
      <c r="AE290" s="426"/>
      <c r="AF290" s="113">
        <v>70</v>
      </c>
      <c r="AG290" s="432">
        <v>91.79</v>
      </c>
      <c r="AH290" s="432">
        <v>93.27</v>
      </c>
      <c r="AI290" s="432">
        <v>93.73</v>
      </c>
      <c r="AJ290" s="426"/>
      <c r="AK290" s="426"/>
      <c r="AL290" s="426"/>
      <c r="AM290" s="426"/>
      <c r="AN290" s="426"/>
    </row>
    <row r="291" spans="1:40" s="429" customFormat="1" x14ac:dyDescent="0.2">
      <c r="A291" s="426"/>
      <c r="B291" s="113">
        <v>71</v>
      </c>
      <c r="C291" s="432">
        <v>81.180000000000007</v>
      </c>
      <c r="D291" s="432">
        <v>82.38</v>
      </c>
      <c r="E291" s="432">
        <v>82.79</v>
      </c>
      <c r="F291" s="426"/>
      <c r="G291" s="426"/>
      <c r="H291" s="426"/>
      <c r="I291" s="426"/>
      <c r="J291" s="426"/>
      <c r="K291" s="426"/>
      <c r="L291" s="113">
        <v>71</v>
      </c>
      <c r="M291" s="432">
        <v>84.89</v>
      </c>
      <c r="N291" s="432">
        <v>86.19</v>
      </c>
      <c r="O291" s="432">
        <v>86.62</v>
      </c>
      <c r="P291" s="426"/>
      <c r="Q291" s="426"/>
      <c r="R291" s="426"/>
      <c r="S291" s="426"/>
      <c r="T291" s="426"/>
      <c r="U291" s="426"/>
      <c r="V291" s="113">
        <v>71</v>
      </c>
      <c r="W291" s="432">
        <v>87.81</v>
      </c>
      <c r="X291" s="432">
        <v>89.2</v>
      </c>
      <c r="Y291" s="432">
        <v>89.65</v>
      </c>
      <c r="Z291" s="426"/>
      <c r="AA291" s="426"/>
      <c r="AB291" s="426"/>
      <c r="AC291" s="426"/>
      <c r="AD291" s="426"/>
      <c r="AE291" s="426"/>
      <c r="AF291" s="113">
        <v>71</v>
      </c>
      <c r="AG291" s="432">
        <v>89.95</v>
      </c>
      <c r="AH291" s="432">
        <v>91.41</v>
      </c>
      <c r="AI291" s="432">
        <v>91.87</v>
      </c>
      <c r="AJ291" s="426"/>
      <c r="AK291" s="426"/>
      <c r="AL291" s="426"/>
      <c r="AM291" s="426"/>
      <c r="AN291" s="426"/>
    </row>
    <row r="292" spans="1:40" s="429" customFormat="1" x14ac:dyDescent="0.2">
      <c r="A292" s="426"/>
      <c r="B292" s="113">
        <v>72</v>
      </c>
      <c r="C292" s="432">
        <v>80.319999999999993</v>
      </c>
      <c r="D292" s="432">
        <v>81.52</v>
      </c>
      <c r="E292" s="432">
        <v>81.93</v>
      </c>
      <c r="F292" s="426"/>
      <c r="G292" s="426"/>
      <c r="H292" s="426"/>
      <c r="I292" s="426"/>
      <c r="J292" s="426"/>
      <c r="K292" s="426"/>
      <c r="L292" s="113">
        <v>72</v>
      </c>
      <c r="M292" s="432">
        <v>83.67</v>
      </c>
      <c r="N292" s="432">
        <v>84.97</v>
      </c>
      <c r="O292" s="432">
        <v>85.4</v>
      </c>
      <c r="P292" s="426"/>
      <c r="Q292" s="426"/>
      <c r="R292" s="426"/>
      <c r="S292" s="426"/>
      <c r="T292" s="426"/>
      <c r="U292" s="426"/>
      <c r="V292" s="113">
        <v>72</v>
      </c>
      <c r="W292" s="432">
        <v>86.21</v>
      </c>
      <c r="X292" s="432">
        <v>87.59</v>
      </c>
      <c r="Y292" s="432">
        <v>88.03</v>
      </c>
      <c r="Z292" s="426"/>
      <c r="AA292" s="426"/>
      <c r="AB292" s="426"/>
      <c r="AC292" s="426"/>
      <c r="AD292" s="426"/>
      <c r="AE292" s="426"/>
      <c r="AF292" s="113">
        <v>72</v>
      </c>
      <c r="AG292" s="432">
        <v>87.97</v>
      </c>
      <c r="AH292" s="432">
        <v>89.41</v>
      </c>
      <c r="AI292" s="432">
        <v>89.86</v>
      </c>
      <c r="AJ292" s="426"/>
      <c r="AK292" s="426"/>
      <c r="AL292" s="426"/>
      <c r="AM292" s="426"/>
      <c r="AN292" s="426"/>
    </row>
    <row r="293" spans="1:40" s="429" customFormat="1" x14ac:dyDescent="0.2">
      <c r="A293" s="426"/>
      <c r="B293" s="113">
        <v>73</v>
      </c>
      <c r="C293" s="432">
        <v>79.34</v>
      </c>
      <c r="D293" s="432">
        <v>80.540000000000006</v>
      </c>
      <c r="E293" s="432">
        <v>80.95</v>
      </c>
      <c r="F293" s="426"/>
      <c r="G293" s="426"/>
      <c r="H293" s="426"/>
      <c r="I293" s="426"/>
      <c r="J293" s="426"/>
      <c r="K293" s="426"/>
      <c r="L293" s="113">
        <v>73</v>
      </c>
      <c r="M293" s="432">
        <v>82.33</v>
      </c>
      <c r="N293" s="432">
        <v>83.63</v>
      </c>
      <c r="O293" s="432">
        <v>84.05</v>
      </c>
      <c r="P293" s="426"/>
      <c r="Q293" s="426"/>
      <c r="R293" s="426"/>
      <c r="S293" s="426"/>
      <c r="T293" s="426"/>
      <c r="U293" s="426"/>
      <c r="V293" s="113">
        <v>73</v>
      </c>
      <c r="W293" s="432">
        <v>84.49</v>
      </c>
      <c r="X293" s="432">
        <v>85.85</v>
      </c>
      <c r="Y293" s="432">
        <v>86.29</v>
      </c>
      <c r="Z293" s="426"/>
      <c r="AA293" s="426"/>
      <c r="AB293" s="426"/>
      <c r="AC293" s="426"/>
      <c r="AD293" s="426"/>
      <c r="AE293" s="426"/>
      <c r="AF293" s="113">
        <v>73</v>
      </c>
      <c r="AG293" s="432">
        <v>85.87</v>
      </c>
      <c r="AH293" s="432">
        <v>87.3</v>
      </c>
      <c r="AI293" s="432">
        <v>87.73</v>
      </c>
      <c r="AJ293" s="426"/>
      <c r="AK293" s="426"/>
      <c r="AL293" s="426"/>
      <c r="AM293" s="426"/>
      <c r="AN293" s="426"/>
    </row>
    <row r="294" spans="1:40" s="429" customFormat="1" x14ac:dyDescent="0.2">
      <c r="A294" s="426"/>
      <c r="B294" s="113">
        <v>74</v>
      </c>
      <c r="C294" s="432">
        <v>78.25</v>
      </c>
      <c r="D294" s="432">
        <v>79.45</v>
      </c>
      <c r="E294" s="432">
        <v>79.849999999999994</v>
      </c>
      <c r="F294" s="426"/>
      <c r="G294" s="426"/>
      <c r="H294" s="426"/>
      <c r="I294" s="426"/>
      <c r="J294" s="426"/>
      <c r="K294" s="426"/>
      <c r="L294" s="113">
        <v>74</v>
      </c>
      <c r="M294" s="432">
        <v>80.87</v>
      </c>
      <c r="N294" s="432">
        <v>82.15</v>
      </c>
      <c r="O294" s="432">
        <v>82.57</v>
      </c>
      <c r="P294" s="426"/>
      <c r="Q294" s="426"/>
      <c r="R294" s="426"/>
      <c r="S294" s="426"/>
      <c r="T294" s="426"/>
      <c r="U294" s="426"/>
      <c r="V294" s="113">
        <v>74</v>
      </c>
      <c r="W294" s="432">
        <v>82.65</v>
      </c>
      <c r="X294" s="432">
        <v>84</v>
      </c>
      <c r="Y294" s="432">
        <v>84.43</v>
      </c>
      <c r="Z294" s="426"/>
      <c r="AA294" s="426"/>
      <c r="AB294" s="426"/>
      <c r="AC294" s="426"/>
      <c r="AD294" s="426"/>
      <c r="AE294" s="426"/>
      <c r="AF294" s="113">
        <v>74</v>
      </c>
      <c r="AG294" s="432">
        <v>83.69</v>
      </c>
      <c r="AH294" s="432">
        <v>85.09</v>
      </c>
      <c r="AI294" s="432">
        <v>85.52</v>
      </c>
      <c r="AJ294" s="426"/>
      <c r="AK294" s="426"/>
      <c r="AL294" s="426"/>
      <c r="AM294" s="426"/>
      <c r="AN294" s="426"/>
    </row>
    <row r="295" spans="1:40" s="429" customFormat="1" x14ac:dyDescent="0.2">
      <c r="A295" s="426"/>
      <c r="B295" s="113">
        <v>75</v>
      </c>
      <c r="C295" s="432">
        <v>77.040000000000006</v>
      </c>
      <c r="D295" s="432">
        <v>78.239999999999995</v>
      </c>
      <c r="E295" s="432">
        <v>78.64</v>
      </c>
      <c r="F295" s="426"/>
      <c r="G295" s="426"/>
      <c r="H295" s="426"/>
      <c r="I295" s="426"/>
      <c r="J295" s="426"/>
      <c r="K295" s="426"/>
      <c r="L295" s="113">
        <v>75</v>
      </c>
      <c r="M295" s="432">
        <v>79.290000000000006</v>
      </c>
      <c r="N295" s="432">
        <v>80.56</v>
      </c>
      <c r="O295" s="432">
        <v>80.98</v>
      </c>
      <c r="P295" s="426"/>
      <c r="Q295" s="426"/>
      <c r="R295" s="426"/>
      <c r="S295" s="426"/>
      <c r="T295" s="426"/>
      <c r="U295" s="426"/>
      <c r="V295" s="113">
        <v>75</v>
      </c>
      <c r="W295" s="432">
        <v>80.709999999999994</v>
      </c>
      <c r="X295" s="432">
        <v>82.04</v>
      </c>
      <c r="Y295" s="432">
        <v>82.46</v>
      </c>
      <c r="Z295" s="426"/>
      <c r="AA295" s="426"/>
      <c r="AB295" s="426"/>
      <c r="AC295" s="426"/>
      <c r="AD295" s="426"/>
      <c r="AE295" s="426"/>
      <c r="AF295" s="113">
        <v>75</v>
      </c>
      <c r="AG295" s="432">
        <v>81.42</v>
      </c>
      <c r="AH295" s="432">
        <v>82.8</v>
      </c>
      <c r="AI295" s="432">
        <v>83.22</v>
      </c>
      <c r="AJ295" s="426"/>
      <c r="AK295" s="426"/>
      <c r="AL295" s="426"/>
      <c r="AM295" s="426"/>
      <c r="AN295" s="426"/>
    </row>
    <row r="296" spans="1:40" s="429" customFormat="1" x14ac:dyDescent="0.2">
      <c r="A296" s="426"/>
      <c r="B296" s="113">
        <v>76</v>
      </c>
      <c r="C296" s="432">
        <v>75.72</v>
      </c>
      <c r="D296" s="432">
        <v>76.91</v>
      </c>
      <c r="E296" s="432">
        <v>77.31</v>
      </c>
      <c r="F296" s="426"/>
      <c r="G296" s="426"/>
      <c r="H296" s="426"/>
      <c r="I296" s="426"/>
      <c r="J296" s="426"/>
      <c r="K296" s="426"/>
      <c r="L296" s="113">
        <v>76</v>
      </c>
      <c r="M296" s="432">
        <v>77.599999999999994</v>
      </c>
      <c r="N296" s="432">
        <v>78.86</v>
      </c>
      <c r="O296" s="432">
        <v>79.27</v>
      </c>
      <c r="P296" s="426"/>
      <c r="Q296" s="426"/>
      <c r="R296" s="426"/>
      <c r="S296" s="426"/>
      <c r="T296" s="426"/>
      <c r="U296" s="426"/>
      <c r="V296" s="113">
        <v>76</v>
      </c>
      <c r="W296" s="432">
        <v>78.67</v>
      </c>
      <c r="X296" s="432">
        <v>79.989999999999995</v>
      </c>
      <c r="Y296" s="432">
        <v>80.400000000000006</v>
      </c>
      <c r="Z296" s="426"/>
      <c r="AA296" s="426"/>
      <c r="AB296" s="426"/>
      <c r="AC296" s="426"/>
      <c r="AD296" s="426"/>
      <c r="AE296" s="426"/>
      <c r="AF296" s="113">
        <v>76</v>
      </c>
      <c r="AG296" s="432">
        <v>79.09</v>
      </c>
      <c r="AH296" s="432">
        <v>80.44</v>
      </c>
      <c r="AI296" s="432">
        <v>80.86</v>
      </c>
      <c r="AJ296" s="426"/>
      <c r="AK296" s="426"/>
      <c r="AL296" s="426"/>
      <c r="AM296" s="426"/>
      <c r="AN296" s="426"/>
    </row>
    <row r="297" spans="1:40" s="429" customFormat="1" x14ac:dyDescent="0.2">
      <c r="A297" s="426"/>
      <c r="B297" s="113">
        <v>77</v>
      </c>
      <c r="C297" s="432">
        <v>74.290000000000006</v>
      </c>
      <c r="D297" s="432">
        <v>75.48</v>
      </c>
      <c r="E297" s="432">
        <v>75.87</v>
      </c>
      <c r="F297" s="426"/>
      <c r="G297" s="426"/>
      <c r="H297" s="426"/>
      <c r="I297" s="426"/>
      <c r="J297" s="426"/>
      <c r="K297" s="426"/>
      <c r="L297" s="113">
        <v>77</v>
      </c>
      <c r="M297" s="432">
        <v>75.81</v>
      </c>
      <c r="N297" s="432">
        <v>77.069999999999993</v>
      </c>
      <c r="O297" s="432">
        <v>77.47</v>
      </c>
      <c r="P297" s="426"/>
      <c r="Q297" s="426"/>
      <c r="R297" s="426"/>
      <c r="S297" s="426"/>
      <c r="T297" s="426"/>
      <c r="U297" s="426"/>
      <c r="V297" s="113">
        <v>77</v>
      </c>
      <c r="W297" s="432">
        <v>76.56</v>
      </c>
      <c r="X297" s="432">
        <v>77.86</v>
      </c>
      <c r="Y297" s="432">
        <v>78.27</v>
      </c>
      <c r="Z297" s="426"/>
      <c r="AA297" s="426"/>
      <c r="AB297" s="426"/>
      <c r="AC297" s="426"/>
      <c r="AD297" s="426"/>
      <c r="AE297" s="426"/>
      <c r="AF297" s="113">
        <v>77</v>
      </c>
      <c r="AG297" s="432">
        <v>76.709999999999994</v>
      </c>
      <c r="AH297" s="432">
        <v>78.040000000000006</v>
      </c>
      <c r="AI297" s="432">
        <v>78.45</v>
      </c>
      <c r="AJ297" s="426"/>
      <c r="AK297" s="426"/>
      <c r="AL297" s="426"/>
      <c r="AM297" s="426"/>
      <c r="AN297" s="426"/>
    </row>
    <row r="298" spans="1:40" s="429" customFormat="1" x14ac:dyDescent="0.2">
      <c r="A298" s="426"/>
      <c r="B298" s="113">
        <v>78</v>
      </c>
      <c r="C298" s="432">
        <v>72.760000000000005</v>
      </c>
      <c r="D298" s="432">
        <v>73.94</v>
      </c>
      <c r="E298" s="432">
        <v>74.33</v>
      </c>
      <c r="F298" s="426"/>
      <c r="G298" s="426"/>
      <c r="H298" s="426"/>
      <c r="I298" s="426"/>
      <c r="J298" s="426"/>
      <c r="K298" s="426"/>
      <c r="L298" s="113">
        <v>78</v>
      </c>
      <c r="M298" s="432">
        <v>73.94</v>
      </c>
      <c r="N298" s="432">
        <v>75.180000000000007</v>
      </c>
      <c r="O298" s="432">
        <v>75.58</v>
      </c>
      <c r="P298" s="426"/>
      <c r="Q298" s="426"/>
      <c r="R298" s="426"/>
      <c r="S298" s="426"/>
      <c r="T298" s="426"/>
      <c r="U298" s="426"/>
      <c r="V298" s="113">
        <v>78</v>
      </c>
      <c r="W298" s="432">
        <v>74.39</v>
      </c>
      <c r="X298" s="432">
        <v>75.66</v>
      </c>
      <c r="Y298" s="432">
        <v>76.069999999999993</v>
      </c>
      <c r="Z298" s="426"/>
      <c r="AA298" s="426"/>
      <c r="AB298" s="426"/>
      <c r="AC298" s="426"/>
      <c r="AD298" s="426"/>
      <c r="AE298" s="426"/>
      <c r="AF298" s="113">
        <v>78</v>
      </c>
      <c r="AG298" s="432">
        <v>74.3</v>
      </c>
      <c r="AH298" s="432">
        <v>75.599999999999994</v>
      </c>
      <c r="AI298" s="432">
        <v>76</v>
      </c>
      <c r="AJ298" s="426"/>
      <c r="AK298" s="426"/>
      <c r="AL298" s="426"/>
      <c r="AM298" s="426"/>
      <c r="AN298" s="426"/>
    </row>
    <row r="299" spans="1:40" s="429" customFormat="1" x14ac:dyDescent="0.2">
      <c r="A299" s="426"/>
      <c r="B299" s="113">
        <v>79</v>
      </c>
      <c r="C299" s="432">
        <v>71.13</v>
      </c>
      <c r="D299" s="432">
        <v>72.31</v>
      </c>
      <c r="E299" s="432">
        <v>72.7</v>
      </c>
      <c r="F299" s="426"/>
      <c r="G299" s="426"/>
      <c r="H299" s="426"/>
      <c r="I299" s="426"/>
      <c r="J299" s="426"/>
      <c r="K299" s="426"/>
      <c r="L299" s="113">
        <v>79</v>
      </c>
      <c r="M299" s="432">
        <v>71.98</v>
      </c>
      <c r="N299" s="432">
        <v>73.209999999999994</v>
      </c>
      <c r="O299" s="432">
        <v>73.599999999999994</v>
      </c>
      <c r="P299" s="426"/>
      <c r="Q299" s="426"/>
      <c r="R299" s="426"/>
      <c r="S299" s="426"/>
      <c r="T299" s="426"/>
      <c r="U299" s="426"/>
      <c r="V299" s="113">
        <v>79</v>
      </c>
      <c r="W299" s="432">
        <v>72.16</v>
      </c>
      <c r="X299" s="432">
        <v>73.42</v>
      </c>
      <c r="Y299" s="432">
        <v>73.819999999999993</v>
      </c>
      <c r="Z299" s="426"/>
      <c r="AA299" s="426"/>
      <c r="AB299" s="426"/>
      <c r="AC299" s="426"/>
      <c r="AD299" s="426"/>
      <c r="AE299" s="426"/>
      <c r="AF299" s="113">
        <v>79</v>
      </c>
      <c r="AG299" s="432">
        <v>71.86</v>
      </c>
      <c r="AH299" s="432">
        <v>73.14</v>
      </c>
      <c r="AI299" s="432">
        <v>73.540000000000006</v>
      </c>
      <c r="AJ299" s="426"/>
      <c r="AK299" s="426"/>
      <c r="AL299" s="426"/>
      <c r="AM299" s="426"/>
      <c r="AN299" s="426"/>
    </row>
    <row r="300" spans="1:40" s="429" customFormat="1" x14ac:dyDescent="0.2">
      <c r="A300" s="426"/>
      <c r="B300" s="113">
        <v>80</v>
      </c>
      <c r="C300" s="432">
        <v>69.42</v>
      </c>
      <c r="D300" s="432">
        <v>70.59</v>
      </c>
      <c r="E300" s="432">
        <v>70.98</v>
      </c>
      <c r="F300" s="426"/>
      <c r="G300" s="426"/>
      <c r="H300" s="426"/>
      <c r="I300" s="426"/>
      <c r="J300" s="426"/>
      <c r="K300" s="426"/>
      <c r="L300" s="113">
        <v>80</v>
      </c>
      <c r="M300" s="432">
        <v>69.959999999999994</v>
      </c>
      <c r="N300" s="432">
        <v>71.180000000000007</v>
      </c>
      <c r="O300" s="432">
        <v>71.569999999999993</v>
      </c>
      <c r="P300" s="426"/>
      <c r="Q300" s="426"/>
      <c r="R300" s="426"/>
      <c r="S300" s="426"/>
      <c r="T300" s="426"/>
      <c r="U300" s="426"/>
      <c r="V300" s="113">
        <v>80</v>
      </c>
      <c r="W300" s="432">
        <v>69.89</v>
      </c>
      <c r="X300" s="432">
        <v>71.14</v>
      </c>
      <c r="Y300" s="432">
        <v>71.53</v>
      </c>
      <c r="Z300" s="426"/>
      <c r="AA300" s="426"/>
      <c r="AB300" s="426"/>
      <c r="AC300" s="426"/>
      <c r="AD300" s="426"/>
      <c r="AE300" s="426"/>
      <c r="AF300" s="113">
        <v>80</v>
      </c>
      <c r="AG300" s="432">
        <v>69.42</v>
      </c>
      <c r="AH300" s="432">
        <v>70.680000000000007</v>
      </c>
      <c r="AI300" s="432">
        <v>71.069999999999993</v>
      </c>
      <c r="AJ300" s="426"/>
      <c r="AK300" s="426"/>
      <c r="AL300" s="426"/>
      <c r="AM300" s="426"/>
      <c r="AN300" s="426"/>
    </row>
    <row r="301" spans="1:40" s="429" customFormat="1" x14ac:dyDescent="0.2">
      <c r="A301" s="426"/>
      <c r="B301" s="113">
        <v>81</v>
      </c>
      <c r="C301" s="432">
        <v>67.63</v>
      </c>
      <c r="D301" s="432">
        <v>68.790000000000006</v>
      </c>
      <c r="E301" s="432">
        <v>69.17</v>
      </c>
      <c r="F301" s="426"/>
      <c r="G301" s="426"/>
      <c r="H301" s="426"/>
      <c r="I301" s="426"/>
      <c r="J301" s="426"/>
      <c r="K301" s="426"/>
      <c r="L301" s="113">
        <v>81</v>
      </c>
      <c r="M301" s="432">
        <v>67.89</v>
      </c>
      <c r="N301" s="432">
        <v>69.09</v>
      </c>
      <c r="O301" s="432">
        <v>69.47</v>
      </c>
      <c r="P301" s="426"/>
      <c r="Q301" s="426"/>
      <c r="R301" s="426"/>
      <c r="S301" s="426"/>
      <c r="T301" s="426"/>
      <c r="U301" s="426"/>
      <c r="V301" s="113">
        <v>81</v>
      </c>
      <c r="W301" s="432">
        <v>67.599999999999994</v>
      </c>
      <c r="X301" s="432">
        <v>68.83</v>
      </c>
      <c r="Y301" s="432">
        <v>69.209999999999994</v>
      </c>
      <c r="Z301" s="426"/>
      <c r="AA301" s="426"/>
      <c r="AB301" s="426"/>
      <c r="AC301" s="426"/>
      <c r="AD301" s="426"/>
      <c r="AE301" s="426"/>
      <c r="AF301" s="113">
        <v>81</v>
      </c>
      <c r="AG301" s="432">
        <v>66.98</v>
      </c>
      <c r="AH301" s="432">
        <v>68.22</v>
      </c>
      <c r="AI301" s="432">
        <v>68.599999999999994</v>
      </c>
      <c r="AJ301" s="426"/>
      <c r="AK301" s="426"/>
      <c r="AL301" s="426"/>
      <c r="AM301" s="426"/>
      <c r="AN301" s="426"/>
    </row>
    <row r="302" spans="1:40" s="429" customFormat="1" x14ac:dyDescent="0.2">
      <c r="A302" s="426"/>
      <c r="B302" s="113">
        <v>82</v>
      </c>
      <c r="C302" s="432">
        <v>65.77</v>
      </c>
      <c r="D302" s="432">
        <v>66.92</v>
      </c>
      <c r="E302" s="432">
        <v>67.3</v>
      </c>
      <c r="F302" s="426"/>
      <c r="G302" s="426"/>
      <c r="H302" s="426"/>
      <c r="I302" s="426"/>
      <c r="J302" s="426"/>
      <c r="K302" s="426"/>
      <c r="L302" s="113">
        <v>82</v>
      </c>
      <c r="M302" s="432">
        <v>65.77</v>
      </c>
      <c r="N302" s="432">
        <v>66.959999999999994</v>
      </c>
      <c r="O302" s="432">
        <v>67.34</v>
      </c>
      <c r="P302" s="426"/>
      <c r="Q302" s="426"/>
      <c r="R302" s="426"/>
      <c r="S302" s="426"/>
      <c r="T302" s="426"/>
      <c r="U302" s="426"/>
      <c r="V302" s="113">
        <v>82</v>
      </c>
      <c r="W302" s="432">
        <v>65.3</v>
      </c>
      <c r="X302" s="432">
        <v>66.510000000000005</v>
      </c>
      <c r="Y302" s="432">
        <v>66.88</v>
      </c>
      <c r="Z302" s="426"/>
      <c r="AA302" s="426"/>
      <c r="AB302" s="426"/>
      <c r="AC302" s="426"/>
      <c r="AD302" s="426"/>
      <c r="AE302" s="426"/>
      <c r="AF302" s="113">
        <v>82</v>
      </c>
      <c r="AG302" s="432">
        <v>64.56</v>
      </c>
      <c r="AH302" s="432">
        <v>65.78</v>
      </c>
      <c r="AI302" s="432">
        <v>66.16</v>
      </c>
      <c r="AJ302" s="426"/>
      <c r="AK302" s="426"/>
      <c r="AL302" s="426"/>
      <c r="AM302" s="426"/>
      <c r="AN302" s="426"/>
    </row>
    <row r="303" spans="1:40" s="429" customFormat="1" x14ac:dyDescent="0.2">
      <c r="A303" s="426"/>
      <c r="B303" s="113">
        <v>83</v>
      </c>
      <c r="C303" s="432">
        <v>63.85</v>
      </c>
      <c r="D303" s="432">
        <v>64.989999999999995</v>
      </c>
      <c r="E303" s="432">
        <v>65.37</v>
      </c>
      <c r="F303" s="426"/>
      <c r="G303" s="426"/>
      <c r="H303" s="426"/>
      <c r="I303" s="426"/>
      <c r="J303" s="426"/>
      <c r="K303" s="426"/>
      <c r="L303" s="113">
        <v>83</v>
      </c>
      <c r="M303" s="432">
        <v>63.62</v>
      </c>
      <c r="N303" s="432">
        <v>64.790000000000006</v>
      </c>
      <c r="O303" s="432">
        <v>65.17</v>
      </c>
      <c r="P303" s="426"/>
      <c r="Q303" s="426"/>
      <c r="R303" s="426"/>
      <c r="S303" s="426"/>
      <c r="T303" s="426"/>
      <c r="U303" s="426"/>
      <c r="V303" s="113">
        <v>83</v>
      </c>
      <c r="W303" s="432">
        <v>63</v>
      </c>
      <c r="X303" s="432">
        <v>64.180000000000007</v>
      </c>
      <c r="Y303" s="432">
        <v>64.56</v>
      </c>
      <c r="Z303" s="426"/>
      <c r="AA303" s="426"/>
      <c r="AB303" s="426"/>
      <c r="AC303" s="426"/>
      <c r="AD303" s="426"/>
      <c r="AE303" s="426"/>
      <c r="AF303" s="113">
        <v>83</v>
      </c>
      <c r="AG303" s="432">
        <v>62.16</v>
      </c>
      <c r="AH303" s="432">
        <v>63.37</v>
      </c>
      <c r="AI303" s="432">
        <v>63.73</v>
      </c>
      <c r="AJ303" s="426"/>
      <c r="AK303" s="426"/>
      <c r="AL303" s="426"/>
      <c r="AM303" s="426"/>
      <c r="AN303" s="426"/>
    </row>
    <row r="304" spans="1:40" s="429" customFormat="1" x14ac:dyDescent="0.2">
      <c r="A304" s="426"/>
      <c r="B304" s="113">
        <v>84</v>
      </c>
      <c r="C304" s="432">
        <v>61.89</v>
      </c>
      <c r="D304" s="432">
        <v>63.02</v>
      </c>
      <c r="E304" s="432">
        <v>63.39</v>
      </c>
      <c r="F304" s="426"/>
      <c r="G304" s="426"/>
      <c r="H304" s="426"/>
      <c r="I304" s="426"/>
      <c r="J304" s="426"/>
      <c r="K304" s="426"/>
      <c r="L304" s="113">
        <v>84</v>
      </c>
      <c r="M304" s="432">
        <v>61.46</v>
      </c>
      <c r="N304" s="432">
        <v>62.61</v>
      </c>
      <c r="O304" s="432">
        <v>62.98</v>
      </c>
      <c r="P304" s="426"/>
      <c r="Q304" s="426"/>
      <c r="R304" s="426"/>
      <c r="S304" s="426"/>
      <c r="T304" s="426"/>
      <c r="U304" s="426"/>
      <c r="V304" s="113">
        <v>84</v>
      </c>
      <c r="W304" s="432">
        <v>60.7</v>
      </c>
      <c r="X304" s="432">
        <v>61.87</v>
      </c>
      <c r="Y304" s="432">
        <v>62.24</v>
      </c>
      <c r="Z304" s="426"/>
      <c r="AA304" s="426"/>
      <c r="AB304" s="426"/>
      <c r="AC304" s="426"/>
      <c r="AD304" s="426"/>
      <c r="AE304" s="426"/>
      <c r="AF304" s="113">
        <v>84</v>
      </c>
      <c r="AG304" s="432">
        <v>59.8</v>
      </c>
      <c r="AH304" s="432">
        <v>60.98</v>
      </c>
      <c r="AI304" s="432">
        <v>61.35</v>
      </c>
      <c r="AJ304" s="426"/>
      <c r="AK304" s="426"/>
      <c r="AL304" s="426"/>
      <c r="AM304" s="426"/>
      <c r="AN304" s="426"/>
    </row>
    <row r="305" spans="1:40" s="429" customFormat="1" x14ac:dyDescent="0.2">
      <c r="A305" s="426"/>
      <c r="B305" s="113">
        <v>85</v>
      </c>
      <c r="C305" s="432">
        <v>59.88</v>
      </c>
      <c r="D305" s="432">
        <v>61</v>
      </c>
      <c r="E305" s="432">
        <v>61.37</v>
      </c>
      <c r="F305" s="426"/>
      <c r="G305" s="426"/>
      <c r="H305" s="426"/>
      <c r="I305" s="426"/>
      <c r="J305" s="426"/>
      <c r="K305" s="426"/>
      <c r="L305" s="113">
        <v>85</v>
      </c>
      <c r="M305" s="432">
        <v>59.28</v>
      </c>
      <c r="N305" s="432">
        <v>60.42</v>
      </c>
      <c r="O305" s="432">
        <v>60.79</v>
      </c>
      <c r="P305" s="426"/>
      <c r="Q305" s="426"/>
      <c r="R305" s="426"/>
      <c r="S305" s="426"/>
      <c r="T305" s="426"/>
      <c r="U305" s="426"/>
      <c r="V305" s="113">
        <v>85</v>
      </c>
      <c r="W305" s="432">
        <v>58.42</v>
      </c>
      <c r="X305" s="432">
        <v>59.57</v>
      </c>
      <c r="Y305" s="432">
        <v>59.94</v>
      </c>
      <c r="Z305" s="426"/>
      <c r="AA305" s="426"/>
      <c r="AB305" s="426"/>
      <c r="AC305" s="426"/>
      <c r="AD305" s="426"/>
      <c r="AE305" s="426"/>
      <c r="AF305" s="113">
        <v>85</v>
      </c>
      <c r="AG305" s="432">
        <v>57.47</v>
      </c>
      <c r="AH305" s="432">
        <v>58.64</v>
      </c>
      <c r="AI305" s="432">
        <v>59</v>
      </c>
      <c r="AJ305" s="426"/>
      <c r="AK305" s="426"/>
      <c r="AL305" s="426"/>
      <c r="AM305" s="426"/>
      <c r="AN305" s="426"/>
    </row>
    <row r="306" spans="1:40" s="429" customFormat="1" x14ac:dyDescent="0.2">
      <c r="A306" s="426"/>
      <c r="B306" s="113">
        <v>86</v>
      </c>
      <c r="C306" s="432">
        <v>57.85</v>
      </c>
      <c r="D306" s="432">
        <v>58.96</v>
      </c>
      <c r="E306" s="432">
        <v>59.33</v>
      </c>
      <c r="F306" s="426"/>
      <c r="G306" s="426"/>
      <c r="H306" s="426"/>
      <c r="I306" s="426"/>
      <c r="J306" s="426"/>
      <c r="K306" s="426"/>
      <c r="L306" s="113">
        <v>86</v>
      </c>
      <c r="M306" s="432">
        <v>57.1</v>
      </c>
      <c r="N306" s="432">
        <v>58.23</v>
      </c>
      <c r="O306" s="432">
        <v>58.59</v>
      </c>
      <c r="P306" s="426"/>
      <c r="Q306" s="426"/>
      <c r="R306" s="426"/>
      <c r="S306" s="426"/>
      <c r="T306" s="426"/>
      <c r="U306" s="426"/>
      <c r="V306" s="113">
        <v>86</v>
      </c>
      <c r="W306" s="432">
        <v>56.16</v>
      </c>
      <c r="X306" s="432">
        <v>57.3</v>
      </c>
      <c r="Y306" s="432">
        <v>57.66</v>
      </c>
      <c r="Z306" s="426"/>
      <c r="AA306" s="426"/>
      <c r="AB306" s="426"/>
      <c r="AC306" s="426"/>
      <c r="AD306" s="426"/>
      <c r="AE306" s="426"/>
      <c r="AF306" s="113">
        <v>86</v>
      </c>
      <c r="AG306" s="432">
        <v>55.19</v>
      </c>
      <c r="AH306" s="432">
        <v>56.35</v>
      </c>
      <c r="AI306" s="432">
        <v>56.7</v>
      </c>
      <c r="AJ306" s="426"/>
      <c r="AK306" s="426"/>
      <c r="AL306" s="426"/>
      <c r="AM306" s="426"/>
      <c r="AN306" s="426"/>
    </row>
    <row r="307" spans="1:40" s="429" customFormat="1" x14ac:dyDescent="0.2">
      <c r="A307" s="426"/>
      <c r="B307" s="113">
        <v>87</v>
      </c>
      <c r="C307" s="432">
        <v>55.8</v>
      </c>
      <c r="D307" s="432">
        <v>56.89</v>
      </c>
      <c r="E307" s="432">
        <v>57.26</v>
      </c>
      <c r="F307" s="426"/>
      <c r="G307" s="426"/>
      <c r="H307" s="426"/>
      <c r="I307" s="426"/>
      <c r="J307" s="426"/>
      <c r="K307" s="426"/>
      <c r="L307" s="113">
        <v>87</v>
      </c>
      <c r="M307" s="432">
        <v>54.93</v>
      </c>
      <c r="N307" s="432">
        <v>56.04</v>
      </c>
      <c r="O307" s="432">
        <v>56.4</v>
      </c>
      <c r="P307" s="426"/>
      <c r="Q307" s="426"/>
      <c r="R307" s="426"/>
      <c r="S307" s="426"/>
      <c r="T307" s="426"/>
      <c r="U307" s="426"/>
      <c r="V307" s="113">
        <v>87</v>
      </c>
      <c r="W307" s="432">
        <v>53.94</v>
      </c>
      <c r="X307" s="432">
        <v>55.07</v>
      </c>
      <c r="Y307" s="432">
        <v>55.42</v>
      </c>
      <c r="Z307" s="426"/>
      <c r="AA307" s="426"/>
      <c r="AB307" s="426"/>
      <c r="AC307" s="426"/>
      <c r="AD307" s="426"/>
      <c r="AE307" s="426"/>
      <c r="AF307" s="113">
        <v>87</v>
      </c>
      <c r="AG307" s="432">
        <v>52.96</v>
      </c>
      <c r="AH307" s="432">
        <v>54.1</v>
      </c>
      <c r="AI307" s="432">
        <v>54.45</v>
      </c>
      <c r="AJ307" s="426"/>
      <c r="AK307" s="426"/>
      <c r="AL307" s="426"/>
      <c r="AM307" s="426"/>
      <c r="AN307" s="426"/>
    </row>
    <row r="308" spans="1:40" s="429" customFormat="1" x14ac:dyDescent="0.2">
      <c r="A308" s="426"/>
      <c r="B308" s="113">
        <v>88</v>
      </c>
      <c r="C308" s="432">
        <v>53.73</v>
      </c>
      <c r="D308" s="432">
        <v>54.82</v>
      </c>
      <c r="E308" s="432">
        <v>55.19</v>
      </c>
      <c r="F308" s="426"/>
      <c r="G308" s="426"/>
      <c r="H308" s="426"/>
      <c r="I308" s="426"/>
      <c r="J308" s="426"/>
      <c r="K308" s="426"/>
      <c r="L308" s="113">
        <v>88</v>
      </c>
      <c r="M308" s="432">
        <v>52.77</v>
      </c>
      <c r="N308" s="432">
        <v>53.88</v>
      </c>
      <c r="O308" s="432">
        <v>54.23</v>
      </c>
      <c r="P308" s="426"/>
      <c r="Q308" s="426"/>
      <c r="R308" s="426"/>
      <c r="S308" s="426"/>
      <c r="T308" s="426"/>
      <c r="U308" s="426"/>
      <c r="V308" s="113">
        <v>88</v>
      </c>
      <c r="W308" s="432">
        <v>51.75</v>
      </c>
      <c r="X308" s="432">
        <v>52.87</v>
      </c>
      <c r="Y308" s="432">
        <v>53.22</v>
      </c>
      <c r="Z308" s="426"/>
      <c r="AA308" s="426"/>
      <c r="AB308" s="426"/>
      <c r="AC308" s="426"/>
      <c r="AD308" s="426"/>
      <c r="AE308" s="426"/>
      <c r="AF308" s="113">
        <v>88</v>
      </c>
      <c r="AG308" s="432">
        <v>50.78</v>
      </c>
      <c r="AH308" s="432">
        <v>51.91</v>
      </c>
      <c r="AI308" s="432">
        <v>52.25</v>
      </c>
      <c r="AJ308" s="426"/>
      <c r="AK308" s="426"/>
      <c r="AL308" s="426"/>
      <c r="AM308" s="426"/>
      <c r="AN308" s="426"/>
    </row>
    <row r="309" spans="1:40" s="429" customFormat="1" x14ac:dyDescent="0.2">
      <c r="A309" s="426"/>
      <c r="B309" s="113">
        <v>89</v>
      </c>
      <c r="C309" s="432">
        <v>51.67</v>
      </c>
      <c r="D309" s="432">
        <v>52.75</v>
      </c>
      <c r="E309" s="432">
        <v>53.11</v>
      </c>
      <c r="F309" s="426"/>
      <c r="G309" s="426"/>
      <c r="H309" s="426"/>
      <c r="I309" s="426"/>
      <c r="J309" s="426"/>
      <c r="K309" s="426"/>
      <c r="L309" s="113">
        <v>89</v>
      </c>
      <c r="M309" s="432">
        <v>50.64</v>
      </c>
      <c r="N309" s="432">
        <v>51.73</v>
      </c>
      <c r="O309" s="432">
        <v>52.09</v>
      </c>
      <c r="P309" s="426"/>
      <c r="Q309" s="426"/>
      <c r="R309" s="426"/>
      <c r="S309" s="426"/>
      <c r="T309" s="426"/>
      <c r="U309" s="426"/>
      <c r="V309" s="113">
        <v>89</v>
      </c>
      <c r="W309" s="432">
        <v>49.6</v>
      </c>
      <c r="X309" s="432">
        <v>50.71</v>
      </c>
      <c r="Y309" s="432">
        <v>51.05</v>
      </c>
      <c r="Z309" s="426"/>
      <c r="AA309" s="426"/>
      <c r="AB309" s="426"/>
      <c r="AC309" s="426"/>
      <c r="AD309" s="426"/>
      <c r="AE309" s="426"/>
      <c r="AF309" s="113">
        <v>89</v>
      </c>
      <c r="AG309" s="432">
        <v>48.65</v>
      </c>
      <c r="AH309" s="432">
        <v>49.77</v>
      </c>
      <c r="AI309" s="432">
        <v>50.11</v>
      </c>
      <c r="AJ309" s="426"/>
      <c r="AK309" s="426"/>
      <c r="AL309" s="426"/>
      <c r="AM309" s="426"/>
      <c r="AN309" s="426"/>
    </row>
    <row r="310" spans="1:40" s="429" customFormat="1" x14ac:dyDescent="0.2">
      <c r="A310" s="426"/>
      <c r="B310" s="113">
        <v>90</v>
      </c>
      <c r="C310" s="432">
        <v>49.61</v>
      </c>
      <c r="D310" s="432">
        <v>50.68</v>
      </c>
      <c r="E310" s="432">
        <v>51.04</v>
      </c>
      <c r="F310" s="426"/>
      <c r="G310" s="426"/>
      <c r="H310" s="426"/>
      <c r="I310" s="426"/>
      <c r="J310" s="426"/>
      <c r="K310" s="426"/>
      <c r="L310" s="113">
        <v>90</v>
      </c>
      <c r="M310" s="432">
        <v>48.53</v>
      </c>
      <c r="N310" s="432">
        <v>49.62</v>
      </c>
      <c r="O310" s="432">
        <v>49.97</v>
      </c>
      <c r="P310" s="426"/>
      <c r="Q310" s="426"/>
      <c r="R310" s="426"/>
      <c r="S310" s="426"/>
      <c r="T310" s="426"/>
      <c r="U310" s="426"/>
      <c r="V310" s="113">
        <v>90</v>
      </c>
      <c r="W310" s="432">
        <v>47.5</v>
      </c>
      <c r="X310" s="432">
        <v>48.59</v>
      </c>
      <c r="Y310" s="432">
        <v>48.94</v>
      </c>
      <c r="Z310" s="426"/>
      <c r="AA310" s="426"/>
      <c r="AB310" s="426"/>
      <c r="AC310" s="426"/>
      <c r="AD310" s="426"/>
      <c r="AE310" s="426"/>
      <c r="AF310" s="113">
        <v>90</v>
      </c>
      <c r="AG310" s="432">
        <v>46.58</v>
      </c>
      <c r="AH310" s="432">
        <v>47.68</v>
      </c>
      <c r="AI310" s="432">
        <v>48.02</v>
      </c>
      <c r="AJ310" s="426"/>
      <c r="AK310" s="426"/>
      <c r="AL310" s="426"/>
      <c r="AM310" s="426"/>
      <c r="AN310" s="426"/>
    </row>
    <row r="311" spans="1:40" s="429" customFormat="1" x14ac:dyDescent="0.2">
      <c r="A311" s="426"/>
      <c r="B311" s="113">
        <v>91</v>
      </c>
      <c r="C311" s="432">
        <v>47.56</v>
      </c>
      <c r="D311" s="432">
        <v>48.62</v>
      </c>
      <c r="E311" s="432">
        <v>48.98</v>
      </c>
      <c r="F311" s="426"/>
      <c r="G311" s="426"/>
      <c r="H311" s="426"/>
      <c r="I311" s="426"/>
      <c r="J311" s="426"/>
      <c r="K311" s="426"/>
      <c r="L311" s="113">
        <v>91</v>
      </c>
      <c r="M311" s="432">
        <v>46.46</v>
      </c>
      <c r="N311" s="432">
        <v>47.53</v>
      </c>
      <c r="O311" s="432">
        <v>47.88</v>
      </c>
      <c r="P311" s="426"/>
      <c r="Q311" s="426"/>
      <c r="R311" s="426"/>
      <c r="S311" s="426"/>
      <c r="T311" s="426"/>
      <c r="U311" s="426"/>
      <c r="V311" s="113">
        <v>91</v>
      </c>
      <c r="W311" s="432">
        <v>45.44</v>
      </c>
      <c r="X311" s="432">
        <v>46.53</v>
      </c>
      <c r="Y311" s="432">
        <v>46.87</v>
      </c>
      <c r="Z311" s="426"/>
      <c r="AA311" s="426"/>
      <c r="AB311" s="426"/>
      <c r="AC311" s="426"/>
      <c r="AD311" s="426"/>
      <c r="AE311" s="426"/>
      <c r="AF311" s="113">
        <v>91</v>
      </c>
      <c r="AG311" s="432">
        <v>44.56</v>
      </c>
      <c r="AH311" s="432">
        <v>45.65</v>
      </c>
      <c r="AI311" s="432">
        <v>45.99</v>
      </c>
      <c r="AJ311" s="426"/>
      <c r="AK311" s="426"/>
      <c r="AL311" s="426"/>
      <c r="AM311" s="426"/>
      <c r="AN311" s="426"/>
    </row>
    <row r="312" spans="1:40" s="429" customFormat="1" x14ac:dyDescent="0.2">
      <c r="A312" s="426"/>
      <c r="B312" s="113">
        <v>92</v>
      </c>
      <c r="C312" s="432">
        <v>45.52</v>
      </c>
      <c r="D312" s="432">
        <v>46.58</v>
      </c>
      <c r="E312" s="432">
        <v>46.94</v>
      </c>
      <c r="F312" s="426"/>
      <c r="G312" s="426"/>
      <c r="H312" s="426"/>
      <c r="I312" s="426"/>
      <c r="J312" s="426"/>
      <c r="K312" s="426"/>
      <c r="L312" s="113">
        <v>92</v>
      </c>
      <c r="M312" s="432">
        <v>44.42</v>
      </c>
      <c r="N312" s="432">
        <v>45.49</v>
      </c>
      <c r="O312" s="432">
        <v>45.83</v>
      </c>
      <c r="P312" s="426"/>
      <c r="Q312" s="426"/>
      <c r="R312" s="426"/>
      <c r="S312" s="426"/>
      <c r="T312" s="426"/>
      <c r="U312" s="426"/>
      <c r="V312" s="113">
        <v>92</v>
      </c>
      <c r="W312" s="432">
        <v>43.43</v>
      </c>
      <c r="X312" s="432">
        <v>44.5</v>
      </c>
      <c r="Y312" s="432">
        <v>44.84</v>
      </c>
      <c r="Z312" s="426"/>
      <c r="AA312" s="426"/>
      <c r="AB312" s="426"/>
      <c r="AC312" s="426"/>
      <c r="AD312" s="426"/>
      <c r="AE312" s="426"/>
      <c r="AF312" s="113">
        <v>92</v>
      </c>
      <c r="AG312" s="432">
        <v>42.51</v>
      </c>
      <c r="AH312" s="432">
        <v>43.59</v>
      </c>
      <c r="AI312" s="432">
        <v>43.92</v>
      </c>
      <c r="AJ312" s="426"/>
      <c r="AK312" s="426"/>
      <c r="AL312" s="426"/>
      <c r="AM312" s="426"/>
      <c r="AN312" s="426"/>
    </row>
    <row r="313" spans="1:40" s="429" customFormat="1" x14ac:dyDescent="0.2">
      <c r="A313" s="426"/>
      <c r="B313" s="113">
        <v>93</v>
      </c>
      <c r="C313" s="432">
        <v>43.51</v>
      </c>
      <c r="D313" s="432">
        <v>44.56</v>
      </c>
      <c r="E313" s="432">
        <v>44.91</v>
      </c>
      <c r="F313" s="426"/>
      <c r="G313" s="426"/>
      <c r="H313" s="426"/>
      <c r="I313" s="426"/>
      <c r="J313" s="426"/>
      <c r="K313" s="426"/>
      <c r="L313" s="113">
        <v>93</v>
      </c>
      <c r="M313" s="432">
        <v>42.41</v>
      </c>
      <c r="N313" s="432">
        <v>43.47</v>
      </c>
      <c r="O313" s="432">
        <v>43.82</v>
      </c>
      <c r="P313" s="426"/>
      <c r="Q313" s="426"/>
      <c r="R313" s="426"/>
      <c r="S313" s="426"/>
      <c r="T313" s="426"/>
      <c r="U313" s="426"/>
      <c r="V313" s="113">
        <v>93</v>
      </c>
      <c r="W313" s="432">
        <v>41.45</v>
      </c>
      <c r="X313" s="432">
        <v>42.53</v>
      </c>
      <c r="Y313" s="432">
        <v>42.86</v>
      </c>
      <c r="Z313" s="426"/>
      <c r="AA313" s="426"/>
      <c r="AB313" s="426"/>
      <c r="AC313" s="426"/>
      <c r="AD313" s="426"/>
      <c r="AE313" s="426"/>
      <c r="AF313" s="113">
        <v>93</v>
      </c>
      <c r="AG313" s="432">
        <v>40.5</v>
      </c>
      <c r="AH313" s="432">
        <v>41.57</v>
      </c>
      <c r="AI313" s="432">
        <v>41.9</v>
      </c>
      <c r="AJ313" s="426"/>
      <c r="AK313" s="426"/>
      <c r="AL313" s="426"/>
      <c r="AM313" s="426"/>
      <c r="AN313" s="426"/>
    </row>
    <row r="314" spans="1:40" s="429" customFormat="1" x14ac:dyDescent="0.2">
      <c r="A314" s="426"/>
      <c r="B314" s="113">
        <v>94</v>
      </c>
      <c r="C314" s="432">
        <v>41.51</v>
      </c>
      <c r="D314" s="432">
        <v>42.56</v>
      </c>
      <c r="E314" s="432">
        <v>42.91</v>
      </c>
      <c r="F314" s="426"/>
      <c r="G314" s="426"/>
      <c r="H314" s="426"/>
      <c r="I314" s="426"/>
      <c r="J314" s="426"/>
      <c r="K314" s="426"/>
      <c r="L314" s="113">
        <v>94</v>
      </c>
      <c r="M314" s="432">
        <v>40.44</v>
      </c>
      <c r="N314" s="432">
        <v>41.5</v>
      </c>
      <c r="O314" s="432">
        <v>41.84</v>
      </c>
      <c r="P314" s="426"/>
      <c r="Q314" s="426"/>
      <c r="R314" s="426"/>
      <c r="S314" s="426"/>
      <c r="T314" s="426"/>
      <c r="U314" s="426"/>
      <c r="V314" s="113">
        <v>94</v>
      </c>
      <c r="W314" s="432">
        <v>39.42</v>
      </c>
      <c r="X314" s="432">
        <v>40.479999999999997</v>
      </c>
      <c r="Y314" s="432">
        <v>40.82</v>
      </c>
      <c r="Z314" s="426"/>
      <c r="AA314" s="426"/>
      <c r="AB314" s="426"/>
      <c r="AC314" s="426"/>
      <c r="AD314" s="426"/>
      <c r="AE314" s="426"/>
      <c r="AF314" s="113">
        <v>94</v>
      </c>
      <c r="AG314" s="432">
        <v>38.53</v>
      </c>
      <c r="AH314" s="432">
        <v>39.590000000000003</v>
      </c>
      <c r="AI314" s="432">
        <v>39.92</v>
      </c>
      <c r="AJ314" s="426"/>
      <c r="AK314" s="426"/>
      <c r="AL314" s="426"/>
      <c r="AM314" s="426"/>
      <c r="AN314" s="426"/>
    </row>
    <row r="315" spans="1:40" s="429" customFormat="1" x14ac:dyDescent="0.2">
      <c r="A315" s="426"/>
      <c r="B315" s="113">
        <v>95</v>
      </c>
      <c r="C315" s="432">
        <v>39.54</v>
      </c>
      <c r="D315" s="432">
        <v>40.590000000000003</v>
      </c>
      <c r="E315" s="432">
        <v>40.94</v>
      </c>
      <c r="F315" s="426"/>
      <c r="G315" s="426"/>
      <c r="H315" s="426"/>
      <c r="I315" s="426"/>
      <c r="J315" s="426"/>
      <c r="K315" s="426"/>
      <c r="L315" s="113">
        <v>95</v>
      </c>
      <c r="M315" s="432">
        <v>38.49</v>
      </c>
      <c r="N315" s="432">
        <v>39.549999999999997</v>
      </c>
      <c r="O315" s="432">
        <v>39.89</v>
      </c>
      <c r="P315" s="426"/>
      <c r="Q315" s="426"/>
      <c r="R315" s="426"/>
      <c r="S315" s="426"/>
      <c r="T315" s="426"/>
      <c r="U315" s="426"/>
      <c r="V315" s="113">
        <v>95</v>
      </c>
      <c r="W315" s="432">
        <v>37.409999999999997</v>
      </c>
      <c r="X315" s="432">
        <v>38.47</v>
      </c>
      <c r="Y315" s="432">
        <v>38.799999999999997</v>
      </c>
      <c r="Z315" s="426"/>
      <c r="AA315" s="426"/>
      <c r="AB315" s="426"/>
      <c r="AC315" s="426"/>
      <c r="AD315" s="426"/>
      <c r="AE315" s="426"/>
      <c r="AF315" s="113">
        <v>95</v>
      </c>
      <c r="AG315" s="432">
        <v>36.6</v>
      </c>
      <c r="AH315" s="432">
        <v>37.65</v>
      </c>
      <c r="AI315" s="432">
        <v>37.979999999999997</v>
      </c>
      <c r="AJ315" s="426"/>
      <c r="AK315" s="426"/>
      <c r="AL315" s="426"/>
      <c r="AM315" s="426"/>
      <c r="AN315" s="426"/>
    </row>
    <row r="316" spans="1:40" s="429" customFormat="1" x14ac:dyDescent="0.2">
      <c r="A316" s="426"/>
      <c r="B316" s="113">
        <v>96</v>
      </c>
      <c r="C316" s="432">
        <v>37.58</v>
      </c>
      <c r="D316" s="432">
        <v>38.630000000000003</v>
      </c>
      <c r="E316" s="432">
        <v>38.979999999999997</v>
      </c>
      <c r="F316" s="426"/>
      <c r="G316" s="426"/>
      <c r="H316" s="426"/>
      <c r="I316" s="426"/>
      <c r="J316" s="426"/>
      <c r="K316" s="426"/>
      <c r="L316" s="113">
        <v>96</v>
      </c>
      <c r="M316" s="432">
        <v>36.44</v>
      </c>
      <c r="N316" s="432">
        <v>37.49</v>
      </c>
      <c r="O316" s="432">
        <v>37.83</v>
      </c>
      <c r="P316" s="426"/>
      <c r="Q316" s="426"/>
      <c r="R316" s="426"/>
      <c r="S316" s="426"/>
      <c r="T316" s="426"/>
      <c r="U316" s="426"/>
      <c r="V316" s="113">
        <v>96</v>
      </c>
      <c r="W316" s="432">
        <v>35.43</v>
      </c>
      <c r="X316" s="432">
        <v>36.479999999999997</v>
      </c>
      <c r="Y316" s="432">
        <v>36.81</v>
      </c>
      <c r="Z316" s="426"/>
      <c r="AA316" s="426"/>
      <c r="AB316" s="426"/>
      <c r="AC316" s="426"/>
      <c r="AD316" s="426"/>
      <c r="AE316" s="426"/>
      <c r="AF316" s="113">
        <v>96</v>
      </c>
      <c r="AG316" s="432">
        <v>34.69</v>
      </c>
      <c r="AH316" s="432">
        <v>35.74</v>
      </c>
      <c r="AI316" s="432">
        <v>36.06</v>
      </c>
      <c r="AJ316" s="426"/>
      <c r="AK316" s="426"/>
      <c r="AL316" s="426"/>
      <c r="AM316" s="426"/>
      <c r="AN316" s="426"/>
    </row>
    <row r="317" spans="1:40" s="429" customFormat="1" x14ac:dyDescent="0.2">
      <c r="A317" s="426"/>
      <c r="B317" s="113">
        <v>97</v>
      </c>
      <c r="C317" s="432">
        <v>35.64</v>
      </c>
      <c r="D317" s="432">
        <v>36.68</v>
      </c>
      <c r="E317" s="432">
        <v>37.03</v>
      </c>
      <c r="F317" s="426"/>
      <c r="G317" s="426"/>
      <c r="H317" s="426"/>
      <c r="I317" s="426"/>
      <c r="J317" s="426"/>
      <c r="K317" s="426"/>
      <c r="L317" s="113">
        <v>97</v>
      </c>
      <c r="M317" s="432">
        <v>34.39</v>
      </c>
      <c r="N317" s="432">
        <v>35.43</v>
      </c>
      <c r="O317" s="432">
        <v>35.770000000000003</v>
      </c>
      <c r="P317" s="426"/>
      <c r="Q317" s="426"/>
      <c r="R317" s="426"/>
      <c r="S317" s="426"/>
      <c r="T317" s="426"/>
      <c r="U317" s="426"/>
      <c r="V317" s="113">
        <v>97</v>
      </c>
      <c r="W317" s="432">
        <v>33.47</v>
      </c>
      <c r="X317" s="432">
        <v>34.51</v>
      </c>
      <c r="Y317" s="432">
        <v>34.840000000000003</v>
      </c>
      <c r="Z317" s="426"/>
      <c r="AA317" s="426"/>
      <c r="AB317" s="426"/>
      <c r="AC317" s="426"/>
      <c r="AD317" s="426"/>
      <c r="AE317" s="426"/>
      <c r="AF317" s="113">
        <v>97</v>
      </c>
      <c r="AG317" s="432">
        <v>32.79</v>
      </c>
      <c r="AH317" s="432">
        <v>33.83</v>
      </c>
      <c r="AI317" s="432">
        <v>34.15</v>
      </c>
      <c r="AJ317" s="426"/>
      <c r="AK317" s="426"/>
      <c r="AL317" s="426"/>
      <c r="AM317" s="426"/>
      <c r="AN317" s="426"/>
    </row>
    <row r="318" spans="1:40" s="429" customFormat="1" x14ac:dyDescent="0.2">
      <c r="A318" s="426"/>
      <c r="B318" s="113">
        <v>98</v>
      </c>
      <c r="C318" s="432">
        <v>33.5</v>
      </c>
      <c r="D318" s="432">
        <v>34.54</v>
      </c>
      <c r="E318" s="432">
        <v>34.89</v>
      </c>
      <c r="F318" s="426"/>
      <c r="G318" s="426"/>
      <c r="H318" s="426"/>
      <c r="I318" s="426"/>
      <c r="J318" s="426"/>
      <c r="K318" s="426"/>
      <c r="L318" s="113">
        <v>98</v>
      </c>
      <c r="M318" s="432">
        <v>32.33</v>
      </c>
      <c r="N318" s="432">
        <v>33.369999999999997</v>
      </c>
      <c r="O318" s="432">
        <v>33.700000000000003</v>
      </c>
      <c r="P318" s="426"/>
      <c r="Q318" s="426"/>
      <c r="R318" s="426"/>
      <c r="S318" s="426"/>
      <c r="T318" s="426"/>
      <c r="U318" s="426"/>
      <c r="V318" s="113">
        <v>98</v>
      </c>
      <c r="W318" s="432">
        <v>31.49</v>
      </c>
      <c r="X318" s="432">
        <v>32.520000000000003</v>
      </c>
      <c r="Y318" s="432">
        <v>32.85</v>
      </c>
      <c r="Z318" s="426"/>
      <c r="AA318" s="426"/>
      <c r="AB318" s="426"/>
      <c r="AC318" s="426"/>
      <c r="AD318" s="426"/>
      <c r="AE318" s="426"/>
      <c r="AF318" s="113">
        <v>98</v>
      </c>
      <c r="AG318" s="432">
        <v>30.87</v>
      </c>
      <c r="AH318" s="432">
        <v>31.9</v>
      </c>
      <c r="AI318" s="432">
        <v>32.229999999999997</v>
      </c>
      <c r="AJ318" s="426"/>
      <c r="AK318" s="426"/>
      <c r="AL318" s="426"/>
      <c r="AM318" s="426"/>
      <c r="AN318" s="426"/>
    </row>
    <row r="319" spans="1:40" s="429" customFormat="1" x14ac:dyDescent="0.2">
      <c r="A319" s="426"/>
      <c r="B319" s="113">
        <v>99</v>
      </c>
      <c r="C319" s="432">
        <v>31.32</v>
      </c>
      <c r="D319" s="432">
        <v>32.35</v>
      </c>
      <c r="E319" s="432">
        <v>32.700000000000003</v>
      </c>
      <c r="F319" s="426"/>
      <c r="G319" s="426"/>
      <c r="H319" s="426"/>
      <c r="I319" s="426"/>
      <c r="J319" s="426"/>
      <c r="K319" s="426"/>
      <c r="L319" s="113">
        <v>99</v>
      </c>
      <c r="M319" s="432">
        <v>30.25</v>
      </c>
      <c r="N319" s="432">
        <v>31.28</v>
      </c>
      <c r="O319" s="432">
        <v>31.61</v>
      </c>
      <c r="P319" s="426"/>
      <c r="Q319" s="426"/>
      <c r="R319" s="426"/>
      <c r="S319" s="426"/>
      <c r="T319" s="426"/>
      <c r="U319" s="426"/>
      <c r="V319" s="113">
        <v>99</v>
      </c>
      <c r="W319" s="432">
        <v>29.48</v>
      </c>
      <c r="X319" s="432">
        <v>30.51</v>
      </c>
      <c r="Y319" s="432">
        <v>30.83</v>
      </c>
      <c r="Z319" s="426"/>
      <c r="AA319" s="426"/>
      <c r="AB319" s="426"/>
      <c r="AC319" s="426"/>
      <c r="AD319" s="426"/>
      <c r="AE319" s="426"/>
      <c r="AF319" s="113">
        <v>99</v>
      </c>
      <c r="AG319" s="432">
        <v>28.91</v>
      </c>
      <c r="AH319" s="432">
        <v>29.94</v>
      </c>
      <c r="AI319" s="432">
        <v>30.26</v>
      </c>
      <c r="AJ319" s="426"/>
      <c r="AK319" s="426"/>
      <c r="AL319" s="426"/>
      <c r="AM319" s="426"/>
      <c r="AN319" s="426"/>
    </row>
    <row r="320" spans="1:40" s="429" customFormat="1" x14ac:dyDescent="0.2">
      <c r="A320" s="426"/>
      <c r="B320" s="113">
        <v>100</v>
      </c>
      <c r="C320" s="432">
        <v>29.08</v>
      </c>
      <c r="D320" s="432">
        <v>30.1</v>
      </c>
      <c r="E320" s="432">
        <v>30.45</v>
      </c>
      <c r="F320" s="426"/>
      <c r="G320" s="426"/>
      <c r="H320" s="426"/>
      <c r="I320" s="426"/>
      <c r="J320" s="426"/>
      <c r="K320" s="426"/>
      <c r="L320" s="113">
        <v>100</v>
      </c>
      <c r="M320" s="432">
        <v>28.1</v>
      </c>
      <c r="N320" s="432">
        <v>29.12</v>
      </c>
      <c r="O320" s="432">
        <v>29.46</v>
      </c>
      <c r="P320" s="426"/>
      <c r="Q320" s="426"/>
      <c r="R320" s="426"/>
      <c r="S320" s="426"/>
      <c r="T320" s="426"/>
      <c r="U320" s="426"/>
      <c r="V320" s="113">
        <v>100</v>
      </c>
      <c r="W320" s="432">
        <v>27.4</v>
      </c>
      <c r="X320" s="432">
        <v>28.42</v>
      </c>
      <c r="Y320" s="432">
        <v>28.74</v>
      </c>
      <c r="Z320" s="426"/>
      <c r="AA320" s="426"/>
      <c r="AB320" s="426"/>
      <c r="AC320" s="426"/>
      <c r="AD320" s="426"/>
      <c r="AE320" s="426"/>
      <c r="AF320" s="113">
        <v>100</v>
      </c>
      <c r="AG320" s="432">
        <v>26.88</v>
      </c>
      <c r="AH320" s="432">
        <v>27.9</v>
      </c>
      <c r="AI320" s="432">
        <v>28.22</v>
      </c>
      <c r="AJ320" s="426"/>
      <c r="AK320" s="426"/>
      <c r="AL320" s="426"/>
      <c r="AM320" s="426"/>
      <c r="AN320" s="426"/>
    </row>
    <row r="323" spans="1:30" x14ac:dyDescent="0.2">
      <c r="B323" s="426" t="s">
        <v>305</v>
      </c>
    </row>
    <row r="325" spans="1:30" x14ac:dyDescent="0.2">
      <c r="B325" s="426" t="s">
        <v>309</v>
      </c>
      <c r="L325" s="426" t="s">
        <v>310</v>
      </c>
      <c r="V325" s="426" t="s">
        <v>349</v>
      </c>
    </row>
    <row r="326" spans="1:30" ht="13.7" customHeight="1" x14ac:dyDescent="0.2">
      <c r="B326" s="544" t="s">
        <v>346</v>
      </c>
      <c r="C326" s="545"/>
      <c r="D326" s="545"/>
      <c r="E326" s="545"/>
      <c r="F326" s="542"/>
      <c r="G326" s="542"/>
      <c r="H326" s="542"/>
      <c r="I326" s="542"/>
      <c r="J326" s="543"/>
      <c r="L326" s="544" t="s">
        <v>347</v>
      </c>
      <c r="M326" s="545"/>
      <c r="N326" s="545"/>
      <c r="O326" s="545"/>
      <c r="P326" s="542"/>
      <c r="Q326" s="542"/>
      <c r="R326" s="542"/>
      <c r="S326" s="542"/>
      <c r="T326" s="543"/>
      <c r="V326" s="544" t="s">
        <v>348</v>
      </c>
      <c r="W326" s="545"/>
      <c r="X326" s="545"/>
      <c r="Y326" s="545"/>
      <c r="Z326" s="542"/>
      <c r="AA326" s="542"/>
      <c r="AB326" s="542"/>
      <c r="AC326" s="542"/>
      <c r="AD326" s="543"/>
    </row>
    <row r="327" spans="1:30" ht="25.5" x14ac:dyDescent="0.2">
      <c r="B327" s="141" t="s">
        <v>1</v>
      </c>
      <c r="C327" s="141" t="s">
        <v>327</v>
      </c>
      <c r="D327" s="141" t="s">
        <v>328</v>
      </c>
      <c r="E327" s="141" t="s">
        <v>329</v>
      </c>
      <c r="F327" s="431"/>
      <c r="G327" s="141"/>
      <c r="H327" s="141"/>
      <c r="I327" s="141"/>
      <c r="J327" s="141"/>
      <c r="L327" s="141" t="s">
        <v>1</v>
      </c>
      <c r="M327" s="141" t="s">
        <v>327</v>
      </c>
      <c r="N327" s="141" t="s">
        <v>328</v>
      </c>
      <c r="O327" s="141" t="s">
        <v>329</v>
      </c>
      <c r="P327" s="431"/>
      <c r="Q327" s="141"/>
      <c r="R327" s="141"/>
      <c r="S327" s="141"/>
      <c r="T327" s="141"/>
      <c r="V327" s="141" t="s">
        <v>1</v>
      </c>
      <c r="W327" s="141" t="s">
        <v>327</v>
      </c>
      <c r="X327" s="141" t="s">
        <v>328</v>
      </c>
      <c r="Y327" s="141" t="s">
        <v>329</v>
      </c>
      <c r="Z327" s="431"/>
      <c r="AA327" s="141"/>
      <c r="AB327" s="141"/>
      <c r="AC327" s="141"/>
      <c r="AD327" s="141"/>
    </row>
    <row r="328" spans="1:30" s="429" customFormat="1" x14ac:dyDescent="0.2">
      <c r="A328" s="426"/>
      <c r="B328" s="113">
        <v>0</v>
      </c>
      <c r="C328" s="432">
        <v>69.91</v>
      </c>
      <c r="D328" s="432">
        <v>70.53</v>
      </c>
      <c r="E328" s="432">
        <v>70.84</v>
      </c>
      <c r="F328" s="426"/>
      <c r="G328" s="426"/>
      <c r="H328" s="426"/>
      <c r="I328" s="426"/>
      <c r="J328" s="426"/>
      <c r="K328" s="426"/>
      <c r="L328" s="113">
        <v>0</v>
      </c>
      <c r="M328" s="432">
        <v>73.680000000000007</v>
      </c>
      <c r="N328" s="432">
        <v>74.38</v>
      </c>
      <c r="O328" s="432">
        <v>74.709999999999994</v>
      </c>
      <c r="P328" s="426"/>
      <c r="Q328" s="426"/>
      <c r="R328" s="426"/>
      <c r="S328" s="426"/>
      <c r="T328" s="426"/>
      <c r="U328" s="426"/>
      <c r="V328" s="113">
        <v>0</v>
      </c>
      <c r="W328" s="432">
        <v>77.62</v>
      </c>
      <c r="X328" s="432">
        <v>78.39</v>
      </c>
      <c r="Y328" s="432">
        <v>78.75</v>
      </c>
      <c r="Z328" s="426"/>
      <c r="AA328" s="426"/>
      <c r="AB328" s="426"/>
      <c r="AC328" s="426"/>
      <c r="AD328" s="426"/>
    </row>
    <row r="329" spans="1:30" s="429" customFormat="1" x14ac:dyDescent="0.2">
      <c r="A329" s="433"/>
      <c r="B329" s="113">
        <v>1</v>
      </c>
      <c r="C329" s="432">
        <v>70.08</v>
      </c>
      <c r="D329" s="432">
        <v>70.7</v>
      </c>
      <c r="E329" s="432">
        <v>71.010000000000005</v>
      </c>
      <c r="F329" s="426"/>
      <c r="G329" s="426"/>
      <c r="H329" s="426"/>
      <c r="I329" s="426"/>
      <c r="J329" s="426"/>
      <c r="K329" s="433"/>
      <c r="L329" s="113">
        <v>1</v>
      </c>
      <c r="M329" s="432">
        <v>73.86</v>
      </c>
      <c r="N329" s="432">
        <v>74.56</v>
      </c>
      <c r="O329" s="432">
        <v>74.900000000000006</v>
      </c>
      <c r="P329" s="426"/>
      <c r="Q329" s="426"/>
      <c r="R329" s="426"/>
      <c r="S329" s="426"/>
      <c r="T329" s="426"/>
      <c r="U329" s="433"/>
      <c r="V329" s="113">
        <v>1</v>
      </c>
      <c r="W329" s="432">
        <v>77.819999999999993</v>
      </c>
      <c r="X329" s="432">
        <v>78.599999999999994</v>
      </c>
      <c r="Y329" s="432">
        <v>78.959999999999994</v>
      </c>
      <c r="Z329" s="426"/>
      <c r="AA329" s="426"/>
      <c r="AB329" s="426"/>
      <c r="AC329" s="426"/>
      <c r="AD329" s="426"/>
    </row>
    <row r="330" spans="1:30" s="429" customFormat="1" x14ac:dyDescent="0.2">
      <c r="A330" s="433"/>
      <c r="B330" s="113">
        <v>2</v>
      </c>
      <c r="C330" s="432">
        <v>70.25</v>
      </c>
      <c r="D330" s="432">
        <v>70.87</v>
      </c>
      <c r="E330" s="432">
        <v>71.180000000000007</v>
      </c>
      <c r="F330" s="426"/>
      <c r="G330" s="426"/>
      <c r="H330" s="426"/>
      <c r="I330" s="426"/>
      <c r="J330" s="426"/>
      <c r="K330" s="433"/>
      <c r="L330" s="113">
        <v>2</v>
      </c>
      <c r="M330" s="432">
        <v>74.05</v>
      </c>
      <c r="N330" s="432">
        <v>74.75</v>
      </c>
      <c r="O330" s="432">
        <v>75.09</v>
      </c>
      <c r="P330" s="426"/>
      <c r="Q330" s="426"/>
      <c r="R330" s="426"/>
      <c r="S330" s="426"/>
      <c r="T330" s="426"/>
      <c r="U330" s="433"/>
      <c r="V330" s="113">
        <v>2</v>
      </c>
      <c r="W330" s="432">
        <v>78.03</v>
      </c>
      <c r="X330" s="432">
        <v>78.81</v>
      </c>
      <c r="Y330" s="432">
        <v>79.180000000000007</v>
      </c>
      <c r="Z330" s="426"/>
      <c r="AA330" s="426"/>
      <c r="AB330" s="426"/>
      <c r="AC330" s="426"/>
      <c r="AD330" s="426"/>
    </row>
    <row r="331" spans="1:30" s="429" customFormat="1" x14ac:dyDescent="0.2">
      <c r="A331" s="433"/>
      <c r="B331" s="113">
        <v>3</v>
      </c>
      <c r="C331" s="432">
        <v>70.42</v>
      </c>
      <c r="D331" s="432">
        <v>71.05</v>
      </c>
      <c r="E331" s="432">
        <v>71.37</v>
      </c>
      <c r="F331" s="426"/>
      <c r="G331" s="426"/>
      <c r="H331" s="426"/>
      <c r="I331" s="426"/>
      <c r="J331" s="426"/>
      <c r="K331" s="433"/>
      <c r="L331" s="113">
        <v>3</v>
      </c>
      <c r="M331" s="432">
        <v>74.25</v>
      </c>
      <c r="N331" s="432">
        <v>74.95</v>
      </c>
      <c r="O331" s="432">
        <v>75.290000000000006</v>
      </c>
      <c r="P331" s="426"/>
      <c r="Q331" s="426"/>
      <c r="R331" s="426"/>
      <c r="S331" s="426"/>
      <c r="T331" s="426"/>
      <c r="U331" s="433"/>
      <c r="V331" s="113">
        <v>3</v>
      </c>
      <c r="W331" s="432">
        <v>78.25</v>
      </c>
      <c r="X331" s="432">
        <v>79.03</v>
      </c>
      <c r="Y331" s="432">
        <v>79.400000000000006</v>
      </c>
      <c r="Z331" s="426"/>
      <c r="AA331" s="426"/>
      <c r="AB331" s="426"/>
      <c r="AC331" s="426"/>
      <c r="AD331" s="426"/>
    </row>
    <row r="332" spans="1:30" s="429" customFormat="1" x14ac:dyDescent="0.2">
      <c r="A332" s="433"/>
      <c r="B332" s="113">
        <v>4</v>
      </c>
      <c r="C332" s="432">
        <v>70.61</v>
      </c>
      <c r="D332" s="432">
        <v>71.239999999999995</v>
      </c>
      <c r="E332" s="432">
        <v>71.55</v>
      </c>
      <c r="F332" s="426"/>
      <c r="G332" s="426"/>
      <c r="H332" s="426"/>
      <c r="I332" s="426"/>
      <c r="J332" s="426"/>
      <c r="K332" s="433"/>
      <c r="L332" s="113">
        <v>4</v>
      </c>
      <c r="M332" s="432">
        <v>74.45</v>
      </c>
      <c r="N332" s="432">
        <v>75.16</v>
      </c>
      <c r="O332" s="432">
        <v>75.5</v>
      </c>
      <c r="P332" s="426"/>
      <c r="Q332" s="426"/>
      <c r="R332" s="426"/>
      <c r="S332" s="426"/>
      <c r="T332" s="426"/>
      <c r="U332" s="433"/>
      <c r="V332" s="113">
        <v>4</v>
      </c>
      <c r="W332" s="432">
        <v>78.48</v>
      </c>
      <c r="X332" s="432">
        <v>79.260000000000005</v>
      </c>
      <c r="Y332" s="432">
        <v>79.63</v>
      </c>
      <c r="Z332" s="426"/>
      <c r="AA332" s="426"/>
      <c r="AB332" s="426"/>
      <c r="AC332" s="426"/>
      <c r="AD332" s="426"/>
    </row>
    <row r="333" spans="1:30" s="429" customFormat="1" x14ac:dyDescent="0.2">
      <c r="A333" s="433"/>
      <c r="B333" s="113">
        <v>5</v>
      </c>
      <c r="C333" s="432">
        <v>70.8</v>
      </c>
      <c r="D333" s="432">
        <v>71.430000000000007</v>
      </c>
      <c r="E333" s="432">
        <v>71.75</v>
      </c>
      <c r="F333" s="426"/>
      <c r="G333" s="426"/>
      <c r="H333" s="426"/>
      <c r="I333" s="426"/>
      <c r="J333" s="426"/>
      <c r="K333" s="433"/>
      <c r="L333" s="113">
        <v>5</v>
      </c>
      <c r="M333" s="432">
        <v>74.67</v>
      </c>
      <c r="N333" s="432">
        <v>75.38</v>
      </c>
      <c r="O333" s="432">
        <v>75.72</v>
      </c>
      <c r="P333" s="426"/>
      <c r="Q333" s="426"/>
      <c r="R333" s="426"/>
      <c r="S333" s="426"/>
      <c r="T333" s="426"/>
      <c r="U333" s="433"/>
      <c r="V333" s="113">
        <v>5</v>
      </c>
      <c r="W333" s="432">
        <v>78.709999999999994</v>
      </c>
      <c r="X333" s="432">
        <v>79.510000000000005</v>
      </c>
      <c r="Y333" s="432">
        <v>79.87</v>
      </c>
      <c r="Z333" s="426"/>
      <c r="AA333" s="426"/>
      <c r="AB333" s="426"/>
      <c r="AC333" s="426"/>
      <c r="AD333" s="426"/>
    </row>
    <row r="334" spans="1:30" s="429" customFormat="1" x14ac:dyDescent="0.2">
      <c r="A334" s="433"/>
      <c r="B334" s="113">
        <v>6</v>
      </c>
      <c r="C334" s="432">
        <v>71</v>
      </c>
      <c r="D334" s="432">
        <v>71.63</v>
      </c>
      <c r="E334" s="432">
        <v>71.95</v>
      </c>
      <c r="F334" s="426"/>
      <c r="G334" s="426"/>
      <c r="H334" s="426"/>
      <c r="I334" s="426"/>
      <c r="J334" s="426"/>
      <c r="K334" s="433"/>
      <c r="L334" s="113">
        <v>6</v>
      </c>
      <c r="M334" s="432">
        <v>74.89</v>
      </c>
      <c r="N334" s="432">
        <v>75.599999999999994</v>
      </c>
      <c r="O334" s="432">
        <v>75.95</v>
      </c>
      <c r="P334" s="426"/>
      <c r="Q334" s="426"/>
      <c r="R334" s="426"/>
      <c r="S334" s="426"/>
      <c r="T334" s="426"/>
      <c r="U334" s="433"/>
      <c r="V334" s="113">
        <v>6</v>
      </c>
      <c r="W334" s="432">
        <v>78.959999999999994</v>
      </c>
      <c r="X334" s="432">
        <v>79.760000000000005</v>
      </c>
      <c r="Y334" s="432">
        <v>80.13</v>
      </c>
      <c r="Z334" s="426"/>
      <c r="AA334" s="426"/>
      <c r="AB334" s="426"/>
      <c r="AC334" s="426"/>
      <c r="AD334" s="426"/>
    </row>
    <row r="335" spans="1:30" s="429" customFormat="1" x14ac:dyDescent="0.2">
      <c r="A335" s="433"/>
      <c r="B335" s="113">
        <v>7</v>
      </c>
      <c r="C335" s="432">
        <v>71.2</v>
      </c>
      <c r="D335" s="432">
        <v>71.84</v>
      </c>
      <c r="E335" s="432">
        <v>72.16</v>
      </c>
      <c r="F335" s="426"/>
      <c r="G335" s="426"/>
      <c r="H335" s="426"/>
      <c r="I335" s="426"/>
      <c r="J335" s="426"/>
      <c r="K335" s="433"/>
      <c r="L335" s="113">
        <v>7</v>
      </c>
      <c r="M335" s="432">
        <v>75.12</v>
      </c>
      <c r="N335" s="432">
        <v>75.84</v>
      </c>
      <c r="O335" s="432">
        <v>76.180000000000007</v>
      </c>
      <c r="P335" s="426"/>
      <c r="Q335" s="426"/>
      <c r="R335" s="426"/>
      <c r="S335" s="426"/>
      <c r="T335" s="426"/>
      <c r="U335" s="433"/>
      <c r="V335" s="113">
        <v>7</v>
      </c>
      <c r="W335" s="432">
        <v>79.22</v>
      </c>
      <c r="X335" s="432">
        <v>80.02</v>
      </c>
      <c r="Y335" s="432">
        <v>80.39</v>
      </c>
      <c r="Z335" s="426"/>
      <c r="AA335" s="426"/>
      <c r="AB335" s="426"/>
      <c r="AC335" s="426"/>
      <c r="AD335" s="426"/>
    </row>
    <row r="336" spans="1:30" s="429" customFormat="1" x14ac:dyDescent="0.2">
      <c r="A336" s="433"/>
      <c r="B336" s="113">
        <v>8</v>
      </c>
      <c r="C336" s="432">
        <v>71.42</v>
      </c>
      <c r="D336" s="432">
        <v>72.06</v>
      </c>
      <c r="E336" s="432">
        <v>72.38</v>
      </c>
      <c r="F336" s="426"/>
      <c r="G336" s="426"/>
      <c r="H336" s="426"/>
      <c r="I336" s="426"/>
      <c r="J336" s="426"/>
      <c r="K336" s="433"/>
      <c r="L336" s="113">
        <v>8</v>
      </c>
      <c r="M336" s="432">
        <v>75.36</v>
      </c>
      <c r="N336" s="432">
        <v>76.08</v>
      </c>
      <c r="O336" s="432">
        <v>76.430000000000007</v>
      </c>
      <c r="P336" s="426"/>
      <c r="Q336" s="426"/>
      <c r="R336" s="426"/>
      <c r="S336" s="426"/>
      <c r="T336" s="426"/>
      <c r="U336" s="433"/>
      <c r="V336" s="113">
        <v>8</v>
      </c>
      <c r="W336" s="432">
        <v>79.48</v>
      </c>
      <c r="X336" s="432">
        <v>80.290000000000006</v>
      </c>
      <c r="Y336" s="432">
        <v>80.66</v>
      </c>
      <c r="Z336" s="426"/>
      <c r="AA336" s="426"/>
      <c r="AB336" s="426"/>
      <c r="AC336" s="426"/>
      <c r="AD336" s="426"/>
    </row>
    <row r="337" spans="1:30" s="429" customFormat="1" x14ac:dyDescent="0.2">
      <c r="A337" s="433"/>
      <c r="B337" s="113">
        <v>9</v>
      </c>
      <c r="C337" s="432">
        <v>71.64</v>
      </c>
      <c r="D337" s="432">
        <v>72.290000000000006</v>
      </c>
      <c r="E337" s="432">
        <v>72.61</v>
      </c>
      <c r="F337" s="426"/>
      <c r="G337" s="426"/>
      <c r="H337" s="426"/>
      <c r="I337" s="426"/>
      <c r="J337" s="426"/>
      <c r="K337" s="433"/>
      <c r="L337" s="113">
        <v>9</v>
      </c>
      <c r="M337" s="432">
        <v>75.61</v>
      </c>
      <c r="N337" s="432">
        <v>76.33</v>
      </c>
      <c r="O337" s="432">
        <v>76.680000000000007</v>
      </c>
      <c r="P337" s="426"/>
      <c r="Q337" s="426"/>
      <c r="R337" s="426"/>
      <c r="S337" s="426"/>
      <c r="T337" s="426"/>
      <c r="U337" s="433"/>
      <c r="V337" s="113">
        <v>9</v>
      </c>
      <c r="W337" s="432">
        <v>79.760000000000005</v>
      </c>
      <c r="X337" s="432">
        <v>80.569999999999993</v>
      </c>
      <c r="Y337" s="432">
        <v>80.95</v>
      </c>
      <c r="Z337" s="426"/>
      <c r="AA337" s="426"/>
      <c r="AB337" s="426"/>
      <c r="AC337" s="426"/>
      <c r="AD337" s="426"/>
    </row>
    <row r="338" spans="1:30" s="429" customFormat="1" x14ac:dyDescent="0.2">
      <c r="A338" s="433"/>
      <c r="B338" s="113">
        <v>10</v>
      </c>
      <c r="C338" s="432">
        <v>71.88</v>
      </c>
      <c r="D338" s="432">
        <v>72.53</v>
      </c>
      <c r="E338" s="432">
        <v>72.849999999999994</v>
      </c>
      <c r="F338" s="426"/>
      <c r="G338" s="426"/>
      <c r="H338" s="426"/>
      <c r="I338" s="426"/>
      <c r="J338" s="426"/>
      <c r="K338" s="433"/>
      <c r="L338" s="113">
        <v>10</v>
      </c>
      <c r="M338" s="432">
        <v>75.87</v>
      </c>
      <c r="N338" s="432">
        <v>76.599999999999994</v>
      </c>
      <c r="O338" s="432">
        <v>76.95</v>
      </c>
      <c r="P338" s="426"/>
      <c r="Q338" s="426"/>
      <c r="R338" s="426"/>
      <c r="S338" s="426"/>
      <c r="T338" s="426"/>
      <c r="U338" s="433"/>
      <c r="V338" s="113">
        <v>10</v>
      </c>
      <c r="W338" s="432">
        <v>80.05</v>
      </c>
      <c r="X338" s="432">
        <v>80.86</v>
      </c>
      <c r="Y338" s="432">
        <v>81.239999999999995</v>
      </c>
      <c r="Z338" s="426"/>
      <c r="AA338" s="426"/>
      <c r="AB338" s="426"/>
      <c r="AC338" s="426"/>
      <c r="AD338" s="426"/>
    </row>
    <row r="339" spans="1:30" s="429" customFormat="1" x14ac:dyDescent="0.2">
      <c r="A339" s="433"/>
      <c r="B339" s="113">
        <v>11</v>
      </c>
      <c r="C339" s="432">
        <v>72.12</v>
      </c>
      <c r="D339" s="432">
        <v>72.77</v>
      </c>
      <c r="E339" s="432">
        <v>73.099999999999994</v>
      </c>
      <c r="F339" s="426"/>
      <c r="G339" s="426"/>
      <c r="H339" s="426"/>
      <c r="I339" s="426"/>
      <c r="J339" s="426"/>
      <c r="K339" s="433"/>
      <c r="L339" s="113">
        <v>11</v>
      </c>
      <c r="M339" s="432">
        <v>76.14</v>
      </c>
      <c r="N339" s="432">
        <v>76.87</v>
      </c>
      <c r="O339" s="432">
        <v>77.23</v>
      </c>
      <c r="P339" s="426"/>
      <c r="Q339" s="426"/>
      <c r="R339" s="426"/>
      <c r="S339" s="426"/>
      <c r="T339" s="426"/>
      <c r="U339" s="433"/>
      <c r="V339" s="113">
        <v>11</v>
      </c>
      <c r="W339" s="432">
        <v>80.349999999999994</v>
      </c>
      <c r="X339" s="432">
        <v>81.17</v>
      </c>
      <c r="Y339" s="432">
        <v>81.55</v>
      </c>
      <c r="Z339" s="426"/>
      <c r="AA339" s="426"/>
      <c r="AB339" s="426"/>
      <c r="AC339" s="426"/>
      <c r="AD339" s="426"/>
    </row>
    <row r="340" spans="1:30" s="429" customFormat="1" x14ac:dyDescent="0.2">
      <c r="A340" s="433"/>
      <c r="B340" s="113">
        <v>12</v>
      </c>
      <c r="C340" s="432">
        <v>72.37</v>
      </c>
      <c r="D340" s="432">
        <v>73.03</v>
      </c>
      <c r="E340" s="432">
        <v>73.36</v>
      </c>
      <c r="F340" s="426"/>
      <c r="G340" s="426"/>
      <c r="H340" s="426"/>
      <c r="I340" s="426"/>
      <c r="J340" s="426"/>
      <c r="K340" s="433"/>
      <c r="L340" s="113">
        <v>12</v>
      </c>
      <c r="M340" s="432">
        <v>76.42</v>
      </c>
      <c r="N340" s="432">
        <v>77.16</v>
      </c>
      <c r="O340" s="432">
        <v>77.510000000000005</v>
      </c>
      <c r="P340" s="426"/>
      <c r="Q340" s="426"/>
      <c r="R340" s="426"/>
      <c r="S340" s="426"/>
      <c r="T340" s="426"/>
      <c r="U340" s="433"/>
      <c r="V340" s="113">
        <v>12</v>
      </c>
      <c r="W340" s="432">
        <v>80.66</v>
      </c>
      <c r="X340" s="432">
        <v>81.489999999999995</v>
      </c>
      <c r="Y340" s="432">
        <v>81.87</v>
      </c>
      <c r="Z340" s="426"/>
      <c r="AA340" s="426"/>
      <c r="AB340" s="426"/>
      <c r="AC340" s="426"/>
      <c r="AD340" s="426"/>
    </row>
    <row r="341" spans="1:30" s="429" customFormat="1" x14ac:dyDescent="0.2">
      <c r="A341" s="433"/>
      <c r="B341" s="113">
        <v>13</v>
      </c>
      <c r="C341" s="432">
        <v>72.64</v>
      </c>
      <c r="D341" s="432">
        <v>73.3</v>
      </c>
      <c r="E341" s="432">
        <v>73.63</v>
      </c>
      <c r="F341" s="426"/>
      <c r="G341" s="426"/>
      <c r="H341" s="426"/>
      <c r="I341" s="426"/>
      <c r="J341" s="426"/>
      <c r="K341" s="433"/>
      <c r="L341" s="113">
        <v>13</v>
      </c>
      <c r="M341" s="432">
        <v>76.709999999999994</v>
      </c>
      <c r="N341" s="432">
        <v>77.459999999999994</v>
      </c>
      <c r="O341" s="432">
        <v>77.81</v>
      </c>
      <c r="P341" s="426"/>
      <c r="Q341" s="426"/>
      <c r="R341" s="426"/>
      <c r="S341" s="426"/>
      <c r="T341" s="426"/>
      <c r="U341" s="433"/>
      <c r="V341" s="113">
        <v>13</v>
      </c>
      <c r="W341" s="432">
        <v>80.98</v>
      </c>
      <c r="X341" s="432">
        <v>81.819999999999993</v>
      </c>
      <c r="Y341" s="432">
        <v>82.2</v>
      </c>
      <c r="Z341" s="426"/>
      <c r="AA341" s="426"/>
      <c r="AB341" s="426"/>
      <c r="AC341" s="426"/>
      <c r="AD341" s="426"/>
    </row>
    <row r="342" spans="1:30" s="429" customFormat="1" x14ac:dyDescent="0.2">
      <c r="A342" s="433"/>
      <c r="B342" s="113">
        <v>14</v>
      </c>
      <c r="C342" s="432">
        <v>72.91</v>
      </c>
      <c r="D342" s="432">
        <v>73.58</v>
      </c>
      <c r="E342" s="432">
        <v>73.91</v>
      </c>
      <c r="F342" s="426"/>
      <c r="G342" s="426"/>
      <c r="H342" s="426"/>
      <c r="I342" s="426"/>
      <c r="J342" s="426"/>
      <c r="K342" s="433"/>
      <c r="L342" s="113">
        <v>14</v>
      </c>
      <c r="M342" s="432">
        <v>77.010000000000005</v>
      </c>
      <c r="N342" s="432">
        <v>77.760000000000005</v>
      </c>
      <c r="O342" s="432">
        <v>78.12</v>
      </c>
      <c r="P342" s="426"/>
      <c r="Q342" s="426"/>
      <c r="R342" s="426"/>
      <c r="S342" s="426"/>
      <c r="T342" s="426"/>
      <c r="U342" s="433"/>
      <c r="V342" s="113">
        <v>14</v>
      </c>
      <c r="W342" s="432">
        <v>81.319999999999993</v>
      </c>
      <c r="X342" s="432">
        <v>82.16</v>
      </c>
      <c r="Y342" s="432">
        <v>82.54</v>
      </c>
      <c r="Z342" s="426"/>
      <c r="AA342" s="426"/>
      <c r="AB342" s="426"/>
      <c r="AC342" s="426"/>
      <c r="AD342" s="426"/>
    </row>
    <row r="343" spans="1:30" s="429" customFormat="1" x14ac:dyDescent="0.2">
      <c r="A343" s="433"/>
      <c r="B343" s="113">
        <v>15</v>
      </c>
      <c r="C343" s="432">
        <v>73.19</v>
      </c>
      <c r="D343" s="432">
        <v>73.86</v>
      </c>
      <c r="E343" s="432">
        <v>74.2</v>
      </c>
      <c r="F343" s="426"/>
      <c r="G343" s="426"/>
      <c r="H343" s="426"/>
      <c r="I343" s="426"/>
      <c r="J343" s="426"/>
      <c r="K343" s="433"/>
      <c r="L343" s="113">
        <v>15</v>
      </c>
      <c r="M343" s="432">
        <v>77.33</v>
      </c>
      <c r="N343" s="432">
        <v>78.08</v>
      </c>
      <c r="O343" s="432">
        <v>78.44</v>
      </c>
      <c r="P343" s="426"/>
      <c r="Q343" s="426"/>
      <c r="R343" s="426"/>
      <c r="S343" s="426"/>
      <c r="T343" s="426"/>
      <c r="U343" s="433"/>
      <c r="V343" s="113">
        <v>15</v>
      </c>
      <c r="W343" s="432">
        <v>81.67</v>
      </c>
      <c r="X343" s="432">
        <v>82.51</v>
      </c>
      <c r="Y343" s="432">
        <v>82.9</v>
      </c>
      <c r="Z343" s="426"/>
      <c r="AA343" s="426"/>
      <c r="AB343" s="426"/>
      <c r="AC343" s="426"/>
      <c r="AD343" s="426"/>
    </row>
    <row r="344" spans="1:30" s="429" customFormat="1" x14ac:dyDescent="0.2">
      <c r="A344" s="433"/>
      <c r="B344" s="113">
        <v>16</v>
      </c>
      <c r="C344" s="432">
        <v>73.48</v>
      </c>
      <c r="D344" s="432">
        <v>74.16</v>
      </c>
      <c r="E344" s="432">
        <v>74.5</v>
      </c>
      <c r="F344" s="426"/>
      <c r="G344" s="426"/>
      <c r="H344" s="426"/>
      <c r="I344" s="426"/>
      <c r="J344" s="426"/>
      <c r="K344" s="433"/>
      <c r="L344" s="113">
        <v>16</v>
      </c>
      <c r="M344" s="432">
        <v>77.650000000000006</v>
      </c>
      <c r="N344" s="432">
        <v>78.41</v>
      </c>
      <c r="O344" s="432">
        <v>78.78</v>
      </c>
      <c r="P344" s="426"/>
      <c r="Q344" s="426"/>
      <c r="R344" s="426"/>
      <c r="S344" s="426"/>
      <c r="T344" s="426"/>
      <c r="U344" s="433"/>
      <c r="V344" s="113">
        <v>16</v>
      </c>
      <c r="W344" s="432">
        <v>82.03</v>
      </c>
      <c r="X344" s="432">
        <v>82.88</v>
      </c>
      <c r="Y344" s="432">
        <v>83.27</v>
      </c>
      <c r="Z344" s="426"/>
      <c r="AA344" s="426"/>
      <c r="AB344" s="426"/>
      <c r="AC344" s="426"/>
      <c r="AD344" s="426"/>
    </row>
    <row r="345" spans="1:30" s="429" customFormat="1" x14ac:dyDescent="0.2">
      <c r="A345" s="433"/>
      <c r="B345" s="113">
        <v>17</v>
      </c>
      <c r="C345" s="432">
        <v>73.790000000000006</v>
      </c>
      <c r="D345" s="432">
        <v>74.47</v>
      </c>
      <c r="E345" s="432">
        <v>74.81</v>
      </c>
      <c r="F345" s="426"/>
      <c r="G345" s="426"/>
      <c r="H345" s="426"/>
      <c r="I345" s="426"/>
      <c r="J345" s="426"/>
      <c r="K345" s="433"/>
      <c r="L345" s="113">
        <v>17</v>
      </c>
      <c r="M345" s="432">
        <v>77.989999999999995</v>
      </c>
      <c r="N345" s="432">
        <v>78.760000000000005</v>
      </c>
      <c r="O345" s="432">
        <v>79.12</v>
      </c>
      <c r="P345" s="426"/>
      <c r="Q345" s="426"/>
      <c r="R345" s="426"/>
      <c r="S345" s="426"/>
      <c r="T345" s="426"/>
      <c r="U345" s="433"/>
      <c r="V345" s="113">
        <v>17</v>
      </c>
      <c r="W345" s="432">
        <v>82.41</v>
      </c>
      <c r="X345" s="432">
        <v>83.26</v>
      </c>
      <c r="Y345" s="432">
        <v>83.65</v>
      </c>
      <c r="Z345" s="426"/>
      <c r="AA345" s="426"/>
      <c r="AB345" s="426"/>
      <c r="AC345" s="426"/>
      <c r="AD345" s="426"/>
    </row>
    <row r="346" spans="1:30" s="429" customFormat="1" x14ac:dyDescent="0.2">
      <c r="A346" s="433"/>
      <c r="B346" s="113">
        <v>18</v>
      </c>
      <c r="C346" s="432">
        <v>74.11</v>
      </c>
      <c r="D346" s="432">
        <v>74.790000000000006</v>
      </c>
      <c r="E346" s="432">
        <v>75.13</v>
      </c>
      <c r="F346" s="426"/>
      <c r="G346" s="426"/>
      <c r="H346" s="426"/>
      <c r="I346" s="426"/>
      <c r="J346" s="426"/>
      <c r="K346" s="433"/>
      <c r="L346" s="113">
        <v>18</v>
      </c>
      <c r="M346" s="432">
        <v>78.34</v>
      </c>
      <c r="N346" s="432">
        <v>79.12</v>
      </c>
      <c r="O346" s="432">
        <v>79.48</v>
      </c>
      <c r="P346" s="426"/>
      <c r="Q346" s="426"/>
      <c r="R346" s="426"/>
      <c r="S346" s="426"/>
      <c r="T346" s="426"/>
      <c r="U346" s="433"/>
      <c r="V346" s="113">
        <v>18</v>
      </c>
      <c r="W346" s="432">
        <v>82.8</v>
      </c>
      <c r="X346" s="432">
        <v>83.66</v>
      </c>
      <c r="Y346" s="432">
        <v>84.06</v>
      </c>
      <c r="Z346" s="426"/>
      <c r="AA346" s="426"/>
      <c r="AB346" s="426"/>
      <c r="AC346" s="426"/>
      <c r="AD346" s="426"/>
    </row>
    <row r="347" spans="1:30" s="429" customFormat="1" x14ac:dyDescent="0.2">
      <c r="A347" s="433"/>
      <c r="B347" s="113">
        <v>19</v>
      </c>
      <c r="C347" s="432">
        <v>74.44</v>
      </c>
      <c r="D347" s="432">
        <v>75.13</v>
      </c>
      <c r="E347" s="432">
        <v>75.47</v>
      </c>
      <c r="F347" s="426"/>
      <c r="G347" s="426"/>
      <c r="H347" s="426"/>
      <c r="I347" s="426"/>
      <c r="J347" s="426"/>
      <c r="K347" s="433"/>
      <c r="L347" s="113">
        <v>19</v>
      </c>
      <c r="M347" s="432">
        <v>78.709999999999994</v>
      </c>
      <c r="N347" s="432">
        <v>79.489999999999995</v>
      </c>
      <c r="O347" s="432">
        <v>79.86</v>
      </c>
      <c r="P347" s="426"/>
      <c r="Q347" s="426"/>
      <c r="R347" s="426"/>
      <c r="S347" s="426"/>
      <c r="T347" s="426"/>
      <c r="U347" s="433"/>
      <c r="V347" s="113">
        <v>19</v>
      </c>
      <c r="W347" s="432">
        <v>83.21</v>
      </c>
      <c r="X347" s="432">
        <v>84.08</v>
      </c>
      <c r="Y347" s="432">
        <v>84.48</v>
      </c>
      <c r="Z347" s="426"/>
      <c r="AA347" s="426"/>
      <c r="AB347" s="426"/>
      <c r="AC347" s="426"/>
      <c r="AD347" s="426"/>
    </row>
    <row r="348" spans="1:30" s="429" customFormat="1" x14ac:dyDescent="0.2">
      <c r="A348" s="433"/>
      <c r="B348" s="113">
        <v>20</v>
      </c>
      <c r="C348" s="432">
        <v>74.69</v>
      </c>
      <c r="D348" s="432">
        <v>75.41</v>
      </c>
      <c r="E348" s="432">
        <v>75.760000000000005</v>
      </c>
      <c r="F348" s="426"/>
      <c r="G348" s="426"/>
      <c r="H348" s="426"/>
      <c r="I348" s="426"/>
      <c r="J348" s="426"/>
      <c r="K348" s="433"/>
      <c r="L348" s="113">
        <v>20</v>
      </c>
      <c r="M348" s="432">
        <v>79.099999999999994</v>
      </c>
      <c r="N348" s="432">
        <v>79.89</v>
      </c>
      <c r="O348" s="432">
        <v>80.25</v>
      </c>
      <c r="P348" s="426"/>
      <c r="Q348" s="426"/>
      <c r="R348" s="426"/>
      <c r="S348" s="426"/>
      <c r="T348" s="426"/>
      <c r="U348" s="433"/>
      <c r="V348" s="113">
        <v>20</v>
      </c>
      <c r="W348" s="432">
        <v>83.64</v>
      </c>
      <c r="X348" s="432">
        <v>84.52</v>
      </c>
      <c r="Y348" s="432">
        <v>84.92</v>
      </c>
      <c r="Z348" s="426"/>
      <c r="AA348" s="426"/>
      <c r="AB348" s="426"/>
      <c r="AC348" s="426"/>
      <c r="AD348" s="426"/>
    </row>
    <row r="349" spans="1:30" s="429" customFormat="1" x14ac:dyDescent="0.2">
      <c r="A349" s="433"/>
      <c r="B349" s="113">
        <v>21</v>
      </c>
      <c r="C349" s="432">
        <v>74.89</v>
      </c>
      <c r="D349" s="432">
        <v>75.62</v>
      </c>
      <c r="E349" s="432">
        <v>75.959999999999994</v>
      </c>
      <c r="F349" s="426"/>
      <c r="G349" s="426"/>
      <c r="H349" s="426"/>
      <c r="I349" s="426"/>
      <c r="J349" s="426"/>
      <c r="K349" s="433"/>
      <c r="L349" s="113">
        <v>21</v>
      </c>
      <c r="M349" s="432">
        <v>79.400000000000006</v>
      </c>
      <c r="N349" s="432">
        <v>80.22</v>
      </c>
      <c r="O349" s="432">
        <v>80.59</v>
      </c>
      <c r="P349" s="426"/>
      <c r="Q349" s="426"/>
      <c r="R349" s="426"/>
      <c r="S349" s="426"/>
      <c r="T349" s="426"/>
      <c r="U349" s="433"/>
      <c r="V349" s="113">
        <v>21</v>
      </c>
      <c r="W349" s="432">
        <v>84.09</v>
      </c>
      <c r="X349" s="432">
        <v>84.98</v>
      </c>
      <c r="Y349" s="432">
        <v>85.38</v>
      </c>
      <c r="Z349" s="426"/>
      <c r="AA349" s="426"/>
      <c r="AB349" s="426"/>
      <c r="AC349" s="426"/>
      <c r="AD349" s="426"/>
    </row>
    <row r="350" spans="1:30" s="429" customFormat="1" x14ac:dyDescent="0.2">
      <c r="A350" s="433"/>
      <c r="B350" s="113">
        <v>22</v>
      </c>
      <c r="C350" s="432">
        <v>75.099999999999994</v>
      </c>
      <c r="D350" s="432">
        <v>75.83</v>
      </c>
      <c r="E350" s="432">
        <v>76.180000000000007</v>
      </c>
      <c r="F350" s="426"/>
      <c r="G350" s="426"/>
      <c r="H350" s="426"/>
      <c r="I350" s="426"/>
      <c r="J350" s="426"/>
      <c r="K350" s="433"/>
      <c r="L350" s="113">
        <v>22</v>
      </c>
      <c r="M350" s="432">
        <v>79.64</v>
      </c>
      <c r="N350" s="432">
        <v>80.459999999999994</v>
      </c>
      <c r="O350" s="432">
        <v>80.84</v>
      </c>
      <c r="P350" s="426"/>
      <c r="Q350" s="426"/>
      <c r="R350" s="426"/>
      <c r="S350" s="426"/>
      <c r="T350" s="426"/>
      <c r="U350" s="433"/>
      <c r="V350" s="113">
        <v>22</v>
      </c>
      <c r="W350" s="432">
        <v>84.42</v>
      </c>
      <c r="X350" s="432">
        <v>85.35</v>
      </c>
      <c r="Y350" s="432">
        <v>85.75</v>
      </c>
      <c r="Z350" s="426"/>
      <c r="AA350" s="426"/>
      <c r="AB350" s="426"/>
      <c r="AC350" s="426"/>
      <c r="AD350" s="426"/>
    </row>
    <row r="351" spans="1:30" s="429" customFormat="1" x14ac:dyDescent="0.2">
      <c r="A351" s="433"/>
      <c r="B351" s="113">
        <v>23</v>
      </c>
      <c r="C351" s="432">
        <v>75.31</v>
      </c>
      <c r="D351" s="432">
        <v>76.05</v>
      </c>
      <c r="E351" s="432">
        <v>76.400000000000006</v>
      </c>
      <c r="F351" s="426"/>
      <c r="G351" s="426"/>
      <c r="H351" s="426"/>
      <c r="I351" s="426"/>
      <c r="J351" s="426"/>
      <c r="K351" s="433"/>
      <c r="L351" s="113">
        <v>23</v>
      </c>
      <c r="M351" s="432">
        <v>79.88</v>
      </c>
      <c r="N351" s="432">
        <v>80.72</v>
      </c>
      <c r="O351" s="432">
        <v>81.099999999999994</v>
      </c>
      <c r="P351" s="426"/>
      <c r="Q351" s="426"/>
      <c r="R351" s="426"/>
      <c r="S351" s="426"/>
      <c r="T351" s="426"/>
      <c r="U351" s="433"/>
      <c r="V351" s="113">
        <v>23</v>
      </c>
      <c r="W351" s="432">
        <v>84.71</v>
      </c>
      <c r="X351" s="432">
        <v>85.64</v>
      </c>
      <c r="Y351" s="432">
        <v>86.05</v>
      </c>
      <c r="Z351" s="426"/>
      <c r="AA351" s="426"/>
      <c r="AB351" s="426"/>
      <c r="AC351" s="426"/>
      <c r="AD351" s="426"/>
    </row>
    <row r="352" spans="1:30" s="429" customFormat="1" x14ac:dyDescent="0.2">
      <c r="A352" s="433"/>
      <c r="B352" s="113">
        <v>24</v>
      </c>
      <c r="C352" s="432">
        <v>75.53</v>
      </c>
      <c r="D352" s="432">
        <v>76.27</v>
      </c>
      <c r="E352" s="432">
        <v>76.62</v>
      </c>
      <c r="F352" s="426"/>
      <c r="G352" s="426"/>
      <c r="H352" s="426"/>
      <c r="I352" s="426"/>
      <c r="J352" s="426"/>
      <c r="K352" s="433"/>
      <c r="L352" s="113">
        <v>24</v>
      </c>
      <c r="M352" s="432">
        <v>80.14</v>
      </c>
      <c r="N352" s="432">
        <v>80.98</v>
      </c>
      <c r="O352" s="432">
        <v>81.36</v>
      </c>
      <c r="P352" s="426"/>
      <c r="Q352" s="426"/>
      <c r="R352" s="426"/>
      <c r="S352" s="426"/>
      <c r="T352" s="426"/>
      <c r="U352" s="433"/>
      <c r="V352" s="113">
        <v>24</v>
      </c>
      <c r="W352" s="432">
        <v>85</v>
      </c>
      <c r="X352" s="432">
        <v>85.94</v>
      </c>
      <c r="Y352" s="432">
        <v>86.36</v>
      </c>
      <c r="Z352" s="426"/>
      <c r="AA352" s="426"/>
      <c r="AB352" s="426"/>
      <c r="AC352" s="426"/>
      <c r="AD352" s="426"/>
    </row>
    <row r="353" spans="1:30" s="429" customFormat="1" x14ac:dyDescent="0.2">
      <c r="A353" s="433"/>
      <c r="B353" s="113">
        <v>25</v>
      </c>
      <c r="C353" s="432">
        <v>75.760000000000005</v>
      </c>
      <c r="D353" s="432">
        <v>76.510000000000005</v>
      </c>
      <c r="E353" s="432">
        <v>76.86</v>
      </c>
      <c r="F353" s="426"/>
      <c r="G353" s="426"/>
      <c r="H353" s="426"/>
      <c r="I353" s="426"/>
      <c r="J353" s="426"/>
      <c r="K353" s="433"/>
      <c r="L353" s="113">
        <v>25</v>
      </c>
      <c r="M353" s="432">
        <v>80.41</v>
      </c>
      <c r="N353" s="432">
        <v>81.25</v>
      </c>
      <c r="O353" s="432">
        <v>81.64</v>
      </c>
      <c r="P353" s="426"/>
      <c r="Q353" s="426"/>
      <c r="R353" s="426"/>
      <c r="S353" s="426"/>
      <c r="T353" s="426"/>
      <c r="U353" s="433"/>
      <c r="V353" s="113">
        <v>25</v>
      </c>
      <c r="W353" s="432">
        <v>85.31</v>
      </c>
      <c r="X353" s="432">
        <v>86.26</v>
      </c>
      <c r="Y353" s="432">
        <v>86.68</v>
      </c>
      <c r="Z353" s="426"/>
      <c r="AA353" s="426"/>
      <c r="AB353" s="426"/>
      <c r="AC353" s="426"/>
      <c r="AD353" s="426"/>
    </row>
    <row r="354" spans="1:30" s="429" customFormat="1" x14ac:dyDescent="0.2">
      <c r="A354" s="433"/>
      <c r="B354" s="113">
        <v>26</v>
      </c>
      <c r="C354" s="432">
        <v>76</v>
      </c>
      <c r="D354" s="432">
        <v>76.75</v>
      </c>
      <c r="E354" s="432">
        <v>77.11</v>
      </c>
      <c r="F354" s="426"/>
      <c r="G354" s="426"/>
      <c r="H354" s="426"/>
      <c r="I354" s="426"/>
      <c r="J354" s="426"/>
      <c r="K354" s="433"/>
      <c r="L354" s="113">
        <v>26</v>
      </c>
      <c r="M354" s="432">
        <v>80.680000000000007</v>
      </c>
      <c r="N354" s="432">
        <v>81.540000000000006</v>
      </c>
      <c r="O354" s="432">
        <v>81.92</v>
      </c>
      <c r="P354" s="426"/>
      <c r="Q354" s="426"/>
      <c r="R354" s="426"/>
      <c r="S354" s="426"/>
      <c r="T354" s="426"/>
      <c r="U354" s="433"/>
      <c r="V354" s="113">
        <v>26</v>
      </c>
      <c r="W354" s="432">
        <v>85.63</v>
      </c>
      <c r="X354" s="432">
        <v>86.58</v>
      </c>
      <c r="Y354" s="432">
        <v>87</v>
      </c>
      <c r="Z354" s="426"/>
      <c r="AA354" s="426"/>
      <c r="AB354" s="426"/>
      <c r="AC354" s="426"/>
      <c r="AD354" s="426"/>
    </row>
    <row r="355" spans="1:30" s="429" customFormat="1" x14ac:dyDescent="0.2">
      <c r="A355" s="433"/>
      <c r="B355" s="113">
        <v>27</v>
      </c>
      <c r="C355" s="432">
        <v>76.239999999999995</v>
      </c>
      <c r="D355" s="432">
        <v>77</v>
      </c>
      <c r="E355" s="432">
        <v>77.36</v>
      </c>
      <c r="F355" s="426"/>
      <c r="G355" s="426"/>
      <c r="H355" s="426"/>
      <c r="I355" s="426"/>
      <c r="J355" s="426"/>
      <c r="K355" s="433"/>
      <c r="L355" s="113">
        <v>27</v>
      </c>
      <c r="M355" s="432">
        <v>80.97</v>
      </c>
      <c r="N355" s="432">
        <v>81.83</v>
      </c>
      <c r="O355" s="432">
        <v>82.21</v>
      </c>
      <c r="P355" s="426"/>
      <c r="Q355" s="426"/>
      <c r="R355" s="426"/>
      <c r="S355" s="426"/>
      <c r="T355" s="426"/>
      <c r="U355" s="433"/>
      <c r="V355" s="113">
        <v>27</v>
      </c>
      <c r="W355" s="432">
        <v>85.96</v>
      </c>
      <c r="X355" s="432">
        <v>86.92</v>
      </c>
      <c r="Y355" s="432">
        <v>87.34</v>
      </c>
      <c r="Z355" s="426"/>
      <c r="AA355" s="426"/>
      <c r="AB355" s="426"/>
      <c r="AC355" s="426"/>
      <c r="AD355" s="426"/>
    </row>
    <row r="356" spans="1:30" s="429" customFormat="1" x14ac:dyDescent="0.2">
      <c r="A356" s="433"/>
      <c r="B356" s="113">
        <v>28</v>
      </c>
      <c r="C356" s="432">
        <v>76.489999999999995</v>
      </c>
      <c r="D356" s="432">
        <v>77.260000000000005</v>
      </c>
      <c r="E356" s="432">
        <v>77.62</v>
      </c>
      <c r="F356" s="426"/>
      <c r="G356" s="426"/>
      <c r="H356" s="426"/>
      <c r="I356" s="426"/>
      <c r="J356" s="426"/>
      <c r="K356" s="433"/>
      <c r="L356" s="113">
        <v>28</v>
      </c>
      <c r="M356" s="432">
        <v>81.260000000000005</v>
      </c>
      <c r="N356" s="432">
        <v>82.13</v>
      </c>
      <c r="O356" s="432">
        <v>82.52</v>
      </c>
      <c r="P356" s="426"/>
      <c r="Q356" s="426"/>
      <c r="R356" s="426"/>
      <c r="S356" s="426"/>
      <c r="T356" s="426"/>
      <c r="U356" s="433"/>
      <c r="V356" s="113">
        <v>28</v>
      </c>
      <c r="W356" s="432">
        <v>86.29</v>
      </c>
      <c r="X356" s="432">
        <v>87.27</v>
      </c>
      <c r="Y356" s="432">
        <v>87.69</v>
      </c>
      <c r="Z356" s="426"/>
      <c r="AA356" s="426"/>
      <c r="AB356" s="426"/>
      <c r="AC356" s="426"/>
      <c r="AD356" s="426"/>
    </row>
    <row r="357" spans="1:30" s="429" customFormat="1" x14ac:dyDescent="0.2">
      <c r="A357" s="433"/>
      <c r="B357" s="113">
        <v>29</v>
      </c>
      <c r="C357" s="432">
        <v>76.75</v>
      </c>
      <c r="D357" s="432">
        <v>77.52</v>
      </c>
      <c r="E357" s="432">
        <v>77.88</v>
      </c>
      <c r="F357" s="426"/>
      <c r="G357" s="426"/>
      <c r="H357" s="426"/>
      <c r="I357" s="426"/>
      <c r="J357" s="426"/>
      <c r="K357" s="433"/>
      <c r="L357" s="113">
        <v>29</v>
      </c>
      <c r="M357" s="432">
        <v>81.56</v>
      </c>
      <c r="N357" s="432">
        <v>82.43</v>
      </c>
      <c r="O357" s="432">
        <v>82.83</v>
      </c>
      <c r="P357" s="426"/>
      <c r="Q357" s="426"/>
      <c r="R357" s="426"/>
      <c r="S357" s="426"/>
      <c r="T357" s="426"/>
      <c r="U357" s="433"/>
      <c r="V357" s="113">
        <v>29</v>
      </c>
      <c r="W357" s="432">
        <v>86.64</v>
      </c>
      <c r="X357" s="432">
        <v>87.62</v>
      </c>
      <c r="Y357" s="432">
        <v>88.05</v>
      </c>
      <c r="Z357" s="426"/>
      <c r="AA357" s="426"/>
      <c r="AB357" s="426"/>
      <c r="AC357" s="426"/>
      <c r="AD357" s="426"/>
    </row>
    <row r="358" spans="1:30" s="429" customFormat="1" x14ac:dyDescent="0.2">
      <c r="A358" s="433"/>
      <c r="B358" s="113">
        <v>30</v>
      </c>
      <c r="C358" s="432">
        <v>77.02</v>
      </c>
      <c r="D358" s="432">
        <v>77.8</v>
      </c>
      <c r="E358" s="432">
        <v>78.16</v>
      </c>
      <c r="F358" s="426"/>
      <c r="G358" s="426"/>
      <c r="H358" s="426"/>
      <c r="I358" s="426"/>
      <c r="J358" s="426"/>
      <c r="K358" s="433"/>
      <c r="L358" s="113">
        <v>30</v>
      </c>
      <c r="M358" s="432">
        <v>81.87</v>
      </c>
      <c r="N358" s="432">
        <v>82.75</v>
      </c>
      <c r="O358" s="432">
        <v>83.15</v>
      </c>
      <c r="P358" s="426"/>
      <c r="Q358" s="426"/>
      <c r="R358" s="426"/>
      <c r="S358" s="426"/>
      <c r="T358" s="426"/>
      <c r="U358" s="433"/>
      <c r="V358" s="113">
        <v>30</v>
      </c>
      <c r="W358" s="432">
        <v>86.99</v>
      </c>
      <c r="X358" s="432">
        <v>87.99</v>
      </c>
      <c r="Y358" s="432">
        <v>88.41</v>
      </c>
      <c r="Z358" s="426"/>
      <c r="AA358" s="426"/>
      <c r="AB358" s="426"/>
      <c r="AC358" s="426"/>
      <c r="AD358" s="426"/>
    </row>
    <row r="359" spans="1:30" s="429" customFormat="1" x14ac:dyDescent="0.2">
      <c r="A359" s="433"/>
      <c r="B359" s="113">
        <v>31</v>
      </c>
      <c r="C359" s="432">
        <v>77.290000000000006</v>
      </c>
      <c r="D359" s="432">
        <v>78.08</v>
      </c>
      <c r="E359" s="432">
        <v>78.44</v>
      </c>
      <c r="F359" s="426"/>
      <c r="G359" s="426"/>
      <c r="H359" s="426"/>
      <c r="I359" s="426"/>
      <c r="J359" s="426"/>
      <c r="K359" s="433"/>
      <c r="L359" s="113">
        <v>31</v>
      </c>
      <c r="M359" s="432">
        <v>82.18</v>
      </c>
      <c r="N359" s="432">
        <v>83.08</v>
      </c>
      <c r="O359" s="432">
        <v>83.47</v>
      </c>
      <c r="P359" s="426"/>
      <c r="Q359" s="426"/>
      <c r="R359" s="426"/>
      <c r="S359" s="426"/>
      <c r="T359" s="426"/>
      <c r="U359" s="433"/>
      <c r="V359" s="113">
        <v>31</v>
      </c>
      <c r="W359" s="432">
        <v>87.36</v>
      </c>
      <c r="X359" s="432">
        <v>88.36</v>
      </c>
      <c r="Y359" s="432">
        <v>88.79</v>
      </c>
      <c r="Z359" s="426"/>
      <c r="AA359" s="426"/>
      <c r="AB359" s="426"/>
      <c r="AC359" s="426"/>
      <c r="AD359" s="426"/>
    </row>
    <row r="360" spans="1:30" s="429" customFormat="1" x14ac:dyDescent="0.2">
      <c r="A360" s="433"/>
      <c r="B360" s="113">
        <v>32</v>
      </c>
      <c r="C360" s="432">
        <v>77.569999999999993</v>
      </c>
      <c r="D360" s="432">
        <v>78.36</v>
      </c>
      <c r="E360" s="432">
        <v>78.73</v>
      </c>
      <c r="F360" s="426"/>
      <c r="G360" s="426"/>
      <c r="H360" s="426"/>
      <c r="I360" s="426"/>
      <c r="J360" s="426"/>
      <c r="K360" s="433"/>
      <c r="L360" s="113">
        <v>32</v>
      </c>
      <c r="M360" s="432">
        <v>82.51</v>
      </c>
      <c r="N360" s="432">
        <v>83.41</v>
      </c>
      <c r="O360" s="432">
        <v>83.81</v>
      </c>
      <c r="P360" s="426"/>
      <c r="Q360" s="426"/>
      <c r="R360" s="426"/>
      <c r="S360" s="426"/>
      <c r="T360" s="426"/>
      <c r="U360" s="433"/>
      <c r="V360" s="113">
        <v>32</v>
      </c>
      <c r="W360" s="432">
        <v>87.73</v>
      </c>
      <c r="X360" s="432">
        <v>88.74</v>
      </c>
      <c r="Y360" s="432">
        <v>89.18</v>
      </c>
      <c r="Z360" s="426"/>
      <c r="AA360" s="426"/>
      <c r="AB360" s="426"/>
      <c r="AC360" s="426"/>
      <c r="AD360" s="426"/>
    </row>
    <row r="361" spans="1:30" s="429" customFormat="1" x14ac:dyDescent="0.2">
      <c r="A361" s="433"/>
      <c r="B361" s="113">
        <v>33</v>
      </c>
      <c r="C361" s="432">
        <v>77.849999999999994</v>
      </c>
      <c r="D361" s="432">
        <v>78.66</v>
      </c>
      <c r="E361" s="432">
        <v>79.03</v>
      </c>
      <c r="F361" s="426"/>
      <c r="G361" s="426"/>
      <c r="H361" s="426"/>
      <c r="I361" s="426"/>
      <c r="J361" s="426"/>
      <c r="K361" s="433"/>
      <c r="L361" s="113">
        <v>33</v>
      </c>
      <c r="M361" s="432">
        <v>82.84</v>
      </c>
      <c r="N361" s="432">
        <v>83.75</v>
      </c>
      <c r="O361" s="432">
        <v>84.15</v>
      </c>
      <c r="P361" s="426"/>
      <c r="Q361" s="426"/>
      <c r="R361" s="426"/>
      <c r="S361" s="426"/>
      <c r="T361" s="426"/>
      <c r="U361" s="433"/>
      <c r="V361" s="113">
        <v>33</v>
      </c>
      <c r="W361" s="432">
        <v>88.11</v>
      </c>
      <c r="X361" s="432">
        <v>89.13</v>
      </c>
      <c r="Y361" s="432">
        <v>89.57</v>
      </c>
      <c r="Z361" s="426"/>
      <c r="AA361" s="426"/>
      <c r="AB361" s="426"/>
      <c r="AC361" s="426"/>
      <c r="AD361" s="426"/>
    </row>
    <row r="362" spans="1:30" s="429" customFormat="1" x14ac:dyDescent="0.2">
      <c r="A362" s="433"/>
      <c r="B362" s="113">
        <v>34</v>
      </c>
      <c r="C362" s="432">
        <v>78.150000000000006</v>
      </c>
      <c r="D362" s="432">
        <v>78.959999999999994</v>
      </c>
      <c r="E362" s="432">
        <v>79.33</v>
      </c>
      <c r="F362" s="426"/>
      <c r="G362" s="426"/>
      <c r="H362" s="426"/>
      <c r="I362" s="426"/>
      <c r="J362" s="426"/>
      <c r="K362" s="433"/>
      <c r="L362" s="113">
        <v>34</v>
      </c>
      <c r="M362" s="432">
        <v>83.18</v>
      </c>
      <c r="N362" s="432">
        <v>84.1</v>
      </c>
      <c r="O362" s="432">
        <v>84.5</v>
      </c>
      <c r="P362" s="426"/>
      <c r="Q362" s="426"/>
      <c r="R362" s="426"/>
      <c r="S362" s="426"/>
      <c r="T362" s="426"/>
      <c r="U362" s="433"/>
      <c r="V362" s="113">
        <v>34</v>
      </c>
      <c r="W362" s="432">
        <v>88.49</v>
      </c>
      <c r="X362" s="432">
        <v>89.53</v>
      </c>
      <c r="Y362" s="432">
        <v>89.97</v>
      </c>
      <c r="Z362" s="426"/>
      <c r="AA362" s="426"/>
      <c r="AB362" s="426"/>
      <c r="AC362" s="426"/>
      <c r="AD362" s="426"/>
    </row>
    <row r="363" spans="1:30" s="429" customFormat="1" x14ac:dyDescent="0.2">
      <c r="A363" s="433"/>
      <c r="B363" s="113">
        <v>35</v>
      </c>
      <c r="C363" s="432">
        <v>78.44</v>
      </c>
      <c r="D363" s="432">
        <v>79.27</v>
      </c>
      <c r="E363" s="432">
        <v>79.64</v>
      </c>
      <c r="F363" s="426"/>
      <c r="G363" s="426"/>
      <c r="H363" s="426"/>
      <c r="I363" s="426"/>
      <c r="J363" s="426"/>
      <c r="K363" s="433"/>
      <c r="L363" s="113">
        <v>35</v>
      </c>
      <c r="M363" s="432">
        <v>83.52</v>
      </c>
      <c r="N363" s="432">
        <v>84.45</v>
      </c>
      <c r="O363" s="432">
        <v>84.86</v>
      </c>
      <c r="P363" s="426"/>
      <c r="Q363" s="426"/>
      <c r="R363" s="426"/>
      <c r="S363" s="426"/>
      <c r="T363" s="426"/>
      <c r="U363" s="433"/>
      <c r="V363" s="113">
        <v>35</v>
      </c>
      <c r="W363" s="432">
        <v>88.89</v>
      </c>
      <c r="X363" s="432">
        <v>89.93</v>
      </c>
      <c r="Y363" s="432">
        <v>90.38</v>
      </c>
      <c r="Z363" s="426"/>
      <c r="AA363" s="426"/>
      <c r="AB363" s="426"/>
      <c r="AC363" s="426"/>
      <c r="AD363" s="426"/>
    </row>
    <row r="364" spans="1:30" s="429" customFormat="1" x14ac:dyDescent="0.2">
      <c r="A364" s="433"/>
      <c r="B364" s="113">
        <v>36</v>
      </c>
      <c r="C364" s="432">
        <v>78.75</v>
      </c>
      <c r="D364" s="432">
        <v>79.58</v>
      </c>
      <c r="E364" s="432">
        <v>79.95</v>
      </c>
      <c r="F364" s="426"/>
      <c r="G364" s="426"/>
      <c r="H364" s="426"/>
      <c r="I364" s="426"/>
      <c r="J364" s="426"/>
      <c r="K364" s="433"/>
      <c r="L364" s="113">
        <v>36</v>
      </c>
      <c r="M364" s="432">
        <v>83.87</v>
      </c>
      <c r="N364" s="432">
        <v>84.82</v>
      </c>
      <c r="O364" s="432">
        <v>85.22</v>
      </c>
      <c r="P364" s="426"/>
      <c r="Q364" s="426"/>
      <c r="R364" s="426"/>
      <c r="S364" s="426"/>
      <c r="T364" s="426"/>
      <c r="U364" s="433"/>
      <c r="V364" s="113">
        <v>36</v>
      </c>
      <c r="W364" s="432">
        <v>89.28</v>
      </c>
      <c r="X364" s="432">
        <v>90.34</v>
      </c>
      <c r="Y364" s="432">
        <v>90.79</v>
      </c>
      <c r="Z364" s="426"/>
      <c r="AA364" s="426"/>
      <c r="AB364" s="426"/>
      <c r="AC364" s="426"/>
      <c r="AD364" s="426"/>
    </row>
    <row r="365" spans="1:30" s="429" customFormat="1" x14ac:dyDescent="0.2">
      <c r="A365" s="433"/>
      <c r="B365" s="113">
        <v>37</v>
      </c>
      <c r="C365" s="432">
        <v>79.06</v>
      </c>
      <c r="D365" s="432">
        <v>79.900000000000006</v>
      </c>
      <c r="E365" s="432">
        <v>80.27</v>
      </c>
      <c r="F365" s="426"/>
      <c r="G365" s="426"/>
      <c r="H365" s="426"/>
      <c r="I365" s="426"/>
      <c r="J365" s="426"/>
      <c r="K365" s="433"/>
      <c r="L365" s="113">
        <v>37</v>
      </c>
      <c r="M365" s="432">
        <v>84.23</v>
      </c>
      <c r="N365" s="432">
        <v>85.18</v>
      </c>
      <c r="O365" s="432">
        <v>85.59</v>
      </c>
      <c r="P365" s="426"/>
      <c r="Q365" s="426"/>
      <c r="R365" s="426"/>
      <c r="S365" s="426"/>
      <c r="T365" s="426"/>
      <c r="U365" s="433"/>
      <c r="V365" s="113">
        <v>37</v>
      </c>
      <c r="W365" s="432">
        <v>89.69</v>
      </c>
      <c r="X365" s="432">
        <v>90.76</v>
      </c>
      <c r="Y365" s="432">
        <v>91.2</v>
      </c>
      <c r="Z365" s="426"/>
      <c r="AA365" s="426"/>
      <c r="AB365" s="426"/>
      <c r="AC365" s="426"/>
      <c r="AD365" s="426"/>
    </row>
    <row r="366" spans="1:30" s="429" customFormat="1" x14ac:dyDescent="0.2">
      <c r="A366" s="433"/>
      <c r="B366" s="113">
        <v>38</v>
      </c>
      <c r="C366" s="432">
        <v>79.37</v>
      </c>
      <c r="D366" s="432">
        <v>80.22</v>
      </c>
      <c r="E366" s="432">
        <v>80.599999999999994</v>
      </c>
      <c r="F366" s="426"/>
      <c r="G366" s="426"/>
      <c r="H366" s="426"/>
      <c r="I366" s="426"/>
      <c r="J366" s="426"/>
      <c r="K366" s="433"/>
      <c r="L366" s="113">
        <v>38</v>
      </c>
      <c r="M366" s="432">
        <v>84.59</v>
      </c>
      <c r="N366" s="432">
        <v>85.55</v>
      </c>
      <c r="O366" s="432">
        <v>85.96</v>
      </c>
      <c r="P366" s="426"/>
      <c r="Q366" s="426"/>
      <c r="R366" s="426"/>
      <c r="S366" s="426"/>
      <c r="T366" s="426"/>
      <c r="U366" s="433"/>
      <c r="V366" s="113">
        <v>38</v>
      </c>
      <c r="W366" s="432">
        <v>90.09</v>
      </c>
      <c r="X366" s="432">
        <v>91.18</v>
      </c>
      <c r="Y366" s="432">
        <v>91.62</v>
      </c>
      <c r="Z366" s="426"/>
      <c r="AA366" s="426"/>
      <c r="AB366" s="426"/>
      <c r="AC366" s="426"/>
      <c r="AD366" s="426"/>
    </row>
    <row r="367" spans="1:30" s="429" customFormat="1" x14ac:dyDescent="0.2">
      <c r="A367" s="433"/>
      <c r="B367" s="113">
        <v>39</v>
      </c>
      <c r="C367" s="432">
        <v>79.69</v>
      </c>
      <c r="D367" s="432">
        <v>80.55</v>
      </c>
      <c r="E367" s="432">
        <v>80.930000000000007</v>
      </c>
      <c r="F367" s="426"/>
      <c r="G367" s="426"/>
      <c r="H367" s="426"/>
      <c r="I367" s="426"/>
      <c r="J367" s="426"/>
      <c r="K367" s="433"/>
      <c r="L367" s="113">
        <v>39</v>
      </c>
      <c r="M367" s="432">
        <v>84.95</v>
      </c>
      <c r="N367" s="432">
        <v>85.92</v>
      </c>
      <c r="O367" s="432">
        <v>86.34</v>
      </c>
      <c r="P367" s="426"/>
      <c r="Q367" s="426"/>
      <c r="R367" s="426"/>
      <c r="S367" s="426"/>
      <c r="T367" s="426"/>
      <c r="U367" s="433"/>
      <c r="V367" s="113">
        <v>39</v>
      </c>
      <c r="W367" s="432">
        <v>90.5</v>
      </c>
      <c r="X367" s="432">
        <v>91.6</v>
      </c>
      <c r="Y367" s="432">
        <v>92.05</v>
      </c>
      <c r="Z367" s="426"/>
      <c r="AA367" s="426"/>
      <c r="AB367" s="426"/>
      <c r="AC367" s="426"/>
      <c r="AD367" s="426"/>
    </row>
    <row r="368" spans="1:30" s="429" customFormat="1" x14ac:dyDescent="0.2">
      <c r="A368" s="433"/>
      <c r="B368" s="113">
        <v>40</v>
      </c>
      <c r="C368" s="432">
        <v>80</v>
      </c>
      <c r="D368" s="432">
        <v>80.87</v>
      </c>
      <c r="E368" s="432">
        <v>81.260000000000005</v>
      </c>
      <c r="F368" s="426"/>
      <c r="G368" s="426"/>
      <c r="H368" s="426"/>
      <c r="I368" s="426"/>
      <c r="J368" s="426"/>
      <c r="K368" s="433"/>
      <c r="L368" s="113">
        <v>40</v>
      </c>
      <c r="M368" s="432">
        <v>85.31</v>
      </c>
      <c r="N368" s="432">
        <v>86.3</v>
      </c>
      <c r="O368" s="432">
        <v>86.71</v>
      </c>
      <c r="P368" s="426"/>
      <c r="Q368" s="426"/>
      <c r="R368" s="426"/>
      <c r="S368" s="426"/>
      <c r="T368" s="426"/>
      <c r="U368" s="433"/>
      <c r="V368" s="113">
        <v>40</v>
      </c>
      <c r="W368" s="432">
        <v>90.91</v>
      </c>
      <c r="X368" s="432">
        <v>92.02</v>
      </c>
      <c r="Y368" s="432">
        <v>92.47</v>
      </c>
      <c r="Z368" s="426"/>
      <c r="AA368" s="426"/>
      <c r="AB368" s="426"/>
      <c r="AC368" s="426"/>
      <c r="AD368" s="426"/>
    </row>
    <row r="369" spans="1:30" s="429" customFormat="1" x14ac:dyDescent="0.2">
      <c r="A369" s="433"/>
      <c r="B369" s="113">
        <v>41</v>
      </c>
      <c r="C369" s="432">
        <v>80.319999999999993</v>
      </c>
      <c r="D369" s="432">
        <v>81.2</v>
      </c>
      <c r="E369" s="432">
        <v>81.59</v>
      </c>
      <c r="F369" s="426"/>
      <c r="G369" s="426"/>
      <c r="H369" s="426"/>
      <c r="I369" s="426"/>
      <c r="J369" s="426"/>
      <c r="K369" s="433"/>
      <c r="L369" s="113">
        <v>41</v>
      </c>
      <c r="M369" s="432">
        <v>85.68</v>
      </c>
      <c r="N369" s="432">
        <v>86.68</v>
      </c>
      <c r="O369" s="432">
        <v>87.09</v>
      </c>
      <c r="P369" s="426"/>
      <c r="Q369" s="426"/>
      <c r="R369" s="426"/>
      <c r="S369" s="426"/>
      <c r="T369" s="426"/>
      <c r="U369" s="433"/>
      <c r="V369" s="113">
        <v>41</v>
      </c>
      <c r="W369" s="432">
        <v>91.32</v>
      </c>
      <c r="X369" s="432">
        <v>92.44</v>
      </c>
      <c r="Y369" s="432">
        <v>92.89</v>
      </c>
      <c r="Z369" s="426"/>
      <c r="AA369" s="426"/>
      <c r="AB369" s="426"/>
      <c r="AC369" s="426"/>
      <c r="AD369" s="426"/>
    </row>
    <row r="370" spans="1:30" s="429" customFormat="1" x14ac:dyDescent="0.2">
      <c r="A370" s="433"/>
      <c r="B370" s="113">
        <v>42</v>
      </c>
      <c r="C370" s="432">
        <v>80.64</v>
      </c>
      <c r="D370" s="432">
        <v>81.53</v>
      </c>
      <c r="E370" s="432">
        <v>81.92</v>
      </c>
      <c r="F370" s="426"/>
      <c r="G370" s="426"/>
      <c r="H370" s="426"/>
      <c r="I370" s="426"/>
      <c r="J370" s="426"/>
      <c r="K370" s="433"/>
      <c r="L370" s="113">
        <v>42</v>
      </c>
      <c r="M370" s="432">
        <v>86.04</v>
      </c>
      <c r="N370" s="432">
        <v>87.05</v>
      </c>
      <c r="O370" s="432">
        <v>87.47</v>
      </c>
      <c r="P370" s="426"/>
      <c r="Q370" s="426"/>
      <c r="R370" s="426"/>
      <c r="S370" s="426"/>
      <c r="T370" s="426"/>
      <c r="U370" s="433"/>
      <c r="V370" s="113">
        <v>42</v>
      </c>
      <c r="W370" s="432">
        <v>91.73</v>
      </c>
      <c r="X370" s="432">
        <v>92.86</v>
      </c>
      <c r="Y370" s="432">
        <v>93.32</v>
      </c>
      <c r="Z370" s="426"/>
      <c r="AA370" s="426"/>
      <c r="AB370" s="426"/>
      <c r="AC370" s="426"/>
      <c r="AD370" s="426"/>
    </row>
    <row r="371" spans="1:30" s="429" customFormat="1" x14ac:dyDescent="0.2">
      <c r="A371" s="433"/>
      <c r="B371" s="113">
        <v>43</v>
      </c>
      <c r="C371" s="432">
        <v>80.959999999999994</v>
      </c>
      <c r="D371" s="432">
        <v>81.86</v>
      </c>
      <c r="E371" s="432">
        <v>82.25</v>
      </c>
      <c r="F371" s="426"/>
      <c r="G371" s="426"/>
      <c r="H371" s="426"/>
      <c r="I371" s="426"/>
      <c r="J371" s="426"/>
      <c r="K371" s="433"/>
      <c r="L371" s="113">
        <v>43</v>
      </c>
      <c r="M371" s="432">
        <v>86.4</v>
      </c>
      <c r="N371" s="432">
        <v>87.43</v>
      </c>
      <c r="O371" s="432">
        <v>87.85</v>
      </c>
      <c r="P371" s="426"/>
      <c r="Q371" s="426"/>
      <c r="R371" s="426"/>
      <c r="S371" s="426"/>
      <c r="T371" s="426"/>
      <c r="U371" s="433"/>
      <c r="V371" s="113">
        <v>43</v>
      </c>
      <c r="W371" s="432">
        <v>92.13</v>
      </c>
      <c r="X371" s="432">
        <v>93.29</v>
      </c>
      <c r="Y371" s="432">
        <v>93.74</v>
      </c>
      <c r="Z371" s="426"/>
      <c r="AA371" s="426"/>
      <c r="AB371" s="426"/>
      <c r="AC371" s="426"/>
      <c r="AD371" s="426"/>
    </row>
    <row r="372" spans="1:30" s="429" customFormat="1" x14ac:dyDescent="0.2">
      <c r="A372" s="433"/>
      <c r="B372" s="113">
        <v>44</v>
      </c>
      <c r="C372" s="432">
        <v>81.28</v>
      </c>
      <c r="D372" s="432">
        <v>82.19</v>
      </c>
      <c r="E372" s="432">
        <v>82.58</v>
      </c>
      <c r="F372" s="426"/>
      <c r="G372" s="426"/>
      <c r="H372" s="426"/>
      <c r="I372" s="426"/>
      <c r="J372" s="426"/>
      <c r="K372" s="433"/>
      <c r="L372" s="113">
        <v>44</v>
      </c>
      <c r="M372" s="432">
        <v>86.76</v>
      </c>
      <c r="N372" s="432">
        <v>87.8</v>
      </c>
      <c r="O372" s="432">
        <v>88.22</v>
      </c>
      <c r="P372" s="426"/>
      <c r="Q372" s="426"/>
      <c r="R372" s="426"/>
      <c r="S372" s="426"/>
      <c r="T372" s="426"/>
      <c r="U372" s="433"/>
      <c r="V372" s="113">
        <v>44</v>
      </c>
      <c r="W372" s="432">
        <v>92.54</v>
      </c>
      <c r="X372" s="432">
        <v>93.71</v>
      </c>
      <c r="Y372" s="432">
        <v>94.17</v>
      </c>
      <c r="Z372" s="426"/>
      <c r="AA372" s="426"/>
      <c r="AB372" s="426"/>
      <c r="AC372" s="426"/>
      <c r="AD372" s="426"/>
    </row>
    <row r="373" spans="1:30" s="429" customFormat="1" x14ac:dyDescent="0.2">
      <c r="A373" s="433"/>
      <c r="B373" s="113">
        <v>45</v>
      </c>
      <c r="C373" s="432">
        <v>81.59</v>
      </c>
      <c r="D373" s="432">
        <v>82.52</v>
      </c>
      <c r="E373" s="432">
        <v>82.91</v>
      </c>
      <c r="F373" s="426"/>
      <c r="G373" s="426"/>
      <c r="H373" s="426"/>
      <c r="I373" s="426"/>
      <c r="J373" s="426"/>
      <c r="K373" s="433"/>
      <c r="L373" s="113">
        <v>45</v>
      </c>
      <c r="M373" s="432">
        <v>87.13</v>
      </c>
      <c r="N373" s="432">
        <v>88.17</v>
      </c>
      <c r="O373" s="432">
        <v>88.6</v>
      </c>
      <c r="P373" s="426"/>
      <c r="Q373" s="426"/>
      <c r="R373" s="426"/>
      <c r="S373" s="426"/>
      <c r="T373" s="426"/>
      <c r="U373" s="433"/>
      <c r="V373" s="113">
        <v>45</v>
      </c>
      <c r="W373" s="432">
        <v>92.95</v>
      </c>
      <c r="X373" s="432">
        <v>94.14</v>
      </c>
      <c r="Y373" s="432">
        <v>94.59</v>
      </c>
      <c r="Z373" s="426"/>
      <c r="AA373" s="426"/>
      <c r="AB373" s="426"/>
      <c r="AC373" s="426"/>
      <c r="AD373" s="426"/>
    </row>
    <row r="374" spans="1:30" s="429" customFormat="1" x14ac:dyDescent="0.2">
      <c r="A374" s="433"/>
      <c r="B374" s="113">
        <v>46</v>
      </c>
      <c r="C374" s="432">
        <v>81.900000000000006</v>
      </c>
      <c r="D374" s="432">
        <v>82.84</v>
      </c>
      <c r="E374" s="432">
        <v>83.23</v>
      </c>
      <c r="F374" s="426"/>
      <c r="G374" s="426"/>
      <c r="H374" s="426"/>
      <c r="I374" s="426"/>
      <c r="J374" s="426"/>
      <c r="K374" s="433"/>
      <c r="L374" s="113">
        <v>46</v>
      </c>
      <c r="M374" s="432">
        <v>87.49</v>
      </c>
      <c r="N374" s="432">
        <v>88.55</v>
      </c>
      <c r="O374" s="432">
        <v>88.98</v>
      </c>
      <c r="P374" s="426"/>
      <c r="Q374" s="426"/>
      <c r="R374" s="426"/>
      <c r="S374" s="426"/>
      <c r="T374" s="426"/>
      <c r="U374" s="433"/>
      <c r="V374" s="113">
        <v>46</v>
      </c>
      <c r="W374" s="432">
        <v>93.37</v>
      </c>
      <c r="X374" s="432">
        <v>94.57</v>
      </c>
      <c r="Y374" s="432">
        <v>95.02</v>
      </c>
      <c r="Z374" s="426"/>
      <c r="AA374" s="426"/>
      <c r="AB374" s="426"/>
      <c r="AC374" s="426"/>
      <c r="AD374" s="426"/>
    </row>
    <row r="375" spans="1:30" s="429" customFormat="1" x14ac:dyDescent="0.2">
      <c r="A375" s="433"/>
      <c r="B375" s="113">
        <v>47</v>
      </c>
      <c r="C375" s="432">
        <v>82.22</v>
      </c>
      <c r="D375" s="432">
        <v>83.17</v>
      </c>
      <c r="E375" s="432">
        <v>83.56</v>
      </c>
      <c r="F375" s="426"/>
      <c r="G375" s="426"/>
      <c r="H375" s="426"/>
      <c r="I375" s="426"/>
      <c r="J375" s="426"/>
      <c r="K375" s="433"/>
      <c r="L375" s="113">
        <v>47</v>
      </c>
      <c r="M375" s="432">
        <v>87.86</v>
      </c>
      <c r="N375" s="432">
        <v>88.93</v>
      </c>
      <c r="O375" s="432">
        <v>89.36</v>
      </c>
      <c r="P375" s="426"/>
      <c r="Q375" s="426"/>
      <c r="R375" s="426"/>
      <c r="S375" s="426"/>
      <c r="T375" s="426"/>
      <c r="U375" s="433"/>
      <c r="V375" s="113">
        <v>47</v>
      </c>
      <c r="W375" s="432">
        <v>93.79</v>
      </c>
      <c r="X375" s="432">
        <v>95</v>
      </c>
      <c r="Y375" s="432">
        <v>95.46</v>
      </c>
      <c r="Z375" s="426"/>
      <c r="AA375" s="426"/>
      <c r="AB375" s="426"/>
      <c r="AC375" s="426"/>
      <c r="AD375" s="426"/>
    </row>
    <row r="376" spans="1:30" s="429" customFormat="1" x14ac:dyDescent="0.2">
      <c r="A376" s="433"/>
      <c r="B376" s="113">
        <v>48</v>
      </c>
      <c r="C376" s="432">
        <v>82.54</v>
      </c>
      <c r="D376" s="432">
        <v>83.5</v>
      </c>
      <c r="E376" s="432">
        <v>83.89</v>
      </c>
      <c r="F376" s="426"/>
      <c r="G376" s="426"/>
      <c r="H376" s="426"/>
      <c r="I376" s="426"/>
      <c r="J376" s="426"/>
      <c r="K376" s="433"/>
      <c r="L376" s="113">
        <v>48</v>
      </c>
      <c r="M376" s="432">
        <v>88.23</v>
      </c>
      <c r="N376" s="432">
        <v>89.32</v>
      </c>
      <c r="O376" s="432">
        <v>89.74</v>
      </c>
      <c r="P376" s="426"/>
      <c r="Q376" s="426"/>
      <c r="R376" s="426"/>
      <c r="S376" s="426"/>
      <c r="T376" s="426"/>
      <c r="U376" s="433"/>
      <c r="V376" s="113">
        <v>48</v>
      </c>
      <c r="W376" s="432">
        <v>94.21</v>
      </c>
      <c r="X376" s="432">
        <v>95.44</v>
      </c>
      <c r="Y376" s="432">
        <v>95.9</v>
      </c>
      <c r="Z376" s="426"/>
      <c r="AA376" s="426"/>
      <c r="AB376" s="426"/>
      <c r="AC376" s="426"/>
      <c r="AD376" s="426"/>
    </row>
    <row r="377" spans="1:30" s="429" customFormat="1" x14ac:dyDescent="0.2">
      <c r="A377" s="433"/>
      <c r="B377" s="113">
        <v>49</v>
      </c>
      <c r="C377" s="432">
        <v>82.86</v>
      </c>
      <c r="D377" s="432">
        <v>83.84</v>
      </c>
      <c r="E377" s="432">
        <v>84.23</v>
      </c>
      <c r="F377" s="426"/>
      <c r="G377" s="426"/>
      <c r="H377" s="426"/>
      <c r="I377" s="426"/>
      <c r="J377" s="426"/>
      <c r="K377" s="433"/>
      <c r="L377" s="113">
        <v>49</v>
      </c>
      <c r="M377" s="432">
        <v>88.61</v>
      </c>
      <c r="N377" s="432">
        <v>89.71</v>
      </c>
      <c r="O377" s="432">
        <v>90.14</v>
      </c>
      <c r="P377" s="426"/>
      <c r="Q377" s="426"/>
      <c r="R377" s="426"/>
      <c r="S377" s="426"/>
      <c r="T377" s="426"/>
      <c r="U377" s="433"/>
      <c r="V377" s="113">
        <v>49</v>
      </c>
      <c r="W377" s="432">
        <v>94.63</v>
      </c>
      <c r="X377" s="432">
        <v>95.88</v>
      </c>
      <c r="Y377" s="432">
        <v>96.34</v>
      </c>
      <c r="Z377" s="426"/>
      <c r="AA377" s="426"/>
      <c r="AB377" s="426"/>
      <c r="AC377" s="426"/>
      <c r="AD377" s="426"/>
    </row>
    <row r="378" spans="1:30" s="429" customFormat="1" x14ac:dyDescent="0.2">
      <c r="A378" s="433"/>
      <c r="B378" s="113">
        <v>50</v>
      </c>
      <c r="C378" s="432">
        <v>83.19</v>
      </c>
      <c r="D378" s="432">
        <v>84.18</v>
      </c>
      <c r="E378" s="432">
        <v>84.57</v>
      </c>
      <c r="F378" s="426"/>
      <c r="G378" s="426"/>
      <c r="H378" s="426"/>
      <c r="I378" s="434"/>
      <c r="J378" s="435"/>
      <c r="K378" s="433"/>
      <c r="L378" s="113">
        <v>50</v>
      </c>
      <c r="M378" s="432">
        <v>88.99</v>
      </c>
      <c r="N378" s="432">
        <v>90.11</v>
      </c>
      <c r="O378" s="432">
        <v>90.54</v>
      </c>
      <c r="P378" s="426"/>
      <c r="Q378" s="426"/>
      <c r="R378" s="426"/>
      <c r="S378" s="434"/>
      <c r="T378" s="435"/>
      <c r="U378" s="433"/>
      <c r="V378" s="113">
        <v>50</v>
      </c>
      <c r="W378" s="432">
        <v>95.06</v>
      </c>
      <c r="X378" s="432">
        <v>96.32</v>
      </c>
      <c r="Y378" s="432">
        <v>96.78</v>
      </c>
      <c r="Z378" s="426"/>
      <c r="AA378" s="426"/>
      <c r="AB378" s="426"/>
      <c r="AC378" s="434"/>
      <c r="AD378" s="435"/>
    </row>
    <row r="379" spans="1:30" s="429" customFormat="1" x14ac:dyDescent="0.2">
      <c r="A379" s="426"/>
      <c r="B379" s="113">
        <v>51</v>
      </c>
      <c r="C379" s="432">
        <v>83.53</v>
      </c>
      <c r="D379" s="432">
        <v>84.53</v>
      </c>
      <c r="E379" s="432">
        <v>84.93</v>
      </c>
      <c r="F379" s="426"/>
      <c r="G379" s="426"/>
      <c r="H379" s="426"/>
      <c r="I379" s="426"/>
      <c r="J379" s="436"/>
      <c r="K379" s="426"/>
      <c r="L379" s="113">
        <v>51</v>
      </c>
      <c r="M379" s="432">
        <v>89.38</v>
      </c>
      <c r="N379" s="432">
        <v>90.52</v>
      </c>
      <c r="O379" s="432">
        <v>90.94</v>
      </c>
      <c r="P379" s="426"/>
      <c r="Q379" s="426"/>
      <c r="R379" s="426"/>
      <c r="S379" s="426"/>
      <c r="T379" s="436"/>
      <c r="U379" s="426"/>
      <c r="V379" s="113">
        <v>51</v>
      </c>
      <c r="W379" s="432">
        <v>95.48</v>
      </c>
      <c r="X379" s="432">
        <v>96.76</v>
      </c>
      <c r="Y379" s="432">
        <v>97.22</v>
      </c>
      <c r="Z379" s="426"/>
      <c r="AA379" s="426"/>
      <c r="AB379" s="426"/>
      <c r="AC379" s="426"/>
      <c r="AD379" s="436"/>
    </row>
    <row r="380" spans="1:30" s="429" customFormat="1" x14ac:dyDescent="0.2">
      <c r="A380" s="426"/>
      <c r="B380" s="113">
        <v>52</v>
      </c>
      <c r="C380" s="432">
        <v>83.87</v>
      </c>
      <c r="D380" s="432">
        <v>84.89</v>
      </c>
      <c r="E380" s="432">
        <v>85.29</v>
      </c>
      <c r="F380" s="426"/>
      <c r="G380" s="426"/>
      <c r="H380" s="426"/>
      <c r="I380" s="426"/>
      <c r="J380" s="426"/>
      <c r="K380" s="426"/>
      <c r="L380" s="113">
        <v>52</v>
      </c>
      <c r="M380" s="432">
        <v>89.77</v>
      </c>
      <c r="N380" s="432">
        <v>90.93</v>
      </c>
      <c r="O380" s="432">
        <v>91.35</v>
      </c>
      <c r="P380" s="426"/>
      <c r="Q380" s="426"/>
      <c r="R380" s="426"/>
      <c r="S380" s="426"/>
      <c r="T380" s="426"/>
      <c r="U380" s="426"/>
      <c r="V380" s="113">
        <v>52</v>
      </c>
      <c r="W380" s="432">
        <v>95.9</v>
      </c>
      <c r="X380" s="432">
        <v>97.2</v>
      </c>
      <c r="Y380" s="432">
        <v>97.66</v>
      </c>
      <c r="Z380" s="426"/>
      <c r="AA380" s="426"/>
      <c r="AB380" s="426"/>
      <c r="AC380" s="426"/>
      <c r="AD380" s="426"/>
    </row>
    <row r="381" spans="1:30" s="429" customFormat="1" x14ac:dyDescent="0.2">
      <c r="A381" s="426"/>
      <c r="B381" s="113">
        <v>53</v>
      </c>
      <c r="C381" s="432">
        <v>84.22</v>
      </c>
      <c r="D381" s="432">
        <v>85.26</v>
      </c>
      <c r="E381" s="432">
        <v>85.65</v>
      </c>
      <c r="F381" s="426"/>
      <c r="G381" s="426"/>
      <c r="H381" s="426"/>
      <c r="I381" s="426"/>
      <c r="J381" s="426"/>
      <c r="K381" s="426"/>
      <c r="L381" s="113">
        <v>53</v>
      </c>
      <c r="M381" s="432">
        <v>90.16</v>
      </c>
      <c r="N381" s="432">
        <v>91.34</v>
      </c>
      <c r="O381" s="432">
        <v>91.76</v>
      </c>
      <c r="P381" s="426"/>
      <c r="Q381" s="426"/>
      <c r="R381" s="426"/>
      <c r="S381" s="426"/>
      <c r="T381" s="426"/>
      <c r="U381" s="426"/>
      <c r="V381" s="113">
        <v>53</v>
      </c>
      <c r="W381" s="432">
        <v>96.31</v>
      </c>
      <c r="X381" s="432">
        <v>97.63</v>
      </c>
      <c r="Y381" s="432">
        <v>98.09</v>
      </c>
      <c r="Z381" s="426"/>
      <c r="AA381" s="426"/>
      <c r="AB381" s="426"/>
      <c r="AC381" s="426"/>
      <c r="AD381" s="426"/>
    </row>
    <row r="382" spans="1:30" s="429" customFormat="1" x14ac:dyDescent="0.2">
      <c r="A382" s="426"/>
      <c r="B382" s="113">
        <v>54</v>
      </c>
      <c r="C382" s="432">
        <v>84.58</v>
      </c>
      <c r="D382" s="432">
        <v>85.63</v>
      </c>
      <c r="E382" s="432">
        <v>86.03</v>
      </c>
      <c r="F382" s="426"/>
      <c r="G382" s="426"/>
      <c r="H382" s="426"/>
      <c r="I382" s="426"/>
      <c r="J382" s="426"/>
      <c r="K382" s="426"/>
      <c r="L382" s="113">
        <v>54</v>
      </c>
      <c r="M382" s="432">
        <v>90.55</v>
      </c>
      <c r="N382" s="432">
        <v>91.74</v>
      </c>
      <c r="O382" s="432">
        <v>92.17</v>
      </c>
      <c r="P382" s="426"/>
      <c r="Q382" s="426"/>
      <c r="R382" s="426"/>
      <c r="S382" s="426"/>
      <c r="T382" s="426"/>
      <c r="U382" s="426"/>
      <c r="V382" s="113">
        <v>54</v>
      </c>
      <c r="W382" s="432">
        <v>96.69</v>
      </c>
      <c r="X382" s="432">
        <v>98.03</v>
      </c>
      <c r="Y382" s="432">
        <v>98.49</v>
      </c>
      <c r="Z382" s="426"/>
      <c r="AA382" s="426"/>
      <c r="AB382" s="426"/>
      <c r="AC382" s="426"/>
      <c r="AD382" s="426"/>
    </row>
    <row r="383" spans="1:30" s="429" customFormat="1" x14ac:dyDescent="0.2">
      <c r="A383" s="426"/>
      <c r="B383" s="113">
        <v>55</v>
      </c>
      <c r="C383" s="432">
        <v>84.93</v>
      </c>
      <c r="D383" s="432">
        <v>86</v>
      </c>
      <c r="E383" s="432">
        <v>86.39</v>
      </c>
      <c r="F383" s="426"/>
      <c r="G383" s="426"/>
      <c r="H383" s="426"/>
      <c r="I383" s="426"/>
      <c r="J383" s="426"/>
      <c r="K383" s="426"/>
      <c r="L383" s="113">
        <v>55</v>
      </c>
      <c r="M383" s="432">
        <v>90.92</v>
      </c>
      <c r="N383" s="432">
        <v>92.12</v>
      </c>
      <c r="O383" s="432">
        <v>92.55</v>
      </c>
      <c r="P383" s="426"/>
      <c r="Q383" s="426"/>
      <c r="R383" s="426"/>
      <c r="S383" s="426"/>
      <c r="T383" s="426"/>
      <c r="U383" s="426"/>
      <c r="V383" s="113">
        <v>55</v>
      </c>
      <c r="W383" s="432">
        <v>97.03</v>
      </c>
      <c r="X383" s="432">
        <v>98.39</v>
      </c>
      <c r="Y383" s="432">
        <v>98.85</v>
      </c>
      <c r="Z383" s="426"/>
      <c r="AA383" s="426"/>
      <c r="AB383" s="426"/>
      <c r="AC383" s="426"/>
      <c r="AD383" s="426"/>
    </row>
    <row r="384" spans="1:30" s="429" customFormat="1" x14ac:dyDescent="0.2">
      <c r="A384" s="426"/>
      <c r="B384" s="113">
        <v>56</v>
      </c>
      <c r="C384" s="432">
        <v>85.27</v>
      </c>
      <c r="D384" s="432">
        <v>86.35</v>
      </c>
      <c r="E384" s="432">
        <v>86.75</v>
      </c>
      <c r="F384" s="426"/>
      <c r="G384" s="426"/>
      <c r="H384" s="426"/>
      <c r="I384" s="426"/>
      <c r="J384" s="426"/>
      <c r="K384" s="426"/>
      <c r="L384" s="113">
        <v>56</v>
      </c>
      <c r="M384" s="432">
        <v>91.25</v>
      </c>
      <c r="N384" s="432">
        <v>92.48</v>
      </c>
      <c r="O384" s="432">
        <v>92.91</v>
      </c>
      <c r="P384" s="426"/>
      <c r="Q384" s="426"/>
      <c r="R384" s="426"/>
      <c r="S384" s="426"/>
      <c r="T384" s="426"/>
      <c r="U384" s="426"/>
      <c r="V384" s="113">
        <v>56</v>
      </c>
      <c r="W384" s="432">
        <v>97.32</v>
      </c>
      <c r="X384" s="432">
        <v>98.69</v>
      </c>
      <c r="Y384" s="432">
        <v>99.15</v>
      </c>
      <c r="Z384" s="426"/>
      <c r="AA384" s="426"/>
      <c r="AB384" s="426"/>
      <c r="AC384" s="426"/>
      <c r="AD384" s="426"/>
    </row>
    <row r="385" spans="1:30" s="429" customFormat="1" x14ac:dyDescent="0.2">
      <c r="A385" s="426"/>
      <c r="B385" s="113">
        <v>57</v>
      </c>
      <c r="C385" s="432">
        <v>85.58</v>
      </c>
      <c r="D385" s="432">
        <v>86.68</v>
      </c>
      <c r="E385" s="432">
        <v>87.08</v>
      </c>
      <c r="F385" s="426"/>
      <c r="G385" s="426"/>
      <c r="H385" s="426"/>
      <c r="I385" s="426"/>
      <c r="J385" s="426"/>
      <c r="K385" s="426"/>
      <c r="L385" s="113">
        <v>57</v>
      </c>
      <c r="M385" s="432">
        <v>91.55</v>
      </c>
      <c r="N385" s="432">
        <v>92.79</v>
      </c>
      <c r="O385" s="432">
        <v>93.22</v>
      </c>
      <c r="P385" s="426"/>
      <c r="Q385" s="426"/>
      <c r="R385" s="426"/>
      <c r="S385" s="426"/>
      <c r="T385" s="426"/>
      <c r="U385" s="426"/>
      <c r="V385" s="113">
        <v>57</v>
      </c>
      <c r="W385" s="432">
        <v>97.54</v>
      </c>
      <c r="X385" s="432">
        <v>98.93</v>
      </c>
      <c r="Y385" s="432">
        <v>99.39</v>
      </c>
      <c r="Z385" s="426"/>
      <c r="AA385" s="426"/>
      <c r="AB385" s="426"/>
      <c r="AC385" s="426"/>
      <c r="AD385" s="426"/>
    </row>
    <row r="386" spans="1:30" s="429" customFormat="1" x14ac:dyDescent="0.2">
      <c r="A386" s="426"/>
      <c r="B386" s="113">
        <v>58</v>
      </c>
      <c r="C386" s="432">
        <v>85.86</v>
      </c>
      <c r="D386" s="432">
        <v>86.97</v>
      </c>
      <c r="E386" s="432">
        <v>87.37</v>
      </c>
      <c r="F386" s="426"/>
      <c r="G386" s="426"/>
      <c r="H386" s="426"/>
      <c r="I386" s="426"/>
      <c r="J386" s="426"/>
      <c r="K386" s="426"/>
      <c r="L386" s="113">
        <v>58</v>
      </c>
      <c r="M386" s="432">
        <v>91.78</v>
      </c>
      <c r="N386" s="432">
        <v>93.04</v>
      </c>
      <c r="O386" s="432">
        <v>93.47</v>
      </c>
      <c r="P386" s="426"/>
      <c r="Q386" s="426"/>
      <c r="R386" s="426"/>
      <c r="S386" s="426"/>
      <c r="T386" s="426"/>
      <c r="U386" s="426"/>
      <c r="V386" s="113">
        <v>58</v>
      </c>
      <c r="W386" s="432">
        <v>97.68</v>
      </c>
      <c r="X386" s="432">
        <v>99.07</v>
      </c>
      <c r="Y386" s="432">
        <v>99.53</v>
      </c>
      <c r="Z386" s="426"/>
      <c r="AA386" s="426"/>
      <c r="AB386" s="426"/>
      <c r="AC386" s="426"/>
      <c r="AD386" s="426"/>
    </row>
    <row r="387" spans="1:30" s="429" customFormat="1" x14ac:dyDescent="0.2">
      <c r="A387" s="426"/>
      <c r="B387" s="113">
        <v>59</v>
      </c>
      <c r="C387" s="432">
        <v>86.09</v>
      </c>
      <c r="D387" s="432">
        <v>87.22</v>
      </c>
      <c r="E387" s="432">
        <v>87.62</v>
      </c>
      <c r="F387" s="426"/>
      <c r="G387" s="426"/>
      <c r="H387" s="426"/>
      <c r="I387" s="426"/>
      <c r="J387" s="426"/>
      <c r="K387" s="426"/>
      <c r="L387" s="113">
        <v>59</v>
      </c>
      <c r="M387" s="432">
        <v>91.94</v>
      </c>
      <c r="N387" s="432">
        <v>93.21</v>
      </c>
      <c r="O387" s="432">
        <v>93.64</v>
      </c>
      <c r="P387" s="426"/>
      <c r="Q387" s="426"/>
      <c r="R387" s="426"/>
      <c r="S387" s="426"/>
      <c r="T387" s="426"/>
      <c r="U387" s="426"/>
      <c r="V387" s="113">
        <v>59</v>
      </c>
      <c r="W387" s="432">
        <v>97.7</v>
      </c>
      <c r="X387" s="432">
        <v>99.11</v>
      </c>
      <c r="Y387" s="432">
        <v>99.57</v>
      </c>
      <c r="Z387" s="426"/>
      <c r="AA387" s="426"/>
      <c r="AB387" s="426"/>
      <c r="AC387" s="426"/>
      <c r="AD387" s="426"/>
    </row>
    <row r="388" spans="1:30" s="429" customFormat="1" x14ac:dyDescent="0.2">
      <c r="A388" s="426"/>
      <c r="B388" s="113">
        <v>60</v>
      </c>
      <c r="C388" s="432">
        <v>86.26</v>
      </c>
      <c r="D388" s="432">
        <v>87.4</v>
      </c>
      <c r="E388" s="432">
        <v>87.8</v>
      </c>
      <c r="F388" s="426"/>
      <c r="G388" s="426"/>
      <c r="H388" s="426"/>
      <c r="I388" s="426"/>
      <c r="J388" s="426"/>
      <c r="K388" s="426"/>
      <c r="L388" s="113">
        <v>60</v>
      </c>
      <c r="M388" s="432">
        <v>92.01</v>
      </c>
      <c r="N388" s="432">
        <v>93.29</v>
      </c>
      <c r="O388" s="432">
        <v>93.72</v>
      </c>
      <c r="P388" s="426"/>
      <c r="Q388" s="426"/>
      <c r="R388" s="426"/>
      <c r="S388" s="426"/>
      <c r="T388" s="426"/>
      <c r="U388" s="426"/>
      <c r="V388" s="113">
        <v>60</v>
      </c>
      <c r="W388" s="432">
        <v>97.6</v>
      </c>
      <c r="X388" s="432">
        <v>99.02</v>
      </c>
      <c r="Y388" s="432">
        <v>99.48</v>
      </c>
      <c r="Z388" s="426"/>
      <c r="AA388" s="426"/>
      <c r="AB388" s="426"/>
      <c r="AC388" s="426"/>
      <c r="AD388" s="426"/>
    </row>
    <row r="389" spans="1:30" s="429" customFormat="1" x14ac:dyDescent="0.2">
      <c r="A389" s="426"/>
      <c r="B389" s="113">
        <v>61</v>
      </c>
      <c r="C389" s="432">
        <v>86.34</v>
      </c>
      <c r="D389" s="432">
        <v>87.5</v>
      </c>
      <c r="E389" s="432">
        <v>87.9</v>
      </c>
      <c r="F389" s="426"/>
      <c r="G389" s="426"/>
      <c r="H389" s="426"/>
      <c r="I389" s="426"/>
      <c r="J389" s="426"/>
      <c r="K389" s="426"/>
      <c r="L389" s="113">
        <v>61</v>
      </c>
      <c r="M389" s="432">
        <v>91.97</v>
      </c>
      <c r="N389" s="432">
        <v>93.26</v>
      </c>
      <c r="O389" s="432">
        <v>93.69</v>
      </c>
      <c r="P389" s="426"/>
      <c r="Q389" s="426"/>
      <c r="R389" s="426"/>
      <c r="S389" s="426"/>
      <c r="T389" s="426"/>
      <c r="U389" s="426"/>
      <c r="V389" s="113">
        <v>61</v>
      </c>
      <c r="W389" s="432">
        <v>97.36</v>
      </c>
      <c r="X389" s="432">
        <v>98.79</v>
      </c>
      <c r="Y389" s="432">
        <v>99.24</v>
      </c>
      <c r="Z389" s="426"/>
      <c r="AA389" s="426"/>
      <c r="AB389" s="426"/>
      <c r="AC389" s="426"/>
      <c r="AD389" s="426"/>
    </row>
    <row r="390" spans="1:30" s="429" customFormat="1" x14ac:dyDescent="0.2">
      <c r="A390" s="426"/>
      <c r="B390" s="113">
        <v>62</v>
      </c>
      <c r="C390" s="432">
        <v>86.33</v>
      </c>
      <c r="D390" s="432">
        <v>87.51</v>
      </c>
      <c r="E390" s="432">
        <v>87.9</v>
      </c>
      <c r="F390" s="426"/>
      <c r="G390" s="426"/>
      <c r="H390" s="426"/>
      <c r="I390" s="426"/>
      <c r="J390" s="426"/>
      <c r="K390" s="426"/>
      <c r="L390" s="113">
        <v>62</v>
      </c>
      <c r="M390" s="432">
        <v>91.8</v>
      </c>
      <c r="N390" s="432">
        <v>93.1</v>
      </c>
      <c r="O390" s="432">
        <v>93.52</v>
      </c>
      <c r="P390" s="426"/>
      <c r="Q390" s="426"/>
      <c r="R390" s="426"/>
      <c r="S390" s="426"/>
      <c r="T390" s="426"/>
      <c r="U390" s="426"/>
      <c r="V390" s="113">
        <v>62</v>
      </c>
      <c r="W390" s="432">
        <v>96.96</v>
      </c>
      <c r="X390" s="432">
        <v>98.39</v>
      </c>
      <c r="Y390" s="432">
        <v>98.83</v>
      </c>
      <c r="Z390" s="426"/>
      <c r="AA390" s="426"/>
      <c r="AB390" s="426"/>
      <c r="AC390" s="426"/>
      <c r="AD390" s="426"/>
    </row>
    <row r="391" spans="1:30" s="429" customFormat="1" x14ac:dyDescent="0.2">
      <c r="A391" s="426"/>
      <c r="B391" s="113">
        <v>63</v>
      </c>
      <c r="C391" s="432">
        <v>86.22</v>
      </c>
      <c r="D391" s="432">
        <v>87.4</v>
      </c>
      <c r="E391" s="432">
        <v>87.8</v>
      </c>
      <c r="F391" s="426"/>
      <c r="G391" s="426"/>
      <c r="H391" s="426"/>
      <c r="I391" s="426"/>
      <c r="J391" s="426"/>
      <c r="K391" s="426"/>
      <c r="L391" s="113">
        <v>63</v>
      </c>
      <c r="M391" s="432">
        <v>91.49</v>
      </c>
      <c r="N391" s="432">
        <v>92.8</v>
      </c>
      <c r="O391" s="432">
        <v>93.22</v>
      </c>
      <c r="P391" s="426"/>
      <c r="Q391" s="426"/>
      <c r="R391" s="426"/>
      <c r="S391" s="426"/>
      <c r="T391" s="426"/>
      <c r="U391" s="426"/>
      <c r="V391" s="113">
        <v>63</v>
      </c>
      <c r="W391" s="432">
        <v>96.38</v>
      </c>
      <c r="X391" s="432">
        <v>97.81</v>
      </c>
      <c r="Y391" s="432">
        <v>98.25</v>
      </c>
      <c r="Z391" s="426"/>
      <c r="AA391" s="426"/>
      <c r="AB391" s="426"/>
      <c r="AC391" s="426"/>
      <c r="AD391" s="426"/>
    </row>
    <row r="392" spans="1:30" s="429" customFormat="1" x14ac:dyDescent="0.2">
      <c r="A392" s="426"/>
      <c r="B392" s="113">
        <v>64</v>
      </c>
      <c r="C392" s="432">
        <v>86</v>
      </c>
      <c r="D392" s="432">
        <v>87.19</v>
      </c>
      <c r="E392" s="432">
        <v>87.58</v>
      </c>
      <c r="F392" s="426"/>
      <c r="G392" s="426"/>
      <c r="H392" s="426"/>
      <c r="I392" s="426"/>
      <c r="J392" s="426"/>
      <c r="K392" s="426"/>
      <c r="L392" s="113">
        <v>64</v>
      </c>
      <c r="M392" s="432">
        <v>91.04</v>
      </c>
      <c r="N392" s="432">
        <v>92.36</v>
      </c>
      <c r="O392" s="432">
        <v>92.77</v>
      </c>
      <c r="P392" s="426"/>
      <c r="Q392" s="426"/>
      <c r="R392" s="426"/>
      <c r="S392" s="426"/>
      <c r="T392" s="426"/>
      <c r="U392" s="426"/>
      <c r="V392" s="113">
        <v>64</v>
      </c>
      <c r="W392" s="432">
        <v>95.64</v>
      </c>
      <c r="X392" s="432">
        <v>97.06</v>
      </c>
      <c r="Y392" s="432">
        <v>97.5</v>
      </c>
      <c r="Z392" s="426"/>
      <c r="AA392" s="426"/>
      <c r="AB392" s="426"/>
      <c r="AC392" s="426"/>
      <c r="AD392" s="426"/>
    </row>
    <row r="393" spans="1:30" s="429" customFormat="1" x14ac:dyDescent="0.2">
      <c r="A393" s="426"/>
      <c r="B393" s="113">
        <v>65</v>
      </c>
      <c r="C393" s="432">
        <v>85.66</v>
      </c>
      <c r="D393" s="432">
        <v>86.85</v>
      </c>
      <c r="E393" s="432">
        <v>87.24</v>
      </c>
      <c r="F393" s="426"/>
      <c r="G393" s="426"/>
      <c r="H393" s="426"/>
      <c r="I393" s="426"/>
      <c r="J393" s="426"/>
      <c r="K393" s="426"/>
      <c r="L393" s="113">
        <v>65</v>
      </c>
      <c r="M393" s="432">
        <v>90.44</v>
      </c>
      <c r="N393" s="432">
        <v>91.76</v>
      </c>
      <c r="O393" s="432">
        <v>92.17</v>
      </c>
      <c r="P393" s="426"/>
      <c r="Q393" s="426"/>
      <c r="R393" s="426"/>
      <c r="S393" s="426"/>
      <c r="T393" s="426"/>
      <c r="U393" s="426"/>
      <c r="V393" s="113">
        <v>65</v>
      </c>
      <c r="W393" s="432">
        <v>94.72</v>
      </c>
      <c r="X393" s="432">
        <v>96.14</v>
      </c>
      <c r="Y393" s="432">
        <v>96.57</v>
      </c>
      <c r="Z393" s="426"/>
      <c r="AA393" s="426"/>
      <c r="AB393" s="426"/>
      <c r="AC393" s="426"/>
      <c r="AD393" s="426"/>
    </row>
    <row r="394" spans="1:30" s="429" customFormat="1" x14ac:dyDescent="0.2">
      <c r="A394" s="426"/>
      <c r="B394" s="113">
        <v>66</v>
      </c>
      <c r="C394" s="432">
        <v>85.19</v>
      </c>
      <c r="D394" s="432">
        <v>86.4</v>
      </c>
      <c r="E394" s="432">
        <v>86.78</v>
      </c>
      <c r="F394" s="426"/>
      <c r="G394" s="426"/>
      <c r="H394" s="426"/>
      <c r="I394" s="426"/>
      <c r="J394" s="426"/>
      <c r="K394" s="426"/>
      <c r="L394" s="113">
        <v>66</v>
      </c>
      <c r="M394" s="432">
        <v>89.7</v>
      </c>
      <c r="N394" s="432">
        <v>91.01</v>
      </c>
      <c r="O394" s="432">
        <v>91.42</v>
      </c>
      <c r="P394" s="426"/>
      <c r="Q394" s="426"/>
      <c r="R394" s="426"/>
      <c r="S394" s="426"/>
      <c r="T394" s="426"/>
      <c r="U394" s="426"/>
      <c r="V394" s="113">
        <v>66</v>
      </c>
      <c r="W394" s="432">
        <v>93.62</v>
      </c>
      <c r="X394" s="432">
        <v>95.03</v>
      </c>
      <c r="Y394" s="432">
        <v>95.46</v>
      </c>
      <c r="Z394" s="426"/>
      <c r="AA394" s="426"/>
      <c r="AB394" s="426"/>
      <c r="AC394" s="426"/>
      <c r="AD394" s="426"/>
    </row>
    <row r="395" spans="1:30" s="429" customFormat="1" x14ac:dyDescent="0.2">
      <c r="A395" s="426"/>
      <c r="B395" s="113">
        <v>67</v>
      </c>
      <c r="C395" s="432">
        <v>84.6</v>
      </c>
      <c r="D395" s="432">
        <v>85.81</v>
      </c>
      <c r="E395" s="432">
        <v>86.19</v>
      </c>
      <c r="F395" s="426"/>
      <c r="G395" s="426"/>
      <c r="H395" s="426"/>
      <c r="I395" s="426"/>
      <c r="J395" s="426"/>
      <c r="K395" s="426"/>
      <c r="L395" s="113">
        <v>67</v>
      </c>
      <c r="M395" s="432">
        <v>88.8</v>
      </c>
      <c r="N395" s="432">
        <v>90.11</v>
      </c>
      <c r="O395" s="432">
        <v>90.52</v>
      </c>
      <c r="P395" s="426"/>
      <c r="Q395" s="426"/>
      <c r="R395" s="426"/>
      <c r="S395" s="426"/>
      <c r="T395" s="426"/>
      <c r="U395" s="426"/>
      <c r="V395" s="113">
        <v>67</v>
      </c>
      <c r="W395" s="432">
        <v>92.36</v>
      </c>
      <c r="X395" s="432">
        <v>93.76</v>
      </c>
      <c r="Y395" s="432">
        <v>94.18</v>
      </c>
      <c r="Z395" s="426"/>
      <c r="AA395" s="426"/>
      <c r="AB395" s="426"/>
      <c r="AC395" s="426"/>
      <c r="AD395" s="426"/>
    </row>
    <row r="396" spans="1:30" s="429" customFormat="1" x14ac:dyDescent="0.2">
      <c r="A396" s="426"/>
      <c r="B396" s="113">
        <v>68</v>
      </c>
      <c r="C396" s="432">
        <v>83.88</v>
      </c>
      <c r="D396" s="432">
        <v>85.09</v>
      </c>
      <c r="E396" s="432">
        <v>85.47</v>
      </c>
      <c r="F396" s="426"/>
      <c r="G396" s="426"/>
      <c r="H396" s="426"/>
      <c r="I396" s="426"/>
      <c r="J396" s="426"/>
      <c r="K396" s="426"/>
      <c r="L396" s="113">
        <v>68</v>
      </c>
      <c r="M396" s="432">
        <v>87.75</v>
      </c>
      <c r="N396" s="432">
        <v>89.05</v>
      </c>
      <c r="O396" s="432">
        <v>89.46</v>
      </c>
      <c r="P396" s="426"/>
      <c r="Q396" s="426"/>
      <c r="R396" s="426"/>
      <c r="S396" s="426"/>
      <c r="T396" s="426"/>
      <c r="U396" s="426"/>
      <c r="V396" s="113">
        <v>68</v>
      </c>
      <c r="W396" s="432">
        <v>90.94</v>
      </c>
      <c r="X396" s="432">
        <v>92.32</v>
      </c>
      <c r="Y396" s="432">
        <v>92.74</v>
      </c>
      <c r="Z396" s="426"/>
      <c r="AA396" s="426"/>
      <c r="AB396" s="426"/>
      <c r="AC396" s="426"/>
      <c r="AD396" s="426"/>
    </row>
    <row r="397" spans="1:30" s="429" customFormat="1" x14ac:dyDescent="0.2">
      <c r="A397" s="426"/>
      <c r="B397" s="113">
        <v>69</v>
      </c>
      <c r="C397" s="432">
        <v>83.03</v>
      </c>
      <c r="D397" s="432">
        <v>84.24</v>
      </c>
      <c r="E397" s="432">
        <v>84.62</v>
      </c>
      <c r="F397" s="426"/>
      <c r="G397" s="426"/>
      <c r="H397" s="426"/>
      <c r="I397" s="426"/>
      <c r="J397" s="426"/>
      <c r="K397" s="426"/>
      <c r="L397" s="113">
        <v>69</v>
      </c>
      <c r="M397" s="432">
        <v>86.55</v>
      </c>
      <c r="N397" s="432">
        <v>87.85</v>
      </c>
      <c r="O397" s="432">
        <v>88.25</v>
      </c>
      <c r="P397" s="426"/>
      <c r="Q397" s="426"/>
      <c r="R397" s="426"/>
      <c r="S397" s="426"/>
      <c r="T397" s="426"/>
      <c r="U397" s="426"/>
      <c r="V397" s="113">
        <v>69</v>
      </c>
      <c r="W397" s="432">
        <v>89.36</v>
      </c>
      <c r="X397" s="432">
        <v>90.73</v>
      </c>
      <c r="Y397" s="432">
        <v>91.14</v>
      </c>
      <c r="Z397" s="426"/>
      <c r="AA397" s="426"/>
      <c r="AB397" s="426"/>
      <c r="AC397" s="426"/>
      <c r="AD397" s="426"/>
    </row>
    <row r="398" spans="1:30" s="429" customFormat="1" x14ac:dyDescent="0.2">
      <c r="A398" s="426"/>
      <c r="B398" s="113">
        <v>70</v>
      </c>
      <c r="C398" s="432">
        <v>82.05</v>
      </c>
      <c r="D398" s="432">
        <v>83.25</v>
      </c>
      <c r="E398" s="432">
        <v>83.63</v>
      </c>
      <c r="F398" s="426"/>
      <c r="G398" s="426"/>
      <c r="H398" s="426"/>
      <c r="I398" s="426"/>
      <c r="J398" s="426"/>
      <c r="K398" s="426"/>
      <c r="L398" s="113">
        <v>70</v>
      </c>
      <c r="M398" s="432">
        <v>85.21</v>
      </c>
      <c r="N398" s="432">
        <v>86.5</v>
      </c>
      <c r="O398" s="432">
        <v>86.89</v>
      </c>
      <c r="P398" s="426"/>
      <c r="Q398" s="426"/>
      <c r="R398" s="426"/>
      <c r="S398" s="426"/>
      <c r="T398" s="426"/>
      <c r="U398" s="426"/>
      <c r="V398" s="113">
        <v>70</v>
      </c>
      <c r="W398" s="432">
        <v>87.63</v>
      </c>
      <c r="X398" s="432">
        <v>88.98</v>
      </c>
      <c r="Y398" s="432">
        <v>89.39</v>
      </c>
      <c r="Z398" s="426"/>
      <c r="AA398" s="426"/>
      <c r="AB398" s="426"/>
      <c r="AC398" s="426"/>
      <c r="AD398" s="426"/>
    </row>
    <row r="399" spans="1:30" s="429" customFormat="1" x14ac:dyDescent="0.2">
      <c r="A399" s="426"/>
      <c r="B399" s="113">
        <v>71</v>
      </c>
      <c r="C399" s="432">
        <v>80.94</v>
      </c>
      <c r="D399" s="432">
        <v>82.13</v>
      </c>
      <c r="E399" s="432">
        <v>82.51</v>
      </c>
      <c r="F399" s="426"/>
      <c r="G399" s="426"/>
      <c r="H399" s="426"/>
      <c r="I399" s="426"/>
      <c r="J399" s="426"/>
      <c r="K399" s="426"/>
      <c r="L399" s="113">
        <v>71</v>
      </c>
      <c r="M399" s="432">
        <v>83.73</v>
      </c>
      <c r="N399" s="432">
        <v>85</v>
      </c>
      <c r="O399" s="432">
        <v>85.39</v>
      </c>
      <c r="P399" s="426"/>
      <c r="Q399" s="426"/>
      <c r="R399" s="426"/>
      <c r="S399" s="426"/>
      <c r="T399" s="426"/>
      <c r="U399" s="426"/>
      <c r="V399" s="113">
        <v>71</v>
      </c>
      <c r="W399" s="432">
        <v>85.78</v>
      </c>
      <c r="X399" s="432">
        <v>87.1</v>
      </c>
      <c r="Y399" s="432">
        <v>87.5</v>
      </c>
      <c r="Z399" s="426"/>
      <c r="AA399" s="426"/>
      <c r="AB399" s="426"/>
      <c r="AC399" s="426"/>
      <c r="AD399" s="426"/>
    </row>
    <row r="400" spans="1:30" s="429" customFormat="1" x14ac:dyDescent="0.2">
      <c r="A400" s="426"/>
      <c r="B400" s="113">
        <v>72</v>
      </c>
      <c r="C400" s="432">
        <v>79.680000000000007</v>
      </c>
      <c r="D400" s="432">
        <v>80.87</v>
      </c>
      <c r="E400" s="432">
        <v>81.239999999999995</v>
      </c>
      <c r="F400" s="426"/>
      <c r="G400" s="426"/>
      <c r="H400" s="426"/>
      <c r="I400" s="426"/>
      <c r="J400" s="426"/>
      <c r="K400" s="426"/>
      <c r="L400" s="113">
        <v>72</v>
      </c>
      <c r="M400" s="432">
        <v>82.11</v>
      </c>
      <c r="N400" s="432">
        <v>83.36</v>
      </c>
      <c r="O400" s="432">
        <v>83.75</v>
      </c>
      <c r="P400" s="426"/>
      <c r="Q400" s="426"/>
      <c r="R400" s="426"/>
      <c r="S400" s="426"/>
      <c r="T400" s="426"/>
      <c r="U400" s="426"/>
      <c r="V400" s="113">
        <v>72</v>
      </c>
      <c r="W400" s="432">
        <v>83.78</v>
      </c>
      <c r="X400" s="432">
        <v>85.09</v>
      </c>
      <c r="Y400" s="432">
        <v>85.48</v>
      </c>
      <c r="Z400" s="426"/>
      <c r="AA400" s="426"/>
      <c r="AB400" s="426"/>
      <c r="AC400" s="426"/>
      <c r="AD400" s="426"/>
    </row>
    <row r="401" spans="1:30" s="429" customFormat="1" x14ac:dyDescent="0.2">
      <c r="A401" s="426"/>
      <c r="B401" s="113">
        <v>73</v>
      </c>
      <c r="C401" s="432">
        <v>78.3</v>
      </c>
      <c r="D401" s="432">
        <v>79.48</v>
      </c>
      <c r="E401" s="432">
        <v>79.849999999999994</v>
      </c>
      <c r="F401" s="426"/>
      <c r="G401" s="426"/>
      <c r="H401" s="426"/>
      <c r="I401" s="426"/>
      <c r="J401" s="426"/>
      <c r="K401" s="426"/>
      <c r="L401" s="113">
        <v>73</v>
      </c>
      <c r="M401" s="432">
        <v>80.36</v>
      </c>
      <c r="N401" s="432">
        <v>81.599999999999994</v>
      </c>
      <c r="O401" s="432">
        <v>81.98</v>
      </c>
      <c r="P401" s="426"/>
      <c r="Q401" s="426"/>
      <c r="R401" s="426"/>
      <c r="S401" s="426"/>
      <c r="T401" s="426"/>
      <c r="U401" s="426"/>
      <c r="V401" s="113">
        <v>73</v>
      </c>
      <c r="W401" s="432">
        <v>81.69</v>
      </c>
      <c r="X401" s="432">
        <v>82.97</v>
      </c>
      <c r="Y401" s="432">
        <v>83.36</v>
      </c>
      <c r="Z401" s="426"/>
      <c r="AA401" s="426"/>
      <c r="AB401" s="426"/>
      <c r="AC401" s="426"/>
      <c r="AD401" s="426"/>
    </row>
    <row r="402" spans="1:30" s="429" customFormat="1" x14ac:dyDescent="0.2">
      <c r="A402" s="426"/>
      <c r="B402" s="113">
        <v>74</v>
      </c>
      <c r="C402" s="432">
        <v>76.81</v>
      </c>
      <c r="D402" s="432">
        <v>77.98</v>
      </c>
      <c r="E402" s="432">
        <v>78.34</v>
      </c>
      <c r="F402" s="426"/>
      <c r="G402" s="426"/>
      <c r="H402" s="426"/>
      <c r="I402" s="426"/>
      <c r="J402" s="426"/>
      <c r="K402" s="426"/>
      <c r="L402" s="113">
        <v>74</v>
      </c>
      <c r="M402" s="432">
        <v>78.510000000000005</v>
      </c>
      <c r="N402" s="432">
        <v>79.73</v>
      </c>
      <c r="O402" s="432">
        <v>80.11</v>
      </c>
      <c r="P402" s="426"/>
      <c r="Q402" s="426"/>
      <c r="R402" s="426"/>
      <c r="S402" s="426"/>
      <c r="T402" s="426"/>
      <c r="U402" s="426"/>
      <c r="V402" s="113">
        <v>74</v>
      </c>
      <c r="W402" s="432">
        <v>79.5</v>
      </c>
      <c r="X402" s="432">
        <v>80.760000000000005</v>
      </c>
      <c r="Y402" s="432">
        <v>81.14</v>
      </c>
      <c r="Z402" s="426"/>
      <c r="AA402" s="426"/>
      <c r="AB402" s="426"/>
      <c r="AC402" s="426"/>
      <c r="AD402" s="426"/>
    </row>
    <row r="403" spans="1:30" s="429" customFormat="1" x14ac:dyDescent="0.2">
      <c r="A403" s="426"/>
      <c r="B403" s="113">
        <v>75</v>
      </c>
      <c r="C403" s="432">
        <v>75.209999999999994</v>
      </c>
      <c r="D403" s="432">
        <v>76.36</v>
      </c>
      <c r="E403" s="432">
        <v>76.73</v>
      </c>
      <c r="F403" s="426"/>
      <c r="G403" s="426"/>
      <c r="H403" s="426"/>
      <c r="I403" s="426"/>
      <c r="J403" s="426"/>
      <c r="K403" s="426"/>
      <c r="L403" s="113">
        <v>75</v>
      </c>
      <c r="M403" s="432">
        <v>76.56</v>
      </c>
      <c r="N403" s="432">
        <v>77.760000000000005</v>
      </c>
      <c r="O403" s="432">
        <v>78.13</v>
      </c>
      <c r="P403" s="426"/>
      <c r="Q403" s="426"/>
      <c r="R403" s="426"/>
      <c r="S403" s="426"/>
      <c r="T403" s="426"/>
      <c r="U403" s="426"/>
      <c r="V403" s="113">
        <v>75</v>
      </c>
      <c r="W403" s="432">
        <v>77.25</v>
      </c>
      <c r="X403" s="432">
        <v>78.48</v>
      </c>
      <c r="Y403" s="432">
        <v>78.849999999999994</v>
      </c>
      <c r="Z403" s="426"/>
      <c r="AA403" s="426"/>
      <c r="AB403" s="426"/>
      <c r="AC403" s="426"/>
      <c r="AD403" s="426"/>
    </row>
    <row r="404" spans="1:30" s="429" customFormat="1" x14ac:dyDescent="0.2">
      <c r="A404" s="426"/>
      <c r="B404" s="113">
        <v>76</v>
      </c>
      <c r="C404" s="432">
        <v>73.5</v>
      </c>
      <c r="D404" s="432">
        <v>74.650000000000006</v>
      </c>
      <c r="E404" s="432">
        <v>75.010000000000005</v>
      </c>
      <c r="F404" s="426"/>
      <c r="G404" s="426"/>
      <c r="H404" s="426"/>
      <c r="I404" s="426"/>
      <c r="J404" s="426"/>
      <c r="K404" s="426"/>
      <c r="L404" s="113">
        <v>76</v>
      </c>
      <c r="M404" s="432">
        <v>74.53</v>
      </c>
      <c r="N404" s="432">
        <v>75.709999999999994</v>
      </c>
      <c r="O404" s="432">
        <v>76.069999999999993</v>
      </c>
      <c r="P404" s="426"/>
      <c r="Q404" s="426"/>
      <c r="R404" s="426"/>
      <c r="S404" s="426"/>
      <c r="T404" s="426"/>
      <c r="U404" s="426"/>
      <c r="V404" s="113">
        <v>76</v>
      </c>
      <c r="W404" s="432">
        <v>74.930000000000007</v>
      </c>
      <c r="X404" s="432">
        <v>76.14</v>
      </c>
      <c r="Y404" s="432">
        <v>76.510000000000005</v>
      </c>
      <c r="Z404" s="426"/>
      <c r="AA404" s="426"/>
      <c r="AB404" s="426"/>
      <c r="AC404" s="426"/>
      <c r="AD404" s="426"/>
    </row>
    <row r="405" spans="1:30" s="429" customFormat="1" x14ac:dyDescent="0.2">
      <c r="A405" s="426"/>
      <c r="B405" s="113">
        <v>77</v>
      </c>
      <c r="C405" s="432">
        <v>71.709999999999994</v>
      </c>
      <c r="D405" s="432">
        <v>72.84</v>
      </c>
      <c r="E405" s="432">
        <v>73.19</v>
      </c>
      <c r="F405" s="426"/>
      <c r="G405" s="426"/>
      <c r="H405" s="426"/>
      <c r="I405" s="426"/>
      <c r="J405" s="426"/>
      <c r="K405" s="426"/>
      <c r="L405" s="113">
        <v>77</v>
      </c>
      <c r="M405" s="432">
        <v>72.42</v>
      </c>
      <c r="N405" s="432">
        <v>73.59</v>
      </c>
      <c r="O405" s="432">
        <v>73.95</v>
      </c>
      <c r="P405" s="426"/>
      <c r="Q405" s="426"/>
      <c r="R405" s="426"/>
      <c r="S405" s="426"/>
      <c r="T405" s="426"/>
      <c r="U405" s="426"/>
      <c r="V405" s="113">
        <v>77</v>
      </c>
      <c r="W405" s="432">
        <v>72.569999999999993</v>
      </c>
      <c r="X405" s="432">
        <v>73.760000000000005</v>
      </c>
      <c r="Y405" s="432">
        <v>74.12</v>
      </c>
      <c r="Z405" s="426"/>
      <c r="AA405" s="426"/>
      <c r="AB405" s="426"/>
      <c r="AC405" s="426"/>
      <c r="AD405" s="426"/>
    </row>
    <row r="406" spans="1:30" s="429" customFormat="1" x14ac:dyDescent="0.2">
      <c r="A406" s="426"/>
      <c r="B406" s="113">
        <v>78</v>
      </c>
      <c r="C406" s="432">
        <v>69.83</v>
      </c>
      <c r="D406" s="432">
        <v>70.95</v>
      </c>
      <c r="E406" s="432">
        <v>71.290000000000006</v>
      </c>
      <c r="F406" s="426"/>
      <c r="G406" s="426"/>
      <c r="H406" s="426"/>
      <c r="I406" s="426"/>
      <c r="J406" s="426"/>
      <c r="K406" s="426"/>
      <c r="L406" s="113">
        <v>78</v>
      </c>
      <c r="M406" s="432">
        <v>70.260000000000005</v>
      </c>
      <c r="N406" s="432">
        <v>71.41</v>
      </c>
      <c r="O406" s="432">
        <v>71.760000000000005</v>
      </c>
      <c r="P406" s="426"/>
      <c r="Q406" s="426"/>
      <c r="R406" s="426"/>
      <c r="S406" s="426"/>
      <c r="T406" s="426"/>
      <c r="U406" s="426"/>
      <c r="V406" s="113">
        <v>78</v>
      </c>
      <c r="W406" s="432">
        <v>70.180000000000007</v>
      </c>
      <c r="X406" s="432">
        <v>71.349999999999994</v>
      </c>
      <c r="Y406" s="432">
        <v>71.7</v>
      </c>
      <c r="Z406" s="426"/>
      <c r="AA406" s="426"/>
      <c r="AB406" s="426"/>
      <c r="AC406" s="426"/>
      <c r="AD406" s="426"/>
    </row>
    <row r="407" spans="1:30" s="429" customFormat="1" x14ac:dyDescent="0.2">
      <c r="A407" s="426"/>
      <c r="B407" s="113">
        <v>79</v>
      </c>
      <c r="C407" s="432">
        <v>67.88</v>
      </c>
      <c r="D407" s="432">
        <v>68.98</v>
      </c>
      <c r="E407" s="432">
        <v>69.33</v>
      </c>
      <c r="F407" s="426"/>
      <c r="G407" s="426"/>
      <c r="H407" s="426"/>
      <c r="I407" s="426"/>
      <c r="J407" s="426"/>
      <c r="K407" s="426"/>
      <c r="L407" s="113">
        <v>79</v>
      </c>
      <c r="M407" s="432">
        <v>68.05</v>
      </c>
      <c r="N407" s="432">
        <v>69.180000000000007</v>
      </c>
      <c r="O407" s="432">
        <v>69.53</v>
      </c>
      <c r="P407" s="426"/>
      <c r="Q407" s="426"/>
      <c r="R407" s="426"/>
      <c r="S407" s="426"/>
      <c r="T407" s="426"/>
      <c r="U407" s="426"/>
      <c r="V407" s="113">
        <v>79</v>
      </c>
      <c r="W407" s="432">
        <v>67.78</v>
      </c>
      <c r="X407" s="432">
        <v>68.92</v>
      </c>
      <c r="Y407" s="432">
        <v>69.27</v>
      </c>
      <c r="Z407" s="426"/>
      <c r="AA407" s="426"/>
      <c r="AB407" s="426"/>
      <c r="AC407" s="426"/>
      <c r="AD407" s="426"/>
    </row>
    <row r="408" spans="1:30" s="429" customFormat="1" x14ac:dyDescent="0.2">
      <c r="A408" s="426"/>
      <c r="B408" s="113">
        <v>80</v>
      </c>
      <c r="C408" s="432">
        <v>65.87</v>
      </c>
      <c r="D408" s="432">
        <v>66.959999999999994</v>
      </c>
      <c r="E408" s="432">
        <v>67.3</v>
      </c>
      <c r="F408" s="426"/>
      <c r="G408" s="426"/>
      <c r="H408" s="426"/>
      <c r="I408" s="426"/>
      <c r="J408" s="426"/>
      <c r="K408" s="426"/>
      <c r="L408" s="113">
        <v>80</v>
      </c>
      <c r="M408" s="432">
        <v>65.81</v>
      </c>
      <c r="N408" s="432">
        <v>66.92</v>
      </c>
      <c r="O408" s="432">
        <v>67.260000000000005</v>
      </c>
      <c r="P408" s="426"/>
      <c r="Q408" s="426"/>
      <c r="R408" s="426"/>
      <c r="S408" s="426"/>
      <c r="T408" s="426"/>
      <c r="U408" s="426"/>
      <c r="V408" s="113">
        <v>80</v>
      </c>
      <c r="W408" s="432">
        <v>65.37</v>
      </c>
      <c r="X408" s="432">
        <v>66.489999999999995</v>
      </c>
      <c r="Y408" s="432">
        <v>66.83</v>
      </c>
      <c r="Z408" s="426"/>
      <c r="AA408" s="426"/>
      <c r="AB408" s="426"/>
      <c r="AC408" s="426"/>
      <c r="AD408" s="426"/>
    </row>
    <row r="409" spans="1:30" s="429" customFormat="1" x14ac:dyDescent="0.2">
      <c r="A409" s="426"/>
      <c r="B409" s="113">
        <v>81</v>
      </c>
      <c r="C409" s="432">
        <v>63.82</v>
      </c>
      <c r="D409" s="432">
        <v>64.89</v>
      </c>
      <c r="E409" s="432">
        <v>65.23</v>
      </c>
      <c r="F409" s="426"/>
      <c r="G409" s="426"/>
      <c r="H409" s="426"/>
      <c r="I409" s="426"/>
      <c r="J409" s="426"/>
      <c r="K409" s="426"/>
      <c r="L409" s="113">
        <v>81</v>
      </c>
      <c r="M409" s="432">
        <v>63.55</v>
      </c>
      <c r="N409" s="432">
        <v>64.64</v>
      </c>
      <c r="O409" s="432">
        <v>64.98</v>
      </c>
      <c r="P409" s="426"/>
      <c r="Q409" s="426"/>
      <c r="R409" s="426"/>
      <c r="S409" s="426"/>
      <c r="T409" s="426"/>
      <c r="U409" s="426"/>
      <c r="V409" s="113">
        <v>81</v>
      </c>
      <c r="W409" s="432">
        <v>62.98</v>
      </c>
      <c r="X409" s="432">
        <v>64.08</v>
      </c>
      <c r="Y409" s="432">
        <v>64.41</v>
      </c>
      <c r="Z409" s="426"/>
      <c r="AA409" s="426"/>
      <c r="AB409" s="426"/>
      <c r="AC409" s="426"/>
      <c r="AD409" s="426"/>
    </row>
    <row r="410" spans="1:30" s="429" customFormat="1" x14ac:dyDescent="0.2">
      <c r="A410" s="426"/>
      <c r="B410" s="113">
        <v>82</v>
      </c>
      <c r="C410" s="432">
        <v>61.73</v>
      </c>
      <c r="D410" s="432">
        <v>62.78</v>
      </c>
      <c r="E410" s="432">
        <v>63.12</v>
      </c>
      <c r="F410" s="426"/>
      <c r="G410" s="426"/>
      <c r="H410" s="426"/>
      <c r="I410" s="426"/>
      <c r="J410" s="426"/>
      <c r="K410" s="426"/>
      <c r="L410" s="113">
        <v>82</v>
      </c>
      <c r="M410" s="432">
        <v>61.29</v>
      </c>
      <c r="N410" s="432">
        <v>62.36</v>
      </c>
      <c r="O410" s="432">
        <v>62.69</v>
      </c>
      <c r="P410" s="426"/>
      <c r="Q410" s="426"/>
      <c r="R410" s="426"/>
      <c r="S410" s="426"/>
      <c r="T410" s="426"/>
      <c r="U410" s="426"/>
      <c r="V410" s="113">
        <v>82</v>
      </c>
      <c r="W410" s="432">
        <v>60.6</v>
      </c>
      <c r="X410" s="432">
        <v>61.68</v>
      </c>
      <c r="Y410" s="432">
        <v>62.01</v>
      </c>
      <c r="Z410" s="426"/>
      <c r="AA410" s="426"/>
      <c r="AB410" s="426"/>
      <c r="AC410" s="426"/>
      <c r="AD410" s="426"/>
    </row>
    <row r="411" spans="1:30" s="429" customFormat="1" x14ac:dyDescent="0.2">
      <c r="A411" s="426"/>
      <c r="B411" s="113">
        <v>83</v>
      </c>
      <c r="C411" s="432">
        <v>59.61</v>
      </c>
      <c r="D411" s="432">
        <v>60.65</v>
      </c>
      <c r="E411" s="432">
        <v>60.98</v>
      </c>
      <c r="F411" s="426"/>
      <c r="G411" s="426"/>
      <c r="H411" s="426"/>
      <c r="I411" s="426"/>
      <c r="J411" s="426"/>
      <c r="K411" s="426"/>
      <c r="L411" s="113">
        <v>83</v>
      </c>
      <c r="M411" s="432">
        <v>59.03</v>
      </c>
      <c r="N411" s="432">
        <v>60.08</v>
      </c>
      <c r="O411" s="432">
        <v>60.41</v>
      </c>
      <c r="P411" s="426"/>
      <c r="Q411" s="426"/>
      <c r="R411" s="426"/>
      <c r="S411" s="426"/>
      <c r="T411" s="426"/>
      <c r="U411" s="426"/>
      <c r="V411" s="113">
        <v>83</v>
      </c>
      <c r="W411" s="432">
        <v>58.25</v>
      </c>
      <c r="X411" s="432">
        <v>59.31</v>
      </c>
      <c r="Y411" s="432">
        <v>59.64</v>
      </c>
      <c r="Z411" s="426"/>
      <c r="AA411" s="426"/>
      <c r="AB411" s="426"/>
      <c r="AC411" s="426"/>
      <c r="AD411" s="426"/>
    </row>
    <row r="412" spans="1:30" s="429" customFormat="1" x14ac:dyDescent="0.2">
      <c r="A412" s="426"/>
      <c r="B412" s="113">
        <v>84</v>
      </c>
      <c r="C412" s="432">
        <v>57.48</v>
      </c>
      <c r="D412" s="432">
        <v>58.51</v>
      </c>
      <c r="E412" s="432">
        <v>58.83</v>
      </c>
      <c r="F412" s="426"/>
      <c r="G412" s="426"/>
      <c r="H412" s="426"/>
      <c r="I412" s="426"/>
      <c r="J412" s="426"/>
      <c r="K412" s="426"/>
      <c r="L412" s="113">
        <v>84</v>
      </c>
      <c r="M412" s="432">
        <v>56.78</v>
      </c>
      <c r="N412" s="432">
        <v>57.81</v>
      </c>
      <c r="O412" s="432">
        <v>58.14</v>
      </c>
      <c r="P412" s="426"/>
      <c r="Q412" s="426"/>
      <c r="R412" s="426"/>
      <c r="S412" s="426"/>
      <c r="T412" s="426"/>
      <c r="U412" s="426"/>
      <c r="V412" s="113">
        <v>84</v>
      </c>
      <c r="W412" s="432">
        <v>55.94</v>
      </c>
      <c r="X412" s="432">
        <v>56.99</v>
      </c>
      <c r="Y412" s="432">
        <v>57.3</v>
      </c>
      <c r="Z412" s="426"/>
      <c r="AA412" s="426"/>
      <c r="AB412" s="426"/>
      <c r="AC412" s="426"/>
      <c r="AD412" s="426"/>
    </row>
    <row r="413" spans="1:30" s="429" customFormat="1" x14ac:dyDescent="0.2">
      <c r="A413" s="426"/>
      <c r="B413" s="113">
        <v>85</v>
      </c>
      <c r="C413" s="432">
        <v>55.34</v>
      </c>
      <c r="D413" s="432">
        <v>56.36</v>
      </c>
      <c r="E413" s="432">
        <v>56.68</v>
      </c>
      <c r="F413" s="426"/>
      <c r="G413" s="426"/>
      <c r="H413" s="426"/>
      <c r="I413" s="426"/>
      <c r="J413" s="426"/>
      <c r="K413" s="426"/>
      <c r="L413" s="113">
        <v>85</v>
      </c>
      <c r="M413" s="432">
        <v>54.55</v>
      </c>
      <c r="N413" s="432">
        <v>55.57</v>
      </c>
      <c r="O413" s="432">
        <v>55.89</v>
      </c>
      <c r="P413" s="426"/>
      <c r="Q413" s="426"/>
      <c r="R413" s="426"/>
      <c r="S413" s="426"/>
      <c r="T413" s="426"/>
      <c r="U413" s="426"/>
      <c r="V413" s="113">
        <v>85</v>
      </c>
      <c r="W413" s="432">
        <v>53.67</v>
      </c>
      <c r="X413" s="432">
        <v>54.7</v>
      </c>
      <c r="Y413" s="432">
        <v>55.01</v>
      </c>
      <c r="Z413" s="426"/>
      <c r="AA413" s="426"/>
      <c r="AB413" s="426"/>
      <c r="AC413" s="426"/>
      <c r="AD413" s="426"/>
    </row>
    <row r="414" spans="1:30" s="429" customFormat="1" x14ac:dyDescent="0.2">
      <c r="A414" s="426"/>
      <c r="B414" s="113">
        <v>86</v>
      </c>
      <c r="C414" s="432">
        <v>53.22</v>
      </c>
      <c r="D414" s="432">
        <v>54.22</v>
      </c>
      <c r="E414" s="432">
        <v>54.53</v>
      </c>
      <c r="F414" s="426"/>
      <c r="G414" s="426"/>
      <c r="H414" s="426"/>
      <c r="I414" s="426"/>
      <c r="J414" s="426"/>
      <c r="K414" s="426"/>
      <c r="L414" s="113">
        <v>86</v>
      </c>
      <c r="M414" s="432">
        <v>52.35</v>
      </c>
      <c r="N414" s="432">
        <v>53.36</v>
      </c>
      <c r="O414" s="432">
        <v>53.67</v>
      </c>
      <c r="P414" s="426"/>
      <c r="Q414" s="426"/>
      <c r="R414" s="426"/>
      <c r="S414" s="426"/>
      <c r="T414" s="426"/>
      <c r="U414" s="426"/>
      <c r="V414" s="113">
        <v>86</v>
      </c>
      <c r="W414" s="432">
        <v>51.45</v>
      </c>
      <c r="X414" s="432">
        <v>52.46</v>
      </c>
      <c r="Y414" s="432">
        <v>52.77</v>
      </c>
      <c r="Z414" s="426"/>
      <c r="AA414" s="426"/>
      <c r="AB414" s="426"/>
      <c r="AC414" s="426"/>
      <c r="AD414" s="426"/>
    </row>
    <row r="415" spans="1:30" s="429" customFormat="1" x14ac:dyDescent="0.2">
      <c r="A415" s="426"/>
      <c r="B415" s="113">
        <v>87</v>
      </c>
      <c r="C415" s="432">
        <v>51.1</v>
      </c>
      <c r="D415" s="432">
        <v>52.09</v>
      </c>
      <c r="E415" s="432">
        <v>52.4</v>
      </c>
      <c r="F415" s="426"/>
      <c r="G415" s="426"/>
      <c r="H415" s="426"/>
      <c r="I415" s="426"/>
      <c r="J415" s="426"/>
      <c r="K415" s="426"/>
      <c r="L415" s="113">
        <v>87</v>
      </c>
      <c r="M415" s="432">
        <v>50.18</v>
      </c>
      <c r="N415" s="432">
        <v>51.18</v>
      </c>
      <c r="O415" s="432">
        <v>51.49</v>
      </c>
      <c r="P415" s="426"/>
      <c r="Q415" s="426"/>
      <c r="R415" s="426"/>
      <c r="S415" s="426"/>
      <c r="T415" s="426"/>
      <c r="U415" s="426"/>
      <c r="V415" s="113">
        <v>87</v>
      </c>
      <c r="W415" s="432">
        <v>49.28</v>
      </c>
      <c r="X415" s="432">
        <v>50.28</v>
      </c>
      <c r="Y415" s="432">
        <v>50.59</v>
      </c>
      <c r="Z415" s="426"/>
      <c r="AA415" s="426"/>
      <c r="AB415" s="426"/>
      <c r="AC415" s="426"/>
      <c r="AD415" s="426"/>
    </row>
    <row r="416" spans="1:30" s="429" customFormat="1" x14ac:dyDescent="0.2">
      <c r="A416" s="426"/>
      <c r="B416" s="113">
        <v>88</v>
      </c>
      <c r="C416" s="432">
        <v>49</v>
      </c>
      <c r="D416" s="432">
        <v>49.98</v>
      </c>
      <c r="E416" s="432">
        <v>50.29</v>
      </c>
      <c r="F416" s="426"/>
      <c r="G416" s="426"/>
      <c r="H416" s="426"/>
      <c r="I416" s="426"/>
      <c r="J416" s="426"/>
      <c r="K416" s="426"/>
      <c r="L416" s="113">
        <v>88</v>
      </c>
      <c r="M416" s="432">
        <v>48.06</v>
      </c>
      <c r="N416" s="432">
        <v>49.04</v>
      </c>
      <c r="O416" s="432">
        <v>49.35</v>
      </c>
      <c r="P416" s="426"/>
      <c r="Q416" s="426"/>
      <c r="R416" s="426"/>
      <c r="S416" s="426"/>
      <c r="T416" s="426"/>
      <c r="U416" s="426"/>
      <c r="V416" s="113">
        <v>88</v>
      </c>
      <c r="W416" s="432">
        <v>47.16</v>
      </c>
      <c r="X416" s="432">
        <v>48.15</v>
      </c>
      <c r="Y416" s="432">
        <v>48.45</v>
      </c>
      <c r="Z416" s="426"/>
      <c r="AA416" s="426"/>
      <c r="AB416" s="426"/>
      <c r="AC416" s="426"/>
      <c r="AD416" s="426"/>
    </row>
    <row r="417" spans="1:30" s="429" customFormat="1" x14ac:dyDescent="0.2">
      <c r="A417" s="426"/>
      <c r="B417" s="113">
        <v>89</v>
      </c>
      <c r="C417" s="432">
        <v>46.93</v>
      </c>
      <c r="D417" s="432">
        <v>47.9</v>
      </c>
      <c r="E417" s="432">
        <v>48.21</v>
      </c>
      <c r="F417" s="426"/>
      <c r="G417" s="426"/>
      <c r="H417" s="426"/>
      <c r="I417" s="426"/>
      <c r="J417" s="426"/>
      <c r="K417" s="426"/>
      <c r="L417" s="113">
        <v>89</v>
      </c>
      <c r="M417" s="432">
        <v>45.98</v>
      </c>
      <c r="N417" s="432">
        <v>46.95</v>
      </c>
      <c r="O417" s="432">
        <v>47.25</v>
      </c>
      <c r="P417" s="426"/>
      <c r="Q417" s="426"/>
      <c r="R417" s="426"/>
      <c r="S417" s="426"/>
      <c r="T417" s="426"/>
      <c r="U417" s="426"/>
      <c r="V417" s="113">
        <v>89</v>
      </c>
      <c r="W417" s="432">
        <v>45.1</v>
      </c>
      <c r="X417" s="432">
        <v>46.08</v>
      </c>
      <c r="Y417" s="432">
        <v>46.38</v>
      </c>
      <c r="Z417" s="426"/>
      <c r="AA417" s="426"/>
      <c r="AB417" s="426"/>
      <c r="AC417" s="426"/>
      <c r="AD417" s="426"/>
    </row>
    <row r="418" spans="1:30" s="429" customFormat="1" x14ac:dyDescent="0.2">
      <c r="A418" s="426"/>
      <c r="B418" s="113">
        <v>90</v>
      </c>
      <c r="C418" s="432">
        <v>44.9</v>
      </c>
      <c r="D418" s="432">
        <v>45.85</v>
      </c>
      <c r="E418" s="432">
        <v>46.16</v>
      </c>
      <c r="F418" s="426"/>
      <c r="G418" s="426"/>
      <c r="H418" s="426"/>
      <c r="I418" s="426"/>
      <c r="J418" s="426"/>
      <c r="K418" s="426"/>
      <c r="L418" s="113">
        <v>90</v>
      </c>
      <c r="M418" s="432">
        <v>43.94</v>
      </c>
      <c r="N418" s="432">
        <v>44.91</v>
      </c>
      <c r="O418" s="432">
        <v>45.21</v>
      </c>
      <c r="P418" s="426"/>
      <c r="Q418" s="426"/>
      <c r="R418" s="426"/>
      <c r="S418" s="426"/>
      <c r="T418" s="426"/>
      <c r="U418" s="426"/>
      <c r="V418" s="113">
        <v>90</v>
      </c>
      <c r="W418" s="432">
        <v>43.1</v>
      </c>
      <c r="X418" s="432">
        <v>44.06</v>
      </c>
      <c r="Y418" s="432">
        <v>44.36</v>
      </c>
      <c r="Z418" s="426"/>
      <c r="AA418" s="426"/>
      <c r="AB418" s="426"/>
      <c r="AC418" s="426"/>
      <c r="AD418" s="426"/>
    </row>
    <row r="419" spans="1:30" s="429" customFormat="1" x14ac:dyDescent="0.2">
      <c r="A419" s="426"/>
      <c r="B419" s="113">
        <v>91</v>
      </c>
      <c r="C419" s="432">
        <v>42.89</v>
      </c>
      <c r="D419" s="432">
        <v>43.84</v>
      </c>
      <c r="E419" s="432">
        <v>44.15</v>
      </c>
      <c r="F419" s="426"/>
      <c r="G419" s="426"/>
      <c r="H419" s="426"/>
      <c r="I419" s="426"/>
      <c r="J419" s="426"/>
      <c r="K419" s="426"/>
      <c r="L419" s="113">
        <v>91</v>
      </c>
      <c r="M419" s="432">
        <v>41.96</v>
      </c>
      <c r="N419" s="432">
        <v>42.91</v>
      </c>
      <c r="O419" s="432">
        <v>43.21</v>
      </c>
      <c r="P419" s="426"/>
      <c r="Q419" s="426"/>
      <c r="R419" s="426"/>
      <c r="S419" s="426"/>
      <c r="T419" s="426"/>
      <c r="U419" s="426"/>
      <c r="V419" s="113">
        <v>91</v>
      </c>
      <c r="W419" s="432">
        <v>41.14</v>
      </c>
      <c r="X419" s="432">
        <v>42.1</v>
      </c>
      <c r="Y419" s="432">
        <v>42.4</v>
      </c>
      <c r="Z419" s="426"/>
      <c r="AA419" s="426"/>
      <c r="AB419" s="426"/>
      <c r="AC419" s="426"/>
      <c r="AD419" s="426"/>
    </row>
    <row r="420" spans="1:30" s="429" customFormat="1" x14ac:dyDescent="0.2">
      <c r="A420" s="426"/>
      <c r="B420" s="113">
        <v>92</v>
      </c>
      <c r="C420" s="432">
        <v>40.93</v>
      </c>
      <c r="D420" s="432">
        <v>41.87</v>
      </c>
      <c r="E420" s="432">
        <v>42.17</v>
      </c>
      <c r="F420" s="426"/>
      <c r="G420" s="426"/>
      <c r="H420" s="426"/>
      <c r="I420" s="426"/>
      <c r="J420" s="426"/>
      <c r="K420" s="426"/>
      <c r="L420" s="113">
        <v>92</v>
      </c>
      <c r="M420" s="432">
        <v>40.020000000000003</v>
      </c>
      <c r="N420" s="432">
        <v>40.96</v>
      </c>
      <c r="O420" s="432">
        <v>41.26</v>
      </c>
      <c r="P420" s="426"/>
      <c r="Q420" s="426"/>
      <c r="R420" s="426"/>
      <c r="S420" s="426"/>
      <c r="T420" s="426"/>
      <c r="U420" s="426"/>
      <c r="V420" s="113">
        <v>92</v>
      </c>
      <c r="W420" s="432">
        <v>39.17</v>
      </c>
      <c r="X420" s="432">
        <v>40.119999999999997</v>
      </c>
      <c r="Y420" s="432">
        <v>40.409999999999997</v>
      </c>
      <c r="Z420" s="426"/>
      <c r="AA420" s="426"/>
      <c r="AB420" s="426"/>
      <c r="AC420" s="426"/>
      <c r="AD420" s="426"/>
    </row>
    <row r="421" spans="1:30" s="429" customFormat="1" x14ac:dyDescent="0.2">
      <c r="A421" s="426"/>
      <c r="B421" s="113">
        <v>93</v>
      </c>
      <c r="C421" s="432">
        <v>39</v>
      </c>
      <c r="D421" s="432">
        <v>39.93</v>
      </c>
      <c r="E421" s="432">
        <v>40.229999999999997</v>
      </c>
      <c r="F421" s="426"/>
      <c r="G421" s="426"/>
      <c r="H421" s="426"/>
      <c r="I421" s="426"/>
      <c r="J421" s="426"/>
      <c r="K421" s="426"/>
      <c r="L421" s="113">
        <v>93</v>
      </c>
      <c r="M421" s="432">
        <v>38.119999999999997</v>
      </c>
      <c r="N421" s="432">
        <v>39.06</v>
      </c>
      <c r="O421" s="432">
        <v>39.36</v>
      </c>
      <c r="P421" s="426"/>
      <c r="Q421" s="426"/>
      <c r="R421" s="426"/>
      <c r="S421" s="426"/>
      <c r="T421" s="426"/>
      <c r="U421" s="426"/>
      <c r="V421" s="113">
        <v>93</v>
      </c>
      <c r="W421" s="432">
        <v>37.24</v>
      </c>
      <c r="X421" s="432">
        <v>38.18</v>
      </c>
      <c r="Y421" s="432">
        <v>38.47</v>
      </c>
      <c r="Z421" s="426"/>
      <c r="AA421" s="426"/>
      <c r="AB421" s="426"/>
      <c r="AC421" s="426"/>
      <c r="AD421" s="426"/>
    </row>
    <row r="422" spans="1:30" s="429" customFormat="1" x14ac:dyDescent="0.2">
      <c r="A422" s="426"/>
      <c r="B422" s="113">
        <v>94</v>
      </c>
      <c r="C422" s="432">
        <v>37.11</v>
      </c>
      <c r="D422" s="432">
        <v>38.04</v>
      </c>
      <c r="E422" s="432">
        <v>38.340000000000003</v>
      </c>
      <c r="F422" s="426"/>
      <c r="G422" s="426"/>
      <c r="H422" s="426"/>
      <c r="I422" s="426"/>
      <c r="J422" s="426"/>
      <c r="K422" s="426"/>
      <c r="L422" s="113">
        <v>94</v>
      </c>
      <c r="M422" s="432">
        <v>36.18</v>
      </c>
      <c r="N422" s="432">
        <v>37.11</v>
      </c>
      <c r="O422" s="432">
        <v>37.4</v>
      </c>
      <c r="P422" s="426"/>
      <c r="Q422" s="426"/>
      <c r="R422" s="426"/>
      <c r="S422" s="426"/>
      <c r="T422" s="426"/>
      <c r="U422" s="426"/>
      <c r="V422" s="113">
        <v>94</v>
      </c>
      <c r="W422" s="432">
        <v>35.36</v>
      </c>
      <c r="X422" s="432">
        <v>36.29</v>
      </c>
      <c r="Y422" s="432">
        <v>36.58</v>
      </c>
      <c r="Z422" s="426"/>
      <c r="AA422" s="426"/>
      <c r="AB422" s="426"/>
      <c r="AC422" s="426"/>
      <c r="AD422" s="426"/>
    </row>
    <row r="423" spans="1:30" s="429" customFormat="1" x14ac:dyDescent="0.2">
      <c r="A423" s="426"/>
      <c r="B423" s="113">
        <v>95</v>
      </c>
      <c r="C423" s="432">
        <v>35.25</v>
      </c>
      <c r="D423" s="432">
        <v>36.17</v>
      </c>
      <c r="E423" s="432">
        <v>36.47</v>
      </c>
      <c r="F423" s="426"/>
      <c r="G423" s="426"/>
      <c r="H423" s="426"/>
      <c r="I423" s="426"/>
      <c r="J423" s="426"/>
      <c r="K423" s="426"/>
      <c r="L423" s="113">
        <v>95</v>
      </c>
      <c r="M423" s="432">
        <v>34.26</v>
      </c>
      <c r="N423" s="432">
        <v>35.18</v>
      </c>
      <c r="O423" s="432">
        <v>35.479999999999997</v>
      </c>
      <c r="P423" s="426"/>
      <c r="Q423" s="426"/>
      <c r="R423" s="426"/>
      <c r="S423" s="426"/>
      <c r="T423" s="426"/>
      <c r="U423" s="426"/>
      <c r="V423" s="113">
        <v>95</v>
      </c>
      <c r="W423" s="432">
        <v>33.51</v>
      </c>
      <c r="X423" s="432">
        <v>34.44</v>
      </c>
      <c r="Y423" s="432">
        <v>34.72</v>
      </c>
      <c r="Z423" s="426"/>
      <c r="AA423" s="426"/>
      <c r="AB423" s="426"/>
      <c r="AC423" s="426"/>
      <c r="AD423" s="426"/>
    </row>
    <row r="424" spans="1:30" s="429" customFormat="1" x14ac:dyDescent="0.2">
      <c r="A424" s="426"/>
      <c r="B424" s="113">
        <v>96</v>
      </c>
      <c r="C424" s="432">
        <v>33.29</v>
      </c>
      <c r="D424" s="432">
        <v>34.21</v>
      </c>
      <c r="E424" s="432">
        <v>34.51</v>
      </c>
      <c r="F424" s="426"/>
      <c r="G424" s="426"/>
      <c r="H424" s="426"/>
      <c r="I424" s="426"/>
      <c r="J424" s="426"/>
      <c r="K424" s="426"/>
      <c r="L424" s="113">
        <v>96</v>
      </c>
      <c r="M424" s="432">
        <v>32.369999999999997</v>
      </c>
      <c r="N424" s="432">
        <v>33.29</v>
      </c>
      <c r="O424" s="432">
        <v>33.58</v>
      </c>
      <c r="P424" s="426"/>
      <c r="Q424" s="426"/>
      <c r="R424" s="426"/>
      <c r="S424" s="426"/>
      <c r="T424" s="426"/>
      <c r="U424" s="426"/>
      <c r="V424" s="113">
        <v>96</v>
      </c>
      <c r="W424" s="432">
        <v>31.69</v>
      </c>
      <c r="X424" s="432">
        <v>32.61</v>
      </c>
      <c r="Y424" s="432">
        <v>32.89</v>
      </c>
      <c r="Z424" s="426"/>
      <c r="AA424" s="426"/>
      <c r="AB424" s="426"/>
      <c r="AC424" s="426"/>
      <c r="AD424" s="426"/>
    </row>
    <row r="425" spans="1:30" s="429" customFormat="1" x14ac:dyDescent="0.2">
      <c r="A425" s="426"/>
      <c r="B425" s="113">
        <v>97</v>
      </c>
      <c r="C425" s="432">
        <v>31.34</v>
      </c>
      <c r="D425" s="432">
        <v>32.25</v>
      </c>
      <c r="E425" s="432">
        <v>32.54</v>
      </c>
      <c r="F425" s="426"/>
      <c r="G425" s="426"/>
      <c r="H425" s="426"/>
      <c r="I425" s="426"/>
      <c r="J425" s="426"/>
      <c r="K425" s="426"/>
      <c r="L425" s="113">
        <v>97</v>
      </c>
      <c r="M425" s="432">
        <v>30.5</v>
      </c>
      <c r="N425" s="432">
        <v>31.41</v>
      </c>
      <c r="O425" s="432">
        <v>31.7</v>
      </c>
      <c r="P425" s="426"/>
      <c r="Q425" s="426"/>
      <c r="R425" s="426"/>
      <c r="S425" s="426"/>
      <c r="T425" s="426"/>
      <c r="U425" s="426"/>
      <c r="V425" s="113">
        <v>97</v>
      </c>
      <c r="W425" s="432">
        <v>29.88</v>
      </c>
      <c r="X425" s="432">
        <v>30.79</v>
      </c>
      <c r="Y425" s="432">
        <v>31.07</v>
      </c>
      <c r="Z425" s="426"/>
      <c r="AA425" s="426"/>
      <c r="AB425" s="426"/>
      <c r="AC425" s="426"/>
      <c r="AD425" s="426"/>
    </row>
    <row r="426" spans="1:30" s="429" customFormat="1" x14ac:dyDescent="0.2">
      <c r="A426" s="426"/>
      <c r="B426" s="113">
        <v>98</v>
      </c>
      <c r="C426" s="432">
        <v>29.38</v>
      </c>
      <c r="D426" s="432">
        <v>30.29</v>
      </c>
      <c r="E426" s="432">
        <v>30.58</v>
      </c>
      <c r="F426" s="426"/>
      <c r="G426" s="426"/>
      <c r="H426" s="426"/>
      <c r="I426" s="426"/>
      <c r="J426" s="426"/>
      <c r="K426" s="426"/>
      <c r="L426" s="113">
        <v>98</v>
      </c>
      <c r="M426" s="432">
        <v>28.62</v>
      </c>
      <c r="N426" s="432">
        <v>29.52</v>
      </c>
      <c r="O426" s="432">
        <v>29.81</v>
      </c>
      <c r="P426" s="426"/>
      <c r="Q426" s="426"/>
      <c r="R426" s="426"/>
      <c r="S426" s="426"/>
      <c r="T426" s="426"/>
      <c r="U426" s="426"/>
      <c r="V426" s="113">
        <v>98</v>
      </c>
      <c r="W426" s="432">
        <v>28.05</v>
      </c>
      <c r="X426" s="432">
        <v>28.96</v>
      </c>
      <c r="Y426" s="432">
        <v>29.24</v>
      </c>
      <c r="Z426" s="426"/>
      <c r="AA426" s="426"/>
      <c r="AB426" s="426"/>
      <c r="AC426" s="426"/>
      <c r="AD426" s="426"/>
    </row>
    <row r="427" spans="1:30" s="429" customFormat="1" x14ac:dyDescent="0.2">
      <c r="A427" s="426"/>
      <c r="B427" s="113">
        <v>99</v>
      </c>
      <c r="C427" s="432">
        <v>27.4</v>
      </c>
      <c r="D427" s="432">
        <v>28.3</v>
      </c>
      <c r="E427" s="432">
        <v>28.6</v>
      </c>
      <c r="F427" s="426"/>
      <c r="G427" s="426"/>
      <c r="H427" s="426"/>
      <c r="I427" s="426"/>
      <c r="J427" s="426"/>
      <c r="K427" s="426"/>
      <c r="L427" s="113">
        <v>99</v>
      </c>
      <c r="M427" s="432">
        <v>26.71</v>
      </c>
      <c r="N427" s="432">
        <v>27.61</v>
      </c>
      <c r="O427" s="432">
        <v>27.89</v>
      </c>
      <c r="P427" s="426"/>
      <c r="Q427" s="426"/>
      <c r="R427" s="426"/>
      <c r="S427" s="426"/>
      <c r="T427" s="426"/>
      <c r="U427" s="426"/>
      <c r="V427" s="113">
        <v>99</v>
      </c>
      <c r="W427" s="432">
        <v>26.19</v>
      </c>
      <c r="X427" s="432">
        <v>27.09</v>
      </c>
      <c r="Y427" s="432">
        <v>27.37</v>
      </c>
      <c r="Z427" s="426"/>
      <c r="AA427" s="426"/>
      <c r="AB427" s="426"/>
      <c r="AC427" s="426"/>
      <c r="AD427" s="426"/>
    </row>
    <row r="428" spans="1:30" s="429" customFormat="1" x14ac:dyDescent="0.2">
      <c r="A428" s="426"/>
      <c r="B428" s="113">
        <v>100</v>
      </c>
      <c r="C428" s="432">
        <v>25.36</v>
      </c>
      <c r="D428" s="432">
        <v>26.26</v>
      </c>
      <c r="E428" s="432">
        <v>26.55</v>
      </c>
      <c r="F428" s="426"/>
      <c r="G428" s="426"/>
      <c r="H428" s="426"/>
      <c r="I428" s="426"/>
      <c r="J428" s="426"/>
      <c r="K428" s="426"/>
      <c r="L428" s="113">
        <v>100</v>
      </c>
      <c r="M428" s="432">
        <v>24.73</v>
      </c>
      <c r="N428" s="432">
        <v>25.62</v>
      </c>
      <c r="O428" s="432">
        <v>25.91</v>
      </c>
      <c r="P428" s="426"/>
      <c r="Q428" s="426"/>
      <c r="R428" s="426"/>
      <c r="S428" s="426"/>
      <c r="T428" s="426"/>
      <c r="U428" s="426"/>
      <c r="V428" s="113">
        <v>100</v>
      </c>
      <c r="W428" s="432">
        <v>24.26</v>
      </c>
      <c r="X428" s="432">
        <v>25.16</v>
      </c>
      <c r="Y428" s="432">
        <v>25.43</v>
      </c>
      <c r="Z428" s="426"/>
      <c r="AA428" s="426"/>
      <c r="AB428" s="426"/>
      <c r="AC428" s="426"/>
      <c r="AD428" s="426"/>
    </row>
    <row r="432" spans="1:30" x14ac:dyDescent="0.2">
      <c r="B432" s="426" t="s">
        <v>312</v>
      </c>
    </row>
    <row r="434" spans="1:20" x14ac:dyDescent="0.2">
      <c r="B434" s="426" t="s">
        <v>316</v>
      </c>
      <c r="L434" s="426" t="s">
        <v>315</v>
      </c>
    </row>
    <row r="435" spans="1:20" ht="13.7" customHeight="1" x14ac:dyDescent="0.2">
      <c r="B435" s="544" t="s">
        <v>350</v>
      </c>
      <c r="C435" s="545"/>
      <c r="D435" s="545"/>
      <c r="E435" s="545"/>
      <c r="F435" s="542"/>
      <c r="G435" s="542"/>
      <c r="H435" s="542"/>
      <c r="I435" s="542"/>
      <c r="J435" s="543"/>
      <c r="L435" s="544" t="s">
        <v>351</v>
      </c>
      <c r="M435" s="545"/>
      <c r="N435" s="545"/>
      <c r="O435" s="545"/>
      <c r="P435" s="542"/>
      <c r="Q435" s="542"/>
      <c r="R435" s="542"/>
      <c r="S435" s="542"/>
      <c r="T435" s="543"/>
    </row>
    <row r="436" spans="1:20" ht="25.5" x14ac:dyDescent="0.2">
      <c r="B436" s="141" t="s">
        <v>1</v>
      </c>
      <c r="C436" s="141" t="s">
        <v>327</v>
      </c>
      <c r="D436" s="141" t="s">
        <v>328</v>
      </c>
      <c r="E436" s="141" t="s">
        <v>329</v>
      </c>
      <c r="F436" s="431"/>
      <c r="G436" s="141"/>
      <c r="H436" s="141"/>
      <c r="I436" s="141"/>
      <c r="J436" s="141"/>
      <c r="L436" s="141" t="s">
        <v>1</v>
      </c>
      <c r="M436" s="141" t="s">
        <v>327</v>
      </c>
      <c r="N436" s="141" t="s">
        <v>328</v>
      </c>
      <c r="O436" s="141" t="s">
        <v>329</v>
      </c>
      <c r="P436" s="431"/>
      <c r="Q436" s="141"/>
      <c r="R436" s="141"/>
      <c r="S436" s="141"/>
      <c r="T436" s="141"/>
    </row>
    <row r="437" spans="1:20" s="429" customFormat="1" x14ac:dyDescent="0.2">
      <c r="A437" s="426"/>
      <c r="B437" s="113">
        <v>0</v>
      </c>
      <c r="C437" s="432">
        <v>71.760000000000005</v>
      </c>
      <c r="D437" s="432">
        <v>72.42</v>
      </c>
      <c r="E437" s="432">
        <v>72.73</v>
      </c>
      <c r="F437" s="426"/>
      <c r="G437" s="426"/>
      <c r="H437" s="426"/>
      <c r="I437" s="426"/>
      <c r="J437" s="426"/>
      <c r="K437" s="426"/>
      <c r="L437" s="113">
        <v>0</v>
      </c>
      <c r="M437" s="432">
        <v>75.599999999999994</v>
      </c>
      <c r="N437" s="432">
        <v>76.33</v>
      </c>
      <c r="O437" s="432">
        <v>76.67</v>
      </c>
      <c r="P437" s="426"/>
      <c r="Q437" s="426"/>
      <c r="R437" s="426"/>
      <c r="S437" s="426"/>
      <c r="T437" s="426"/>
    </row>
    <row r="438" spans="1:20" s="429" customFormat="1" x14ac:dyDescent="0.2">
      <c r="A438" s="433"/>
      <c r="B438" s="113">
        <v>1</v>
      </c>
      <c r="C438" s="432">
        <v>71.94</v>
      </c>
      <c r="D438" s="432">
        <v>72.599999999999994</v>
      </c>
      <c r="E438" s="432">
        <v>72.91</v>
      </c>
      <c r="F438" s="426"/>
      <c r="G438" s="426"/>
      <c r="H438" s="426"/>
      <c r="I438" s="426"/>
      <c r="J438" s="426"/>
      <c r="K438" s="433"/>
      <c r="L438" s="113">
        <v>1</v>
      </c>
      <c r="M438" s="432">
        <v>75.790000000000006</v>
      </c>
      <c r="N438" s="432">
        <v>76.53</v>
      </c>
      <c r="O438" s="432">
        <v>76.87</v>
      </c>
      <c r="P438" s="426"/>
      <c r="Q438" s="426"/>
      <c r="R438" s="426"/>
      <c r="S438" s="426"/>
      <c r="T438" s="426"/>
    </row>
    <row r="439" spans="1:20" s="429" customFormat="1" x14ac:dyDescent="0.2">
      <c r="A439" s="433"/>
      <c r="B439" s="113">
        <v>2</v>
      </c>
      <c r="C439" s="432">
        <v>72.12</v>
      </c>
      <c r="D439" s="432">
        <v>72.790000000000006</v>
      </c>
      <c r="E439" s="432">
        <v>73.099999999999994</v>
      </c>
      <c r="F439" s="426"/>
      <c r="G439" s="426"/>
      <c r="H439" s="426"/>
      <c r="I439" s="426"/>
      <c r="J439" s="426"/>
      <c r="K439" s="433"/>
      <c r="L439" s="113">
        <v>2</v>
      </c>
      <c r="M439" s="432">
        <v>76</v>
      </c>
      <c r="N439" s="432">
        <v>76.739999999999995</v>
      </c>
      <c r="O439" s="432">
        <v>77.08</v>
      </c>
      <c r="P439" s="426"/>
      <c r="Q439" s="426"/>
      <c r="R439" s="426"/>
      <c r="S439" s="426"/>
      <c r="T439" s="426"/>
    </row>
    <row r="440" spans="1:20" s="429" customFormat="1" x14ac:dyDescent="0.2">
      <c r="A440" s="433"/>
      <c r="B440" s="113">
        <v>3</v>
      </c>
      <c r="C440" s="432">
        <v>72.31</v>
      </c>
      <c r="D440" s="432">
        <v>72.98</v>
      </c>
      <c r="E440" s="432">
        <v>73.3</v>
      </c>
      <c r="F440" s="426"/>
      <c r="G440" s="426"/>
      <c r="H440" s="426"/>
      <c r="I440" s="426"/>
      <c r="J440" s="426"/>
      <c r="K440" s="433"/>
      <c r="L440" s="113">
        <v>3</v>
      </c>
      <c r="M440" s="432">
        <v>76.209999999999994</v>
      </c>
      <c r="N440" s="432">
        <v>76.959999999999994</v>
      </c>
      <c r="O440" s="432">
        <v>77.3</v>
      </c>
      <c r="P440" s="426"/>
      <c r="Q440" s="426"/>
      <c r="R440" s="426"/>
      <c r="S440" s="426"/>
      <c r="T440" s="426"/>
    </row>
    <row r="441" spans="1:20" s="429" customFormat="1" x14ac:dyDescent="0.2">
      <c r="A441" s="433"/>
      <c r="B441" s="113">
        <v>4</v>
      </c>
      <c r="C441" s="432">
        <v>72.510000000000005</v>
      </c>
      <c r="D441" s="432">
        <v>73.19</v>
      </c>
      <c r="E441" s="432">
        <v>73.5</v>
      </c>
      <c r="F441" s="426"/>
      <c r="G441" s="426"/>
      <c r="H441" s="426"/>
      <c r="I441" s="426"/>
      <c r="J441" s="426"/>
      <c r="K441" s="433"/>
      <c r="L441" s="113">
        <v>4</v>
      </c>
      <c r="M441" s="432">
        <v>76.430000000000007</v>
      </c>
      <c r="N441" s="432">
        <v>77.180000000000007</v>
      </c>
      <c r="O441" s="432">
        <v>77.52</v>
      </c>
      <c r="P441" s="426"/>
      <c r="Q441" s="426"/>
      <c r="R441" s="426"/>
      <c r="S441" s="426"/>
      <c r="T441" s="426"/>
    </row>
    <row r="442" spans="1:20" s="429" customFormat="1" x14ac:dyDescent="0.2">
      <c r="A442" s="433"/>
      <c r="B442" s="113">
        <v>5</v>
      </c>
      <c r="C442" s="432">
        <v>72.72</v>
      </c>
      <c r="D442" s="432">
        <v>73.400000000000006</v>
      </c>
      <c r="E442" s="432">
        <v>73.709999999999994</v>
      </c>
      <c r="F442" s="426"/>
      <c r="G442" s="426"/>
      <c r="H442" s="426"/>
      <c r="I442" s="426"/>
      <c r="J442" s="426"/>
      <c r="K442" s="433"/>
      <c r="L442" s="113">
        <v>5</v>
      </c>
      <c r="M442" s="432">
        <v>76.66</v>
      </c>
      <c r="N442" s="432">
        <v>77.42</v>
      </c>
      <c r="O442" s="432">
        <v>77.760000000000005</v>
      </c>
      <c r="P442" s="426"/>
      <c r="Q442" s="426"/>
      <c r="R442" s="426"/>
      <c r="S442" s="426"/>
      <c r="T442" s="426"/>
    </row>
    <row r="443" spans="1:20" s="429" customFormat="1" x14ac:dyDescent="0.2">
      <c r="A443" s="433"/>
      <c r="B443" s="113">
        <v>6</v>
      </c>
      <c r="C443" s="432">
        <v>72.930000000000007</v>
      </c>
      <c r="D443" s="432">
        <v>73.62</v>
      </c>
      <c r="E443" s="432">
        <v>73.930000000000007</v>
      </c>
      <c r="F443" s="426"/>
      <c r="G443" s="426"/>
      <c r="H443" s="426"/>
      <c r="I443" s="426"/>
      <c r="J443" s="426"/>
      <c r="K443" s="433"/>
      <c r="L443" s="113">
        <v>6</v>
      </c>
      <c r="M443" s="432">
        <v>76.900000000000006</v>
      </c>
      <c r="N443" s="432">
        <v>77.66</v>
      </c>
      <c r="O443" s="432">
        <v>78</v>
      </c>
      <c r="P443" s="426"/>
      <c r="Q443" s="426"/>
      <c r="R443" s="426"/>
      <c r="S443" s="426"/>
      <c r="T443" s="426"/>
    </row>
    <row r="444" spans="1:20" s="429" customFormat="1" x14ac:dyDescent="0.2">
      <c r="A444" s="433"/>
      <c r="B444" s="113">
        <v>7</v>
      </c>
      <c r="C444" s="432">
        <v>73.16</v>
      </c>
      <c r="D444" s="432">
        <v>73.84</v>
      </c>
      <c r="E444" s="432">
        <v>74.16</v>
      </c>
      <c r="F444" s="426"/>
      <c r="G444" s="426"/>
      <c r="H444" s="426"/>
      <c r="I444" s="426"/>
      <c r="J444" s="426"/>
      <c r="K444" s="433"/>
      <c r="L444" s="113">
        <v>7</v>
      </c>
      <c r="M444" s="432">
        <v>77.150000000000006</v>
      </c>
      <c r="N444" s="432">
        <v>77.91</v>
      </c>
      <c r="O444" s="432">
        <v>78.260000000000005</v>
      </c>
      <c r="P444" s="426"/>
      <c r="Q444" s="426"/>
      <c r="R444" s="426"/>
      <c r="S444" s="426"/>
      <c r="T444" s="426"/>
    </row>
    <row r="445" spans="1:20" s="429" customFormat="1" x14ac:dyDescent="0.2">
      <c r="A445" s="433"/>
      <c r="B445" s="113">
        <v>8</v>
      </c>
      <c r="C445" s="432">
        <v>73.39</v>
      </c>
      <c r="D445" s="432">
        <v>74.08</v>
      </c>
      <c r="E445" s="432">
        <v>74.400000000000006</v>
      </c>
      <c r="F445" s="426"/>
      <c r="G445" s="426"/>
      <c r="H445" s="426"/>
      <c r="I445" s="426"/>
      <c r="J445" s="426"/>
      <c r="K445" s="433"/>
      <c r="L445" s="113">
        <v>8</v>
      </c>
      <c r="M445" s="432">
        <v>77.41</v>
      </c>
      <c r="N445" s="432">
        <v>78.180000000000007</v>
      </c>
      <c r="O445" s="432">
        <v>78.52</v>
      </c>
      <c r="P445" s="426"/>
      <c r="Q445" s="426"/>
      <c r="R445" s="426"/>
      <c r="S445" s="426"/>
      <c r="T445" s="426"/>
    </row>
    <row r="446" spans="1:20" s="429" customFormat="1" x14ac:dyDescent="0.2">
      <c r="A446" s="433"/>
      <c r="B446" s="113">
        <v>9</v>
      </c>
      <c r="C446" s="432">
        <v>73.63</v>
      </c>
      <c r="D446" s="432">
        <v>74.33</v>
      </c>
      <c r="E446" s="432">
        <v>74.650000000000006</v>
      </c>
      <c r="F446" s="426"/>
      <c r="G446" s="426"/>
      <c r="H446" s="426"/>
      <c r="I446" s="426"/>
      <c r="J446" s="426"/>
      <c r="K446" s="433"/>
      <c r="L446" s="113">
        <v>9</v>
      </c>
      <c r="M446" s="432">
        <v>77.680000000000007</v>
      </c>
      <c r="N446" s="432">
        <v>78.45</v>
      </c>
      <c r="O446" s="432">
        <v>78.8</v>
      </c>
      <c r="P446" s="426"/>
      <c r="Q446" s="426"/>
      <c r="R446" s="426"/>
      <c r="S446" s="426"/>
      <c r="T446" s="426"/>
    </row>
    <row r="447" spans="1:20" s="429" customFormat="1" x14ac:dyDescent="0.2">
      <c r="A447" s="433"/>
      <c r="B447" s="113">
        <v>10</v>
      </c>
      <c r="C447" s="432">
        <v>73.89</v>
      </c>
      <c r="D447" s="432">
        <v>74.59</v>
      </c>
      <c r="E447" s="432">
        <v>74.91</v>
      </c>
      <c r="F447" s="426"/>
      <c r="G447" s="426"/>
      <c r="H447" s="426"/>
      <c r="I447" s="426"/>
      <c r="J447" s="426"/>
      <c r="K447" s="433"/>
      <c r="L447" s="113">
        <v>10</v>
      </c>
      <c r="M447" s="432">
        <v>77.959999999999994</v>
      </c>
      <c r="N447" s="432">
        <v>78.739999999999995</v>
      </c>
      <c r="O447" s="432">
        <v>79.09</v>
      </c>
      <c r="P447" s="426"/>
      <c r="Q447" s="426"/>
      <c r="R447" s="426"/>
      <c r="S447" s="426"/>
      <c r="T447" s="426"/>
    </row>
    <row r="448" spans="1:20" s="429" customFormat="1" x14ac:dyDescent="0.2">
      <c r="A448" s="433"/>
      <c r="B448" s="113">
        <v>11</v>
      </c>
      <c r="C448" s="432">
        <v>74.150000000000006</v>
      </c>
      <c r="D448" s="432">
        <v>74.849999999999994</v>
      </c>
      <c r="E448" s="432">
        <v>75.180000000000007</v>
      </c>
      <c r="F448" s="426"/>
      <c r="G448" s="426"/>
      <c r="H448" s="426"/>
      <c r="I448" s="426"/>
      <c r="J448" s="426"/>
      <c r="K448" s="433"/>
      <c r="L448" s="113">
        <v>11</v>
      </c>
      <c r="M448" s="432">
        <v>78.260000000000005</v>
      </c>
      <c r="N448" s="432">
        <v>79.040000000000006</v>
      </c>
      <c r="O448" s="432">
        <v>79.39</v>
      </c>
      <c r="P448" s="426"/>
      <c r="Q448" s="426"/>
      <c r="R448" s="426"/>
      <c r="S448" s="426"/>
      <c r="T448" s="426"/>
    </row>
    <row r="449" spans="1:20" s="429" customFormat="1" x14ac:dyDescent="0.2">
      <c r="A449" s="433"/>
      <c r="B449" s="113">
        <v>12</v>
      </c>
      <c r="C449" s="432">
        <v>74.430000000000007</v>
      </c>
      <c r="D449" s="432">
        <v>75.13</v>
      </c>
      <c r="E449" s="432">
        <v>75.459999999999994</v>
      </c>
      <c r="F449" s="426"/>
      <c r="G449" s="426"/>
      <c r="H449" s="426"/>
      <c r="I449" s="426"/>
      <c r="J449" s="426"/>
      <c r="K449" s="433"/>
      <c r="L449" s="113">
        <v>12</v>
      </c>
      <c r="M449" s="432">
        <v>78.56</v>
      </c>
      <c r="N449" s="432">
        <v>79.349999999999994</v>
      </c>
      <c r="O449" s="432">
        <v>79.7</v>
      </c>
      <c r="P449" s="426"/>
      <c r="Q449" s="426"/>
      <c r="R449" s="426"/>
      <c r="S449" s="426"/>
      <c r="T449" s="426"/>
    </row>
    <row r="450" spans="1:20" s="429" customFormat="1" x14ac:dyDescent="0.2">
      <c r="A450" s="433"/>
      <c r="B450" s="113">
        <v>13</v>
      </c>
      <c r="C450" s="432">
        <v>74.709999999999994</v>
      </c>
      <c r="D450" s="432">
        <v>75.42</v>
      </c>
      <c r="E450" s="432">
        <v>75.75</v>
      </c>
      <c r="F450" s="426"/>
      <c r="G450" s="426"/>
      <c r="H450" s="426"/>
      <c r="I450" s="426"/>
      <c r="J450" s="426"/>
      <c r="K450" s="433"/>
      <c r="L450" s="113">
        <v>13</v>
      </c>
      <c r="M450" s="432">
        <v>78.87</v>
      </c>
      <c r="N450" s="432">
        <v>79.67</v>
      </c>
      <c r="O450" s="432">
        <v>80.02</v>
      </c>
      <c r="P450" s="426"/>
      <c r="Q450" s="426"/>
      <c r="R450" s="426"/>
      <c r="S450" s="426"/>
      <c r="T450" s="426"/>
    </row>
    <row r="451" spans="1:20" s="429" customFormat="1" x14ac:dyDescent="0.2">
      <c r="A451" s="433"/>
      <c r="B451" s="113">
        <v>14</v>
      </c>
      <c r="C451" s="432">
        <v>75</v>
      </c>
      <c r="D451" s="432">
        <v>75.72</v>
      </c>
      <c r="E451" s="432">
        <v>76.05</v>
      </c>
      <c r="F451" s="426"/>
      <c r="G451" s="426"/>
      <c r="H451" s="426"/>
      <c r="I451" s="426"/>
      <c r="J451" s="426"/>
      <c r="K451" s="433"/>
      <c r="L451" s="113">
        <v>14</v>
      </c>
      <c r="M451" s="432">
        <v>79.2</v>
      </c>
      <c r="N451" s="432">
        <v>80</v>
      </c>
      <c r="O451" s="432">
        <v>80.36</v>
      </c>
      <c r="P451" s="426"/>
      <c r="Q451" s="426"/>
      <c r="R451" s="426"/>
      <c r="S451" s="426"/>
      <c r="T451" s="426"/>
    </row>
    <row r="452" spans="1:20" s="429" customFormat="1" x14ac:dyDescent="0.2">
      <c r="A452" s="433"/>
      <c r="B452" s="113">
        <v>15</v>
      </c>
      <c r="C452" s="432">
        <v>75.31</v>
      </c>
      <c r="D452" s="432">
        <v>76.03</v>
      </c>
      <c r="E452" s="432">
        <v>76.36</v>
      </c>
      <c r="F452" s="426"/>
      <c r="G452" s="426"/>
      <c r="H452" s="426"/>
      <c r="I452" s="426"/>
      <c r="J452" s="426"/>
      <c r="K452" s="433"/>
      <c r="L452" s="113">
        <v>15</v>
      </c>
      <c r="M452" s="432">
        <v>79.540000000000006</v>
      </c>
      <c r="N452" s="432">
        <v>80.34</v>
      </c>
      <c r="O452" s="432">
        <v>80.7</v>
      </c>
      <c r="P452" s="426"/>
      <c r="Q452" s="426"/>
      <c r="R452" s="426"/>
      <c r="S452" s="426"/>
      <c r="T452" s="426"/>
    </row>
    <row r="453" spans="1:20" s="429" customFormat="1" x14ac:dyDescent="0.2">
      <c r="A453" s="433"/>
      <c r="B453" s="113">
        <v>16</v>
      </c>
      <c r="C453" s="432">
        <v>75.63</v>
      </c>
      <c r="D453" s="432">
        <v>76.36</v>
      </c>
      <c r="E453" s="432">
        <v>76.69</v>
      </c>
      <c r="F453" s="426"/>
      <c r="G453" s="426"/>
      <c r="H453" s="426"/>
      <c r="I453" s="426"/>
      <c r="J453" s="426"/>
      <c r="K453" s="433"/>
      <c r="L453" s="113">
        <v>16</v>
      </c>
      <c r="M453" s="432">
        <v>79.89</v>
      </c>
      <c r="N453" s="432">
        <v>80.7</v>
      </c>
      <c r="O453" s="432">
        <v>81.06</v>
      </c>
      <c r="P453" s="426"/>
      <c r="Q453" s="426"/>
      <c r="R453" s="426"/>
      <c r="S453" s="426"/>
      <c r="T453" s="426"/>
    </row>
    <row r="454" spans="1:20" s="429" customFormat="1" x14ac:dyDescent="0.2">
      <c r="A454" s="433"/>
      <c r="B454" s="113">
        <v>17</v>
      </c>
      <c r="C454" s="432">
        <v>75.95</v>
      </c>
      <c r="D454" s="432">
        <v>76.69</v>
      </c>
      <c r="E454" s="432">
        <v>77.02</v>
      </c>
      <c r="F454" s="426"/>
      <c r="G454" s="426"/>
      <c r="H454" s="426"/>
      <c r="I454" s="426"/>
      <c r="J454" s="426"/>
      <c r="K454" s="433"/>
      <c r="L454" s="113">
        <v>17</v>
      </c>
      <c r="M454" s="432">
        <v>80.260000000000005</v>
      </c>
      <c r="N454" s="432">
        <v>81.08</v>
      </c>
      <c r="O454" s="432">
        <v>81.44</v>
      </c>
      <c r="P454" s="426"/>
      <c r="Q454" s="426"/>
      <c r="R454" s="426"/>
      <c r="S454" s="426"/>
      <c r="T454" s="426"/>
    </row>
    <row r="455" spans="1:20" s="429" customFormat="1" x14ac:dyDescent="0.2">
      <c r="A455" s="433"/>
      <c r="B455" s="113">
        <v>18</v>
      </c>
      <c r="C455" s="432">
        <v>76.3</v>
      </c>
      <c r="D455" s="432">
        <v>77.040000000000006</v>
      </c>
      <c r="E455" s="432">
        <v>77.38</v>
      </c>
      <c r="F455" s="426"/>
      <c r="G455" s="426"/>
      <c r="H455" s="426"/>
      <c r="I455" s="426"/>
      <c r="J455" s="426"/>
      <c r="K455" s="433"/>
      <c r="L455" s="113">
        <v>18</v>
      </c>
      <c r="M455" s="432">
        <v>80.64</v>
      </c>
      <c r="N455" s="432">
        <v>81.47</v>
      </c>
      <c r="O455" s="432">
        <v>81.83</v>
      </c>
      <c r="P455" s="426"/>
      <c r="Q455" s="426"/>
      <c r="R455" s="426"/>
      <c r="S455" s="426"/>
      <c r="T455" s="426"/>
    </row>
    <row r="456" spans="1:20" s="429" customFormat="1" x14ac:dyDescent="0.2">
      <c r="A456" s="433"/>
      <c r="B456" s="113">
        <v>19</v>
      </c>
      <c r="C456" s="432">
        <v>76.66</v>
      </c>
      <c r="D456" s="432">
        <v>77.41</v>
      </c>
      <c r="E456" s="432">
        <v>77.739999999999995</v>
      </c>
      <c r="F456" s="426"/>
      <c r="G456" s="426"/>
      <c r="H456" s="426"/>
      <c r="I456" s="426"/>
      <c r="J456" s="426"/>
      <c r="K456" s="433"/>
      <c r="L456" s="113">
        <v>19</v>
      </c>
      <c r="M456" s="432">
        <v>81.040000000000006</v>
      </c>
      <c r="N456" s="432">
        <v>81.87</v>
      </c>
      <c r="O456" s="432">
        <v>82.24</v>
      </c>
      <c r="P456" s="426"/>
      <c r="Q456" s="426"/>
      <c r="R456" s="426"/>
      <c r="S456" s="426"/>
      <c r="T456" s="426"/>
    </row>
    <row r="457" spans="1:20" s="429" customFormat="1" x14ac:dyDescent="0.2">
      <c r="A457" s="433"/>
      <c r="B457" s="113">
        <v>20</v>
      </c>
      <c r="C457" s="432">
        <v>76.91</v>
      </c>
      <c r="D457" s="432">
        <v>77.680000000000007</v>
      </c>
      <c r="E457" s="432">
        <v>78.03</v>
      </c>
      <c r="F457" s="426"/>
      <c r="G457" s="426"/>
      <c r="H457" s="426"/>
      <c r="I457" s="426"/>
      <c r="J457" s="426"/>
      <c r="K457" s="433"/>
      <c r="L457" s="113">
        <v>20</v>
      </c>
      <c r="M457" s="432">
        <v>81.459999999999994</v>
      </c>
      <c r="N457" s="432">
        <v>82.3</v>
      </c>
      <c r="O457" s="432">
        <v>82.67</v>
      </c>
      <c r="P457" s="426"/>
      <c r="Q457" s="426"/>
      <c r="R457" s="426"/>
      <c r="S457" s="426"/>
      <c r="T457" s="426"/>
    </row>
    <row r="458" spans="1:20" s="429" customFormat="1" x14ac:dyDescent="0.2">
      <c r="A458" s="433"/>
      <c r="B458" s="113">
        <v>21</v>
      </c>
      <c r="C458" s="432">
        <v>77.13</v>
      </c>
      <c r="D458" s="432">
        <v>77.91</v>
      </c>
      <c r="E458" s="432">
        <v>78.25</v>
      </c>
      <c r="F458" s="426"/>
      <c r="G458" s="426"/>
      <c r="H458" s="426"/>
      <c r="I458" s="426"/>
      <c r="J458" s="426"/>
      <c r="K458" s="433"/>
      <c r="L458" s="113">
        <v>21</v>
      </c>
      <c r="M458" s="432">
        <v>81.739999999999995</v>
      </c>
      <c r="N458" s="432">
        <v>82.62</v>
      </c>
      <c r="O458" s="432">
        <v>82.99</v>
      </c>
      <c r="P458" s="426"/>
      <c r="Q458" s="426"/>
      <c r="R458" s="426"/>
      <c r="S458" s="426"/>
      <c r="T458" s="426"/>
    </row>
    <row r="459" spans="1:20" s="429" customFormat="1" x14ac:dyDescent="0.2">
      <c r="A459" s="433"/>
      <c r="B459" s="113">
        <v>22</v>
      </c>
      <c r="C459" s="432">
        <v>77.36</v>
      </c>
      <c r="D459" s="432">
        <v>78.14</v>
      </c>
      <c r="E459" s="432">
        <v>78.489999999999995</v>
      </c>
      <c r="F459" s="426"/>
      <c r="G459" s="426"/>
      <c r="H459" s="426"/>
      <c r="I459" s="426"/>
      <c r="J459" s="426"/>
      <c r="K459" s="433"/>
      <c r="L459" s="113">
        <v>22</v>
      </c>
      <c r="M459" s="432">
        <v>82.01</v>
      </c>
      <c r="N459" s="432">
        <v>82.89</v>
      </c>
      <c r="O459" s="432">
        <v>83.26</v>
      </c>
      <c r="P459" s="426"/>
      <c r="Q459" s="426"/>
      <c r="R459" s="426"/>
      <c r="S459" s="426"/>
      <c r="T459" s="426"/>
    </row>
    <row r="460" spans="1:20" s="429" customFormat="1" x14ac:dyDescent="0.2">
      <c r="A460" s="433"/>
      <c r="B460" s="113">
        <v>23</v>
      </c>
      <c r="C460" s="432">
        <v>77.59</v>
      </c>
      <c r="D460" s="432">
        <v>78.39</v>
      </c>
      <c r="E460" s="432">
        <v>78.73</v>
      </c>
      <c r="F460" s="426"/>
      <c r="G460" s="426"/>
      <c r="H460" s="426"/>
      <c r="I460" s="426"/>
      <c r="J460" s="426"/>
      <c r="K460" s="433"/>
      <c r="L460" s="113">
        <v>23</v>
      </c>
      <c r="M460" s="432">
        <v>82.28</v>
      </c>
      <c r="N460" s="432">
        <v>83.17</v>
      </c>
      <c r="O460" s="432">
        <v>83.55</v>
      </c>
      <c r="P460" s="426"/>
      <c r="Q460" s="426"/>
      <c r="R460" s="426"/>
      <c r="S460" s="426"/>
      <c r="T460" s="426"/>
    </row>
    <row r="461" spans="1:20" s="429" customFormat="1" x14ac:dyDescent="0.2">
      <c r="A461" s="433"/>
      <c r="B461" s="113">
        <v>24</v>
      </c>
      <c r="C461" s="432">
        <v>77.84</v>
      </c>
      <c r="D461" s="432">
        <v>78.64</v>
      </c>
      <c r="E461" s="432">
        <v>78.989999999999995</v>
      </c>
      <c r="F461" s="426"/>
      <c r="G461" s="426"/>
      <c r="H461" s="426"/>
      <c r="I461" s="426"/>
      <c r="J461" s="426"/>
      <c r="K461" s="433"/>
      <c r="L461" s="113">
        <v>24</v>
      </c>
      <c r="M461" s="432">
        <v>82.56</v>
      </c>
      <c r="N461" s="432">
        <v>83.46</v>
      </c>
      <c r="O461" s="432">
        <v>83.84</v>
      </c>
      <c r="P461" s="426"/>
      <c r="Q461" s="426"/>
      <c r="R461" s="426"/>
      <c r="S461" s="426"/>
      <c r="T461" s="426"/>
    </row>
    <row r="462" spans="1:20" s="429" customFormat="1" x14ac:dyDescent="0.2">
      <c r="A462" s="433"/>
      <c r="B462" s="113">
        <v>25</v>
      </c>
      <c r="C462" s="432">
        <v>78.09</v>
      </c>
      <c r="D462" s="432">
        <v>78.900000000000006</v>
      </c>
      <c r="E462" s="432">
        <v>79.25</v>
      </c>
      <c r="F462" s="426"/>
      <c r="G462" s="426"/>
      <c r="H462" s="426"/>
      <c r="I462" s="426"/>
      <c r="J462" s="426"/>
      <c r="K462" s="433"/>
      <c r="L462" s="113">
        <v>25</v>
      </c>
      <c r="M462" s="432">
        <v>82.86</v>
      </c>
      <c r="N462" s="432">
        <v>83.76</v>
      </c>
      <c r="O462" s="432">
        <v>84.14</v>
      </c>
      <c r="P462" s="426"/>
      <c r="Q462" s="426"/>
      <c r="R462" s="426"/>
      <c r="S462" s="426"/>
      <c r="T462" s="426"/>
    </row>
    <row r="463" spans="1:20" s="429" customFormat="1" x14ac:dyDescent="0.2">
      <c r="A463" s="433"/>
      <c r="B463" s="113">
        <v>26</v>
      </c>
      <c r="C463" s="432">
        <v>78.349999999999994</v>
      </c>
      <c r="D463" s="432">
        <v>79.16</v>
      </c>
      <c r="E463" s="432">
        <v>79.52</v>
      </c>
      <c r="F463" s="426"/>
      <c r="G463" s="426"/>
      <c r="H463" s="426"/>
      <c r="I463" s="426"/>
      <c r="J463" s="426"/>
      <c r="K463" s="433"/>
      <c r="L463" s="113">
        <v>26</v>
      </c>
      <c r="M463" s="432">
        <v>83.16</v>
      </c>
      <c r="N463" s="432">
        <v>84.07</v>
      </c>
      <c r="O463" s="432">
        <v>84.45</v>
      </c>
      <c r="P463" s="426"/>
      <c r="Q463" s="426"/>
      <c r="R463" s="426"/>
      <c r="S463" s="426"/>
      <c r="T463" s="426"/>
    </row>
    <row r="464" spans="1:20" s="429" customFormat="1" x14ac:dyDescent="0.2">
      <c r="A464" s="433"/>
      <c r="B464" s="113">
        <v>27</v>
      </c>
      <c r="C464" s="432">
        <v>78.62</v>
      </c>
      <c r="D464" s="432">
        <v>79.44</v>
      </c>
      <c r="E464" s="432">
        <v>79.8</v>
      </c>
      <c r="F464" s="426"/>
      <c r="G464" s="426"/>
      <c r="H464" s="426"/>
      <c r="I464" s="426"/>
      <c r="J464" s="426"/>
      <c r="K464" s="433"/>
      <c r="L464" s="113">
        <v>27</v>
      </c>
      <c r="M464" s="432">
        <v>83.47</v>
      </c>
      <c r="N464" s="432">
        <v>84.39</v>
      </c>
      <c r="O464" s="432">
        <v>84.77</v>
      </c>
      <c r="P464" s="426"/>
      <c r="Q464" s="426"/>
      <c r="R464" s="426"/>
      <c r="S464" s="426"/>
      <c r="T464" s="426"/>
    </row>
    <row r="465" spans="1:20" s="429" customFormat="1" x14ac:dyDescent="0.2">
      <c r="A465" s="433"/>
      <c r="B465" s="113">
        <v>28</v>
      </c>
      <c r="C465" s="432">
        <v>78.900000000000006</v>
      </c>
      <c r="D465" s="432">
        <v>79.73</v>
      </c>
      <c r="E465" s="432">
        <v>80.08</v>
      </c>
      <c r="F465" s="426"/>
      <c r="G465" s="426"/>
      <c r="H465" s="426"/>
      <c r="I465" s="426"/>
      <c r="J465" s="426"/>
      <c r="K465" s="433"/>
      <c r="L465" s="113">
        <v>28</v>
      </c>
      <c r="M465" s="432">
        <v>83.79</v>
      </c>
      <c r="N465" s="432">
        <v>84.72</v>
      </c>
      <c r="O465" s="432">
        <v>85.1</v>
      </c>
      <c r="P465" s="426"/>
      <c r="Q465" s="426"/>
      <c r="R465" s="426"/>
      <c r="S465" s="426"/>
      <c r="T465" s="426"/>
    </row>
    <row r="466" spans="1:20" s="429" customFormat="1" x14ac:dyDescent="0.2">
      <c r="A466" s="433"/>
      <c r="B466" s="113">
        <v>29</v>
      </c>
      <c r="C466" s="432">
        <v>79.180000000000007</v>
      </c>
      <c r="D466" s="432">
        <v>80.02</v>
      </c>
      <c r="E466" s="432">
        <v>80.38</v>
      </c>
      <c r="F466" s="426"/>
      <c r="G466" s="426"/>
      <c r="H466" s="426"/>
      <c r="I466" s="426"/>
      <c r="J466" s="426"/>
      <c r="K466" s="433"/>
      <c r="L466" s="113">
        <v>29</v>
      </c>
      <c r="M466" s="432">
        <v>84.12</v>
      </c>
      <c r="N466" s="432">
        <v>85.05</v>
      </c>
      <c r="O466" s="432">
        <v>85.44</v>
      </c>
      <c r="P466" s="426"/>
      <c r="Q466" s="426"/>
      <c r="R466" s="426"/>
      <c r="S466" s="426"/>
      <c r="T466" s="426"/>
    </row>
    <row r="467" spans="1:20" s="429" customFormat="1" x14ac:dyDescent="0.2">
      <c r="A467" s="433"/>
      <c r="B467" s="113">
        <v>30</v>
      </c>
      <c r="C467" s="432">
        <v>79.47</v>
      </c>
      <c r="D467" s="432">
        <v>80.319999999999993</v>
      </c>
      <c r="E467" s="432">
        <v>80.680000000000007</v>
      </c>
      <c r="F467" s="426"/>
      <c r="G467" s="426"/>
      <c r="H467" s="426"/>
      <c r="I467" s="426"/>
      <c r="J467" s="426"/>
      <c r="K467" s="433"/>
      <c r="L467" s="113">
        <v>30</v>
      </c>
      <c r="M467" s="432">
        <v>84.45</v>
      </c>
      <c r="N467" s="432">
        <v>85.4</v>
      </c>
      <c r="O467" s="432">
        <v>85.79</v>
      </c>
      <c r="P467" s="426"/>
      <c r="Q467" s="426"/>
      <c r="R467" s="426"/>
      <c r="S467" s="426"/>
      <c r="T467" s="426"/>
    </row>
    <row r="468" spans="1:20" s="429" customFormat="1" x14ac:dyDescent="0.2">
      <c r="A468" s="433"/>
      <c r="B468" s="113">
        <v>31</v>
      </c>
      <c r="C468" s="432">
        <v>79.77</v>
      </c>
      <c r="D468" s="432">
        <v>80.63</v>
      </c>
      <c r="E468" s="432">
        <v>80.989999999999995</v>
      </c>
      <c r="F468" s="426"/>
      <c r="G468" s="426"/>
      <c r="H468" s="426"/>
      <c r="I468" s="426"/>
      <c r="J468" s="426"/>
      <c r="K468" s="433"/>
      <c r="L468" s="113">
        <v>31</v>
      </c>
      <c r="M468" s="432">
        <v>84.8</v>
      </c>
      <c r="N468" s="432">
        <v>85.75</v>
      </c>
      <c r="O468" s="432">
        <v>86.15</v>
      </c>
      <c r="P468" s="426"/>
      <c r="Q468" s="426"/>
      <c r="R468" s="426"/>
      <c r="S468" s="426"/>
      <c r="T468" s="426"/>
    </row>
    <row r="469" spans="1:20" s="429" customFormat="1" x14ac:dyDescent="0.2">
      <c r="A469" s="433"/>
      <c r="B469" s="113">
        <v>32</v>
      </c>
      <c r="C469" s="432">
        <v>80.08</v>
      </c>
      <c r="D469" s="432">
        <v>80.94</v>
      </c>
      <c r="E469" s="432">
        <v>81.31</v>
      </c>
      <c r="F469" s="426"/>
      <c r="G469" s="426"/>
      <c r="H469" s="426"/>
      <c r="I469" s="426"/>
      <c r="J469" s="426"/>
      <c r="K469" s="433"/>
      <c r="L469" s="113">
        <v>32</v>
      </c>
      <c r="M469" s="432">
        <v>85.15</v>
      </c>
      <c r="N469" s="432">
        <v>86.12</v>
      </c>
      <c r="O469" s="432">
        <v>86.51</v>
      </c>
      <c r="P469" s="426"/>
      <c r="Q469" s="426"/>
      <c r="R469" s="426"/>
      <c r="S469" s="426"/>
      <c r="T469" s="426"/>
    </row>
    <row r="470" spans="1:20" s="429" customFormat="1" x14ac:dyDescent="0.2">
      <c r="A470" s="433"/>
      <c r="B470" s="113">
        <v>33</v>
      </c>
      <c r="C470" s="432">
        <v>80.39</v>
      </c>
      <c r="D470" s="432">
        <v>81.260000000000005</v>
      </c>
      <c r="E470" s="432">
        <v>81.63</v>
      </c>
      <c r="F470" s="426"/>
      <c r="G470" s="426"/>
      <c r="H470" s="426"/>
      <c r="I470" s="426"/>
      <c r="J470" s="426"/>
      <c r="K470" s="433"/>
      <c r="L470" s="113">
        <v>33</v>
      </c>
      <c r="M470" s="432">
        <v>85.51</v>
      </c>
      <c r="N470" s="432">
        <v>86.49</v>
      </c>
      <c r="O470" s="432">
        <v>86.88</v>
      </c>
      <c r="P470" s="426"/>
      <c r="Q470" s="426"/>
      <c r="R470" s="426"/>
      <c r="S470" s="426"/>
      <c r="T470" s="426"/>
    </row>
    <row r="471" spans="1:20" s="429" customFormat="1" x14ac:dyDescent="0.2">
      <c r="A471" s="433"/>
      <c r="B471" s="113">
        <v>34</v>
      </c>
      <c r="C471" s="432">
        <v>80.709999999999994</v>
      </c>
      <c r="D471" s="432">
        <v>81.59</v>
      </c>
      <c r="E471" s="432">
        <v>81.96</v>
      </c>
      <c r="F471" s="426"/>
      <c r="G471" s="426"/>
      <c r="H471" s="426"/>
      <c r="I471" s="426"/>
      <c r="J471" s="426"/>
      <c r="K471" s="433"/>
      <c r="L471" s="113">
        <v>34</v>
      </c>
      <c r="M471" s="432">
        <v>85.87</v>
      </c>
      <c r="N471" s="432">
        <v>86.86</v>
      </c>
      <c r="O471" s="432">
        <v>87.26</v>
      </c>
      <c r="P471" s="426"/>
      <c r="Q471" s="426"/>
      <c r="R471" s="426"/>
      <c r="S471" s="426"/>
      <c r="T471" s="426"/>
    </row>
    <row r="472" spans="1:20" s="429" customFormat="1" x14ac:dyDescent="0.2">
      <c r="A472" s="433"/>
      <c r="B472" s="113">
        <v>35</v>
      </c>
      <c r="C472" s="432">
        <v>81.040000000000006</v>
      </c>
      <c r="D472" s="432">
        <v>81.92</v>
      </c>
      <c r="E472" s="432">
        <v>82.29</v>
      </c>
      <c r="F472" s="426"/>
      <c r="G472" s="426"/>
      <c r="H472" s="426"/>
      <c r="I472" s="426"/>
      <c r="J472" s="426"/>
      <c r="K472" s="433"/>
      <c r="L472" s="113">
        <v>35</v>
      </c>
      <c r="M472" s="432">
        <v>86.25</v>
      </c>
      <c r="N472" s="432">
        <v>87.24</v>
      </c>
      <c r="O472" s="432">
        <v>87.64</v>
      </c>
      <c r="P472" s="426"/>
      <c r="Q472" s="426"/>
      <c r="R472" s="426"/>
      <c r="S472" s="426"/>
      <c r="T472" s="426"/>
    </row>
    <row r="473" spans="1:20" s="429" customFormat="1" x14ac:dyDescent="0.2">
      <c r="A473" s="433"/>
      <c r="B473" s="113">
        <v>36</v>
      </c>
      <c r="C473" s="432">
        <v>81.37</v>
      </c>
      <c r="D473" s="432">
        <v>82.26</v>
      </c>
      <c r="E473" s="432">
        <v>82.64</v>
      </c>
      <c r="F473" s="426"/>
      <c r="G473" s="426"/>
      <c r="H473" s="426"/>
      <c r="I473" s="426"/>
      <c r="J473" s="426"/>
      <c r="K473" s="433"/>
      <c r="L473" s="113">
        <v>36</v>
      </c>
      <c r="M473" s="432">
        <v>86.62</v>
      </c>
      <c r="N473" s="432">
        <v>87.63</v>
      </c>
      <c r="O473" s="432">
        <v>88.03</v>
      </c>
      <c r="P473" s="426"/>
      <c r="Q473" s="426"/>
      <c r="R473" s="426"/>
      <c r="S473" s="426"/>
      <c r="T473" s="426"/>
    </row>
    <row r="474" spans="1:20" s="429" customFormat="1" x14ac:dyDescent="0.2">
      <c r="A474" s="433"/>
      <c r="B474" s="113">
        <v>37</v>
      </c>
      <c r="C474" s="432">
        <v>81.7</v>
      </c>
      <c r="D474" s="432">
        <v>82.61</v>
      </c>
      <c r="E474" s="432">
        <v>82.98</v>
      </c>
      <c r="F474" s="426"/>
      <c r="G474" s="426"/>
      <c r="H474" s="426"/>
      <c r="I474" s="426"/>
      <c r="J474" s="426"/>
      <c r="K474" s="433"/>
      <c r="L474" s="113">
        <v>37</v>
      </c>
      <c r="M474" s="432">
        <v>87</v>
      </c>
      <c r="N474" s="432">
        <v>88.02</v>
      </c>
      <c r="O474" s="432">
        <v>88.42</v>
      </c>
      <c r="P474" s="426"/>
      <c r="Q474" s="426"/>
      <c r="R474" s="426"/>
      <c r="S474" s="426"/>
      <c r="T474" s="426"/>
    </row>
    <row r="475" spans="1:20" s="429" customFormat="1" x14ac:dyDescent="0.2">
      <c r="A475" s="433"/>
      <c r="B475" s="113">
        <v>38</v>
      </c>
      <c r="C475" s="432">
        <v>82.03</v>
      </c>
      <c r="D475" s="432">
        <v>82.95</v>
      </c>
      <c r="E475" s="432">
        <v>83.33</v>
      </c>
      <c r="F475" s="426"/>
      <c r="G475" s="426"/>
      <c r="H475" s="426"/>
      <c r="I475" s="426"/>
      <c r="J475" s="426"/>
      <c r="K475" s="433"/>
      <c r="L475" s="113">
        <v>38</v>
      </c>
      <c r="M475" s="432">
        <v>87.38</v>
      </c>
      <c r="N475" s="432">
        <v>88.41</v>
      </c>
      <c r="O475" s="432">
        <v>88.82</v>
      </c>
      <c r="P475" s="426"/>
      <c r="Q475" s="426"/>
      <c r="R475" s="426"/>
      <c r="S475" s="426"/>
      <c r="T475" s="426"/>
    </row>
    <row r="476" spans="1:20" s="429" customFormat="1" x14ac:dyDescent="0.2">
      <c r="A476" s="433"/>
      <c r="B476" s="113">
        <v>39</v>
      </c>
      <c r="C476" s="432">
        <v>82.37</v>
      </c>
      <c r="D476" s="432">
        <v>83.3</v>
      </c>
      <c r="E476" s="432">
        <v>83.68</v>
      </c>
      <c r="F476" s="426"/>
      <c r="G476" s="426"/>
      <c r="H476" s="426"/>
      <c r="I476" s="426"/>
      <c r="J476" s="426"/>
      <c r="K476" s="433"/>
      <c r="L476" s="113">
        <v>39</v>
      </c>
      <c r="M476" s="432">
        <v>87.76</v>
      </c>
      <c r="N476" s="432">
        <v>88.8</v>
      </c>
      <c r="O476" s="432">
        <v>89.21</v>
      </c>
      <c r="P476" s="426"/>
      <c r="Q476" s="426"/>
      <c r="R476" s="426"/>
      <c r="S476" s="426"/>
      <c r="T476" s="426"/>
    </row>
    <row r="477" spans="1:20" s="429" customFormat="1" x14ac:dyDescent="0.2">
      <c r="A477" s="433"/>
      <c r="B477" s="113">
        <v>40</v>
      </c>
      <c r="C477" s="432">
        <v>82.71</v>
      </c>
      <c r="D477" s="432">
        <v>83.65</v>
      </c>
      <c r="E477" s="432">
        <v>84.03</v>
      </c>
      <c r="F477" s="426"/>
      <c r="G477" s="426"/>
      <c r="H477" s="426"/>
      <c r="I477" s="426"/>
      <c r="J477" s="426"/>
      <c r="K477" s="433"/>
      <c r="L477" s="113">
        <v>40</v>
      </c>
      <c r="M477" s="432">
        <v>88.14</v>
      </c>
      <c r="N477" s="432">
        <v>89.2</v>
      </c>
      <c r="O477" s="432">
        <v>89.61</v>
      </c>
      <c r="P477" s="426"/>
      <c r="Q477" s="426"/>
      <c r="R477" s="426"/>
      <c r="S477" s="426"/>
      <c r="T477" s="426"/>
    </row>
    <row r="478" spans="1:20" s="429" customFormat="1" x14ac:dyDescent="0.2">
      <c r="A478" s="433"/>
      <c r="B478" s="113">
        <v>41</v>
      </c>
      <c r="C478" s="432">
        <v>83.05</v>
      </c>
      <c r="D478" s="432">
        <v>84</v>
      </c>
      <c r="E478" s="432">
        <v>84.38</v>
      </c>
      <c r="F478" s="426"/>
      <c r="G478" s="426"/>
      <c r="H478" s="426"/>
      <c r="I478" s="426"/>
      <c r="J478" s="426"/>
      <c r="K478" s="433"/>
      <c r="L478" s="113">
        <v>41</v>
      </c>
      <c r="M478" s="432">
        <v>88.52</v>
      </c>
      <c r="N478" s="432">
        <v>89.59</v>
      </c>
      <c r="O478" s="432">
        <v>90</v>
      </c>
      <c r="P478" s="426"/>
      <c r="Q478" s="426"/>
      <c r="R478" s="426"/>
      <c r="S478" s="426"/>
      <c r="T478" s="426"/>
    </row>
    <row r="479" spans="1:20" s="429" customFormat="1" x14ac:dyDescent="0.2">
      <c r="A479" s="433"/>
      <c r="B479" s="113">
        <v>42</v>
      </c>
      <c r="C479" s="432">
        <v>83.38</v>
      </c>
      <c r="D479" s="432">
        <v>84.35</v>
      </c>
      <c r="E479" s="432">
        <v>84.73</v>
      </c>
      <c r="F479" s="426"/>
      <c r="G479" s="426"/>
      <c r="H479" s="426"/>
      <c r="I479" s="426"/>
      <c r="J479" s="426"/>
      <c r="K479" s="433"/>
      <c r="L479" s="113">
        <v>42</v>
      </c>
      <c r="M479" s="432">
        <v>88.9</v>
      </c>
      <c r="N479" s="432">
        <v>89.98</v>
      </c>
      <c r="O479" s="432">
        <v>90.39</v>
      </c>
      <c r="P479" s="426"/>
      <c r="Q479" s="426"/>
      <c r="R479" s="426"/>
      <c r="S479" s="426"/>
      <c r="T479" s="426"/>
    </row>
    <row r="480" spans="1:20" s="429" customFormat="1" x14ac:dyDescent="0.2">
      <c r="A480" s="433"/>
      <c r="B480" s="113">
        <v>43</v>
      </c>
      <c r="C480" s="432">
        <v>83.72</v>
      </c>
      <c r="D480" s="432">
        <v>84.69</v>
      </c>
      <c r="E480" s="432">
        <v>85.07</v>
      </c>
      <c r="F480" s="426"/>
      <c r="G480" s="426"/>
      <c r="H480" s="426"/>
      <c r="I480" s="426"/>
      <c r="J480" s="426"/>
      <c r="K480" s="433"/>
      <c r="L480" s="113">
        <v>43</v>
      </c>
      <c r="M480" s="432">
        <v>89.28</v>
      </c>
      <c r="N480" s="432">
        <v>90.37</v>
      </c>
      <c r="O480" s="432">
        <v>90.78</v>
      </c>
      <c r="P480" s="426"/>
      <c r="Q480" s="426"/>
      <c r="R480" s="426"/>
      <c r="S480" s="426"/>
      <c r="T480" s="426"/>
    </row>
    <row r="481" spans="1:20" s="429" customFormat="1" x14ac:dyDescent="0.2">
      <c r="A481" s="433"/>
      <c r="B481" s="113">
        <v>44</v>
      </c>
      <c r="C481" s="432">
        <v>84.05</v>
      </c>
      <c r="D481" s="432">
        <v>85.04</v>
      </c>
      <c r="E481" s="432">
        <v>85.42</v>
      </c>
      <c r="F481" s="426"/>
      <c r="G481" s="426"/>
      <c r="H481" s="426"/>
      <c r="I481" s="426"/>
      <c r="J481" s="426"/>
      <c r="K481" s="433"/>
      <c r="L481" s="113">
        <v>44</v>
      </c>
      <c r="M481" s="432">
        <v>89.65</v>
      </c>
      <c r="N481" s="432">
        <v>90.76</v>
      </c>
      <c r="O481" s="432">
        <v>91.18</v>
      </c>
      <c r="P481" s="426"/>
      <c r="Q481" s="426"/>
      <c r="R481" s="426"/>
      <c r="S481" s="426"/>
      <c r="T481" s="426"/>
    </row>
    <row r="482" spans="1:20" s="429" customFormat="1" x14ac:dyDescent="0.2">
      <c r="A482" s="433"/>
      <c r="B482" s="113">
        <v>45</v>
      </c>
      <c r="C482" s="432">
        <v>84.38</v>
      </c>
      <c r="D482" s="432">
        <v>85.38</v>
      </c>
      <c r="E482" s="432">
        <v>85.76</v>
      </c>
      <c r="F482" s="426"/>
      <c r="G482" s="426"/>
      <c r="H482" s="426"/>
      <c r="I482" s="426"/>
      <c r="J482" s="426"/>
      <c r="K482" s="433"/>
      <c r="L482" s="113">
        <v>45</v>
      </c>
      <c r="M482" s="432">
        <v>90.03</v>
      </c>
      <c r="N482" s="432">
        <v>91.15</v>
      </c>
      <c r="O482" s="432">
        <v>91.57</v>
      </c>
      <c r="P482" s="426"/>
      <c r="Q482" s="426"/>
      <c r="R482" s="426"/>
      <c r="S482" s="426"/>
      <c r="T482" s="426"/>
    </row>
    <row r="483" spans="1:20" s="429" customFormat="1" x14ac:dyDescent="0.2">
      <c r="A483" s="433"/>
      <c r="B483" s="113">
        <v>46</v>
      </c>
      <c r="C483" s="432">
        <v>84.71</v>
      </c>
      <c r="D483" s="432">
        <v>85.72</v>
      </c>
      <c r="E483" s="432">
        <v>86.11</v>
      </c>
      <c r="F483" s="426"/>
      <c r="G483" s="426"/>
      <c r="H483" s="426"/>
      <c r="I483" s="426"/>
      <c r="J483" s="426"/>
      <c r="K483" s="433"/>
      <c r="L483" s="113">
        <v>46</v>
      </c>
      <c r="M483" s="432">
        <v>90.41</v>
      </c>
      <c r="N483" s="432">
        <v>91.55</v>
      </c>
      <c r="O483" s="432">
        <v>91.96</v>
      </c>
      <c r="P483" s="426"/>
      <c r="Q483" s="426"/>
      <c r="R483" s="426"/>
      <c r="S483" s="426"/>
      <c r="T483" s="426"/>
    </row>
    <row r="484" spans="1:20" s="429" customFormat="1" x14ac:dyDescent="0.2">
      <c r="A484" s="433"/>
      <c r="B484" s="113">
        <v>47</v>
      </c>
      <c r="C484" s="432">
        <v>85.05</v>
      </c>
      <c r="D484" s="432">
        <v>86.07</v>
      </c>
      <c r="E484" s="432">
        <v>86.45</v>
      </c>
      <c r="F484" s="426"/>
      <c r="G484" s="426"/>
      <c r="H484" s="426"/>
      <c r="I484" s="426"/>
      <c r="J484" s="426"/>
      <c r="K484" s="433"/>
      <c r="L484" s="113">
        <v>47</v>
      </c>
      <c r="M484" s="432">
        <v>90.79</v>
      </c>
      <c r="N484" s="432">
        <v>91.94</v>
      </c>
      <c r="O484" s="432">
        <v>92.36</v>
      </c>
      <c r="P484" s="426"/>
      <c r="Q484" s="426"/>
      <c r="R484" s="426"/>
      <c r="S484" s="426"/>
      <c r="T484" s="426"/>
    </row>
    <row r="485" spans="1:20" s="429" customFormat="1" x14ac:dyDescent="0.2">
      <c r="A485" s="433"/>
      <c r="B485" s="113">
        <v>48</v>
      </c>
      <c r="C485" s="432">
        <v>85.38</v>
      </c>
      <c r="D485" s="432">
        <v>86.42</v>
      </c>
      <c r="E485" s="432">
        <v>86.81</v>
      </c>
      <c r="F485" s="426"/>
      <c r="G485" s="426"/>
      <c r="H485" s="426"/>
      <c r="I485" s="426"/>
      <c r="J485" s="426"/>
      <c r="K485" s="433"/>
      <c r="L485" s="113">
        <v>48</v>
      </c>
      <c r="M485" s="432">
        <v>91.18</v>
      </c>
      <c r="N485" s="432">
        <v>92.34</v>
      </c>
      <c r="O485" s="432">
        <v>92.76</v>
      </c>
      <c r="P485" s="426"/>
      <c r="Q485" s="426"/>
      <c r="R485" s="426"/>
      <c r="S485" s="426"/>
      <c r="T485" s="426"/>
    </row>
    <row r="486" spans="1:20" s="429" customFormat="1" x14ac:dyDescent="0.2">
      <c r="A486" s="433"/>
      <c r="B486" s="113">
        <v>49</v>
      </c>
      <c r="C486" s="432">
        <v>85.72</v>
      </c>
      <c r="D486" s="432">
        <v>86.78</v>
      </c>
      <c r="E486" s="432">
        <v>87.16</v>
      </c>
      <c r="F486" s="426"/>
      <c r="G486" s="426"/>
      <c r="H486" s="426"/>
      <c r="I486" s="426"/>
      <c r="J486" s="426"/>
      <c r="K486" s="433"/>
      <c r="L486" s="113">
        <v>49</v>
      </c>
      <c r="M486" s="432">
        <v>91.56</v>
      </c>
      <c r="N486" s="432">
        <v>92.74</v>
      </c>
      <c r="O486" s="432">
        <v>93.16</v>
      </c>
      <c r="P486" s="426"/>
      <c r="Q486" s="426"/>
      <c r="R486" s="426"/>
      <c r="S486" s="426"/>
      <c r="T486" s="426"/>
    </row>
    <row r="487" spans="1:20" s="429" customFormat="1" x14ac:dyDescent="0.2">
      <c r="A487" s="433"/>
      <c r="B487" s="113">
        <v>50</v>
      </c>
      <c r="C487" s="432">
        <v>86.07</v>
      </c>
      <c r="D487" s="432">
        <v>87.14</v>
      </c>
      <c r="E487" s="432">
        <v>87.52</v>
      </c>
      <c r="F487" s="426"/>
      <c r="G487" s="426"/>
      <c r="H487" s="426"/>
      <c r="I487" s="434"/>
      <c r="J487" s="435"/>
      <c r="K487" s="433"/>
      <c r="L487" s="113">
        <v>50</v>
      </c>
      <c r="M487" s="432">
        <v>91.95</v>
      </c>
      <c r="N487" s="432">
        <v>93.14</v>
      </c>
      <c r="O487" s="432">
        <v>93.56</v>
      </c>
      <c r="P487" s="426"/>
      <c r="Q487" s="426"/>
      <c r="R487" s="426"/>
      <c r="S487" s="434"/>
      <c r="T487" s="435"/>
    </row>
    <row r="488" spans="1:20" s="429" customFormat="1" x14ac:dyDescent="0.2">
      <c r="A488" s="426"/>
      <c r="B488" s="113">
        <v>51</v>
      </c>
      <c r="C488" s="432">
        <v>86.42</v>
      </c>
      <c r="D488" s="432">
        <v>87.5</v>
      </c>
      <c r="E488" s="432">
        <v>87.88</v>
      </c>
      <c r="F488" s="426"/>
      <c r="G488" s="426"/>
      <c r="H488" s="426"/>
      <c r="I488" s="426"/>
      <c r="J488" s="436"/>
      <c r="K488" s="426"/>
      <c r="L488" s="113">
        <v>51</v>
      </c>
      <c r="M488" s="432">
        <v>92.33</v>
      </c>
      <c r="N488" s="432">
        <v>93.54</v>
      </c>
      <c r="O488" s="432">
        <v>93.95</v>
      </c>
      <c r="P488" s="426"/>
      <c r="Q488" s="426"/>
      <c r="R488" s="426"/>
      <c r="S488" s="426"/>
      <c r="T488" s="436"/>
    </row>
    <row r="489" spans="1:20" s="429" customFormat="1" x14ac:dyDescent="0.2">
      <c r="A489" s="426"/>
      <c r="B489" s="113">
        <v>52</v>
      </c>
      <c r="C489" s="432">
        <v>86.77</v>
      </c>
      <c r="D489" s="432">
        <v>87.86</v>
      </c>
      <c r="E489" s="432">
        <v>88.25</v>
      </c>
      <c r="F489" s="426"/>
      <c r="G489" s="426"/>
      <c r="H489" s="426"/>
      <c r="I489" s="426"/>
      <c r="J489" s="426"/>
      <c r="K489" s="426"/>
      <c r="L489" s="113">
        <v>52</v>
      </c>
      <c r="M489" s="432">
        <v>92.7</v>
      </c>
      <c r="N489" s="432">
        <v>93.93</v>
      </c>
      <c r="O489" s="432">
        <v>94.34</v>
      </c>
      <c r="P489" s="426"/>
      <c r="Q489" s="426"/>
      <c r="R489" s="426"/>
      <c r="S489" s="426"/>
      <c r="T489" s="426"/>
    </row>
    <row r="490" spans="1:20" s="429" customFormat="1" x14ac:dyDescent="0.2">
      <c r="A490" s="426"/>
      <c r="B490" s="113">
        <v>53</v>
      </c>
      <c r="C490" s="432">
        <v>87.12</v>
      </c>
      <c r="D490" s="432">
        <v>88.23</v>
      </c>
      <c r="E490" s="432">
        <v>88.61</v>
      </c>
      <c r="F490" s="426"/>
      <c r="G490" s="426"/>
      <c r="H490" s="426"/>
      <c r="I490" s="426"/>
      <c r="J490" s="426"/>
      <c r="K490" s="426"/>
      <c r="L490" s="113">
        <v>53</v>
      </c>
      <c r="M490" s="432">
        <v>93.06</v>
      </c>
      <c r="N490" s="432">
        <v>94.31</v>
      </c>
      <c r="O490" s="432">
        <v>94.72</v>
      </c>
      <c r="P490" s="426"/>
      <c r="Q490" s="426"/>
      <c r="R490" s="426"/>
      <c r="S490" s="426"/>
      <c r="T490" s="426"/>
    </row>
    <row r="491" spans="1:20" s="429" customFormat="1" x14ac:dyDescent="0.2">
      <c r="A491" s="426"/>
      <c r="B491" s="113">
        <v>54</v>
      </c>
      <c r="C491" s="432">
        <v>87.46</v>
      </c>
      <c r="D491" s="432">
        <v>88.58</v>
      </c>
      <c r="E491" s="432">
        <v>88.97</v>
      </c>
      <c r="F491" s="426"/>
      <c r="G491" s="426"/>
      <c r="H491" s="426"/>
      <c r="I491" s="426"/>
      <c r="J491" s="426"/>
      <c r="K491" s="426"/>
      <c r="L491" s="113">
        <v>54</v>
      </c>
      <c r="M491" s="432">
        <v>93.4</v>
      </c>
      <c r="N491" s="432">
        <v>94.65</v>
      </c>
      <c r="O491" s="432">
        <v>95.07</v>
      </c>
      <c r="P491" s="426"/>
      <c r="Q491" s="426"/>
      <c r="R491" s="426"/>
      <c r="S491" s="426"/>
      <c r="T491" s="426"/>
    </row>
    <row r="492" spans="1:20" s="429" customFormat="1" x14ac:dyDescent="0.2">
      <c r="A492" s="426"/>
      <c r="B492" s="113">
        <v>55</v>
      </c>
      <c r="C492" s="432">
        <v>87.78</v>
      </c>
      <c r="D492" s="432">
        <v>88.92</v>
      </c>
      <c r="E492" s="432">
        <v>89.3</v>
      </c>
      <c r="F492" s="426"/>
      <c r="G492" s="426"/>
      <c r="H492" s="426"/>
      <c r="I492" s="426"/>
      <c r="J492" s="426"/>
      <c r="K492" s="426"/>
      <c r="L492" s="113">
        <v>55</v>
      </c>
      <c r="M492" s="432">
        <v>93.69</v>
      </c>
      <c r="N492" s="432">
        <v>94.96</v>
      </c>
      <c r="O492" s="432">
        <v>95.38</v>
      </c>
      <c r="P492" s="426"/>
      <c r="Q492" s="426"/>
      <c r="R492" s="426"/>
      <c r="S492" s="426"/>
      <c r="T492" s="426"/>
    </row>
    <row r="493" spans="1:20" s="429" customFormat="1" x14ac:dyDescent="0.2">
      <c r="A493" s="426"/>
      <c r="B493" s="113">
        <v>56</v>
      </c>
      <c r="C493" s="432">
        <v>88.06</v>
      </c>
      <c r="D493" s="432">
        <v>89.22</v>
      </c>
      <c r="E493" s="432">
        <v>89.6</v>
      </c>
      <c r="F493" s="426"/>
      <c r="G493" s="426"/>
      <c r="H493" s="426"/>
      <c r="I493" s="426"/>
      <c r="J493" s="426"/>
      <c r="K493" s="426"/>
      <c r="L493" s="113">
        <v>56</v>
      </c>
      <c r="M493" s="432">
        <v>93.93</v>
      </c>
      <c r="N493" s="432">
        <v>95.21</v>
      </c>
      <c r="O493" s="432">
        <v>95.63</v>
      </c>
      <c r="P493" s="426"/>
      <c r="Q493" s="426"/>
      <c r="R493" s="426"/>
      <c r="S493" s="426"/>
      <c r="T493" s="426"/>
    </row>
    <row r="494" spans="1:20" s="429" customFormat="1" x14ac:dyDescent="0.2">
      <c r="A494" s="426"/>
      <c r="B494" s="113">
        <v>57</v>
      </c>
      <c r="C494" s="432">
        <v>88.3</v>
      </c>
      <c r="D494" s="432">
        <v>89.47</v>
      </c>
      <c r="E494" s="432">
        <v>89.85</v>
      </c>
      <c r="F494" s="426"/>
      <c r="G494" s="426"/>
      <c r="H494" s="426"/>
      <c r="I494" s="426"/>
      <c r="J494" s="426"/>
      <c r="K494" s="426"/>
      <c r="L494" s="113">
        <v>57</v>
      </c>
      <c r="M494" s="432">
        <v>94.09</v>
      </c>
      <c r="N494" s="432">
        <v>95.39</v>
      </c>
      <c r="O494" s="432">
        <v>95.8</v>
      </c>
      <c r="P494" s="426"/>
      <c r="Q494" s="426"/>
      <c r="R494" s="426"/>
      <c r="S494" s="426"/>
      <c r="T494" s="426"/>
    </row>
    <row r="495" spans="1:20" s="429" customFormat="1" x14ac:dyDescent="0.2">
      <c r="A495" s="426"/>
      <c r="B495" s="113">
        <v>58</v>
      </c>
      <c r="C495" s="432">
        <v>88.48</v>
      </c>
      <c r="D495" s="432">
        <v>89.66</v>
      </c>
      <c r="E495" s="432">
        <v>90.04</v>
      </c>
      <c r="F495" s="426"/>
      <c r="G495" s="426"/>
      <c r="H495" s="426"/>
      <c r="I495" s="426"/>
      <c r="J495" s="426"/>
      <c r="K495" s="426"/>
      <c r="L495" s="113">
        <v>58</v>
      </c>
      <c r="M495" s="432">
        <v>94.17</v>
      </c>
      <c r="N495" s="432">
        <v>95.48</v>
      </c>
      <c r="O495" s="432">
        <v>95.89</v>
      </c>
      <c r="P495" s="426"/>
      <c r="Q495" s="426"/>
      <c r="R495" s="426"/>
      <c r="S495" s="426"/>
      <c r="T495" s="426"/>
    </row>
    <row r="496" spans="1:20" s="429" customFormat="1" x14ac:dyDescent="0.2">
      <c r="A496" s="426"/>
      <c r="B496" s="113">
        <v>59</v>
      </c>
      <c r="C496" s="432">
        <v>88.58</v>
      </c>
      <c r="D496" s="432">
        <v>89.78</v>
      </c>
      <c r="E496" s="432">
        <v>90.16</v>
      </c>
      <c r="F496" s="426"/>
      <c r="G496" s="426"/>
      <c r="H496" s="426"/>
      <c r="I496" s="426"/>
      <c r="J496" s="426"/>
      <c r="K496" s="426"/>
      <c r="L496" s="113">
        <v>59</v>
      </c>
      <c r="M496" s="432">
        <v>94.14</v>
      </c>
      <c r="N496" s="432">
        <v>95.46</v>
      </c>
      <c r="O496" s="432">
        <v>95.87</v>
      </c>
      <c r="P496" s="426"/>
      <c r="Q496" s="426"/>
      <c r="R496" s="426"/>
      <c r="S496" s="426"/>
      <c r="T496" s="426"/>
    </row>
    <row r="497" spans="1:20" s="429" customFormat="1" x14ac:dyDescent="0.2">
      <c r="A497" s="426"/>
      <c r="B497" s="113">
        <v>60</v>
      </c>
      <c r="C497" s="432">
        <v>88.59</v>
      </c>
      <c r="D497" s="432">
        <v>89.79</v>
      </c>
      <c r="E497" s="432">
        <v>90.17</v>
      </c>
      <c r="F497" s="426"/>
      <c r="G497" s="426"/>
      <c r="H497" s="426"/>
      <c r="I497" s="426"/>
      <c r="J497" s="426"/>
      <c r="K497" s="426"/>
      <c r="L497" s="113">
        <v>60</v>
      </c>
      <c r="M497" s="432">
        <v>93.98</v>
      </c>
      <c r="N497" s="432">
        <v>95.31</v>
      </c>
      <c r="O497" s="432">
        <v>95.71</v>
      </c>
      <c r="P497" s="426"/>
      <c r="Q497" s="426"/>
      <c r="R497" s="426"/>
      <c r="S497" s="426"/>
      <c r="T497" s="426"/>
    </row>
    <row r="498" spans="1:20" s="429" customFormat="1" x14ac:dyDescent="0.2">
      <c r="A498" s="426"/>
      <c r="B498" s="113">
        <v>61</v>
      </c>
      <c r="C498" s="432">
        <v>88.49</v>
      </c>
      <c r="D498" s="432">
        <v>89.7</v>
      </c>
      <c r="E498" s="432">
        <v>90.08</v>
      </c>
      <c r="F498" s="426"/>
      <c r="G498" s="426"/>
      <c r="H498" s="426"/>
      <c r="I498" s="426"/>
      <c r="J498" s="426"/>
      <c r="K498" s="426"/>
      <c r="L498" s="113">
        <v>61</v>
      </c>
      <c r="M498" s="432">
        <v>93.69</v>
      </c>
      <c r="N498" s="432">
        <v>95.02</v>
      </c>
      <c r="O498" s="432">
        <v>95.42</v>
      </c>
      <c r="P498" s="426"/>
      <c r="Q498" s="426"/>
      <c r="R498" s="426"/>
      <c r="S498" s="426"/>
      <c r="T498" s="426"/>
    </row>
    <row r="499" spans="1:20" s="429" customFormat="1" x14ac:dyDescent="0.2">
      <c r="A499" s="426"/>
      <c r="B499" s="113">
        <v>62</v>
      </c>
      <c r="C499" s="432">
        <v>88.26</v>
      </c>
      <c r="D499" s="432">
        <v>89.48</v>
      </c>
      <c r="E499" s="432">
        <v>89.86</v>
      </c>
      <c r="F499" s="426"/>
      <c r="G499" s="426"/>
      <c r="H499" s="426"/>
      <c r="I499" s="426"/>
      <c r="J499" s="426"/>
      <c r="K499" s="426"/>
      <c r="L499" s="113">
        <v>62</v>
      </c>
      <c r="M499" s="432">
        <v>93.23</v>
      </c>
      <c r="N499" s="432">
        <v>94.56</v>
      </c>
      <c r="O499" s="432">
        <v>94.96</v>
      </c>
      <c r="P499" s="426"/>
      <c r="Q499" s="426"/>
      <c r="R499" s="426"/>
      <c r="S499" s="426"/>
      <c r="T499" s="426"/>
    </row>
    <row r="500" spans="1:20" s="429" customFormat="1" x14ac:dyDescent="0.2">
      <c r="A500" s="426"/>
      <c r="B500" s="113">
        <v>63</v>
      </c>
      <c r="C500" s="432">
        <v>87.9</v>
      </c>
      <c r="D500" s="432">
        <v>89.12</v>
      </c>
      <c r="E500" s="432">
        <v>89.49</v>
      </c>
      <c r="F500" s="426"/>
      <c r="G500" s="426"/>
      <c r="H500" s="426"/>
      <c r="I500" s="426"/>
      <c r="J500" s="426"/>
      <c r="K500" s="426"/>
      <c r="L500" s="113">
        <v>63</v>
      </c>
      <c r="M500" s="432">
        <v>92.6</v>
      </c>
      <c r="N500" s="432">
        <v>93.93</v>
      </c>
      <c r="O500" s="432">
        <v>94.33</v>
      </c>
      <c r="P500" s="426"/>
      <c r="Q500" s="426"/>
      <c r="R500" s="426"/>
      <c r="S500" s="426"/>
      <c r="T500" s="426"/>
    </row>
    <row r="501" spans="1:20" s="429" customFormat="1" x14ac:dyDescent="0.2">
      <c r="A501" s="426"/>
      <c r="B501" s="113">
        <v>64</v>
      </c>
      <c r="C501" s="432">
        <v>87.39</v>
      </c>
      <c r="D501" s="432">
        <v>88.62</v>
      </c>
      <c r="E501" s="432">
        <v>88.99</v>
      </c>
      <c r="F501" s="426"/>
      <c r="G501" s="426"/>
      <c r="H501" s="426"/>
      <c r="I501" s="426"/>
      <c r="J501" s="426"/>
      <c r="K501" s="426"/>
      <c r="L501" s="113">
        <v>64</v>
      </c>
      <c r="M501" s="432">
        <v>91.81</v>
      </c>
      <c r="N501" s="432">
        <v>93.13</v>
      </c>
      <c r="O501" s="432">
        <v>93.53</v>
      </c>
      <c r="P501" s="426"/>
      <c r="Q501" s="426"/>
      <c r="R501" s="426"/>
      <c r="S501" s="426"/>
      <c r="T501" s="426"/>
    </row>
    <row r="502" spans="1:20" s="429" customFormat="1" x14ac:dyDescent="0.2">
      <c r="A502" s="426"/>
      <c r="B502" s="113">
        <v>65</v>
      </c>
      <c r="C502" s="432">
        <v>86.74</v>
      </c>
      <c r="D502" s="432">
        <v>87.97</v>
      </c>
      <c r="E502" s="432">
        <v>88.34</v>
      </c>
      <c r="F502" s="426"/>
      <c r="G502" s="426"/>
      <c r="H502" s="426"/>
      <c r="I502" s="426"/>
      <c r="J502" s="426"/>
      <c r="K502" s="426"/>
      <c r="L502" s="113">
        <v>65</v>
      </c>
      <c r="M502" s="432">
        <v>90.84</v>
      </c>
      <c r="N502" s="432">
        <v>92.16</v>
      </c>
      <c r="O502" s="432">
        <v>92.55</v>
      </c>
      <c r="P502" s="426"/>
      <c r="Q502" s="426"/>
      <c r="R502" s="426"/>
      <c r="S502" s="426"/>
      <c r="T502" s="426"/>
    </row>
    <row r="503" spans="1:20" s="429" customFormat="1" x14ac:dyDescent="0.2">
      <c r="A503" s="426"/>
      <c r="B503" s="113">
        <v>66</v>
      </c>
      <c r="C503" s="432">
        <v>85.95</v>
      </c>
      <c r="D503" s="432">
        <v>87.17</v>
      </c>
      <c r="E503" s="432">
        <v>87.53</v>
      </c>
      <c r="F503" s="426"/>
      <c r="G503" s="426"/>
      <c r="H503" s="426"/>
      <c r="I503" s="426"/>
      <c r="J503" s="426"/>
      <c r="K503" s="426"/>
      <c r="L503" s="113">
        <v>66</v>
      </c>
      <c r="M503" s="432">
        <v>89.71</v>
      </c>
      <c r="N503" s="432">
        <v>91.02</v>
      </c>
      <c r="O503" s="432">
        <v>91.4</v>
      </c>
      <c r="P503" s="426"/>
      <c r="Q503" s="426"/>
      <c r="R503" s="426"/>
      <c r="S503" s="426"/>
      <c r="T503" s="426"/>
    </row>
    <row r="504" spans="1:20" s="429" customFormat="1" x14ac:dyDescent="0.2">
      <c r="A504" s="426"/>
      <c r="B504" s="113">
        <v>67</v>
      </c>
      <c r="C504" s="432">
        <v>85</v>
      </c>
      <c r="D504" s="432">
        <v>86.22</v>
      </c>
      <c r="E504" s="432">
        <v>86.58</v>
      </c>
      <c r="F504" s="426"/>
      <c r="G504" s="426"/>
      <c r="H504" s="426"/>
      <c r="I504" s="426"/>
      <c r="J504" s="426"/>
      <c r="K504" s="426"/>
      <c r="L504" s="113">
        <v>67</v>
      </c>
      <c r="M504" s="432">
        <v>88.42</v>
      </c>
      <c r="N504" s="432">
        <v>89.71</v>
      </c>
      <c r="O504" s="432">
        <v>90.09</v>
      </c>
      <c r="P504" s="426"/>
      <c r="Q504" s="426"/>
      <c r="R504" s="426"/>
      <c r="S504" s="426"/>
      <c r="T504" s="426"/>
    </row>
    <row r="505" spans="1:20" s="429" customFormat="1" x14ac:dyDescent="0.2">
      <c r="A505" s="426"/>
      <c r="B505" s="113">
        <v>68</v>
      </c>
      <c r="C505" s="432">
        <v>83.91</v>
      </c>
      <c r="D505" s="432">
        <v>85.12</v>
      </c>
      <c r="E505" s="432">
        <v>85.48</v>
      </c>
      <c r="F505" s="426"/>
      <c r="G505" s="426"/>
      <c r="H505" s="426"/>
      <c r="I505" s="426"/>
      <c r="J505" s="426"/>
      <c r="K505" s="426"/>
      <c r="L505" s="113">
        <v>68</v>
      </c>
      <c r="M505" s="432">
        <v>86.97</v>
      </c>
      <c r="N505" s="432">
        <v>88.25</v>
      </c>
      <c r="O505" s="432">
        <v>88.62</v>
      </c>
      <c r="P505" s="426"/>
      <c r="Q505" s="426"/>
      <c r="R505" s="426"/>
      <c r="S505" s="426"/>
      <c r="T505" s="426"/>
    </row>
    <row r="506" spans="1:20" s="429" customFormat="1" x14ac:dyDescent="0.2">
      <c r="A506" s="426"/>
      <c r="B506" s="113">
        <v>69</v>
      </c>
      <c r="C506" s="432">
        <v>82.68</v>
      </c>
      <c r="D506" s="432">
        <v>83.88</v>
      </c>
      <c r="E506" s="432">
        <v>84.23</v>
      </c>
      <c r="F506" s="426"/>
      <c r="G506" s="426"/>
      <c r="H506" s="426"/>
      <c r="I506" s="426"/>
      <c r="J506" s="426"/>
      <c r="K506" s="426"/>
      <c r="L506" s="113">
        <v>69</v>
      </c>
      <c r="M506" s="432">
        <v>85.37</v>
      </c>
      <c r="N506" s="432">
        <v>86.63</v>
      </c>
      <c r="O506" s="432">
        <v>86.99</v>
      </c>
      <c r="P506" s="426"/>
      <c r="Q506" s="426"/>
      <c r="R506" s="426"/>
      <c r="S506" s="426"/>
      <c r="T506" s="426"/>
    </row>
    <row r="507" spans="1:20" s="429" customFormat="1" x14ac:dyDescent="0.2">
      <c r="A507" s="426"/>
      <c r="B507" s="113">
        <v>70</v>
      </c>
      <c r="C507" s="432">
        <v>81.31</v>
      </c>
      <c r="D507" s="432">
        <v>82.49</v>
      </c>
      <c r="E507" s="432">
        <v>82.84</v>
      </c>
      <c r="F507" s="426"/>
      <c r="G507" s="426"/>
      <c r="H507" s="426"/>
      <c r="I507" s="426"/>
      <c r="J507" s="426"/>
      <c r="K507" s="426"/>
      <c r="L507" s="113">
        <v>70</v>
      </c>
      <c r="M507" s="432">
        <v>83.63</v>
      </c>
      <c r="N507" s="432">
        <v>84.87</v>
      </c>
      <c r="O507" s="432">
        <v>85.23</v>
      </c>
      <c r="P507" s="426"/>
      <c r="Q507" s="426"/>
      <c r="R507" s="426"/>
      <c r="S507" s="426"/>
      <c r="T507" s="426"/>
    </row>
    <row r="508" spans="1:20" s="429" customFormat="1" x14ac:dyDescent="0.2">
      <c r="A508" s="426"/>
      <c r="B508" s="113">
        <v>71</v>
      </c>
      <c r="C508" s="432">
        <v>79.81</v>
      </c>
      <c r="D508" s="432">
        <v>80.97</v>
      </c>
      <c r="E508" s="432">
        <v>81.319999999999993</v>
      </c>
      <c r="F508" s="426"/>
      <c r="G508" s="426"/>
      <c r="H508" s="426"/>
      <c r="I508" s="426"/>
      <c r="J508" s="426"/>
      <c r="K508" s="426"/>
      <c r="L508" s="113">
        <v>71</v>
      </c>
      <c r="M508" s="432">
        <v>81.760000000000005</v>
      </c>
      <c r="N508" s="432">
        <v>82.98</v>
      </c>
      <c r="O508" s="432">
        <v>83.33</v>
      </c>
      <c r="P508" s="426"/>
      <c r="Q508" s="426"/>
      <c r="R508" s="426"/>
      <c r="S508" s="426"/>
      <c r="T508" s="426"/>
    </row>
    <row r="509" spans="1:20" s="429" customFormat="1" x14ac:dyDescent="0.2">
      <c r="A509" s="426"/>
      <c r="B509" s="113">
        <v>72</v>
      </c>
      <c r="C509" s="432">
        <v>78.16</v>
      </c>
      <c r="D509" s="432">
        <v>79.319999999999993</v>
      </c>
      <c r="E509" s="432">
        <v>79.66</v>
      </c>
      <c r="F509" s="426"/>
      <c r="G509" s="426"/>
      <c r="H509" s="426"/>
      <c r="I509" s="426"/>
      <c r="J509" s="426"/>
      <c r="K509" s="426"/>
      <c r="L509" s="113">
        <v>72</v>
      </c>
      <c r="M509" s="432">
        <v>79.77</v>
      </c>
      <c r="N509" s="432">
        <v>80.959999999999994</v>
      </c>
      <c r="O509" s="432">
        <v>81.31</v>
      </c>
      <c r="P509" s="426"/>
      <c r="Q509" s="426"/>
      <c r="R509" s="426"/>
      <c r="S509" s="426"/>
      <c r="T509" s="426"/>
    </row>
    <row r="510" spans="1:20" s="429" customFormat="1" x14ac:dyDescent="0.2">
      <c r="A510" s="426"/>
      <c r="B510" s="113">
        <v>73</v>
      </c>
      <c r="C510" s="432">
        <v>76.41</v>
      </c>
      <c r="D510" s="432">
        <v>77.540000000000006</v>
      </c>
      <c r="E510" s="432">
        <v>77.88</v>
      </c>
      <c r="F510" s="426"/>
      <c r="G510" s="426"/>
      <c r="H510" s="426"/>
      <c r="I510" s="426"/>
      <c r="J510" s="426"/>
      <c r="K510" s="426"/>
      <c r="L510" s="113">
        <v>73</v>
      </c>
      <c r="M510" s="432">
        <v>77.67</v>
      </c>
      <c r="N510" s="432">
        <v>78.84</v>
      </c>
      <c r="O510" s="432">
        <v>79.19</v>
      </c>
      <c r="P510" s="426"/>
      <c r="Q510" s="426"/>
      <c r="R510" s="426"/>
      <c r="S510" s="426"/>
      <c r="T510" s="426"/>
    </row>
    <row r="511" spans="1:20" s="429" customFormat="1" x14ac:dyDescent="0.2">
      <c r="A511" s="426"/>
      <c r="B511" s="113">
        <v>74</v>
      </c>
      <c r="C511" s="432">
        <v>74.55</v>
      </c>
      <c r="D511" s="432">
        <v>75.67</v>
      </c>
      <c r="E511" s="432">
        <v>76</v>
      </c>
      <c r="F511" s="426"/>
      <c r="G511" s="426"/>
      <c r="H511" s="426"/>
      <c r="I511" s="426"/>
      <c r="J511" s="426"/>
      <c r="K511" s="426"/>
      <c r="L511" s="113">
        <v>74</v>
      </c>
      <c r="M511" s="432">
        <v>75.5</v>
      </c>
      <c r="N511" s="432">
        <v>76.650000000000006</v>
      </c>
      <c r="O511" s="432">
        <v>76.98</v>
      </c>
      <c r="P511" s="426"/>
      <c r="Q511" s="426"/>
      <c r="R511" s="426"/>
      <c r="S511" s="426"/>
      <c r="T511" s="426"/>
    </row>
    <row r="512" spans="1:20" s="429" customFormat="1" x14ac:dyDescent="0.2">
      <c r="A512" s="426"/>
      <c r="B512" s="113">
        <v>75</v>
      </c>
      <c r="C512" s="432">
        <v>72.599999999999994</v>
      </c>
      <c r="D512" s="432">
        <v>73.7</v>
      </c>
      <c r="E512" s="432">
        <v>74.03</v>
      </c>
      <c r="F512" s="426"/>
      <c r="G512" s="426"/>
      <c r="H512" s="426"/>
      <c r="I512" s="426"/>
      <c r="J512" s="426"/>
      <c r="K512" s="426"/>
      <c r="L512" s="113">
        <v>75</v>
      </c>
      <c r="M512" s="432">
        <v>73.260000000000005</v>
      </c>
      <c r="N512" s="432">
        <v>74.38</v>
      </c>
      <c r="O512" s="432">
        <v>74.709999999999994</v>
      </c>
      <c r="P512" s="426"/>
      <c r="Q512" s="426"/>
      <c r="R512" s="426"/>
      <c r="S512" s="426"/>
      <c r="T512" s="426"/>
    </row>
    <row r="513" spans="1:20" s="429" customFormat="1" x14ac:dyDescent="0.2">
      <c r="A513" s="426"/>
      <c r="B513" s="113">
        <v>76</v>
      </c>
      <c r="C513" s="432">
        <v>70.58</v>
      </c>
      <c r="D513" s="432">
        <v>71.66</v>
      </c>
      <c r="E513" s="432">
        <v>71.98</v>
      </c>
      <c r="F513" s="426"/>
      <c r="G513" s="426"/>
      <c r="H513" s="426"/>
      <c r="I513" s="426"/>
      <c r="J513" s="426"/>
      <c r="K513" s="426"/>
      <c r="L513" s="113">
        <v>76</v>
      </c>
      <c r="M513" s="432">
        <v>70.959999999999994</v>
      </c>
      <c r="N513" s="432">
        <v>72.06</v>
      </c>
      <c r="O513" s="432">
        <v>72.39</v>
      </c>
      <c r="P513" s="426"/>
      <c r="Q513" s="426"/>
      <c r="R513" s="426"/>
      <c r="S513" s="426"/>
      <c r="T513" s="426"/>
    </row>
    <row r="514" spans="1:20" s="429" customFormat="1" x14ac:dyDescent="0.2">
      <c r="A514" s="426"/>
      <c r="B514" s="113">
        <v>77</v>
      </c>
      <c r="C514" s="432">
        <v>68.489999999999995</v>
      </c>
      <c r="D514" s="432">
        <v>69.55</v>
      </c>
      <c r="E514" s="432">
        <v>69.87</v>
      </c>
      <c r="F514" s="426"/>
      <c r="G514" s="426"/>
      <c r="H514" s="426"/>
      <c r="I514" s="426"/>
      <c r="J514" s="426"/>
      <c r="K514" s="426"/>
      <c r="L514" s="113">
        <v>77</v>
      </c>
      <c r="M514" s="432">
        <v>68.63</v>
      </c>
      <c r="N514" s="432">
        <v>69.709999999999994</v>
      </c>
      <c r="O514" s="432">
        <v>70.03</v>
      </c>
      <c r="P514" s="426"/>
      <c r="Q514" s="426"/>
      <c r="R514" s="426"/>
      <c r="S514" s="426"/>
      <c r="T514" s="426"/>
    </row>
    <row r="515" spans="1:20" s="429" customFormat="1" x14ac:dyDescent="0.2">
      <c r="A515" s="426"/>
      <c r="B515" s="113">
        <v>78</v>
      </c>
      <c r="C515" s="432">
        <v>66.349999999999994</v>
      </c>
      <c r="D515" s="432">
        <v>67.39</v>
      </c>
      <c r="E515" s="432">
        <v>67.7</v>
      </c>
      <c r="F515" s="426"/>
      <c r="G515" s="426"/>
      <c r="H515" s="426"/>
      <c r="I515" s="426"/>
      <c r="J515" s="426"/>
      <c r="K515" s="426"/>
      <c r="L515" s="113">
        <v>78</v>
      </c>
      <c r="M515" s="432">
        <v>66.28</v>
      </c>
      <c r="N515" s="432">
        <v>67.33</v>
      </c>
      <c r="O515" s="432">
        <v>67.650000000000006</v>
      </c>
      <c r="P515" s="426"/>
      <c r="Q515" s="426"/>
      <c r="R515" s="426"/>
      <c r="S515" s="426"/>
      <c r="T515" s="426"/>
    </row>
    <row r="516" spans="1:20" s="429" customFormat="1" x14ac:dyDescent="0.2">
      <c r="A516" s="426"/>
      <c r="B516" s="113">
        <v>79</v>
      </c>
      <c r="C516" s="432">
        <v>64.17</v>
      </c>
      <c r="D516" s="432">
        <v>65.19</v>
      </c>
      <c r="E516" s="432">
        <v>65.5</v>
      </c>
      <c r="F516" s="426"/>
      <c r="G516" s="426"/>
      <c r="H516" s="426"/>
      <c r="I516" s="426"/>
      <c r="J516" s="426"/>
      <c r="K516" s="426"/>
      <c r="L516" s="113">
        <v>79</v>
      </c>
      <c r="M516" s="432">
        <v>63.92</v>
      </c>
      <c r="N516" s="432">
        <v>64.95</v>
      </c>
      <c r="O516" s="432">
        <v>65.260000000000005</v>
      </c>
      <c r="P516" s="426"/>
      <c r="Q516" s="426"/>
      <c r="R516" s="426"/>
      <c r="S516" s="426"/>
      <c r="T516" s="426"/>
    </row>
    <row r="517" spans="1:20" s="429" customFormat="1" x14ac:dyDescent="0.2">
      <c r="A517" s="426"/>
      <c r="B517" s="113">
        <v>80</v>
      </c>
      <c r="C517" s="432">
        <v>61.97</v>
      </c>
      <c r="D517" s="432">
        <v>62.97</v>
      </c>
      <c r="E517" s="432">
        <v>63.27</v>
      </c>
      <c r="F517" s="426"/>
      <c r="G517" s="426"/>
      <c r="H517" s="426"/>
      <c r="I517" s="426"/>
      <c r="J517" s="426"/>
      <c r="K517" s="426"/>
      <c r="L517" s="113">
        <v>80</v>
      </c>
      <c r="M517" s="432">
        <v>61.56</v>
      </c>
      <c r="N517" s="432">
        <v>62.57</v>
      </c>
      <c r="O517" s="432">
        <v>62.87</v>
      </c>
      <c r="P517" s="426"/>
      <c r="Q517" s="426"/>
      <c r="R517" s="426"/>
      <c r="S517" s="426"/>
      <c r="T517" s="426"/>
    </row>
    <row r="518" spans="1:20" s="429" customFormat="1" x14ac:dyDescent="0.2">
      <c r="A518" s="426"/>
      <c r="B518" s="113">
        <v>81</v>
      </c>
      <c r="C518" s="432">
        <v>59.75</v>
      </c>
      <c r="D518" s="432">
        <v>60.73</v>
      </c>
      <c r="E518" s="432">
        <v>61.03</v>
      </c>
      <c r="F518" s="426"/>
      <c r="G518" s="426"/>
      <c r="H518" s="426"/>
      <c r="I518" s="426"/>
      <c r="J518" s="426"/>
      <c r="K518" s="426"/>
      <c r="L518" s="113">
        <v>81</v>
      </c>
      <c r="M518" s="432">
        <v>59.21</v>
      </c>
      <c r="N518" s="432">
        <v>60.2</v>
      </c>
      <c r="O518" s="432">
        <v>60.5</v>
      </c>
      <c r="P518" s="426"/>
      <c r="Q518" s="426"/>
      <c r="R518" s="426"/>
      <c r="S518" s="426"/>
      <c r="T518" s="426"/>
    </row>
    <row r="519" spans="1:20" s="429" customFormat="1" x14ac:dyDescent="0.2">
      <c r="A519" s="426"/>
      <c r="B519" s="113">
        <v>82</v>
      </c>
      <c r="C519" s="432">
        <v>57.53</v>
      </c>
      <c r="D519" s="432">
        <v>58.49</v>
      </c>
      <c r="E519" s="432">
        <v>58.79</v>
      </c>
      <c r="F519" s="426"/>
      <c r="G519" s="426"/>
      <c r="H519" s="426"/>
      <c r="I519" s="426"/>
      <c r="J519" s="426"/>
      <c r="K519" s="426"/>
      <c r="L519" s="113">
        <v>82</v>
      </c>
      <c r="M519" s="432">
        <v>56.89</v>
      </c>
      <c r="N519" s="432">
        <v>57.86</v>
      </c>
      <c r="O519" s="432">
        <v>58.15</v>
      </c>
      <c r="P519" s="426"/>
      <c r="Q519" s="426"/>
      <c r="R519" s="426"/>
      <c r="S519" s="426"/>
      <c r="T519" s="426"/>
    </row>
    <row r="520" spans="1:20" s="429" customFormat="1" x14ac:dyDescent="0.2">
      <c r="A520" s="426"/>
      <c r="B520" s="113">
        <v>83</v>
      </c>
      <c r="C520" s="432">
        <v>55.32</v>
      </c>
      <c r="D520" s="432">
        <v>56.27</v>
      </c>
      <c r="E520" s="432">
        <v>56.56</v>
      </c>
      <c r="F520" s="426"/>
      <c r="G520" s="426"/>
      <c r="H520" s="426"/>
      <c r="I520" s="426"/>
      <c r="J520" s="426"/>
      <c r="K520" s="426"/>
      <c r="L520" s="113">
        <v>83</v>
      </c>
      <c r="M520" s="432">
        <v>54.6</v>
      </c>
      <c r="N520" s="432">
        <v>55.55</v>
      </c>
      <c r="O520" s="432">
        <v>55.84</v>
      </c>
      <c r="P520" s="426"/>
      <c r="Q520" s="426"/>
      <c r="R520" s="426"/>
      <c r="S520" s="426"/>
      <c r="T520" s="426"/>
    </row>
    <row r="521" spans="1:20" s="429" customFormat="1" x14ac:dyDescent="0.2">
      <c r="A521" s="426"/>
      <c r="B521" s="113">
        <v>84</v>
      </c>
      <c r="C521" s="432">
        <v>53.12</v>
      </c>
      <c r="D521" s="432">
        <v>54.06</v>
      </c>
      <c r="E521" s="432">
        <v>54.34</v>
      </c>
      <c r="F521" s="426"/>
      <c r="G521" s="426"/>
      <c r="H521" s="426"/>
      <c r="I521" s="426"/>
      <c r="J521" s="426"/>
      <c r="K521" s="426"/>
      <c r="L521" s="113">
        <v>84</v>
      </c>
      <c r="M521" s="432">
        <v>52.34</v>
      </c>
      <c r="N521" s="432">
        <v>53.28</v>
      </c>
      <c r="O521" s="432">
        <v>53.56</v>
      </c>
      <c r="P521" s="426"/>
      <c r="Q521" s="426"/>
      <c r="R521" s="426"/>
      <c r="S521" s="426"/>
      <c r="T521" s="426"/>
    </row>
    <row r="522" spans="1:20" s="429" customFormat="1" x14ac:dyDescent="0.2">
      <c r="A522" s="426"/>
      <c r="B522" s="113">
        <v>85</v>
      </c>
      <c r="C522" s="432">
        <v>50.96</v>
      </c>
      <c r="D522" s="432">
        <v>51.87</v>
      </c>
      <c r="E522" s="432">
        <v>52.16</v>
      </c>
      <c r="F522" s="426"/>
      <c r="G522" s="426"/>
      <c r="H522" s="426"/>
      <c r="I522" s="426"/>
      <c r="J522" s="426"/>
      <c r="K522" s="426"/>
      <c r="L522" s="113">
        <v>85</v>
      </c>
      <c r="M522" s="432">
        <v>50.14</v>
      </c>
      <c r="N522" s="432">
        <v>51.06</v>
      </c>
      <c r="O522" s="432">
        <v>51.34</v>
      </c>
      <c r="P522" s="426"/>
      <c r="Q522" s="426"/>
      <c r="R522" s="426"/>
      <c r="S522" s="426"/>
      <c r="T522" s="426"/>
    </row>
    <row r="523" spans="1:20" s="429" customFormat="1" x14ac:dyDescent="0.2">
      <c r="A523" s="426"/>
      <c r="B523" s="113">
        <v>86</v>
      </c>
      <c r="C523" s="432">
        <v>48.82</v>
      </c>
      <c r="D523" s="432">
        <v>49.72</v>
      </c>
      <c r="E523" s="432">
        <v>50</v>
      </c>
      <c r="F523" s="426"/>
      <c r="G523" s="426"/>
      <c r="H523" s="426"/>
      <c r="I523" s="426"/>
      <c r="J523" s="426"/>
      <c r="K523" s="426"/>
      <c r="L523" s="113">
        <v>86</v>
      </c>
      <c r="M523" s="432">
        <v>47.98</v>
      </c>
      <c r="N523" s="432">
        <v>48.89</v>
      </c>
      <c r="O523" s="432">
        <v>49.17</v>
      </c>
      <c r="P523" s="426"/>
      <c r="Q523" s="426"/>
      <c r="R523" s="426"/>
      <c r="S523" s="426"/>
      <c r="T523" s="426"/>
    </row>
    <row r="524" spans="1:20" s="429" customFormat="1" x14ac:dyDescent="0.2">
      <c r="A524" s="426"/>
      <c r="B524" s="113">
        <v>87</v>
      </c>
      <c r="C524" s="432">
        <v>46.72</v>
      </c>
      <c r="D524" s="432">
        <v>47.61</v>
      </c>
      <c r="E524" s="432">
        <v>47.89</v>
      </c>
      <c r="F524" s="426"/>
      <c r="G524" s="426"/>
      <c r="H524" s="426"/>
      <c r="I524" s="426"/>
      <c r="J524" s="426"/>
      <c r="K524" s="426"/>
      <c r="L524" s="113">
        <v>87</v>
      </c>
      <c r="M524" s="432">
        <v>45.88</v>
      </c>
      <c r="N524" s="432">
        <v>46.78</v>
      </c>
      <c r="O524" s="432">
        <v>47.05</v>
      </c>
      <c r="P524" s="426"/>
      <c r="Q524" s="426"/>
      <c r="R524" s="426"/>
      <c r="S524" s="426"/>
      <c r="T524" s="426"/>
    </row>
    <row r="525" spans="1:20" s="429" customFormat="1" x14ac:dyDescent="0.2">
      <c r="A525" s="426"/>
      <c r="B525" s="113">
        <v>88</v>
      </c>
      <c r="C525" s="432">
        <v>44.67</v>
      </c>
      <c r="D525" s="432">
        <v>45.55</v>
      </c>
      <c r="E525" s="432">
        <v>45.82</v>
      </c>
      <c r="F525" s="426"/>
      <c r="G525" s="426"/>
      <c r="H525" s="426"/>
      <c r="I525" s="426"/>
      <c r="J525" s="426"/>
      <c r="K525" s="426"/>
      <c r="L525" s="113">
        <v>88</v>
      </c>
      <c r="M525" s="432">
        <v>43.84</v>
      </c>
      <c r="N525" s="432">
        <v>44.72</v>
      </c>
      <c r="O525" s="432">
        <v>44.99</v>
      </c>
      <c r="P525" s="426"/>
      <c r="Q525" s="426"/>
      <c r="R525" s="426"/>
      <c r="S525" s="426"/>
      <c r="T525" s="426"/>
    </row>
    <row r="526" spans="1:20" s="429" customFormat="1" x14ac:dyDescent="0.2">
      <c r="A526" s="426"/>
      <c r="B526" s="113">
        <v>89</v>
      </c>
      <c r="C526" s="432">
        <v>42.66</v>
      </c>
      <c r="D526" s="432">
        <v>43.53</v>
      </c>
      <c r="E526" s="432">
        <v>43.8</v>
      </c>
      <c r="F526" s="426"/>
      <c r="G526" s="426"/>
      <c r="H526" s="426"/>
      <c r="I526" s="426"/>
      <c r="J526" s="426"/>
      <c r="K526" s="426"/>
      <c r="L526" s="113">
        <v>89</v>
      </c>
      <c r="M526" s="432">
        <v>41.85</v>
      </c>
      <c r="N526" s="432">
        <v>42.72</v>
      </c>
      <c r="O526" s="432">
        <v>42.99</v>
      </c>
      <c r="P526" s="426"/>
      <c r="Q526" s="426"/>
      <c r="R526" s="426"/>
      <c r="S526" s="426"/>
      <c r="T526" s="426"/>
    </row>
    <row r="527" spans="1:20" s="429" customFormat="1" x14ac:dyDescent="0.2">
      <c r="A527" s="426"/>
      <c r="B527" s="113">
        <v>90</v>
      </c>
      <c r="C527" s="432">
        <v>40.700000000000003</v>
      </c>
      <c r="D527" s="432">
        <v>41.56</v>
      </c>
      <c r="E527" s="432">
        <v>41.83</v>
      </c>
      <c r="F527" s="426"/>
      <c r="G527" s="426"/>
      <c r="H527" s="426"/>
      <c r="I527" s="426"/>
      <c r="J527" s="426"/>
      <c r="K527" s="426"/>
      <c r="L527" s="113">
        <v>90</v>
      </c>
      <c r="M527" s="432">
        <v>39.92</v>
      </c>
      <c r="N527" s="432">
        <v>40.78</v>
      </c>
      <c r="O527" s="432">
        <v>41.04</v>
      </c>
      <c r="P527" s="426"/>
      <c r="Q527" s="426"/>
      <c r="R527" s="426"/>
      <c r="S527" s="426"/>
      <c r="T527" s="426"/>
    </row>
    <row r="528" spans="1:20" s="429" customFormat="1" x14ac:dyDescent="0.2">
      <c r="A528" s="426"/>
      <c r="B528" s="113">
        <v>91</v>
      </c>
      <c r="C528" s="432">
        <v>38.79</v>
      </c>
      <c r="D528" s="432">
        <v>39.64</v>
      </c>
      <c r="E528" s="432">
        <v>39.909999999999997</v>
      </c>
      <c r="F528" s="426"/>
      <c r="G528" s="426"/>
      <c r="H528" s="426"/>
      <c r="I528" s="426"/>
      <c r="J528" s="426"/>
      <c r="K528" s="426"/>
      <c r="L528" s="113">
        <v>91</v>
      </c>
      <c r="M528" s="432">
        <v>38.04</v>
      </c>
      <c r="N528" s="432">
        <v>38.9</v>
      </c>
      <c r="O528" s="432">
        <v>39.159999999999997</v>
      </c>
      <c r="P528" s="426"/>
      <c r="Q528" s="426"/>
      <c r="R528" s="426"/>
      <c r="S528" s="426"/>
      <c r="T528" s="426"/>
    </row>
    <row r="529" spans="1:20" s="429" customFormat="1" x14ac:dyDescent="0.2">
      <c r="A529" s="426"/>
      <c r="B529" s="113">
        <v>92</v>
      </c>
      <c r="C529" s="432">
        <v>36.93</v>
      </c>
      <c r="D529" s="432">
        <v>37.78</v>
      </c>
      <c r="E529" s="432">
        <v>38.04</v>
      </c>
      <c r="F529" s="426"/>
      <c r="G529" s="426"/>
      <c r="H529" s="426"/>
      <c r="I529" s="426"/>
      <c r="J529" s="426"/>
      <c r="K529" s="426"/>
      <c r="L529" s="113">
        <v>92</v>
      </c>
      <c r="M529" s="432">
        <v>36.15</v>
      </c>
      <c r="N529" s="432">
        <v>37</v>
      </c>
      <c r="O529" s="432">
        <v>37.26</v>
      </c>
      <c r="P529" s="426"/>
      <c r="Q529" s="426"/>
      <c r="R529" s="426"/>
      <c r="S529" s="426"/>
      <c r="T529" s="426"/>
    </row>
    <row r="530" spans="1:20" s="429" customFormat="1" x14ac:dyDescent="0.2">
      <c r="A530" s="426"/>
      <c r="B530" s="113">
        <v>93</v>
      </c>
      <c r="C530" s="432">
        <v>35.119999999999997</v>
      </c>
      <c r="D530" s="432">
        <v>35.96</v>
      </c>
      <c r="E530" s="432">
        <v>36.22</v>
      </c>
      <c r="F530" s="426"/>
      <c r="G530" s="426"/>
      <c r="H530" s="426"/>
      <c r="I530" s="426"/>
      <c r="J530" s="426"/>
      <c r="K530" s="426"/>
      <c r="L530" s="113">
        <v>93</v>
      </c>
      <c r="M530" s="432">
        <v>34.31</v>
      </c>
      <c r="N530" s="432">
        <v>35.15</v>
      </c>
      <c r="O530" s="432">
        <v>35.4</v>
      </c>
      <c r="P530" s="426"/>
      <c r="Q530" s="426"/>
      <c r="R530" s="426"/>
      <c r="S530" s="426"/>
      <c r="T530" s="426"/>
    </row>
    <row r="531" spans="1:20" s="429" customFormat="1" x14ac:dyDescent="0.2">
      <c r="A531" s="426"/>
      <c r="B531" s="113">
        <v>94</v>
      </c>
      <c r="C531" s="432">
        <v>33.26</v>
      </c>
      <c r="D531" s="432">
        <v>34.090000000000003</v>
      </c>
      <c r="E531" s="432">
        <v>34.35</v>
      </c>
      <c r="F531" s="426"/>
      <c r="G531" s="426"/>
      <c r="H531" s="426"/>
      <c r="I531" s="426"/>
      <c r="J531" s="426"/>
      <c r="K531" s="426"/>
      <c r="L531" s="113">
        <v>94</v>
      </c>
      <c r="M531" s="432">
        <v>32.51</v>
      </c>
      <c r="N531" s="432">
        <v>33.340000000000003</v>
      </c>
      <c r="O531" s="432">
        <v>33.6</v>
      </c>
      <c r="P531" s="426"/>
      <c r="Q531" s="426"/>
      <c r="R531" s="426"/>
      <c r="S531" s="426"/>
      <c r="T531" s="426"/>
    </row>
    <row r="532" spans="1:20" s="429" customFormat="1" x14ac:dyDescent="0.2">
      <c r="A532" s="426"/>
      <c r="B532" s="113">
        <v>95</v>
      </c>
      <c r="C532" s="432">
        <v>31.44</v>
      </c>
      <c r="D532" s="432">
        <v>32.26</v>
      </c>
      <c r="E532" s="432">
        <v>32.520000000000003</v>
      </c>
      <c r="F532" s="426"/>
      <c r="G532" s="426"/>
      <c r="H532" s="426"/>
      <c r="I532" s="426"/>
      <c r="J532" s="426"/>
      <c r="K532" s="426"/>
      <c r="L532" s="113">
        <v>95</v>
      </c>
      <c r="M532" s="432">
        <v>30.75</v>
      </c>
      <c r="N532" s="432">
        <v>31.58</v>
      </c>
      <c r="O532" s="432">
        <v>31.83</v>
      </c>
      <c r="P532" s="426"/>
      <c r="Q532" s="426"/>
      <c r="R532" s="426"/>
      <c r="S532" s="426"/>
      <c r="T532" s="426"/>
    </row>
    <row r="533" spans="1:20" s="429" customFormat="1" x14ac:dyDescent="0.2">
      <c r="A533" s="426"/>
      <c r="B533" s="113">
        <v>96</v>
      </c>
      <c r="C533" s="432">
        <v>29.64</v>
      </c>
      <c r="D533" s="432">
        <v>30.46</v>
      </c>
      <c r="E533" s="432">
        <v>30.71</v>
      </c>
      <c r="F533" s="426"/>
      <c r="G533" s="426"/>
      <c r="H533" s="426"/>
      <c r="I533" s="426"/>
      <c r="J533" s="426"/>
      <c r="K533" s="426"/>
      <c r="L533" s="113">
        <v>96</v>
      </c>
      <c r="M533" s="432">
        <v>29.02</v>
      </c>
      <c r="N533" s="432">
        <v>29.84</v>
      </c>
      <c r="O533" s="432">
        <v>30.09</v>
      </c>
      <c r="P533" s="426"/>
      <c r="Q533" s="426"/>
      <c r="R533" s="426"/>
      <c r="S533" s="426"/>
      <c r="T533" s="426"/>
    </row>
    <row r="534" spans="1:20" s="429" customFormat="1" x14ac:dyDescent="0.2">
      <c r="A534" s="426"/>
      <c r="B534" s="113">
        <v>97</v>
      </c>
      <c r="C534" s="432">
        <v>27.86</v>
      </c>
      <c r="D534" s="432">
        <v>28.67</v>
      </c>
      <c r="E534" s="432">
        <v>28.93</v>
      </c>
      <c r="F534" s="426"/>
      <c r="G534" s="426"/>
      <c r="H534" s="426"/>
      <c r="I534" s="426"/>
      <c r="J534" s="426"/>
      <c r="K534" s="426"/>
      <c r="L534" s="113">
        <v>97</v>
      </c>
      <c r="M534" s="432">
        <v>27.3</v>
      </c>
      <c r="N534" s="432">
        <v>28.11</v>
      </c>
      <c r="O534" s="432">
        <v>28.36</v>
      </c>
      <c r="P534" s="426"/>
      <c r="Q534" s="426"/>
      <c r="R534" s="426"/>
      <c r="S534" s="426"/>
      <c r="T534" s="426"/>
    </row>
    <row r="535" spans="1:20" s="429" customFormat="1" x14ac:dyDescent="0.2">
      <c r="A535" s="426"/>
      <c r="B535" s="113">
        <v>98</v>
      </c>
      <c r="C535" s="432">
        <v>26.08</v>
      </c>
      <c r="D535" s="432">
        <v>26.88</v>
      </c>
      <c r="E535" s="432">
        <v>27.14</v>
      </c>
      <c r="F535" s="426"/>
      <c r="G535" s="426"/>
      <c r="H535" s="426"/>
      <c r="I535" s="426"/>
      <c r="J535" s="426"/>
      <c r="K535" s="426"/>
      <c r="L535" s="113">
        <v>98</v>
      </c>
      <c r="M535" s="432">
        <v>25.56</v>
      </c>
      <c r="N535" s="432">
        <v>26.37</v>
      </c>
      <c r="O535" s="432">
        <v>26.62</v>
      </c>
      <c r="P535" s="426"/>
      <c r="Q535" s="426"/>
      <c r="R535" s="426"/>
      <c r="S535" s="426"/>
      <c r="T535" s="426"/>
    </row>
    <row r="536" spans="1:20" s="429" customFormat="1" x14ac:dyDescent="0.2">
      <c r="A536" s="426"/>
      <c r="B536" s="113">
        <v>99</v>
      </c>
      <c r="C536" s="432">
        <v>24.26</v>
      </c>
      <c r="D536" s="432">
        <v>25.06</v>
      </c>
      <c r="E536" s="432">
        <v>25.32</v>
      </c>
      <c r="F536" s="426"/>
      <c r="G536" s="426"/>
      <c r="H536" s="426"/>
      <c r="I536" s="426"/>
      <c r="J536" s="426"/>
      <c r="K536" s="426"/>
      <c r="L536" s="113">
        <v>99</v>
      </c>
      <c r="M536" s="432">
        <v>23.8</v>
      </c>
      <c r="N536" s="432">
        <v>24.6</v>
      </c>
      <c r="O536" s="432">
        <v>24.85</v>
      </c>
      <c r="P536" s="426"/>
      <c r="Q536" s="426"/>
      <c r="R536" s="426"/>
      <c r="S536" s="426"/>
      <c r="T536" s="426"/>
    </row>
    <row r="537" spans="1:20" s="429" customFormat="1" x14ac:dyDescent="0.2">
      <c r="A537" s="426"/>
      <c r="B537" s="113">
        <v>100</v>
      </c>
      <c r="C537" s="432">
        <v>22.38</v>
      </c>
      <c r="D537" s="432">
        <v>23.18</v>
      </c>
      <c r="E537" s="432">
        <v>23.43</v>
      </c>
      <c r="F537" s="426"/>
      <c r="G537" s="426"/>
      <c r="H537" s="426"/>
      <c r="I537" s="426"/>
      <c r="J537" s="426"/>
      <c r="K537" s="426"/>
      <c r="L537" s="113">
        <v>100</v>
      </c>
      <c r="M537" s="432">
        <v>21.96</v>
      </c>
      <c r="N537" s="432">
        <v>22.76</v>
      </c>
      <c r="O537" s="432">
        <v>23</v>
      </c>
      <c r="P537" s="426"/>
      <c r="Q537" s="426"/>
      <c r="R537" s="426"/>
      <c r="S537" s="426"/>
      <c r="T537" s="426"/>
    </row>
    <row r="541" spans="1:20" x14ac:dyDescent="0.2">
      <c r="B541" s="426" t="s">
        <v>317</v>
      </c>
    </row>
    <row r="544" spans="1:20" x14ac:dyDescent="0.2">
      <c r="B544" s="426" t="s">
        <v>319</v>
      </c>
    </row>
    <row r="546" spans="1:10" ht="13.7" customHeight="1" x14ac:dyDescent="0.2">
      <c r="B546" s="544" t="s">
        <v>352</v>
      </c>
      <c r="C546" s="545"/>
      <c r="D546" s="545"/>
      <c r="E546" s="545"/>
      <c r="F546" s="542"/>
      <c r="G546" s="542"/>
      <c r="H546" s="542"/>
      <c r="I546" s="542"/>
      <c r="J546" s="543"/>
    </row>
    <row r="547" spans="1:10" ht="25.5" x14ac:dyDescent="0.2">
      <c r="B547" s="141" t="s">
        <v>1</v>
      </c>
      <c r="C547" s="141" t="s">
        <v>327</v>
      </c>
      <c r="D547" s="141" t="s">
        <v>328</v>
      </c>
      <c r="E547" s="141" t="s">
        <v>329</v>
      </c>
      <c r="F547" s="431"/>
      <c r="G547" s="141"/>
      <c r="H547" s="141"/>
      <c r="I547" s="141"/>
      <c r="J547" s="141"/>
    </row>
    <row r="548" spans="1:10" s="429" customFormat="1" x14ac:dyDescent="0.2">
      <c r="A548" s="426"/>
      <c r="B548" s="113">
        <v>0</v>
      </c>
      <c r="C548" s="432">
        <v>73.62</v>
      </c>
      <c r="D548" s="432">
        <v>74.33</v>
      </c>
      <c r="E548" s="432">
        <v>74.64</v>
      </c>
      <c r="F548" s="426"/>
      <c r="G548" s="426"/>
      <c r="H548" s="426"/>
      <c r="I548" s="426"/>
      <c r="J548" s="426"/>
    </row>
    <row r="549" spans="1:10" s="429" customFormat="1" x14ac:dyDescent="0.2">
      <c r="A549" s="433"/>
      <c r="B549" s="113">
        <v>1</v>
      </c>
      <c r="C549" s="432">
        <v>73.81</v>
      </c>
      <c r="D549" s="432">
        <v>74.52</v>
      </c>
      <c r="E549" s="432">
        <v>74.83</v>
      </c>
      <c r="F549" s="426"/>
      <c r="G549" s="426"/>
      <c r="H549" s="426"/>
      <c r="I549" s="426"/>
      <c r="J549" s="426"/>
    </row>
    <row r="550" spans="1:10" s="429" customFormat="1" x14ac:dyDescent="0.2">
      <c r="A550" s="433"/>
      <c r="B550" s="113">
        <v>2</v>
      </c>
      <c r="C550" s="432">
        <v>74.010000000000005</v>
      </c>
      <c r="D550" s="432">
        <v>74.73</v>
      </c>
      <c r="E550" s="432">
        <v>75.040000000000006</v>
      </c>
      <c r="F550" s="426"/>
      <c r="G550" s="426"/>
      <c r="H550" s="426"/>
      <c r="I550" s="426"/>
      <c r="J550" s="426"/>
    </row>
    <row r="551" spans="1:10" s="429" customFormat="1" x14ac:dyDescent="0.2">
      <c r="A551" s="433"/>
      <c r="B551" s="113">
        <v>3</v>
      </c>
      <c r="C551" s="432">
        <v>74.22</v>
      </c>
      <c r="D551" s="432">
        <v>74.94</v>
      </c>
      <c r="E551" s="432">
        <v>75.25</v>
      </c>
      <c r="F551" s="426"/>
      <c r="G551" s="426"/>
      <c r="H551" s="426"/>
      <c r="I551" s="426"/>
      <c r="J551" s="426"/>
    </row>
    <row r="552" spans="1:10" s="429" customFormat="1" x14ac:dyDescent="0.2">
      <c r="A552" s="433"/>
      <c r="B552" s="113">
        <v>4</v>
      </c>
      <c r="C552" s="432">
        <v>74.44</v>
      </c>
      <c r="D552" s="432">
        <v>75.16</v>
      </c>
      <c r="E552" s="432">
        <v>75.47</v>
      </c>
      <c r="F552" s="426"/>
      <c r="G552" s="426"/>
      <c r="H552" s="426"/>
      <c r="I552" s="426"/>
      <c r="J552" s="426"/>
    </row>
    <row r="553" spans="1:10" s="429" customFormat="1" x14ac:dyDescent="0.2">
      <c r="A553" s="433"/>
      <c r="B553" s="113">
        <v>5</v>
      </c>
      <c r="C553" s="432">
        <v>74.66</v>
      </c>
      <c r="D553" s="432">
        <v>75.38</v>
      </c>
      <c r="E553" s="432">
        <v>75.7</v>
      </c>
      <c r="F553" s="426"/>
      <c r="G553" s="426"/>
      <c r="H553" s="426"/>
      <c r="I553" s="426"/>
      <c r="J553" s="426"/>
    </row>
    <row r="554" spans="1:10" s="429" customFormat="1" x14ac:dyDescent="0.2">
      <c r="A554" s="433"/>
      <c r="B554" s="113">
        <v>6</v>
      </c>
      <c r="C554" s="432">
        <v>74.89</v>
      </c>
      <c r="D554" s="432">
        <v>75.62</v>
      </c>
      <c r="E554" s="432">
        <v>75.94</v>
      </c>
      <c r="F554" s="426"/>
      <c r="G554" s="426"/>
      <c r="H554" s="426"/>
      <c r="I554" s="426"/>
      <c r="J554" s="426"/>
    </row>
    <row r="555" spans="1:10" s="429" customFormat="1" x14ac:dyDescent="0.2">
      <c r="A555" s="433"/>
      <c r="B555" s="113">
        <v>7</v>
      </c>
      <c r="C555" s="432">
        <v>75.14</v>
      </c>
      <c r="D555" s="432">
        <v>75.87</v>
      </c>
      <c r="E555" s="432">
        <v>76.19</v>
      </c>
      <c r="F555" s="426"/>
      <c r="G555" s="426"/>
      <c r="H555" s="426"/>
      <c r="I555" s="426"/>
      <c r="J555" s="426"/>
    </row>
    <row r="556" spans="1:10" s="429" customFormat="1" x14ac:dyDescent="0.2">
      <c r="A556" s="433"/>
      <c r="B556" s="113">
        <v>8</v>
      </c>
      <c r="C556" s="432">
        <v>75.39</v>
      </c>
      <c r="D556" s="432">
        <v>76.13</v>
      </c>
      <c r="E556" s="432">
        <v>76.45</v>
      </c>
      <c r="F556" s="426"/>
      <c r="G556" s="426"/>
      <c r="H556" s="426"/>
      <c r="I556" s="426"/>
      <c r="J556" s="426"/>
    </row>
    <row r="557" spans="1:10" s="429" customFormat="1" x14ac:dyDescent="0.2">
      <c r="A557" s="433"/>
      <c r="B557" s="113">
        <v>9</v>
      </c>
      <c r="C557" s="432">
        <v>75.650000000000006</v>
      </c>
      <c r="D557" s="432">
        <v>76.39</v>
      </c>
      <c r="E557" s="432">
        <v>76.72</v>
      </c>
      <c r="F557" s="426"/>
      <c r="G557" s="426"/>
      <c r="H557" s="426"/>
      <c r="I557" s="426"/>
      <c r="J557" s="426"/>
    </row>
    <row r="558" spans="1:10" s="429" customFormat="1" x14ac:dyDescent="0.2">
      <c r="A558" s="433"/>
      <c r="B558" s="113">
        <v>10</v>
      </c>
      <c r="C558" s="432">
        <v>75.930000000000007</v>
      </c>
      <c r="D558" s="432">
        <v>76.67</v>
      </c>
      <c r="E558" s="432">
        <v>77</v>
      </c>
      <c r="F558" s="426"/>
      <c r="G558" s="426"/>
      <c r="H558" s="426"/>
      <c r="I558" s="426"/>
      <c r="J558" s="426"/>
    </row>
    <row r="559" spans="1:10" s="429" customFormat="1" x14ac:dyDescent="0.2">
      <c r="A559" s="433"/>
      <c r="B559" s="113">
        <v>11</v>
      </c>
      <c r="C559" s="432">
        <v>76.209999999999994</v>
      </c>
      <c r="D559" s="432">
        <v>76.97</v>
      </c>
      <c r="E559" s="432">
        <v>77.290000000000006</v>
      </c>
      <c r="F559" s="426"/>
      <c r="G559" s="426"/>
      <c r="H559" s="426"/>
      <c r="I559" s="426"/>
      <c r="J559" s="426"/>
    </row>
    <row r="560" spans="1:10" s="429" customFormat="1" x14ac:dyDescent="0.2">
      <c r="A560" s="433"/>
      <c r="B560" s="113">
        <v>12</v>
      </c>
      <c r="C560" s="432">
        <v>76.510000000000005</v>
      </c>
      <c r="D560" s="432">
        <v>77.27</v>
      </c>
      <c r="E560" s="432">
        <v>77.59</v>
      </c>
      <c r="F560" s="426"/>
      <c r="G560" s="426"/>
      <c r="H560" s="426"/>
      <c r="I560" s="426"/>
      <c r="J560" s="426"/>
    </row>
    <row r="561" spans="1:10" s="429" customFormat="1" x14ac:dyDescent="0.2">
      <c r="A561" s="433"/>
      <c r="B561" s="113">
        <v>13</v>
      </c>
      <c r="C561" s="432">
        <v>76.8</v>
      </c>
      <c r="D561" s="432">
        <v>77.58</v>
      </c>
      <c r="E561" s="432">
        <v>77.900000000000006</v>
      </c>
      <c r="F561" s="426"/>
      <c r="G561" s="426"/>
      <c r="H561" s="426"/>
      <c r="I561" s="426"/>
      <c r="J561" s="426"/>
    </row>
    <row r="562" spans="1:10" s="429" customFormat="1" x14ac:dyDescent="0.2">
      <c r="A562" s="433"/>
      <c r="B562" s="113">
        <v>14</v>
      </c>
      <c r="C562" s="432">
        <v>76.98</v>
      </c>
      <c r="D562" s="432">
        <v>77.77</v>
      </c>
      <c r="E562" s="432">
        <v>78.099999999999994</v>
      </c>
      <c r="F562" s="426"/>
      <c r="G562" s="426"/>
      <c r="H562" s="426"/>
      <c r="I562" s="426"/>
      <c r="J562" s="426"/>
    </row>
    <row r="563" spans="1:10" s="429" customFormat="1" x14ac:dyDescent="0.2">
      <c r="A563" s="433"/>
      <c r="B563" s="113">
        <v>15</v>
      </c>
      <c r="C563" s="432">
        <v>77.180000000000007</v>
      </c>
      <c r="D563" s="432">
        <v>77.959999999999994</v>
      </c>
      <c r="E563" s="432">
        <v>78.3</v>
      </c>
      <c r="F563" s="426"/>
      <c r="G563" s="426"/>
      <c r="H563" s="426"/>
      <c r="I563" s="426"/>
      <c r="J563" s="426"/>
    </row>
    <row r="564" spans="1:10" s="429" customFormat="1" x14ac:dyDescent="0.2">
      <c r="A564" s="433"/>
      <c r="B564" s="113">
        <v>16</v>
      </c>
      <c r="C564" s="432">
        <v>77.38</v>
      </c>
      <c r="D564" s="432">
        <v>78.17</v>
      </c>
      <c r="E564" s="432">
        <v>78.5</v>
      </c>
      <c r="F564" s="426"/>
      <c r="G564" s="426"/>
      <c r="H564" s="426"/>
      <c r="I564" s="426"/>
      <c r="J564" s="426"/>
    </row>
    <row r="565" spans="1:10" s="429" customFormat="1" x14ac:dyDescent="0.2">
      <c r="A565" s="433"/>
      <c r="B565" s="113">
        <v>17</v>
      </c>
      <c r="C565" s="432">
        <v>77.58</v>
      </c>
      <c r="D565" s="432">
        <v>78.38</v>
      </c>
      <c r="E565" s="432">
        <v>78.72</v>
      </c>
      <c r="F565" s="426"/>
      <c r="G565" s="426"/>
      <c r="H565" s="426"/>
      <c r="I565" s="426"/>
      <c r="J565" s="426"/>
    </row>
    <row r="566" spans="1:10" s="429" customFormat="1" x14ac:dyDescent="0.2">
      <c r="A566" s="433"/>
      <c r="B566" s="113">
        <v>18</v>
      </c>
      <c r="C566" s="432">
        <v>77.8</v>
      </c>
      <c r="D566" s="432">
        <v>78.599999999999994</v>
      </c>
      <c r="E566" s="432">
        <v>78.94</v>
      </c>
      <c r="F566" s="426"/>
      <c r="G566" s="426"/>
      <c r="H566" s="426"/>
      <c r="I566" s="426"/>
      <c r="J566" s="426"/>
    </row>
    <row r="567" spans="1:10" s="429" customFormat="1" x14ac:dyDescent="0.2">
      <c r="A567" s="433"/>
      <c r="B567" s="113">
        <v>19</v>
      </c>
      <c r="C567" s="432">
        <v>78.02</v>
      </c>
      <c r="D567" s="432">
        <v>78.83</v>
      </c>
      <c r="E567" s="432">
        <v>79.17</v>
      </c>
      <c r="F567" s="426"/>
      <c r="G567" s="426"/>
      <c r="H567" s="426"/>
      <c r="I567" s="426"/>
      <c r="J567" s="426"/>
    </row>
    <row r="568" spans="1:10" s="429" customFormat="1" x14ac:dyDescent="0.2">
      <c r="A568" s="433"/>
      <c r="B568" s="113">
        <v>20</v>
      </c>
      <c r="C568" s="432">
        <v>78.25</v>
      </c>
      <c r="D568" s="432">
        <v>79.069999999999993</v>
      </c>
      <c r="E568" s="432">
        <v>79.41</v>
      </c>
      <c r="F568" s="426"/>
      <c r="G568" s="426"/>
      <c r="H568" s="426"/>
      <c r="I568" s="426"/>
      <c r="J568" s="426"/>
    </row>
    <row r="569" spans="1:10" s="429" customFormat="1" x14ac:dyDescent="0.2">
      <c r="A569" s="433"/>
      <c r="B569" s="113">
        <v>21</v>
      </c>
      <c r="C569" s="432">
        <v>78.489999999999995</v>
      </c>
      <c r="D569" s="432">
        <v>79.31</v>
      </c>
      <c r="E569" s="432">
        <v>79.66</v>
      </c>
      <c r="F569" s="426"/>
      <c r="G569" s="426"/>
      <c r="H569" s="426"/>
      <c r="I569" s="426"/>
      <c r="J569" s="426"/>
    </row>
    <row r="570" spans="1:10" s="429" customFormat="1" x14ac:dyDescent="0.2">
      <c r="A570" s="433"/>
      <c r="B570" s="113">
        <v>22</v>
      </c>
      <c r="C570" s="432">
        <v>78.739999999999995</v>
      </c>
      <c r="D570" s="432">
        <v>79.569999999999993</v>
      </c>
      <c r="E570" s="432">
        <v>79.92</v>
      </c>
      <c r="F570" s="426"/>
      <c r="G570" s="426"/>
      <c r="H570" s="426"/>
      <c r="I570" s="426"/>
      <c r="J570" s="426"/>
    </row>
    <row r="571" spans="1:10" s="429" customFormat="1" x14ac:dyDescent="0.2">
      <c r="A571" s="433"/>
      <c r="B571" s="113">
        <v>23</v>
      </c>
      <c r="C571" s="432">
        <v>79</v>
      </c>
      <c r="D571" s="432">
        <v>79.84</v>
      </c>
      <c r="E571" s="432">
        <v>80.180000000000007</v>
      </c>
      <c r="F571" s="426"/>
      <c r="G571" s="426"/>
      <c r="H571" s="426"/>
      <c r="I571" s="426"/>
      <c r="J571" s="426"/>
    </row>
    <row r="572" spans="1:10" s="429" customFormat="1" x14ac:dyDescent="0.2">
      <c r="A572" s="433"/>
      <c r="B572" s="113">
        <v>24</v>
      </c>
      <c r="C572" s="432">
        <v>79.27</v>
      </c>
      <c r="D572" s="432">
        <v>80.11</v>
      </c>
      <c r="E572" s="432">
        <v>80.459999999999994</v>
      </c>
      <c r="F572" s="426"/>
      <c r="G572" s="426"/>
      <c r="H572" s="426"/>
      <c r="I572" s="426"/>
      <c r="J572" s="426"/>
    </row>
    <row r="573" spans="1:10" s="429" customFormat="1" x14ac:dyDescent="0.2">
      <c r="A573" s="433"/>
      <c r="B573" s="113">
        <v>25</v>
      </c>
      <c r="C573" s="432">
        <v>79.540000000000006</v>
      </c>
      <c r="D573" s="432">
        <v>80.39</v>
      </c>
      <c r="E573" s="432">
        <v>80.739999999999995</v>
      </c>
      <c r="F573" s="426"/>
      <c r="G573" s="426"/>
      <c r="H573" s="426"/>
      <c r="I573" s="426"/>
      <c r="J573" s="426"/>
    </row>
    <row r="574" spans="1:10" s="429" customFormat="1" x14ac:dyDescent="0.2">
      <c r="A574" s="433"/>
      <c r="B574" s="113">
        <v>26</v>
      </c>
      <c r="C574" s="432">
        <v>79.83</v>
      </c>
      <c r="D574" s="432">
        <v>80.680000000000007</v>
      </c>
      <c r="E574" s="432">
        <v>81.040000000000006</v>
      </c>
      <c r="F574" s="426"/>
      <c r="G574" s="426"/>
      <c r="H574" s="426"/>
      <c r="I574" s="426"/>
      <c r="J574" s="426"/>
    </row>
    <row r="575" spans="1:10" s="429" customFormat="1" x14ac:dyDescent="0.2">
      <c r="A575" s="433"/>
      <c r="B575" s="113">
        <v>27</v>
      </c>
      <c r="C575" s="432">
        <v>80.12</v>
      </c>
      <c r="D575" s="432">
        <v>80.98</v>
      </c>
      <c r="E575" s="432">
        <v>81.34</v>
      </c>
      <c r="F575" s="426"/>
      <c r="G575" s="426"/>
      <c r="H575" s="426"/>
      <c r="I575" s="426"/>
      <c r="J575" s="426"/>
    </row>
    <row r="576" spans="1:10" s="429" customFormat="1" x14ac:dyDescent="0.2">
      <c r="A576" s="433"/>
      <c r="B576" s="113">
        <v>28</v>
      </c>
      <c r="C576" s="432">
        <v>80.42</v>
      </c>
      <c r="D576" s="432">
        <v>81.290000000000006</v>
      </c>
      <c r="E576" s="432">
        <v>81.650000000000006</v>
      </c>
      <c r="F576" s="426"/>
      <c r="G576" s="426"/>
      <c r="H576" s="426"/>
      <c r="I576" s="426"/>
      <c r="J576" s="426"/>
    </row>
    <row r="577" spans="1:10" s="429" customFormat="1" x14ac:dyDescent="0.2">
      <c r="A577" s="433"/>
      <c r="B577" s="113">
        <v>29</v>
      </c>
      <c r="C577" s="432">
        <v>80.73</v>
      </c>
      <c r="D577" s="432">
        <v>81.61</v>
      </c>
      <c r="E577" s="432">
        <v>81.97</v>
      </c>
      <c r="F577" s="426"/>
      <c r="G577" s="426"/>
      <c r="H577" s="426"/>
      <c r="I577" s="426"/>
      <c r="J577" s="426"/>
    </row>
    <row r="578" spans="1:10" s="429" customFormat="1" x14ac:dyDescent="0.2">
      <c r="A578" s="433"/>
      <c r="B578" s="113">
        <v>30</v>
      </c>
      <c r="C578" s="432">
        <v>81.040000000000006</v>
      </c>
      <c r="D578" s="432">
        <v>81.93</v>
      </c>
      <c r="E578" s="432">
        <v>82.29</v>
      </c>
      <c r="F578" s="426"/>
      <c r="G578" s="426"/>
      <c r="H578" s="426"/>
      <c r="I578" s="426"/>
      <c r="J578" s="426"/>
    </row>
    <row r="579" spans="1:10" s="429" customFormat="1" x14ac:dyDescent="0.2">
      <c r="A579" s="433"/>
      <c r="B579" s="113">
        <v>31</v>
      </c>
      <c r="C579" s="432">
        <v>81.37</v>
      </c>
      <c r="D579" s="432">
        <v>82.27</v>
      </c>
      <c r="E579" s="432">
        <v>82.63</v>
      </c>
      <c r="F579" s="426"/>
      <c r="G579" s="426"/>
      <c r="H579" s="426"/>
      <c r="I579" s="426"/>
      <c r="J579" s="426"/>
    </row>
    <row r="580" spans="1:10" s="429" customFormat="1" x14ac:dyDescent="0.2">
      <c r="A580" s="433"/>
      <c r="B580" s="113">
        <v>32</v>
      </c>
      <c r="C580" s="432">
        <v>81.7</v>
      </c>
      <c r="D580" s="432">
        <v>82.61</v>
      </c>
      <c r="E580" s="432">
        <v>82.97</v>
      </c>
      <c r="F580" s="426"/>
      <c r="G580" s="426"/>
      <c r="H580" s="426"/>
      <c r="I580" s="426"/>
      <c r="J580" s="426"/>
    </row>
    <row r="581" spans="1:10" s="429" customFormat="1" x14ac:dyDescent="0.2">
      <c r="A581" s="433"/>
      <c r="B581" s="113">
        <v>33</v>
      </c>
      <c r="C581" s="432">
        <v>82.03</v>
      </c>
      <c r="D581" s="432">
        <v>82.95</v>
      </c>
      <c r="E581" s="432">
        <v>83.32</v>
      </c>
      <c r="F581" s="426"/>
      <c r="G581" s="426"/>
      <c r="H581" s="426"/>
      <c r="I581" s="426"/>
      <c r="J581" s="426"/>
    </row>
    <row r="582" spans="1:10" s="429" customFormat="1" x14ac:dyDescent="0.2">
      <c r="A582" s="433"/>
      <c r="B582" s="113">
        <v>34</v>
      </c>
      <c r="C582" s="432">
        <v>82.38</v>
      </c>
      <c r="D582" s="432">
        <v>83.3</v>
      </c>
      <c r="E582" s="432">
        <v>83.67</v>
      </c>
      <c r="F582" s="426"/>
      <c r="G582" s="426"/>
      <c r="H582" s="426"/>
      <c r="I582" s="426"/>
      <c r="J582" s="426"/>
    </row>
    <row r="583" spans="1:10" s="429" customFormat="1" x14ac:dyDescent="0.2">
      <c r="A583" s="433"/>
      <c r="B583" s="113">
        <v>35</v>
      </c>
      <c r="C583" s="432">
        <v>82.72</v>
      </c>
      <c r="D583" s="432">
        <v>83.66</v>
      </c>
      <c r="E583" s="432">
        <v>84.03</v>
      </c>
      <c r="F583" s="426"/>
      <c r="G583" s="426"/>
      <c r="H583" s="426"/>
      <c r="I583" s="426"/>
      <c r="J583" s="426"/>
    </row>
    <row r="584" spans="1:10" s="429" customFormat="1" x14ac:dyDescent="0.2">
      <c r="A584" s="433"/>
      <c r="B584" s="113">
        <v>36</v>
      </c>
      <c r="C584" s="432">
        <v>83.07</v>
      </c>
      <c r="D584" s="432">
        <v>84.02</v>
      </c>
      <c r="E584" s="432">
        <v>84.39</v>
      </c>
      <c r="F584" s="426"/>
      <c r="G584" s="426"/>
      <c r="H584" s="426"/>
      <c r="I584" s="426"/>
      <c r="J584" s="426"/>
    </row>
    <row r="585" spans="1:10" s="429" customFormat="1" x14ac:dyDescent="0.2">
      <c r="A585" s="433"/>
      <c r="B585" s="113">
        <v>37</v>
      </c>
      <c r="C585" s="432">
        <v>83.42</v>
      </c>
      <c r="D585" s="432">
        <v>84.38</v>
      </c>
      <c r="E585" s="432">
        <v>84.75</v>
      </c>
      <c r="F585" s="426"/>
      <c r="G585" s="426"/>
      <c r="H585" s="426"/>
      <c r="I585" s="426"/>
      <c r="J585" s="426"/>
    </row>
    <row r="586" spans="1:10" s="429" customFormat="1" x14ac:dyDescent="0.2">
      <c r="A586" s="433"/>
      <c r="B586" s="113">
        <v>38</v>
      </c>
      <c r="C586" s="432">
        <v>83.78</v>
      </c>
      <c r="D586" s="432">
        <v>84.75</v>
      </c>
      <c r="E586" s="432">
        <v>85.12</v>
      </c>
      <c r="F586" s="426"/>
      <c r="G586" s="426"/>
      <c r="H586" s="426"/>
      <c r="I586" s="426"/>
      <c r="J586" s="426"/>
    </row>
    <row r="587" spans="1:10" s="429" customFormat="1" x14ac:dyDescent="0.2">
      <c r="A587" s="433"/>
      <c r="B587" s="113">
        <v>39</v>
      </c>
      <c r="C587" s="432">
        <v>84.13</v>
      </c>
      <c r="D587" s="432">
        <v>85.11</v>
      </c>
      <c r="E587" s="432">
        <v>85.48</v>
      </c>
      <c r="F587" s="426"/>
      <c r="G587" s="426"/>
      <c r="H587" s="426"/>
      <c r="I587" s="426"/>
      <c r="J587" s="426"/>
    </row>
    <row r="588" spans="1:10" s="429" customFormat="1" x14ac:dyDescent="0.2">
      <c r="A588" s="433"/>
      <c r="B588" s="113">
        <v>40</v>
      </c>
      <c r="C588" s="432">
        <v>84.48</v>
      </c>
      <c r="D588" s="432">
        <v>85.47</v>
      </c>
      <c r="E588" s="432">
        <v>85.85</v>
      </c>
      <c r="F588" s="426"/>
      <c r="G588" s="426"/>
      <c r="H588" s="426"/>
      <c r="I588" s="426"/>
      <c r="J588" s="426"/>
    </row>
    <row r="589" spans="1:10" s="429" customFormat="1" x14ac:dyDescent="0.2">
      <c r="A589" s="433"/>
      <c r="B589" s="113">
        <v>41</v>
      </c>
      <c r="C589" s="432">
        <v>84.83</v>
      </c>
      <c r="D589" s="432">
        <v>85.84</v>
      </c>
      <c r="E589" s="432">
        <v>86.21</v>
      </c>
      <c r="F589" s="426"/>
      <c r="G589" s="426"/>
      <c r="H589" s="426"/>
      <c r="I589" s="426"/>
      <c r="J589" s="426"/>
    </row>
    <row r="590" spans="1:10" s="429" customFormat="1" x14ac:dyDescent="0.2">
      <c r="A590" s="433"/>
      <c r="B590" s="113">
        <v>42</v>
      </c>
      <c r="C590" s="432">
        <v>85.18</v>
      </c>
      <c r="D590" s="432">
        <v>86.2</v>
      </c>
      <c r="E590" s="432">
        <v>86.57</v>
      </c>
      <c r="F590" s="426"/>
      <c r="G590" s="426"/>
      <c r="H590" s="426"/>
      <c r="I590" s="426"/>
      <c r="J590" s="426"/>
    </row>
    <row r="591" spans="1:10" s="429" customFormat="1" x14ac:dyDescent="0.2">
      <c r="A591" s="433"/>
      <c r="B591" s="113">
        <v>43</v>
      </c>
      <c r="C591" s="432">
        <v>85.53</v>
      </c>
      <c r="D591" s="432">
        <v>86.56</v>
      </c>
      <c r="E591" s="432">
        <v>86.93</v>
      </c>
      <c r="F591" s="426"/>
      <c r="G591" s="426"/>
      <c r="H591" s="426"/>
      <c r="I591" s="426"/>
      <c r="J591" s="426"/>
    </row>
    <row r="592" spans="1:10" s="429" customFormat="1" x14ac:dyDescent="0.2">
      <c r="A592" s="433"/>
      <c r="B592" s="113">
        <v>44</v>
      </c>
      <c r="C592" s="432">
        <v>85.88</v>
      </c>
      <c r="D592" s="432">
        <v>86.91</v>
      </c>
      <c r="E592" s="432">
        <v>87.29</v>
      </c>
      <c r="F592" s="426"/>
      <c r="G592" s="426"/>
      <c r="H592" s="426"/>
      <c r="I592" s="426"/>
      <c r="J592" s="426"/>
    </row>
    <row r="593" spans="1:10" s="429" customFormat="1" x14ac:dyDescent="0.2">
      <c r="A593" s="433"/>
      <c r="B593" s="113">
        <v>45</v>
      </c>
      <c r="C593" s="432">
        <v>86.22</v>
      </c>
      <c r="D593" s="432">
        <v>87.27</v>
      </c>
      <c r="E593" s="432">
        <v>87.65</v>
      </c>
      <c r="F593" s="426"/>
      <c r="G593" s="426"/>
      <c r="H593" s="426"/>
      <c r="I593" s="426"/>
      <c r="J593" s="426"/>
    </row>
    <row r="594" spans="1:10" s="429" customFormat="1" x14ac:dyDescent="0.2">
      <c r="A594" s="433"/>
      <c r="B594" s="113">
        <v>46</v>
      </c>
      <c r="C594" s="432">
        <v>86.57</v>
      </c>
      <c r="D594" s="432">
        <v>87.63</v>
      </c>
      <c r="E594" s="432">
        <v>88.01</v>
      </c>
      <c r="F594" s="426"/>
      <c r="G594" s="426"/>
      <c r="H594" s="426"/>
      <c r="I594" s="426"/>
      <c r="J594" s="426"/>
    </row>
    <row r="595" spans="1:10" s="429" customFormat="1" x14ac:dyDescent="0.2">
      <c r="A595" s="433"/>
      <c r="B595" s="113">
        <v>47</v>
      </c>
      <c r="C595" s="432">
        <v>86.91</v>
      </c>
      <c r="D595" s="432">
        <v>87.99</v>
      </c>
      <c r="E595" s="432">
        <v>88.36</v>
      </c>
      <c r="F595" s="426"/>
      <c r="G595" s="426"/>
      <c r="H595" s="426"/>
      <c r="I595" s="426"/>
      <c r="J595" s="426"/>
    </row>
    <row r="596" spans="1:10" s="429" customFormat="1" x14ac:dyDescent="0.2">
      <c r="A596" s="433"/>
      <c r="B596" s="113">
        <v>48</v>
      </c>
      <c r="C596" s="432">
        <v>87.26</v>
      </c>
      <c r="D596" s="432">
        <v>88.35</v>
      </c>
      <c r="E596" s="432">
        <v>88.72</v>
      </c>
      <c r="F596" s="426"/>
      <c r="G596" s="426"/>
      <c r="H596" s="426"/>
      <c r="I596" s="426"/>
      <c r="J596" s="426"/>
    </row>
    <row r="597" spans="1:10" s="429" customFormat="1" x14ac:dyDescent="0.2">
      <c r="A597" s="433"/>
      <c r="B597" s="113">
        <v>49</v>
      </c>
      <c r="C597" s="432">
        <v>87.61</v>
      </c>
      <c r="D597" s="432">
        <v>88.71</v>
      </c>
      <c r="E597" s="432">
        <v>89.08</v>
      </c>
      <c r="F597" s="426"/>
      <c r="G597" s="426"/>
      <c r="H597" s="426"/>
      <c r="I597" s="426"/>
      <c r="J597" s="426"/>
    </row>
    <row r="598" spans="1:10" s="429" customFormat="1" x14ac:dyDescent="0.2">
      <c r="A598" s="433"/>
      <c r="B598" s="113">
        <v>50</v>
      </c>
      <c r="C598" s="432">
        <v>87.95</v>
      </c>
      <c r="D598" s="432">
        <v>89.07</v>
      </c>
      <c r="E598" s="432">
        <v>89.44</v>
      </c>
      <c r="F598" s="426"/>
      <c r="G598" s="426"/>
      <c r="H598" s="426"/>
      <c r="I598" s="434"/>
      <c r="J598" s="435"/>
    </row>
    <row r="599" spans="1:10" s="429" customFormat="1" x14ac:dyDescent="0.2">
      <c r="A599" s="426"/>
      <c r="B599" s="113">
        <v>51</v>
      </c>
      <c r="C599" s="432">
        <v>88.29</v>
      </c>
      <c r="D599" s="432">
        <v>89.42</v>
      </c>
      <c r="E599" s="432">
        <v>89.8</v>
      </c>
      <c r="F599" s="426"/>
      <c r="G599" s="426"/>
      <c r="H599" s="426"/>
      <c r="I599" s="426"/>
      <c r="J599" s="436"/>
    </row>
    <row r="600" spans="1:10" s="429" customFormat="1" x14ac:dyDescent="0.2">
      <c r="A600" s="426"/>
      <c r="B600" s="113">
        <v>52</v>
      </c>
      <c r="C600" s="432">
        <v>88.62</v>
      </c>
      <c r="D600" s="432">
        <v>89.77</v>
      </c>
      <c r="E600" s="432">
        <v>90.14</v>
      </c>
      <c r="F600" s="426"/>
      <c r="G600" s="426"/>
      <c r="H600" s="426"/>
      <c r="I600" s="426"/>
      <c r="J600" s="426"/>
    </row>
    <row r="601" spans="1:10" s="429" customFormat="1" x14ac:dyDescent="0.2">
      <c r="A601" s="426"/>
      <c r="B601" s="113">
        <v>53</v>
      </c>
      <c r="C601" s="432">
        <v>88.94</v>
      </c>
      <c r="D601" s="432">
        <v>90.1</v>
      </c>
      <c r="E601" s="432">
        <v>90.47</v>
      </c>
      <c r="F601" s="426"/>
      <c r="G601" s="426"/>
      <c r="H601" s="426"/>
      <c r="I601" s="426"/>
      <c r="J601" s="426"/>
    </row>
    <row r="602" spans="1:10" s="429" customFormat="1" x14ac:dyDescent="0.2">
      <c r="A602" s="426"/>
      <c r="B602" s="113">
        <v>54</v>
      </c>
      <c r="C602" s="432">
        <v>89.23</v>
      </c>
      <c r="D602" s="432">
        <v>90.4</v>
      </c>
      <c r="E602" s="432">
        <v>90.77</v>
      </c>
      <c r="F602" s="426"/>
      <c r="G602" s="426"/>
      <c r="H602" s="426"/>
      <c r="I602" s="426"/>
      <c r="J602" s="426"/>
    </row>
    <row r="603" spans="1:10" s="429" customFormat="1" x14ac:dyDescent="0.2">
      <c r="A603" s="426"/>
      <c r="B603" s="113">
        <v>55</v>
      </c>
      <c r="C603" s="432">
        <v>89.47</v>
      </c>
      <c r="D603" s="432">
        <v>90.65</v>
      </c>
      <c r="E603" s="432">
        <v>91.03</v>
      </c>
      <c r="F603" s="426"/>
      <c r="G603" s="426"/>
      <c r="H603" s="426"/>
      <c r="I603" s="426"/>
      <c r="J603" s="426"/>
    </row>
    <row r="604" spans="1:10" s="429" customFormat="1" x14ac:dyDescent="0.2">
      <c r="A604" s="426"/>
      <c r="B604" s="113">
        <v>56</v>
      </c>
      <c r="C604" s="432">
        <v>89.66</v>
      </c>
      <c r="D604" s="432">
        <v>90.85</v>
      </c>
      <c r="E604" s="432">
        <v>91.23</v>
      </c>
      <c r="F604" s="426"/>
      <c r="G604" s="426"/>
      <c r="H604" s="426"/>
      <c r="I604" s="426"/>
      <c r="J604" s="426"/>
    </row>
    <row r="605" spans="1:10" s="429" customFormat="1" x14ac:dyDescent="0.2">
      <c r="A605" s="426"/>
      <c r="B605" s="113">
        <v>57</v>
      </c>
      <c r="C605" s="432">
        <v>89.78</v>
      </c>
      <c r="D605" s="432">
        <v>90.98</v>
      </c>
      <c r="E605" s="432">
        <v>91.35</v>
      </c>
      <c r="F605" s="426"/>
      <c r="G605" s="426"/>
      <c r="H605" s="426"/>
      <c r="I605" s="426"/>
      <c r="J605" s="426"/>
    </row>
    <row r="606" spans="1:10" s="429" customFormat="1" x14ac:dyDescent="0.2">
      <c r="A606" s="426"/>
      <c r="B606" s="113">
        <v>58</v>
      </c>
      <c r="C606" s="432">
        <v>89.8</v>
      </c>
      <c r="D606" s="432">
        <v>91.02</v>
      </c>
      <c r="E606" s="432">
        <v>91.39</v>
      </c>
      <c r="F606" s="426"/>
      <c r="G606" s="426"/>
      <c r="H606" s="426"/>
      <c r="I606" s="426"/>
      <c r="J606" s="426"/>
    </row>
    <row r="607" spans="1:10" s="429" customFormat="1" x14ac:dyDescent="0.2">
      <c r="A607" s="426"/>
      <c r="B607" s="113">
        <v>59</v>
      </c>
      <c r="C607" s="432">
        <v>89.73</v>
      </c>
      <c r="D607" s="432">
        <v>90.95</v>
      </c>
      <c r="E607" s="432">
        <v>91.31</v>
      </c>
      <c r="F607" s="426"/>
      <c r="G607" s="426"/>
      <c r="H607" s="426"/>
      <c r="I607" s="426"/>
      <c r="J607" s="426"/>
    </row>
    <row r="608" spans="1:10" s="429" customFormat="1" x14ac:dyDescent="0.2">
      <c r="A608" s="426"/>
      <c r="B608" s="113">
        <v>60</v>
      </c>
      <c r="C608" s="432">
        <v>89.53</v>
      </c>
      <c r="D608" s="432">
        <v>90.75</v>
      </c>
      <c r="E608" s="432">
        <v>91.12</v>
      </c>
      <c r="F608" s="426"/>
      <c r="G608" s="426"/>
      <c r="H608" s="426"/>
      <c r="I608" s="426"/>
      <c r="J608" s="426"/>
    </row>
    <row r="609" spans="1:10" s="429" customFormat="1" x14ac:dyDescent="0.2">
      <c r="A609" s="426"/>
      <c r="B609" s="113">
        <v>61</v>
      </c>
      <c r="C609" s="432">
        <v>89.18</v>
      </c>
      <c r="D609" s="432">
        <v>90.42</v>
      </c>
      <c r="E609" s="432">
        <v>90.78</v>
      </c>
      <c r="F609" s="426"/>
      <c r="G609" s="426"/>
      <c r="H609" s="426"/>
      <c r="I609" s="426"/>
      <c r="J609" s="426"/>
    </row>
    <row r="610" spans="1:10" s="429" customFormat="1" x14ac:dyDescent="0.2">
      <c r="A610" s="426"/>
      <c r="B610" s="113">
        <v>62</v>
      </c>
      <c r="C610" s="432">
        <v>88.69</v>
      </c>
      <c r="D610" s="432">
        <v>89.92</v>
      </c>
      <c r="E610" s="432">
        <v>90.28</v>
      </c>
      <c r="F610" s="426"/>
      <c r="G610" s="426"/>
      <c r="H610" s="426"/>
      <c r="I610" s="426"/>
      <c r="J610" s="426"/>
    </row>
    <row r="611" spans="1:10" s="429" customFormat="1" x14ac:dyDescent="0.2">
      <c r="A611" s="426"/>
      <c r="B611" s="113">
        <v>63</v>
      </c>
      <c r="C611" s="432">
        <v>88.03</v>
      </c>
      <c r="D611" s="432">
        <v>89.26</v>
      </c>
      <c r="E611" s="432">
        <v>89.62</v>
      </c>
      <c r="F611" s="426"/>
      <c r="G611" s="426"/>
      <c r="H611" s="426"/>
      <c r="I611" s="426"/>
      <c r="J611" s="426"/>
    </row>
    <row r="612" spans="1:10" s="429" customFormat="1" x14ac:dyDescent="0.2">
      <c r="A612" s="426"/>
      <c r="B612" s="113">
        <v>64</v>
      </c>
      <c r="C612" s="432">
        <v>87.21</v>
      </c>
      <c r="D612" s="432">
        <v>88.43</v>
      </c>
      <c r="E612" s="432">
        <v>88.79</v>
      </c>
      <c r="F612" s="426"/>
      <c r="G612" s="426"/>
      <c r="H612" s="426"/>
      <c r="I612" s="426"/>
      <c r="J612" s="426"/>
    </row>
    <row r="613" spans="1:10" s="429" customFormat="1" x14ac:dyDescent="0.2">
      <c r="A613" s="426"/>
      <c r="B613" s="113">
        <v>65</v>
      </c>
      <c r="C613" s="432">
        <v>86.23</v>
      </c>
      <c r="D613" s="432">
        <v>87.44</v>
      </c>
      <c r="E613" s="432">
        <v>87.79</v>
      </c>
      <c r="F613" s="426"/>
      <c r="G613" s="426"/>
      <c r="H613" s="426"/>
      <c r="I613" s="426"/>
      <c r="J613" s="426"/>
    </row>
    <row r="614" spans="1:10" s="429" customFormat="1" x14ac:dyDescent="0.2">
      <c r="A614" s="426"/>
      <c r="B614" s="113">
        <v>66</v>
      </c>
      <c r="C614" s="432">
        <v>85.08</v>
      </c>
      <c r="D614" s="432">
        <v>86.29</v>
      </c>
      <c r="E614" s="432">
        <v>86.63</v>
      </c>
      <c r="F614" s="426"/>
      <c r="G614" s="426"/>
      <c r="H614" s="426"/>
      <c r="I614" s="426"/>
      <c r="J614" s="426"/>
    </row>
    <row r="615" spans="1:10" s="429" customFormat="1" x14ac:dyDescent="0.2">
      <c r="A615" s="426"/>
      <c r="B615" s="113">
        <v>67</v>
      </c>
      <c r="C615" s="432">
        <v>83.78</v>
      </c>
      <c r="D615" s="432">
        <v>84.97</v>
      </c>
      <c r="E615" s="432">
        <v>85.31</v>
      </c>
      <c r="F615" s="426"/>
      <c r="G615" s="426"/>
      <c r="H615" s="426"/>
      <c r="I615" s="426"/>
      <c r="J615" s="426"/>
    </row>
    <row r="616" spans="1:10" s="429" customFormat="1" x14ac:dyDescent="0.2">
      <c r="A616" s="426"/>
      <c r="B616" s="113">
        <v>68</v>
      </c>
      <c r="C616" s="432">
        <v>82.33</v>
      </c>
      <c r="D616" s="432">
        <v>83.5</v>
      </c>
      <c r="E616" s="432">
        <v>83.84</v>
      </c>
      <c r="F616" s="426"/>
      <c r="G616" s="426"/>
      <c r="H616" s="426"/>
      <c r="I616" s="426"/>
      <c r="J616" s="426"/>
    </row>
    <row r="617" spans="1:10" s="429" customFormat="1" x14ac:dyDescent="0.2">
      <c r="A617" s="426"/>
      <c r="B617" s="113">
        <v>69</v>
      </c>
      <c r="C617" s="432">
        <v>80.73</v>
      </c>
      <c r="D617" s="432">
        <v>81.89</v>
      </c>
      <c r="E617" s="432">
        <v>82.22</v>
      </c>
      <c r="F617" s="426"/>
      <c r="G617" s="426"/>
      <c r="H617" s="426"/>
      <c r="I617" s="426"/>
      <c r="J617" s="426"/>
    </row>
    <row r="618" spans="1:10" s="429" customFormat="1" x14ac:dyDescent="0.2">
      <c r="A618" s="426"/>
      <c r="B618" s="113">
        <v>70</v>
      </c>
      <c r="C618" s="432">
        <v>79.010000000000005</v>
      </c>
      <c r="D618" s="432">
        <v>80.150000000000006</v>
      </c>
      <c r="E618" s="432">
        <v>80.47</v>
      </c>
      <c r="F618" s="426"/>
      <c r="G618" s="426"/>
      <c r="H618" s="426"/>
      <c r="I618" s="426"/>
      <c r="J618" s="426"/>
    </row>
    <row r="619" spans="1:10" s="429" customFormat="1" x14ac:dyDescent="0.2">
      <c r="A619" s="426"/>
      <c r="B619" s="113">
        <v>71</v>
      </c>
      <c r="C619" s="432">
        <v>77.17</v>
      </c>
      <c r="D619" s="432">
        <v>78.28</v>
      </c>
      <c r="E619" s="432">
        <v>78.599999999999994</v>
      </c>
      <c r="F619" s="426"/>
      <c r="G619" s="426"/>
      <c r="H619" s="426"/>
      <c r="I619" s="426"/>
      <c r="J619" s="426"/>
    </row>
    <row r="620" spans="1:10" s="429" customFormat="1" x14ac:dyDescent="0.2">
      <c r="A620" s="426"/>
      <c r="B620" s="113">
        <v>72</v>
      </c>
      <c r="C620" s="432">
        <v>75.2</v>
      </c>
      <c r="D620" s="432">
        <v>76.3</v>
      </c>
      <c r="E620" s="432">
        <v>76.61</v>
      </c>
      <c r="F620" s="426"/>
      <c r="G620" s="426"/>
      <c r="H620" s="426"/>
      <c r="I620" s="426"/>
      <c r="J620" s="426"/>
    </row>
    <row r="621" spans="1:10" s="429" customFormat="1" x14ac:dyDescent="0.2">
      <c r="A621" s="426"/>
      <c r="B621" s="113">
        <v>73</v>
      </c>
      <c r="C621" s="432">
        <v>73.150000000000006</v>
      </c>
      <c r="D621" s="432">
        <v>74.22</v>
      </c>
      <c r="E621" s="432">
        <v>74.53</v>
      </c>
      <c r="F621" s="426"/>
      <c r="G621" s="426"/>
      <c r="H621" s="426"/>
      <c r="I621" s="426"/>
      <c r="J621" s="426"/>
    </row>
    <row r="622" spans="1:10" s="429" customFormat="1" x14ac:dyDescent="0.2">
      <c r="A622" s="426"/>
      <c r="B622" s="113">
        <v>74</v>
      </c>
      <c r="C622" s="432">
        <v>71.02</v>
      </c>
      <c r="D622" s="432">
        <v>72.069999999999993</v>
      </c>
      <c r="E622" s="432">
        <v>72.37</v>
      </c>
      <c r="F622" s="426"/>
      <c r="G622" s="426"/>
      <c r="H622" s="426"/>
      <c r="I622" s="426"/>
      <c r="J622" s="426"/>
    </row>
    <row r="623" spans="1:10" s="429" customFormat="1" x14ac:dyDescent="0.2">
      <c r="A623" s="426"/>
      <c r="B623" s="113">
        <v>75</v>
      </c>
      <c r="C623" s="432">
        <v>68.83</v>
      </c>
      <c r="D623" s="432">
        <v>69.849999999999994</v>
      </c>
      <c r="E623" s="432">
        <v>70.150000000000006</v>
      </c>
      <c r="F623" s="426"/>
      <c r="G623" s="426"/>
      <c r="H623" s="426"/>
      <c r="I623" s="426"/>
      <c r="J623" s="426"/>
    </row>
    <row r="624" spans="1:10" s="429" customFormat="1" x14ac:dyDescent="0.2">
      <c r="A624" s="426"/>
      <c r="B624" s="113">
        <v>76</v>
      </c>
      <c r="C624" s="432">
        <v>66.59</v>
      </c>
      <c r="D624" s="432">
        <v>67.59</v>
      </c>
      <c r="E624" s="432">
        <v>67.88</v>
      </c>
      <c r="F624" s="426"/>
      <c r="G624" s="426"/>
      <c r="H624" s="426"/>
      <c r="I624" s="426"/>
      <c r="J624" s="426"/>
    </row>
    <row r="625" spans="1:10" s="429" customFormat="1" x14ac:dyDescent="0.2">
      <c r="A625" s="426"/>
      <c r="B625" s="113">
        <v>77</v>
      </c>
      <c r="C625" s="432">
        <v>64.319999999999993</v>
      </c>
      <c r="D625" s="432">
        <v>65.3</v>
      </c>
      <c r="E625" s="432">
        <v>65.59</v>
      </c>
      <c r="F625" s="426"/>
      <c r="G625" s="426"/>
      <c r="H625" s="426"/>
      <c r="I625" s="426"/>
      <c r="J625" s="426"/>
    </row>
    <row r="626" spans="1:10" s="429" customFormat="1" x14ac:dyDescent="0.2">
      <c r="A626" s="426"/>
      <c r="B626" s="113">
        <v>78</v>
      </c>
      <c r="C626" s="432">
        <v>62.04</v>
      </c>
      <c r="D626" s="432">
        <v>62.99</v>
      </c>
      <c r="E626" s="432">
        <v>63.27</v>
      </c>
      <c r="F626" s="426"/>
      <c r="G626" s="426"/>
      <c r="H626" s="426"/>
      <c r="I626" s="426"/>
      <c r="J626" s="426"/>
    </row>
    <row r="627" spans="1:10" s="429" customFormat="1" x14ac:dyDescent="0.2">
      <c r="A627" s="426"/>
      <c r="B627" s="113">
        <v>79</v>
      </c>
      <c r="C627" s="432">
        <v>59.75</v>
      </c>
      <c r="D627" s="432">
        <v>60.68</v>
      </c>
      <c r="E627" s="432">
        <v>60.96</v>
      </c>
      <c r="F627" s="426"/>
      <c r="G627" s="426"/>
      <c r="H627" s="426"/>
      <c r="I627" s="426"/>
      <c r="J627" s="426"/>
    </row>
    <row r="628" spans="1:10" s="429" customFormat="1" x14ac:dyDescent="0.2">
      <c r="A628" s="426"/>
      <c r="B628" s="113">
        <v>80</v>
      </c>
      <c r="C628" s="432">
        <v>57.46</v>
      </c>
      <c r="D628" s="432">
        <v>58.38</v>
      </c>
      <c r="E628" s="432">
        <v>58.65</v>
      </c>
      <c r="F628" s="426"/>
      <c r="G628" s="426"/>
      <c r="H628" s="426"/>
      <c r="I628" s="426"/>
      <c r="J628" s="426"/>
    </row>
    <row r="629" spans="1:10" s="429" customFormat="1" x14ac:dyDescent="0.2">
      <c r="A629" s="426"/>
      <c r="B629" s="113">
        <v>81</v>
      </c>
      <c r="C629" s="432">
        <v>55.19</v>
      </c>
      <c r="D629" s="432">
        <v>56.09</v>
      </c>
      <c r="E629" s="432">
        <v>56.36</v>
      </c>
      <c r="F629" s="426"/>
      <c r="G629" s="426"/>
      <c r="H629" s="426"/>
      <c r="I629" s="426"/>
      <c r="J629" s="426"/>
    </row>
    <row r="630" spans="1:10" s="429" customFormat="1" x14ac:dyDescent="0.2">
      <c r="A630" s="426"/>
      <c r="B630" s="113">
        <v>82</v>
      </c>
      <c r="C630" s="432">
        <v>52.95</v>
      </c>
      <c r="D630" s="432">
        <v>53.83</v>
      </c>
      <c r="E630" s="432">
        <v>54.09</v>
      </c>
      <c r="F630" s="426"/>
      <c r="G630" s="426"/>
      <c r="H630" s="426"/>
      <c r="I630" s="426"/>
      <c r="J630" s="426"/>
    </row>
    <row r="631" spans="1:10" s="429" customFormat="1" x14ac:dyDescent="0.2">
      <c r="A631" s="426"/>
      <c r="B631" s="113">
        <v>83</v>
      </c>
      <c r="C631" s="432">
        <v>50.75</v>
      </c>
      <c r="D631" s="432">
        <v>51.61</v>
      </c>
      <c r="E631" s="432">
        <v>51.87</v>
      </c>
      <c r="F631" s="426"/>
      <c r="G631" s="426"/>
      <c r="H631" s="426"/>
      <c r="I631" s="426"/>
      <c r="J631" s="426"/>
    </row>
    <row r="632" spans="1:10" s="429" customFormat="1" x14ac:dyDescent="0.2">
      <c r="A632" s="426"/>
      <c r="B632" s="113">
        <v>84</v>
      </c>
      <c r="C632" s="432">
        <v>48.58</v>
      </c>
      <c r="D632" s="432">
        <v>49.43</v>
      </c>
      <c r="E632" s="432">
        <v>49.68</v>
      </c>
      <c r="F632" s="426"/>
      <c r="G632" s="426"/>
      <c r="H632" s="426"/>
      <c r="I632" s="426"/>
      <c r="J632" s="426"/>
    </row>
    <row r="633" spans="1:10" s="429" customFormat="1" x14ac:dyDescent="0.2">
      <c r="A633" s="426"/>
      <c r="B633" s="113">
        <v>85</v>
      </c>
      <c r="C633" s="432">
        <v>46.47</v>
      </c>
      <c r="D633" s="432">
        <v>47.3</v>
      </c>
      <c r="E633" s="432">
        <v>47.55</v>
      </c>
      <c r="F633" s="426"/>
      <c r="G633" s="426"/>
      <c r="H633" s="426"/>
      <c r="I633" s="426"/>
      <c r="J633" s="426"/>
    </row>
    <row r="634" spans="1:10" s="429" customFormat="1" x14ac:dyDescent="0.2">
      <c r="A634" s="426"/>
      <c r="B634" s="113">
        <v>86</v>
      </c>
      <c r="C634" s="432">
        <v>44.4</v>
      </c>
      <c r="D634" s="432">
        <v>45.22</v>
      </c>
      <c r="E634" s="432">
        <v>45.47</v>
      </c>
      <c r="F634" s="426"/>
      <c r="G634" s="426"/>
      <c r="H634" s="426"/>
      <c r="I634" s="426"/>
      <c r="J634" s="426"/>
    </row>
    <row r="635" spans="1:10" s="429" customFormat="1" x14ac:dyDescent="0.2">
      <c r="A635" s="426"/>
      <c r="B635" s="113">
        <v>87</v>
      </c>
      <c r="C635" s="432">
        <v>42.39</v>
      </c>
      <c r="D635" s="432">
        <v>43.2</v>
      </c>
      <c r="E635" s="432">
        <v>43.44</v>
      </c>
      <c r="F635" s="426"/>
      <c r="G635" s="426"/>
      <c r="H635" s="426"/>
      <c r="I635" s="426"/>
      <c r="J635" s="426"/>
    </row>
    <row r="636" spans="1:10" s="429" customFormat="1" x14ac:dyDescent="0.2">
      <c r="A636" s="426"/>
      <c r="B636" s="113">
        <v>88</v>
      </c>
      <c r="C636" s="432">
        <v>40.44</v>
      </c>
      <c r="D636" s="432">
        <v>41.23</v>
      </c>
      <c r="E636" s="432">
        <v>41.48</v>
      </c>
      <c r="F636" s="426"/>
      <c r="G636" s="426"/>
      <c r="H636" s="426"/>
      <c r="I636" s="426"/>
      <c r="J636" s="426"/>
    </row>
    <row r="637" spans="1:10" s="429" customFormat="1" x14ac:dyDescent="0.2">
      <c r="A637" s="426"/>
      <c r="B637" s="113">
        <v>89</v>
      </c>
      <c r="C637" s="432">
        <v>38.54</v>
      </c>
      <c r="D637" s="432">
        <v>39.33</v>
      </c>
      <c r="E637" s="432">
        <v>39.57</v>
      </c>
      <c r="F637" s="426"/>
      <c r="G637" s="426"/>
      <c r="H637" s="426"/>
      <c r="I637" s="426"/>
      <c r="J637" s="426"/>
    </row>
    <row r="638" spans="1:10" s="429" customFormat="1" x14ac:dyDescent="0.2">
      <c r="A638" s="426"/>
      <c r="B638" s="113">
        <v>90</v>
      </c>
      <c r="C638" s="432">
        <v>36.71</v>
      </c>
      <c r="D638" s="432">
        <v>37.479999999999997</v>
      </c>
      <c r="E638" s="432">
        <v>37.72</v>
      </c>
      <c r="F638" s="426"/>
      <c r="G638" s="426"/>
      <c r="H638" s="426"/>
      <c r="I638" s="426"/>
      <c r="J638" s="426"/>
    </row>
    <row r="639" spans="1:10" s="429" customFormat="1" x14ac:dyDescent="0.2">
      <c r="A639" s="426"/>
      <c r="B639" s="113">
        <v>91</v>
      </c>
      <c r="C639" s="432">
        <v>34.93</v>
      </c>
      <c r="D639" s="432">
        <v>35.69</v>
      </c>
      <c r="E639" s="432">
        <v>35.93</v>
      </c>
      <c r="F639" s="426"/>
      <c r="G639" s="426"/>
      <c r="H639" s="426"/>
      <c r="I639" s="426"/>
      <c r="J639" s="426"/>
    </row>
    <row r="640" spans="1:10" s="429" customFormat="1" x14ac:dyDescent="0.2">
      <c r="A640" s="426"/>
      <c r="B640" s="113">
        <v>92</v>
      </c>
      <c r="C640" s="432">
        <v>33.130000000000003</v>
      </c>
      <c r="D640" s="432">
        <v>33.89</v>
      </c>
      <c r="E640" s="432">
        <v>34.130000000000003</v>
      </c>
      <c r="F640" s="426"/>
      <c r="G640" s="426"/>
      <c r="H640" s="426"/>
      <c r="I640" s="426"/>
      <c r="J640" s="426"/>
    </row>
    <row r="641" spans="1:10" s="429" customFormat="1" x14ac:dyDescent="0.2">
      <c r="A641" s="426"/>
      <c r="B641" s="113">
        <v>93</v>
      </c>
      <c r="C641" s="432">
        <v>31.39</v>
      </c>
      <c r="D641" s="432">
        <v>32.14</v>
      </c>
      <c r="E641" s="432">
        <v>32.369999999999997</v>
      </c>
      <c r="F641" s="426"/>
      <c r="G641" s="426"/>
      <c r="H641" s="426"/>
      <c r="I641" s="426"/>
      <c r="J641" s="426"/>
    </row>
    <row r="642" spans="1:10" s="429" customFormat="1" x14ac:dyDescent="0.2">
      <c r="A642" s="426"/>
      <c r="B642" s="113">
        <v>94</v>
      </c>
      <c r="C642" s="432">
        <v>29.69</v>
      </c>
      <c r="D642" s="432">
        <v>30.44</v>
      </c>
      <c r="E642" s="432">
        <v>30.67</v>
      </c>
      <c r="F642" s="426"/>
      <c r="G642" s="426"/>
      <c r="H642" s="426"/>
      <c r="I642" s="426"/>
      <c r="J642" s="426"/>
    </row>
    <row r="643" spans="1:10" s="429" customFormat="1" x14ac:dyDescent="0.2">
      <c r="A643" s="426"/>
      <c r="B643" s="113">
        <v>95</v>
      </c>
      <c r="C643" s="432">
        <v>28.03</v>
      </c>
      <c r="D643" s="432">
        <v>28.77</v>
      </c>
      <c r="E643" s="432">
        <v>29</v>
      </c>
      <c r="F643" s="426"/>
      <c r="G643" s="426"/>
      <c r="H643" s="426"/>
      <c r="I643" s="426"/>
      <c r="J643" s="426"/>
    </row>
    <row r="644" spans="1:10" s="429" customFormat="1" x14ac:dyDescent="0.2">
      <c r="A644" s="426"/>
      <c r="B644" s="113">
        <v>96</v>
      </c>
      <c r="C644" s="432">
        <v>26.4</v>
      </c>
      <c r="D644" s="432">
        <v>27.13</v>
      </c>
      <c r="E644" s="432">
        <v>27.36</v>
      </c>
      <c r="F644" s="426"/>
      <c r="G644" s="426"/>
      <c r="H644" s="426"/>
      <c r="I644" s="426"/>
      <c r="J644" s="426"/>
    </row>
    <row r="645" spans="1:10" s="429" customFormat="1" x14ac:dyDescent="0.2">
      <c r="A645" s="426"/>
      <c r="B645" s="113">
        <v>97</v>
      </c>
      <c r="C645" s="432">
        <v>24.77</v>
      </c>
      <c r="D645" s="432">
        <v>25.5</v>
      </c>
      <c r="E645" s="432">
        <v>25.73</v>
      </c>
      <c r="F645" s="426"/>
      <c r="G645" s="426"/>
      <c r="H645" s="426"/>
      <c r="I645" s="426"/>
      <c r="J645" s="426"/>
    </row>
    <row r="646" spans="1:10" s="429" customFormat="1" x14ac:dyDescent="0.2">
      <c r="A646" s="426"/>
      <c r="B646" s="113">
        <v>98</v>
      </c>
      <c r="C646" s="432">
        <v>23.14</v>
      </c>
      <c r="D646" s="432">
        <v>23.87</v>
      </c>
      <c r="E646" s="432">
        <v>24.09</v>
      </c>
      <c r="F646" s="426"/>
      <c r="G646" s="426"/>
      <c r="H646" s="426"/>
      <c r="I646" s="426"/>
      <c r="J646" s="426"/>
    </row>
    <row r="647" spans="1:10" s="429" customFormat="1" x14ac:dyDescent="0.2">
      <c r="A647" s="426"/>
      <c r="B647" s="113">
        <v>99</v>
      </c>
      <c r="C647" s="432">
        <v>21.48</v>
      </c>
      <c r="D647" s="432">
        <v>22.2</v>
      </c>
      <c r="E647" s="432">
        <v>22.42</v>
      </c>
      <c r="F647" s="426"/>
      <c r="G647" s="426"/>
      <c r="H647" s="426"/>
      <c r="I647" s="426"/>
      <c r="J647" s="426"/>
    </row>
    <row r="648" spans="1:10" s="429" customFormat="1" x14ac:dyDescent="0.2">
      <c r="A648" s="426"/>
      <c r="B648" s="113">
        <v>100</v>
      </c>
      <c r="C648" s="432">
        <v>19.75</v>
      </c>
      <c r="D648" s="432">
        <v>20.46</v>
      </c>
      <c r="E648" s="432">
        <v>20.69</v>
      </c>
      <c r="F648" s="426"/>
      <c r="G648" s="426"/>
      <c r="H648" s="426"/>
      <c r="I648" s="426"/>
      <c r="J648" s="42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sheetPr>
  <dimension ref="B1:CV105"/>
  <sheetViews>
    <sheetView workbookViewId="0">
      <selection activeCell="B5" sqref="B5:CQ105"/>
    </sheetView>
  </sheetViews>
  <sheetFormatPr defaultColWidth="9.140625" defaultRowHeight="12.75" x14ac:dyDescent="0.2"/>
  <cols>
    <col min="1" max="1" width="9.140625" style="426"/>
    <col min="2" max="2" width="8.85546875" style="426" customWidth="1"/>
    <col min="3" max="3" width="13.140625" style="426" customWidth="1"/>
    <col min="4" max="4" width="12.42578125" style="426" customWidth="1"/>
    <col min="5" max="5" width="9" style="426" customWidth="1"/>
    <col min="6" max="6" width="3.140625" style="426" customWidth="1"/>
    <col min="7" max="7" width="8.85546875" style="426" customWidth="1"/>
    <col min="8" max="8" width="12" style="426" customWidth="1"/>
    <col min="9" max="9" width="13.42578125" style="426" customWidth="1"/>
    <col min="10" max="10" width="10.140625" style="426" customWidth="1"/>
    <col min="11" max="16384" width="9.140625" style="426"/>
  </cols>
  <sheetData>
    <row r="1" spans="2:100" x14ac:dyDescent="0.2">
      <c r="B1" s="425"/>
      <c r="C1" s="425"/>
      <c r="D1" s="425"/>
      <c r="J1" s="437" t="s">
        <v>151</v>
      </c>
    </row>
    <row r="2" spans="2:100" x14ac:dyDescent="0.2">
      <c r="B2" s="757" t="s">
        <v>181</v>
      </c>
      <c r="C2" s="757"/>
      <c r="D2" s="757"/>
      <c r="E2" s="757"/>
      <c r="F2" s="757"/>
      <c r="G2" s="757"/>
      <c r="H2" s="757"/>
      <c r="I2" s="757"/>
      <c r="J2" s="757"/>
      <c r="L2" s="756" t="s">
        <v>183</v>
      </c>
      <c r="M2" s="756"/>
      <c r="N2" s="756"/>
      <c r="O2" s="756"/>
      <c r="P2" s="756"/>
      <c r="Q2" s="756"/>
      <c r="R2" s="756"/>
      <c r="S2" s="756"/>
      <c r="T2" s="756"/>
      <c r="V2" s="756" t="s">
        <v>185</v>
      </c>
      <c r="W2" s="756"/>
      <c r="X2" s="756"/>
      <c r="Y2" s="756"/>
      <c r="Z2" s="756"/>
      <c r="AA2" s="756"/>
      <c r="AB2" s="756"/>
      <c r="AC2" s="756"/>
      <c r="AD2" s="756"/>
      <c r="AF2" s="756" t="s">
        <v>187</v>
      </c>
      <c r="AG2" s="756"/>
      <c r="AH2" s="756"/>
      <c r="AI2" s="756"/>
      <c r="AJ2" s="756"/>
      <c r="AK2" s="756"/>
      <c r="AL2" s="756"/>
      <c r="AM2" s="756"/>
      <c r="AN2" s="756"/>
      <c r="AP2" s="756" t="s">
        <v>189</v>
      </c>
      <c r="AQ2" s="756"/>
      <c r="AR2" s="756"/>
      <c r="AS2" s="756"/>
      <c r="AT2" s="756"/>
      <c r="AU2" s="756"/>
      <c r="AV2" s="756"/>
      <c r="AW2" s="756"/>
      <c r="AX2" s="756"/>
      <c r="AZ2" s="756" t="s">
        <v>191</v>
      </c>
      <c r="BA2" s="756"/>
      <c r="BB2" s="756"/>
      <c r="BC2" s="756"/>
      <c r="BD2" s="756"/>
      <c r="BE2" s="756"/>
      <c r="BF2" s="756"/>
      <c r="BG2" s="756"/>
      <c r="BH2" s="756"/>
      <c r="BJ2" s="756" t="s">
        <v>193</v>
      </c>
      <c r="BK2" s="756"/>
      <c r="BL2" s="756"/>
      <c r="BM2" s="756"/>
      <c r="BN2" s="756"/>
      <c r="BO2" s="756"/>
      <c r="BP2" s="756"/>
      <c r="BQ2" s="756"/>
      <c r="BR2" s="756"/>
      <c r="BT2" s="756" t="s">
        <v>195</v>
      </c>
      <c r="BU2" s="756"/>
      <c r="BV2" s="756"/>
      <c r="BW2" s="756"/>
      <c r="BX2" s="756"/>
      <c r="BY2" s="756"/>
      <c r="BZ2" s="756"/>
      <c r="CA2" s="756"/>
      <c r="CB2" s="756"/>
      <c r="CD2" s="756" t="s">
        <v>197</v>
      </c>
      <c r="CE2" s="756"/>
      <c r="CF2" s="756"/>
      <c r="CG2" s="756"/>
      <c r="CH2" s="756"/>
      <c r="CI2" s="756"/>
      <c r="CJ2" s="756"/>
      <c r="CK2" s="756"/>
      <c r="CL2" s="756"/>
      <c r="CN2" s="756" t="s">
        <v>199</v>
      </c>
      <c r="CO2" s="756"/>
      <c r="CP2" s="756"/>
      <c r="CQ2" s="756"/>
      <c r="CR2" s="756"/>
      <c r="CS2" s="756"/>
      <c r="CT2" s="756"/>
      <c r="CU2" s="756"/>
      <c r="CV2" s="756"/>
    </row>
    <row r="3" spans="2:100" x14ac:dyDescent="0.2">
      <c r="B3" s="753" t="s">
        <v>180</v>
      </c>
      <c r="C3" s="754"/>
      <c r="D3" s="754"/>
      <c r="E3" s="754"/>
      <c r="F3" s="755"/>
      <c r="G3" s="755"/>
      <c r="H3" s="755"/>
      <c r="I3" s="755"/>
      <c r="J3" s="755"/>
      <c r="L3" s="753" t="s">
        <v>182</v>
      </c>
      <c r="M3" s="754"/>
      <c r="N3" s="754"/>
      <c r="O3" s="754"/>
      <c r="P3" s="755"/>
      <c r="Q3" s="755"/>
      <c r="R3" s="755"/>
      <c r="S3" s="755"/>
      <c r="T3" s="755"/>
      <c r="V3" s="753" t="s">
        <v>184</v>
      </c>
      <c r="W3" s="754"/>
      <c r="X3" s="754"/>
      <c r="Y3" s="754"/>
      <c r="Z3" s="755"/>
      <c r="AA3" s="755"/>
      <c r="AB3" s="755"/>
      <c r="AC3" s="755"/>
      <c r="AD3" s="755"/>
      <c r="AF3" s="753" t="s">
        <v>186</v>
      </c>
      <c r="AG3" s="754"/>
      <c r="AH3" s="754"/>
      <c r="AI3" s="754"/>
      <c r="AJ3" s="755"/>
      <c r="AK3" s="755"/>
      <c r="AL3" s="755"/>
      <c r="AM3" s="755"/>
      <c r="AN3" s="755"/>
      <c r="AP3" s="753" t="s">
        <v>188</v>
      </c>
      <c r="AQ3" s="754"/>
      <c r="AR3" s="754"/>
      <c r="AS3" s="754"/>
      <c r="AT3" s="755"/>
      <c r="AU3" s="755"/>
      <c r="AV3" s="755"/>
      <c r="AW3" s="755"/>
      <c r="AX3" s="755"/>
      <c r="AZ3" s="753" t="s">
        <v>190</v>
      </c>
      <c r="BA3" s="754"/>
      <c r="BB3" s="754"/>
      <c r="BC3" s="754"/>
      <c r="BD3" s="755"/>
      <c r="BE3" s="755"/>
      <c r="BF3" s="755"/>
      <c r="BG3" s="755"/>
      <c r="BH3" s="755"/>
      <c r="BJ3" s="753" t="s">
        <v>192</v>
      </c>
      <c r="BK3" s="754"/>
      <c r="BL3" s="754"/>
      <c r="BM3" s="754"/>
      <c r="BN3" s="755"/>
      <c r="BO3" s="755"/>
      <c r="BP3" s="755"/>
      <c r="BQ3" s="755"/>
      <c r="BR3" s="755"/>
      <c r="BT3" s="753" t="s">
        <v>194</v>
      </c>
      <c r="BU3" s="754"/>
      <c r="BV3" s="754"/>
      <c r="BW3" s="754"/>
      <c r="BX3" s="755"/>
      <c r="BY3" s="755"/>
      <c r="BZ3" s="755"/>
      <c r="CA3" s="755"/>
      <c r="CB3" s="755"/>
      <c r="CD3" s="753" t="s">
        <v>196</v>
      </c>
      <c r="CE3" s="753"/>
      <c r="CF3" s="753"/>
      <c r="CG3" s="753"/>
      <c r="CH3" s="753"/>
      <c r="CI3" s="753"/>
      <c r="CJ3" s="753"/>
      <c r="CK3" s="753"/>
      <c r="CL3" s="753"/>
      <c r="CN3" s="753" t="s">
        <v>198</v>
      </c>
      <c r="CO3" s="754"/>
      <c r="CP3" s="754"/>
      <c r="CQ3" s="754"/>
      <c r="CR3" s="755"/>
      <c r="CS3" s="755"/>
      <c r="CT3" s="755"/>
      <c r="CU3" s="755"/>
      <c r="CV3" s="755"/>
    </row>
    <row r="4" spans="2:100" ht="38.25" x14ac:dyDescent="0.2">
      <c r="B4" s="109" t="s">
        <v>1</v>
      </c>
      <c r="C4" s="109" t="s">
        <v>153</v>
      </c>
      <c r="D4" s="110" t="s">
        <v>154</v>
      </c>
      <c r="E4" s="110" t="s">
        <v>155</v>
      </c>
      <c r="F4" s="429"/>
      <c r="L4" s="109" t="s">
        <v>1</v>
      </c>
      <c r="M4" s="109" t="s">
        <v>153</v>
      </c>
      <c r="N4" s="110" t="s">
        <v>154</v>
      </c>
      <c r="O4" s="110" t="s">
        <v>155</v>
      </c>
      <c r="P4" s="429"/>
      <c r="Q4" s="109"/>
      <c r="R4" s="109"/>
      <c r="S4" s="110"/>
      <c r="T4" s="110"/>
      <c r="V4" s="109" t="s">
        <v>1</v>
      </c>
      <c r="W4" s="109" t="s">
        <v>153</v>
      </c>
      <c r="X4" s="110" t="s">
        <v>154</v>
      </c>
      <c r="Y4" s="110" t="s">
        <v>155</v>
      </c>
      <c r="Z4" s="429"/>
      <c r="AA4" s="109"/>
      <c r="AB4" s="109"/>
      <c r="AC4" s="110"/>
      <c r="AD4" s="110"/>
      <c r="AF4" s="109" t="s">
        <v>1</v>
      </c>
      <c r="AG4" s="109" t="s">
        <v>153</v>
      </c>
      <c r="AH4" s="110" t="s">
        <v>154</v>
      </c>
      <c r="AI4" s="110" t="s">
        <v>155</v>
      </c>
      <c r="AJ4" s="429"/>
      <c r="AK4" s="109"/>
      <c r="AL4" s="109"/>
      <c r="AM4" s="110"/>
      <c r="AN4" s="110"/>
      <c r="AP4" s="109" t="s">
        <v>1</v>
      </c>
      <c r="AQ4" s="109" t="s">
        <v>153</v>
      </c>
      <c r="AR4" s="110" t="s">
        <v>154</v>
      </c>
      <c r="AS4" s="110" t="s">
        <v>155</v>
      </c>
      <c r="AT4" s="429"/>
      <c r="AU4" s="109"/>
      <c r="AV4" s="109"/>
      <c r="AW4" s="110"/>
      <c r="AX4" s="110"/>
      <c r="AZ4" s="109" t="s">
        <v>1</v>
      </c>
      <c r="BA4" s="109" t="s">
        <v>153</v>
      </c>
      <c r="BB4" s="110" t="s">
        <v>154</v>
      </c>
      <c r="BC4" s="110" t="s">
        <v>155</v>
      </c>
      <c r="BD4" s="429"/>
      <c r="BE4" s="109"/>
      <c r="BF4" s="109"/>
      <c r="BG4" s="110"/>
      <c r="BH4" s="110"/>
      <c r="BJ4" s="109" t="s">
        <v>1</v>
      </c>
      <c r="BK4" s="109" t="s">
        <v>153</v>
      </c>
      <c r="BL4" s="110" t="s">
        <v>154</v>
      </c>
      <c r="BM4" s="110" t="s">
        <v>155</v>
      </c>
      <c r="BN4" s="429"/>
      <c r="BO4" s="109"/>
      <c r="BP4" s="109"/>
      <c r="BQ4" s="110"/>
      <c r="BR4" s="110"/>
      <c r="BT4" s="109" t="s">
        <v>1</v>
      </c>
      <c r="BU4" s="109" t="s">
        <v>153</v>
      </c>
      <c r="BV4" s="110" t="s">
        <v>154</v>
      </c>
      <c r="BW4" s="110" t="s">
        <v>155</v>
      </c>
      <c r="BX4" s="429"/>
      <c r="BY4" s="109"/>
      <c r="BZ4" s="109"/>
      <c r="CA4" s="110"/>
      <c r="CB4" s="110"/>
      <c r="CD4" s="109" t="s">
        <v>1</v>
      </c>
      <c r="CE4" s="109" t="s">
        <v>153</v>
      </c>
      <c r="CF4" s="110" t="s">
        <v>154</v>
      </c>
      <c r="CG4" s="110" t="s">
        <v>155</v>
      </c>
      <c r="CH4" s="429"/>
      <c r="CI4" s="109"/>
      <c r="CJ4" s="109"/>
      <c r="CK4" s="110"/>
      <c r="CL4" s="110"/>
      <c r="CN4" s="109" t="s">
        <v>1</v>
      </c>
      <c r="CO4" s="109" t="s">
        <v>153</v>
      </c>
      <c r="CP4" s="110" t="s">
        <v>154</v>
      </c>
      <c r="CQ4" s="110" t="s">
        <v>155</v>
      </c>
      <c r="CR4" s="429"/>
      <c r="CS4" s="109"/>
      <c r="CT4" s="109"/>
      <c r="CU4" s="110"/>
      <c r="CV4" s="110"/>
    </row>
    <row r="5" spans="2:100" x14ac:dyDescent="0.2">
      <c r="B5" s="438">
        <v>0</v>
      </c>
      <c r="C5" s="439">
        <v>56.23</v>
      </c>
      <c r="D5" s="439">
        <v>56.46</v>
      </c>
      <c r="E5" s="439">
        <v>56.9</v>
      </c>
      <c r="L5" s="438">
        <v>0</v>
      </c>
      <c r="M5" s="439">
        <v>59.44</v>
      </c>
      <c r="N5" s="439">
        <v>59.74</v>
      </c>
      <c r="O5" s="439">
        <v>60.24</v>
      </c>
      <c r="V5" s="113">
        <v>0</v>
      </c>
      <c r="W5" s="439">
        <v>62.83</v>
      </c>
      <c r="X5" s="439">
        <v>63.2</v>
      </c>
      <c r="Y5" s="439">
        <v>63.75</v>
      </c>
      <c r="AF5" s="113">
        <v>0</v>
      </c>
      <c r="AG5" s="439">
        <v>66.400000000000006</v>
      </c>
      <c r="AH5" s="439">
        <v>66.84</v>
      </c>
      <c r="AI5" s="439">
        <v>67.459999999999994</v>
      </c>
      <c r="AP5" s="113">
        <v>0</v>
      </c>
      <c r="AQ5" s="439">
        <v>70.17</v>
      </c>
      <c r="AR5" s="439">
        <v>70.69</v>
      </c>
      <c r="AS5" s="439">
        <v>71.37</v>
      </c>
      <c r="AZ5" s="113">
        <v>0</v>
      </c>
      <c r="BA5" s="439">
        <v>72.59</v>
      </c>
      <c r="BB5" s="439">
        <v>73.19</v>
      </c>
      <c r="BC5" s="439">
        <v>73.92</v>
      </c>
      <c r="BJ5" s="113">
        <v>0</v>
      </c>
      <c r="BK5" s="439">
        <v>76.61</v>
      </c>
      <c r="BL5" s="439">
        <v>77.3</v>
      </c>
      <c r="BM5" s="439">
        <v>78.11</v>
      </c>
      <c r="BT5" s="113">
        <v>0</v>
      </c>
      <c r="BU5" s="439">
        <v>80.84</v>
      </c>
      <c r="BV5" s="439">
        <v>81.63</v>
      </c>
      <c r="BW5" s="439">
        <v>82.52</v>
      </c>
      <c r="CD5" s="113">
        <v>0</v>
      </c>
      <c r="CE5" s="439">
        <v>85.28</v>
      </c>
      <c r="CF5" s="439">
        <v>86.19</v>
      </c>
      <c r="CG5" s="439">
        <v>87.16</v>
      </c>
      <c r="CN5" s="113">
        <v>0</v>
      </c>
      <c r="CO5" s="439">
        <v>89.95</v>
      </c>
      <c r="CP5" s="439">
        <v>90.98</v>
      </c>
      <c r="CQ5" s="439">
        <v>92.04</v>
      </c>
    </row>
    <row r="6" spans="2:100" x14ac:dyDescent="0.2">
      <c r="B6" s="438">
        <v>1</v>
      </c>
      <c r="C6" s="439">
        <v>56.28</v>
      </c>
      <c r="D6" s="439">
        <v>56.52</v>
      </c>
      <c r="E6" s="439">
        <v>56.96</v>
      </c>
      <c r="L6" s="438">
        <v>1</v>
      </c>
      <c r="M6" s="439">
        <v>59.51</v>
      </c>
      <c r="N6" s="439">
        <v>59.8</v>
      </c>
      <c r="O6" s="439">
        <v>60.3</v>
      </c>
      <c r="V6" s="113">
        <v>1</v>
      </c>
      <c r="W6" s="439">
        <v>62.9</v>
      </c>
      <c r="X6" s="439">
        <v>63.27</v>
      </c>
      <c r="Y6" s="439">
        <v>63.82</v>
      </c>
      <c r="AF6" s="113">
        <v>1</v>
      </c>
      <c r="AG6" s="439">
        <v>66.48</v>
      </c>
      <c r="AH6" s="439">
        <v>66.92</v>
      </c>
      <c r="AI6" s="439">
        <v>67.540000000000006</v>
      </c>
      <c r="AP6" s="113">
        <v>1</v>
      </c>
      <c r="AQ6" s="439">
        <v>70.260000000000005</v>
      </c>
      <c r="AR6" s="439">
        <v>70.78</v>
      </c>
      <c r="AS6" s="439">
        <v>71.459999999999994</v>
      </c>
      <c r="AZ6" s="113">
        <v>1</v>
      </c>
      <c r="BA6" s="439">
        <v>72.69</v>
      </c>
      <c r="BB6" s="439">
        <v>73.290000000000006</v>
      </c>
      <c r="BC6" s="439">
        <v>74.02</v>
      </c>
      <c r="BJ6" s="113">
        <v>1</v>
      </c>
      <c r="BK6" s="439">
        <v>76.72</v>
      </c>
      <c r="BL6" s="439">
        <v>77.41</v>
      </c>
      <c r="BM6" s="439">
        <v>78.23</v>
      </c>
      <c r="BT6" s="113">
        <v>1</v>
      </c>
      <c r="BU6" s="439">
        <v>80.959999999999994</v>
      </c>
      <c r="BV6" s="439">
        <v>81.760000000000005</v>
      </c>
      <c r="BW6" s="439">
        <v>82.65</v>
      </c>
      <c r="CD6" s="113">
        <v>1</v>
      </c>
      <c r="CE6" s="439">
        <v>85.42</v>
      </c>
      <c r="CF6" s="439">
        <v>86.33</v>
      </c>
      <c r="CG6" s="439">
        <v>87.31</v>
      </c>
      <c r="CN6" s="113">
        <v>1</v>
      </c>
      <c r="CO6" s="439">
        <v>90.1</v>
      </c>
      <c r="CP6" s="439">
        <v>91.13</v>
      </c>
      <c r="CQ6" s="439">
        <v>92.2</v>
      </c>
    </row>
    <row r="7" spans="2:100" x14ac:dyDescent="0.2">
      <c r="B7" s="438">
        <v>2</v>
      </c>
      <c r="C7" s="439">
        <v>56.34</v>
      </c>
      <c r="D7" s="439">
        <v>56.58</v>
      </c>
      <c r="E7" s="439">
        <v>57.03</v>
      </c>
      <c r="L7" s="438">
        <v>2</v>
      </c>
      <c r="M7" s="439">
        <v>59.58</v>
      </c>
      <c r="N7" s="439">
        <v>59.87</v>
      </c>
      <c r="O7" s="439">
        <v>60.37</v>
      </c>
      <c r="V7" s="113">
        <v>2</v>
      </c>
      <c r="W7" s="439">
        <v>62.98</v>
      </c>
      <c r="X7" s="439">
        <v>63.34</v>
      </c>
      <c r="Y7" s="439">
        <v>63.9</v>
      </c>
      <c r="AF7" s="113">
        <v>2</v>
      </c>
      <c r="AG7" s="439">
        <v>66.569999999999993</v>
      </c>
      <c r="AH7" s="439">
        <v>67.010000000000005</v>
      </c>
      <c r="AI7" s="439">
        <v>67.63</v>
      </c>
      <c r="AP7" s="113">
        <v>2</v>
      </c>
      <c r="AQ7" s="439">
        <v>70.349999999999994</v>
      </c>
      <c r="AR7" s="439">
        <v>70.87</v>
      </c>
      <c r="AS7" s="439">
        <v>71.56</v>
      </c>
      <c r="AZ7" s="113">
        <v>2</v>
      </c>
      <c r="BA7" s="439">
        <v>72.8</v>
      </c>
      <c r="BB7" s="439">
        <v>73.39</v>
      </c>
      <c r="BC7" s="439">
        <v>74.13</v>
      </c>
      <c r="BJ7" s="113">
        <v>2</v>
      </c>
      <c r="BK7" s="439">
        <v>76.84</v>
      </c>
      <c r="BL7" s="439">
        <v>77.53</v>
      </c>
      <c r="BM7" s="439">
        <v>78.349999999999994</v>
      </c>
      <c r="BT7" s="113">
        <v>2</v>
      </c>
      <c r="BU7" s="439">
        <v>81.09</v>
      </c>
      <c r="BV7" s="439">
        <v>81.89</v>
      </c>
      <c r="BW7" s="439">
        <v>82.79</v>
      </c>
      <c r="CD7" s="113">
        <v>2</v>
      </c>
      <c r="CE7" s="439">
        <v>85.57</v>
      </c>
      <c r="CF7" s="439">
        <v>86.48</v>
      </c>
      <c r="CG7" s="439">
        <v>87.46</v>
      </c>
      <c r="CN7" s="113">
        <v>2</v>
      </c>
      <c r="CO7" s="439">
        <v>90.27</v>
      </c>
      <c r="CP7" s="439">
        <v>91.3</v>
      </c>
      <c r="CQ7" s="439">
        <v>92.37</v>
      </c>
    </row>
    <row r="8" spans="2:100" x14ac:dyDescent="0.2">
      <c r="B8" s="438">
        <v>3</v>
      </c>
      <c r="C8" s="439">
        <v>56.41</v>
      </c>
      <c r="D8" s="439">
        <v>56.64</v>
      </c>
      <c r="E8" s="439">
        <v>57.09</v>
      </c>
      <c r="L8" s="438">
        <v>3</v>
      </c>
      <c r="M8" s="439">
        <v>59.65</v>
      </c>
      <c r="N8" s="439">
        <v>59.94</v>
      </c>
      <c r="O8" s="439">
        <v>60.44</v>
      </c>
      <c r="V8" s="113">
        <v>3</v>
      </c>
      <c r="W8" s="439">
        <v>63.06</v>
      </c>
      <c r="X8" s="439">
        <v>63.42</v>
      </c>
      <c r="Y8" s="439">
        <v>63.98</v>
      </c>
      <c r="AF8" s="113">
        <v>3</v>
      </c>
      <c r="AG8" s="439">
        <v>66.66</v>
      </c>
      <c r="AH8" s="439">
        <v>67.099999999999994</v>
      </c>
      <c r="AI8" s="439">
        <v>67.72</v>
      </c>
      <c r="AP8" s="113">
        <v>3</v>
      </c>
      <c r="AQ8" s="439">
        <v>70.45</v>
      </c>
      <c r="AR8" s="439">
        <v>70.97</v>
      </c>
      <c r="AS8" s="439">
        <v>71.66</v>
      </c>
      <c r="AZ8" s="113">
        <v>3</v>
      </c>
      <c r="BA8" s="439">
        <v>72.91</v>
      </c>
      <c r="BB8" s="439">
        <v>73.510000000000005</v>
      </c>
      <c r="BC8" s="439">
        <v>74.25</v>
      </c>
      <c r="BJ8" s="113">
        <v>3</v>
      </c>
      <c r="BK8" s="439">
        <v>76.959999999999994</v>
      </c>
      <c r="BL8" s="439">
        <v>77.66</v>
      </c>
      <c r="BM8" s="439">
        <v>78.47</v>
      </c>
      <c r="BT8" s="113">
        <v>3</v>
      </c>
      <c r="BU8" s="439">
        <v>81.23</v>
      </c>
      <c r="BV8" s="439">
        <v>82.03</v>
      </c>
      <c r="BW8" s="439">
        <v>82.93</v>
      </c>
      <c r="CD8" s="113">
        <v>3</v>
      </c>
      <c r="CE8" s="439">
        <v>85.72</v>
      </c>
      <c r="CF8" s="439">
        <v>86.63</v>
      </c>
      <c r="CG8" s="439">
        <v>87.62</v>
      </c>
      <c r="CN8" s="113">
        <v>3</v>
      </c>
      <c r="CO8" s="439">
        <v>90.44</v>
      </c>
      <c r="CP8" s="439">
        <v>91.47</v>
      </c>
      <c r="CQ8" s="439">
        <v>92.55</v>
      </c>
    </row>
    <row r="9" spans="2:100" x14ac:dyDescent="0.2">
      <c r="B9" s="438">
        <v>4</v>
      </c>
      <c r="C9" s="439">
        <v>56.47</v>
      </c>
      <c r="D9" s="439">
        <v>56.71</v>
      </c>
      <c r="E9" s="439">
        <v>57.16</v>
      </c>
      <c r="L9" s="438">
        <v>4</v>
      </c>
      <c r="M9" s="439">
        <v>59.72</v>
      </c>
      <c r="N9" s="439">
        <v>60.02</v>
      </c>
      <c r="O9" s="439">
        <v>60.52</v>
      </c>
      <c r="V9" s="113">
        <v>4</v>
      </c>
      <c r="W9" s="439">
        <v>63.14</v>
      </c>
      <c r="X9" s="439">
        <v>63.51</v>
      </c>
      <c r="Y9" s="439">
        <v>64.069999999999993</v>
      </c>
      <c r="AF9" s="113">
        <v>4</v>
      </c>
      <c r="AG9" s="439">
        <v>66.75</v>
      </c>
      <c r="AH9" s="439">
        <v>67.19</v>
      </c>
      <c r="AI9" s="439">
        <v>67.819999999999993</v>
      </c>
      <c r="AP9" s="113">
        <v>4</v>
      </c>
      <c r="AQ9" s="439">
        <v>70.56</v>
      </c>
      <c r="AR9" s="439">
        <v>71.08</v>
      </c>
      <c r="AS9" s="439">
        <v>71.77</v>
      </c>
      <c r="AZ9" s="113">
        <v>4</v>
      </c>
      <c r="BA9" s="439">
        <v>73.02</v>
      </c>
      <c r="BB9" s="439">
        <v>73.62</v>
      </c>
      <c r="BC9" s="439">
        <v>74.37</v>
      </c>
      <c r="BJ9" s="113">
        <v>4</v>
      </c>
      <c r="BK9" s="439">
        <v>77.09</v>
      </c>
      <c r="BL9" s="439">
        <v>77.790000000000006</v>
      </c>
      <c r="BM9" s="439">
        <v>78.61</v>
      </c>
      <c r="BT9" s="113">
        <v>4</v>
      </c>
      <c r="BU9" s="439">
        <v>81.38</v>
      </c>
      <c r="BV9" s="439">
        <v>82.18</v>
      </c>
      <c r="BW9" s="439">
        <v>83.08</v>
      </c>
      <c r="CD9" s="113">
        <v>4</v>
      </c>
      <c r="CE9" s="439">
        <v>85.88</v>
      </c>
      <c r="CF9" s="439">
        <v>86.8</v>
      </c>
      <c r="CG9" s="439">
        <v>87.78</v>
      </c>
      <c r="CN9" s="113">
        <v>4</v>
      </c>
      <c r="CO9" s="439">
        <v>90.62</v>
      </c>
      <c r="CP9" s="439">
        <v>91.66</v>
      </c>
      <c r="CQ9" s="439">
        <v>92.74</v>
      </c>
    </row>
    <row r="10" spans="2:100" x14ac:dyDescent="0.2">
      <c r="B10" s="438">
        <v>5</v>
      </c>
      <c r="C10" s="439">
        <v>56.54</v>
      </c>
      <c r="D10" s="439">
        <v>56.78</v>
      </c>
      <c r="E10" s="439">
        <v>57.23</v>
      </c>
      <c r="L10" s="438">
        <v>5</v>
      </c>
      <c r="M10" s="439">
        <v>59.8</v>
      </c>
      <c r="N10" s="439">
        <v>60.1</v>
      </c>
      <c r="O10" s="439">
        <v>60.6</v>
      </c>
      <c r="V10" s="113">
        <v>5</v>
      </c>
      <c r="W10" s="439">
        <v>63.23</v>
      </c>
      <c r="X10" s="439">
        <v>63.6</v>
      </c>
      <c r="Y10" s="439">
        <v>64.16</v>
      </c>
      <c r="AF10" s="113">
        <v>5</v>
      </c>
      <c r="AG10" s="439">
        <v>66.849999999999994</v>
      </c>
      <c r="AH10" s="439">
        <v>67.290000000000006</v>
      </c>
      <c r="AI10" s="439">
        <v>67.92</v>
      </c>
      <c r="AP10" s="113">
        <v>5</v>
      </c>
      <c r="AQ10" s="439">
        <v>70.66</v>
      </c>
      <c r="AR10" s="439">
        <v>71.19</v>
      </c>
      <c r="AS10" s="439">
        <v>71.88</v>
      </c>
      <c r="AZ10" s="113">
        <v>5</v>
      </c>
      <c r="BA10" s="439">
        <v>73.150000000000006</v>
      </c>
      <c r="BB10" s="439">
        <v>73.75</v>
      </c>
      <c r="BC10" s="439">
        <v>74.489999999999995</v>
      </c>
      <c r="BJ10" s="113">
        <v>5</v>
      </c>
      <c r="BK10" s="439">
        <v>77.23</v>
      </c>
      <c r="BL10" s="439">
        <v>77.930000000000007</v>
      </c>
      <c r="BM10" s="439">
        <v>78.75</v>
      </c>
      <c r="BT10" s="113">
        <v>5</v>
      </c>
      <c r="BU10" s="439">
        <v>81.53</v>
      </c>
      <c r="BV10" s="439">
        <v>82.33</v>
      </c>
      <c r="BW10" s="439">
        <v>83.23</v>
      </c>
      <c r="CD10" s="113">
        <v>5</v>
      </c>
      <c r="CE10" s="439">
        <v>86.05</v>
      </c>
      <c r="CF10" s="439">
        <v>86.97</v>
      </c>
      <c r="CG10" s="439">
        <v>87.96</v>
      </c>
      <c r="CN10" s="113">
        <v>5</v>
      </c>
      <c r="CO10" s="439">
        <v>90.81</v>
      </c>
      <c r="CP10" s="439">
        <v>91.85</v>
      </c>
      <c r="CQ10" s="439">
        <v>92.93</v>
      </c>
    </row>
    <row r="11" spans="2:100" x14ac:dyDescent="0.2">
      <c r="B11" s="438">
        <v>6</v>
      </c>
      <c r="C11" s="439">
        <v>56.62</v>
      </c>
      <c r="D11" s="439">
        <v>56.85</v>
      </c>
      <c r="E11" s="439">
        <v>57.3</v>
      </c>
      <c r="L11" s="438">
        <v>6</v>
      </c>
      <c r="M11" s="439">
        <v>59.88</v>
      </c>
      <c r="N11" s="439">
        <v>60.18</v>
      </c>
      <c r="O11" s="439">
        <v>60.68</v>
      </c>
      <c r="V11" s="113">
        <v>6</v>
      </c>
      <c r="W11" s="439">
        <v>63.32</v>
      </c>
      <c r="X11" s="439">
        <v>63.69</v>
      </c>
      <c r="Y11" s="439">
        <v>64.25</v>
      </c>
      <c r="AF11" s="113">
        <v>6</v>
      </c>
      <c r="AG11" s="439">
        <v>66.95</v>
      </c>
      <c r="AH11" s="439">
        <v>67.39</v>
      </c>
      <c r="AI11" s="439">
        <v>68.02</v>
      </c>
      <c r="AP11" s="113">
        <v>6</v>
      </c>
      <c r="AQ11" s="439">
        <v>70.78</v>
      </c>
      <c r="AR11" s="439">
        <v>71.31</v>
      </c>
      <c r="AS11" s="439">
        <v>72</v>
      </c>
      <c r="AZ11" s="113">
        <v>6</v>
      </c>
      <c r="BA11" s="439">
        <v>73.27</v>
      </c>
      <c r="BB11" s="439">
        <v>73.88</v>
      </c>
      <c r="BC11" s="439">
        <v>74.62</v>
      </c>
      <c r="BJ11" s="113">
        <v>6</v>
      </c>
      <c r="BK11" s="439">
        <v>77.37</v>
      </c>
      <c r="BL11" s="439">
        <v>78.069999999999993</v>
      </c>
      <c r="BM11" s="439">
        <v>78.900000000000006</v>
      </c>
      <c r="BT11" s="113">
        <v>6</v>
      </c>
      <c r="BU11" s="439">
        <v>81.69</v>
      </c>
      <c r="BV11" s="439">
        <v>82.49</v>
      </c>
      <c r="BW11" s="439">
        <v>83.4</v>
      </c>
      <c r="CD11" s="113">
        <v>6</v>
      </c>
      <c r="CE11" s="439">
        <v>86.23</v>
      </c>
      <c r="CF11" s="439">
        <v>87.15</v>
      </c>
      <c r="CG11" s="439">
        <v>88.14</v>
      </c>
      <c r="CN11" s="113">
        <v>6</v>
      </c>
      <c r="CO11" s="439">
        <v>91.01</v>
      </c>
      <c r="CP11" s="439">
        <v>92.05</v>
      </c>
      <c r="CQ11" s="439">
        <v>93.14</v>
      </c>
    </row>
    <row r="12" spans="2:100" x14ac:dyDescent="0.2">
      <c r="B12" s="438">
        <v>7</v>
      </c>
      <c r="C12" s="439">
        <v>56.69</v>
      </c>
      <c r="D12" s="439">
        <v>56.93</v>
      </c>
      <c r="E12" s="439">
        <v>57.38</v>
      </c>
      <c r="L12" s="438">
        <v>7</v>
      </c>
      <c r="M12" s="439">
        <v>59.97</v>
      </c>
      <c r="N12" s="439">
        <v>60.26</v>
      </c>
      <c r="O12" s="439">
        <v>60.77</v>
      </c>
      <c r="V12" s="113">
        <v>7</v>
      </c>
      <c r="W12" s="439">
        <v>63.42</v>
      </c>
      <c r="X12" s="439">
        <v>63.79</v>
      </c>
      <c r="Y12" s="439">
        <v>64.349999999999994</v>
      </c>
      <c r="AF12" s="113">
        <v>7</v>
      </c>
      <c r="AG12" s="439">
        <v>67.06</v>
      </c>
      <c r="AH12" s="439">
        <v>67.5</v>
      </c>
      <c r="AI12" s="439">
        <v>68.13</v>
      </c>
      <c r="AP12" s="113">
        <v>7</v>
      </c>
      <c r="AQ12" s="439">
        <v>70.900000000000006</v>
      </c>
      <c r="AR12" s="439">
        <v>71.430000000000007</v>
      </c>
      <c r="AS12" s="439">
        <v>72.12</v>
      </c>
      <c r="AZ12" s="113">
        <v>7</v>
      </c>
      <c r="BA12" s="439">
        <v>73.41</v>
      </c>
      <c r="BB12" s="439">
        <v>74.010000000000005</v>
      </c>
      <c r="BC12" s="439">
        <v>74.760000000000005</v>
      </c>
      <c r="BJ12" s="113">
        <v>7</v>
      </c>
      <c r="BK12" s="439">
        <v>77.52</v>
      </c>
      <c r="BL12" s="439">
        <v>78.22</v>
      </c>
      <c r="BM12" s="439">
        <v>79.05</v>
      </c>
      <c r="BT12" s="113">
        <v>7</v>
      </c>
      <c r="BU12" s="439">
        <v>81.86</v>
      </c>
      <c r="BV12" s="439">
        <v>82.66</v>
      </c>
      <c r="BW12" s="439">
        <v>83.57</v>
      </c>
      <c r="CD12" s="113">
        <v>7</v>
      </c>
      <c r="CE12" s="439">
        <v>86.42</v>
      </c>
      <c r="CF12" s="439">
        <v>87.34</v>
      </c>
      <c r="CG12" s="439">
        <v>88.34</v>
      </c>
      <c r="CN12" s="113">
        <v>7</v>
      </c>
      <c r="CO12" s="439">
        <v>91.22</v>
      </c>
      <c r="CP12" s="439">
        <v>92.26</v>
      </c>
      <c r="CQ12" s="439">
        <v>93.35</v>
      </c>
    </row>
    <row r="13" spans="2:100" x14ac:dyDescent="0.2">
      <c r="B13" s="438">
        <v>8</v>
      </c>
      <c r="C13" s="439">
        <v>56.77</v>
      </c>
      <c r="D13" s="439">
        <v>57.01</v>
      </c>
      <c r="E13" s="439">
        <v>57.46</v>
      </c>
      <c r="L13" s="438">
        <v>8</v>
      </c>
      <c r="M13" s="439">
        <v>60.06</v>
      </c>
      <c r="N13" s="439">
        <v>60.35</v>
      </c>
      <c r="O13" s="439">
        <v>60.86</v>
      </c>
      <c r="V13" s="113">
        <v>8</v>
      </c>
      <c r="W13" s="439">
        <v>63.52</v>
      </c>
      <c r="X13" s="439">
        <v>63.89</v>
      </c>
      <c r="Y13" s="439">
        <v>64.45</v>
      </c>
      <c r="AF13" s="113">
        <v>8</v>
      </c>
      <c r="AG13" s="439">
        <v>67.17</v>
      </c>
      <c r="AH13" s="439">
        <v>67.62</v>
      </c>
      <c r="AI13" s="439">
        <v>68.25</v>
      </c>
      <c r="AP13" s="113">
        <v>8</v>
      </c>
      <c r="AQ13" s="439">
        <v>71.03</v>
      </c>
      <c r="AR13" s="439">
        <v>71.55</v>
      </c>
      <c r="AS13" s="439">
        <v>72.25</v>
      </c>
      <c r="AZ13" s="113">
        <v>8</v>
      </c>
      <c r="BA13" s="439">
        <v>73.55</v>
      </c>
      <c r="BB13" s="439">
        <v>74.150000000000006</v>
      </c>
      <c r="BC13" s="439">
        <v>74.91</v>
      </c>
      <c r="BJ13" s="113">
        <v>8</v>
      </c>
      <c r="BK13" s="439">
        <v>77.680000000000007</v>
      </c>
      <c r="BL13" s="439">
        <v>78.38</v>
      </c>
      <c r="BM13" s="439">
        <v>79.209999999999994</v>
      </c>
      <c r="BT13" s="113">
        <v>8</v>
      </c>
      <c r="BU13" s="439">
        <v>82.03</v>
      </c>
      <c r="BV13" s="439">
        <v>82.84</v>
      </c>
      <c r="BW13" s="439">
        <v>83.75</v>
      </c>
      <c r="CD13" s="113">
        <v>8</v>
      </c>
      <c r="CE13" s="439">
        <v>86.61</v>
      </c>
      <c r="CF13" s="439">
        <v>87.54</v>
      </c>
      <c r="CG13" s="439">
        <v>88.54</v>
      </c>
      <c r="CN13" s="113">
        <v>8</v>
      </c>
      <c r="CO13" s="439">
        <v>91.44</v>
      </c>
      <c r="CP13" s="439">
        <v>92.48</v>
      </c>
      <c r="CQ13" s="439">
        <v>93.58</v>
      </c>
    </row>
    <row r="14" spans="2:100" x14ac:dyDescent="0.2">
      <c r="B14" s="438">
        <v>9</v>
      </c>
      <c r="C14" s="439">
        <v>56.86</v>
      </c>
      <c r="D14" s="439">
        <v>57.09</v>
      </c>
      <c r="E14" s="439">
        <v>57.55</v>
      </c>
      <c r="L14" s="438">
        <v>9</v>
      </c>
      <c r="M14" s="439">
        <v>60.15</v>
      </c>
      <c r="N14" s="439">
        <v>60.45</v>
      </c>
      <c r="O14" s="439">
        <v>60.96</v>
      </c>
      <c r="V14" s="113">
        <v>9</v>
      </c>
      <c r="W14" s="439">
        <v>63.63</v>
      </c>
      <c r="X14" s="439">
        <v>63.99</v>
      </c>
      <c r="Y14" s="439">
        <v>64.56</v>
      </c>
      <c r="AF14" s="113">
        <v>9</v>
      </c>
      <c r="AG14" s="439">
        <v>67.290000000000006</v>
      </c>
      <c r="AH14" s="439">
        <v>67.739999999999995</v>
      </c>
      <c r="AI14" s="439">
        <v>68.37</v>
      </c>
      <c r="AP14" s="113">
        <v>9</v>
      </c>
      <c r="AQ14" s="439">
        <v>71.16</v>
      </c>
      <c r="AR14" s="439">
        <v>71.69</v>
      </c>
      <c r="AS14" s="439">
        <v>72.39</v>
      </c>
      <c r="AZ14" s="113">
        <v>9</v>
      </c>
      <c r="BA14" s="439">
        <v>73.7</v>
      </c>
      <c r="BB14" s="439">
        <v>74.3</v>
      </c>
      <c r="BC14" s="439">
        <v>75.06</v>
      </c>
      <c r="BJ14" s="113">
        <v>9</v>
      </c>
      <c r="BK14" s="439">
        <v>77.849999999999994</v>
      </c>
      <c r="BL14" s="439">
        <v>78.55</v>
      </c>
      <c r="BM14" s="439">
        <v>79.38</v>
      </c>
      <c r="BT14" s="113">
        <v>9</v>
      </c>
      <c r="BU14" s="439">
        <v>82.22</v>
      </c>
      <c r="BV14" s="439">
        <v>83.03</v>
      </c>
      <c r="BW14" s="439">
        <v>83.94</v>
      </c>
      <c r="CD14" s="113">
        <v>9</v>
      </c>
      <c r="CE14" s="439">
        <v>86.82</v>
      </c>
      <c r="CF14" s="439">
        <v>87.75</v>
      </c>
      <c r="CG14" s="439">
        <v>88.75</v>
      </c>
      <c r="CN14" s="113">
        <v>9</v>
      </c>
      <c r="CO14" s="439">
        <v>91.67</v>
      </c>
      <c r="CP14" s="439">
        <v>92.72</v>
      </c>
      <c r="CQ14" s="439">
        <v>93.82</v>
      </c>
    </row>
    <row r="15" spans="2:100" x14ac:dyDescent="0.2">
      <c r="B15" s="438">
        <v>10</v>
      </c>
      <c r="C15" s="439">
        <v>56.95</v>
      </c>
      <c r="D15" s="439">
        <v>57.18</v>
      </c>
      <c r="E15" s="439">
        <v>57.64</v>
      </c>
      <c r="L15" s="438">
        <v>10</v>
      </c>
      <c r="M15" s="439">
        <v>60.25</v>
      </c>
      <c r="N15" s="439">
        <v>60.55</v>
      </c>
      <c r="O15" s="439">
        <v>61.06</v>
      </c>
      <c r="V15" s="113">
        <v>10</v>
      </c>
      <c r="W15" s="439">
        <v>63.74</v>
      </c>
      <c r="X15" s="439">
        <v>64.11</v>
      </c>
      <c r="Y15" s="439">
        <v>64.680000000000007</v>
      </c>
      <c r="AF15" s="113">
        <v>10</v>
      </c>
      <c r="AG15" s="439">
        <v>67.42</v>
      </c>
      <c r="AH15" s="439">
        <v>67.86</v>
      </c>
      <c r="AI15" s="439">
        <v>68.5</v>
      </c>
      <c r="AP15" s="113">
        <v>10</v>
      </c>
      <c r="AQ15" s="439">
        <v>71.3</v>
      </c>
      <c r="AR15" s="439">
        <v>71.83</v>
      </c>
      <c r="AS15" s="439">
        <v>72.53</v>
      </c>
      <c r="AZ15" s="113">
        <v>10</v>
      </c>
      <c r="BA15" s="439">
        <v>73.849999999999994</v>
      </c>
      <c r="BB15" s="439">
        <v>74.459999999999994</v>
      </c>
      <c r="BC15" s="439">
        <v>75.22</v>
      </c>
      <c r="BJ15" s="113">
        <v>10</v>
      </c>
      <c r="BK15" s="439">
        <v>78.02</v>
      </c>
      <c r="BL15" s="439">
        <v>78.73</v>
      </c>
      <c r="BM15" s="439">
        <v>79.56</v>
      </c>
      <c r="BT15" s="113">
        <v>10</v>
      </c>
      <c r="BU15" s="439">
        <v>82.41</v>
      </c>
      <c r="BV15" s="439">
        <v>83.23</v>
      </c>
      <c r="BW15" s="439">
        <v>84.14</v>
      </c>
      <c r="CD15" s="113">
        <v>10</v>
      </c>
      <c r="CE15" s="439">
        <v>87.04</v>
      </c>
      <c r="CF15" s="439">
        <v>87.97</v>
      </c>
      <c r="CG15" s="439">
        <v>88.98</v>
      </c>
      <c r="CN15" s="113">
        <v>10</v>
      </c>
      <c r="CO15" s="439">
        <v>91.91</v>
      </c>
      <c r="CP15" s="439">
        <v>92.96</v>
      </c>
      <c r="CQ15" s="439">
        <v>94.07</v>
      </c>
    </row>
    <row r="16" spans="2:100" x14ac:dyDescent="0.2">
      <c r="B16" s="438">
        <v>11</v>
      </c>
      <c r="C16" s="439">
        <v>57.04</v>
      </c>
      <c r="D16" s="439">
        <v>57.28</v>
      </c>
      <c r="E16" s="439">
        <v>57.74</v>
      </c>
      <c r="L16" s="438">
        <v>11</v>
      </c>
      <c r="M16" s="439">
        <v>60.35</v>
      </c>
      <c r="N16" s="439">
        <v>60.66</v>
      </c>
      <c r="O16" s="439">
        <v>61.17</v>
      </c>
      <c r="V16" s="113">
        <v>11</v>
      </c>
      <c r="W16" s="439">
        <v>63.85</v>
      </c>
      <c r="X16" s="439">
        <v>64.22</v>
      </c>
      <c r="Y16" s="439">
        <v>64.8</v>
      </c>
      <c r="AF16" s="113">
        <v>11</v>
      </c>
      <c r="AG16" s="439">
        <v>67.55</v>
      </c>
      <c r="AH16" s="439">
        <v>68</v>
      </c>
      <c r="AI16" s="439">
        <v>68.63</v>
      </c>
      <c r="AP16" s="113">
        <v>11</v>
      </c>
      <c r="AQ16" s="439">
        <v>71.45</v>
      </c>
      <c r="AR16" s="439">
        <v>71.98</v>
      </c>
      <c r="AS16" s="439">
        <v>72.680000000000007</v>
      </c>
      <c r="AZ16" s="113">
        <v>11</v>
      </c>
      <c r="BA16" s="439">
        <v>74.02</v>
      </c>
      <c r="BB16" s="439">
        <v>74.63</v>
      </c>
      <c r="BC16" s="439">
        <v>75.39</v>
      </c>
      <c r="BJ16" s="113">
        <v>11</v>
      </c>
      <c r="BK16" s="439">
        <v>78.209999999999994</v>
      </c>
      <c r="BL16" s="439">
        <v>78.91</v>
      </c>
      <c r="BM16" s="439">
        <v>79.75</v>
      </c>
      <c r="BT16" s="113">
        <v>11</v>
      </c>
      <c r="BU16" s="439">
        <v>82.62</v>
      </c>
      <c r="BV16" s="439">
        <v>83.43</v>
      </c>
      <c r="BW16" s="439">
        <v>84.36</v>
      </c>
      <c r="CD16" s="113">
        <v>11</v>
      </c>
      <c r="CE16" s="439">
        <v>87.27</v>
      </c>
      <c r="CF16" s="439">
        <v>88.2</v>
      </c>
      <c r="CG16" s="439">
        <v>89.21</v>
      </c>
      <c r="CN16" s="113">
        <v>11</v>
      </c>
      <c r="CO16" s="439">
        <v>92.17</v>
      </c>
      <c r="CP16" s="439">
        <v>93.22</v>
      </c>
      <c r="CQ16" s="439">
        <v>94.33</v>
      </c>
    </row>
    <row r="17" spans="2:95" x14ac:dyDescent="0.2">
      <c r="B17" s="438">
        <v>12</v>
      </c>
      <c r="C17" s="439">
        <v>57.14</v>
      </c>
      <c r="D17" s="439">
        <v>57.38</v>
      </c>
      <c r="E17" s="439">
        <v>57.84</v>
      </c>
      <c r="L17" s="438">
        <v>12</v>
      </c>
      <c r="M17" s="439">
        <v>60.46</v>
      </c>
      <c r="N17" s="439">
        <v>60.77</v>
      </c>
      <c r="O17" s="439">
        <v>61.28</v>
      </c>
      <c r="V17" s="113">
        <v>12</v>
      </c>
      <c r="W17" s="439">
        <v>63.98</v>
      </c>
      <c r="X17" s="439">
        <v>64.349999999999994</v>
      </c>
      <c r="Y17" s="439">
        <v>64.92</v>
      </c>
      <c r="AF17" s="113">
        <v>12</v>
      </c>
      <c r="AG17" s="439">
        <v>67.69</v>
      </c>
      <c r="AH17" s="439">
        <v>68.13</v>
      </c>
      <c r="AI17" s="439">
        <v>68.77</v>
      </c>
      <c r="AP17" s="113">
        <v>12</v>
      </c>
      <c r="AQ17" s="439">
        <v>71.599999999999994</v>
      </c>
      <c r="AR17" s="439">
        <v>72.13</v>
      </c>
      <c r="AS17" s="439">
        <v>72.84</v>
      </c>
      <c r="AZ17" s="113">
        <v>12</v>
      </c>
      <c r="BA17" s="439">
        <v>74.19</v>
      </c>
      <c r="BB17" s="439">
        <v>74.8</v>
      </c>
      <c r="BC17" s="439">
        <v>75.569999999999993</v>
      </c>
      <c r="BJ17" s="113">
        <v>12</v>
      </c>
      <c r="BK17" s="439">
        <v>78.400000000000006</v>
      </c>
      <c r="BL17" s="439">
        <v>79.11</v>
      </c>
      <c r="BM17" s="439">
        <v>79.95</v>
      </c>
      <c r="BT17" s="113">
        <v>12</v>
      </c>
      <c r="BU17" s="439">
        <v>82.83</v>
      </c>
      <c r="BV17" s="439">
        <v>83.65</v>
      </c>
      <c r="BW17" s="439">
        <v>84.58</v>
      </c>
      <c r="CD17" s="113">
        <v>12</v>
      </c>
      <c r="CE17" s="439">
        <v>87.51</v>
      </c>
      <c r="CF17" s="439">
        <v>88.44</v>
      </c>
      <c r="CG17" s="439">
        <v>89.46</v>
      </c>
      <c r="CN17" s="113">
        <v>12</v>
      </c>
      <c r="CO17" s="439">
        <v>92.43</v>
      </c>
      <c r="CP17" s="439">
        <v>93.49</v>
      </c>
      <c r="CQ17" s="439">
        <v>94.61</v>
      </c>
    </row>
    <row r="18" spans="2:95" x14ac:dyDescent="0.2">
      <c r="B18" s="438">
        <v>13</v>
      </c>
      <c r="C18" s="439">
        <v>57.24</v>
      </c>
      <c r="D18" s="439">
        <v>57.48</v>
      </c>
      <c r="E18" s="439">
        <v>57.94</v>
      </c>
      <c r="L18" s="438">
        <v>13</v>
      </c>
      <c r="M18" s="439">
        <v>60.58</v>
      </c>
      <c r="N18" s="439">
        <v>60.88</v>
      </c>
      <c r="O18" s="439">
        <v>61.4</v>
      </c>
      <c r="V18" s="113">
        <v>13</v>
      </c>
      <c r="W18" s="439">
        <v>64.11</v>
      </c>
      <c r="X18" s="439">
        <v>64.48</v>
      </c>
      <c r="Y18" s="439">
        <v>65.06</v>
      </c>
      <c r="AF18" s="113">
        <v>13</v>
      </c>
      <c r="AG18" s="439">
        <v>67.83</v>
      </c>
      <c r="AH18" s="439">
        <v>68.28</v>
      </c>
      <c r="AI18" s="439">
        <v>68.92</v>
      </c>
      <c r="AP18" s="113">
        <v>13</v>
      </c>
      <c r="AQ18" s="439">
        <v>71.760000000000005</v>
      </c>
      <c r="AR18" s="439">
        <v>72.3</v>
      </c>
      <c r="AS18" s="439">
        <v>73.010000000000005</v>
      </c>
      <c r="AZ18" s="113">
        <v>13</v>
      </c>
      <c r="BA18" s="439">
        <v>74.37</v>
      </c>
      <c r="BB18" s="439">
        <v>74.989999999999995</v>
      </c>
      <c r="BC18" s="439">
        <v>75.75</v>
      </c>
      <c r="BJ18" s="113">
        <v>13</v>
      </c>
      <c r="BK18" s="439">
        <v>78.599999999999994</v>
      </c>
      <c r="BL18" s="439">
        <v>79.31</v>
      </c>
      <c r="BM18" s="439">
        <v>80.16</v>
      </c>
      <c r="BT18" s="113">
        <v>13</v>
      </c>
      <c r="BU18" s="439">
        <v>83.06</v>
      </c>
      <c r="BV18" s="439">
        <v>83.88</v>
      </c>
      <c r="BW18" s="439">
        <v>84.81</v>
      </c>
      <c r="CD18" s="113">
        <v>13</v>
      </c>
      <c r="CE18" s="439">
        <v>87.76</v>
      </c>
      <c r="CF18" s="439">
        <v>88.7</v>
      </c>
      <c r="CG18" s="439">
        <v>89.72</v>
      </c>
      <c r="CN18" s="113">
        <v>13</v>
      </c>
      <c r="CO18" s="439">
        <v>92.71</v>
      </c>
      <c r="CP18" s="439">
        <v>93.77</v>
      </c>
      <c r="CQ18" s="439">
        <v>94.89</v>
      </c>
    </row>
    <row r="19" spans="2:95" x14ac:dyDescent="0.2">
      <c r="B19" s="438">
        <v>14</v>
      </c>
      <c r="C19" s="439">
        <v>57.35</v>
      </c>
      <c r="D19" s="439">
        <v>57.59</v>
      </c>
      <c r="E19" s="439">
        <v>58.05</v>
      </c>
      <c r="L19" s="438">
        <v>14</v>
      </c>
      <c r="M19" s="439">
        <v>60.7</v>
      </c>
      <c r="N19" s="439">
        <v>61</v>
      </c>
      <c r="O19" s="439">
        <v>61.52</v>
      </c>
      <c r="V19" s="113">
        <v>14</v>
      </c>
      <c r="W19" s="439">
        <v>64.239999999999995</v>
      </c>
      <c r="X19" s="439">
        <v>64.62</v>
      </c>
      <c r="Y19" s="439">
        <v>65.2</v>
      </c>
      <c r="AF19" s="113">
        <v>14</v>
      </c>
      <c r="AG19" s="439">
        <v>67.98</v>
      </c>
      <c r="AH19" s="439">
        <v>68.44</v>
      </c>
      <c r="AI19" s="439">
        <v>69.08</v>
      </c>
      <c r="AP19" s="113">
        <v>14</v>
      </c>
      <c r="AQ19" s="439">
        <v>71.94</v>
      </c>
      <c r="AR19" s="439">
        <v>72.47</v>
      </c>
      <c r="AS19" s="439">
        <v>73.19</v>
      </c>
      <c r="AZ19" s="113">
        <v>14</v>
      </c>
      <c r="BA19" s="439">
        <v>74.56</v>
      </c>
      <c r="BB19" s="439">
        <v>75.180000000000007</v>
      </c>
      <c r="BC19" s="439">
        <v>75.95</v>
      </c>
      <c r="BJ19" s="113">
        <v>14</v>
      </c>
      <c r="BK19" s="439">
        <v>78.81</v>
      </c>
      <c r="BL19" s="439">
        <v>79.53</v>
      </c>
      <c r="BM19" s="439">
        <v>80.38</v>
      </c>
      <c r="BT19" s="113">
        <v>14</v>
      </c>
      <c r="BU19" s="439">
        <v>83.3</v>
      </c>
      <c r="BV19" s="439">
        <v>84.12</v>
      </c>
      <c r="BW19" s="439">
        <v>85.05</v>
      </c>
      <c r="CD19" s="113">
        <v>14</v>
      </c>
      <c r="CE19" s="439">
        <v>88.02</v>
      </c>
      <c r="CF19" s="439">
        <v>88.96</v>
      </c>
      <c r="CG19" s="439">
        <v>89.99</v>
      </c>
      <c r="CN19" s="113">
        <v>14</v>
      </c>
      <c r="CO19" s="439">
        <v>93</v>
      </c>
      <c r="CP19" s="439">
        <v>94.07</v>
      </c>
      <c r="CQ19" s="439">
        <v>95.19</v>
      </c>
    </row>
    <row r="20" spans="2:95" x14ac:dyDescent="0.2">
      <c r="B20" s="438">
        <v>15</v>
      </c>
      <c r="C20" s="439">
        <v>57.46</v>
      </c>
      <c r="D20" s="439">
        <v>57.7</v>
      </c>
      <c r="E20" s="439">
        <v>58.17</v>
      </c>
      <c r="L20" s="438">
        <v>15</v>
      </c>
      <c r="M20" s="439">
        <v>60.83</v>
      </c>
      <c r="N20" s="439">
        <v>61.13</v>
      </c>
      <c r="O20" s="439">
        <v>61.65</v>
      </c>
      <c r="V20" s="113">
        <v>15</v>
      </c>
      <c r="W20" s="439">
        <v>64.39</v>
      </c>
      <c r="X20" s="439">
        <v>64.760000000000005</v>
      </c>
      <c r="Y20" s="439">
        <v>65.34</v>
      </c>
      <c r="AF20" s="113">
        <v>15</v>
      </c>
      <c r="AG20" s="439">
        <v>68.150000000000006</v>
      </c>
      <c r="AH20" s="439">
        <v>68.599999999999994</v>
      </c>
      <c r="AI20" s="439">
        <v>69.239999999999995</v>
      </c>
      <c r="AP20" s="113">
        <v>15</v>
      </c>
      <c r="AQ20" s="439">
        <v>72.12</v>
      </c>
      <c r="AR20" s="439">
        <v>72.650000000000006</v>
      </c>
      <c r="AS20" s="439">
        <v>73.37</v>
      </c>
      <c r="AZ20" s="113">
        <v>15</v>
      </c>
      <c r="BA20" s="439">
        <v>74.760000000000005</v>
      </c>
      <c r="BB20" s="439">
        <v>75.38</v>
      </c>
      <c r="BC20" s="439">
        <v>76.150000000000006</v>
      </c>
      <c r="BJ20" s="113">
        <v>15</v>
      </c>
      <c r="BK20" s="439">
        <v>79.040000000000006</v>
      </c>
      <c r="BL20" s="439">
        <v>79.75</v>
      </c>
      <c r="BM20" s="439">
        <v>80.61</v>
      </c>
      <c r="BT20" s="113">
        <v>15</v>
      </c>
      <c r="BU20" s="439">
        <v>83.54</v>
      </c>
      <c r="BV20" s="439">
        <v>84.37</v>
      </c>
      <c r="BW20" s="439">
        <v>85.31</v>
      </c>
      <c r="CD20" s="113">
        <v>15</v>
      </c>
      <c r="CE20" s="439">
        <v>88.29</v>
      </c>
      <c r="CF20" s="439">
        <v>89.24</v>
      </c>
      <c r="CG20" s="439">
        <v>90.27</v>
      </c>
      <c r="CN20" s="113">
        <v>15</v>
      </c>
      <c r="CO20" s="439">
        <v>93.3</v>
      </c>
      <c r="CP20" s="439">
        <v>94.37</v>
      </c>
      <c r="CQ20" s="439">
        <v>95.51</v>
      </c>
    </row>
    <row r="21" spans="2:95" x14ac:dyDescent="0.2">
      <c r="B21" s="438">
        <v>16</v>
      </c>
      <c r="C21" s="439">
        <v>57.58</v>
      </c>
      <c r="D21" s="439">
        <v>57.82</v>
      </c>
      <c r="E21" s="439">
        <v>58.29</v>
      </c>
      <c r="L21" s="438">
        <v>16</v>
      </c>
      <c r="M21" s="439">
        <v>60.96</v>
      </c>
      <c r="N21" s="439">
        <v>61.27</v>
      </c>
      <c r="O21" s="439">
        <v>61.79</v>
      </c>
      <c r="V21" s="113">
        <v>16</v>
      </c>
      <c r="W21" s="439">
        <v>64.540000000000006</v>
      </c>
      <c r="X21" s="439">
        <v>64.91</v>
      </c>
      <c r="Y21" s="439">
        <v>65.5</v>
      </c>
      <c r="AF21" s="113">
        <v>16</v>
      </c>
      <c r="AG21" s="439">
        <v>68.31</v>
      </c>
      <c r="AH21" s="439">
        <v>68.77</v>
      </c>
      <c r="AI21" s="439">
        <v>69.42</v>
      </c>
      <c r="AP21" s="113">
        <v>16</v>
      </c>
      <c r="AQ21" s="439">
        <v>72.31</v>
      </c>
      <c r="AR21" s="439">
        <v>72.84</v>
      </c>
      <c r="AS21" s="439">
        <v>73.569999999999993</v>
      </c>
      <c r="AZ21" s="113">
        <v>16</v>
      </c>
      <c r="BA21" s="439">
        <v>74.97</v>
      </c>
      <c r="BB21" s="439">
        <v>75.59</v>
      </c>
      <c r="BC21" s="439">
        <v>76.37</v>
      </c>
      <c r="BJ21" s="113">
        <v>16</v>
      </c>
      <c r="BK21" s="439">
        <v>79.27</v>
      </c>
      <c r="BL21" s="439">
        <v>79.989999999999995</v>
      </c>
      <c r="BM21" s="439">
        <v>80.84</v>
      </c>
      <c r="BT21" s="113">
        <v>16</v>
      </c>
      <c r="BU21" s="439">
        <v>83.8</v>
      </c>
      <c r="BV21" s="439">
        <v>84.63</v>
      </c>
      <c r="BW21" s="439">
        <v>85.57</v>
      </c>
      <c r="CD21" s="113">
        <v>16</v>
      </c>
      <c r="CE21" s="439">
        <v>88.58</v>
      </c>
      <c r="CF21" s="439">
        <v>89.52</v>
      </c>
      <c r="CG21" s="439">
        <v>90.56</v>
      </c>
      <c r="CN21" s="113">
        <v>16</v>
      </c>
      <c r="CO21" s="439">
        <v>93.62</v>
      </c>
      <c r="CP21" s="439">
        <v>94.69</v>
      </c>
      <c r="CQ21" s="439">
        <v>95.83</v>
      </c>
    </row>
    <row r="22" spans="2:95" x14ac:dyDescent="0.2">
      <c r="B22" s="438">
        <v>17</v>
      </c>
      <c r="C22" s="439">
        <v>57.71</v>
      </c>
      <c r="D22" s="439">
        <v>57.95</v>
      </c>
      <c r="E22" s="439">
        <v>58.42</v>
      </c>
      <c r="L22" s="438">
        <v>17</v>
      </c>
      <c r="M22" s="439">
        <v>61.1</v>
      </c>
      <c r="N22" s="439">
        <v>61.41</v>
      </c>
      <c r="O22" s="439">
        <v>61.94</v>
      </c>
      <c r="V22" s="113">
        <v>17</v>
      </c>
      <c r="W22" s="439">
        <v>64.7</v>
      </c>
      <c r="X22" s="439">
        <v>65.069999999999993</v>
      </c>
      <c r="Y22" s="439">
        <v>65.66</v>
      </c>
      <c r="AF22" s="113">
        <v>17</v>
      </c>
      <c r="AG22" s="439">
        <v>68.489999999999995</v>
      </c>
      <c r="AH22" s="439">
        <v>68.95</v>
      </c>
      <c r="AI22" s="439">
        <v>69.599999999999994</v>
      </c>
      <c r="AP22" s="113">
        <v>17</v>
      </c>
      <c r="AQ22" s="439">
        <v>72.5</v>
      </c>
      <c r="AR22" s="439">
        <v>73.040000000000006</v>
      </c>
      <c r="AS22" s="439">
        <v>73.77</v>
      </c>
      <c r="AZ22" s="113">
        <v>17</v>
      </c>
      <c r="BA22" s="439">
        <v>75.19</v>
      </c>
      <c r="BB22" s="439">
        <v>75.81</v>
      </c>
      <c r="BC22" s="439">
        <v>76.59</v>
      </c>
      <c r="BJ22" s="113">
        <v>17</v>
      </c>
      <c r="BK22" s="439">
        <v>79.510000000000005</v>
      </c>
      <c r="BL22" s="439">
        <v>80.23</v>
      </c>
      <c r="BM22" s="439">
        <v>81.09</v>
      </c>
      <c r="BT22" s="113">
        <v>17</v>
      </c>
      <c r="BU22" s="439">
        <v>84.07</v>
      </c>
      <c r="BV22" s="439">
        <v>84.9</v>
      </c>
      <c r="BW22" s="439">
        <v>85.85</v>
      </c>
      <c r="CD22" s="113">
        <v>17</v>
      </c>
      <c r="CE22" s="439">
        <v>88.88</v>
      </c>
      <c r="CF22" s="439">
        <v>89.83</v>
      </c>
      <c r="CG22" s="439">
        <v>90.87</v>
      </c>
      <c r="CN22" s="113">
        <v>17</v>
      </c>
      <c r="CO22" s="439">
        <v>93.95</v>
      </c>
      <c r="CP22" s="439">
        <v>95.03</v>
      </c>
      <c r="CQ22" s="439">
        <v>96.18</v>
      </c>
    </row>
    <row r="23" spans="2:95" x14ac:dyDescent="0.2">
      <c r="B23" s="438">
        <v>18</v>
      </c>
      <c r="C23" s="439">
        <v>57.84</v>
      </c>
      <c r="D23" s="439">
        <v>58.08</v>
      </c>
      <c r="E23" s="439">
        <v>58.55</v>
      </c>
      <c r="L23" s="438">
        <v>18</v>
      </c>
      <c r="M23" s="439">
        <v>61.25</v>
      </c>
      <c r="N23" s="439">
        <v>61.56</v>
      </c>
      <c r="O23" s="439">
        <v>62.09</v>
      </c>
      <c r="V23" s="113">
        <v>18</v>
      </c>
      <c r="W23" s="439">
        <v>64.86</v>
      </c>
      <c r="X23" s="439">
        <v>65.239999999999995</v>
      </c>
      <c r="Y23" s="439">
        <v>65.83</v>
      </c>
      <c r="AF23" s="113">
        <v>18</v>
      </c>
      <c r="AG23" s="439">
        <v>68.680000000000007</v>
      </c>
      <c r="AH23" s="439">
        <v>69.13</v>
      </c>
      <c r="AI23" s="439">
        <v>69.790000000000006</v>
      </c>
      <c r="AP23" s="113">
        <v>18</v>
      </c>
      <c r="AQ23" s="439">
        <v>72.709999999999994</v>
      </c>
      <c r="AR23" s="439">
        <v>73.25</v>
      </c>
      <c r="AS23" s="439">
        <v>73.98</v>
      </c>
      <c r="AZ23" s="113">
        <v>18</v>
      </c>
      <c r="BA23" s="439">
        <v>75.42</v>
      </c>
      <c r="BB23" s="439">
        <v>76.040000000000006</v>
      </c>
      <c r="BC23" s="439">
        <v>76.83</v>
      </c>
      <c r="BJ23" s="113">
        <v>18</v>
      </c>
      <c r="BK23" s="439">
        <v>79.760000000000005</v>
      </c>
      <c r="BL23" s="439">
        <v>80.489999999999995</v>
      </c>
      <c r="BM23" s="439">
        <v>81.349999999999994</v>
      </c>
      <c r="BT23" s="113">
        <v>18</v>
      </c>
      <c r="BU23" s="439">
        <v>84.35</v>
      </c>
      <c r="BV23" s="439">
        <v>85.18</v>
      </c>
      <c r="BW23" s="439">
        <v>86.14</v>
      </c>
      <c r="CD23" s="113">
        <v>18</v>
      </c>
      <c r="CE23" s="439">
        <v>89.19</v>
      </c>
      <c r="CF23" s="439">
        <v>90.15</v>
      </c>
      <c r="CG23" s="439">
        <v>91.2</v>
      </c>
      <c r="CN23" s="113">
        <v>18</v>
      </c>
      <c r="CO23" s="439">
        <v>94.3</v>
      </c>
      <c r="CP23" s="439">
        <v>95.39</v>
      </c>
      <c r="CQ23" s="439">
        <v>96.54</v>
      </c>
    </row>
    <row r="24" spans="2:95" x14ac:dyDescent="0.2">
      <c r="B24" s="438">
        <v>19</v>
      </c>
      <c r="C24" s="439">
        <v>57.98</v>
      </c>
      <c r="D24" s="439">
        <v>58.22</v>
      </c>
      <c r="E24" s="439">
        <v>58.7</v>
      </c>
      <c r="L24" s="438">
        <v>19</v>
      </c>
      <c r="M24" s="439">
        <v>61.41</v>
      </c>
      <c r="N24" s="439">
        <v>61.72</v>
      </c>
      <c r="O24" s="439">
        <v>62.25</v>
      </c>
      <c r="V24" s="113">
        <v>19</v>
      </c>
      <c r="W24" s="439">
        <v>65.040000000000006</v>
      </c>
      <c r="X24" s="439">
        <v>65.42</v>
      </c>
      <c r="Y24" s="439">
        <v>66.010000000000005</v>
      </c>
      <c r="AF24" s="113">
        <v>19</v>
      </c>
      <c r="AG24" s="439">
        <v>68.87</v>
      </c>
      <c r="AH24" s="439">
        <v>69.33</v>
      </c>
      <c r="AI24" s="439">
        <v>69.989999999999995</v>
      </c>
      <c r="AP24" s="113">
        <v>19</v>
      </c>
      <c r="AQ24" s="439">
        <v>72.92</v>
      </c>
      <c r="AR24" s="439">
        <v>73.47</v>
      </c>
      <c r="AS24" s="439">
        <v>74.2</v>
      </c>
      <c r="AZ24" s="113">
        <v>19</v>
      </c>
      <c r="BA24" s="439">
        <v>75.66</v>
      </c>
      <c r="BB24" s="439">
        <v>76.28</v>
      </c>
      <c r="BC24" s="439">
        <v>77.069999999999993</v>
      </c>
      <c r="BJ24" s="113">
        <v>19</v>
      </c>
      <c r="BK24" s="439">
        <v>80.03</v>
      </c>
      <c r="BL24" s="439">
        <v>80.760000000000005</v>
      </c>
      <c r="BM24" s="439">
        <v>81.63</v>
      </c>
      <c r="BT24" s="113">
        <v>19</v>
      </c>
      <c r="BU24" s="439">
        <v>84.65</v>
      </c>
      <c r="BV24" s="439">
        <v>85.48</v>
      </c>
      <c r="BW24" s="439">
        <v>86.45</v>
      </c>
      <c r="CD24" s="113">
        <v>19</v>
      </c>
      <c r="CE24" s="439">
        <v>89.52</v>
      </c>
      <c r="CF24" s="439">
        <v>90.48</v>
      </c>
      <c r="CG24" s="439">
        <v>91.54</v>
      </c>
      <c r="CN24" s="113">
        <v>19</v>
      </c>
      <c r="CO24" s="439">
        <v>94.67</v>
      </c>
      <c r="CP24" s="439">
        <v>95.76</v>
      </c>
      <c r="CQ24" s="439">
        <v>96.92</v>
      </c>
    </row>
    <row r="25" spans="2:95" x14ac:dyDescent="0.2">
      <c r="B25" s="438">
        <v>20</v>
      </c>
      <c r="C25" s="439">
        <v>58.13</v>
      </c>
      <c r="D25" s="439">
        <v>58.37</v>
      </c>
      <c r="E25" s="439">
        <v>58.85</v>
      </c>
      <c r="L25" s="438">
        <v>20</v>
      </c>
      <c r="M25" s="439">
        <v>61.57</v>
      </c>
      <c r="N25" s="439">
        <v>61.88</v>
      </c>
      <c r="O25" s="439">
        <v>62.41</v>
      </c>
      <c r="V25" s="113">
        <v>20</v>
      </c>
      <c r="W25" s="439">
        <v>65.22</v>
      </c>
      <c r="X25" s="439">
        <v>65.599999999999994</v>
      </c>
      <c r="Y25" s="439">
        <v>66.19</v>
      </c>
      <c r="AF25" s="113">
        <v>20</v>
      </c>
      <c r="AG25" s="439">
        <v>69.069999999999993</v>
      </c>
      <c r="AH25" s="439">
        <v>69.53</v>
      </c>
      <c r="AI25" s="439">
        <v>70.19</v>
      </c>
      <c r="AP25" s="113">
        <v>20</v>
      </c>
      <c r="AQ25" s="439">
        <v>73.150000000000006</v>
      </c>
      <c r="AR25" s="439">
        <v>73.69</v>
      </c>
      <c r="AS25" s="439">
        <v>74.430000000000007</v>
      </c>
      <c r="AZ25" s="113">
        <v>20</v>
      </c>
      <c r="BA25" s="439">
        <v>75.91</v>
      </c>
      <c r="BB25" s="439">
        <v>76.540000000000006</v>
      </c>
      <c r="BC25" s="439">
        <v>77.33</v>
      </c>
      <c r="BJ25" s="113">
        <v>20</v>
      </c>
      <c r="BK25" s="439">
        <v>80.31</v>
      </c>
      <c r="BL25" s="439">
        <v>81.040000000000006</v>
      </c>
      <c r="BM25" s="439">
        <v>81.92</v>
      </c>
      <c r="BT25" s="113">
        <v>20</v>
      </c>
      <c r="BU25" s="439">
        <v>84.96</v>
      </c>
      <c r="BV25" s="439">
        <v>85.8</v>
      </c>
      <c r="BW25" s="439">
        <v>86.77</v>
      </c>
      <c r="CD25" s="113">
        <v>20</v>
      </c>
      <c r="CE25" s="439">
        <v>89.87</v>
      </c>
      <c r="CF25" s="439">
        <v>90.84</v>
      </c>
      <c r="CG25" s="439">
        <v>91.9</v>
      </c>
      <c r="CN25" s="113">
        <v>20</v>
      </c>
      <c r="CO25" s="439">
        <v>95.06</v>
      </c>
      <c r="CP25" s="439">
        <v>96.16</v>
      </c>
      <c r="CQ25" s="439">
        <v>97.33</v>
      </c>
    </row>
    <row r="26" spans="2:95" x14ac:dyDescent="0.2">
      <c r="B26" s="438">
        <v>21</v>
      </c>
      <c r="C26" s="439">
        <v>58.28</v>
      </c>
      <c r="D26" s="439">
        <v>58.52</v>
      </c>
      <c r="E26" s="439">
        <v>59</v>
      </c>
      <c r="L26" s="438">
        <v>21</v>
      </c>
      <c r="M26" s="439">
        <v>61.74</v>
      </c>
      <c r="N26" s="439">
        <v>62.05</v>
      </c>
      <c r="O26" s="439">
        <v>62.59</v>
      </c>
      <c r="V26" s="113">
        <v>21</v>
      </c>
      <c r="W26" s="439">
        <v>65.41</v>
      </c>
      <c r="X26" s="439">
        <v>65.790000000000006</v>
      </c>
      <c r="Y26" s="439">
        <v>66.39</v>
      </c>
      <c r="AF26" s="113">
        <v>21</v>
      </c>
      <c r="AG26" s="439">
        <v>69.28</v>
      </c>
      <c r="AH26" s="439">
        <v>69.739999999999995</v>
      </c>
      <c r="AI26" s="439">
        <v>70.41</v>
      </c>
      <c r="AP26" s="113">
        <v>21</v>
      </c>
      <c r="AQ26" s="439">
        <v>73.38</v>
      </c>
      <c r="AR26" s="439">
        <v>73.930000000000007</v>
      </c>
      <c r="AS26" s="439">
        <v>74.67</v>
      </c>
      <c r="AZ26" s="113">
        <v>21</v>
      </c>
      <c r="BA26" s="439">
        <v>76.17</v>
      </c>
      <c r="BB26" s="439">
        <v>76.8</v>
      </c>
      <c r="BC26" s="439">
        <v>77.599999999999994</v>
      </c>
      <c r="BJ26" s="113">
        <v>21</v>
      </c>
      <c r="BK26" s="439">
        <v>80.599999999999994</v>
      </c>
      <c r="BL26" s="439">
        <v>81.34</v>
      </c>
      <c r="BM26" s="439">
        <v>82.22</v>
      </c>
      <c r="BT26" s="113">
        <v>21</v>
      </c>
      <c r="BU26" s="439">
        <v>85.29</v>
      </c>
      <c r="BV26" s="439">
        <v>86.13</v>
      </c>
      <c r="BW26" s="439">
        <v>87.11</v>
      </c>
      <c r="CD26" s="113">
        <v>21</v>
      </c>
      <c r="CE26" s="439">
        <v>90.24</v>
      </c>
      <c r="CF26" s="439">
        <v>91.21</v>
      </c>
      <c r="CG26" s="439">
        <v>92.28</v>
      </c>
      <c r="CN26" s="113">
        <v>21</v>
      </c>
      <c r="CO26" s="439">
        <v>95.47</v>
      </c>
      <c r="CP26" s="439">
        <v>96.58</v>
      </c>
      <c r="CQ26" s="439">
        <v>97.75</v>
      </c>
    </row>
    <row r="27" spans="2:95" x14ac:dyDescent="0.2">
      <c r="B27" s="438">
        <v>22</v>
      </c>
      <c r="C27" s="439">
        <v>58.44</v>
      </c>
      <c r="D27" s="439">
        <v>58.69</v>
      </c>
      <c r="E27" s="439">
        <v>59.17</v>
      </c>
      <c r="L27" s="438">
        <v>22</v>
      </c>
      <c r="M27" s="439">
        <v>61.92</v>
      </c>
      <c r="N27" s="439">
        <v>62.23</v>
      </c>
      <c r="O27" s="439">
        <v>62.77</v>
      </c>
      <c r="V27" s="113">
        <v>22</v>
      </c>
      <c r="W27" s="439">
        <v>65.61</v>
      </c>
      <c r="X27" s="439">
        <v>65.989999999999995</v>
      </c>
      <c r="Y27" s="439">
        <v>66.59</v>
      </c>
      <c r="AF27" s="113">
        <v>22</v>
      </c>
      <c r="AG27" s="439">
        <v>69.510000000000005</v>
      </c>
      <c r="AH27" s="439">
        <v>69.97</v>
      </c>
      <c r="AI27" s="439">
        <v>70.64</v>
      </c>
      <c r="AP27" s="113">
        <v>22</v>
      </c>
      <c r="AQ27" s="439">
        <v>73.63</v>
      </c>
      <c r="AR27" s="439">
        <v>74.180000000000007</v>
      </c>
      <c r="AS27" s="439">
        <v>74.930000000000007</v>
      </c>
      <c r="AZ27" s="113">
        <v>22</v>
      </c>
      <c r="BA27" s="439">
        <v>76.45</v>
      </c>
      <c r="BB27" s="439">
        <v>77.08</v>
      </c>
      <c r="BC27" s="439">
        <v>77.89</v>
      </c>
      <c r="BJ27" s="113">
        <v>22</v>
      </c>
      <c r="BK27" s="439">
        <v>80.91</v>
      </c>
      <c r="BL27" s="439">
        <v>81.650000000000006</v>
      </c>
      <c r="BM27" s="439">
        <v>82.54</v>
      </c>
      <c r="BT27" s="113">
        <v>22</v>
      </c>
      <c r="BU27" s="439">
        <v>85.64</v>
      </c>
      <c r="BV27" s="439">
        <v>86.49</v>
      </c>
      <c r="BW27" s="439">
        <v>87.46</v>
      </c>
      <c r="CD27" s="113">
        <v>22</v>
      </c>
      <c r="CE27" s="439">
        <v>90.63</v>
      </c>
      <c r="CF27" s="439">
        <v>91.6</v>
      </c>
      <c r="CG27" s="439">
        <v>92.68</v>
      </c>
      <c r="CN27" s="113">
        <v>22</v>
      </c>
      <c r="CO27" s="439">
        <v>95.91</v>
      </c>
      <c r="CP27" s="439">
        <v>97.02</v>
      </c>
      <c r="CQ27" s="439">
        <v>98.2</v>
      </c>
    </row>
    <row r="28" spans="2:95" x14ac:dyDescent="0.2">
      <c r="B28" s="438">
        <v>23</v>
      </c>
      <c r="C28" s="439">
        <v>58.61</v>
      </c>
      <c r="D28" s="439">
        <v>58.85</v>
      </c>
      <c r="E28" s="439">
        <v>59.34</v>
      </c>
      <c r="L28" s="438">
        <v>23</v>
      </c>
      <c r="M28" s="439">
        <v>62.11</v>
      </c>
      <c r="N28" s="439">
        <v>62.42</v>
      </c>
      <c r="O28" s="439">
        <v>62.96</v>
      </c>
      <c r="V28" s="113">
        <v>23</v>
      </c>
      <c r="W28" s="439">
        <v>65.81</v>
      </c>
      <c r="X28" s="439">
        <v>66.2</v>
      </c>
      <c r="Y28" s="439">
        <v>66.8</v>
      </c>
      <c r="AF28" s="113">
        <v>23</v>
      </c>
      <c r="AG28" s="439">
        <v>69.739999999999995</v>
      </c>
      <c r="AH28" s="439">
        <v>70.209999999999994</v>
      </c>
      <c r="AI28" s="439">
        <v>70.88</v>
      </c>
      <c r="AP28" s="113">
        <v>23</v>
      </c>
      <c r="AQ28" s="439">
        <v>73.89</v>
      </c>
      <c r="AR28" s="439">
        <v>74.45</v>
      </c>
      <c r="AS28" s="439">
        <v>75.2</v>
      </c>
      <c r="AZ28" s="113">
        <v>23</v>
      </c>
      <c r="BA28" s="439">
        <v>76.739999999999995</v>
      </c>
      <c r="BB28" s="439">
        <v>77.38</v>
      </c>
      <c r="BC28" s="439">
        <v>78.19</v>
      </c>
      <c r="BJ28" s="113">
        <v>23</v>
      </c>
      <c r="BK28" s="439">
        <v>81.239999999999995</v>
      </c>
      <c r="BL28" s="439">
        <v>81.98</v>
      </c>
      <c r="BM28" s="439">
        <v>82.88</v>
      </c>
      <c r="BT28" s="113">
        <v>23</v>
      </c>
      <c r="BU28" s="439">
        <v>86</v>
      </c>
      <c r="BV28" s="439">
        <v>86.86</v>
      </c>
      <c r="BW28" s="439">
        <v>87.84</v>
      </c>
      <c r="CD28" s="113">
        <v>23</v>
      </c>
      <c r="CE28" s="439">
        <v>91.04</v>
      </c>
      <c r="CF28" s="439">
        <v>92.02</v>
      </c>
      <c r="CG28" s="439">
        <v>93.11</v>
      </c>
      <c r="CN28" s="113">
        <v>23</v>
      </c>
      <c r="CO28" s="439">
        <v>96.37</v>
      </c>
      <c r="CP28" s="439">
        <v>97.49</v>
      </c>
      <c r="CQ28" s="439">
        <v>98.68</v>
      </c>
    </row>
    <row r="29" spans="2:95" x14ac:dyDescent="0.2">
      <c r="B29" s="438">
        <v>24</v>
      </c>
      <c r="C29" s="439">
        <v>58.78</v>
      </c>
      <c r="D29" s="439">
        <v>59.03</v>
      </c>
      <c r="E29" s="439">
        <v>59.52</v>
      </c>
      <c r="L29" s="438">
        <v>24</v>
      </c>
      <c r="M29" s="439">
        <v>62.3</v>
      </c>
      <c r="N29" s="439">
        <v>62.62</v>
      </c>
      <c r="O29" s="439">
        <v>63.16</v>
      </c>
      <c r="V29" s="113">
        <v>24</v>
      </c>
      <c r="W29" s="439">
        <v>66.03</v>
      </c>
      <c r="X29" s="439">
        <v>66.42</v>
      </c>
      <c r="Y29" s="439">
        <v>67.03</v>
      </c>
      <c r="AF29" s="113">
        <v>24</v>
      </c>
      <c r="AG29" s="439">
        <v>69.989999999999995</v>
      </c>
      <c r="AH29" s="439">
        <v>70.45</v>
      </c>
      <c r="AI29" s="439">
        <v>71.13</v>
      </c>
      <c r="AP29" s="113">
        <v>24</v>
      </c>
      <c r="AQ29" s="439">
        <v>74.17</v>
      </c>
      <c r="AR29" s="439">
        <v>74.73</v>
      </c>
      <c r="AS29" s="439">
        <v>75.48</v>
      </c>
      <c r="AZ29" s="113">
        <v>24</v>
      </c>
      <c r="BA29" s="439">
        <v>77.05</v>
      </c>
      <c r="BB29" s="439">
        <v>77.69</v>
      </c>
      <c r="BC29" s="439">
        <v>78.510000000000005</v>
      </c>
      <c r="BJ29" s="113">
        <v>24</v>
      </c>
      <c r="BK29" s="439">
        <v>81.59</v>
      </c>
      <c r="BL29" s="439">
        <v>82.33</v>
      </c>
      <c r="BM29" s="439">
        <v>83.23</v>
      </c>
      <c r="BT29" s="113">
        <v>24</v>
      </c>
      <c r="BU29" s="439">
        <v>86.39</v>
      </c>
      <c r="BV29" s="439">
        <v>87.25</v>
      </c>
      <c r="BW29" s="439">
        <v>88.25</v>
      </c>
      <c r="CD29" s="113">
        <v>24</v>
      </c>
      <c r="CE29" s="439">
        <v>91.48</v>
      </c>
      <c r="CF29" s="439">
        <v>92.47</v>
      </c>
      <c r="CG29" s="439">
        <v>93.56</v>
      </c>
      <c r="CN29" s="113">
        <v>24</v>
      </c>
      <c r="CO29" s="439">
        <v>96.87</v>
      </c>
      <c r="CP29" s="439">
        <v>97.99</v>
      </c>
      <c r="CQ29" s="439">
        <v>99.19</v>
      </c>
    </row>
    <row r="30" spans="2:95" x14ac:dyDescent="0.2">
      <c r="B30" s="438">
        <v>25</v>
      </c>
      <c r="C30" s="439">
        <v>58.97</v>
      </c>
      <c r="D30" s="439">
        <v>59.22</v>
      </c>
      <c r="E30" s="439">
        <v>59.7</v>
      </c>
      <c r="L30" s="438">
        <v>25</v>
      </c>
      <c r="M30" s="439">
        <v>62.51</v>
      </c>
      <c r="N30" s="439">
        <v>62.83</v>
      </c>
      <c r="O30" s="439">
        <v>63.37</v>
      </c>
      <c r="V30" s="113">
        <v>25</v>
      </c>
      <c r="W30" s="439">
        <v>66.27</v>
      </c>
      <c r="X30" s="439">
        <v>66.66</v>
      </c>
      <c r="Y30" s="439">
        <v>67.27</v>
      </c>
      <c r="AF30" s="113">
        <v>25</v>
      </c>
      <c r="AG30" s="439">
        <v>70.25</v>
      </c>
      <c r="AH30" s="439">
        <v>70.72</v>
      </c>
      <c r="AI30" s="439">
        <v>71.400000000000006</v>
      </c>
      <c r="AP30" s="113">
        <v>25</v>
      </c>
      <c r="AQ30" s="439">
        <v>74.459999999999994</v>
      </c>
      <c r="AR30" s="439">
        <v>75.02</v>
      </c>
      <c r="AS30" s="439">
        <v>75.78</v>
      </c>
      <c r="AZ30" s="113">
        <v>25</v>
      </c>
      <c r="BA30" s="439">
        <v>77.38</v>
      </c>
      <c r="BB30" s="439">
        <v>78.02</v>
      </c>
      <c r="BC30" s="439">
        <v>78.84</v>
      </c>
      <c r="BJ30" s="113">
        <v>25</v>
      </c>
      <c r="BK30" s="439">
        <v>81.96</v>
      </c>
      <c r="BL30" s="439">
        <v>82.71</v>
      </c>
      <c r="BM30" s="439">
        <v>83.61</v>
      </c>
      <c r="BT30" s="113">
        <v>25</v>
      </c>
      <c r="BU30" s="439">
        <v>86.81</v>
      </c>
      <c r="BV30" s="439">
        <v>87.67</v>
      </c>
      <c r="BW30" s="439">
        <v>88.67</v>
      </c>
      <c r="CD30" s="113">
        <v>25</v>
      </c>
      <c r="CE30" s="439">
        <v>91.94</v>
      </c>
      <c r="CF30" s="439">
        <v>92.93</v>
      </c>
      <c r="CG30" s="439">
        <v>94.04</v>
      </c>
      <c r="CN30" s="113">
        <v>25</v>
      </c>
      <c r="CO30" s="439">
        <v>97.38</v>
      </c>
      <c r="CP30" s="439">
        <v>98.51</v>
      </c>
      <c r="CQ30" s="439">
        <v>99.72</v>
      </c>
    </row>
    <row r="31" spans="2:95" x14ac:dyDescent="0.2">
      <c r="B31" s="438">
        <v>26</v>
      </c>
      <c r="C31" s="439">
        <v>59.16</v>
      </c>
      <c r="D31" s="439">
        <v>59.41</v>
      </c>
      <c r="E31" s="439">
        <v>59.9</v>
      </c>
      <c r="L31" s="438">
        <v>26</v>
      </c>
      <c r="M31" s="439">
        <v>62.73</v>
      </c>
      <c r="N31" s="439">
        <v>63.05</v>
      </c>
      <c r="O31" s="439">
        <v>63.6</v>
      </c>
      <c r="V31" s="113">
        <v>26</v>
      </c>
      <c r="W31" s="439">
        <v>66.510000000000005</v>
      </c>
      <c r="X31" s="439">
        <v>66.900000000000006</v>
      </c>
      <c r="Y31" s="439">
        <v>67.52</v>
      </c>
      <c r="AF31" s="113">
        <v>26</v>
      </c>
      <c r="AG31" s="439">
        <v>70.52</v>
      </c>
      <c r="AH31" s="439">
        <v>70.989999999999995</v>
      </c>
      <c r="AI31" s="439">
        <v>71.680000000000007</v>
      </c>
      <c r="AP31" s="113">
        <v>26</v>
      </c>
      <c r="AQ31" s="439">
        <v>74.77</v>
      </c>
      <c r="AR31" s="439">
        <v>75.34</v>
      </c>
      <c r="AS31" s="439">
        <v>76.099999999999994</v>
      </c>
      <c r="AZ31" s="113">
        <v>26</v>
      </c>
      <c r="BA31" s="439">
        <v>77.73</v>
      </c>
      <c r="BB31" s="439">
        <v>78.37</v>
      </c>
      <c r="BC31" s="439">
        <v>79.2</v>
      </c>
      <c r="BJ31" s="113">
        <v>26</v>
      </c>
      <c r="BK31" s="439">
        <v>82.35</v>
      </c>
      <c r="BL31" s="439">
        <v>83.1</v>
      </c>
      <c r="BM31" s="439">
        <v>84.01</v>
      </c>
      <c r="BT31" s="113">
        <v>26</v>
      </c>
      <c r="BU31" s="439">
        <v>87.25</v>
      </c>
      <c r="BV31" s="439">
        <v>88.11</v>
      </c>
      <c r="BW31" s="439">
        <v>89.12</v>
      </c>
      <c r="CD31" s="113">
        <v>26</v>
      </c>
      <c r="CE31" s="439">
        <v>92.43</v>
      </c>
      <c r="CF31" s="439">
        <v>93.43</v>
      </c>
      <c r="CG31" s="439">
        <v>94.54</v>
      </c>
      <c r="CN31" s="113">
        <v>26</v>
      </c>
      <c r="CO31" s="439">
        <v>97.93</v>
      </c>
      <c r="CP31" s="439">
        <v>99.07</v>
      </c>
      <c r="CQ31" s="439">
        <v>100.29</v>
      </c>
    </row>
    <row r="32" spans="2:95" x14ac:dyDescent="0.2">
      <c r="B32" s="438">
        <v>27</v>
      </c>
      <c r="C32" s="439">
        <v>59.37</v>
      </c>
      <c r="D32" s="439">
        <v>59.62</v>
      </c>
      <c r="E32" s="439">
        <v>60.11</v>
      </c>
      <c r="L32" s="438">
        <v>27</v>
      </c>
      <c r="M32" s="439">
        <v>62.96</v>
      </c>
      <c r="N32" s="439">
        <v>63.28</v>
      </c>
      <c r="O32" s="439">
        <v>63.83</v>
      </c>
      <c r="V32" s="113">
        <v>27</v>
      </c>
      <c r="W32" s="439">
        <v>66.77</v>
      </c>
      <c r="X32" s="439">
        <v>67.16</v>
      </c>
      <c r="Y32" s="439">
        <v>67.78</v>
      </c>
      <c r="AF32" s="113">
        <v>27</v>
      </c>
      <c r="AG32" s="439">
        <v>70.81</v>
      </c>
      <c r="AH32" s="439">
        <v>71.290000000000006</v>
      </c>
      <c r="AI32" s="439">
        <v>71.98</v>
      </c>
      <c r="AP32" s="113">
        <v>27</v>
      </c>
      <c r="AQ32" s="439">
        <v>75.099999999999994</v>
      </c>
      <c r="AR32" s="439">
        <v>75.67</v>
      </c>
      <c r="AS32" s="439">
        <v>76.44</v>
      </c>
      <c r="AZ32" s="113">
        <v>27</v>
      </c>
      <c r="BA32" s="439">
        <v>78.09</v>
      </c>
      <c r="BB32" s="439">
        <v>78.75</v>
      </c>
      <c r="BC32" s="439">
        <v>79.58</v>
      </c>
      <c r="BJ32" s="113">
        <v>27</v>
      </c>
      <c r="BK32" s="439">
        <v>82.76</v>
      </c>
      <c r="BL32" s="439">
        <v>83.52</v>
      </c>
      <c r="BM32" s="439">
        <v>84.44</v>
      </c>
      <c r="BT32" s="113">
        <v>27</v>
      </c>
      <c r="BU32" s="439">
        <v>87.71</v>
      </c>
      <c r="BV32" s="439">
        <v>88.58</v>
      </c>
      <c r="BW32" s="439">
        <v>89.6</v>
      </c>
      <c r="CD32" s="113">
        <v>27</v>
      </c>
      <c r="CE32" s="439">
        <v>92.95</v>
      </c>
      <c r="CF32" s="439">
        <v>93.95</v>
      </c>
      <c r="CG32" s="439">
        <v>95.07</v>
      </c>
      <c r="CN32" s="113">
        <v>27</v>
      </c>
      <c r="CO32" s="439">
        <v>98.5</v>
      </c>
      <c r="CP32" s="439">
        <v>99.65</v>
      </c>
      <c r="CQ32" s="439">
        <v>100.88</v>
      </c>
    </row>
    <row r="33" spans="2:95" x14ac:dyDescent="0.2">
      <c r="B33" s="438">
        <v>28</v>
      </c>
      <c r="C33" s="439">
        <v>59.58</v>
      </c>
      <c r="D33" s="439">
        <v>59.84</v>
      </c>
      <c r="E33" s="439">
        <v>60.33</v>
      </c>
      <c r="L33" s="438">
        <v>28</v>
      </c>
      <c r="M33" s="439">
        <v>63.2</v>
      </c>
      <c r="N33" s="439">
        <v>63.52</v>
      </c>
      <c r="O33" s="439">
        <v>64.08</v>
      </c>
      <c r="V33" s="113">
        <v>28</v>
      </c>
      <c r="W33" s="439">
        <v>67.05</v>
      </c>
      <c r="X33" s="439">
        <v>67.44</v>
      </c>
      <c r="Y33" s="439">
        <v>68.06</v>
      </c>
      <c r="AF33" s="113">
        <v>28</v>
      </c>
      <c r="AG33" s="439">
        <v>71.12</v>
      </c>
      <c r="AH33" s="439">
        <v>71.599999999999994</v>
      </c>
      <c r="AI33" s="439">
        <v>72.3</v>
      </c>
      <c r="AP33" s="113">
        <v>28</v>
      </c>
      <c r="AQ33" s="439">
        <v>75.45</v>
      </c>
      <c r="AR33" s="439">
        <v>76.02</v>
      </c>
      <c r="AS33" s="439">
        <v>76.8</v>
      </c>
      <c r="AZ33" s="113">
        <v>28</v>
      </c>
      <c r="BA33" s="439">
        <v>78.489999999999995</v>
      </c>
      <c r="BB33" s="439">
        <v>79.14</v>
      </c>
      <c r="BC33" s="439">
        <v>79.98</v>
      </c>
      <c r="BJ33" s="113">
        <v>28</v>
      </c>
      <c r="BK33" s="439">
        <v>83.2</v>
      </c>
      <c r="BL33" s="439">
        <v>83.96</v>
      </c>
      <c r="BM33" s="439">
        <v>84.89</v>
      </c>
      <c r="BT33" s="113">
        <v>28</v>
      </c>
      <c r="BU33" s="439">
        <v>88.2</v>
      </c>
      <c r="BV33" s="439">
        <v>89.08</v>
      </c>
      <c r="BW33" s="439">
        <v>90.1</v>
      </c>
      <c r="CD33" s="113">
        <v>28</v>
      </c>
      <c r="CE33" s="439">
        <v>93.49</v>
      </c>
      <c r="CF33" s="439">
        <v>94.51</v>
      </c>
      <c r="CG33" s="439">
        <v>95.64</v>
      </c>
      <c r="CN33" s="113">
        <v>28</v>
      </c>
      <c r="CO33" s="439">
        <v>99.11</v>
      </c>
      <c r="CP33" s="439">
        <v>100.26</v>
      </c>
      <c r="CQ33" s="439">
        <v>101.51</v>
      </c>
    </row>
    <row r="34" spans="2:95" x14ac:dyDescent="0.2">
      <c r="B34" s="438">
        <v>29</v>
      </c>
      <c r="C34" s="439">
        <v>59.81</v>
      </c>
      <c r="D34" s="439">
        <v>60.07</v>
      </c>
      <c r="E34" s="439">
        <v>60.57</v>
      </c>
      <c r="L34" s="438">
        <v>29</v>
      </c>
      <c r="M34" s="439">
        <v>63.46</v>
      </c>
      <c r="N34" s="439">
        <v>63.78</v>
      </c>
      <c r="O34" s="439">
        <v>64.349999999999994</v>
      </c>
      <c r="V34" s="113">
        <v>29</v>
      </c>
      <c r="W34" s="439">
        <v>67.34</v>
      </c>
      <c r="X34" s="439">
        <v>67.73</v>
      </c>
      <c r="Y34" s="439">
        <v>68.36</v>
      </c>
      <c r="AF34" s="113">
        <v>29</v>
      </c>
      <c r="AG34" s="439">
        <v>71.45</v>
      </c>
      <c r="AH34" s="439">
        <v>71.930000000000007</v>
      </c>
      <c r="AI34" s="439">
        <v>72.63</v>
      </c>
      <c r="AP34" s="113">
        <v>29</v>
      </c>
      <c r="AQ34" s="439">
        <v>75.819999999999993</v>
      </c>
      <c r="AR34" s="439">
        <v>76.39</v>
      </c>
      <c r="AS34" s="439">
        <v>77.17</v>
      </c>
      <c r="AZ34" s="113">
        <v>29</v>
      </c>
      <c r="BA34" s="439">
        <v>78.900000000000006</v>
      </c>
      <c r="BB34" s="439">
        <v>79.56</v>
      </c>
      <c r="BC34" s="439">
        <v>80.400000000000006</v>
      </c>
      <c r="BJ34" s="113">
        <v>29</v>
      </c>
      <c r="BK34" s="439">
        <v>83.66</v>
      </c>
      <c r="BL34" s="439">
        <v>84.43</v>
      </c>
      <c r="BM34" s="439">
        <v>85.36</v>
      </c>
      <c r="BT34" s="113">
        <v>29</v>
      </c>
      <c r="BU34" s="439">
        <v>88.71</v>
      </c>
      <c r="BV34" s="439">
        <v>89.6</v>
      </c>
      <c r="BW34" s="439">
        <v>90.63</v>
      </c>
      <c r="CD34" s="113">
        <v>29</v>
      </c>
      <c r="CE34" s="439">
        <v>94.07</v>
      </c>
      <c r="CF34" s="439">
        <v>95.09</v>
      </c>
      <c r="CG34" s="439">
        <v>96.23</v>
      </c>
      <c r="CN34" s="113">
        <v>29</v>
      </c>
      <c r="CO34" s="439">
        <v>99.75</v>
      </c>
      <c r="CP34" s="439">
        <v>100.91</v>
      </c>
      <c r="CQ34" s="439">
        <v>102.16</v>
      </c>
    </row>
    <row r="35" spans="2:95" x14ac:dyDescent="0.2">
      <c r="B35" s="438">
        <v>30</v>
      </c>
      <c r="C35" s="439">
        <v>60.06</v>
      </c>
      <c r="D35" s="439">
        <v>60.31</v>
      </c>
      <c r="E35" s="439">
        <v>60.82</v>
      </c>
      <c r="L35" s="438">
        <v>30</v>
      </c>
      <c r="M35" s="439">
        <v>63.74</v>
      </c>
      <c r="N35" s="439">
        <v>64.06</v>
      </c>
      <c r="O35" s="439">
        <v>64.63</v>
      </c>
      <c r="V35" s="113">
        <v>30</v>
      </c>
      <c r="W35" s="439">
        <v>67.650000000000006</v>
      </c>
      <c r="X35" s="439">
        <v>68.040000000000006</v>
      </c>
      <c r="Y35" s="439">
        <v>68.680000000000007</v>
      </c>
      <c r="AF35" s="113">
        <v>30</v>
      </c>
      <c r="AG35" s="439">
        <v>71.8</v>
      </c>
      <c r="AH35" s="439">
        <v>72.28</v>
      </c>
      <c r="AI35" s="439">
        <v>72.989999999999995</v>
      </c>
      <c r="AP35" s="113">
        <v>30</v>
      </c>
      <c r="AQ35" s="439">
        <v>76.209999999999994</v>
      </c>
      <c r="AR35" s="439">
        <v>76.790000000000006</v>
      </c>
      <c r="AS35" s="439">
        <v>77.569999999999993</v>
      </c>
      <c r="AZ35" s="113">
        <v>30</v>
      </c>
      <c r="BA35" s="439">
        <v>79.33</v>
      </c>
      <c r="BB35" s="439">
        <v>80</v>
      </c>
      <c r="BC35" s="439">
        <v>80.849999999999994</v>
      </c>
      <c r="BJ35" s="113">
        <v>30</v>
      </c>
      <c r="BK35" s="439">
        <v>84.14</v>
      </c>
      <c r="BL35" s="439">
        <v>84.92</v>
      </c>
      <c r="BM35" s="439">
        <v>85.86</v>
      </c>
      <c r="BT35" s="113">
        <v>30</v>
      </c>
      <c r="BU35" s="439">
        <v>89.25</v>
      </c>
      <c r="BV35" s="439">
        <v>90.15</v>
      </c>
      <c r="BW35" s="439">
        <v>91.19</v>
      </c>
      <c r="CD35" s="113">
        <v>30</v>
      </c>
      <c r="CE35" s="439">
        <v>94.67</v>
      </c>
      <c r="CF35" s="439">
        <v>95.7</v>
      </c>
      <c r="CG35" s="439">
        <v>96.85</v>
      </c>
      <c r="CN35" s="113">
        <v>30</v>
      </c>
      <c r="CO35" s="439">
        <v>100.42</v>
      </c>
      <c r="CP35" s="439">
        <v>101.59</v>
      </c>
      <c r="CQ35" s="439">
        <v>102.86</v>
      </c>
    </row>
    <row r="36" spans="2:95" x14ac:dyDescent="0.2">
      <c r="B36" s="438">
        <v>31</v>
      </c>
      <c r="C36" s="439">
        <v>60.31</v>
      </c>
      <c r="D36" s="439">
        <v>60.57</v>
      </c>
      <c r="E36" s="439">
        <v>61.08</v>
      </c>
      <c r="L36" s="438">
        <v>31</v>
      </c>
      <c r="M36" s="439">
        <v>64.03</v>
      </c>
      <c r="N36" s="439">
        <v>64.349999999999994</v>
      </c>
      <c r="O36" s="439">
        <v>64.92</v>
      </c>
      <c r="V36" s="113">
        <v>31</v>
      </c>
      <c r="W36" s="439">
        <v>67.97</v>
      </c>
      <c r="X36" s="439">
        <v>68.38</v>
      </c>
      <c r="Y36" s="439">
        <v>69.010000000000005</v>
      </c>
      <c r="AF36" s="113">
        <v>31</v>
      </c>
      <c r="AG36" s="439">
        <v>72.17</v>
      </c>
      <c r="AH36" s="439">
        <v>72.650000000000006</v>
      </c>
      <c r="AI36" s="439">
        <v>73.37</v>
      </c>
      <c r="AP36" s="113">
        <v>31</v>
      </c>
      <c r="AQ36" s="439">
        <v>76.62</v>
      </c>
      <c r="AR36" s="439">
        <v>77.2</v>
      </c>
      <c r="AS36" s="439">
        <v>78</v>
      </c>
      <c r="AZ36" s="113">
        <v>31</v>
      </c>
      <c r="BA36" s="439">
        <v>79.790000000000006</v>
      </c>
      <c r="BB36" s="439">
        <v>80.459999999999994</v>
      </c>
      <c r="BC36" s="439">
        <v>81.319999999999993</v>
      </c>
      <c r="BJ36" s="113">
        <v>31</v>
      </c>
      <c r="BK36" s="439">
        <v>84.66</v>
      </c>
      <c r="BL36" s="439">
        <v>85.44</v>
      </c>
      <c r="BM36" s="439">
        <v>86.39</v>
      </c>
      <c r="BT36" s="113">
        <v>31</v>
      </c>
      <c r="BU36" s="439">
        <v>89.82</v>
      </c>
      <c r="BV36" s="439">
        <v>90.72</v>
      </c>
      <c r="BW36" s="439">
        <v>91.78</v>
      </c>
      <c r="CD36" s="113">
        <v>31</v>
      </c>
      <c r="CE36" s="439">
        <v>95.3</v>
      </c>
      <c r="CF36" s="439">
        <v>96.34</v>
      </c>
      <c r="CG36" s="439">
        <v>97.5</v>
      </c>
      <c r="CN36" s="113">
        <v>31</v>
      </c>
      <c r="CO36" s="439">
        <v>101.12</v>
      </c>
      <c r="CP36" s="439">
        <v>102.3</v>
      </c>
      <c r="CQ36" s="439">
        <v>103.58</v>
      </c>
    </row>
    <row r="37" spans="2:95" x14ac:dyDescent="0.2">
      <c r="B37" s="438">
        <v>32</v>
      </c>
      <c r="C37" s="439">
        <v>60.59</v>
      </c>
      <c r="D37" s="439">
        <v>60.85</v>
      </c>
      <c r="E37" s="439">
        <v>61.36</v>
      </c>
      <c r="L37" s="438">
        <v>32</v>
      </c>
      <c r="M37" s="439">
        <v>64.34</v>
      </c>
      <c r="N37" s="439">
        <v>64.66</v>
      </c>
      <c r="O37" s="439">
        <v>65.239999999999995</v>
      </c>
      <c r="V37" s="113">
        <v>32</v>
      </c>
      <c r="W37" s="439">
        <v>68.319999999999993</v>
      </c>
      <c r="X37" s="439">
        <v>68.72</v>
      </c>
      <c r="Y37" s="439">
        <v>69.37</v>
      </c>
      <c r="AF37" s="113">
        <v>32</v>
      </c>
      <c r="AG37" s="439">
        <v>72.56</v>
      </c>
      <c r="AH37" s="439">
        <v>73.05</v>
      </c>
      <c r="AI37" s="439">
        <v>73.77</v>
      </c>
      <c r="AP37" s="113">
        <v>32</v>
      </c>
      <c r="AQ37" s="439">
        <v>77.06</v>
      </c>
      <c r="AR37" s="439">
        <v>77.64</v>
      </c>
      <c r="AS37" s="439">
        <v>78.44</v>
      </c>
      <c r="AZ37" s="113">
        <v>32</v>
      </c>
      <c r="BA37" s="439">
        <v>80.28</v>
      </c>
      <c r="BB37" s="439">
        <v>80.95</v>
      </c>
      <c r="BC37" s="439">
        <v>81.819999999999993</v>
      </c>
      <c r="BJ37" s="113">
        <v>32</v>
      </c>
      <c r="BK37" s="439">
        <v>85.19</v>
      </c>
      <c r="BL37" s="439">
        <v>85.98</v>
      </c>
      <c r="BM37" s="439">
        <v>86.94</v>
      </c>
      <c r="BT37" s="113">
        <v>32</v>
      </c>
      <c r="BU37" s="439">
        <v>90.42</v>
      </c>
      <c r="BV37" s="439">
        <v>91.33</v>
      </c>
      <c r="BW37" s="439">
        <v>92.39</v>
      </c>
      <c r="CD37" s="113">
        <v>32</v>
      </c>
      <c r="CE37" s="439">
        <v>95.97</v>
      </c>
      <c r="CF37" s="439">
        <v>97.01</v>
      </c>
      <c r="CG37" s="439">
        <v>98.19</v>
      </c>
      <c r="CN37" s="113">
        <v>32</v>
      </c>
      <c r="CO37" s="439">
        <v>101.86</v>
      </c>
      <c r="CP37" s="439">
        <v>103.05</v>
      </c>
      <c r="CQ37" s="439">
        <v>104.34</v>
      </c>
    </row>
    <row r="38" spans="2:95" x14ac:dyDescent="0.2">
      <c r="B38" s="438">
        <v>33</v>
      </c>
      <c r="C38" s="439">
        <v>60.88</v>
      </c>
      <c r="D38" s="439">
        <v>61.14</v>
      </c>
      <c r="E38" s="439">
        <v>61.66</v>
      </c>
      <c r="L38" s="438">
        <v>33</v>
      </c>
      <c r="M38" s="439">
        <v>64.66</v>
      </c>
      <c r="N38" s="439">
        <v>64.989999999999995</v>
      </c>
      <c r="O38" s="439">
        <v>65.569999999999993</v>
      </c>
      <c r="V38" s="113">
        <v>33</v>
      </c>
      <c r="W38" s="439">
        <v>68.69</v>
      </c>
      <c r="X38" s="439">
        <v>69.09</v>
      </c>
      <c r="Y38" s="439">
        <v>69.739999999999995</v>
      </c>
      <c r="AF38" s="113">
        <v>33</v>
      </c>
      <c r="AG38" s="439">
        <v>72.97</v>
      </c>
      <c r="AH38" s="439">
        <v>73.459999999999994</v>
      </c>
      <c r="AI38" s="439">
        <v>74.19</v>
      </c>
      <c r="AP38" s="113">
        <v>33</v>
      </c>
      <c r="AQ38" s="439">
        <v>77.52</v>
      </c>
      <c r="AR38" s="439">
        <v>78.11</v>
      </c>
      <c r="AS38" s="439">
        <v>78.92</v>
      </c>
      <c r="AZ38" s="113">
        <v>33</v>
      </c>
      <c r="BA38" s="439">
        <v>80.78</v>
      </c>
      <c r="BB38" s="439">
        <v>81.459999999999994</v>
      </c>
      <c r="BC38" s="439">
        <v>82.34</v>
      </c>
      <c r="BJ38" s="113">
        <v>33</v>
      </c>
      <c r="BK38" s="439">
        <v>85.76</v>
      </c>
      <c r="BL38" s="439">
        <v>86.56</v>
      </c>
      <c r="BM38" s="439">
        <v>87.53</v>
      </c>
      <c r="BT38" s="113">
        <v>33</v>
      </c>
      <c r="BU38" s="439">
        <v>91.05</v>
      </c>
      <c r="BV38" s="439">
        <v>91.97</v>
      </c>
      <c r="BW38" s="439">
        <v>93.04</v>
      </c>
      <c r="CD38" s="113">
        <v>33</v>
      </c>
      <c r="CE38" s="439">
        <v>96.67</v>
      </c>
      <c r="CF38" s="439">
        <v>97.72</v>
      </c>
      <c r="CG38" s="439">
        <v>98.91</v>
      </c>
      <c r="CN38" s="113">
        <v>33</v>
      </c>
      <c r="CO38" s="439">
        <v>102.63</v>
      </c>
      <c r="CP38" s="439">
        <v>103.83</v>
      </c>
      <c r="CQ38" s="439">
        <v>105.14</v>
      </c>
    </row>
    <row r="39" spans="2:95" x14ac:dyDescent="0.2">
      <c r="B39" s="438">
        <v>34</v>
      </c>
      <c r="C39" s="439">
        <v>61.19</v>
      </c>
      <c r="D39" s="439">
        <v>61.45</v>
      </c>
      <c r="E39" s="439">
        <v>61.97</v>
      </c>
      <c r="L39" s="438">
        <v>34</v>
      </c>
      <c r="M39" s="439">
        <v>65.010000000000005</v>
      </c>
      <c r="N39" s="439">
        <v>65.34</v>
      </c>
      <c r="O39" s="439">
        <v>65.930000000000007</v>
      </c>
      <c r="V39" s="113">
        <v>34</v>
      </c>
      <c r="W39" s="439">
        <v>69.069999999999993</v>
      </c>
      <c r="X39" s="439">
        <v>69.48</v>
      </c>
      <c r="Y39" s="439">
        <v>70.14</v>
      </c>
      <c r="AF39" s="113">
        <v>34</v>
      </c>
      <c r="AG39" s="439">
        <v>73.400000000000006</v>
      </c>
      <c r="AH39" s="439">
        <v>73.900000000000006</v>
      </c>
      <c r="AI39" s="439">
        <v>74.63</v>
      </c>
      <c r="AP39" s="113">
        <v>34</v>
      </c>
      <c r="AQ39" s="439">
        <v>78</v>
      </c>
      <c r="AR39" s="439">
        <v>78.599999999999994</v>
      </c>
      <c r="AS39" s="439">
        <v>79.41</v>
      </c>
      <c r="AZ39" s="113">
        <v>34</v>
      </c>
      <c r="BA39" s="439">
        <v>81.319999999999993</v>
      </c>
      <c r="BB39" s="439">
        <v>82.01</v>
      </c>
      <c r="BC39" s="439">
        <v>82.89</v>
      </c>
      <c r="BJ39" s="113">
        <v>34</v>
      </c>
      <c r="BK39" s="439">
        <v>86.36</v>
      </c>
      <c r="BL39" s="439">
        <v>87.16</v>
      </c>
      <c r="BM39" s="439">
        <v>88.14</v>
      </c>
      <c r="BT39" s="113">
        <v>34</v>
      </c>
      <c r="BU39" s="439">
        <v>91.71</v>
      </c>
      <c r="BV39" s="439">
        <v>92.64</v>
      </c>
      <c r="BW39" s="439">
        <v>93.73</v>
      </c>
      <c r="CD39" s="113">
        <v>34</v>
      </c>
      <c r="CE39" s="439">
        <v>97.4</v>
      </c>
      <c r="CF39" s="439">
        <v>98.46</v>
      </c>
      <c r="CG39" s="439">
        <v>99.66</v>
      </c>
      <c r="CN39" s="113">
        <v>34</v>
      </c>
      <c r="CO39" s="439">
        <v>103.44</v>
      </c>
      <c r="CP39" s="439">
        <v>104.66</v>
      </c>
      <c r="CQ39" s="439">
        <v>105.98</v>
      </c>
    </row>
    <row r="40" spans="2:95" x14ac:dyDescent="0.2">
      <c r="B40" s="438">
        <v>35</v>
      </c>
      <c r="C40" s="439">
        <v>61.51</v>
      </c>
      <c r="D40" s="439">
        <v>61.78</v>
      </c>
      <c r="E40" s="439">
        <v>62.3</v>
      </c>
      <c r="L40" s="438">
        <v>35</v>
      </c>
      <c r="M40" s="439">
        <v>65.37</v>
      </c>
      <c r="N40" s="439">
        <v>65.709999999999994</v>
      </c>
      <c r="O40" s="439">
        <v>66.3</v>
      </c>
      <c r="V40" s="113">
        <v>35</v>
      </c>
      <c r="W40" s="439">
        <v>69.48</v>
      </c>
      <c r="X40" s="439">
        <v>69.900000000000006</v>
      </c>
      <c r="Y40" s="439">
        <v>70.56</v>
      </c>
      <c r="AF40" s="113">
        <v>35</v>
      </c>
      <c r="AG40" s="439">
        <v>73.849999999999994</v>
      </c>
      <c r="AH40" s="439">
        <v>74.36</v>
      </c>
      <c r="AI40" s="439">
        <v>75.099999999999994</v>
      </c>
      <c r="AP40" s="113">
        <v>35</v>
      </c>
      <c r="AQ40" s="439">
        <v>78.510000000000005</v>
      </c>
      <c r="AR40" s="439">
        <v>79.11</v>
      </c>
      <c r="AS40" s="439">
        <v>79.930000000000007</v>
      </c>
      <c r="AZ40" s="113">
        <v>35</v>
      </c>
      <c r="BA40" s="439">
        <v>81.89</v>
      </c>
      <c r="BB40" s="439">
        <v>82.58</v>
      </c>
      <c r="BC40" s="439">
        <v>83.47</v>
      </c>
      <c r="BJ40" s="113">
        <v>35</v>
      </c>
      <c r="BK40" s="439">
        <v>86.99</v>
      </c>
      <c r="BL40" s="439">
        <v>87.79</v>
      </c>
      <c r="BM40" s="439">
        <v>88.79</v>
      </c>
      <c r="BT40" s="113">
        <v>35</v>
      </c>
      <c r="BU40" s="439">
        <v>92.41</v>
      </c>
      <c r="BV40" s="439">
        <v>93.34</v>
      </c>
      <c r="BW40" s="439">
        <v>94.44</v>
      </c>
      <c r="CD40" s="113">
        <v>35</v>
      </c>
      <c r="CE40" s="439">
        <v>98.17</v>
      </c>
      <c r="CF40" s="439">
        <v>99.25</v>
      </c>
      <c r="CG40" s="439">
        <v>100.46</v>
      </c>
      <c r="CN40" s="113">
        <v>35</v>
      </c>
      <c r="CO40" s="439">
        <v>104.3</v>
      </c>
      <c r="CP40" s="439">
        <v>105.53</v>
      </c>
      <c r="CQ40" s="439">
        <v>106.86</v>
      </c>
    </row>
    <row r="41" spans="2:95" x14ac:dyDescent="0.2">
      <c r="B41" s="438">
        <v>36</v>
      </c>
      <c r="C41" s="439">
        <v>61.86</v>
      </c>
      <c r="D41" s="439">
        <v>62.12</v>
      </c>
      <c r="E41" s="439">
        <v>62.65</v>
      </c>
      <c r="L41" s="438">
        <v>36</v>
      </c>
      <c r="M41" s="439">
        <v>65.760000000000005</v>
      </c>
      <c r="N41" s="439">
        <v>66.099999999999994</v>
      </c>
      <c r="O41" s="439">
        <v>66.69</v>
      </c>
      <c r="V41" s="113">
        <v>36</v>
      </c>
      <c r="W41" s="439">
        <v>69.91</v>
      </c>
      <c r="X41" s="439">
        <v>70.33</v>
      </c>
      <c r="Y41" s="439">
        <v>71</v>
      </c>
      <c r="AF41" s="113">
        <v>36</v>
      </c>
      <c r="AG41" s="439">
        <v>74.34</v>
      </c>
      <c r="AH41" s="439">
        <v>74.84</v>
      </c>
      <c r="AI41" s="439">
        <v>75.59</v>
      </c>
      <c r="AP41" s="113">
        <v>36</v>
      </c>
      <c r="AQ41" s="439">
        <v>79.05</v>
      </c>
      <c r="AR41" s="439">
        <v>79.650000000000006</v>
      </c>
      <c r="AS41" s="439">
        <v>80.48</v>
      </c>
      <c r="AZ41" s="113">
        <v>36</v>
      </c>
      <c r="BA41" s="439">
        <v>82.48</v>
      </c>
      <c r="BB41" s="439">
        <v>83.18</v>
      </c>
      <c r="BC41" s="439">
        <v>84.09</v>
      </c>
      <c r="BJ41" s="113">
        <v>36</v>
      </c>
      <c r="BK41" s="439">
        <v>87.64</v>
      </c>
      <c r="BL41" s="439">
        <v>88.46</v>
      </c>
      <c r="BM41" s="439">
        <v>89.47</v>
      </c>
      <c r="BT41" s="113">
        <v>36</v>
      </c>
      <c r="BU41" s="439">
        <v>93.14</v>
      </c>
      <c r="BV41" s="439">
        <v>94.08</v>
      </c>
      <c r="BW41" s="439">
        <v>95.2</v>
      </c>
      <c r="CD41" s="113">
        <v>36</v>
      </c>
      <c r="CE41" s="439">
        <v>98.98</v>
      </c>
      <c r="CF41" s="439">
        <v>100.07</v>
      </c>
      <c r="CG41" s="439">
        <v>101.3</v>
      </c>
      <c r="CN41" s="113">
        <v>36</v>
      </c>
      <c r="CO41" s="439">
        <v>105.2</v>
      </c>
      <c r="CP41" s="439">
        <v>106.44</v>
      </c>
      <c r="CQ41" s="439">
        <v>107.8</v>
      </c>
    </row>
    <row r="42" spans="2:95" x14ac:dyDescent="0.2">
      <c r="B42" s="438">
        <v>37</v>
      </c>
      <c r="C42" s="439">
        <v>62.22</v>
      </c>
      <c r="D42" s="439">
        <v>62.49</v>
      </c>
      <c r="E42" s="439">
        <v>63.03</v>
      </c>
      <c r="L42" s="438">
        <v>37</v>
      </c>
      <c r="M42" s="439">
        <v>66.16</v>
      </c>
      <c r="N42" s="439">
        <v>66.510000000000005</v>
      </c>
      <c r="O42" s="439">
        <v>67.11</v>
      </c>
      <c r="V42" s="113">
        <v>37</v>
      </c>
      <c r="W42" s="439">
        <v>70.37</v>
      </c>
      <c r="X42" s="439">
        <v>70.790000000000006</v>
      </c>
      <c r="Y42" s="439">
        <v>71.47</v>
      </c>
      <c r="AF42" s="113">
        <v>37</v>
      </c>
      <c r="AG42" s="439">
        <v>74.84</v>
      </c>
      <c r="AH42" s="439">
        <v>75.36</v>
      </c>
      <c r="AI42" s="439">
        <v>76.11</v>
      </c>
      <c r="AP42" s="113">
        <v>37</v>
      </c>
      <c r="AQ42" s="439">
        <v>79.61</v>
      </c>
      <c r="AR42" s="439">
        <v>80.22</v>
      </c>
      <c r="AS42" s="439">
        <v>81.06</v>
      </c>
      <c r="AZ42" s="113">
        <v>37</v>
      </c>
      <c r="BA42" s="439">
        <v>83.1</v>
      </c>
      <c r="BB42" s="439">
        <v>83.81</v>
      </c>
      <c r="BC42" s="439">
        <v>84.73</v>
      </c>
      <c r="BJ42" s="113">
        <v>37</v>
      </c>
      <c r="BK42" s="439">
        <v>88.34</v>
      </c>
      <c r="BL42" s="439">
        <v>89.16</v>
      </c>
      <c r="BM42" s="439">
        <v>90.18</v>
      </c>
      <c r="BT42" s="113">
        <v>37</v>
      </c>
      <c r="BU42" s="439">
        <v>93.91</v>
      </c>
      <c r="BV42" s="439">
        <v>94.87</v>
      </c>
      <c r="BW42" s="439">
        <v>95.99</v>
      </c>
      <c r="CD42" s="113">
        <v>37</v>
      </c>
      <c r="CE42" s="439">
        <v>99.84</v>
      </c>
      <c r="CF42" s="439">
        <v>100.94</v>
      </c>
      <c r="CG42" s="439">
        <v>102.18</v>
      </c>
      <c r="CN42" s="113">
        <v>37</v>
      </c>
      <c r="CO42" s="439">
        <v>106.15</v>
      </c>
      <c r="CP42" s="439">
        <v>107.41</v>
      </c>
      <c r="CQ42" s="439">
        <v>108.78</v>
      </c>
    </row>
    <row r="43" spans="2:95" x14ac:dyDescent="0.2">
      <c r="B43" s="438">
        <v>38</v>
      </c>
      <c r="C43" s="439">
        <v>62.61</v>
      </c>
      <c r="D43" s="439">
        <v>62.88</v>
      </c>
      <c r="E43" s="439">
        <v>63.42</v>
      </c>
      <c r="L43" s="438">
        <v>38</v>
      </c>
      <c r="M43" s="439">
        <v>66.59</v>
      </c>
      <c r="N43" s="439">
        <v>66.94</v>
      </c>
      <c r="O43" s="439">
        <v>67.55</v>
      </c>
      <c r="V43" s="113">
        <v>38</v>
      </c>
      <c r="W43" s="439">
        <v>70.849999999999994</v>
      </c>
      <c r="X43" s="439">
        <v>71.27</v>
      </c>
      <c r="Y43" s="439">
        <v>71.959999999999994</v>
      </c>
      <c r="AF43" s="113">
        <v>38</v>
      </c>
      <c r="AG43" s="439">
        <v>75.38</v>
      </c>
      <c r="AH43" s="439">
        <v>75.900000000000006</v>
      </c>
      <c r="AI43" s="439">
        <v>76.66</v>
      </c>
      <c r="AP43" s="113">
        <v>38</v>
      </c>
      <c r="AQ43" s="439">
        <v>80.2</v>
      </c>
      <c r="AR43" s="439">
        <v>80.819999999999993</v>
      </c>
      <c r="AS43" s="439">
        <v>81.67</v>
      </c>
      <c r="AZ43" s="113">
        <v>38</v>
      </c>
      <c r="BA43" s="439">
        <v>83.76</v>
      </c>
      <c r="BB43" s="439">
        <v>84.48</v>
      </c>
      <c r="BC43" s="439">
        <v>85.4</v>
      </c>
      <c r="BJ43" s="113">
        <v>38</v>
      </c>
      <c r="BK43" s="439">
        <v>89.07</v>
      </c>
      <c r="BL43" s="439">
        <v>89.91</v>
      </c>
      <c r="BM43" s="439">
        <v>90.94</v>
      </c>
      <c r="BT43" s="113">
        <v>38</v>
      </c>
      <c r="BU43" s="439">
        <v>94.73</v>
      </c>
      <c r="BV43" s="439">
        <v>95.7</v>
      </c>
      <c r="BW43" s="439">
        <v>96.83</v>
      </c>
      <c r="CD43" s="113">
        <v>38</v>
      </c>
      <c r="CE43" s="439">
        <v>100.74</v>
      </c>
      <c r="CF43" s="439">
        <v>101.86</v>
      </c>
      <c r="CG43" s="439">
        <v>103.12</v>
      </c>
      <c r="CN43" s="113">
        <v>38</v>
      </c>
      <c r="CO43" s="439">
        <v>107.14</v>
      </c>
      <c r="CP43" s="439">
        <v>108.42</v>
      </c>
      <c r="CQ43" s="439">
        <v>109.81</v>
      </c>
    </row>
    <row r="44" spans="2:95" x14ac:dyDescent="0.2">
      <c r="B44" s="438">
        <v>39</v>
      </c>
      <c r="C44" s="439">
        <v>63.01</v>
      </c>
      <c r="D44" s="439">
        <v>63.29</v>
      </c>
      <c r="E44" s="439">
        <v>63.83</v>
      </c>
      <c r="L44" s="438">
        <v>39</v>
      </c>
      <c r="M44" s="439">
        <v>67.05</v>
      </c>
      <c r="N44" s="439">
        <v>67.400000000000006</v>
      </c>
      <c r="O44" s="439">
        <v>68.010000000000005</v>
      </c>
      <c r="V44" s="113">
        <v>39</v>
      </c>
      <c r="W44" s="439">
        <v>71.349999999999994</v>
      </c>
      <c r="X44" s="439">
        <v>71.78</v>
      </c>
      <c r="Y44" s="439">
        <v>72.48</v>
      </c>
      <c r="AF44" s="113">
        <v>39</v>
      </c>
      <c r="AG44" s="439">
        <v>75.94</v>
      </c>
      <c r="AH44" s="439">
        <v>76.459999999999994</v>
      </c>
      <c r="AI44" s="439">
        <v>77.239999999999995</v>
      </c>
      <c r="AP44" s="113">
        <v>39</v>
      </c>
      <c r="AQ44" s="439">
        <v>80.83</v>
      </c>
      <c r="AR44" s="439">
        <v>81.459999999999994</v>
      </c>
      <c r="AS44" s="439">
        <v>82.32</v>
      </c>
      <c r="AZ44" s="113">
        <v>39</v>
      </c>
      <c r="BA44" s="439">
        <v>84.46</v>
      </c>
      <c r="BB44" s="439">
        <v>85.18</v>
      </c>
      <c r="BC44" s="439">
        <v>86.12</v>
      </c>
      <c r="BJ44" s="113">
        <v>39</v>
      </c>
      <c r="BK44" s="439">
        <v>89.85</v>
      </c>
      <c r="BL44" s="439">
        <v>90.69</v>
      </c>
      <c r="BM44" s="439">
        <v>91.73</v>
      </c>
      <c r="BT44" s="113">
        <v>39</v>
      </c>
      <c r="BU44" s="439">
        <v>95.59</v>
      </c>
      <c r="BV44" s="439">
        <v>96.57</v>
      </c>
      <c r="BW44" s="439">
        <v>97.72</v>
      </c>
      <c r="CD44" s="113">
        <v>39</v>
      </c>
      <c r="CE44" s="439">
        <v>101.69</v>
      </c>
      <c r="CF44" s="439">
        <v>102.82</v>
      </c>
      <c r="CG44" s="439">
        <v>104.1</v>
      </c>
      <c r="CN44" s="113">
        <v>39</v>
      </c>
      <c r="CO44" s="439">
        <v>108.19</v>
      </c>
      <c r="CP44" s="439">
        <v>109.48</v>
      </c>
      <c r="CQ44" s="439">
        <v>110.89</v>
      </c>
    </row>
    <row r="45" spans="2:95" x14ac:dyDescent="0.2">
      <c r="B45" s="438">
        <v>40</v>
      </c>
      <c r="C45" s="439">
        <v>63.44</v>
      </c>
      <c r="D45" s="439">
        <v>63.72</v>
      </c>
      <c r="E45" s="439">
        <v>64.27</v>
      </c>
      <c r="L45" s="438">
        <v>40</v>
      </c>
      <c r="M45" s="439">
        <v>67.53</v>
      </c>
      <c r="N45" s="439">
        <v>67.88</v>
      </c>
      <c r="O45" s="439">
        <v>68.5</v>
      </c>
      <c r="V45" s="113">
        <v>40</v>
      </c>
      <c r="W45" s="439">
        <v>71.89</v>
      </c>
      <c r="X45" s="439">
        <v>72.319999999999993</v>
      </c>
      <c r="Y45" s="439">
        <v>73.02</v>
      </c>
      <c r="AF45" s="113">
        <v>40</v>
      </c>
      <c r="AG45" s="439">
        <v>76.53</v>
      </c>
      <c r="AH45" s="439">
        <v>77.06</v>
      </c>
      <c r="AI45" s="439">
        <v>77.849999999999994</v>
      </c>
      <c r="AP45" s="113">
        <v>40</v>
      </c>
      <c r="AQ45" s="439">
        <v>81.5</v>
      </c>
      <c r="AR45" s="439">
        <v>82.13</v>
      </c>
      <c r="AS45" s="439">
        <v>83</v>
      </c>
      <c r="AZ45" s="113">
        <v>40</v>
      </c>
      <c r="BA45" s="439">
        <v>85.2</v>
      </c>
      <c r="BB45" s="439">
        <v>85.93</v>
      </c>
      <c r="BC45" s="439">
        <v>86.88</v>
      </c>
      <c r="BJ45" s="113">
        <v>40</v>
      </c>
      <c r="BK45" s="439">
        <v>90.66</v>
      </c>
      <c r="BL45" s="439">
        <v>91.52</v>
      </c>
      <c r="BM45" s="439">
        <v>92.57</v>
      </c>
      <c r="BT45" s="113">
        <v>40</v>
      </c>
      <c r="BU45" s="439">
        <v>96.49</v>
      </c>
      <c r="BV45" s="439">
        <v>97.48</v>
      </c>
      <c r="BW45" s="439">
        <v>98.65</v>
      </c>
      <c r="CD45" s="113">
        <v>40</v>
      </c>
      <c r="CE45" s="439">
        <v>102.69</v>
      </c>
      <c r="CF45" s="439">
        <v>103.84</v>
      </c>
      <c r="CG45" s="439">
        <v>105.12</v>
      </c>
      <c r="CN45" s="113">
        <v>40</v>
      </c>
      <c r="CO45" s="439">
        <v>109.28</v>
      </c>
      <c r="CP45" s="439">
        <v>110.6</v>
      </c>
      <c r="CQ45" s="439">
        <v>112.02</v>
      </c>
    </row>
    <row r="46" spans="2:95" x14ac:dyDescent="0.2">
      <c r="B46" s="438">
        <v>41</v>
      </c>
      <c r="C46" s="439">
        <v>63.89</v>
      </c>
      <c r="D46" s="439">
        <v>64.17</v>
      </c>
      <c r="E46" s="439">
        <v>64.739999999999995</v>
      </c>
      <c r="L46" s="438">
        <v>41</v>
      </c>
      <c r="M46" s="439">
        <v>68.03</v>
      </c>
      <c r="N46" s="439">
        <v>68.39</v>
      </c>
      <c r="O46" s="439">
        <v>69.02</v>
      </c>
      <c r="V46" s="113">
        <v>41</v>
      </c>
      <c r="W46" s="439">
        <v>72.45</v>
      </c>
      <c r="X46" s="439">
        <v>72.89</v>
      </c>
      <c r="Y46" s="439">
        <v>73.599999999999994</v>
      </c>
      <c r="AF46" s="113">
        <v>41</v>
      </c>
      <c r="AG46" s="439">
        <v>77.16</v>
      </c>
      <c r="AH46" s="439">
        <v>77.7</v>
      </c>
      <c r="AI46" s="439">
        <v>78.489999999999995</v>
      </c>
      <c r="AP46" s="113">
        <v>41</v>
      </c>
      <c r="AQ46" s="439">
        <v>82.2</v>
      </c>
      <c r="AR46" s="439">
        <v>82.84</v>
      </c>
      <c r="AS46" s="439">
        <v>83.72</v>
      </c>
      <c r="AZ46" s="113">
        <v>41</v>
      </c>
      <c r="BA46" s="439">
        <v>85.97</v>
      </c>
      <c r="BB46" s="439">
        <v>86.72</v>
      </c>
      <c r="BC46" s="439">
        <v>87.68</v>
      </c>
      <c r="BJ46" s="113">
        <v>41</v>
      </c>
      <c r="BK46" s="439">
        <v>91.53</v>
      </c>
      <c r="BL46" s="439">
        <v>92.39</v>
      </c>
      <c r="BM46" s="439">
        <v>93.46</v>
      </c>
      <c r="BT46" s="113">
        <v>41</v>
      </c>
      <c r="BU46" s="439">
        <v>97.44</v>
      </c>
      <c r="BV46" s="439">
        <v>98.45</v>
      </c>
      <c r="BW46" s="439">
        <v>99.63</v>
      </c>
      <c r="CD46" s="113">
        <v>41</v>
      </c>
      <c r="CE46" s="439">
        <v>103.73</v>
      </c>
      <c r="CF46" s="439">
        <v>104.9</v>
      </c>
      <c r="CG46" s="439">
        <v>106.2</v>
      </c>
      <c r="CN46" s="113">
        <v>41</v>
      </c>
      <c r="CO46" s="439">
        <v>110.43</v>
      </c>
      <c r="CP46" s="439">
        <v>111.76</v>
      </c>
      <c r="CQ46" s="439">
        <v>113.2</v>
      </c>
    </row>
    <row r="47" spans="2:95" x14ac:dyDescent="0.2">
      <c r="B47" s="438">
        <v>42</v>
      </c>
      <c r="C47" s="439">
        <v>64.37</v>
      </c>
      <c r="D47" s="439">
        <v>64.66</v>
      </c>
      <c r="E47" s="439">
        <v>65.22</v>
      </c>
      <c r="L47" s="438">
        <v>42</v>
      </c>
      <c r="M47" s="439">
        <v>68.569999999999993</v>
      </c>
      <c r="N47" s="439">
        <v>68.930000000000007</v>
      </c>
      <c r="O47" s="439">
        <v>69.569999999999993</v>
      </c>
      <c r="V47" s="113">
        <v>42</v>
      </c>
      <c r="W47" s="439">
        <v>73.05</v>
      </c>
      <c r="X47" s="439">
        <v>73.489999999999995</v>
      </c>
      <c r="Y47" s="439">
        <v>74.209999999999994</v>
      </c>
      <c r="AF47" s="113">
        <v>42</v>
      </c>
      <c r="AG47" s="439">
        <v>77.83</v>
      </c>
      <c r="AH47" s="439">
        <v>78.37</v>
      </c>
      <c r="AI47" s="439">
        <v>79.17</v>
      </c>
      <c r="AP47" s="113">
        <v>42</v>
      </c>
      <c r="AQ47" s="439">
        <v>82.94</v>
      </c>
      <c r="AR47" s="439">
        <v>83.59</v>
      </c>
      <c r="AS47" s="439">
        <v>84.48</v>
      </c>
      <c r="AZ47" s="113">
        <v>42</v>
      </c>
      <c r="BA47" s="439">
        <v>86.79</v>
      </c>
      <c r="BB47" s="439">
        <v>87.55</v>
      </c>
      <c r="BC47" s="439">
        <v>88.52</v>
      </c>
      <c r="BJ47" s="113">
        <v>42</v>
      </c>
      <c r="BK47" s="439">
        <v>92.43</v>
      </c>
      <c r="BL47" s="439">
        <v>93.31</v>
      </c>
      <c r="BM47" s="439">
        <v>94.39</v>
      </c>
      <c r="BT47" s="113">
        <v>42</v>
      </c>
      <c r="BU47" s="439">
        <v>98.44</v>
      </c>
      <c r="BV47" s="439">
        <v>99.46</v>
      </c>
      <c r="BW47" s="439">
        <v>100.66</v>
      </c>
      <c r="CD47" s="113">
        <v>42</v>
      </c>
      <c r="CE47" s="439">
        <v>104.83</v>
      </c>
      <c r="CF47" s="439">
        <v>106.01</v>
      </c>
      <c r="CG47" s="439">
        <v>107.33</v>
      </c>
      <c r="CN47" s="113">
        <v>42</v>
      </c>
      <c r="CO47" s="439">
        <v>111.61</v>
      </c>
      <c r="CP47" s="439">
        <v>112.97</v>
      </c>
      <c r="CQ47" s="439">
        <v>114.43</v>
      </c>
    </row>
    <row r="48" spans="2:95" x14ac:dyDescent="0.2">
      <c r="B48" s="438">
        <v>43</v>
      </c>
      <c r="C48" s="439">
        <v>64.88</v>
      </c>
      <c r="D48" s="439">
        <v>65.17</v>
      </c>
      <c r="E48" s="439">
        <v>65.739999999999995</v>
      </c>
      <c r="L48" s="438">
        <v>43</v>
      </c>
      <c r="M48" s="439">
        <v>69.13</v>
      </c>
      <c r="N48" s="439">
        <v>69.5</v>
      </c>
      <c r="O48" s="439">
        <v>70.14</v>
      </c>
      <c r="V48" s="113">
        <v>43</v>
      </c>
      <c r="W48" s="439">
        <v>73.680000000000007</v>
      </c>
      <c r="X48" s="439">
        <v>74.13</v>
      </c>
      <c r="Y48" s="439">
        <v>74.86</v>
      </c>
      <c r="AF48" s="113">
        <v>43</v>
      </c>
      <c r="AG48" s="439">
        <v>78.540000000000006</v>
      </c>
      <c r="AH48" s="439">
        <v>79.09</v>
      </c>
      <c r="AI48" s="439">
        <v>79.900000000000006</v>
      </c>
      <c r="AP48" s="113">
        <v>43</v>
      </c>
      <c r="AQ48" s="439">
        <v>83.72</v>
      </c>
      <c r="AR48" s="439">
        <v>84.38</v>
      </c>
      <c r="AS48" s="439">
        <v>85.29</v>
      </c>
      <c r="AZ48" s="113">
        <v>43</v>
      </c>
      <c r="BA48" s="439">
        <v>87.66</v>
      </c>
      <c r="BB48" s="439">
        <v>88.42</v>
      </c>
      <c r="BC48" s="439">
        <v>89.41</v>
      </c>
      <c r="BJ48" s="113">
        <v>43</v>
      </c>
      <c r="BK48" s="439">
        <v>93.38</v>
      </c>
      <c r="BL48" s="439">
        <v>94.28</v>
      </c>
      <c r="BM48" s="439">
        <v>95.37</v>
      </c>
      <c r="BT48" s="113">
        <v>43</v>
      </c>
      <c r="BU48" s="439">
        <v>99.48</v>
      </c>
      <c r="BV48" s="439">
        <v>100.52</v>
      </c>
      <c r="BW48" s="439">
        <v>101.73</v>
      </c>
      <c r="CD48" s="113">
        <v>43</v>
      </c>
      <c r="CE48" s="439">
        <v>105.96</v>
      </c>
      <c r="CF48" s="439">
        <v>107.16</v>
      </c>
      <c r="CG48" s="439">
        <v>108.5</v>
      </c>
      <c r="CN48" s="113">
        <v>43</v>
      </c>
      <c r="CO48" s="439">
        <v>112.84</v>
      </c>
      <c r="CP48" s="439">
        <v>114.22</v>
      </c>
      <c r="CQ48" s="439">
        <v>115.7</v>
      </c>
    </row>
    <row r="49" spans="2:100" x14ac:dyDescent="0.2">
      <c r="B49" s="438">
        <v>44</v>
      </c>
      <c r="C49" s="439">
        <v>65.42</v>
      </c>
      <c r="D49" s="439">
        <v>65.709999999999994</v>
      </c>
      <c r="E49" s="439">
        <v>66.290000000000006</v>
      </c>
      <c r="L49" s="438">
        <v>44</v>
      </c>
      <c r="M49" s="439">
        <v>69.73</v>
      </c>
      <c r="N49" s="439">
        <v>70.099999999999994</v>
      </c>
      <c r="O49" s="439">
        <v>70.760000000000005</v>
      </c>
      <c r="V49" s="113">
        <v>44</v>
      </c>
      <c r="W49" s="439">
        <v>74.349999999999994</v>
      </c>
      <c r="X49" s="439">
        <v>74.81</v>
      </c>
      <c r="Y49" s="439">
        <v>75.540000000000006</v>
      </c>
      <c r="AF49" s="113">
        <v>44</v>
      </c>
      <c r="AG49" s="439">
        <v>79.28</v>
      </c>
      <c r="AH49" s="439">
        <v>79.84</v>
      </c>
      <c r="AI49" s="439">
        <v>80.66</v>
      </c>
      <c r="AP49" s="113">
        <v>44</v>
      </c>
      <c r="AQ49" s="439">
        <v>84.55</v>
      </c>
      <c r="AR49" s="439">
        <v>85.22</v>
      </c>
      <c r="AS49" s="439">
        <v>86.13</v>
      </c>
      <c r="AZ49" s="113">
        <v>44</v>
      </c>
      <c r="BA49" s="439">
        <v>88.56</v>
      </c>
      <c r="BB49" s="439">
        <v>89.34</v>
      </c>
      <c r="BC49" s="439">
        <v>90.34</v>
      </c>
      <c r="BJ49" s="113">
        <v>44</v>
      </c>
      <c r="BK49" s="439">
        <v>94.38</v>
      </c>
      <c r="BL49" s="439">
        <v>95.29</v>
      </c>
      <c r="BM49" s="439">
        <v>96.4</v>
      </c>
      <c r="BT49" s="113">
        <v>44</v>
      </c>
      <c r="BU49" s="439">
        <v>100.57</v>
      </c>
      <c r="BV49" s="439">
        <v>101.62</v>
      </c>
      <c r="BW49" s="439">
        <v>102.85</v>
      </c>
      <c r="CD49" s="113">
        <v>44</v>
      </c>
      <c r="CE49" s="439">
        <v>107.14</v>
      </c>
      <c r="CF49" s="439">
        <v>108.36</v>
      </c>
      <c r="CG49" s="439">
        <v>109.72</v>
      </c>
      <c r="CN49" s="113">
        <v>44</v>
      </c>
      <c r="CO49" s="439">
        <v>114.12</v>
      </c>
      <c r="CP49" s="439">
        <v>115.52</v>
      </c>
      <c r="CQ49" s="439">
        <v>117.01</v>
      </c>
    </row>
    <row r="50" spans="2:100" x14ac:dyDescent="0.2">
      <c r="B50" s="438">
        <v>45</v>
      </c>
      <c r="C50" s="439">
        <v>65.989999999999995</v>
      </c>
      <c r="D50" s="439">
        <v>66.28</v>
      </c>
      <c r="E50" s="439">
        <v>66.87</v>
      </c>
      <c r="L50" s="438">
        <v>45</v>
      </c>
      <c r="M50" s="439">
        <v>70.37</v>
      </c>
      <c r="N50" s="439">
        <v>70.739999999999995</v>
      </c>
      <c r="O50" s="439">
        <v>71.41</v>
      </c>
      <c r="V50" s="113">
        <v>45</v>
      </c>
      <c r="W50" s="439">
        <v>75.05</v>
      </c>
      <c r="X50" s="439">
        <v>75.52</v>
      </c>
      <c r="Y50" s="439">
        <v>76.27</v>
      </c>
      <c r="AF50" s="113">
        <v>45</v>
      </c>
      <c r="AG50" s="439">
        <v>80.06</v>
      </c>
      <c r="AH50" s="439">
        <v>80.63</v>
      </c>
      <c r="AI50" s="439">
        <v>81.459999999999994</v>
      </c>
      <c r="AP50" s="113">
        <v>45</v>
      </c>
      <c r="AQ50" s="439">
        <v>85.41</v>
      </c>
      <c r="AR50" s="439">
        <v>86.1</v>
      </c>
      <c r="AS50" s="439">
        <v>87.02</v>
      </c>
      <c r="AZ50" s="113">
        <v>45</v>
      </c>
      <c r="BA50" s="439">
        <v>89.51</v>
      </c>
      <c r="BB50" s="439">
        <v>90.3</v>
      </c>
      <c r="BC50" s="439">
        <v>91.32</v>
      </c>
      <c r="BJ50" s="113">
        <v>45</v>
      </c>
      <c r="BK50" s="439">
        <v>95.42</v>
      </c>
      <c r="BL50" s="439">
        <v>96.34</v>
      </c>
      <c r="BM50" s="439">
        <v>97.47</v>
      </c>
      <c r="BT50" s="113">
        <v>45</v>
      </c>
      <c r="BU50" s="439">
        <v>101.7</v>
      </c>
      <c r="BV50" s="439">
        <v>102.77</v>
      </c>
      <c r="BW50" s="439">
        <v>104.02</v>
      </c>
      <c r="CD50" s="113">
        <v>45</v>
      </c>
      <c r="CE50" s="439">
        <v>108.36</v>
      </c>
      <c r="CF50" s="439">
        <v>109.6</v>
      </c>
      <c r="CG50" s="439">
        <v>110.98</v>
      </c>
      <c r="CN50" s="113">
        <v>45</v>
      </c>
      <c r="CO50" s="439">
        <v>115.44</v>
      </c>
      <c r="CP50" s="439">
        <v>116.86</v>
      </c>
      <c r="CQ50" s="439">
        <v>118.38</v>
      </c>
    </row>
    <row r="51" spans="2:100" x14ac:dyDescent="0.2">
      <c r="B51" s="438">
        <v>46</v>
      </c>
      <c r="C51" s="439">
        <v>66.59</v>
      </c>
      <c r="D51" s="439">
        <v>66.89</v>
      </c>
      <c r="E51" s="439">
        <v>67.489999999999995</v>
      </c>
      <c r="L51" s="438">
        <v>46</v>
      </c>
      <c r="M51" s="439">
        <v>71.040000000000006</v>
      </c>
      <c r="N51" s="439">
        <v>71.42</v>
      </c>
      <c r="O51" s="439">
        <v>72.09</v>
      </c>
      <c r="V51" s="113">
        <v>46</v>
      </c>
      <c r="W51" s="439">
        <v>75.8</v>
      </c>
      <c r="X51" s="439">
        <v>76.27</v>
      </c>
      <c r="Y51" s="439">
        <v>77.03</v>
      </c>
      <c r="AF51" s="113">
        <v>46</v>
      </c>
      <c r="AG51" s="439">
        <v>80.89</v>
      </c>
      <c r="AH51" s="439">
        <v>81.47</v>
      </c>
      <c r="AI51" s="439">
        <v>82.31</v>
      </c>
      <c r="AP51" s="113">
        <v>46</v>
      </c>
      <c r="AQ51" s="439">
        <v>86.33</v>
      </c>
      <c r="AR51" s="439">
        <v>87.02</v>
      </c>
      <c r="AS51" s="439">
        <v>87.96</v>
      </c>
      <c r="AZ51" s="113">
        <v>46</v>
      </c>
      <c r="BA51" s="439">
        <v>90.51</v>
      </c>
      <c r="BB51" s="439">
        <v>91.31</v>
      </c>
      <c r="BC51" s="439">
        <v>92.34</v>
      </c>
      <c r="BJ51" s="113">
        <v>46</v>
      </c>
      <c r="BK51" s="439">
        <v>96.5</v>
      </c>
      <c r="BL51" s="439">
        <v>97.44</v>
      </c>
      <c r="BM51" s="439">
        <v>98.58</v>
      </c>
      <c r="BT51" s="113">
        <v>46</v>
      </c>
      <c r="BU51" s="439">
        <v>102.87</v>
      </c>
      <c r="BV51" s="439">
        <v>103.96</v>
      </c>
      <c r="BW51" s="439">
        <v>105.23</v>
      </c>
      <c r="CD51" s="113">
        <v>46</v>
      </c>
      <c r="CE51" s="439">
        <v>109.64</v>
      </c>
      <c r="CF51" s="439">
        <v>110.9</v>
      </c>
      <c r="CG51" s="439">
        <v>112.3</v>
      </c>
      <c r="CN51" s="113">
        <v>46</v>
      </c>
      <c r="CO51" s="439">
        <v>116.83</v>
      </c>
      <c r="CP51" s="439">
        <v>118.27</v>
      </c>
      <c r="CQ51" s="439">
        <v>119.81</v>
      </c>
    </row>
    <row r="52" spans="2:100" x14ac:dyDescent="0.2">
      <c r="B52" s="438">
        <v>47</v>
      </c>
      <c r="C52" s="439">
        <v>67.23</v>
      </c>
      <c r="D52" s="439">
        <v>67.53</v>
      </c>
      <c r="E52" s="439">
        <v>68.14</v>
      </c>
      <c r="L52" s="438">
        <v>47</v>
      </c>
      <c r="M52" s="439">
        <v>71.75</v>
      </c>
      <c r="N52" s="439">
        <v>72.14</v>
      </c>
      <c r="O52" s="439">
        <v>72.819999999999993</v>
      </c>
      <c r="V52" s="113">
        <v>47</v>
      </c>
      <c r="W52" s="439">
        <v>76.59</v>
      </c>
      <c r="X52" s="439">
        <v>77.069999999999993</v>
      </c>
      <c r="Y52" s="439">
        <v>77.83</v>
      </c>
      <c r="AF52" s="113">
        <v>47</v>
      </c>
      <c r="AG52" s="439">
        <v>81.760000000000005</v>
      </c>
      <c r="AH52" s="439">
        <v>82.35</v>
      </c>
      <c r="AI52" s="439">
        <v>83.2</v>
      </c>
      <c r="AP52" s="113">
        <v>47</v>
      </c>
      <c r="AQ52" s="439">
        <v>87.28</v>
      </c>
      <c r="AR52" s="439">
        <v>87.98</v>
      </c>
      <c r="AS52" s="439">
        <v>88.94</v>
      </c>
      <c r="AZ52" s="113">
        <v>47</v>
      </c>
      <c r="BA52" s="439">
        <v>91.54</v>
      </c>
      <c r="BB52" s="439">
        <v>92.36</v>
      </c>
      <c r="BC52" s="439">
        <v>93.4</v>
      </c>
      <c r="BJ52" s="113">
        <v>47</v>
      </c>
      <c r="BK52" s="439">
        <v>97.62</v>
      </c>
      <c r="BL52" s="439">
        <v>98.58</v>
      </c>
      <c r="BM52" s="439">
        <v>99.74</v>
      </c>
      <c r="BT52" s="113">
        <v>47</v>
      </c>
      <c r="BU52" s="439">
        <v>104.1</v>
      </c>
      <c r="BV52" s="439">
        <v>105.21</v>
      </c>
      <c r="BW52" s="439">
        <v>106.49</v>
      </c>
      <c r="CD52" s="113">
        <v>47</v>
      </c>
      <c r="CE52" s="439">
        <v>110.97</v>
      </c>
      <c r="CF52" s="439">
        <v>112.26</v>
      </c>
      <c r="CG52" s="439">
        <v>113.67</v>
      </c>
      <c r="CN52" s="113">
        <v>47</v>
      </c>
      <c r="CO52" s="439">
        <v>118.28</v>
      </c>
      <c r="CP52" s="439">
        <v>119.75</v>
      </c>
      <c r="CQ52" s="439">
        <v>121.31</v>
      </c>
    </row>
    <row r="53" spans="2:100" x14ac:dyDescent="0.2">
      <c r="B53" s="438">
        <v>48</v>
      </c>
      <c r="C53" s="439">
        <v>67.900000000000006</v>
      </c>
      <c r="D53" s="439">
        <v>68.209999999999994</v>
      </c>
      <c r="E53" s="439">
        <v>68.83</v>
      </c>
      <c r="L53" s="438">
        <v>48</v>
      </c>
      <c r="M53" s="439">
        <v>72.5</v>
      </c>
      <c r="N53" s="439">
        <v>72.89</v>
      </c>
      <c r="O53" s="439">
        <v>73.58</v>
      </c>
      <c r="V53" s="113">
        <v>48</v>
      </c>
      <c r="W53" s="439">
        <v>77.41</v>
      </c>
      <c r="X53" s="439">
        <v>77.91</v>
      </c>
      <c r="Y53" s="439">
        <v>78.680000000000007</v>
      </c>
      <c r="AF53" s="113">
        <v>48</v>
      </c>
      <c r="AG53" s="439">
        <v>82.67</v>
      </c>
      <c r="AH53" s="439">
        <v>83.27</v>
      </c>
      <c r="AI53" s="439">
        <v>84.13</v>
      </c>
      <c r="AP53" s="113">
        <v>48</v>
      </c>
      <c r="AQ53" s="439">
        <v>88.27</v>
      </c>
      <c r="AR53" s="439">
        <v>88.99</v>
      </c>
      <c r="AS53" s="439">
        <v>89.96</v>
      </c>
      <c r="AZ53" s="113">
        <v>48</v>
      </c>
      <c r="BA53" s="439">
        <v>92.62</v>
      </c>
      <c r="BB53" s="439">
        <v>93.45</v>
      </c>
      <c r="BC53" s="439">
        <v>94.51</v>
      </c>
      <c r="BJ53" s="113">
        <v>48</v>
      </c>
      <c r="BK53" s="439">
        <v>98.8</v>
      </c>
      <c r="BL53" s="439">
        <v>99.78</v>
      </c>
      <c r="BM53" s="439">
        <v>100.95</v>
      </c>
      <c r="BT53" s="113">
        <v>48</v>
      </c>
      <c r="BU53" s="439">
        <v>105.38</v>
      </c>
      <c r="BV53" s="439">
        <v>106.51</v>
      </c>
      <c r="BW53" s="439">
        <v>107.81</v>
      </c>
      <c r="CD53" s="113">
        <v>48</v>
      </c>
      <c r="CE53" s="439">
        <v>112.37</v>
      </c>
      <c r="CF53" s="439">
        <v>113.69</v>
      </c>
      <c r="CG53" s="439">
        <v>115.12</v>
      </c>
      <c r="CN53" s="113">
        <v>48</v>
      </c>
      <c r="CO53" s="439">
        <v>119.8</v>
      </c>
      <c r="CP53" s="439">
        <v>121.31</v>
      </c>
      <c r="CQ53" s="439">
        <v>122.89</v>
      </c>
    </row>
    <row r="54" spans="2:100" x14ac:dyDescent="0.2">
      <c r="B54" s="438">
        <v>49</v>
      </c>
      <c r="C54" s="439">
        <v>68.62</v>
      </c>
      <c r="D54" s="439">
        <v>68.930000000000007</v>
      </c>
      <c r="E54" s="439">
        <v>69.55</v>
      </c>
      <c r="L54" s="438">
        <v>49</v>
      </c>
      <c r="M54" s="439">
        <v>73.290000000000006</v>
      </c>
      <c r="N54" s="439">
        <v>73.69</v>
      </c>
      <c r="O54" s="439">
        <v>74.39</v>
      </c>
      <c r="V54" s="113">
        <v>49</v>
      </c>
      <c r="W54" s="439">
        <v>78.28</v>
      </c>
      <c r="X54" s="439">
        <v>78.78</v>
      </c>
      <c r="Y54" s="439">
        <v>79.569999999999993</v>
      </c>
      <c r="AF54" s="113">
        <v>49</v>
      </c>
      <c r="AG54" s="439">
        <v>83.62</v>
      </c>
      <c r="AH54" s="439">
        <v>84.23</v>
      </c>
      <c r="AI54" s="439">
        <v>85.1</v>
      </c>
      <c r="AP54" s="113">
        <v>49</v>
      </c>
      <c r="AQ54" s="439">
        <v>89.31</v>
      </c>
      <c r="AR54" s="439">
        <v>90.04</v>
      </c>
      <c r="AS54" s="439">
        <v>91.02</v>
      </c>
      <c r="AZ54" s="113">
        <v>49</v>
      </c>
      <c r="BA54" s="439">
        <v>93.75</v>
      </c>
      <c r="BB54" s="439">
        <v>94.6</v>
      </c>
      <c r="BC54" s="439">
        <v>95.67</v>
      </c>
      <c r="BJ54" s="113">
        <v>49</v>
      </c>
      <c r="BK54" s="439">
        <v>100.04</v>
      </c>
      <c r="BL54" s="439">
        <v>101.03</v>
      </c>
      <c r="BM54" s="439">
        <v>102.22</v>
      </c>
      <c r="BT54" s="113">
        <v>49</v>
      </c>
      <c r="BU54" s="439">
        <v>106.73</v>
      </c>
      <c r="BV54" s="439">
        <v>107.89</v>
      </c>
      <c r="BW54" s="439">
        <v>109.21</v>
      </c>
      <c r="CD54" s="113">
        <v>49</v>
      </c>
      <c r="CE54" s="439">
        <v>113.85</v>
      </c>
      <c r="CF54" s="439">
        <v>115.19</v>
      </c>
      <c r="CG54" s="439">
        <v>116.65</v>
      </c>
      <c r="CN54" s="113">
        <v>49</v>
      </c>
      <c r="CO54" s="439">
        <v>121.42</v>
      </c>
      <c r="CP54" s="439">
        <v>122.95</v>
      </c>
      <c r="CQ54" s="439">
        <v>124.56</v>
      </c>
    </row>
    <row r="55" spans="2:100" x14ac:dyDescent="0.2">
      <c r="B55" s="438">
        <v>50</v>
      </c>
      <c r="C55" s="439">
        <v>69.37</v>
      </c>
      <c r="D55" s="439">
        <v>69.69</v>
      </c>
      <c r="E55" s="439">
        <v>70.319999999999993</v>
      </c>
      <c r="H55" s="429"/>
      <c r="I55" s="440"/>
      <c r="J55" s="441"/>
      <c r="K55" s="436"/>
      <c r="L55" s="438">
        <v>50</v>
      </c>
      <c r="M55" s="439">
        <v>74.11</v>
      </c>
      <c r="N55" s="439">
        <v>74.53</v>
      </c>
      <c r="O55" s="439">
        <v>75.239999999999995</v>
      </c>
      <c r="R55" s="429"/>
      <c r="S55" s="440"/>
      <c r="T55" s="441"/>
      <c r="V55" s="113">
        <v>50</v>
      </c>
      <c r="W55" s="439">
        <v>79.19</v>
      </c>
      <c r="X55" s="439">
        <v>79.7</v>
      </c>
      <c r="Y55" s="439">
        <v>80.5</v>
      </c>
      <c r="AB55" s="429"/>
      <c r="AC55" s="440"/>
      <c r="AD55" s="441"/>
      <c r="AF55" s="113">
        <v>50</v>
      </c>
      <c r="AG55" s="439">
        <v>84.61</v>
      </c>
      <c r="AH55" s="439">
        <v>85.23</v>
      </c>
      <c r="AI55" s="439">
        <v>86.12</v>
      </c>
      <c r="AL55" s="429"/>
      <c r="AM55" s="440"/>
      <c r="AN55" s="441"/>
      <c r="AP55" s="113">
        <v>50</v>
      </c>
      <c r="AQ55" s="439">
        <v>90.4</v>
      </c>
      <c r="AR55" s="439">
        <v>91.14</v>
      </c>
      <c r="AS55" s="439">
        <v>92.14</v>
      </c>
      <c r="AV55" s="429"/>
      <c r="AW55" s="440"/>
      <c r="AX55" s="441"/>
      <c r="AZ55" s="113">
        <v>50</v>
      </c>
      <c r="BA55" s="439">
        <v>94.94</v>
      </c>
      <c r="BB55" s="439">
        <v>95.81</v>
      </c>
      <c r="BC55" s="439">
        <v>96.89</v>
      </c>
      <c r="BF55" s="429"/>
      <c r="BG55" s="440"/>
      <c r="BH55" s="441"/>
      <c r="BJ55" s="113">
        <v>50</v>
      </c>
      <c r="BK55" s="439">
        <v>101.34</v>
      </c>
      <c r="BL55" s="439">
        <v>102.36</v>
      </c>
      <c r="BM55" s="439">
        <v>103.57</v>
      </c>
      <c r="BP55" s="429"/>
      <c r="BQ55" s="440"/>
      <c r="BR55" s="441"/>
      <c r="BT55" s="113">
        <v>50</v>
      </c>
      <c r="BU55" s="439">
        <v>108.16</v>
      </c>
      <c r="BV55" s="439">
        <v>109.35</v>
      </c>
      <c r="BW55" s="439">
        <v>110.68</v>
      </c>
      <c r="BZ55" s="429"/>
      <c r="CA55" s="440"/>
      <c r="CB55" s="441"/>
      <c r="CD55" s="113">
        <v>50</v>
      </c>
      <c r="CE55" s="439">
        <v>115.42</v>
      </c>
      <c r="CF55" s="439">
        <v>116.79</v>
      </c>
      <c r="CG55" s="439">
        <v>118.26</v>
      </c>
      <c r="CJ55" s="429"/>
      <c r="CK55" s="440"/>
      <c r="CL55" s="441"/>
      <c r="CN55" s="113">
        <v>50</v>
      </c>
      <c r="CO55" s="439">
        <v>123.12</v>
      </c>
      <c r="CP55" s="439">
        <v>124.69</v>
      </c>
      <c r="CQ55" s="439">
        <v>126.32</v>
      </c>
      <c r="CT55" s="429"/>
      <c r="CU55" s="440"/>
      <c r="CV55" s="441"/>
    </row>
    <row r="56" spans="2:100" x14ac:dyDescent="0.2">
      <c r="B56" s="438">
        <v>51</v>
      </c>
      <c r="C56" s="439">
        <v>70.16</v>
      </c>
      <c r="D56" s="439">
        <v>70.489999999999995</v>
      </c>
      <c r="E56" s="439">
        <v>71.13</v>
      </c>
      <c r="J56" s="436"/>
      <c r="L56" s="438">
        <v>51</v>
      </c>
      <c r="M56" s="439">
        <v>74.98</v>
      </c>
      <c r="N56" s="439">
        <v>75.400000000000006</v>
      </c>
      <c r="O56" s="439">
        <v>76.12</v>
      </c>
      <c r="V56" s="113">
        <v>51</v>
      </c>
      <c r="W56" s="439">
        <v>80.14</v>
      </c>
      <c r="X56" s="439">
        <v>80.66</v>
      </c>
      <c r="Y56" s="439">
        <v>81.47</v>
      </c>
      <c r="AF56" s="113">
        <v>51</v>
      </c>
      <c r="AG56" s="439">
        <v>85.65</v>
      </c>
      <c r="AH56" s="439">
        <v>86.29</v>
      </c>
      <c r="AI56" s="439">
        <v>87.19</v>
      </c>
      <c r="AP56" s="113">
        <v>51</v>
      </c>
      <c r="AQ56" s="439">
        <v>91.54</v>
      </c>
      <c r="AR56" s="439">
        <v>92.31</v>
      </c>
      <c r="AS56" s="439">
        <v>93.31</v>
      </c>
      <c r="AZ56" s="113">
        <v>51</v>
      </c>
      <c r="BA56" s="439">
        <v>96.2</v>
      </c>
      <c r="BB56" s="439">
        <v>97.08</v>
      </c>
      <c r="BC56" s="439">
        <v>98.19</v>
      </c>
      <c r="BJ56" s="113">
        <v>51</v>
      </c>
      <c r="BK56" s="439">
        <v>102.72</v>
      </c>
      <c r="BL56" s="439">
        <v>103.76</v>
      </c>
      <c r="BM56" s="439">
        <v>104.99</v>
      </c>
      <c r="BT56" s="113">
        <v>51</v>
      </c>
      <c r="BU56" s="439">
        <v>109.68</v>
      </c>
      <c r="BV56" s="439">
        <v>110.89</v>
      </c>
      <c r="BW56" s="439">
        <v>112.24</v>
      </c>
      <c r="CD56" s="113">
        <v>51</v>
      </c>
      <c r="CE56" s="439">
        <v>117.07</v>
      </c>
      <c r="CF56" s="439">
        <v>118.47</v>
      </c>
      <c r="CG56" s="439">
        <v>119.97</v>
      </c>
      <c r="CN56" s="113">
        <v>51</v>
      </c>
      <c r="CO56" s="439">
        <v>124.92</v>
      </c>
      <c r="CP56" s="439">
        <v>126.53</v>
      </c>
      <c r="CQ56" s="439">
        <v>128.18</v>
      </c>
    </row>
    <row r="57" spans="2:100" x14ac:dyDescent="0.2">
      <c r="B57" s="438">
        <v>52</v>
      </c>
      <c r="C57" s="439">
        <v>70.98</v>
      </c>
      <c r="D57" s="439">
        <v>71.319999999999993</v>
      </c>
      <c r="E57" s="439">
        <v>71.97</v>
      </c>
      <c r="L57" s="438">
        <v>52</v>
      </c>
      <c r="M57" s="439">
        <v>75.89</v>
      </c>
      <c r="N57" s="439">
        <v>76.319999999999993</v>
      </c>
      <c r="O57" s="439">
        <v>77.05</v>
      </c>
      <c r="V57" s="113">
        <v>52</v>
      </c>
      <c r="W57" s="439">
        <v>81.13</v>
      </c>
      <c r="X57" s="439">
        <v>81.67</v>
      </c>
      <c r="Y57" s="439">
        <v>82.49</v>
      </c>
      <c r="AF57" s="113">
        <v>52</v>
      </c>
      <c r="AG57" s="439">
        <v>86.75</v>
      </c>
      <c r="AH57" s="439">
        <v>87.4</v>
      </c>
      <c r="AI57" s="439">
        <v>88.32</v>
      </c>
      <c r="AP57" s="113">
        <v>52</v>
      </c>
      <c r="AQ57" s="439">
        <v>92.76</v>
      </c>
      <c r="AR57" s="439">
        <v>93.54</v>
      </c>
      <c r="AS57" s="439">
        <v>94.56</v>
      </c>
      <c r="AZ57" s="113">
        <v>52</v>
      </c>
      <c r="BA57" s="439">
        <v>97.53</v>
      </c>
      <c r="BB57" s="439">
        <v>98.43</v>
      </c>
      <c r="BC57" s="439">
        <v>99.56</v>
      </c>
      <c r="BJ57" s="113">
        <v>52</v>
      </c>
      <c r="BK57" s="439">
        <v>104.19</v>
      </c>
      <c r="BL57" s="439">
        <v>105.25</v>
      </c>
      <c r="BM57" s="439">
        <v>106.5</v>
      </c>
      <c r="BT57" s="113">
        <v>52</v>
      </c>
      <c r="BU57" s="439">
        <v>111.28</v>
      </c>
      <c r="BV57" s="439">
        <v>112.52</v>
      </c>
      <c r="BW57" s="439">
        <v>113.9</v>
      </c>
      <c r="CD57" s="113">
        <v>52</v>
      </c>
      <c r="CE57" s="439">
        <v>118.83</v>
      </c>
      <c r="CF57" s="439">
        <v>120.26</v>
      </c>
      <c r="CG57" s="439">
        <v>121.78</v>
      </c>
      <c r="CN57" s="113">
        <v>52</v>
      </c>
      <c r="CO57" s="439">
        <v>126.89</v>
      </c>
      <c r="CP57" s="439">
        <v>128.53</v>
      </c>
      <c r="CQ57" s="439">
        <v>130.19999999999999</v>
      </c>
    </row>
    <row r="58" spans="2:100" x14ac:dyDescent="0.2">
      <c r="B58" s="438">
        <v>53</v>
      </c>
      <c r="C58" s="439">
        <v>71.849999999999994</v>
      </c>
      <c r="D58" s="439">
        <v>72.19</v>
      </c>
      <c r="E58" s="439">
        <v>72.849999999999994</v>
      </c>
      <c r="L58" s="438">
        <v>53</v>
      </c>
      <c r="M58" s="439">
        <v>76.84</v>
      </c>
      <c r="N58" s="439">
        <v>77.28</v>
      </c>
      <c r="O58" s="439">
        <v>78.02</v>
      </c>
      <c r="V58" s="113">
        <v>53</v>
      </c>
      <c r="W58" s="439">
        <v>82.19</v>
      </c>
      <c r="X58" s="439">
        <v>82.73</v>
      </c>
      <c r="Y58" s="439">
        <v>83.57</v>
      </c>
      <c r="AF58" s="113">
        <v>53</v>
      </c>
      <c r="AG58" s="439">
        <v>87.91</v>
      </c>
      <c r="AH58" s="439">
        <v>88.58</v>
      </c>
      <c r="AI58" s="439">
        <v>89.51</v>
      </c>
      <c r="AP58" s="113">
        <v>53</v>
      </c>
      <c r="AQ58" s="439">
        <v>94.04</v>
      </c>
      <c r="AR58" s="439">
        <v>94.84</v>
      </c>
      <c r="AS58" s="439">
        <v>95.88</v>
      </c>
      <c r="AZ58" s="113">
        <v>53</v>
      </c>
      <c r="BA58" s="439">
        <v>98.94</v>
      </c>
      <c r="BB58" s="439">
        <v>99.87</v>
      </c>
      <c r="BC58" s="439">
        <v>101.01</v>
      </c>
      <c r="BJ58" s="113">
        <v>53</v>
      </c>
      <c r="BK58" s="439">
        <v>105.75</v>
      </c>
      <c r="BL58" s="439">
        <v>106.84</v>
      </c>
      <c r="BM58" s="439">
        <v>108.1</v>
      </c>
      <c r="BT58" s="113">
        <v>53</v>
      </c>
      <c r="BU58" s="439">
        <v>112.99</v>
      </c>
      <c r="BV58" s="439">
        <v>114.26</v>
      </c>
      <c r="BW58" s="439">
        <v>115.66</v>
      </c>
      <c r="CD58" s="113">
        <v>53</v>
      </c>
      <c r="CE58" s="439">
        <v>120.75</v>
      </c>
      <c r="CF58" s="439">
        <v>122.22</v>
      </c>
      <c r="CG58" s="439">
        <v>123.76</v>
      </c>
      <c r="CN58" s="113">
        <v>53</v>
      </c>
      <c r="CO58" s="439">
        <v>129.06</v>
      </c>
      <c r="CP58" s="439">
        <v>130.75</v>
      </c>
      <c r="CQ58" s="439">
        <v>132.44999999999999</v>
      </c>
    </row>
    <row r="59" spans="2:100" x14ac:dyDescent="0.2">
      <c r="B59" s="438">
        <v>54</v>
      </c>
      <c r="C59" s="439">
        <v>72.760000000000005</v>
      </c>
      <c r="D59" s="439">
        <v>73.12</v>
      </c>
      <c r="E59" s="439">
        <v>73.790000000000006</v>
      </c>
      <c r="L59" s="438">
        <v>54</v>
      </c>
      <c r="M59" s="439">
        <v>77.849999999999994</v>
      </c>
      <c r="N59" s="439">
        <v>78.3</v>
      </c>
      <c r="O59" s="439">
        <v>79.05</v>
      </c>
      <c r="V59" s="113">
        <v>54</v>
      </c>
      <c r="W59" s="439">
        <v>83.3</v>
      </c>
      <c r="X59" s="439">
        <v>83.86</v>
      </c>
      <c r="Y59" s="439">
        <v>84.71</v>
      </c>
      <c r="AF59" s="113">
        <v>54</v>
      </c>
      <c r="AG59" s="439">
        <v>89.15</v>
      </c>
      <c r="AH59" s="439">
        <v>89.83</v>
      </c>
      <c r="AI59" s="439">
        <v>90.78</v>
      </c>
      <c r="AP59" s="113">
        <v>54</v>
      </c>
      <c r="AQ59" s="439">
        <v>95.41</v>
      </c>
      <c r="AR59" s="439">
        <v>96.23</v>
      </c>
      <c r="AS59" s="439">
        <v>97.29</v>
      </c>
      <c r="AZ59" s="113">
        <v>54</v>
      </c>
      <c r="BA59" s="439">
        <v>100.45</v>
      </c>
      <c r="BB59" s="439">
        <v>101.4</v>
      </c>
      <c r="BC59" s="439">
        <v>102.56</v>
      </c>
      <c r="BJ59" s="113">
        <v>54</v>
      </c>
      <c r="BK59" s="439">
        <v>107.41</v>
      </c>
      <c r="BL59" s="439">
        <v>108.52</v>
      </c>
      <c r="BM59" s="439">
        <v>109.81</v>
      </c>
      <c r="BT59" s="113">
        <v>54</v>
      </c>
      <c r="BU59" s="439">
        <v>114.86</v>
      </c>
      <c r="BV59" s="439">
        <v>116.16</v>
      </c>
      <c r="BW59" s="439">
        <v>117.58</v>
      </c>
      <c r="CD59" s="113">
        <v>54</v>
      </c>
      <c r="CE59" s="439">
        <v>122.86</v>
      </c>
      <c r="CF59" s="439">
        <v>124.38</v>
      </c>
      <c r="CG59" s="439">
        <v>125.94</v>
      </c>
      <c r="CN59" s="113">
        <v>54</v>
      </c>
      <c r="CO59" s="439">
        <v>131.43</v>
      </c>
      <c r="CP59" s="439">
        <v>133.16999999999999</v>
      </c>
      <c r="CQ59" s="439">
        <v>134.88999999999999</v>
      </c>
    </row>
    <row r="60" spans="2:100" x14ac:dyDescent="0.2">
      <c r="B60" s="438">
        <v>55</v>
      </c>
      <c r="C60" s="439">
        <v>73.73</v>
      </c>
      <c r="D60" s="439">
        <v>74.09</v>
      </c>
      <c r="E60" s="439">
        <v>74.77</v>
      </c>
      <c r="L60" s="438">
        <v>55</v>
      </c>
      <c r="M60" s="439">
        <v>78.92</v>
      </c>
      <c r="N60" s="439">
        <v>79.38</v>
      </c>
      <c r="O60" s="439">
        <v>80.150000000000006</v>
      </c>
      <c r="V60" s="113">
        <v>55</v>
      </c>
      <c r="W60" s="439">
        <v>84.49</v>
      </c>
      <c r="X60" s="439">
        <v>85.07</v>
      </c>
      <c r="Y60" s="439">
        <v>85.93</v>
      </c>
      <c r="AF60" s="113">
        <v>55</v>
      </c>
      <c r="AG60" s="439">
        <v>90.47</v>
      </c>
      <c r="AH60" s="439">
        <v>91.17</v>
      </c>
      <c r="AI60" s="439">
        <v>92.13</v>
      </c>
      <c r="AP60" s="113">
        <v>55</v>
      </c>
      <c r="AQ60" s="439">
        <v>96.87</v>
      </c>
      <c r="AR60" s="439">
        <v>97.72</v>
      </c>
      <c r="AS60" s="439">
        <v>98.79</v>
      </c>
      <c r="AZ60" s="113">
        <v>55</v>
      </c>
      <c r="BA60" s="439">
        <v>102.06</v>
      </c>
      <c r="BB60" s="439">
        <v>103.03</v>
      </c>
      <c r="BC60" s="439">
        <v>104.21</v>
      </c>
      <c r="BJ60" s="113">
        <v>55</v>
      </c>
      <c r="BK60" s="439">
        <v>109.22</v>
      </c>
      <c r="BL60" s="439">
        <v>110.36</v>
      </c>
      <c r="BM60" s="439">
        <v>111.67</v>
      </c>
      <c r="BT60" s="113">
        <v>55</v>
      </c>
      <c r="BU60" s="439">
        <v>116.92</v>
      </c>
      <c r="BV60" s="439">
        <v>118.26</v>
      </c>
      <c r="BW60" s="439">
        <v>119.7</v>
      </c>
      <c r="CD60" s="113">
        <v>55</v>
      </c>
      <c r="CE60" s="439">
        <v>125.18</v>
      </c>
      <c r="CF60" s="439">
        <v>126.73</v>
      </c>
      <c r="CG60" s="439">
        <v>128.33000000000001</v>
      </c>
      <c r="CN60" s="113">
        <v>55</v>
      </c>
      <c r="CO60" s="439">
        <v>133.97999999999999</v>
      </c>
      <c r="CP60" s="439">
        <v>135.78</v>
      </c>
      <c r="CQ60" s="439">
        <v>137.53</v>
      </c>
    </row>
    <row r="61" spans="2:100" x14ac:dyDescent="0.2">
      <c r="B61" s="438">
        <v>56</v>
      </c>
      <c r="C61" s="439">
        <v>74.75</v>
      </c>
      <c r="D61" s="439">
        <v>75.13</v>
      </c>
      <c r="E61" s="439">
        <v>75.819999999999993</v>
      </c>
      <c r="L61" s="438">
        <v>56</v>
      </c>
      <c r="M61" s="439">
        <v>80.06</v>
      </c>
      <c r="N61" s="439">
        <v>80.53</v>
      </c>
      <c r="O61" s="439">
        <v>81.31</v>
      </c>
      <c r="V61" s="113">
        <v>56</v>
      </c>
      <c r="W61" s="439">
        <v>85.76</v>
      </c>
      <c r="X61" s="439">
        <v>86.35</v>
      </c>
      <c r="Y61" s="439">
        <v>87.22</v>
      </c>
      <c r="AF61" s="113">
        <v>56</v>
      </c>
      <c r="AG61" s="439">
        <v>91.88</v>
      </c>
      <c r="AH61" s="439">
        <v>92.6</v>
      </c>
      <c r="AI61" s="439">
        <v>93.57</v>
      </c>
      <c r="AP61" s="113">
        <v>56</v>
      </c>
      <c r="AQ61" s="439">
        <v>98.43</v>
      </c>
      <c r="AR61" s="439">
        <v>99.3</v>
      </c>
      <c r="AS61" s="439">
        <v>100.38</v>
      </c>
      <c r="AZ61" s="113">
        <v>56</v>
      </c>
      <c r="BA61" s="439">
        <v>103.81</v>
      </c>
      <c r="BB61" s="439">
        <v>104.82</v>
      </c>
      <c r="BC61" s="439">
        <v>106.01</v>
      </c>
      <c r="BJ61" s="113">
        <v>56</v>
      </c>
      <c r="BK61" s="439">
        <v>111.22</v>
      </c>
      <c r="BL61" s="439">
        <v>112.4</v>
      </c>
      <c r="BM61" s="439">
        <v>113.73</v>
      </c>
      <c r="BT61" s="113">
        <v>56</v>
      </c>
      <c r="BU61" s="439">
        <v>119.18</v>
      </c>
      <c r="BV61" s="439">
        <v>120.56</v>
      </c>
      <c r="BW61" s="439">
        <v>122.03</v>
      </c>
      <c r="CD61" s="113">
        <v>56</v>
      </c>
      <c r="CE61" s="439">
        <v>127.68</v>
      </c>
      <c r="CF61" s="439">
        <v>129.29</v>
      </c>
      <c r="CG61" s="439">
        <v>130.9</v>
      </c>
      <c r="CN61" s="113">
        <v>56</v>
      </c>
      <c r="CO61" s="439">
        <v>136.71</v>
      </c>
      <c r="CP61" s="439">
        <v>138.56</v>
      </c>
      <c r="CQ61" s="439">
        <v>140.34</v>
      </c>
    </row>
    <row r="62" spans="2:100" x14ac:dyDescent="0.2">
      <c r="B62" s="438">
        <v>57</v>
      </c>
      <c r="C62" s="439">
        <v>75.84</v>
      </c>
      <c r="D62" s="439">
        <v>76.23</v>
      </c>
      <c r="E62" s="439">
        <v>76.930000000000007</v>
      </c>
      <c r="L62" s="438">
        <v>57</v>
      </c>
      <c r="M62" s="439">
        <v>81.27</v>
      </c>
      <c r="N62" s="439">
        <v>81.760000000000005</v>
      </c>
      <c r="O62" s="439">
        <v>82.55</v>
      </c>
      <c r="V62" s="113">
        <v>57</v>
      </c>
      <c r="W62" s="439">
        <v>87.11</v>
      </c>
      <c r="X62" s="439">
        <v>87.72</v>
      </c>
      <c r="Y62" s="439">
        <v>88.6</v>
      </c>
      <c r="AF62" s="113">
        <v>57</v>
      </c>
      <c r="AG62" s="439">
        <v>93.38</v>
      </c>
      <c r="AH62" s="439">
        <v>94.12</v>
      </c>
      <c r="AI62" s="439">
        <v>95.11</v>
      </c>
      <c r="AP62" s="113">
        <v>57</v>
      </c>
      <c r="AQ62" s="439">
        <v>100.13</v>
      </c>
      <c r="AR62" s="439">
        <v>101.03</v>
      </c>
      <c r="AS62" s="439">
        <v>102.13</v>
      </c>
      <c r="AZ62" s="113">
        <v>57</v>
      </c>
      <c r="BA62" s="439">
        <v>105.75</v>
      </c>
      <c r="BB62" s="439">
        <v>106.79</v>
      </c>
      <c r="BC62" s="439">
        <v>108</v>
      </c>
      <c r="BJ62" s="113">
        <v>57</v>
      </c>
      <c r="BK62" s="439">
        <v>113.41</v>
      </c>
      <c r="BL62" s="439">
        <v>114.63</v>
      </c>
      <c r="BM62" s="439">
        <v>115.98</v>
      </c>
      <c r="BT62" s="113">
        <v>57</v>
      </c>
      <c r="BU62" s="439">
        <v>121.62</v>
      </c>
      <c r="BV62" s="439">
        <v>123.05</v>
      </c>
      <c r="BW62" s="439">
        <v>124.54</v>
      </c>
      <c r="CD62" s="113">
        <v>57</v>
      </c>
      <c r="CE62" s="439">
        <v>130.35</v>
      </c>
      <c r="CF62" s="439">
        <v>132.01</v>
      </c>
      <c r="CG62" s="439">
        <v>133.66</v>
      </c>
      <c r="CN62" s="113">
        <v>57</v>
      </c>
      <c r="CO62" s="439">
        <v>139.59</v>
      </c>
      <c r="CP62" s="439">
        <v>141.5</v>
      </c>
      <c r="CQ62" s="439">
        <v>143.31</v>
      </c>
    </row>
    <row r="63" spans="2:100" x14ac:dyDescent="0.2">
      <c r="B63" s="438">
        <v>58</v>
      </c>
      <c r="C63" s="439">
        <v>77.010000000000005</v>
      </c>
      <c r="D63" s="439">
        <v>77.400000000000006</v>
      </c>
      <c r="E63" s="439">
        <v>78.12</v>
      </c>
      <c r="L63" s="438">
        <v>58</v>
      </c>
      <c r="M63" s="439">
        <v>82.57</v>
      </c>
      <c r="N63" s="439">
        <v>83.07</v>
      </c>
      <c r="O63" s="439">
        <v>83.88</v>
      </c>
      <c r="V63" s="113">
        <v>58</v>
      </c>
      <c r="W63" s="439">
        <v>88.55</v>
      </c>
      <c r="X63" s="439">
        <v>89.18</v>
      </c>
      <c r="Y63" s="439">
        <v>90.08</v>
      </c>
      <c r="AF63" s="113">
        <v>58</v>
      </c>
      <c r="AG63" s="439">
        <v>95.02</v>
      </c>
      <c r="AH63" s="439">
        <v>95.78</v>
      </c>
      <c r="AI63" s="439">
        <v>96.79</v>
      </c>
      <c r="AP63" s="113">
        <v>58</v>
      </c>
      <c r="AQ63" s="439">
        <v>102.02</v>
      </c>
      <c r="AR63" s="439">
        <v>102.94</v>
      </c>
      <c r="AS63" s="439">
        <v>104.06</v>
      </c>
      <c r="AZ63" s="113">
        <v>58</v>
      </c>
      <c r="BA63" s="439">
        <v>107.88</v>
      </c>
      <c r="BB63" s="439">
        <v>108.95</v>
      </c>
      <c r="BC63" s="439">
        <v>110.18</v>
      </c>
      <c r="BJ63" s="113">
        <v>58</v>
      </c>
      <c r="BK63" s="439">
        <v>115.78</v>
      </c>
      <c r="BL63" s="439">
        <v>117.05</v>
      </c>
      <c r="BM63" s="439">
        <v>118.42</v>
      </c>
      <c r="BT63" s="113">
        <v>58</v>
      </c>
      <c r="BU63" s="439">
        <v>124.23</v>
      </c>
      <c r="BV63" s="439">
        <v>125.71</v>
      </c>
      <c r="BW63" s="439">
        <v>127.22</v>
      </c>
      <c r="CD63" s="113">
        <v>58</v>
      </c>
      <c r="CE63" s="439">
        <v>133.18</v>
      </c>
      <c r="CF63" s="439">
        <v>134.9</v>
      </c>
      <c r="CG63" s="439">
        <v>136.57</v>
      </c>
      <c r="CN63" s="113">
        <v>58</v>
      </c>
      <c r="CO63" s="439">
        <v>142.6</v>
      </c>
      <c r="CP63" s="439">
        <v>144.58000000000001</v>
      </c>
      <c r="CQ63" s="439">
        <v>146.41</v>
      </c>
    </row>
    <row r="64" spans="2:100" x14ac:dyDescent="0.2">
      <c r="B64" s="438">
        <v>59</v>
      </c>
      <c r="C64" s="439">
        <v>78.25</v>
      </c>
      <c r="D64" s="439">
        <v>78.66</v>
      </c>
      <c r="E64" s="439">
        <v>79.38</v>
      </c>
      <c r="L64" s="438">
        <v>59</v>
      </c>
      <c r="M64" s="439">
        <v>83.96</v>
      </c>
      <c r="N64" s="439">
        <v>84.48</v>
      </c>
      <c r="O64" s="439">
        <v>85.29</v>
      </c>
      <c r="V64" s="113">
        <v>59</v>
      </c>
      <c r="W64" s="439">
        <v>90.13</v>
      </c>
      <c r="X64" s="439">
        <v>90.78</v>
      </c>
      <c r="Y64" s="439">
        <v>91.69</v>
      </c>
      <c r="AF64" s="113">
        <v>59</v>
      </c>
      <c r="AG64" s="439">
        <v>96.84</v>
      </c>
      <c r="AH64" s="439">
        <v>97.63</v>
      </c>
      <c r="AI64" s="439">
        <v>98.65</v>
      </c>
      <c r="AP64" s="113">
        <v>59</v>
      </c>
      <c r="AQ64" s="439">
        <v>104.09</v>
      </c>
      <c r="AR64" s="439">
        <v>105.04</v>
      </c>
      <c r="AS64" s="439">
        <v>106.18</v>
      </c>
      <c r="AZ64" s="113">
        <v>59</v>
      </c>
      <c r="BA64" s="439">
        <v>110.18</v>
      </c>
      <c r="BB64" s="439">
        <v>111.3</v>
      </c>
      <c r="BC64" s="439">
        <v>112.55</v>
      </c>
      <c r="BJ64" s="113">
        <v>59</v>
      </c>
      <c r="BK64" s="439">
        <v>118.33</v>
      </c>
      <c r="BL64" s="439">
        <v>119.65</v>
      </c>
      <c r="BM64" s="439">
        <v>121.04</v>
      </c>
      <c r="BT64" s="113">
        <v>59</v>
      </c>
      <c r="BU64" s="439">
        <v>127</v>
      </c>
      <c r="BV64" s="439">
        <v>128.54</v>
      </c>
      <c r="BW64" s="439">
        <v>130.08000000000001</v>
      </c>
      <c r="CD64" s="113">
        <v>59</v>
      </c>
      <c r="CE64" s="439">
        <v>136.15</v>
      </c>
      <c r="CF64" s="439">
        <v>137.93</v>
      </c>
      <c r="CG64" s="439">
        <v>139.63</v>
      </c>
      <c r="CN64" s="113">
        <v>59</v>
      </c>
      <c r="CO64" s="439">
        <v>145.71</v>
      </c>
      <c r="CP64" s="439">
        <v>147.76</v>
      </c>
      <c r="CQ64" s="439">
        <v>149.62</v>
      </c>
    </row>
    <row r="65" spans="2:95" x14ac:dyDescent="0.2">
      <c r="B65" s="438">
        <v>60</v>
      </c>
      <c r="C65" s="439">
        <v>79.58</v>
      </c>
      <c r="D65" s="439">
        <v>80</v>
      </c>
      <c r="E65" s="439">
        <v>80.739999999999995</v>
      </c>
      <c r="L65" s="438">
        <v>60</v>
      </c>
      <c r="M65" s="439">
        <v>85.47</v>
      </c>
      <c r="N65" s="439">
        <v>86.01</v>
      </c>
      <c r="O65" s="439">
        <v>86.84</v>
      </c>
      <c r="V65" s="113">
        <v>60</v>
      </c>
      <c r="W65" s="439">
        <v>91.88</v>
      </c>
      <c r="X65" s="439">
        <v>92.55</v>
      </c>
      <c r="Y65" s="439">
        <v>93.48</v>
      </c>
      <c r="AF65" s="113">
        <v>60</v>
      </c>
      <c r="AG65" s="439">
        <v>98.83</v>
      </c>
      <c r="AH65" s="439">
        <v>99.65</v>
      </c>
      <c r="AI65" s="439">
        <v>100.69</v>
      </c>
      <c r="AP65" s="113">
        <v>60</v>
      </c>
      <c r="AQ65" s="439">
        <v>106.33</v>
      </c>
      <c r="AR65" s="439">
        <v>107.32</v>
      </c>
      <c r="AS65" s="439">
        <v>108.48</v>
      </c>
      <c r="AZ65" s="113">
        <v>60</v>
      </c>
      <c r="BA65" s="439">
        <v>112.66</v>
      </c>
      <c r="BB65" s="439">
        <v>113.82</v>
      </c>
      <c r="BC65" s="439">
        <v>115.09</v>
      </c>
      <c r="BJ65" s="113">
        <v>60</v>
      </c>
      <c r="BK65" s="439">
        <v>121.05</v>
      </c>
      <c r="BL65" s="439">
        <v>122.41</v>
      </c>
      <c r="BM65" s="439">
        <v>123.83</v>
      </c>
      <c r="BT65" s="113">
        <v>60</v>
      </c>
      <c r="BU65" s="439">
        <v>129.91999999999999</v>
      </c>
      <c r="BV65" s="439">
        <v>131.52000000000001</v>
      </c>
      <c r="BW65" s="439">
        <v>133.08000000000001</v>
      </c>
      <c r="CD65" s="113">
        <v>60</v>
      </c>
      <c r="CE65" s="439">
        <v>139.22999999999999</v>
      </c>
      <c r="CF65" s="439">
        <v>141.08000000000001</v>
      </c>
      <c r="CG65" s="439">
        <v>142.81</v>
      </c>
      <c r="CN65" s="113">
        <v>60</v>
      </c>
      <c r="CO65" s="439">
        <v>148.88</v>
      </c>
      <c r="CP65" s="439">
        <v>151.01</v>
      </c>
      <c r="CQ65" s="439">
        <v>152.88999999999999</v>
      </c>
    </row>
    <row r="66" spans="2:95" x14ac:dyDescent="0.2">
      <c r="B66" s="438">
        <v>61</v>
      </c>
      <c r="C66" s="439">
        <v>81.03</v>
      </c>
      <c r="D66" s="439">
        <v>81.47</v>
      </c>
      <c r="E66" s="439">
        <v>82.22</v>
      </c>
      <c r="L66" s="438">
        <v>61</v>
      </c>
      <c r="M66" s="439">
        <v>87.16</v>
      </c>
      <c r="N66" s="439">
        <v>87.72</v>
      </c>
      <c r="O66" s="439">
        <v>88.56</v>
      </c>
      <c r="V66" s="113">
        <v>61</v>
      </c>
      <c r="W66" s="439">
        <v>93.81</v>
      </c>
      <c r="X66" s="439">
        <v>94.5</v>
      </c>
      <c r="Y66" s="439">
        <v>95.45</v>
      </c>
      <c r="AF66" s="113">
        <v>61</v>
      </c>
      <c r="AG66" s="439">
        <v>101</v>
      </c>
      <c r="AH66" s="439">
        <v>101.86</v>
      </c>
      <c r="AI66" s="439">
        <v>102.91</v>
      </c>
      <c r="AP66" s="113">
        <v>61</v>
      </c>
      <c r="AQ66" s="439">
        <v>108.75</v>
      </c>
      <c r="AR66" s="439">
        <v>109.79</v>
      </c>
      <c r="AS66" s="439">
        <v>110.96</v>
      </c>
      <c r="AZ66" s="113">
        <v>61</v>
      </c>
      <c r="BA66" s="439">
        <v>115.31</v>
      </c>
      <c r="BB66" s="439">
        <v>116.51</v>
      </c>
      <c r="BC66" s="439">
        <v>117.81</v>
      </c>
      <c r="BJ66" s="113">
        <v>61</v>
      </c>
      <c r="BK66" s="439">
        <v>123.91</v>
      </c>
      <c r="BL66" s="439">
        <v>125.33</v>
      </c>
      <c r="BM66" s="439">
        <v>126.77</v>
      </c>
      <c r="BT66" s="113">
        <v>61</v>
      </c>
      <c r="BU66" s="439">
        <v>132.97</v>
      </c>
      <c r="BV66" s="439">
        <v>134.63</v>
      </c>
      <c r="BW66" s="439">
        <v>136.22</v>
      </c>
      <c r="CD66" s="113">
        <v>61</v>
      </c>
      <c r="CE66" s="439">
        <v>142.41</v>
      </c>
      <c r="CF66" s="439">
        <v>144.33000000000001</v>
      </c>
      <c r="CG66" s="439">
        <v>146.07</v>
      </c>
      <c r="CN66" s="113">
        <v>61</v>
      </c>
      <c r="CO66" s="439">
        <v>152.09</v>
      </c>
      <c r="CP66" s="439">
        <v>154.29</v>
      </c>
      <c r="CQ66" s="439">
        <v>156.19999999999999</v>
      </c>
    </row>
    <row r="67" spans="2:95" x14ac:dyDescent="0.2">
      <c r="B67" s="438">
        <v>62</v>
      </c>
      <c r="C67" s="439">
        <v>82.65</v>
      </c>
      <c r="D67" s="439">
        <v>83.11</v>
      </c>
      <c r="E67" s="439">
        <v>83.87</v>
      </c>
      <c r="L67" s="438">
        <v>62</v>
      </c>
      <c r="M67" s="439">
        <v>89</v>
      </c>
      <c r="N67" s="439">
        <v>89.59</v>
      </c>
      <c r="O67" s="439">
        <v>90.44</v>
      </c>
      <c r="V67" s="113">
        <v>62</v>
      </c>
      <c r="W67" s="439">
        <v>95.9</v>
      </c>
      <c r="X67" s="439">
        <v>96.62</v>
      </c>
      <c r="Y67" s="439">
        <v>97.58</v>
      </c>
      <c r="AF67" s="113">
        <v>62</v>
      </c>
      <c r="AG67" s="439">
        <v>103.34</v>
      </c>
      <c r="AH67" s="439">
        <v>104.23</v>
      </c>
      <c r="AI67" s="439">
        <v>105.31</v>
      </c>
      <c r="AP67" s="113">
        <v>62</v>
      </c>
      <c r="AQ67" s="439">
        <v>111.34</v>
      </c>
      <c r="AR67" s="439">
        <v>112.42</v>
      </c>
      <c r="AS67" s="439">
        <v>113.61</v>
      </c>
      <c r="AZ67" s="113">
        <v>62</v>
      </c>
      <c r="BA67" s="439">
        <v>118.11</v>
      </c>
      <c r="BB67" s="439">
        <v>119.36</v>
      </c>
      <c r="BC67" s="439">
        <v>120.68</v>
      </c>
      <c r="BJ67" s="113">
        <v>62</v>
      </c>
      <c r="BK67" s="439">
        <v>126.91</v>
      </c>
      <c r="BL67" s="439">
        <v>128.38999999999999</v>
      </c>
      <c r="BM67" s="439">
        <v>129.85</v>
      </c>
      <c r="BT67" s="113">
        <v>62</v>
      </c>
      <c r="BU67" s="439">
        <v>136.12</v>
      </c>
      <c r="BV67" s="439">
        <v>137.85</v>
      </c>
      <c r="BW67" s="439">
        <v>139.46</v>
      </c>
      <c r="CD67" s="113">
        <v>62</v>
      </c>
      <c r="CE67" s="439">
        <v>145.63</v>
      </c>
      <c r="CF67" s="439">
        <v>147.62</v>
      </c>
      <c r="CG67" s="439">
        <v>149.38999999999999</v>
      </c>
      <c r="CN67" s="113">
        <v>62</v>
      </c>
      <c r="CO67" s="439">
        <v>155.28</v>
      </c>
      <c r="CP67" s="439">
        <v>157.56</v>
      </c>
      <c r="CQ67" s="439">
        <v>159.49</v>
      </c>
    </row>
    <row r="68" spans="2:95" x14ac:dyDescent="0.2">
      <c r="B68" s="438">
        <v>63</v>
      </c>
      <c r="C68" s="439">
        <v>84.42</v>
      </c>
      <c r="D68" s="439">
        <v>84.9</v>
      </c>
      <c r="E68" s="439">
        <v>85.67</v>
      </c>
      <c r="L68" s="438">
        <v>63</v>
      </c>
      <c r="M68" s="439">
        <v>91.01</v>
      </c>
      <c r="N68" s="439">
        <v>91.62</v>
      </c>
      <c r="O68" s="439">
        <v>92.49</v>
      </c>
      <c r="V68" s="113">
        <v>63</v>
      </c>
      <c r="W68" s="439">
        <v>98.15</v>
      </c>
      <c r="X68" s="439">
        <v>98.91</v>
      </c>
      <c r="Y68" s="439">
        <v>99.89</v>
      </c>
      <c r="AF68" s="113">
        <v>63</v>
      </c>
      <c r="AG68" s="439">
        <v>105.84</v>
      </c>
      <c r="AH68" s="439">
        <v>106.78</v>
      </c>
      <c r="AI68" s="439">
        <v>107.87</v>
      </c>
      <c r="AP68" s="113">
        <v>63</v>
      </c>
      <c r="AQ68" s="439">
        <v>114.08</v>
      </c>
      <c r="AR68" s="439">
        <v>115.21</v>
      </c>
      <c r="AS68" s="439">
        <v>116.42</v>
      </c>
      <c r="AZ68" s="113">
        <v>63</v>
      </c>
      <c r="BA68" s="439">
        <v>121.05</v>
      </c>
      <c r="BB68" s="439">
        <v>122.36</v>
      </c>
      <c r="BC68" s="439">
        <v>123.7</v>
      </c>
      <c r="BJ68" s="113">
        <v>63</v>
      </c>
      <c r="BK68" s="439">
        <v>130.02000000000001</v>
      </c>
      <c r="BL68" s="439">
        <v>131.57</v>
      </c>
      <c r="BM68" s="439">
        <v>133.05000000000001</v>
      </c>
      <c r="BT68" s="113">
        <v>63</v>
      </c>
      <c r="BU68" s="439">
        <v>139.34</v>
      </c>
      <c r="BV68" s="439">
        <v>141.13999999999999</v>
      </c>
      <c r="BW68" s="439">
        <v>142.77000000000001</v>
      </c>
      <c r="CD68" s="113">
        <v>63</v>
      </c>
      <c r="CE68" s="439">
        <v>148.86000000000001</v>
      </c>
      <c r="CF68" s="439">
        <v>150.94</v>
      </c>
      <c r="CG68" s="439">
        <v>152.72</v>
      </c>
      <c r="CN68" s="113">
        <v>63</v>
      </c>
      <c r="CO68" s="439">
        <v>158.41</v>
      </c>
      <c r="CP68" s="439">
        <v>160.77000000000001</v>
      </c>
      <c r="CQ68" s="439">
        <v>162.71</v>
      </c>
    </row>
    <row r="69" spans="2:95" x14ac:dyDescent="0.2">
      <c r="B69" s="438">
        <v>64</v>
      </c>
      <c r="C69" s="439">
        <v>86.34</v>
      </c>
      <c r="D69" s="439">
        <v>86.85</v>
      </c>
      <c r="E69" s="439">
        <v>87.63</v>
      </c>
      <c r="L69" s="438">
        <v>64</v>
      </c>
      <c r="M69" s="439">
        <v>93.18</v>
      </c>
      <c r="N69" s="439">
        <v>93.82</v>
      </c>
      <c r="O69" s="439">
        <v>94.71</v>
      </c>
      <c r="V69" s="113">
        <v>64</v>
      </c>
      <c r="W69" s="439">
        <v>100.57</v>
      </c>
      <c r="X69" s="439">
        <v>101.37</v>
      </c>
      <c r="Y69" s="439">
        <v>102.36</v>
      </c>
      <c r="AF69" s="113">
        <v>64</v>
      </c>
      <c r="AG69" s="439">
        <v>108.51</v>
      </c>
      <c r="AH69" s="439">
        <v>109.49</v>
      </c>
      <c r="AI69" s="439">
        <v>110.6</v>
      </c>
      <c r="AP69" s="113">
        <v>64</v>
      </c>
      <c r="AQ69" s="439">
        <v>116.98</v>
      </c>
      <c r="AR69" s="439">
        <v>118.16</v>
      </c>
      <c r="AS69" s="439">
        <v>119.39</v>
      </c>
      <c r="AZ69" s="113">
        <v>64</v>
      </c>
      <c r="BA69" s="439">
        <v>124.12</v>
      </c>
      <c r="BB69" s="439">
        <v>125.5</v>
      </c>
      <c r="BC69" s="439">
        <v>126.86</v>
      </c>
      <c r="BJ69" s="113">
        <v>64</v>
      </c>
      <c r="BK69" s="439">
        <v>133.24</v>
      </c>
      <c r="BL69" s="439">
        <v>134.85</v>
      </c>
      <c r="BM69" s="439">
        <v>136.36000000000001</v>
      </c>
      <c r="BT69" s="113">
        <v>64</v>
      </c>
      <c r="BU69" s="439">
        <v>142.62</v>
      </c>
      <c r="BV69" s="439">
        <v>144.49</v>
      </c>
      <c r="BW69" s="439">
        <v>146.15</v>
      </c>
      <c r="CD69" s="113">
        <v>64</v>
      </c>
      <c r="CE69" s="439">
        <v>152.09</v>
      </c>
      <c r="CF69" s="439">
        <v>154.24</v>
      </c>
      <c r="CG69" s="439">
        <v>156.05000000000001</v>
      </c>
      <c r="CN69" s="113">
        <v>64</v>
      </c>
      <c r="CO69" s="439">
        <v>161.43</v>
      </c>
      <c r="CP69" s="439">
        <v>163.87</v>
      </c>
      <c r="CQ69" s="439">
        <v>165.83</v>
      </c>
    </row>
    <row r="70" spans="2:95" x14ac:dyDescent="0.2">
      <c r="B70" s="438">
        <v>65</v>
      </c>
      <c r="C70" s="439">
        <v>88.43</v>
      </c>
      <c r="D70" s="439">
        <v>88.96</v>
      </c>
      <c r="E70" s="439">
        <v>89.76</v>
      </c>
      <c r="L70" s="438">
        <v>65</v>
      </c>
      <c r="M70" s="439">
        <v>95.52</v>
      </c>
      <c r="N70" s="439">
        <v>96.19</v>
      </c>
      <c r="O70" s="439">
        <v>97.09</v>
      </c>
      <c r="V70" s="113">
        <v>65</v>
      </c>
      <c r="W70" s="439">
        <v>103.16</v>
      </c>
      <c r="X70" s="439">
        <v>104</v>
      </c>
      <c r="Y70" s="439">
        <v>105.01</v>
      </c>
      <c r="AF70" s="113">
        <v>65</v>
      </c>
      <c r="AG70" s="439">
        <v>111.34</v>
      </c>
      <c r="AH70" s="439">
        <v>112.37</v>
      </c>
      <c r="AI70" s="439">
        <v>113.49</v>
      </c>
      <c r="AP70" s="113">
        <v>65</v>
      </c>
      <c r="AQ70" s="439">
        <v>120.03</v>
      </c>
      <c r="AR70" s="439">
        <v>121.26</v>
      </c>
      <c r="AS70" s="439">
        <v>122.52</v>
      </c>
      <c r="AZ70" s="113">
        <v>65</v>
      </c>
      <c r="BA70" s="439">
        <v>127.33</v>
      </c>
      <c r="BB70" s="439">
        <v>128.77000000000001</v>
      </c>
      <c r="BC70" s="439">
        <v>130.15</v>
      </c>
      <c r="BJ70" s="113">
        <v>65</v>
      </c>
      <c r="BK70" s="439">
        <v>136.55000000000001</v>
      </c>
      <c r="BL70" s="439">
        <v>138.22999999999999</v>
      </c>
      <c r="BM70" s="439">
        <v>139.76</v>
      </c>
      <c r="BT70" s="113">
        <v>65</v>
      </c>
      <c r="BU70" s="439">
        <v>145.93</v>
      </c>
      <c r="BV70" s="439">
        <v>147.88</v>
      </c>
      <c r="BW70" s="439">
        <v>149.55000000000001</v>
      </c>
      <c r="CD70" s="113">
        <v>65</v>
      </c>
      <c r="CE70" s="439">
        <v>155.27000000000001</v>
      </c>
      <c r="CF70" s="439">
        <v>157.5</v>
      </c>
      <c r="CG70" s="439">
        <v>159.32</v>
      </c>
      <c r="CN70" s="113">
        <v>65</v>
      </c>
      <c r="CO70" s="439">
        <v>164.31</v>
      </c>
      <c r="CP70" s="439">
        <v>166.83</v>
      </c>
      <c r="CQ70" s="439">
        <v>168.8</v>
      </c>
    </row>
    <row r="71" spans="2:95" x14ac:dyDescent="0.2">
      <c r="B71" s="438">
        <v>66</v>
      </c>
      <c r="C71" s="439">
        <v>90.69</v>
      </c>
      <c r="D71" s="439">
        <v>91.25</v>
      </c>
      <c r="E71" s="439">
        <v>92.06</v>
      </c>
      <c r="L71" s="438">
        <v>66</v>
      </c>
      <c r="M71" s="439">
        <v>98.03</v>
      </c>
      <c r="N71" s="439">
        <v>98.74</v>
      </c>
      <c r="O71" s="439">
        <v>99.65</v>
      </c>
      <c r="V71" s="113">
        <v>66</v>
      </c>
      <c r="W71" s="439">
        <v>105.92</v>
      </c>
      <c r="X71" s="439">
        <v>106.8</v>
      </c>
      <c r="Y71" s="439">
        <v>107.83</v>
      </c>
      <c r="AF71" s="113">
        <v>66</v>
      </c>
      <c r="AG71" s="439">
        <v>114.34</v>
      </c>
      <c r="AH71" s="439">
        <v>115.42</v>
      </c>
      <c r="AI71" s="439">
        <v>116.56</v>
      </c>
      <c r="AP71" s="113">
        <v>66</v>
      </c>
      <c r="AQ71" s="439">
        <v>123.23</v>
      </c>
      <c r="AR71" s="439">
        <v>124.52</v>
      </c>
      <c r="AS71" s="439">
        <v>125.8</v>
      </c>
      <c r="AZ71" s="113">
        <v>66</v>
      </c>
      <c r="BA71" s="439">
        <v>130.65</v>
      </c>
      <c r="BB71" s="439">
        <v>132.16</v>
      </c>
      <c r="BC71" s="439">
        <v>133.56</v>
      </c>
      <c r="BJ71" s="113">
        <v>66</v>
      </c>
      <c r="BK71" s="439">
        <v>139.93</v>
      </c>
      <c r="BL71" s="439">
        <v>141.69</v>
      </c>
      <c r="BM71" s="439">
        <v>143.22999999999999</v>
      </c>
      <c r="BT71" s="113">
        <v>66</v>
      </c>
      <c r="BU71" s="439">
        <v>149.24</v>
      </c>
      <c r="BV71" s="439">
        <v>151.28</v>
      </c>
      <c r="BW71" s="439">
        <v>152.97</v>
      </c>
      <c r="CD71" s="113">
        <v>66</v>
      </c>
      <c r="CE71" s="439">
        <v>158.36000000000001</v>
      </c>
      <c r="CF71" s="439">
        <v>160.66999999999999</v>
      </c>
      <c r="CG71" s="439">
        <v>162.51</v>
      </c>
      <c r="CN71" s="113">
        <v>66</v>
      </c>
      <c r="CO71" s="439">
        <v>167</v>
      </c>
      <c r="CP71" s="439">
        <v>169.59</v>
      </c>
      <c r="CQ71" s="439">
        <v>171.58</v>
      </c>
    </row>
    <row r="72" spans="2:95" x14ac:dyDescent="0.2">
      <c r="B72" s="438">
        <v>67</v>
      </c>
      <c r="C72" s="439">
        <v>93.11</v>
      </c>
      <c r="D72" s="439">
        <v>93.71</v>
      </c>
      <c r="E72" s="439">
        <v>94.53</v>
      </c>
      <c r="L72" s="438">
        <v>67</v>
      </c>
      <c r="M72" s="439">
        <v>100.71</v>
      </c>
      <c r="N72" s="439">
        <v>101.46</v>
      </c>
      <c r="O72" s="439">
        <v>102.39</v>
      </c>
      <c r="V72" s="113">
        <v>67</v>
      </c>
      <c r="W72" s="439">
        <v>108.85</v>
      </c>
      <c r="X72" s="439">
        <v>109.78</v>
      </c>
      <c r="Y72" s="439">
        <v>110.82</v>
      </c>
      <c r="AF72" s="113">
        <v>67</v>
      </c>
      <c r="AG72" s="439">
        <v>117.49</v>
      </c>
      <c r="AH72" s="439">
        <v>118.63</v>
      </c>
      <c r="AI72" s="439">
        <v>119.8</v>
      </c>
      <c r="AP72" s="113">
        <v>67</v>
      </c>
      <c r="AQ72" s="439">
        <v>126.57</v>
      </c>
      <c r="AR72" s="439">
        <v>127.93</v>
      </c>
      <c r="AS72" s="439">
        <v>129.22</v>
      </c>
      <c r="AZ72" s="113">
        <v>67</v>
      </c>
      <c r="BA72" s="439">
        <v>134.08000000000001</v>
      </c>
      <c r="BB72" s="439">
        <v>135.66</v>
      </c>
      <c r="BC72" s="439">
        <v>137.08000000000001</v>
      </c>
      <c r="BJ72" s="113">
        <v>67</v>
      </c>
      <c r="BK72" s="439">
        <v>143.36000000000001</v>
      </c>
      <c r="BL72" s="439">
        <v>145.19999999999999</v>
      </c>
      <c r="BM72" s="439">
        <v>146.76</v>
      </c>
      <c r="BT72" s="113">
        <v>67</v>
      </c>
      <c r="BU72" s="439">
        <v>152.53</v>
      </c>
      <c r="BV72" s="439">
        <v>154.65</v>
      </c>
      <c r="BW72" s="439">
        <v>156.36000000000001</v>
      </c>
      <c r="CD72" s="113">
        <v>67</v>
      </c>
      <c r="CE72" s="439">
        <v>161.33000000000001</v>
      </c>
      <c r="CF72" s="439">
        <v>163.72</v>
      </c>
      <c r="CG72" s="439">
        <v>165.58</v>
      </c>
      <c r="CN72" s="113">
        <v>67</v>
      </c>
      <c r="CO72" s="439">
        <v>169.44</v>
      </c>
      <c r="CP72" s="439">
        <v>172.11</v>
      </c>
      <c r="CQ72" s="439">
        <v>174.1</v>
      </c>
    </row>
    <row r="73" spans="2:95" x14ac:dyDescent="0.2">
      <c r="B73" s="438">
        <v>68</v>
      </c>
      <c r="C73" s="439">
        <v>95.71</v>
      </c>
      <c r="D73" s="439">
        <v>96.34</v>
      </c>
      <c r="E73" s="439">
        <v>97.18</v>
      </c>
      <c r="L73" s="438">
        <v>68</v>
      </c>
      <c r="M73" s="439">
        <v>103.57</v>
      </c>
      <c r="N73" s="439">
        <v>104.37</v>
      </c>
      <c r="O73" s="439">
        <v>105.31</v>
      </c>
      <c r="V73" s="113">
        <v>68</v>
      </c>
      <c r="W73" s="439">
        <v>111.96</v>
      </c>
      <c r="X73" s="439">
        <v>112.94</v>
      </c>
      <c r="Y73" s="439">
        <v>114</v>
      </c>
      <c r="AF73" s="113">
        <v>68</v>
      </c>
      <c r="AG73" s="439">
        <v>120.82</v>
      </c>
      <c r="AH73" s="439">
        <v>122.02</v>
      </c>
      <c r="AI73" s="439">
        <v>123.2</v>
      </c>
      <c r="AP73" s="113">
        <v>68</v>
      </c>
      <c r="AQ73" s="439">
        <v>130.04</v>
      </c>
      <c r="AR73" s="439">
        <v>131.47999999999999</v>
      </c>
      <c r="AS73" s="439">
        <v>132.79</v>
      </c>
      <c r="AZ73" s="113">
        <v>68</v>
      </c>
      <c r="BA73" s="439">
        <v>137.6</v>
      </c>
      <c r="BB73" s="439">
        <v>139.26</v>
      </c>
      <c r="BC73" s="439">
        <v>140.69999999999999</v>
      </c>
      <c r="BJ73" s="113">
        <v>68</v>
      </c>
      <c r="BK73" s="439">
        <v>146.82</v>
      </c>
      <c r="BL73" s="439">
        <v>148.74</v>
      </c>
      <c r="BM73" s="439">
        <v>150.32</v>
      </c>
      <c r="BT73" s="113">
        <v>68</v>
      </c>
      <c r="BU73" s="439">
        <v>155.77000000000001</v>
      </c>
      <c r="BV73" s="439">
        <v>157.96</v>
      </c>
      <c r="BW73" s="439">
        <v>159.69</v>
      </c>
      <c r="CD73" s="113">
        <v>68</v>
      </c>
      <c r="CE73" s="439">
        <v>164.14</v>
      </c>
      <c r="CF73" s="439">
        <v>166.61</v>
      </c>
      <c r="CG73" s="439">
        <v>168.48</v>
      </c>
      <c r="CN73" s="113">
        <v>68</v>
      </c>
      <c r="CO73" s="439">
        <v>171.6</v>
      </c>
      <c r="CP73" s="439">
        <v>174.33</v>
      </c>
      <c r="CQ73" s="439">
        <v>176.34</v>
      </c>
    </row>
    <row r="74" spans="2:95" x14ac:dyDescent="0.2">
      <c r="B74" s="438">
        <v>69</v>
      </c>
      <c r="C74" s="439">
        <v>98.49</v>
      </c>
      <c r="D74" s="439">
        <v>99.16</v>
      </c>
      <c r="E74" s="439">
        <v>100.01</v>
      </c>
      <c r="L74" s="438">
        <v>69</v>
      </c>
      <c r="M74" s="439">
        <v>106.61</v>
      </c>
      <c r="N74" s="439">
        <v>107.46</v>
      </c>
      <c r="O74" s="439">
        <v>108.41</v>
      </c>
      <c r="V74" s="113">
        <v>69</v>
      </c>
      <c r="W74" s="439">
        <v>115.24</v>
      </c>
      <c r="X74" s="439">
        <v>116.29</v>
      </c>
      <c r="Y74" s="439">
        <v>117.36</v>
      </c>
      <c r="AF74" s="113">
        <v>69</v>
      </c>
      <c r="AG74" s="439">
        <v>124.3</v>
      </c>
      <c r="AH74" s="439">
        <v>125.57</v>
      </c>
      <c r="AI74" s="439">
        <v>126.76</v>
      </c>
      <c r="AP74" s="113">
        <v>69</v>
      </c>
      <c r="AQ74" s="439">
        <v>133.65</v>
      </c>
      <c r="AR74" s="439">
        <v>135.16</v>
      </c>
      <c r="AS74" s="439">
        <v>136.49</v>
      </c>
      <c r="AZ74" s="113">
        <v>69</v>
      </c>
      <c r="BA74" s="439">
        <v>141.19999999999999</v>
      </c>
      <c r="BB74" s="439">
        <v>142.94</v>
      </c>
      <c r="BC74" s="439">
        <v>144.4</v>
      </c>
      <c r="BJ74" s="113">
        <v>69</v>
      </c>
      <c r="BK74" s="439">
        <v>150.28</v>
      </c>
      <c r="BL74" s="439">
        <v>152.29</v>
      </c>
      <c r="BM74" s="439">
        <v>153.88999999999999</v>
      </c>
      <c r="BT74" s="113">
        <v>69</v>
      </c>
      <c r="BU74" s="439">
        <v>158.91</v>
      </c>
      <c r="BV74" s="439">
        <v>161.18</v>
      </c>
      <c r="BW74" s="439">
        <v>162.91999999999999</v>
      </c>
      <c r="CD74" s="113">
        <v>69</v>
      </c>
      <c r="CE74" s="439">
        <v>166.73</v>
      </c>
      <c r="CF74" s="439">
        <v>169.28</v>
      </c>
      <c r="CG74" s="439">
        <v>171.16</v>
      </c>
      <c r="CN74" s="113">
        <v>69</v>
      </c>
      <c r="CO74" s="439">
        <v>173.42</v>
      </c>
      <c r="CP74" s="439">
        <v>176.22</v>
      </c>
      <c r="CQ74" s="439">
        <v>178.22</v>
      </c>
    </row>
    <row r="75" spans="2:95" x14ac:dyDescent="0.2">
      <c r="B75" s="438">
        <v>70</v>
      </c>
      <c r="C75" s="439">
        <v>101.45</v>
      </c>
      <c r="D75" s="439">
        <v>102.17</v>
      </c>
      <c r="E75" s="439">
        <v>103.03</v>
      </c>
      <c r="L75" s="438">
        <v>70</v>
      </c>
      <c r="M75" s="439">
        <v>109.83</v>
      </c>
      <c r="N75" s="439">
        <v>110.73</v>
      </c>
      <c r="O75" s="439">
        <v>111.7</v>
      </c>
      <c r="V75" s="113">
        <v>70</v>
      </c>
      <c r="W75" s="439">
        <v>118.7</v>
      </c>
      <c r="X75" s="439">
        <v>119.81</v>
      </c>
      <c r="Y75" s="439">
        <v>120.89</v>
      </c>
      <c r="AF75" s="113">
        <v>70</v>
      </c>
      <c r="AG75" s="439">
        <v>127.94</v>
      </c>
      <c r="AH75" s="439">
        <v>129.28</v>
      </c>
      <c r="AI75" s="439">
        <v>130.49</v>
      </c>
      <c r="AP75" s="113">
        <v>70</v>
      </c>
      <c r="AQ75" s="439">
        <v>137.37</v>
      </c>
      <c r="AR75" s="439">
        <v>138.97</v>
      </c>
      <c r="AS75" s="439">
        <v>140.31</v>
      </c>
      <c r="AZ75" s="113">
        <v>70</v>
      </c>
      <c r="BA75" s="439">
        <v>144.86000000000001</v>
      </c>
      <c r="BB75" s="439">
        <v>146.68</v>
      </c>
      <c r="BC75" s="439">
        <v>148.16</v>
      </c>
      <c r="BJ75" s="113">
        <v>70</v>
      </c>
      <c r="BK75" s="439">
        <v>153.72</v>
      </c>
      <c r="BL75" s="439">
        <v>155.81</v>
      </c>
      <c r="BM75" s="439">
        <v>157.43</v>
      </c>
      <c r="BT75" s="113">
        <v>70</v>
      </c>
      <c r="BU75" s="439">
        <v>161.91</v>
      </c>
      <c r="BV75" s="439">
        <v>164.27</v>
      </c>
      <c r="BW75" s="439">
        <v>166.02</v>
      </c>
      <c r="CD75" s="113">
        <v>70</v>
      </c>
      <c r="CE75" s="439">
        <v>169.07</v>
      </c>
      <c r="CF75" s="439">
        <v>171.69</v>
      </c>
      <c r="CG75" s="439">
        <v>173.57</v>
      </c>
      <c r="CN75" s="113">
        <v>70</v>
      </c>
      <c r="CO75" s="439">
        <v>174.86</v>
      </c>
      <c r="CP75" s="439">
        <v>177.71</v>
      </c>
      <c r="CQ75" s="439">
        <v>179.71</v>
      </c>
    </row>
    <row r="76" spans="2:95" x14ac:dyDescent="0.2">
      <c r="B76" s="438">
        <v>71</v>
      </c>
      <c r="C76" s="439">
        <v>104.6</v>
      </c>
      <c r="D76" s="439">
        <v>105.36</v>
      </c>
      <c r="E76" s="439">
        <v>106.24</v>
      </c>
      <c r="L76" s="438">
        <v>71</v>
      </c>
      <c r="M76" s="439">
        <v>113.25</v>
      </c>
      <c r="N76" s="439">
        <v>114.21</v>
      </c>
      <c r="O76" s="439">
        <v>115.19</v>
      </c>
      <c r="V76" s="113">
        <v>71</v>
      </c>
      <c r="W76" s="439">
        <v>122.34</v>
      </c>
      <c r="X76" s="439">
        <v>123.52</v>
      </c>
      <c r="Y76" s="439">
        <v>124.62</v>
      </c>
      <c r="AF76" s="113">
        <v>71</v>
      </c>
      <c r="AG76" s="439">
        <v>131.72999999999999</v>
      </c>
      <c r="AH76" s="439">
        <v>133.13999999999999</v>
      </c>
      <c r="AI76" s="439">
        <v>134.37</v>
      </c>
      <c r="AP76" s="113">
        <v>71</v>
      </c>
      <c r="AQ76" s="439">
        <v>141.21</v>
      </c>
      <c r="AR76" s="439">
        <v>142.88</v>
      </c>
      <c r="AS76" s="439">
        <v>144.24</v>
      </c>
      <c r="AZ76" s="113">
        <v>71</v>
      </c>
      <c r="BA76" s="439">
        <v>148.55000000000001</v>
      </c>
      <c r="BB76" s="439">
        <v>150.46</v>
      </c>
      <c r="BC76" s="439">
        <v>151.96</v>
      </c>
      <c r="BJ76" s="113">
        <v>71</v>
      </c>
      <c r="BK76" s="439">
        <v>157.1</v>
      </c>
      <c r="BL76" s="439">
        <v>159.28</v>
      </c>
      <c r="BM76" s="439">
        <v>160.91</v>
      </c>
      <c r="BT76" s="113">
        <v>71</v>
      </c>
      <c r="BU76" s="439">
        <v>164.74</v>
      </c>
      <c r="BV76" s="439">
        <v>167.18</v>
      </c>
      <c r="BW76" s="439">
        <v>168.94</v>
      </c>
      <c r="CD76" s="113">
        <v>71</v>
      </c>
      <c r="CE76" s="439">
        <v>171.1</v>
      </c>
      <c r="CF76" s="439">
        <v>173.79</v>
      </c>
      <c r="CG76" s="439">
        <v>175.68</v>
      </c>
      <c r="CN76" s="113">
        <v>71</v>
      </c>
      <c r="CO76" s="439">
        <v>175.86</v>
      </c>
      <c r="CP76" s="439">
        <v>178.76</v>
      </c>
      <c r="CQ76" s="439">
        <v>180.76</v>
      </c>
    </row>
    <row r="77" spans="2:95" x14ac:dyDescent="0.2">
      <c r="B77" s="438">
        <v>72</v>
      </c>
      <c r="C77" s="439">
        <v>107.95</v>
      </c>
      <c r="D77" s="439">
        <v>108.76</v>
      </c>
      <c r="E77" s="439">
        <v>109.64</v>
      </c>
      <c r="L77" s="438">
        <v>72</v>
      </c>
      <c r="M77" s="439">
        <v>116.86</v>
      </c>
      <c r="N77" s="439">
        <v>117.88</v>
      </c>
      <c r="O77" s="439">
        <v>118.87</v>
      </c>
      <c r="V77" s="113">
        <v>72</v>
      </c>
      <c r="W77" s="439">
        <v>126.16</v>
      </c>
      <c r="X77" s="439">
        <v>127.41</v>
      </c>
      <c r="Y77" s="439">
        <v>128.52000000000001</v>
      </c>
      <c r="AF77" s="113">
        <v>72</v>
      </c>
      <c r="AG77" s="439">
        <v>135.66999999999999</v>
      </c>
      <c r="AH77" s="439">
        <v>137.16</v>
      </c>
      <c r="AI77" s="439">
        <v>138.41</v>
      </c>
      <c r="AP77" s="113">
        <v>72</v>
      </c>
      <c r="AQ77" s="439">
        <v>145.13</v>
      </c>
      <c r="AR77" s="439">
        <v>146.88999999999999</v>
      </c>
      <c r="AS77" s="439">
        <v>148.27000000000001</v>
      </c>
      <c r="AZ77" s="113">
        <v>72</v>
      </c>
      <c r="BA77" s="439">
        <v>152.26</v>
      </c>
      <c r="BB77" s="439">
        <v>154.26</v>
      </c>
      <c r="BC77" s="439">
        <v>155.77000000000001</v>
      </c>
      <c r="BJ77" s="113">
        <v>72</v>
      </c>
      <c r="BK77" s="439">
        <v>160.38</v>
      </c>
      <c r="BL77" s="439">
        <v>162.63999999999999</v>
      </c>
      <c r="BM77" s="439">
        <v>164.29</v>
      </c>
      <c r="BT77" s="113">
        <v>72</v>
      </c>
      <c r="BU77" s="439">
        <v>167.35</v>
      </c>
      <c r="BV77" s="439">
        <v>169.86</v>
      </c>
      <c r="BW77" s="439">
        <v>171.64</v>
      </c>
      <c r="CD77" s="113">
        <v>72</v>
      </c>
      <c r="CE77" s="439">
        <v>172.79</v>
      </c>
      <c r="CF77" s="439">
        <v>175.53</v>
      </c>
      <c r="CG77" s="439">
        <v>177.42</v>
      </c>
      <c r="CN77" s="113">
        <v>72</v>
      </c>
      <c r="CO77" s="439">
        <v>176.4</v>
      </c>
      <c r="CP77" s="439">
        <v>179.34</v>
      </c>
      <c r="CQ77" s="439">
        <v>181.33</v>
      </c>
    </row>
    <row r="78" spans="2:95" x14ac:dyDescent="0.2">
      <c r="B78" s="438">
        <v>73</v>
      </c>
      <c r="C78" s="439">
        <v>111.49</v>
      </c>
      <c r="D78" s="439">
        <v>112.37</v>
      </c>
      <c r="E78" s="439">
        <v>113.26</v>
      </c>
      <c r="L78" s="438">
        <v>73</v>
      </c>
      <c r="M78" s="439">
        <v>120.66</v>
      </c>
      <c r="N78" s="439">
        <v>121.75</v>
      </c>
      <c r="O78" s="439">
        <v>122.76</v>
      </c>
      <c r="V78" s="113">
        <v>73</v>
      </c>
      <c r="W78" s="439">
        <v>130.16</v>
      </c>
      <c r="X78" s="439">
        <v>131.47999999999999</v>
      </c>
      <c r="Y78" s="439">
        <v>132.61000000000001</v>
      </c>
      <c r="AF78" s="113">
        <v>73</v>
      </c>
      <c r="AG78" s="439">
        <v>139.75</v>
      </c>
      <c r="AH78" s="439">
        <v>141.33000000000001</v>
      </c>
      <c r="AI78" s="439">
        <v>142.59</v>
      </c>
      <c r="AP78" s="113">
        <v>73</v>
      </c>
      <c r="AQ78" s="439">
        <v>149.13</v>
      </c>
      <c r="AR78" s="439">
        <v>150.97999999999999</v>
      </c>
      <c r="AS78" s="439">
        <v>152.37</v>
      </c>
      <c r="AZ78" s="113">
        <v>73</v>
      </c>
      <c r="BA78" s="439">
        <v>155.94999999999999</v>
      </c>
      <c r="BB78" s="439">
        <v>158.04</v>
      </c>
      <c r="BC78" s="439">
        <v>159.56</v>
      </c>
      <c r="BJ78" s="113">
        <v>73</v>
      </c>
      <c r="BK78" s="439">
        <v>163.53</v>
      </c>
      <c r="BL78" s="439">
        <v>165.88</v>
      </c>
      <c r="BM78" s="439">
        <v>167.54</v>
      </c>
      <c r="BT78" s="113">
        <v>73</v>
      </c>
      <c r="BU78" s="439">
        <v>169.69</v>
      </c>
      <c r="BV78" s="439">
        <v>172.28</v>
      </c>
      <c r="BW78" s="439">
        <v>174.06</v>
      </c>
      <c r="CD78" s="113">
        <v>73</v>
      </c>
      <c r="CE78" s="439">
        <v>174.07</v>
      </c>
      <c r="CF78" s="439">
        <v>176.87</v>
      </c>
      <c r="CG78" s="439">
        <v>178.76</v>
      </c>
      <c r="CN78" s="113">
        <v>73</v>
      </c>
      <c r="CO78" s="439">
        <v>176.44</v>
      </c>
      <c r="CP78" s="439">
        <v>179.41</v>
      </c>
      <c r="CQ78" s="439">
        <v>181.39</v>
      </c>
    </row>
    <row r="79" spans="2:95" x14ac:dyDescent="0.2">
      <c r="B79" s="438">
        <v>74</v>
      </c>
      <c r="C79" s="439">
        <v>115.25</v>
      </c>
      <c r="D79" s="439">
        <v>116.18</v>
      </c>
      <c r="E79" s="439">
        <v>117.08</v>
      </c>
      <c r="L79" s="438">
        <v>74</v>
      </c>
      <c r="M79" s="439">
        <v>124.67</v>
      </c>
      <c r="N79" s="439">
        <v>125.83</v>
      </c>
      <c r="O79" s="439">
        <v>126.85</v>
      </c>
      <c r="V79" s="113">
        <v>74</v>
      </c>
      <c r="W79" s="439">
        <v>134.33000000000001</v>
      </c>
      <c r="X79" s="439">
        <v>135.74</v>
      </c>
      <c r="Y79" s="439">
        <v>136.88</v>
      </c>
      <c r="AF79" s="113">
        <v>74</v>
      </c>
      <c r="AG79" s="439">
        <v>143.96</v>
      </c>
      <c r="AH79" s="439">
        <v>145.63</v>
      </c>
      <c r="AI79" s="439">
        <v>146.91</v>
      </c>
      <c r="AP79" s="113">
        <v>74</v>
      </c>
      <c r="AQ79" s="439">
        <v>153.18</v>
      </c>
      <c r="AR79" s="439">
        <v>155.13</v>
      </c>
      <c r="AS79" s="439">
        <v>156.54</v>
      </c>
      <c r="AZ79" s="113">
        <v>74</v>
      </c>
      <c r="BA79" s="439">
        <v>159.59</v>
      </c>
      <c r="BB79" s="439">
        <v>161.77000000000001</v>
      </c>
      <c r="BC79" s="439">
        <v>163.31</v>
      </c>
      <c r="BJ79" s="113">
        <v>74</v>
      </c>
      <c r="BK79" s="439">
        <v>166.5</v>
      </c>
      <c r="BL79" s="439">
        <v>168.94</v>
      </c>
      <c r="BM79" s="439">
        <v>170.61</v>
      </c>
      <c r="BT79" s="113">
        <v>74</v>
      </c>
      <c r="BU79" s="439">
        <v>171.72</v>
      </c>
      <c r="BV79" s="439">
        <v>174.38</v>
      </c>
      <c r="BW79" s="439">
        <v>176.17</v>
      </c>
      <c r="CD79" s="113">
        <v>74</v>
      </c>
      <c r="CE79" s="439">
        <v>174.92</v>
      </c>
      <c r="CF79" s="439">
        <v>177.77</v>
      </c>
      <c r="CG79" s="439">
        <v>179.66</v>
      </c>
      <c r="CN79" s="113">
        <v>74</v>
      </c>
      <c r="CO79" s="439">
        <v>175.94</v>
      </c>
      <c r="CP79" s="439">
        <v>178.94</v>
      </c>
      <c r="CQ79" s="439">
        <v>180.91</v>
      </c>
    </row>
    <row r="80" spans="2:95" x14ac:dyDescent="0.2">
      <c r="B80" s="438">
        <v>75</v>
      </c>
      <c r="C80" s="439">
        <v>119.22</v>
      </c>
      <c r="D80" s="439">
        <v>120.22</v>
      </c>
      <c r="E80" s="439">
        <v>121.13</v>
      </c>
      <c r="L80" s="438">
        <v>75</v>
      </c>
      <c r="M80" s="439">
        <v>128.88999999999999</v>
      </c>
      <c r="N80" s="439">
        <v>130.12</v>
      </c>
      <c r="O80" s="439">
        <v>131.15</v>
      </c>
      <c r="V80" s="113">
        <v>75</v>
      </c>
      <c r="W80" s="439">
        <v>138.69</v>
      </c>
      <c r="X80" s="439">
        <v>140.18</v>
      </c>
      <c r="Y80" s="439">
        <v>141.34</v>
      </c>
      <c r="AF80" s="113">
        <v>75</v>
      </c>
      <c r="AG80" s="439">
        <v>148.29</v>
      </c>
      <c r="AH80" s="439">
        <v>150.06</v>
      </c>
      <c r="AI80" s="439">
        <v>151.35</v>
      </c>
      <c r="AP80" s="113">
        <v>75</v>
      </c>
      <c r="AQ80" s="439">
        <v>157.27000000000001</v>
      </c>
      <c r="AR80" s="439">
        <v>159.31</v>
      </c>
      <c r="AS80" s="439">
        <v>160.74</v>
      </c>
      <c r="AZ80" s="113">
        <v>75</v>
      </c>
      <c r="BA80" s="439">
        <v>163.15</v>
      </c>
      <c r="BB80" s="439">
        <v>165.42</v>
      </c>
      <c r="BC80" s="439">
        <v>166.98</v>
      </c>
      <c r="BJ80" s="113">
        <v>75</v>
      </c>
      <c r="BK80" s="439">
        <v>169.26</v>
      </c>
      <c r="BL80" s="439">
        <v>171.77</v>
      </c>
      <c r="BM80" s="439">
        <v>173.45</v>
      </c>
      <c r="BT80" s="113">
        <v>75</v>
      </c>
      <c r="BU80" s="439">
        <v>173.4</v>
      </c>
      <c r="BV80" s="439">
        <v>176.11</v>
      </c>
      <c r="BW80" s="439">
        <v>177.91</v>
      </c>
      <c r="CD80" s="113">
        <v>75</v>
      </c>
      <c r="CE80" s="439">
        <v>175.3</v>
      </c>
      <c r="CF80" s="439">
        <v>178.18</v>
      </c>
      <c r="CG80" s="439">
        <v>180.07</v>
      </c>
      <c r="CN80" s="113">
        <v>75</v>
      </c>
      <c r="CO80" s="439">
        <v>174.91</v>
      </c>
      <c r="CP80" s="439">
        <v>177.91</v>
      </c>
      <c r="CQ80" s="439">
        <v>179.87</v>
      </c>
    </row>
    <row r="81" spans="2:95" x14ac:dyDescent="0.2">
      <c r="B81" s="438">
        <v>76</v>
      </c>
      <c r="C81" s="439">
        <v>123.41</v>
      </c>
      <c r="D81" s="439">
        <v>124.48</v>
      </c>
      <c r="E81" s="439">
        <v>125.4</v>
      </c>
      <c r="L81" s="438">
        <v>76</v>
      </c>
      <c r="M81" s="439">
        <v>133.31</v>
      </c>
      <c r="N81" s="439">
        <v>134.63</v>
      </c>
      <c r="O81" s="439">
        <v>135.66999999999999</v>
      </c>
      <c r="V81" s="113">
        <v>76</v>
      </c>
      <c r="W81" s="439">
        <v>143.22</v>
      </c>
      <c r="X81" s="439">
        <v>144.80000000000001</v>
      </c>
      <c r="Y81" s="439">
        <v>145.97999999999999</v>
      </c>
      <c r="AF81" s="113">
        <v>76</v>
      </c>
      <c r="AG81" s="439">
        <v>152.74</v>
      </c>
      <c r="AH81" s="439">
        <v>154.59</v>
      </c>
      <c r="AI81" s="439">
        <v>155.9</v>
      </c>
      <c r="AP81" s="113">
        <v>76</v>
      </c>
      <c r="AQ81" s="439">
        <v>161.37</v>
      </c>
      <c r="AR81" s="439">
        <v>163.5</v>
      </c>
      <c r="AS81" s="439">
        <v>164.95</v>
      </c>
      <c r="AZ81" s="113">
        <v>76</v>
      </c>
      <c r="BA81" s="439">
        <v>166.6</v>
      </c>
      <c r="BB81" s="439">
        <v>168.96</v>
      </c>
      <c r="BC81" s="439">
        <v>170.53</v>
      </c>
      <c r="BJ81" s="113">
        <v>76</v>
      </c>
      <c r="BK81" s="439">
        <v>171.76</v>
      </c>
      <c r="BL81" s="439">
        <v>174.34</v>
      </c>
      <c r="BM81" s="439">
        <v>176.04</v>
      </c>
      <c r="BT81" s="113">
        <v>76</v>
      </c>
      <c r="BU81" s="439">
        <v>174.67</v>
      </c>
      <c r="BV81" s="439">
        <v>177.44</v>
      </c>
      <c r="BW81" s="439">
        <v>179.24</v>
      </c>
      <c r="CD81" s="113">
        <v>76</v>
      </c>
      <c r="CE81" s="439">
        <v>175.17</v>
      </c>
      <c r="CF81" s="439">
        <v>178.09</v>
      </c>
      <c r="CG81" s="439">
        <v>179.97</v>
      </c>
      <c r="CN81" s="113">
        <v>76</v>
      </c>
      <c r="CO81" s="439">
        <v>173.32</v>
      </c>
      <c r="CP81" s="439">
        <v>176.33</v>
      </c>
      <c r="CQ81" s="439">
        <v>178.26</v>
      </c>
    </row>
    <row r="82" spans="2:95" x14ac:dyDescent="0.2">
      <c r="B82" s="438">
        <v>77</v>
      </c>
      <c r="C82" s="439">
        <v>127.83</v>
      </c>
      <c r="D82" s="439">
        <v>128.97</v>
      </c>
      <c r="E82" s="439">
        <v>129.9</v>
      </c>
      <c r="L82" s="438">
        <v>77</v>
      </c>
      <c r="M82" s="439">
        <v>137.94999999999999</v>
      </c>
      <c r="N82" s="439">
        <v>139.35</v>
      </c>
      <c r="O82" s="439">
        <v>140.41</v>
      </c>
      <c r="V82" s="113">
        <v>77</v>
      </c>
      <c r="W82" s="439">
        <v>147.91999999999999</v>
      </c>
      <c r="X82" s="439">
        <v>149.6</v>
      </c>
      <c r="Y82" s="439">
        <v>150.79</v>
      </c>
      <c r="AF82" s="113">
        <v>77</v>
      </c>
      <c r="AG82" s="439">
        <v>157.28</v>
      </c>
      <c r="AH82" s="439">
        <v>159.22999999999999</v>
      </c>
      <c r="AI82" s="439">
        <v>160.55000000000001</v>
      </c>
      <c r="AP82" s="113">
        <v>77</v>
      </c>
      <c r="AQ82" s="439">
        <v>165.45</v>
      </c>
      <c r="AR82" s="439">
        <v>167.68</v>
      </c>
      <c r="AS82" s="439">
        <v>169.14</v>
      </c>
      <c r="AZ82" s="113">
        <v>77</v>
      </c>
      <c r="BA82" s="439">
        <v>169.88</v>
      </c>
      <c r="BB82" s="439">
        <v>172.33</v>
      </c>
      <c r="BC82" s="439">
        <v>173.91</v>
      </c>
      <c r="BJ82" s="113">
        <v>77</v>
      </c>
      <c r="BK82" s="439">
        <v>173.94</v>
      </c>
      <c r="BL82" s="439">
        <v>176.6</v>
      </c>
      <c r="BM82" s="439">
        <v>178.3</v>
      </c>
      <c r="BT82" s="113">
        <v>77</v>
      </c>
      <c r="BU82" s="439">
        <v>175.51</v>
      </c>
      <c r="BV82" s="439">
        <v>178.33</v>
      </c>
      <c r="BW82" s="439">
        <v>180.13</v>
      </c>
      <c r="CD82" s="113">
        <v>77</v>
      </c>
      <c r="CE82" s="439">
        <v>174.52</v>
      </c>
      <c r="CF82" s="439">
        <v>177.46</v>
      </c>
      <c r="CG82" s="439">
        <v>179.33</v>
      </c>
      <c r="CN82" s="113">
        <v>77</v>
      </c>
      <c r="CO82" s="439">
        <v>171.18</v>
      </c>
      <c r="CP82" s="439">
        <v>174.19</v>
      </c>
      <c r="CQ82" s="439">
        <v>176.1</v>
      </c>
    </row>
    <row r="83" spans="2:95" x14ac:dyDescent="0.2">
      <c r="B83" s="438">
        <v>78</v>
      </c>
      <c r="C83" s="439">
        <v>132.47999999999999</v>
      </c>
      <c r="D83" s="439">
        <v>133.71</v>
      </c>
      <c r="E83" s="439">
        <v>134.63999999999999</v>
      </c>
      <c r="L83" s="438">
        <v>78</v>
      </c>
      <c r="M83" s="439">
        <v>142.81</v>
      </c>
      <c r="N83" s="439">
        <v>144.30000000000001</v>
      </c>
      <c r="O83" s="439">
        <v>145.37</v>
      </c>
      <c r="V83" s="113">
        <v>78</v>
      </c>
      <c r="W83" s="439">
        <v>152.80000000000001</v>
      </c>
      <c r="X83" s="439">
        <v>154.56</v>
      </c>
      <c r="Y83" s="439">
        <v>155.77000000000001</v>
      </c>
      <c r="AF83" s="113">
        <v>78</v>
      </c>
      <c r="AG83" s="439">
        <v>161.9</v>
      </c>
      <c r="AH83" s="439">
        <v>163.94</v>
      </c>
      <c r="AI83" s="439">
        <v>165.28</v>
      </c>
      <c r="AP83" s="113">
        <v>78</v>
      </c>
      <c r="AQ83" s="439">
        <v>169.48</v>
      </c>
      <c r="AR83" s="439">
        <v>171.8</v>
      </c>
      <c r="AS83" s="439">
        <v>173.28</v>
      </c>
      <c r="AZ83" s="113">
        <v>78</v>
      </c>
      <c r="BA83" s="439">
        <v>172.97</v>
      </c>
      <c r="BB83" s="439">
        <v>175.49</v>
      </c>
      <c r="BC83" s="439">
        <v>177.09</v>
      </c>
      <c r="BJ83" s="113">
        <v>78</v>
      </c>
      <c r="BK83" s="439">
        <v>175.78</v>
      </c>
      <c r="BL83" s="439">
        <v>178.5</v>
      </c>
      <c r="BM83" s="439">
        <v>180.21</v>
      </c>
      <c r="BT83" s="113">
        <v>78</v>
      </c>
      <c r="BU83" s="439">
        <v>175.87</v>
      </c>
      <c r="BV83" s="439">
        <v>178.73</v>
      </c>
      <c r="BW83" s="439">
        <v>180.53</v>
      </c>
      <c r="CD83" s="113">
        <v>78</v>
      </c>
      <c r="CE83" s="439">
        <v>173.33</v>
      </c>
      <c r="CF83" s="439">
        <v>176.28</v>
      </c>
      <c r="CG83" s="439">
        <v>178.14</v>
      </c>
      <c r="CN83" s="113">
        <v>78</v>
      </c>
      <c r="CO83" s="439">
        <v>168.51</v>
      </c>
      <c r="CP83" s="439">
        <v>171.51</v>
      </c>
      <c r="CQ83" s="439">
        <v>173.4</v>
      </c>
    </row>
    <row r="84" spans="2:95" x14ac:dyDescent="0.2">
      <c r="B84" s="438">
        <v>79</v>
      </c>
      <c r="C84" s="439">
        <v>137.38999999999999</v>
      </c>
      <c r="D84" s="439">
        <v>138.69</v>
      </c>
      <c r="E84" s="439">
        <v>139.63999999999999</v>
      </c>
      <c r="L84" s="438">
        <v>79</v>
      </c>
      <c r="M84" s="439">
        <v>147.9</v>
      </c>
      <c r="N84" s="439">
        <v>149.47</v>
      </c>
      <c r="O84" s="439">
        <v>150.55000000000001</v>
      </c>
      <c r="V84" s="113">
        <v>79</v>
      </c>
      <c r="W84" s="439">
        <v>157.84</v>
      </c>
      <c r="X84" s="439">
        <v>159.69</v>
      </c>
      <c r="Y84" s="439">
        <v>160.91</v>
      </c>
      <c r="AF84" s="113">
        <v>79</v>
      </c>
      <c r="AG84" s="439">
        <v>166.57</v>
      </c>
      <c r="AH84" s="439">
        <v>168.71</v>
      </c>
      <c r="AI84" s="439">
        <v>170.07</v>
      </c>
      <c r="AP84" s="113">
        <v>79</v>
      </c>
      <c r="AQ84" s="439">
        <v>173.43</v>
      </c>
      <c r="AR84" s="439">
        <v>175.83</v>
      </c>
      <c r="AS84" s="439">
        <v>177.33</v>
      </c>
      <c r="AZ84" s="113">
        <v>79</v>
      </c>
      <c r="BA84" s="439">
        <v>175.81</v>
      </c>
      <c r="BB84" s="439">
        <v>178.41</v>
      </c>
      <c r="BC84" s="439">
        <v>180.03</v>
      </c>
      <c r="BJ84" s="113">
        <v>79</v>
      </c>
      <c r="BK84" s="439">
        <v>177.21</v>
      </c>
      <c r="BL84" s="439">
        <v>179.99</v>
      </c>
      <c r="BM84" s="439">
        <v>181.71</v>
      </c>
      <c r="BT84" s="113">
        <v>79</v>
      </c>
      <c r="BU84" s="439">
        <v>175.73</v>
      </c>
      <c r="BV84" s="439">
        <v>178.62</v>
      </c>
      <c r="BW84" s="439">
        <v>180.41</v>
      </c>
      <c r="CD84" s="113">
        <v>79</v>
      </c>
      <c r="CE84" s="439">
        <v>171.59</v>
      </c>
      <c r="CF84" s="439">
        <v>174.55</v>
      </c>
      <c r="CG84" s="439">
        <v>176.39</v>
      </c>
      <c r="CN84" s="113">
        <v>79</v>
      </c>
      <c r="CO84" s="439">
        <v>165.33</v>
      </c>
      <c r="CP84" s="439">
        <v>168.31</v>
      </c>
      <c r="CQ84" s="439">
        <v>170.17</v>
      </c>
    </row>
    <row r="85" spans="2:95" x14ac:dyDescent="0.2">
      <c r="B85" s="438">
        <v>80</v>
      </c>
      <c r="C85" s="439">
        <v>142.56</v>
      </c>
      <c r="D85" s="439">
        <v>143.93</v>
      </c>
      <c r="E85" s="439">
        <v>144.88999999999999</v>
      </c>
      <c r="L85" s="438">
        <v>80</v>
      </c>
      <c r="M85" s="439">
        <v>153.21</v>
      </c>
      <c r="N85" s="439">
        <v>154.87</v>
      </c>
      <c r="O85" s="439">
        <v>155.96</v>
      </c>
      <c r="V85" s="113">
        <v>80</v>
      </c>
      <c r="W85" s="439">
        <v>163.03</v>
      </c>
      <c r="X85" s="439">
        <v>164.97</v>
      </c>
      <c r="Y85" s="439">
        <v>166.21</v>
      </c>
      <c r="AF85" s="113">
        <v>80</v>
      </c>
      <c r="AG85" s="439">
        <v>171.29</v>
      </c>
      <c r="AH85" s="439">
        <v>173.51</v>
      </c>
      <c r="AI85" s="439">
        <v>174.89</v>
      </c>
      <c r="AP85" s="113">
        <v>80</v>
      </c>
      <c r="AQ85" s="439">
        <v>177.25</v>
      </c>
      <c r="AR85" s="439">
        <v>179.74</v>
      </c>
      <c r="AS85" s="439">
        <v>181.25</v>
      </c>
      <c r="AZ85" s="113">
        <v>80</v>
      </c>
      <c r="BA85" s="439">
        <v>178.36</v>
      </c>
      <c r="BB85" s="439">
        <v>181.03</v>
      </c>
      <c r="BC85" s="439">
        <v>182.66</v>
      </c>
      <c r="BJ85" s="113">
        <v>80</v>
      </c>
      <c r="BK85" s="439">
        <v>178.22</v>
      </c>
      <c r="BL85" s="439">
        <v>181.04</v>
      </c>
      <c r="BM85" s="439">
        <v>182.77</v>
      </c>
      <c r="BT85" s="113">
        <v>80</v>
      </c>
      <c r="BU85" s="439">
        <v>175.06</v>
      </c>
      <c r="BV85" s="439">
        <v>177.97</v>
      </c>
      <c r="BW85" s="439">
        <v>179.77</v>
      </c>
      <c r="CD85" s="113">
        <v>80</v>
      </c>
      <c r="CE85" s="439">
        <v>169.32</v>
      </c>
      <c r="CF85" s="439">
        <v>172.27</v>
      </c>
      <c r="CG85" s="439">
        <v>174.1</v>
      </c>
      <c r="CN85" s="113">
        <v>80</v>
      </c>
      <c r="CO85" s="439">
        <v>161.66999999999999</v>
      </c>
      <c r="CP85" s="439">
        <v>164.63</v>
      </c>
      <c r="CQ85" s="439">
        <v>166.46</v>
      </c>
    </row>
    <row r="86" spans="2:95" x14ac:dyDescent="0.2">
      <c r="B86" s="438">
        <v>81</v>
      </c>
      <c r="C86" s="439">
        <v>147.99</v>
      </c>
      <c r="D86" s="439">
        <v>149.44</v>
      </c>
      <c r="E86" s="439">
        <v>150.41</v>
      </c>
      <c r="L86" s="438">
        <v>81</v>
      </c>
      <c r="M86" s="439">
        <v>158.75</v>
      </c>
      <c r="N86" s="439">
        <v>160.49</v>
      </c>
      <c r="O86" s="439">
        <v>161.6</v>
      </c>
      <c r="V86" s="113">
        <v>81</v>
      </c>
      <c r="W86" s="439">
        <v>168.36</v>
      </c>
      <c r="X86" s="439">
        <v>170.39</v>
      </c>
      <c r="Y86" s="439">
        <v>171.65</v>
      </c>
      <c r="AF86" s="113">
        <v>81</v>
      </c>
      <c r="AG86" s="439">
        <v>176.01</v>
      </c>
      <c r="AH86" s="439">
        <v>178.32</v>
      </c>
      <c r="AI86" s="439">
        <v>179.72</v>
      </c>
      <c r="AP86" s="113">
        <v>81</v>
      </c>
      <c r="AQ86" s="439">
        <v>180.91</v>
      </c>
      <c r="AR86" s="439">
        <v>183.48</v>
      </c>
      <c r="AS86" s="439">
        <v>185.01</v>
      </c>
      <c r="AZ86" s="113">
        <v>81</v>
      </c>
      <c r="BA86" s="439">
        <v>180.58</v>
      </c>
      <c r="BB86" s="439">
        <v>183.31</v>
      </c>
      <c r="BC86" s="439">
        <v>184.95</v>
      </c>
      <c r="BJ86" s="113">
        <v>81</v>
      </c>
      <c r="BK86" s="439">
        <v>178.75</v>
      </c>
      <c r="BL86" s="439">
        <v>181.61</v>
      </c>
      <c r="BM86" s="439">
        <v>183.34</v>
      </c>
      <c r="BT86" s="113">
        <v>81</v>
      </c>
      <c r="BU86" s="439">
        <v>173.85</v>
      </c>
      <c r="BV86" s="439">
        <v>176.78</v>
      </c>
      <c r="BW86" s="439">
        <v>178.57</v>
      </c>
      <c r="CD86" s="113">
        <v>81</v>
      </c>
      <c r="CE86" s="439">
        <v>166.53</v>
      </c>
      <c r="CF86" s="439">
        <v>169.47</v>
      </c>
      <c r="CG86" s="439">
        <v>171.28</v>
      </c>
      <c r="CN86" s="113">
        <v>81</v>
      </c>
      <c r="CO86" s="439">
        <v>157.58000000000001</v>
      </c>
      <c r="CP86" s="439">
        <v>160.5</v>
      </c>
      <c r="CQ86" s="439">
        <v>162.31</v>
      </c>
    </row>
    <row r="87" spans="2:95" x14ac:dyDescent="0.2">
      <c r="B87" s="438">
        <v>82</v>
      </c>
      <c r="C87" s="439">
        <v>153.69999999999999</v>
      </c>
      <c r="D87" s="439">
        <v>155.22999999999999</v>
      </c>
      <c r="E87" s="439">
        <v>156.19999999999999</v>
      </c>
      <c r="L87" s="438">
        <v>82</v>
      </c>
      <c r="M87" s="439">
        <v>164.53</v>
      </c>
      <c r="N87" s="439">
        <v>166.35</v>
      </c>
      <c r="O87" s="439">
        <v>167.47</v>
      </c>
      <c r="V87" s="113">
        <v>82</v>
      </c>
      <c r="W87" s="439">
        <v>173.83</v>
      </c>
      <c r="X87" s="439">
        <v>175.95</v>
      </c>
      <c r="Y87" s="439">
        <v>177.22</v>
      </c>
      <c r="AF87" s="113">
        <v>82</v>
      </c>
      <c r="AG87" s="439">
        <v>180.71</v>
      </c>
      <c r="AH87" s="439">
        <v>183.1</v>
      </c>
      <c r="AI87" s="439">
        <v>184.52</v>
      </c>
      <c r="AP87" s="113">
        <v>82</v>
      </c>
      <c r="AQ87" s="439">
        <v>184.37</v>
      </c>
      <c r="AR87" s="439">
        <v>187</v>
      </c>
      <c r="AS87" s="439">
        <v>188.55</v>
      </c>
      <c r="AZ87" s="113">
        <v>82</v>
      </c>
      <c r="BA87" s="439">
        <v>182.41</v>
      </c>
      <c r="BB87" s="439">
        <v>185.21</v>
      </c>
      <c r="BC87" s="439">
        <v>186.86</v>
      </c>
      <c r="BJ87" s="113">
        <v>82</v>
      </c>
      <c r="BK87" s="439">
        <v>178.77</v>
      </c>
      <c r="BL87" s="439">
        <v>181.68</v>
      </c>
      <c r="BM87" s="439">
        <v>183.41</v>
      </c>
      <c r="BT87" s="113">
        <v>82</v>
      </c>
      <c r="BU87" s="439">
        <v>172.11</v>
      </c>
      <c r="BV87" s="439">
        <v>175.05</v>
      </c>
      <c r="BW87" s="439">
        <v>176.82</v>
      </c>
      <c r="CD87" s="113">
        <v>82</v>
      </c>
      <c r="CE87" s="439">
        <v>163.22999999999999</v>
      </c>
      <c r="CF87" s="439">
        <v>166.17</v>
      </c>
      <c r="CG87" s="439">
        <v>167.96</v>
      </c>
      <c r="CN87" s="113">
        <v>82</v>
      </c>
      <c r="CO87" s="439">
        <v>153.09</v>
      </c>
      <c r="CP87" s="439">
        <v>155.99</v>
      </c>
      <c r="CQ87" s="439">
        <v>157.77000000000001</v>
      </c>
    </row>
    <row r="88" spans="2:95" x14ac:dyDescent="0.2">
      <c r="B88" s="438">
        <v>83</v>
      </c>
      <c r="C88" s="439">
        <v>159.69999999999999</v>
      </c>
      <c r="D88" s="439">
        <v>161.30000000000001</v>
      </c>
      <c r="E88" s="439">
        <v>162.28</v>
      </c>
      <c r="L88" s="438">
        <v>83</v>
      </c>
      <c r="M88" s="439">
        <v>170.54</v>
      </c>
      <c r="N88" s="439">
        <v>172.43</v>
      </c>
      <c r="O88" s="439">
        <v>173.57</v>
      </c>
      <c r="V88" s="113">
        <v>83</v>
      </c>
      <c r="W88" s="439">
        <v>179.42</v>
      </c>
      <c r="X88" s="439">
        <v>181.61</v>
      </c>
      <c r="Y88" s="439">
        <v>182.91</v>
      </c>
      <c r="AF88" s="113">
        <v>83</v>
      </c>
      <c r="AG88" s="439">
        <v>185.35</v>
      </c>
      <c r="AH88" s="439">
        <v>187.83</v>
      </c>
      <c r="AI88" s="439">
        <v>189.27</v>
      </c>
      <c r="AP88" s="113">
        <v>83</v>
      </c>
      <c r="AQ88" s="439">
        <v>187.57</v>
      </c>
      <c r="AR88" s="439">
        <v>190.28</v>
      </c>
      <c r="AS88" s="439">
        <v>191.84</v>
      </c>
      <c r="AZ88" s="113">
        <v>83</v>
      </c>
      <c r="BA88" s="439">
        <v>183.83</v>
      </c>
      <c r="BB88" s="439">
        <v>186.68</v>
      </c>
      <c r="BC88" s="439">
        <v>188.34</v>
      </c>
      <c r="BJ88" s="113">
        <v>83</v>
      </c>
      <c r="BK88" s="439">
        <v>178.27</v>
      </c>
      <c r="BL88" s="439">
        <v>181.21</v>
      </c>
      <c r="BM88" s="439">
        <v>182.94</v>
      </c>
      <c r="BT88" s="113">
        <v>83</v>
      </c>
      <c r="BU88" s="439">
        <v>169.82</v>
      </c>
      <c r="BV88" s="439">
        <v>172.76</v>
      </c>
      <c r="BW88" s="439">
        <v>174.53</v>
      </c>
      <c r="CD88" s="113">
        <v>83</v>
      </c>
      <c r="CE88" s="439">
        <v>159.47999999999999</v>
      </c>
      <c r="CF88" s="439">
        <v>162.38999999999999</v>
      </c>
      <c r="CG88" s="439">
        <v>164.16</v>
      </c>
      <c r="CN88" s="113">
        <v>83</v>
      </c>
      <c r="CO88" s="439">
        <v>148.27000000000001</v>
      </c>
      <c r="CP88" s="439">
        <v>151.13999999999999</v>
      </c>
      <c r="CQ88" s="439">
        <v>152.88999999999999</v>
      </c>
    </row>
    <row r="89" spans="2:95" x14ac:dyDescent="0.2">
      <c r="B89" s="438">
        <v>84</v>
      </c>
      <c r="C89" s="439">
        <v>166</v>
      </c>
      <c r="D89" s="439">
        <v>167.66</v>
      </c>
      <c r="E89" s="439">
        <v>168.66</v>
      </c>
      <c r="L89" s="438">
        <v>84</v>
      </c>
      <c r="M89" s="439">
        <v>176.78</v>
      </c>
      <c r="N89" s="439">
        <v>178.75</v>
      </c>
      <c r="O89" s="439">
        <v>179.9</v>
      </c>
      <c r="V89" s="113">
        <v>84</v>
      </c>
      <c r="W89" s="439">
        <v>185.1</v>
      </c>
      <c r="X89" s="439">
        <v>187.38</v>
      </c>
      <c r="Y89" s="439">
        <v>188.69</v>
      </c>
      <c r="AF89" s="113">
        <v>84</v>
      </c>
      <c r="AG89" s="439">
        <v>189.91</v>
      </c>
      <c r="AH89" s="439">
        <v>192.46</v>
      </c>
      <c r="AI89" s="439">
        <v>193.92</v>
      </c>
      <c r="AP89" s="113">
        <v>84</v>
      </c>
      <c r="AQ89" s="439">
        <v>190.47</v>
      </c>
      <c r="AR89" s="439">
        <v>193.24</v>
      </c>
      <c r="AS89" s="439">
        <v>194.83</v>
      </c>
      <c r="AZ89" s="113">
        <v>84</v>
      </c>
      <c r="BA89" s="439">
        <v>184.78</v>
      </c>
      <c r="BB89" s="439">
        <v>187.68</v>
      </c>
      <c r="BC89" s="439">
        <v>189.35</v>
      </c>
      <c r="BJ89" s="113">
        <v>84</v>
      </c>
      <c r="BK89" s="439">
        <v>177.23</v>
      </c>
      <c r="BL89" s="439">
        <v>180.19</v>
      </c>
      <c r="BM89" s="439">
        <v>181.92</v>
      </c>
      <c r="BT89" s="113">
        <v>84</v>
      </c>
      <c r="BU89" s="439">
        <v>167.01</v>
      </c>
      <c r="BV89" s="439">
        <v>169.95</v>
      </c>
      <c r="BW89" s="439">
        <v>171.71</v>
      </c>
      <c r="CD89" s="113">
        <v>84</v>
      </c>
      <c r="CE89" s="439">
        <v>155.30000000000001</v>
      </c>
      <c r="CF89" s="439">
        <v>158.19</v>
      </c>
      <c r="CG89" s="439">
        <v>159.94</v>
      </c>
      <c r="CN89" s="113">
        <v>84</v>
      </c>
      <c r="CO89" s="439">
        <v>143.16999999999999</v>
      </c>
      <c r="CP89" s="439">
        <v>146</v>
      </c>
      <c r="CQ89" s="439">
        <v>147.72</v>
      </c>
    </row>
    <row r="90" spans="2:95" x14ac:dyDescent="0.2">
      <c r="B90" s="438">
        <v>85</v>
      </c>
      <c r="C90" s="439">
        <v>172.6</v>
      </c>
      <c r="D90" s="439">
        <v>174.33</v>
      </c>
      <c r="E90" s="439">
        <v>175.34</v>
      </c>
      <c r="L90" s="438">
        <v>85</v>
      </c>
      <c r="M90" s="439">
        <v>183.25</v>
      </c>
      <c r="N90" s="439">
        <v>185.3</v>
      </c>
      <c r="O90" s="439">
        <v>186.47</v>
      </c>
      <c r="V90" s="113">
        <v>85</v>
      </c>
      <c r="W90" s="439">
        <v>190.87</v>
      </c>
      <c r="X90" s="439">
        <v>193.22</v>
      </c>
      <c r="Y90" s="439">
        <v>194.56</v>
      </c>
      <c r="AF90" s="113">
        <v>85</v>
      </c>
      <c r="AG90" s="439">
        <v>194.33</v>
      </c>
      <c r="AH90" s="439">
        <v>196.96</v>
      </c>
      <c r="AI90" s="439">
        <v>198.44</v>
      </c>
      <c r="AP90" s="113">
        <v>85</v>
      </c>
      <c r="AQ90" s="439">
        <v>193.03</v>
      </c>
      <c r="AR90" s="439">
        <v>195.87</v>
      </c>
      <c r="AS90" s="439">
        <v>197.47</v>
      </c>
      <c r="AZ90" s="113">
        <v>85</v>
      </c>
      <c r="BA90" s="439">
        <v>185.24</v>
      </c>
      <c r="BB90" s="439">
        <v>188.18</v>
      </c>
      <c r="BC90" s="439">
        <v>189.86</v>
      </c>
      <c r="BJ90" s="113">
        <v>85</v>
      </c>
      <c r="BK90" s="439">
        <v>175.64</v>
      </c>
      <c r="BL90" s="439">
        <v>178.62</v>
      </c>
      <c r="BM90" s="439">
        <v>180.35</v>
      </c>
      <c r="BT90" s="113">
        <v>85</v>
      </c>
      <c r="BU90" s="439">
        <v>163.71</v>
      </c>
      <c r="BV90" s="439">
        <v>166.64</v>
      </c>
      <c r="BW90" s="439">
        <v>168.38</v>
      </c>
      <c r="CD90" s="113">
        <v>85</v>
      </c>
      <c r="CE90" s="439">
        <v>150.75</v>
      </c>
      <c r="CF90" s="439">
        <v>153.61000000000001</v>
      </c>
      <c r="CG90" s="439">
        <v>155.33000000000001</v>
      </c>
      <c r="CN90" s="113">
        <v>85</v>
      </c>
      <c r="CO90" s="439">
        <v>137.85</v>
      </c>
      <c r="CP90" s="439">
        <v>140.63999999999999</v>
      </c>
      <c r="CQ90" s="439">
        <v>142.33000000000001</v>
      </c>
    </row>
    <row r="91" spans="2:95" x14ac:dyDescent="0.2">
      <c r="B91" s="438">
        <v>86</v>
      </c>
      <c r="C91" s="439">
        <v>179.53</v>
      </c>
      <c r="D91" s="439">
        <v>181.32</v>
      </c>
      <c r="E91" s="439">
        <v>182.35</v>
      </c>
      <c r="L91" s="438">
        <v>86</v>
      </c>
      <c r="M91" s="439">
        <v>189.95</v>
      </c>
      <c r="N91" s="439">
        <v>192.07</v>
      </c>
      <c r="O91" s="439">
        <v>193.26</v>
      </c>
      <c r="V91" s="113">
        <v>86</v>
      </c>
      <c r="W91" s="439">
        <v>196.69</v>
      </c>
      <c r="X91" s="439">
        <v>199.12</v>
      </c>
      <c r="Y91" s="439">
        <v>200.48</v>
      </c>
      <c r="AF91" s="113">
        <v>86</v>
      </c>
      <c r="AG91" s="439">
        <v>198.59</v>
      </c>
      <c r="AH91" s="439">
        <v>201.29</v>
      </c>
      <c r="AI91" s="439">
        <v>202.79</v>
      </c>
      <c r="AP91" s="113">
        <v>86</v>
      </c>
      <c r="AQ91" s="439">
        <v>195.2</v>
      </c>
      <c r="AR91" s="439">
        <v>198.1</v>
      </c>
      <c r="AS91" s="439">
        <v>199.72</v>
      </c>
      <c r="AZ91" s="113">
        <v>86</v>
      </c>
      <c r="BA91" s="439">
        <v>185.17</v>
      </c>
      <c r="BB91" s="439">
        <v>188.15</v>
      </c>
      <c r="BC91" s="439">
        <v>189.84</v>
      </c>
      <c r="BJ91" s="113">
        <v>86</v>
      </c>
      <c r="BK91" s="439">
        <v>173.51</v>
      </c>
      <c r="BL91" s="439">
        <v>176.49</v>
      </c>
      <c r="BM91" s="439">
        <v>178.22</v>
      </c>
      <c r="BT91" s="113">
        <v>86</v>
      </c>
      <c r="BU91" s="439">
        <v>159.94</v>
      </c>
      <c r="BV91" s="439">
        <v>162.85</v>
      </c>
      <c r="BW91" s="439">
        <v>164.58</v>
      </c>
      <c r="CD91" s="113">
        <v>86</v>
      </c>
      <c r="CE91" s="439">
        <v>145.86000000000001</v>
      </c>
      <c r="CF91" s="439">
        <v>148.69999999999999</v>
      </c>
      <c r="CG91" s="439">
        <v>150.4</v>
      </c>
      <c r="CN91" s="113">
        <v>86</v>
      </c>
      <c r="CO91" s="439">
        <v>132.35</v>
      </c>
      <c r="CP91" s="439">
        <v>135.11000000000001</v>
      </c>
      <c r="CQ91" s="439">
        <v>136.77000000000001</v>
      </c>
    </row>
    <row r="92" spans="2:95" x14ac:dyDescent="0.2">
      <c r="B92" s="438">
        <v>87</v>
      </c>
      <c r="C92" s="439">
        <v>186.79</v>
      </c>
      <c r="D92" s="439">
        <v>188.64</v>
      </c>
      <c r="E92" s="439">
        <v>189.68</v>
      </c>
      <c r="L92" s="438">
        <v>87</v>
      </c>
      <c r="M92" s="439">
        <v>196.88</v>
      </c>
      <c r="N92" s="439">
        <v>199.07</v>
      </c>
      <c r="O92" s="439">
        <v>200.29</v>
      </c>
      <c r="V92" s="113">
        <v>87</v>
      </c>
      <c r="W92" s="439">
        <v>202.55</v>
      </c>
      <c r="X92" s="439">
        <v>205.05</v>
      </c>
      <c r="Y92" s="439">
        <v>206.43</v>
      </c>
      <c r="AF92" s="113">
        <v>87</v>
      </c>
      <c r="AG92" s="439">
        <v>202.63</v>
      </c>
      <c r="AH92" s="439">
        <v>205.39</v>
      </c>
      <c r="AI92" s="439">
        <v>206.92</v>
      </c>
      <c r="AP92" s="113">
        <v>87</v>
      </c>
      <c r="AQ92" s="439">
        <v>196.94</v>
      </c>
      <c r="AR92" s="439">
        <v>199.89</v>
      </c>
      <c r="AS92" s="439">
        <v>201.53</v>
      </c>
      <c r="AZ92" s="113">
        <v>87</v>
      </c>
      <c r="BA92" s="439">
        <v>184.56</v>
      </c>
      <c r="BB92" s="439">
        <v>187.57</v>
      </c>
      <c r="BC92" s="439">
        <v>189.27</v>
      </c>
      <c r="BJ92" s="113">
        <v>87</v>
      </c>
      <c r="BK92" s="439">
        <v>170.84</v>
      </c>
      <c r="BL92" s="439">
        <v>173.83</v>
      </c>
      <c r="BM92" s="439">
        <v>175.55</v>
      </c>
      <c r="BT92" s="113">
        <v>87</v>
      </c>
      <c r="BU92" s="439">
        <v>155.74</v>
      </c>
      <c r="BV92" s="439">
        <v>158.63999999999999</v>
      </c>
      <c r="BW92" s="439">
        <v>160.35</v>
      </c>
      <c r="CD92" s="113">
        <v>87</v>
      </c>
      <c r="CE92" s="439">
        <v>140.71</v>
      </c>
      <c r="CF92" s="439">
        <v>143.52000000000001</v>
      </c>
      <c r="CG92" s="439">
        <v>145.19</v>
      </c>
      <c r="CN92" s="113">
        <v>87</v>
      </c>
      <c r="CO92" s="439">
        <v>126.74</v>
      </c>
      <c r="CP92" s="439">
        <v>129.47</v>
      </c>
      <c r="CQ92" s="439">
        <v>131.09</v>
      </c>
    </row>
    <row r="93" spans="2:95" x14ac:dyDescent="0.2">
      <c r="B93" s="438">
        <v>88</v>
      </c>
      <c r="C93" s="439">
        <v>194.4</v>
      </c>
      <c r="D93" s="439">
        <v>196.31</v>
      </c>
      <c r="E93" s="439">
        <v>197.37</v>
      </c>
      <c r="L93" s="438">
        <v>88</v>
      </c>
      <c r="M93" s="439">
        <v>204.04</v>
      </c>
      <c r="N93" s="439">
        <v>206.29</v>
      </c>
      <c r="O93" s="439">
        <v>207.53</v>
      </c>
      <c r="V93" s="113">
        <v>88</v>
      </c>
      <c r="W93" s="439">
        <v>208.4</v>
      </c>
      <c r="X93" s="439">
        <v>210.98</v>
      </c>
      <c r="Y93" s="439">
        <v>212.39</v>
      </c>
      <c r="AF93" s="113">
        <v>88</v>
      </c>
      <c r="AG93" s="439">
        <v>206.41</v>
      </c>
      <c r="AH93" s="439">
        <v>209.24</v>
      </c>
      <c r="AI93" s="439">
        <v>210.8</v>
      </c>
      <c r="AP93" s="113">
        <v>88</v>
      </c>
      <c r="AQ93" s="439">
        <v>198.2</v>
      </c>
      <c r="AR93" s="439">
        <v>201.21</v>
      </c>
      <c r="AS93" s="439">
        <v>202.86</v>
      </c>
      <c r="AZ93" s="113">
        <v>88</v>
      </c>
      <c r="BA93" s="439">
        <v>183.39</v>
      </c>
      <c r="BB93" s="439">
        <v>186.43</v>
      </c>
      <c r="BC93" s="439">
        <v>188.14</v>
      </c>
      <c r="BJ93" s="113">
        <v>88</v>
      </c>
      <c r="BK93" s="439">
        <v>167.66</v>
      </c>
      <c r="BL93" s="439">
        <v>170.64</v>
      </c>
      <c r="BM93" s="439">
        <v>172.36</v>
      </c>
      <c r="BT93" s="113">
        <v>88</v>
      </c>
      <c r="BU93" s="439">
        <v>151.16</v>
      </c>
      <c r="BV93" s="439">
        <v>154.04</v>
      </c>
      <c r="BW93" s="439">
        <v>155.72999999999999</v>
      </c>
      <c r="CD93" s="113">
        <v>88</v>
      </c>
      <c r="CE93" s="439">
        <v>135.33000000000001</v>
      </c>
      <c r="CF93" s="439">
        <v>138.11000000000001</v>
      </c>
      <c r="CG93" s="439">
        <v>139.76</v>
      </c>
      <c r="CN93" s="113">
        <v>88</v>
      </c>
      <c r="CO93" s="439">
        <v>121.06</v>
      </c>
      <c r="CP93" s="439">
        <v>123.76</v>
      </c>
      <c r="CQ93" s="439">
        <v>125.35</v>
      </c>
    </row>
    <row r="94" spans="2:95" x14ac:dyDescent="0.2">
      <c r="B94" s="438">
        <v>89</v>
      </c>
      <c r="C94" s="439">
        <v>202.37</v>
      </c>
      <c r="D94" s="439">
        <v>204.33</v>
      </c>
      <c r="E94" s="439">
        <v>205.41</v>
      </c>
      <c r="L94" s="438">
        <v>89</v>
      </c>
      <c r="M94" s="439">
        <v>211.41</v>
      </c>
      <c r="N94" s="439">
        <v>213.73</v>
      </c>
      <c r="O94" s="439">
        <v>215</v>
      </c>
      <c r="V94" s="113">
        <v>89</v>
      </c>
      <c r="W94" s="439">
        <v>214.23</v>
      </c>
      <c r="X94" s="439">
        <v>216.88</v>
      </c>
      <c r="Y94" s="439">
        <v>218.32</v>
      </c>
      <c r="AF94" s="113">
        <v>89</v>
      </c>
      <c r="AG94" s="439">
        <v>209.88</v>
      </c>
      <c r="AH94" s="439">
        <v>212.78</v>
      </c>
      <c r="AI94" s="439">
        <v>214.36</v>
      </c>
      <c r="AP94" s="113">
        <v>89</v>
      </c>
      <c r="AQ94" s="439">
        <v>198.97</v>
      </c>
      <c r="AR94" s="439">
        <v>202.02</v>
      </c>
      <c r="AS94" s="439">
        <v>203.69</v>
      </c>
      <c r="AZ94" s="113">
        <v>89</v>
      </c>
      <c r="BA94" s="439">
        <v>181.67</v>
      </c>
      <c r="BB94" s="439">
        <v>184.73</v>
      </c>
      <c r="BC94" s="439">
        <v>186.44</v>
      </c>
      <c r="BJ94" s="113">
        <v>89</v>
      </c>
      <c r="BK94" s="439">
        <v>164</v>
      </c>
      <c r="BL94" s="439">
        <v>166.97</v>
      </c>
      <c r="BM94" s="439">
        <v>168.68</v>
      </c>
      <c r="BT94" s="113">
        <v>89</v>
      </c>
      <c r="BU94" s="439">
        <v>146.24</v>
      </c>
      <c r="BV94" s="439">
        <v>149.1</v>
      </c>
      <c r="BW94" s="439">
        <v>150.78</v>
      </c>
      <c r="CD94" s="113">
        <v>89</v>
      </c>
      <c r="CE94" s="439">
        <v>129.79</v>
      </c>
      <c r="CF94" s="439">
        <v>132.55000000000001</v>
      </c>
      <c r="CG94" s="439">
        <v>134.16999999999999</v>
      </c>
      <c r="CN94" s="113">
        <v>89</v>
      </c>
      <c r="CO94" s="439">
        <v>115.36</v>
      </c>
      <c r="CP94" s="439">
        <v>118.03</v>
      </c>
      <c r="CQ94" s="439">
        <v>119.59</v>
      </c>
    </row>
    <row r="95" spans="2:95" x14ac:dyDescent="0.2">
      <c r="B95" s="438">
        <v>90</v>
      </c>
      <c r="C95" s="439">
        <v>210.71</v>
      </c>
      <c r="D95" s="439">
        <v>212.73</v>
      </c>
      <c r="E95" s="439">
        <v>213.82</v>
      </c>
      <c r="L95" s="438">
        <v>90</v>
      </c>
      <c r="M95" s="439">
        <v>219</v>
      </c>
      <c r="N95" s="439">
        <v>221.39</v>
      </c>
      <c r="O95" s="439">
        <v>222.68</v>
      </c>
      <c r="V95" s="113">
        <v>90</v>
      </c>
      <c r="W95" s="439">
        <v>220</v>
      </c>
      <c r="X95" s="439">
        <v>222.72</v>
      </c>
      <c r="Y95" s="439">
        <v>224.19</v>
      </c>
      <c r="AF95" s="113">
        <v>90</v>
      </c>
      <c r="AG95" s="439">
        <v>213.01</v>
      </c>
      <c r="AH95" s="439">
        <v>215.98</v>
      </c>
      <c r="AI95" s="439">
        <v>217.58</v>
      </c>
      <c r="AP95" s="113">
        <v>90</v>
      </c>
      <c r="AQ95" s="439">
        <v>199.2</v>
      </c>
      <c r="AR95" s="439">
        <v>202.29</v>
      </c>
      <c r="AS95" s="439">
        <v>203.98</v>
      </c>
      <c r="AZ95" s="113">
        <v>90</v>
      </c>
      <c r="BA95" s="439">
        <v>179.38</v>
      </c>
      <c r="BB95" s="439">
        <v>182.46</v>
      </c>
      <c r="BC95" s="439">
        <v>184.18</v>
      </c>
      <c r="BJ95" s="113">
        <v>90</v>
      </c>
      <c r="BK95" s="439">
        <v>159.88</v>
      </c>
      <c r="BL95" s="439">
        <v>162.84</v>
      </c>
      <c r="BM95" s="439">
        <v>164.55</v>
      </c>
      <c r="BT95" s="113">
        <v>90</v>
      </c>
      <c r="BU95" s="439">
        <v>141.04</v>
      </c>
      <c r="BV95" s="439">
        <v>143.88</v>
      </c>
      <c r="BW95" s="439">
        <v>145.54</v>
      </c>
      <c r="CD95" s="113">
        <v>90</v>
      </c>
      <c r="CE95" s="439">
        <v>124.14</v>
      </c>
      <c r="CF95" s="439">
        <v>126.86</v>
      </c>
      <c r="CG95" s="439">
        <v>128.47</v>
      </c>
      <c r="CN95" s="113">
        <v>90</v>
      </c>
      <c r="CO95" s="439">
        <v>109.68</v>
      </c>
      <c r="CP95" s="439">
        <v>112.32</v>
      </c>
      <c r="CQ95" s="439">
        <v>113.85</v>
      </c>
    </row>
    <row r="96" spans="2:95" x14ac:dyDescent="0.2">
      <c r="B96" s="438">
        <v>91</v>
      </c>
      <c r="C96" s="439">
        <v>219.45</v>
      </c>
      <c r="D96" s="439">
        <v>221.52</v>
      </c>
      <c r="E96" s="439">
        <v>222.64</v>
      </c>
      <c r="L96" s="438">
        <v>91</v>
      </c>
      <c r="M96" s="439">
        <v>226.8</v>
      </c>
      <c r="N96" s="439">
        <v>229.25</v>
      </c>
      <c r="O96" s="439">
        <v>230.57</v>
      </c>
      <c r="V96" s="113">
        <v>91</v>
      </c>
      <c r="W96" s="439">
        <v>225.69</v>
      </c>
      <c r="X96" s="439">
        <v>228.47</v>
      </c>
      <c r="Y96" s="439">
        <v>229.97</v>
      </c>
      <c r="AF96" s="113">
        <v>91</v>
      </c>
      <c r="AG96" s="439">
        <v>215.75</v>
      </c>
      <c r="AH96" s="439">
        <v>218.78</v>
      </c>
      <c r="AI96" s="439">
        <v>220.41</v>
      </c>
      <c r="AP96" s="113">
        <v>91</v>
      </c>
      <c r="AQ96" s="439">
        <v>198.87</v>
      </c>
      <c r="AR96" s="439">
        <v>202</v>
      </c>
      <c r="AS96" s="439">
        <v>203.71</v>
      </c>
      <c r="AZ96" s="113">
        <v>91</v>
      </c>
      <c r="BA96" s="439">
        <v>176.56</v>
      </c>
      <c r="BB96" s="439">
        <v>179.65</v>
      </c>
      <c r="BC96" s="439">
        <v>181.37</v>
      </c>
      <c r="BJ96" s="113">
        <v>91</v>
      </c>
      <c r="BK96" s="439">
        <v>155.36000000000001</v>
      </c>
      <c r="BL96" s="439">
        <v>158.31</v>
      </c>
      <c r="BM96" s="439">
        <v>160</v>
      </c>
      <c r="BT96" s="113">
        <v>91</v>
      </c>
      <c r="BU96" s="439">
        <v>135.61000000000001</v>
      </c>
      <c r="BV96" s="439">
        <v>138.43</v>
      </c>
      <c r="BW96" s="439">
        <v>140.07</v>
      </c>
      <c r="CD96" s="113">
        <v>91</v>
      </c>
      <c r="CE96" s="439">
        <v>118.42</v>
      </c>
      <c r="CF96" s="439">
        <v>121.12</v>
      </c>
      <c r="CG96" s="439">
        <v>122.7</v>
      </c>
      <c r="CN96" s="113">
        <v>91</v>
      </c>
      <c r="CO96" s="439">
        <v>104.05</v>
      </c>
      <c r="CP96" s="439">
        <v>106.67</v>
      </c>
      <c r="CQ96" s="439">
        <v>108.18</v>
      </c>
    </row>
    <row r="97" spans="2:95" x14ac:dyDescent="0.2">
      <c r="B97" s="438">
        <v>92</v>
      </c>
      <c r="C97" s="439">
        <v>228.6</v>
      </c>
      <c r="D97" s="439">
        <v>230.73</v>
      </c>
      <c r="E97" s="439">
        <v>231.87</v>
      </c>
      <c r="L97" s="438">
        <v>92</v>
      </c>
      <c r="M97" s="439">
        <v>234.8</v>
      </c>
      <c r="N97" s="439">
        <v>237.32</v>
      </c>
      <c r="O97" s="439">
        <v>238.68</v>
      </c>
      <c r="V97" s="113">
        <v>92</v>
      </c>
      <c r="W97" s="439">
        <v>231.24</v>
      </c>
      <c r="X97" s="439">
        <v>234.1</v>
      </c>
      <c r="Y97" s="439">
        <v>235.64</v>
      </c>
      <c r="AF97" s="113">
        <v>92</v>
      </c>
      <c r="AG97" s="439">
        <v>218.07</v>
      </c>
      <c r="AH97" s="439">
        <v>221.15</v>
      </c>
      <c r="AI97" s="439">
        <v>222.81</v>
      </c>
      <c r="AP97" s="113">
        <v>92</v>
      </c>
      <c r="AQ97" s="439">
        <v>197.98</v>
      </c>
      <c r="AR97" s="439">
        <v>201.15</v>
      </c>
      <c r="AS97" s="439">
        <v>202.87</v>
      </c>
      <c r="AZ97" s="113">
        <v>92</v>
      </c>
      <c r="BA97" s="439">
        <v>173.22</v>
      </c>
      <c r="BB97" s="439">
        <v>176.32</v>
      </c>
      <c r="BC97" s="439">
        <v>178.04</v>
      </c>
      <c r="BJ97" s="113">
        <v>92</v>
      </c>
      <c r="BK97" s="439">
        <v>150.47999999999999</v>
      </c>
      <c r="BL97" s="439">
        <v>153.41999999999999</v>
      </c>
      <c r="BM97" s="439">
        <v>155.1</v>
      </c>
      <c r="BT97" s="113">
        <v>92</v>
      </c>
      <c r="BU97" s="439">
        <v>130.01</v>
      </c>
      <c r="BV97" s="439">
        <v>132.81</v>
      </c>
      <c r="BW97" s="439">
        <v>134.43</v>
      </c>
      <c r="CD97" s="113">
        <v>92</v>
      </c>
      <c r="CE97" s="439">
        <v>112.67</v>
      </c>
      <c r="CF97" s="439">
        <v>115.35</v>
      </c>
      <c r="CG97" s="439">
        <v>116.91</v>
      </c>
      <c r="CN97" s="113">
        <v>92</v>
      </c>
      <c r="CO97" s="439">
        <v>98.51</v>
      </c>
      <c r="CP97" s="439">
        <v>101.11</v>
      </c>
      <c r="CQ97" s="439">
        <v>102.6</v>
      </c>
    </row>
    <row r="98" spans="2:95" x14ac:dyDescent="0.2">
      <c r="B98" s="438">
        <v>93</v>
      </c>
      <c r="C98" s="439">
        <v>238.21</v>
      </c>
      <c r="D98" s="439">
        <v>240.38</v>
      </c>
      <c r="E98" s="439">
        <v>241.55</v>
      </c>
      <c r="L98" s="438">
        <v>93</v>
      </c>
      <c r="M98" s="439">
        <v>243.01</v>
      </c>
      <c r="N98" s="439">
        <v>245.61</v>
      </c>
      <c r="O98" s="439">
        <v>246.99</v>
      </c>
      <c r="V98" s="113">
        <v>93</v>
      </c>
      <c r="W98" s="439">
        <v>236.65</v>
      </c>
      <c r="X98" s="439">
        <v>239.58</v>
      </c>
      <c r="Y98" s="439">
        <v>241.15</v>
      </c>
      <c r="AF98" s="113">
        <v>93</v>
      </c>
      <c r="AG98" s="439">
        <v>219.92</v>
      </c>
      <c r="AH98" s="439">
        <v>223.06</v>
      </c>
      <c r="AI98" s="439">
        <v>224.75</v>
      </c>
      <c r="AP98" s="113">
        <v>93</v>
      </c>
      <c r="AQ98" s="439">
        <v>196.52</v>
      </c>
      <c r="AR98" s="439">
        <v>199.72</v>
      </c>
      <c r="AS98" s="439">
        <v>201.46</v>
      </c>
      <c r="AZ98" s="113">
        <v>93</v>
      </c>
      <c r="BA98" s="439">
        <v>169.4</v>
      </c>
      <c r="BB98" s="439">
        <v>172.5</v>
      </c>
      <c r="BC98" s="439">
        <v>174.22</v>
      </c>
      <c r="BJ98" s="113">
        <v>93</v>
      </c>
      <c r="BK98" s="439">
        <v>145.29</v>
      </c>
      <c r="BL98" s="439">
        <v>148.21</v>
      </c>
      <c r="BM98" s="439">
        <v>149.88999999999999</v>
      </c>
      <c r="BT98" s="113">
        <v>93</v>
      </c>
      <c r="BU98" s="439">
        <v>124.28</v>
      </c>
      <c r="BV98" s="439">
        <v>127.06</v>
      </c>
      <c r="BW98" s="439">
        <v>128.66999999999999</v>
      </c>
      <c r="CD98" s="113">
        <v>93</v>
      </c>
      <c r="CE98" s="439">
        <v>106.94</v>
      </c>
      <c r="CF98" s="439">
        <v>109.61</v>
      </c>
      <c r="CG98" s="439">
        <v>111.14</v>
      </c>
      <c r="CN98" s="113">
        <v>93</v>
      </c>
      <c r="CO98" s="439">
        <v>93.09</v>
      </c>
      <c r="CP98" s="439">
        <v>95.66</v>
      </c>
      <c r="CQ98" s="439">
        <v>97.13</v>
      </c>
    </row>
    <row r="99" spans="2:95" x14ac:dyDescent="0.2">
      <c r="B99" s="438">
        <v>94</v>
      </c>
      <c r="C99" s="439">
        <v>248.29</v>
      </c>
      <c r="D99" s="439">
        <v>250.52</v>
      </c>
      <c r="E99" s="439">
        <v>251.71</v>
      </c>
      <c r="L99" s="438">
        <v>94</v>
      </c>
      <c r="M99" s="439">
        <v>251.44</v>
      </c>
      <c r="N99" s="439">
        <v>254.1</v>
      </c>
      <c r="O99" s="439">
        <v>255.52</v>
      </c>
      <c r="V99" s="113">
        <v>94</v>
      </c>
      <c r="W99" s="439">
        <v>241.87</v>
      </c>
      <c r="X99" s="439">
        <v>244.87</v>
      </c>
      <c r="Y99" s="439">
        <v>246.48</v>
      </c>
      <c r="AF99" s="113">
        <v>94</v>
      </c>
      <c r="AG99" s="439">
        <v>221.29</v>
      </c>
      <c r="AH99" s="439">
        <v>224.49</v>
      </c>
      <c r="AI99" s="439">
        <v>226.2</v>
      </c>
      <c r="AP99" s="113">
        <v>94</v>
      </c>
      <c r="AQ99" s="439">
        <v>194.5</v>
      </c>
      <c r="AR99" s="439">
        <v>197.73</v>
      </c>
      <c r="AS99" s="439">
        <v>199.48</v>
      </c>
      <c r="AZ99" s="113">
        <v>94</v>
      </c>
      <c r="BA99" s="439">
        <v>165.13</v>
      </c>
      <c r="BB99" s="439">
        <v>168.23</v>
      </c>
      <c r="BC99" s="439">
        <v>169.95</v>
      </c>
      <c r="BJ99" s="113">
        <v>94</v>
      </c>
      <c r="BK99" s="439">
        <v>139.84</v>
      </c>
      <c r="BL99" s="439">
        <v>142.75</v>
      </c>
      <c r="BM99" s="439">
        <v>144.41</v>
      </c>
      <c r="BT99" s="113">
        <v>94</v>
      </c>
      <c r="BU99" s="439">
        <v>118.48</v>
      </c>
      <c r="BV99" s="439">
        <v>121.24</v>
      </c>
      <c r="BW99" s="439">
        <v>122.83</v>
      </c>
      <c r="CD99" s="113">
        <v>94</v>
      </c>
      <c r="CE99" s="439">
        <v>101.27</v>
      </c>
      <c r="CF99" s="439">
        <v>103.92</v>
      </c>
      <c r="CG99" s="439">
        <v>105.44</v>
      </c>
      <c r="CN99" s="113">
        <v>94</v>
      </c>
      <c r="CO99" s="439">
        <v>87.79</v>
      </c>
      <c r="CP99" s="439">
        <v>90.35</v>
      </c>
      <c r="CQ99" s="439">
        <v>91.8</v>
      </c>
    </row>
    <row r="100" spans="2:95" x14ac:dyDescent="0.2">
      <c r="B100" s="438">
        <v>95</v>
      </c>
      <c r="C100" s="439">
        <v>258.89</v>
      </c>
      <c r="D100" s="439">
        <v>261.18</v>
      </c>
      <c r="E100" s="439">
        <v>262.39999999999998</v>
      </c>
      <c r="L100" s="438">
        <v>95</v>
      </c>
      <c r="M100" s="439">
        <v>260.08</v>
      </c>
      <c r="N100" s="439">
        <v>262.81</v>
      </c>
      <c r="O100" s="439">
        <v>264.27</v>
      </c>
      <c r="V100" s="113">
        <v>95</v>
      </c>
      <c r="W100" s="439">
        <v>246.89</v>
      </c>
      <c r="X100" s="439">
        <v>249.97</v>
      </c>
      <c r="Y100" s="439">
        <v>251.61</v>
      </c>
      <c r="AF100" s="113">
        <v>95</v>
      </c>
      <c r="AG100" s="439">
        <v>222.17</v>
      </c>
      <c r="AH100" s="439">
        <v>225.42</v>
      </c>
      <c r="AI100" s="439">
        <v>227.16</v>
      </c>
      <c r="AP100" s="113">
        <v>95</v>
      </c>
      <c r="AQ100" s="439">
        <v>191.94</v>
      </c>
      <c r="AR100" s="439">
        <v>195.2</v>
      </c>
      <c r="AS100" s="439">
        <v>196.96</v>
      </c>
      <c r="AZ100" s="113">
        <v>95</v>
      </c>
      <c r="BA100" s="439">
        <v>160.47999999999999</v>
      </c>
      <c r="BB100" s="439">
        <v>163.57</v>
      </c>
      <c r="BC100" s="439">
        <v>165.29</v>
      </c>
      <c r="BJ100" s="113">
        <v>95</v>
      </c>
      <c r="BK100" s="439">
        <v>134.19</v>
      </c>
      <c r="BL100" s="439">
        <v>137.1</v>
      </c>
      <c r="BM100" s="439">
        <v>138.75</v>
      </c>
      <c r="BT100" s="113">
        <v>95</v>
      </c>
      <c r="BU100" s="439">
        <v>112.64</v>
      </c>
      <c r="BV100" s="439">
        <v>115.39</v>
      </c>
      <c r="BW100" s="439">
        <v>116.97</v>
      </c>
      <c r="CD100" s="113">
        <v>95</v>
      </c>
      <c r="CE100" s="439">
        <v>95.68</v>
      </c>
      <c r="CF100" s="439">
        <v>98.33</v>
      </c>
      <c r="CG100" s="439">
        <v>99.83</v>
      </c>
      <c r="CN100" s="113">
        <v>95</v>
      </c>
      <c r="CO100" s="439">
        <v>82.65</v>
      </c>
      <c r="CP100" s="439">
        <v>85.21</v>
      </c>
      <c r="CQ100" s="439">
        <v>86.63</v>
      </c>
    </row>
    <row r="101" spans="2:95" x14ac:dyDescent="0.2">
      <c r="B101" s="438">
        <v>96</v>
      </c>
      <c r="C101" s="439">
        <v>270.08</v>
      </c>
      <c r="D101" s="439">
        <v>272.43</v>
      </c>
      <c r="E101" s="439">
        <v>273.68</v>
      </c>
      <c r="L101" s="438">
        <v>96</v>
      </c>
      <c r="M101" s="439">
        <v>268.95999999999998</v>
      </c>
      <c r="N101" s="439">
        <v>271.77</v>
      </c>
      <c r="O101" s="439">
        <v>273.27</v>
      </c>
      <c r="V101" s="113">
        <v>96</v>
      </c>
      <c r="W101" s="439">
        <v>251.7</v>
      </c>
      <c r="X101" s="439">
        <v>254.85</v>
      </c>
      <c r="Y101" s="439">
        <v>256.52</v>
      </c>
      <c r="AF101" s="113">
        <v>96</v>
      </c>
      <c r="AG101" s="439">
        <v>222.54</v>
      </c>
      <c r="AH101" s="439">
        <v>225.85</v>
      </c>
      <c r="AI101" s="439">
        <v>227.61</v>
      </c>
      <c r="AP101" s="113">
        <v>96</v>
      </c>
      <c r="AQ101" s="439">
        <v>188.87</v>
      </c>
      <c r="AR101" s="439">
        <v>192.16</v>
      </c>
      <c r="AS101" s="439">
        <v>193.93</v>
      </c>
      <c r="AZ101" s="113">
        <v>96</v>
      </c>
      <c r="BA101" s="439">
        <v>155.49</v>
      </c>
      <c r="BB101" s="439">
        <v>158.57</v>
      </c>
      <c r="BC101" s="439">
        <v>160.29</v>
      </c>
      <c r="BJ101" s="113">
        <v>96</v>
      </c>
      <c r="BK101" s="439">
        <v>128.41</v>
      </c>
      <c r="BL101" s="439">
        <v>131.30000000000001</v>
      </c>
      <c r="BM101" s="439">
        <v>132.94</v>
      </c>
      <c r="BT101" s="113">
        <v>96</v>
      </c>
      <c r="BU101" s="439">
        <v>106.82</v>
      </c>
      <c r="BV101" s="439">
        <v>109.57</v>
      </c>
      <c r="BW101" s="439">
        <v>111.13</v>
      </c>
      <c r="CD101" s="113">
        <v>96</v>
      </c>
      <c r="CE101" s="439">
        <v>90.21</v>
      </c>
      <c r="CF101" s="439">
        <v>92.84</v>
      </c>
      <c r="CG101" s="439">
        <v>94.33</v>
      </c>
      <c r="CN101" s="113">
        <v>96</v>
      </c>
      <c r="CO101" s="439">
        <v>77.67</v>
      </c>
      <c r="CP101" s="439">
        <v>80.22</v>
      </c>
      <c r="CQ101" s="439">
        <v>81.63</v>
      </c>
    </row>
    <row r="102" spans="2:95" x14ac:dyDescent="0.2">
      <c r="B102" s="438">
        <v>97</v>
      </c>
      <c r="C102" s="439">
        <v>281.93</v>
      </c>
      <c r="D102" s="439">
        <v>284.33999999999997</v>
      </c>
      <c r="E102" s="439">
        <v>285.63</v>
      </c>
      <c r="L102" s="438">
        <v>97</v>
      </c>
      <c r="M102" s="439">
        <v>278.13</v>
      </c>
      <c r="N102" s="439">
        <v>281.02</v>
      </c>
      <c r="O102" s="439">
        <v>282.56</v>
      </c>
      <c r="V102" s="113">
        <v>97</v>
      </c>
      <c r="W102" s="439">
        <v>256.3</v>
      </c>
      <c r="X102" s="439">
        <v>259.52</v>
      </c>
      <c r="Y102" s="439">
        <v>261.24</v>
      </c>
      <c r="AF102" s="113">
        <v>97</v>
      </c>
      <c r="AG102" s="439">
        <v>222.43</v>
      </c>
      <c r="AH102" s="439">
        <v>225.79</v>
      </c>
      <c r="AI102" s="439">
        <v>227.58</v>
      </c>
      <c r="AP102" s="113">
        <v>97</v>
      </c>
      <c r="AQ102" s="439">
        <v>185.35</v>
      </c>
      <c r="AR102" s="439">
        <v>188.67</v>
      </c>
      <c r="AS102" s="439">
        <v>190.45</v>
      </c>
      <c r="AZ102" s="113">
        <v>97</v>
      </c>
      <c r="BA102" s="439">
        <v>150.22</v>
      </c>
      <c r="BB102" s="439">
        <v>153.30000000000001</v>
      </c>
      <c r="BC102" s="439">
        <v>155.02000000000001</v>
      </c>
      <c r="BJ102" s="113">
        <v>97</v>
      </c>
      <c r="BK102" s="439">
        <v>122.55</v>
      </c>
      <c r="BL102" s="439">
        <v>125.44</v>
      </c>
      <c r="BM102" s="439">
        <v>127.07</v>
      </c>
      <c r="BT102" s="113">
        <v>97</v>
      </c>
      <c r="BU102" s="439">
        <v>101.07</v>
      </c>
      <c r="BV102" s="439">
        <v>103.8</v>
      </c>
      <c r="BW102" s="439">
        <v>105.35</v>
      </c>
      <c r="CD102" s="113">
        <v>97</v>
      </c>
      <c r="CE102" s="439">
        <v>84.88</v>
      </c>
      <c r="CF102" s="439">
        <v>87.51</v>
      </c>
      <c r="CG102" s="439">
        <v>88.98</v>
      </c>
      <c r="CN102" s="113">
        <v>97</v>
      </c>
      <c r="CO102" s="439">
        <v>72.86</v>
      </c>
      <c r="CP102" s="439">
        <v>75.42</v>
      </c>
      <c r="CQ102" s="439">
        <v>76.819999999999993</v>
      </c>
    </row>
    <row r="103" spans="2:95" x14ac:dyDescent="0.2">
      <c r="B103" s="438">
        <v>98</v>
      </c>
      <c r="C103" s="439">
        <v>294.55</v>
      </c>
      <c r="D103" s="439">
        <v>297.02999999999997</v>
      </c>
      <c r="E103" s="439">
        <v>298.36</v>
      </c>
      <c r="L103" s="438">
        <v>98</v>
      </c>
      <c r="M103" s="439">
        <v>287.64</v>
      </c>
      <c r="N103" s="439">
        <v>290.62</v>
      </c>
      <c r="O103" s="439">
        <v>292.20999999999998</v>
      </c>
      <c r="V103" s="113">
        <v>98</v>
      </c>
      <c r="W103" s="439">
        <v>260.72000000000003</v>
      </c>
      <c r="X103" s="439">
        <v>264.02</v>
      </c>
      <c r="Y103" s="439">
        <v>265.77999999999997</v>
      </c>
      <c r="AF103" s="113">
        <v>98</v>
      </c>
      <c r="AG103" s="439">
        <v>221.88</v>
      </c>
      <c r="AH103" s="439">
        <v>225.29</v>
      </c>
      <c r="AI103" s="439">
        <v>227.11</v>
      </c>
      <c r="AP103" s="113">
        <v>98</v>
      </c>
      <c r="AQ103" s="439">
        <v>181.44</v>
      </c>
      <c r="AR103" s="439">
        <v>184.78</v>
      </c>
      <c r="AS103" s="439">
        <v>186.57</v>
      </c>
      <c r="AZ103" s="113">
        <v>98</v>
      </c>
      <c r="BA103" s="439">
        <v>144.74</v>
      </c>
      <c r="BB103" s="439">
        <v>147.83000000000001</v>
      </c>
      <c r="BC103" s="439">
        <v>149.54</v>
      </c>
      <c r="BJ103" s="113">
        <v>98</v>
      </c>
      <c r="BK103" s="439">
        <v>116.66</v>
      </c>
      <c r="BL103" s="439">
        <v>119.55</v>
      </c>
      <c r="BM103" s="439">
        <v>121.17</v>
      </c>
      <c r="BT103" s="113">
        <v>98</v>
      </c>
      <c r="BU103" s="439">
        <v>95.4</v>
      </c>
      <c r="BV103" s="439">
        <v>98.14</v>
      </c>
      <c r="BW103" s="439">
        <v>99.68</v>
      </c>
      <c r="CD103" s="113">
        <v>98</v>
      </c>
      <c r="CE103" s="439">
        <v>79.7</v>
      </c>
      <c r="CF103" s="439">
        <v>82.33</v>
      </c>
      <c r="CG103" s="439">
        <v>83.8</v>
      </c>
      <c r="CN103" s="113">
        <v>98</v>
      </c>
      <c r="CO103" s="439">
        <v>68.239999999999995</v>
      </c>
      <c r="CP103" s="439">
        <v>70.8</v>
      </c>
      <c r="CQ103" s="439">
        <v>72.19</v>
      </c>
    </row>
    <row r="104" spans="2:95" x14ac:dyDescent="0.2">
      <c r="B104" s="438">
        <v>99</v>
      </c>
      <c r="C104" s="439">
        <v>308.10000000000002</v>
      </c>
      <c r="D104" s="439">
        <v>310.64999999999998</v>
      </c>
      <c r="E104" s="439">
        <v>312.02</v>
      </c>
      <c r="L104" s="438">
        <v>99</v>
      </c>
      <c r="M104" s="439">
        <v>297.62</v>
      </c>
      <c r="N104" s="439">
        <v>300.7</v>
      </c>
      <c r="O104" s="439">
        <v>302.33</v>
      </c>
      <c r="V104" s="113">
        <v>99</v>
      </c>
      <c r="W104" s="439">
        <v>265.02999999999997</v>
      </c>
      <c r="X104" s="439">
        <v>268.42</v>
      </c>
      <c r="Y104" s="439">
        <v>270.23</v>
      </c>
      <c r="AF104" s="113">
        <v>99</v>
      </c>
      <c r="AG104" s="439">
        <v>220.96</v>
      </c>
      <c r="AH104" s="439">
        <v>224.42</v>
      </c>
      <c r="AI104" s="439">
        <v>226.27</v>
      </c>
      <c r="AP104" s="113">
        <v>99</v>
      </c>
      <c r="AQ104" s="439">
        <v>177.22</v>
      </c>
      <c r="AR104" s="439">
        <v>180.58</v>
      </c>
      <c r="AS104" s="439">
        <v>182.39</v>
      </c>
      <c r="AZ104" s="113">
        <v>99</v>
      </c>
      <c r="BA104" s="439">
        <v>139.13</v>
      </c>
      <c r="BB104" s="439">
        <v>142.22</v>
      </c>
      <c r="BC104" s="439">
        <v>143.94</v>
      </c>
      <c r="BJ104" s="113">
        <v>99</v>
      </c>
      <c r="BK104" s="439">
        <v>110.8</v>
      </c>
      <c r="BL104" s="439">
        <v>113.69</v>
      </c>
      <c r="BM104" s="439">
        <v>115.31</v>
      </c>
      <c r="BT104" s="113">
        <v>99</v>
      </c>
      <c r="BU104" s="439">
        <v>89.86</v>
      </c>
      <c r="BV104" s="439">
        <v>92.61</v>
      </c>
      <c r="BW104" s="439">
        <v>94.14</v>
      </c>
      <c r="CD104" s="113">
        <v>99</v>
      </c>
      <c r="CE104" s="439">
        <v>74.7</v>
      </c>
      <c r="CF104" s="439">
        <v>77.349999999999994</v>
      </c>
      <c r="CG104" s="439">
        <v>78.8</v>
      </c>
      <c r="CN104" s="113">
        <v>99</v>
      </c>
      <c r="CO104" s="439">
        <v>63.8</v>
      </c>
      <c r="CP104" s="439">
        <v>66.38</v>
      </c>
      <c r="CQ104" s="439">
        <v>67.77</v>
      </c>
    </row>
    <row r="105" spans="2:95" x14ac:dyDescent="0.2">
      <c r="B105" s="438">
        <v>100</v>
      </c>
      <c r="C105" s="439">
        <v>322.81</v>
      </c>
      <c r="D105" s="439">
        <v>325.45</v>
      </c>
      <c r="E105" s="439">
        <v>326.86</v>
      </c>
      <c r="L105" s="438">
        <v>100</v>
      </c>
      <c r="M105" s="439">
        <v>308.26</v>
      </c>
      <c r="N105" s="439">
        <v>311.43</v>
      </c>
      <c r="O105" s="439">
        <v>313.12</v>
      </c>
      <c r="V105" s="113">
        <v>100</v>
      </c>
      <c r="W105" s="439">
        <v>269.37</v>
      </c>
      <c r="X105" s="439">
        <v>272.85000000000002</v>
      </c>
      <c r="Y105" s="439">
        <v>274.7</v>
      </c>
      <c r="AF105" s="113">
        <v>100</v>
      </c>
      <c r="AG105" s="439">
        <v>219.78</v>
      </c>
      <c r="AH105" s="439">
        <v>223.3</v>
      </c>
      <c r="AI105" s="439">
        <v>225.18</v>
      </c>
      <c r="AP105" s="113">
        <v>100</v>
      </c>
      <c r="AQ105" s="439">
        <v>172.81</v>
      </c>
      <c r="AR105" s="439">
        <v>176.19</v>
      </c>
      <c r="AS105" s="439">
        <v>178.01</v>
      </c>
      <c r="AZ105" s="113">
        <v>100</v>
      </c>
      <c r="BA105" s="439">
        <v>133.49</v>
      </c>
      <c r="BB105" s="439">
        <v>136.59</v>
      </c>
      <c r="BC105" s="439">
        <v>138.31</v>
      </c>
      <c r="BJ105" s="113">
        <v>100</v>
      </c>
      <c r="BK105" s="439">
        <v>105.04</v>
      </c>
      <c r="BL105" s="439">
        <v>107.95</v>
      </c>
      <c r="BM105" s="439">
        <v>109.56</v>
      </c>
      <c r="BT105" s="113">
        <v>100</v>
      </c>
      <c r="BU105" s="439">
        <v>84.5</v>
      </c>
      <c r="BV105" s="439">
        <v>87.27</v>
      </c>
      <c r="BW105" s="439">
        <v>88.79</v>
      </c>
      <c r="CD105" s="113">
        <v>100</v>
      </c>
      <c r="CE105" s="439">
        <v>69.89</v>
      </c>
      <c r="CF105" s="439">
        <v>72.56</v>
      </c>
      <c r="CG105" s="439">
        <v>74.02</v>
      </c>
      <c r="CN105" s="113">
        <v>100</v>
      </c>
      <c r="CO105" s="439">
        <v>59.55</v>
      </c>
      <c r="CP105" s="439">
        <v>62.15</v>
      </c>
      <c r="CQ105" s="439">
        <v>63.54</v>
      </c>
    </row>
  </sheetData>
  <mergeCells count="20">
    <mergeCell ref="B3:J3"/>
    <mergeCell ref="B2:J2"/>
    <mergeCell ref="L3:T3"/>
    <mergeCell ref="L2:T2"/>
    <mergeCell ref="V3:AD3"/>
    <mergeCell ref="V2:AD2"/>
    <mergeCell ref="AF3:AN3"/>
    <mergeCell ref="AF2:AN2"/>
    <mergeCell ref="AP3:AX3"/>
    <mergeCell ref="AP2:AX2"/>
    <mergeCell ref="AZ3:BH3"/>
    <mergeCell ref="AZ2:BH2"/>
    <mergeCell ref="CN3:CV3"/>
    <mergeCell ref="CN2:CV2"/>
    <mergeCell ref="BJ3:BR3"/>
    <mergeCell ref="BJ2:BR2"/>
    <mergeCell ref="BT3:CB3"/>
    <mergeCell ref="BT2:CB2"/>
    <mergeCell ref="CD3:CL3"/>
    <mergeCell ref="CD2:CL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sheetPr>
  <dimension ref="B1:CY105"/>
  <sheetViews>
    <sheetView topLeftCell="A4" workbookViewId="0">
      <selection activeCell="B5" sqref="B5:CT105"/>
    </sheetView>
  </sheetViews>
  <sheetFormatPr defaultColWidth="8.85546875" defaultRowHeight="12.75" x14ac:dyDescent="0.2"/>
  <cols>
    <col min="1" max="16384" width="8.85546875" style="429"/>
  </cols>
  <sheetData>
    <row r="1" spans="2:103" x14ac:dyDescent="0.2">
      <c r="B1" s="425"/>
      <c r="C1" s="425"/>
      <c r="D1" s="425"/>
      <c r="E1" s="426"/>
      <c r="F1" s="426"/>
      <c r="G1" s="426"/>
      <c r="H1" s="426"/>
      <c r="I1" s="426"/>
      <c r="J1" s="437" t="s">
        <v>151</v>
      </c>
    </row>
    <row r="2" spans="2:103" x14ac:dyDescent="0.2">
      <c r="B2" s="430" t="s">
        <v>181</v>
      </c>
      <c r="C2" s="426"/>
      <c r="D2" s="426"/>
      <c r="E2" s="426"/>
      <c r="F2" s="426"/>
      <c r="G2" s="426"/>
      <c r="H2" s="426"/>
      <c r="I2" s="426"/>
      <c r="J2" s="426"/>
      <c r="M2" s="145" t="s">
        <v>183</v>
      </c>
      <c r="X2" s="145" t="s">
        <v>185</v>
      </c>
      <c r="AI2" s="145" t="s">
        <v>187</v>
      </c>
      <c r="AS2" s="145" t="s">
        <v>189</v>
      </c>
      <c r="BC2" s="145" t="s">
        <v>191</v>
      </c>
      <c r="BM2" s="145" t="s">
        <v>193</v>
      </c>
      <c r="BW2" s="145" t="s">
        <v>195</v>
      </c>
      <c r="CG2" s="145" t="s">
        <v>197</v>
      </c>
      <c r="CQ2" s="145" t="s">
        <v>199</v>
      </c>
    </row>
    <row r="3" spans="2:103" x14ac:dyDescent="0.2">
      <c r="B3" s="753" t="s">
        <v>214</v>
      </c>
      <c r="C3" s="754"/>
      <c r="D3" s="754"/>
      <c r="E3" s="754"/>
      <c r="F3" s="755"/>
      <c r="G3" s="755"/>
      <c r="H3" s="755"/>
      <c r="I3" s="755"/>
      <c r="J3" s="755"/>
      <c r="M3" s="753" t="s">
        <v>215</v>
      </c>
      <c r="N3" s="754"/>
      <c r="O3" s="754"/>
      <c r="P3" s="754"/>
      <c r="Q3" s="755"/>
      <c r="R3" s="755"/>
      <c r="S3" s="755"/>
      <c r="T3" s="755"/>
      <c r="U3" s="755"/>
      <c r="X3" s="753" t="s">
        <v>216</v>
      </c>
      <c r="Y3" s="754"/>
      <c r="Z3" s="754"/>
      <c r="AA3" s="754"/>
      <c r="AB3" s="755"/>
      <c r="AC3" s="755"/>
      <c r="AD3" s="755"/>
      <c r="AE3" s="755"/>
      <c r="AF3" s="755"/>
      <c r="AI3" s="753" t="s">
        <v>217</v>
      </c>
      <c r="AJ3" s="754"/>
      <c r="AK3" s="754"/>
      <c r="AL3" s="754"/>
      <c r="AM3" s="755"/>
      <c r="AN3" s="755"/>
      <c r="AO3" s="755"/>
      <c r="AP3" s="755"/>
      <c r="AQ3" s="755"/>
      <c r="AS3" s="753" t="s">
        <v>218</v>
      </c>
      <c r="AT3" s="754"/>
      <c r="AU3" s="754"/>
      <c r="AV3" s="754"/>
      <c r="AW3" s="755"/>
      <c r="AX3" s="755"/>
      <c r="AY3" s="755"/>
      <c r="AZ3" s="755"/>
      <c r="BA3" s="755"/>
      <c r="BC3" s="753" t="s">
        <v>219</v>
      </c>
      <c r="BD3" s="754"/>
      <c r="BE3" s="754"/>
      <c r="BF3" s="754"/>
      <c r="BG3" s="755"/>
      <c r="BH3" s="755"/>
      <c r="BI3" s="755"/>
      <c r="BJ3" s="755"/>
      <c r="BK3" s="755"/>
      <c r="BM3" s="753" t="s">
        <v>220</v>
      </c>
      <c r="BN3" s="754"/>
      <c r="BO3" s="754"/>
      <c r="BP3" s="754"/>
      <c r="BQ3" s="755"/>
      <c r="BR3" s="755"/>
      <c r="BS3" s="755"/>
      <c r="BT3" s="755"/>
      <c r="BU3" s="755"/>
      <c r="BW3" s="753" t="s">
        <v>221</v>
      </c>
      <c r="BX3" s="754"/>
      <c r="BY3" s="754"/>
      <c r="BZ3" s="754"/>
      <c r="CA3" s="755"/>
      <c r="CB3" s="755"/>
      <c r="CC3" s="755"/>
      <c r="CD3" s="755"/>
      <c r="CE3" s="755"/>
      <c r="CG3" s="753" t="s">
        <v>222</v>
      </c>
      <c r="CH3" s="754"/>
      <c r="CI3" s="754"/>
      <c r="CJ3" s="754"/>
      <c r="CK3" s="755"/>
      <c r="CL3" s="755"/>
      <c r="CM3" s="755"/>
      <c r="CN3" s="755"/>
      <c r="CO3" s="755"/>
      <c r="CQ3" s="753" t="s">
        <v>223</v>
      </c>
      <c r="CR3" s="754"/>
      <c r="CS3" s="754"/>
      <c r="CT3" s="754"/>
      <c r="CU3" s="755"/>
      <c r="CV3" s="755"/>
      <c r="CW3" s="755"/>
      <c r="CX3" s="755"/>
      <c r="CY3" s="755"/>
    </row>
    <row r="4" spans="2:103" ht="38.25" x14ac:dyDescent="0.2">
      <c r="B4" s="109" t="s">
        <v>1</v>
      </c>
      <c r="C4" s="109" t="s">
        <v>153</v>
      </c>
      <c r="D4" s="110" t="s">
        <v>154</v>
      </c>
      <c r="E4" s="110" t="s">
        <v>155</v>
      </c>
      <c r="G4" s="109"/>
      <c r="H4" s="109"/>
      <c r="I4" s="110"/>
      <c r="J4" s="110"/>
      <c r="M4" s="109" t="s">
        <v>1</v>
      </c>
      <c r="N4" s="109" t="s">
        <v>153</v>
      </c>
      <c r="O4" s="110" t="s">
        <v>154</v>
      </c>
      <c r="P4" s="110" t="s">
        <v>155</v>
      </c>
      <c r="R4" s="109" t="s">
        <v>1</v>
      </c>
      <c r="S4" s="109" t="s">
        <v>153</v>
      </c>
      <c r="T4" s="110" t="s">
        <v>154</v>
      </c>
      <c r="U4" s="110" t="s">
        <v>155</v>
      </c>
      <c r="X4" s="109" t="s">
        <v>1</v>
      </c>
      <c r="Y4" s="109" t="s">
        <v>153</v>
      </c>
      <c r="Z4" s="110" t="s">
        <v>154</v>
      </c>
      <c r="AA4" s="110" t="s">
        <v>155</v>
      </c>
      <c r="AC4" s="109"/>
      <c r="AD4" s="109"/>
      <c r="AE4" s="110"/>
      <c r="AF4" s="110"/>
      <c r="AI4" s="109" t="s">
        <v>1</v>
      </c>
      <c r="AJ4" s="109" t="s">
        <v>153</v>
      </c>
      <c r="AK4" s="110" t="s">
        <v>154</v>
      </c>
      <c r="AL4" s="110" t="s">
        <v>155</v>
      </c>
      <c r="AN4" s="109"/>
      <c r="AO4" s="109"/>
      <c r="AP4" s="110"/>
      <c r="AQ4" s="110"/>
      <c r="AS4" s="109" t="s">
        <v>1</v>
      </c>
      <c r="AT4" s="109" t="s">
        <v>153</v>
      </c>
      <c r="AU4" s="110" t="s">
        <v>154</v>
      </c>
      <c r="AV4" s="110" t="s">
        <v>155</v>
      </c>
      <c r="AX4" s="109"/>
      <c r="AY4" s="109"/>
      <c r="AZ4" s="110"/>
      <c r="BA4" s="110"/>
      <c r="BC4" s="109" t="s">
        <v>1</v>
      </c>
      <c r="BD4" s="109" t="s">
        <v>153</v>
      </c>
      <c r="BE4" s="110" t="s">
        <v>154</v>
      </c>
      <c r="BF4" s="110" t="s">
        <v>155</v>
      </c>
      <c r="BH4" s="109"/>
      <c r="BI4" s="109"/>
      <c r="BJ4" s="110"/>
      <c r="BK4" s="110"/>
      <c r="BM4" s="109" t="s">
        <v>1</v>
      </c>
      <c r="BN4" s="109" t="s">
        <v>153</v>
      </c>
      <c r="BO4" s="110" t="s">
        <v>154</v>
      </c>
      <c r="BP4" s="110" t="s">
        <v>155</v>
      </c>
      <c r="BR4" s="109"/>
      <c r="BS4" s="109"/>
      <c r="BT4" s="110"/>
      <c r="BU4" s="110"/>
      <c r="BW4" s="109" t="s">
        <v>1</v>
      </c>
      <c r="BX4" s="109" t="s">
        <v>153</v>
      </c>
      <c r="BY4" s="110" t="s">
        <v>154</v>
      </c>
      <c r="BZ4" s="110" t="s">
        <v>155</v>
      </c>
      <c r="CB4" s="109"/>
      <c r="CC4" s="109"/>
      <c r="CD4" s="110"/>
      <c r="CE4" s="110"/>
      <c r="CG4" s="109" t="s">
        <v>1</v>
      </c>
      <c r="CH4" s="109" t="s">
        <v>153</v>
      </c>
      <c r="CI4" s="110" t="s">
        <v>154</v>
      </c>
      <c r="CJ4" s="110" t="s">
        <v>155</v>
      </c>
      <c r="CL4" s="109"/>
      <c r="CM4" s="109"/>
      <c r="CN4" s="110"/>
      <c r="CO4" s="110"/>
      <c r="CQ4" s="109" t="s">
        <v>1</v>
      </c>
      <c r="CR4" s="109" t="s">
        <v>153</v>
      </c>
      <c r="CS4" s="110" t="s">
        <v>154</v>
      </c>
      <c r="CT4" s="110" t="s">
        <v>155</v>
      </c>
      <c r="CV4" s="109"/>
      <c r="CW4" s="109"/>
      <c r="CX4" s="110"/>
      <c r="CY4" s="110"/>
    </row>
    <row r="5" spans="2:103" x14ac:dyDescent="0.2">
      <c r="B5" s="113">
        <v>0</v>
      </c>
      <c r="C5" s="439">
        <v>55.73</v>
      </c>
      <c r="D5" s="439">
        <v>55.96</v>
      </c>
      <c r="E5" s="439">
        <v>56.4</v>
      </c>
      <c r="F5" s="426"/>
      <c r="M5" s="113">
        <v>0</v>
      </c>
      <c r="N5" s="439">
        <v>58.94</v>
      </c>
      <c r="O5" s="439">
        <v>59.24</v>
      </c>
      <c r="P5" s="439">
        <v>59.74</v>
      </c>
      <c r="Q5" s="426"/>
      <c r="X5" s="113">
        <v>0</v>
      </c>
      <c r="Y5" s="439">
        <v>62.33</v>
      </c>
      <c r="Z5" s="439">
        <v>62.7</v>
      </c>
      <c r="AA5" s="439">
        <v>63.25</v>
      </c>
      <c r="AB5" s="426"/>
      <c r="AI5" s="113">
        <v>0</v>
      </c>
      <c r="AJ5" s="439">
        <v>65.900000000000006</v>
      </c>
      <c r="AK5" s="439">
        <v>66.34</v>
      </c>
      <c r="AL5" s="439">
        <v>66.959999999999994</v>
      </c>
      <c r="AM5" s="426"/>
      <c r="AS5" s="113">
        <v>0</v>
      </c>
      <c r="AT5" s="439">
        <v>69.67</v>
      </c>
      <c r="AU5" s="439">
        <v>70.19</v>
      </c>
      <c r="AV5" s="439">
        <v>70.87</v>
      </c>
      <c r="AW5" s="426"/>
      <c r="BC5" s="113">
        <v>0</v>
      </c>
      <c r="BD5" s="439">
        <v>72.09</v>
      </c>
      <c r="BE5" s="439">
        <v>72.69</v>
      </c>
      <c r="BF5" s="439">
        <v>73.42</v>
      </c>
      <c r="BG5" s="426"/>
      <c r="BM5" s="113">
        <v>0</v>
      </c>
      <c r="BN5" s="439">
        <v>76.11</v>
      </c>
      <c r="BO5" s="439">
        <v>76.8</v>
      </c>
      <c r="BP5" s="439">
        <v>77.61</v>
      </c>
      <c r="BQ5" s="426"/>
      <c r="BW5" s="113">
        <v>0</v>
      </c>
      <c r="BX5" s="439">
        <v>80.34</v>
      </c>
      <c r="BY5" s="439">
        <v>81.13</v>
      </c>
      <c r="BZ5" s="439">
        <v>82.02</v>
      </c>
      <c r="CA5" s="426"/>
      <c r="CG5" s="113">
        <v>0</v>
      </c>
      <c r="CH5" s="439">
        <v>84.78</v>
      </c>
      <c r="CI5" s="439">
        <v>85.69</v>
      </c>
      <c r="CJ5" s="439">
        <v>86.66</v>
      </c>
      <c r="CK5" s="426"/>
      <c r="CQ5" s="113">
        <v>0</v>
      </c>
      <c r="CR5" s="439">
        <v>89.45</v>
      </c>
      <c r="CS5" s="439">
        <v>90.48</v>
      </c>
      <c r="CT5" s="439">
        <v>91.54</v>
      </c>
      <c r="CU5" s="426"/>
    </row>
    <row r="6" spans="2:103" x14ac:dyDescent="0.2">
      <c r="B6" s="113">
        <v>1</v>
      </c>
      <c r="C6" s="439">
        <v>55.78</v>
      </c>
      <c r="D6" s="439">
        <v>56.02</v>
      </c>
      <c r="E6" s="439">
        <v>56.46</v>
      </c>
      <c r="F6" s="426"/>
      <c r="M6" s="113">
        <v>1</v>
      </c>
      <c r="N6" s="439">
        <v>59.01</v>
      </c>
      <c r="O6" s="439">
        <v>59.3</v>
      </c>
      <c r="P6" s="439">
        <v>59.8</v>
      </c>
      <c r="Q6" s="426"/>
      <c r="X6" s="113">
        <v>1</v>
      </c>
      <c r="Y6" s="439">
        <v>62.4</v>
      </c>
      <c r="Z6" s="439">
        <v>62.77</v>
      </c>
      <c r="AA6" s="439">
        <v>63.32</v>
      </c>
      <c r="AB6" s="426"/>
      <c r="AI6" s="113">
        <v>1</v>
      </c>
      <c r="AJ6" s="439">
        <v>65.98</v>
      </c>
      <c r="AK6" s="439">
        <v>66.42</v>
      </c>
      <c r="AL6" s="439">
        <v>67.040000000000006</v>
      </c>
      <c r="AM6" s="426"/>
      <c r="AS6" s="113">
        <v>1</v>
      </c>
      <c r="AT6" s="439">
        <v>69.760000000000005</v>
      </c>
      <c r="AU6" s="439">
        <v>70.28</v>
      </c>
      <c r="AV6" s="439">
        <v>70.959999999999994</v>
      </c>
      <c r="AW6" s="426"/>
      <c r="BC6" s="113">
        <v>1</v>
      </c>
      <c r="BD6" s="439">
        <v>72.19</v>
      </c>
      <c r="BE6" s="439">
        <v>72.790000000000006</v>
      </c>
      <c r="BF6" s="439">
        <v>73.52</v>
      </c>
      <c r="BG6" s="426"/>
      <c r="BM6" s="113">
        <v>1</v>
      </c>
      <c r="BN6" s="439">
        <v>76.22</v>
      </c>
      <c r="BO6" s="439">
        <v>76.91</v>
      </c>
      <c r="BP6" s="439">
        <v>77.73</v>
      </c>
      <c r="BQ6" s="426"/>
      <c r="BW6" s="113">
        <v>1</v>
      </c>
      <c r="BX6" s="439">
        <v>80.459999999999994</v>
      </c>
      <c r="BY6" s="439">
        <v>81.260000000000005</v>
      </c>
      <c r="BZ6" s="439">
        <v>82.15</v>
      </c>
      <c r="CA6" s="426"/>
      <c r="CG6" s="113">
        <v>1</v>
      </c>
      <c r="CH6" s="439">
        <v>84.92</v>
      </c>
      <c r="CI6" s="439">
        <v>85.83</v>
      </c>
      <c r="CJ6" s="439">
        <v>86.81</v>
      </c>
      <c r="CK6" s="426"/>
      <c r="CQ6" s="113">
        <v>1</v>
      </c>
      <c r="CR6" s="439">
        <v>89.6</v>
      </c>
      <c r="CS6" s="439">
        <v>90.63</v>
      </c>
      <c r="CT6" s="439">
        <v>91.7</v>
      </c>
      <c r="CU6" s="426"/>
    </row>
    <row r="7" spans="2:103" x14ac:dyDescent="0.2">
      <c r="B7" s="113">
        <v>2</v>
      </c>
      <c r="C7" s="439">
        <v>55.84</v>
      </c>
      <c r="D7" s="439">
        <v>56.08</v>
      </c>
      <c r="E7" s="439">
        <v>56.53</v>
      </c>
      <c r="F7" s="426"/>
      <c r="M7" s="113">
        <v>2</v>
      </c>
      <c r="N7" s="439">
        <v>59.08</v>
      </c>
      <c r="O7" s="439">
        <v>59.37</v>
      </c>
      <c r="P7" s="439">
        <v>59.87</v>
      </c>
      <c r="Q7" s="426"/>
      <c r="X7" s="113">
        <v>2</v>
      </c>
      <c r="Y7" s="439">
        <v>62.48</v>
      </c>
      <c r="Z7" s="439">
        <v>62.84</v>
      </c>
      <c r="AA7" s="439">
        <v>63.4</v>
      </c>
      <c r="AB7" s="426"/>
      <c r="AI7" s="113">
        <v>2</v>
      </c>
      <c r="AJ7" s="439">
        <v>66.069999999999993</v>
      </c>
      <c r="AK7" s="439">
        <v>66.510000000000005</v>
      </c>
      <c r="AL7" s="439">
        <v>67.13</v>
      </c>
      <c r="AM7" s="426"/>
      <c r="AS7" s="113">
        <v>2</v>
      </c>
      <c r="AT7" s="439">
        <v>69.849999999999994</v>
      </c>
      <c r="AU7" s="439">
        <v>70.37</v>
      </c>
      <c r="AV7" s="439">
        <v>71.06</v>
      </c>
      <c r="AW7" s="426"/>
      <c r="BC7" s="113">
        <v>2</v>
      </c>
      <c r="BD7" s="439">
        <v>72.3</v>
      </c>
      <c r="BE7" s="439">
        <v>72.89</v>
      </c>
      <c r="BF7" s="439">
        <v>73.63</v>
      </c>
      <c r="BG7" s="426"/>
      <c r="BM7" s="113">
        <v>2</v>
      </c>
      <c r="BN7" s="439">
        <v>76.34</v>
      </c>
      <c r="BO7" s="439">
        <v>77.03</v>
      </c>
      <c r="BP7" s="439">
        <v>77.849999999999994</v>
      </c>
      <c r="BQ7" s="426"/>
      <c r="BW7" s="113">
        <v>2</v>
      </c>
      <c r="BX7" s="439">
        <v>80.59</v>
      </c>
      <c r="BY7" s="439">
        <v>81.39</v>
      </c>
      <c r="BZ7" s="439">
        <v>82.29</v>
      </c>
      <c r="CA7" s="426"/>
      <c r="CG7" s="113">
        <v>2</v>
      </c>
      <c r="CH7" s="439">
        <v>85.07</v>
      </c>
      <c r="CI7" s="439">
        <v>85.98</v>
      </c>
      <c r="CJ7" s="439">
        <v>86.96</v>
      </c>
      <c r="CK7" s="426"/>
      <c r="CQ7" s="113">
        <v>2</v>
      </c>
      <c r="CR7" s="439">
        <v>89.77</v>
      </c>
      <c r="CS7" s="439">
        <v>90.8</v>
      </c>
      <c r="CT7" s="439">
        <v>91.87</v>
      </c>
      <c r="CU7" s="426"/>
    </row>
    <row r="8" spans="2:103" x14ac:dyDescent="0.2">
      <c r="B8" s="113">
        <v>3</v>
      </c>
      <c r="C8" s="439">
        <v>55.91</v>
      </c>
      <c r="D8" s="439">
        <v>56.14</v>
      </c>
      <c r="E8" s="439">
        <v>56.59</v>
      </c>
      <c r="F8" s="426"/>
      <c r="M8" s="113">
        <v>3</v>
      </c>
      <c r="N8" s="439">
        <v>59.15</v>
      </c>
      <c r="O8" s="439">
        <v>59.44</v>
      </c>
      <c r="P8" s="439">
        <v>59.94</v>
      </c>
      <c r="Q8" s="426"/>
      <c r="X8" s="113">
        <v>3</v>
      </c>
      <c r="Y8" s="439">
        <v>62.56</v>
      </c>
      <c r="Z8" s="439">
        <v>62.92</v>
      </c>
      <c r="AA8" s="439">
        <v>63.48</v>
      </c>
      <c r="AB8" s="426"/>
      <c r="AI8" s="113">
        <v>3</v>
      </c>
      <c r="AJ8" s="439">
        <v>66.16</v>
      </c>
      <c r="AK8" s="439">
        <v>66.599999999999994</v>
      </c>
      <c r="AL8" s="439">
        <v>67.22</v>
      </c>
      <c r="AM8" s="426"/>
      <c r="AS8" s="113">
        <v>3</v>
      </c>
      <c r="AT8" s="439">
        <v>69.95</v>
      </c>
      <c r="AU8" s="439">
        <v>70.47</v>
      </c>
      <c r="AV8" s="439">
        <v>71.16</v>
      </c>
      <c r="AW8" s="426"/>
      <c r="BC8" s="113">
        <v>3</v>
      </c>
      <c r="BD8" s="439">
        <v>72.41</v>
      </c>
      <c r="BE8" s="439">
        <v>73.010000000000005</v>
      </c>
      <c r="BF8" s="439">
        <v>73.75</v>
      </c>
      <c r="BG8" s="426"/>
      <c r="BM8" s="113">
        <v>3</v>
      </c>
      <c r="BN8" s="439">
        <v>76.459999999999994</v>
      </c>
      <c r="BO8" s="439">
        <v>77.16</v>
      </c>
      <c r="BP8" s="439">
        <v>77.97</v>
      </c>
      <c r="BQ8" s="426"/>
      <c r="BW8" s="113">
        <v>3</v>
      </c>
      <c r="BX8" s="439">
        <v>80.73</v>
      </c>
      <c r="BY8" s="439">
        <v>81.53</v>
      </c>
      <c r="BZ8" s="439">
        <v>82.43</v>
      </c>
      <c r="CA8" s="426"/>
      <c r="CG8" s="113">
        <v>3</v>
      </c>
      <c r="CH8" s="439">
        <v>85.22</v>
      </c>
      <c r="CI8" s="439">
        <v>86.13</v>
      </c>
      <c r="CJ8" s="439">
        <v>87.12</v>
      </c>
      <c r="CK8" s="426"/>
      <c r="CQ8" s="113">
        <v>3</v>
      </c>
      <c r="CR8" s="439">
        <v>89.94</v>
      </c>
      <c r="CS8" s="439">
        <v>90.97</v>
      </c>
      <c r="CT8" s="439">
        <v>92.05</v>
      </c>
      <c r="CU8" s="426"/>
    </row>
    <row r="9" spans="2:103" x14ac:dyDescent="0.2">
      <c r="B9" s="113">
        <v>4</v>
      </c>
      <c r="C9" s="439">
        <v>55.97</v>
      </c>
      <c r="D9" s="439">
        <v>56.21</v>
      </c>
      <c r="E9" s="439">
        <v>56.66</v>
      </c>
      <c r="F9" s="426"/>
      <c r="M9" s="113">
        <v>4</v>
      </c>
      <c r="N9" s="439">
        <v>59.22</v>
      </c>
      <c r="O9" s="439">
        <v>59.52</v>
      </c>
      <c r="P9" s="439">
        <v>60.02</v>
      </c>
      <c r="Q9" s="426"/>
      <c r="X9" s="113">
        <v>4</v>
      </c>
      <c r="Y9" s="439">
        <v>62.64</v>
      </c>
      <c r="Z9" s="439">
        <v>63.01</v>
      </c>
      <c r="AA9" s="439">
        <v>63.569999999999993</v>
      </c>
      <c r="AB9" s="426"/>
      <c r="AI9" s="113">
        <v>4</v>
      </c>
      <c r="AJ9" s="439">
        <v>66.25</v>
      </c>
      <c r="AK9" s="439">
        <v>66.69</v>
      </c>
      <c r="AL9" s="439">
        <v>67.319999999999993</v>
      </c>
      <c r="AM9" s="426"/>
      <c r="AS9" s="113">
        <v>4</v>
      </c>
      <c r="AT9" s="439">
        <v>70.06</v>
      </c>
      <c r="AU9" s="439">
        <v>70.58</v>
      </c>
      <c r="AV9" s="439">
        <v>71.27</v>
      </c>
      <c r="AW9" s="426"/>
      <c r="BC9" s="113">
        <v>4</v>
      </c>
      <c r="BD9" s="439">
        <v>72.52</v>
      </c>
      <c r="BE9" s="439">
        <v>73.12</v>
      </c>
      <c r="BF9" s="439">
        <v>73.87</v>
      </c>
      <c r="BG9" s="426"/>
      <c r="BM9" s="113">
        <v>4</v>
      </c>
      <c r="BN9" s="439">
        <v>76.59</v>
      </c>
      <c r="BO9" s="439">
        <v>77.290000000000006</v>
      </c>
      <c r="BP9" s="439">
        <v>78.11</v>
      </c>
      <c r="BQ9" s="426"/>
      <c r="BW9" s="113">
        <v>4</v>
      </c>
      <c r="BX9" s="439">
        <v>80.88</v>
      </c>
      <c r="BY9" s="439">
        <v>81.680000000000007</v>
      </c>
      <c r="BZ9" s="439">
        <v>82.58</v>
      </c>
      <c r="CA9" s="426"/>
      <c r="CG9" s="113">
        <v>4</v>
      </c>
      <c r="CH9" s="439">
        <v>85.38</v>
      </c>
      <c r="CI9" s="439">
        <v>86.3</v>
      </c>
      <c r="CJ9" s="439">
        <v>87.28</v>
      </c>
      <c r="CK9" s="426"/>
      <c r="CQ9" s="113">
        <v>4</v>
      </c>
      <c r="CR9" s="439">
        <v>90.12</v>
      </c>
      <c r="CS9" s="439">
        <v>91.16</v>
      </c>
      <c r="CT9" s="439">
        <v>92.24</v>
      </c>
      <c r="CU9" s="426"/>
    </row>
    <row r="10" spans="2:103" x14ac:dyDescent="0.2">
      <c r="B10" s="113">
        <v>5</v>
      </c>
      <c r="C10" s="439">
        <v>56.04</v>
      </c>
      <c r="D10" s="439">
        <v>56.28</v>
      </c>
      <c r="E10" s="439">
        <v>56.73</v>
      </c>
      <c r="F10" s="426"/>
      <c r="M10" s="113">
        <v>5</v>
      </c>
      <c r="N10" s="439">
        <v>59.3</v>
      </c>
      <c r="O10" s="439">
        <v>59.6</v>
      </c>
      <c r="P10" s="439">
        <v>60.1</v>
      </c>
      <c r="Q10" s="426"/>
      <c r="X10" s="113">
        <v>5</v>
      </c>
      <c r="Y10" s="439">
        <v>62.73</v>
      </c>
      <c r="Z10" s="439">
        <v>63.1</v>
      </c>
      <c r="AA10" s="439">
        <v>63.66</v>
      </c>
      <c r="AB10" s="426"/>
      <c r="AI10" s="113">
        <v>5</v>
      </c>
      <c r="AJ10" s="439">
        <v>66.349999999999994</v>
      </c>
      <c r="AK10" s="439">
        <v>66.790000000000006</v>
      </c>
      <c r="AL10" s="439">
        <v>67.42</v>
      </c>
      <c r="AM10" s="426"/>
      <c r="AS10" s="113">
        <v>5</v>
      </c>
      <c r="AT10" s="439">
        <v>70.16</v>
      </c>
      <c r="AU10" s="439">
        <v>70.69</v>
      </c>
      <c r="AV10" s="439">
        <v>71.38</v>
      </c>
      <c r="AW10" s="426"/>
      <c r="BC10" s="113">
        <v>5</v>
      </c>
      <c r="BD10" s="439">
        <v>72.650000000000006</v>
      </c>
      <c r="BE10" s="439">
        <v>73.25</v>
      </c>
      <c r="BF10" s="439">
        <v>73.989999999999995</v>
      </c>
      <c r="BG10" s="426"/>
      <c r="BM10" s="113">
        <v>5</v>
      </c>
      <c r="BN10" s="439">
        <v>76.73</v>
      </c>
      <c r="BO10" s="439">
        <v>77.430000000000007</v>
      </c>
      <c r="BP10" s="439">
        <v>78.25</v>
      </c>
      <c r="BQ10" s="426"/>
      <c r="BW10" s="113">
        <v>5</v>
      </c>
      <c r="BX10" s="439">
        <v>81.03</v>
      </c>
      <c r="BY10" s="439">
        <v>81.83</v>
      </c>
      <c r="BZ10" s="439">
        <v>82.73</v>
      </c>
      <c r="CA10" s="426"/>
      <c r="CG10" s="113">
        <v>5</v>
      </c>
      <c r="CH10" s="439">
        <v>85.55</v>
      </c>
      <c r="CI10" s="439">
        <v>86.47</v>
      </c>
      <c r="CJ10" s="439">
        <v>87.46</v>
      </c>
      <c r="CK10" s="426"/>
      <c r="CQ10" s="113">
        <v>5</v>
      </c>
      <c r="CR10" s="439">
        <v>90.31</v>
      </c>
      <c r="CS10" s="439">
        <v>91.35</v>
      </c>
      <c r="CT10" s="439">
        <v>92.43</v>
      </c>
      <c r="CU10" s="426"/>
    </row>
    <row r="11" spans="2:103" x14ac:dyDescent="0.2">
      <c r="B11" s="113">
        <v>6</v>
      </c>
      <c r="C11" s="439">
        <v>56.12</v>
      </c>
      <c r="D11" s="439">
        <v>56.35</v>
      </c>
      <c r="E11" s="439">
        <v>56.8</v>
      </c>
      <c r="F11" s="426"/>
      <c r="M11" s="113">
        <v>6</v>
      </c>
      <c r="N11" s="439">
        <v>59.38</v>
      </c>
      <c r="O11" s="439">
        <v>59.68</v>
      </c>
      <c r="P11" s="439">
        <v>60.18</v>
      </c>
      <c r="Q11" s="426"/>
      <c r="X11" s="113">
        <v>6</v>
      </c>
      <c r="Y11" s="439">
        <v>62.82</v>
      </c>
      <c r="Z11" s="439">
        <v>63.19</v>
      </c>
      <c r="AA11" s="439">
        <v>63.75</v>
      </c>
      <c r="AB11" s="426"/>
      <c r="AI11" s="113">
        <v>6</v>
      </c>
      <c r="AJ11" s="439">
        <v>66.45</v>
      </c>
      <c r="AK11" s="439">
        <v>66.89</v>
      </c>
      <c r="AL11" s="439">
        <v>67.52</v>
      </c>
      <c r="AM11" s="426"/>
      <c r="AS11" s="113">
        <v>6</v>
      </c>
      <c r="AT11" s="439">
        <v>70.28</v>
      </c>
      <c r="AU11" s="439">
        <v>70.81</v>
      </c>
      <c r="AV11" s="439">
        <v>71.5</v>
      </c>
      <c r="AW11" s="426"/>
      <c r="BC11" s="113">
        <v>6</v>
      </c>
      <c r="BD11" s="439">
        <v>72.77</v>
      </c>
      <c r="BE11" s="439">
        <v>73.38</v>
      </c>
      <c r="BF11" s="439">
        <v>74.12</v>
      </c>
      <c r="BG11" s="426"/>
      <c r="BM11" s="113">
        <v>6</v>
      </c>
      <c r="BN11" s="439">
        <v>76.87</v>
      </c>
      <c r="BO11" s="439">
        <v>77.569999999999993</v>
      </c>
      <c r="BP11" s="439">
        <v>78.400000000000006</v>
      </c>
      <c r="BQ11" s="426"/>
      <c r="BW11" s="113">
        <v>6</v>
      </c>
      <c r="BX11" s="439">
        <v>81.19</v>
      </c>
      <c r="BY11" s="439">
        <v>81.99</v>
      </c>
      <c r="BZ11" s="439">
        <v>82.9</v>
      </c>
      <c r="CA11" s="426"/>
      <c r="CG11" s="113">
        <v>6</v>
      </c>
      <c r="CH11" s="439">
        <v>85.73</v>
      </c>
      <c r="CI11" s="439">
        <v>86.65</v>
      </c>
      <c r="CJ11" s="439">
        <v>87.64</v>
      </c>
      <c r="CK11" s="426"/>
      <c r="CQ11" s="113">
        <v>6</v>
      </c>
      <c r="CR11" s="439">
        <v>90.51</v>
      </c>
      <c r="CS11" s="439">
        <v>91.55</v>
      </c>
      <c r="CT11" s="439">
        <v>92.64</v>
      </c>
      <c r="CU11" s="426"/>
    </row>
    <row r="12" spans="2:103" x14ac:dyDescent="0.2">
      <c r="B12" s="113">
        <v>7</v>
      </c>
      <c r="C12" s="439">
        <v>56.19</v>
      </c>
      <c r="D12" s="439">
        <v>56.43</v>
      </c>
      <c r="E12" s="439">
        <v>56.88</v>
      </c>
      <c r="F12" s="426"/>
      <c r="M12" s="113">
        <v>7</v>
      </c>
      <c r="N12" s="439">
        <v>59.47</v>
      </c>
      <c r="O12" s="439">
        <v>59.76</v>
      </c>
      <c r="P12" s="439">
        <v>60.27</v>
      </c>
      <c r="Q12" s="426"/>
      <c r="X12" s="113">
        <v>7</v>
      </c>
      <c r="Y12" s="439">
        <v>62.92</v>
      </c>
      <c r="Z12" s="439">
        <v>63.29</v>
      </c>
      <c r="AA12" s="439">
        <v>63.849999999999994</v>
      </c>
      <c r="AB12" s="426"/>
      <c r="AI12" s="113">
        <v>7</v>
      </c>
      <c r="AJ12" s="439">
        <v>66.56</v>
      </c>
      <c r="AK12" s="439">
        <v>67</v>
      </c>
      <c r="AL12" s="439">
        <v>67.63</v>
      </c>
      <c r="AM12" s="426"/>
      <c r="AS12" s="113">
        <v>7</v>
      </c>
      <c r="AT12" s="439">
        <v>70.400000000000006</v>
      </c>
      <c r="AU12" s="439">
        <v>70.930000000000007</v>
      </c>
      <c r="AV12" s="439">
        <v>71.62</v>
      </c>
      <c r="AW12" s="426"/>
      <c r="BC12" s="113">
        <v>7</v>
      </c>
      <c r="BD12" s="439">
        <v>72.91</v>
      </c>
      <c r="BE12" s="439">
        <v>73.510000000000005</v>
      </c>
      <c r="BF12" s="439">
        <v>74.260000000000005</v>
      </c>
      <c r="BG12" s="426"/>
      <c r="BM12" s="113">
        <v>7</v>
      </c>
      <c r="BN12" s="439">
        <v>77.02</v>
      </c>
      <c r="BO12" s="439">
        <v>77.72</v>
      </c>
      <c r="BP12" s="439">
        <v>78.55</v>
      </c>
      <c r="BQ12" s="426"/>
      <c r="BW12" s="113">
        <v>7</v>
      </c>
      <c r="BX12" s="439">
        <v>81.36</v>
      </c>
      <c r="BY12" s="439">
        <v>82.16</v>
      </c>
      <c r="BZ12" s="439">
        <v>83.07</v>
      </c>
      <c r="CA12" s="426"/>
      <c r="CG12" s="113">
        <v>7</v>
      </c>
      <c r="CH12" s="439">
        <v>85.92</v>
      </c>
      <c r="CI12" s="439">
        <v>86.84</v>
      </c>
      <c r="CJ12" s="439">
        <v>87.84</v>
      </c>
      <c r="CK12" s="426"/>
      <c r="CQ12" s="113">
        <v>7</v>
      </c>
      <c r="CR12" s="439">
        <v>90.72</v>
      </c>
      <c r="CS12" s="439">
        <v>91.76</v>
      </c>
      <c r="CT12" s="439">
        <v>92.85</v>
      </c>
      <c r="CU12" s="426"/>
    </row>
    <row r="13" spans="2:103" x14ac:dyDescent="0.2">
      <c r="B13" s="113">
        <v>8</v>
      </c>
      <c r="C13" s="439">
        <v>56.27</v>
      </c>
      <c r="D13" s="439">
        <v>56.51</v>
      </c>
      <c r="E13" s="439">
        <v>56.96</v>
      </c>
      <c r="F13" s="426"/>
      <c r="M13" s="113">
        <v>8</v>
      </c>
      <c r="N13" s="439">
        <v>59.56</v>
      </c>
      <c r="O13" s="439">
        <v>59.85</v>
      </c>
      <c r="P13" s="439">
        <v>60.36</v>
      </c>
      <c r="Q13" s="426"/>
      <c r="X13" s="113">
        <v>8</v>
      </c>
      <c r="Y13" s="439">
        <v>63.02</v>
      </c>
      <c r="Z13" s="439">
        <v>63.39</v>
      </c>
      <c r="AA13" s="439">
        <v>63.95</v>
      </c>
      <c r="AB13" s="426"/>
      <c r="AI13" s="113">
        <v>8</v>
      </c>
      <c r="AJ13" s="439">
        <v>66.67</v>
      </c>
      <c r="AK13" s="439">
        <v>67.12</v>
      </c>
      <c r="AL13" s="439">
        <v>67.75</v>
      </c>
      <c r="AM13" s="426"/>
      <c r="AS13" s="113">
        <v>8</v>
      </c>
      <c r="AT13" s="439">
        <v>70.53</v>
      </c>
      <c r="AU13" s="439">
        <v>71.05</v>
      </c>
      <c r="AV13" s="439">
        <v>71.75</v>
      </c>
      <c r="AW13" s="426"/>
      <c r="BC13" s="113">
        <v>8</v>
      </c>
      <c r="BD13" s="439">
        <v>73.05</v>
      </c>
      <c r="BE13" s="439">
        <v>73.650000000000006</v>
      </c>
      <c r="BF13" s="439">
        <v>74.41</v>
      </c>
      <c r="BG13" s="426"/>
      <c r="BM13" s="113">
        <v>8</v>
      </c>
      <c r="BN13" s="439">
        <v>77.180000000000007</v>
      </c>
      <c r="BO13" s="439">
        <v>77.88</v>
      </c>
      <c r="BP13" s="439">
        <v>78.709999999999994</v>
      </c>
      <c r="BQ13" s="426"/>
      <c r="BW13" s="113">
        <v>8</v>
      </c>
      <c r="BX13" s="439">
        <v>81.53</v>
      </c>
      <c r="BY13" s="439">
        <v>82.34</v>
      </c>
      <c r="BZ13" s="439">
        <v>83.25</v>
      </c>
      <c r="CA13" s="426"/>
      <c r="CG13" s="113">
        <v>8</v>
      </c>
      <c r="CH13" s="439">
        <v>86.11</v>
      </c>
      <c r="CI13" s="439">
        <v>87.04</v>
      </c>
      <c r="CJ13" s="439">
        <v>88.04</v>
      </c>
      <c r="CK13" s="426"/>
      <c r="CQ13" s="113">
        <v>8</v>
      </c>
      <c r="CR13" s="439">
        <v>90.94</v>
      </c>
      <c r="CS13" s="439">
        <v>91.98</v>
      </c>
      <c r="CT13" s="439">
        <v>93.08</v>
      </c>
      <c r="CU13" s="426"/>
    </row>
    <row r="14" spans="2:103" x14ac:dyDescent="0.2">
      <c r="B14" s="113">
        <v>9</v>
      </c>
      <c r="C14" s="439">
        <v>56.36</v>
      </c>
      <c r="D14" s="439">
        <v>56.59</v>
      </c>
      <c r="E14" s="439">
        <v>57.05</v>
      </c>
      <c r="F14" s="426"/>
      <c r="M14" s="113">
        <v>9</v>
      </c>
      <c r="N14" s="439">
        <v>59.65</v>
      </c>
      <c r="O14" s="439">
        <v>59.95</v>
      </c>
      <c r="P14" s="439">
        <v>60.46</v>
      </c>
      <c r="Q14" s="426"/>
      <c r="X14" s="113">
        <v>9</v>
      </c>
      <c r="Y14" s="439">
        <v>63.13</v>
      </c>
      <c r="Z14" s="439">
        <v>63.49</v>
      </c>
      <c r="AA14" s="439">
        <v>64.06</v>
      </c>
      <c r="AB14" s="426"/>
      <c r="AI14" s="113">
        <v>9</v>
      </c>
      <c r="AJ14" s="439">
        <v>66.790000000000006</v>
      </c>
      <c r="AK14" s="439">
        <v>67.239999999999995</v>
      </c>
      <c r="AL14" s="439">
        <v>67.87</v>
      </c>
      <c r="AM14" s="426"/>
      <c r="AS14" s="113">
        <v>9</v>
      </c>
      <c r="AT14" s="439">
        <v>70.66</v>
      </c>
      <c r="AU14" s="439">
        <v>71.19</v>
      </c>
      <c r="AV14" s="439">
        <v>71.89</v>
      </c>
      <c r="AW14" s="426"/>
      <c r="BC14" s="113">
        <v>9</v>
      </c>
      <c r="BD14" s="439">
        <v>73.2</v>
      </c>
      <c r="BE14" s="439">
        <v>73.8</v>
      </c>
      <c r="BF14" s="439">
        <v>74.56</v>
      </c>
      <c r="BG14" s="426"/>
      <c r="BM14" s="113">
        <v>9</v>
      </c>
      <c r="BN14" s="439">
        <v>77.349999999999994</v>
      </c>
      <c r="BO14" s="439">
        <v>78.05</v>
      </c>
      <c r="BP14" s="439">
        <v>78.88</v>
      </c>
      <c r="BQ14" s="426"/>
      <c r="BW14" s="113">
        <v>9</v>
      </c>
      <c r="BX14" s="439">
        <v>81.72</v>
      </c>
      <c r="BY14" s="439">
        <v>82.53</v>
      </c>
      <c r="BZ14" s="439">
        <v>83.44</v>
      </c>
      <c r="CA14" s="426"/>
      <c r="CG14" s="113">
        <v>9</v>
      </c>
      <c r="CH14" s="439">
        <v>86.32</v>
      </c>
      <c r="CI14" s="439">
        <v>87.25</v>
      </c>
      <c r="CJ14" s="439">
        <v>88.25</v>
      </c>
      <c r="CK14" s="426"/>
      <c r="CQ14" s="113">
        <v>9</v>
      </c>
      <c r="CR14" s="439">
        <v>91.17</v>
      </c>
      <c r="CS14" s="439">
        <v>92.22</v>
      </c>
      <c r="CT14" s="439">
        <v>93.32</v>
      </c>
      <c r="CU14" s="426"/>
    </row>
    <row r="15" spans="2:103" x14ac:dyDescent="0.2">
      <c r="B15" s="113">
        <v>10</v>
      </c>
      <c r="C15" s="439">
        <v>56.45</v>
      </c>
      <c r="D15" s="439">
        <v>56.68</v>
      </c>
      <c r="E15" s="439">
        <v>57.14</v>
      </c>
      <c r="F15" s="426"/>
      <c r="M15" s="113">
        <v>10</v>
      </c>
      <c r="N15" s="439">
        <v>59.75</v>
      </c>
      <c r="O15" s="439">
        <v>60.05</v>
      </c>
      <c r="P15" s="439">
        <v>60.56</v>
      </c>
      <c r="Q15" s="426"/>
      <c r="X15" s="113">
        <v>10</v>
      </c>
      <c r="Y15" s="439">
        <v>63.24</v>
      </c>
      <c r="Z15" s="439">
        <v>63.61</v>
      </c>
      <c r="AA15" s="439">
        <v>64.180000000000007</v>
      </c>
      <c r="AB15" s="426"/>
      <c r="AI15" s="113">
        <v>10</v>
      </c>
      <c r="AJ15" s="439">
        <v>66.92</v>
      </c>
      <c r="AK15" s="439">
        <v>67.36</v>
      </c>
      <c r="AL15" s="439">
        <v>68</v>
      </c>
      <c r="AM15" s="426"/>
      <c r="AS15" s="113">
        <v>10</v>
      </c>
      <c r="AT15" s="439">
        <v>70.8</v>
      </c>
      <c r="AU15" s="439">
        <v>71.33</v>
      </c>
      <c r="AV15" s="439">
        <v>72.03</v>
      </c>
      <c r="AW15" s="426"/>
      <c r="BC15" s="113">
        <v>10</v>
      </c>
      <c r="BD15" s="439">
        <v>73.349999999999994</v>
      </c>
      <c r="BE15" s="439">
        <v>73.959999999999994</v>
      </c>
      <c r="BF15" s="439">
        <v>74.72</v>
      </c>
      <c r="BG15" s="426"/>
      <c r="BM15" s="113">
        <v>10</v>
      </c>
      <c r="BN15" s="439">
        <v>77.52</v>
      </c>
      <c r="BO15" s="439">
        <v>78.23</v>
      </c>
      <c r="BP15" s="439">
        <v>79.06</v>
      </c>
      <c r="BQ15" s="426"/>
      <c r="BW15" s="113">
        <v>10</v>
      </c>
      <c r="BX15" s="439">
        <v>81.91</v>
      </c>
      <c r="BY15" s="439">
        <v>82.73</v>
      </c>
      <c r="BZ15" s="439">
        <v>83.64</v>
      </c>
      <c r="CA15" s="426"/>
      <c r="CG15" s="113">
        <v>10</v>
      </c>
      <c r="CH15" s="439">
        <v>86.54</v>
      </c>
      <c r="CI15" s="439">
        <v>87.47</v>
      </c>
      <c r="CJ15" s="439">
        <v>88.48</v>
      </c>
      <c r="CK15" s="426"/>
      <c r="CQ15" s="113">
        <v>10</v>
      </c>
      <c r="CR15" s="439">
        <v>91.41</v>
      </c>
      <c r="CS15" s="439">
        <v>92.46</v>
      </c>
      <c r="CT15" s="439">
        <v>93.57</v>
      </c>
      <c r="CU15" s="426"/>
    </row>
    <row r="16" spans="2:103" x14ac:dyDescent="0.2">
      <c r="B16" s="113">
        <v>11</v>
      </c>
      <c r="C16" s="439">
        <v>56.54</v>
      </c>
      <c r="D16" s="439">
        <v>56.78</v>
      </c>
      <c r="E16" s="439">
        <v>57.24</v>
      </c>
      <c r="F16" s="426"/>
      <c r="M16" s="113">
        <v>11</v>
      </c>
      <c r="N16" s="439">
        <v>59.85</v>
      </c>
      <c r="O16" s="439">
        <v>60.16</v>
      </c>
      <c r="P16" s="439">
        <v>60.67</v>
      </c>
      <c r="Q16" s="426"/>
      <c r="X16" s="113">
        <v>11</v>
      </c>
      <c r="Y16" s="439">
        <v>63.35</v>
      </c>
      <c r="Z16" s="439">
        <v>63.72</v>
      </c>
      <c r="AA16" s="439">
        <v>64.3</v>
      </c>
      <c r="AB16" s="426"/>
      <c r="AI16" s="113">
        <v>11</v>
      </c>
      <c r="AJ16" s="439">
        <v>67.05</v>
      </c>
      <c r="AK16" s="439">
        <v>67.5</v>
      </c>
      <c r="AL16" s="439">
        <v>68.13</v>
      </c>
      <c r="AM16" s="426"/>
      <c r="AS16" s="113">
        <v>11</v>
      </c>
      <c r="AT16" s="439">
        <v>70.95</v>
      </c>
      <c r="AU16" s="439">
        <v>71.48</v>
      </c>
      <c r="AV16" s="439">
        <v>72.180000000000007</v>
      </c>
      <c r="AW16" s="426"/>
      <c r="BC16" s="113">
        <v>11</v>
      </c>
      <c r="BD16" s="439">
        <v>73.52</v>
      </c>
      <c r="BE16" s="439">
        <v>74.13</v>
      </c>
      <c r="BF16" s="439">
        <v>74.89</v>
      </c>
      <c r="BG16" s="426"/>
      <c r="BM16" s="113">
        <v>11</v>
      </c>
      <c r="BN16" s="439">
        <v>77.709999999999994</v>
      </c>
      <c r="BO16" s="439">
        <v>78.41</v>
      </c>
      <c r="BP16" s="439">
        <v>79.25</v>
      </c>
      <c r="BQ16" s="426"/>
      <c r="BW16" s="113">
        <v>11</v>
      </c>
      <c r="BX16" s="439">
        <v>82.12</v>
      </c>
      <c r="BY16" s="439">
        <v>82.93</v>
      </c>
      <c r="BZ16" s="439">
        <v>83.86</v>
      </c>
      <c r="CA16" s="426"/>
      <c r="CG16" s="113">
        <v>11</v>
      </c>
      <c r="CH16" s="439">
        <v>86.77</v>
      </c>
      <c r="CI16" s="439">
        <v>87.7</v>
      </c>
      <c r="CJ16" s="439">
        <v>88.71</v>
      </c>
      <c r="CK16" s="426"/>
      <c r="CQ16" s="113">
        <v>11</v>
      </c>
      <c r="CR16" s="439">
        <v>91.67</v>
      </c>
      <c r="CS16" s="439">
        <v>92.72</v>
      </c>
      <c r="CT16" s="439">
        <v>93.83</v>
      </c>
      <c r="CU16" s="426"/>
    </row>
    <row r="17" spans="2:99" x14ac:dyDescent="0.2">
      <c r="B17" s="113">
        <v>12</v>
      </c>
      <c r="C17" s="439">
        <v>56.64</v>
      </c>
      <c r="D17" s="439">
        <v>56.88</v>
      </c>
      <c r="E17" s="439">
        <v>57.34</v>
      </c>
      <c r="F17" s="426"/>
      <c r="M17" s="113">
        <v>12</v>
      </c>
      <c r="N17" s="439">
        <v>59.96</v>
      </c>
      <c r="O17" s="439">
        <v>60.27</v>
      </c>
      <c r="P17" s="439">
        <v>60.78</v>
      </c>
      <c r="Q17" s="426"/>
      <c r="X17" s="113">
        <v>12</v>
      </c>
      <c r="Y17" s="439">
        <v>63.48</v>
      </c>
      <c r="Z17" s="439">
        <v>63.849999999999994</v>
      </c>
      <c r="AA17" s="439">
        <v>64.42</v>
      </c>
      <c r="AB17" s="426"/>
      <c r="AI17" s="113">
        <v>12</v>
      </c>
      <c r="AJ17" s="439">
        <v>67.19</v>
      </c>
      <c r="AK17" s="439">
        <v>67.63</v>
      </c>
      <c r="AL17" s="439">
        <v>68.27</v>
      </c>
      <c r="AM17" s="426"/>
      <c r="AS17" s="113">
        <v>12</v>
      </c>
      <c r="AT17" s="439">
        <v>71.099999999999994</v>
      </c>
      <c r="AU17" s="439">
        <v>71.63</v>
      </c>
      <c r="AV17" s="439">
        <v>72.34</v>
      </c>
      <c r="AW17" s="426"/>
      <c r="BC17" s="113">
        <v>12</v>
      </c>
      <c r="BD17" s="439">
        <v>73.69</v>
      </c>
      <c r="BE17" s="439">
        <v>74.3</v>
      </c>
      <c r="BF17" s="439">
        <v>75.069999999999993</v>
      </c>
      <c r="BG17" s="426"/>
      <c r="BM17" s="113">
        <v>12</v>
      </c>
      <c r="BN17" s="439">
        <v>77.900000000000006</v>
      </c>
      <c r="BO17" s="439">
        <v>78.61</v>
      </c>
      <c r="BP17" s="439">
        <v>79.45</v>
      </c>
      <c r="BQ17" s="426"/>
      <c r="BW17" s="113">
        <v>12</v>
      </c>
      <c r="BX17" s="439">
        <v>82.33</v>
      </c>
      <c r="BY17" s="439">
        <v>83.15</v>
      </c>
      <c r="BZ17" s="439">
        <v>84.08</v>
      </c>
      <c r="CA17" s="426"/>
      <c r="CG17" s="113">
        <v>12</v>
      </c>
      <c r="CH17" s="439">
        <v>87.01</v>
      </c>
      <c r="CI17" s="439">
        <v>87.94</v>
      </c>
      <c r="CJ17" s="439">
        <v>88.96</v>
      </c>
      <c r="CK17" s="426"/>
      <c r="CQ17" s="113">
        <v>12</v>
      </c>
      <c r="CR17" s="439">
        <v>91.93</v>
      </c>
      <c r="CS17" s="439">
        <v>92.99</v>
      </c>
      <c r="CT17" s="439">
        <v>94.11</v>
      </c>
      <c r="CU17" s="426"/>
    </row>
    <row r="18" spans="2:99" x14ac:dyDescent="0.2">
      <c r="B18" s="113">
        <v>13</v>
      </c>
      <c r="C18" s="439">
        <v>56.74</v>
      </c>
      <c r="D18" s="439">
        <v>56.98</v>
      </c>
      <c r="E18" s="439">
        <v>57.44</v>
      </c>
      <c r="F18" s="426"/>
      <c r="M18" s="113">
        <v>13</v>
      </c>
      <c r="N18" s="439">
        <v>60.08</v>
      </c>
      <c r="O18" s="439">
        <v>60.38</v>
      </c>
      <c r="P18" s="439">
        <v>60.9</v>
      </c>
      <c r="Q18" s="426"/>
      <c r="X18" s="113">
        <v>13</v>
      </c>
      <c r="Y18" s="439">
        <v>63.61</v>
      </c>
      <c r="Z18" s="439">
        <v>63.980000000000004</v>
      </c>
      <c r="AA18" s="439">
        <v>64.56</v>
      </c>
      <c r="AB18" s="426"/>
      <c r="AI18" s="113">
        <v>13</v>
      </c>
      <c r="AJ18" s="439">
        <v>67.33</v>
      </c>
      <c r="AK18" s="439">
        <v>67.78</v>
      </c>
      <c r="AL18" s="439">
        <v>68.42</v>
      </c>
      <c r="AM18" s="426"/>
      <c r="AS18" s="113">
        <v>13</v>
      </c>
      <c r="AT18" s="439">
        <v>71.260000000000005</v>
      </c>
      <c r="AU18" s="439">
        <v>71.8</v>
      </c>
      <c r="AV18" s="439">
        <v>72.510000000000005</v>
      </c>
      <c r="AW18" s="426"/>
      <c r="BC18" s="113">
        <v>13</v>
      </c>
      <c r="BD18" s="439">
        <v>73.87</v>
      </c>
      <c r="BE18" s="439">
        <v>74.489999999999995</v>
      </c>
      <c r="BF18" s="439">
        <v>75.25</v>
      </c>
      <c r="BG18" s="426"/>
      <c r="BM18" s="113">
        <v>13</v>
      </c>
      <c r="BN18" s="439">
        <v>78.099999999999994</v>
      </c>
      <c r="BO18" s="439">
        <v>78.81</v>
      </c>
      <c r="BP18" s="439">
        <v>79.66</v>
      </c>
      <c r="BQ18" s="426"/>
      <c r="BW18" s="113">
        <v>13</v>
      </c>
      <c r="BX18" s="439">
        <v>82.56</v>
      </c>
      <c r="BY18" s="439">
        <v>83.38</v>
      </c>
      <c r="BZ18" s="439">
        <v>84.31</v>
      </c>
      <c r="CA18" s="426"/>
      <c r="CG18" s="113">
        <v>13</v>
      </c>
      <c r="CH18" s="439">
        <v>87.26</v>
      </c>
      <c r="CI18" s="439">
        <v>88.2</v>
      </c>
      <c r="CJ18" s="439">
        <v>89.22</v>
      </c>
      <c r="CK18" s="426"/>
      <c r="CQ18" s="113">
        <v>13</v>
      </c>
      <c r="CR18" s="439">
        <v>92.21</v>
      </c>
      <c r="CS18" s="439">
        <v>93.27</v>
      </c>
      <c r="CT18" s="439">
        <v>94.39</v>
      </c>
      <c r="CU18" s="426"/>
    </row>
    <row r="19" spans="2:99" x14ac:dyDescent="0.2">
      <c r="B19" s="113">
        <v>14</v>
      </c>
      <c r="C19" s="439">
        <v>56.85</v>
      </c>
      <c r="D19" s="439">
        <v>57.09</v>
      </c>
      <c r="E19" s="439">
        <v>57.55</v>
      </c>
      <c r="F19" s="426"/>
      <c r="M19" s="113">
        <v>14</v>
      </c>
      <c r="N19" s="439">
        <v>60.2</v>
      </c>
      <c r="O19" s="439">
        <v>60.5</v>
      </c>
      <c r="P19" s="439">
        <v>61.02</v>
      </c>
      <c r="Q19" s="426"/>
      <c r="X19" s="113">
        <v>14</v>
      </c>
      <c r="Y19" s="439">
        <v>63.739999999999995</v>
      </c>
      <c r="Z19" s="439">
        <v>64.12</v>
      </c>
      <c r="AA19" s="439">
        <v>64.7</v>
      </c>
      <c r="AB19" s="426"/>
      <c r="AI19" s="113">
        <v>14</v>
      </c>
      <c r="AJ19" s="439">
        <v>67.48</v>
      </c>
      <c r="AK19" s="439">
        <v>67.94</v>
      </c>
      <c r="AL19" s="439">
        <v>68.58</v>
      </c>
      <c r="AM19" s="426"/>
      <c r="AS19" s="113">
        <v>14</v>
      </c>
      <c r="AT19" s="439">
        <v>71.44</v>
      </c>
      <c r="AU19" s="439">
        <v>71.97</v>
      </c>
      <c r="AV19" s="439">
        <v>72.69</v>
      </c>
      <c r="AW19" s="426"/>
      <c r="BC19" s="113">
        <v>14</v>
      </c>
      <c r="BD19" s="439">
        <v>74.06</v>
      </c>
      <c r="BE19" s="439">
        <v>74.680000000000007</v>
      </c>
      <c r="BF19" s="439">
        <v>75.45</v>
      </c>
      <c r="BG19" s="426"/>
      <c r="BM19" s="113">
        <v>14</v>
      </c>
      <c r="BN19" s="439">
        <v>78.31</v>
      </c>
      <c r="BO19" s="439">
        <v>79.03</v>
      </c>
      <c r="BP19" s="439">
        <v>79.88</v>
      </c>
      <c r="BQ19" s="426"/>
      <c r="BW19" s="113">
        <v>14</v>
      </c>
      <c r="BX19" s="439">
        <v>82.8</v>
      </c>
      <c r="BY19" s="439">
        <v>83.62</v>
      </c>
      <c r="BZ19" s="439">
        <v>84.55</v>
      </c>
      <c r="CA19" s="426"/>
      <c r="CG19" s="113">
        <v>14</v>
      </c>
      <c r="CH19" s="439">
        <v>87.52</v>
      </c>
      <c r="CI19" s="439">
        <v>88.46</v>
      </c>
      <c r="CJ19" s="439">
        <v>89.49</v>
      </c>
      <c r="CK19" s="426"/>
      <c r="CQ19" s="113">
        <v>14</v>
      </c>
      <c r="CR19" s="439">
        <v>92.5</v>
      </c>
      <c r="CS19" s="439">
        <v>93.57</v>
      </c>
      <c r="CT19" s="439">
        <v>94.69</v>
      </c>
      <c r="CU19" s="426"/>
    </row>
    <row r="20" spans="2:99" x14ac:dyDescent="0.2">
      <c r="B20" s="113">
        <v>15</v>
      </c>
      <c r="C20" s="439">
        <v>56.96</v>
      </c>
      <c r="D20" s="439">
        <v>57.2</v>
      </c>
      <c r="E20" s="439">
        <v>57.67</v>
      </c>
      <c r="F20" s="426"/>
      <c r="M20" s="113">
        <v>15</v>
      </c>
      <c r="N20" s="439">
        <v>60.33</v>
      </c>
      <c r="O20" s="439">
        <v>60.63</v>
      </c>
      <c r="P20" s="439">
        <v>61.15</v>
      </c>
      <c r="Q20" s="426"/>
      <c r="X20" s="113">
        <v>15</v>
      </c>
      <c r="Y20" s="439">
        <v>63.89</v>
      </c>
      <c r="Z20" s="439">
        <v>64.260000000000005</v>
      </c>
      <c r="AA20" s="439">
        <v>64.84</v>
      </c>
      <c r="AB20" s="426"/>
      <c r="AI20" s="113">
        <v>15</v>
      </c>
      <c r="AJ20" s="439">
        <v>67.650000000000006</v>
      </c>
      <c r="AK20" s="439">
        <v>68.099999999999994</v>
      </c>
      <c r="AL20" s="439">
        <v>68.739999999999995</v>
      </c>
      <c r="AM20" s="426"/>
      <c r="AS20" s="113">
        <v>15</v>
      </c>
      <c r="AT20" s="439">
        <v>71.62</v>
      </c>
      <c r="AU20" s="439">
        <v>72.150000000000006</v>
      </c>
      <c r="AV20" s="439">
        <v>72.87</v>
      </c>
      <c r="AW20" s="426"/>
      <c r="BC20" s="113">
        <v>15</v>
      </c>
      <c r="BD20" s="439">
        <v>74.260000000000005</v>
      </c>
      <c r="BE20" s="439">
        <v>74.88</v>
      </c>
      <c r="BF20" s="439">
        <v>75.650000000000006</v>
      </c>
      <c r="BG20" s="426"/>
      <c r="BM20" s="113">
        <v>15</v>
      </c>
      <c r="BN20" s="439">
        <v>78.540000000000006</v>
      </c>
      <c r="BO20" s="439">
        <v>79.25</v>
      </c>
      <c r="BP20" s="439">
        <v>80.11</v>
      </c>
      <c r="BQ20" s="426"/>
      <c r="BW20" s="113">
        <v>15</v>
      </c>
      <c r="BX20" s="439">
        <v>83.04</v>
      </c>
      <c r="BY20" s="439">
        <v>83.87</v>
      </c>
      <c r="BZ20" s="439">
        <v>84.81</v>
      </c>
      <c r="CA20" s="426"/>
      <c r="CG20" s="113">
        <v>15</v>
      </c>
      <c r="CH20" s="439">
        <v>87.79</v>
      </c>
      <c r="CI20" s="439">
        <v>88.74</v>
      </c>
      <c r="CJ20" s="439">
        <v>89.77</v>
      </c>
      <c r="CK20" s="426"/>
      <c r="CQ20" s="113">
        <v>15</v>
      </c>
      <c r="CR20" s="439">
        <v>92.8</v>
      </c>
      <c r="CS20" s="439">
        <v>93.87</v>
      </c>
      <c r="CT20" s="439">
        <v>95.01</v>
      </c>
      <c r="CU20" s="426"/>
    </row>
    <row r="21" spans="2:99" x14ac:dyDescent="0.2">
      <c r="B21" s="113">
        <v>16</v>
      </c>
      <c r="C21" s="439">
        <v>57.08</v>
      </c>
      <c r="D21" s="439">
        <v>57.32</v>
      </c>
      <c r="E21" s="439">
        <v>57.79</v>
      </c>
      <c r="F21" s="426"/>
      <c r="M21" s="113">
        <v>16</v>
      </c>
      <c r="N21" s="439">
        <v>60.46</v>
      </c>
      <c r="O21" s="439">
        <v>60.77</v>
      </c>
      <c r="P21" s="439">
        <v>61.29</v>
      </c>
      <c r="Q21" s="426"/>
      <c r="X21" s="113">
        <v>16</v>
      </c>
      <c r="Y21" s="439">
        <v>64.040000000000006</v>
      </c>
      <c r="Z21" s="439">
        <v>64.41</v>
      </c>
      <c r="AA21" s="439">
        <v>65</v>
      </c>
      <c r="AB21" s="426"/>
      <c r="AI21" s="113">
        <v>16</v>
      </c>
      <c r="AJ21" s="439">
        <v>67.81</v>
      </c>
      <c r="AK21" s="439">
        <v>68.27</v>
      </c>
      <c r="AL21" s="439">
        <v>68.92</v>
      </c>
      <c r="AM21" s="426"/>
      <c r="AS21" s="113">
        <v>16</v>
      </c>
      <c r="AT21" s="439">
        <v>71.81</v>
      </c>
      <c r="AU21" s="439">
        <v>72.34</v>
      </c>
      <c r="AV21" s="439">
        <v>73.069999999999993</v>
      </c>
      <c r="AW21" s="426"/>
      <c r="BC21" s="113">
        <v>16</v>
      </c>
      <c r="BD21" s="439">
        <v>74.47</v>
      </c>
      <c r="BE21" s="439">
        <v>75.09</v>
      </c>
      <c r="BF21" s="439">
        <v>75.87</v>
      </c>
      <c r="BG21" s="426"/>
      <c r="BM21" s="113">
        <v>16</v>
      </c>
      <c r="BN21" s="439">
        <v>78.77</v>
      </c>
      <c r="BO21" s="439">
        <v>79.489999999999995</v>
      </c>
      <c r="BP21" s="439">
        <v>80.34</v>
      </c>
      <c r="BQ21" s="426"/>
      <c r="BW21" s="113">
        <v>16</v>
      </c>
      <c r="BX21" s="439">
        <v>83.3</v>
      </c>
      <c r="BY21" s="439">
        <v>84.13</v>
      </c>
      <c r="BZ21" s="439">
        <v>85.07</v>
      </c>
      <c r="CA21" s="426"/>
      <c r="CG21" s="113">
        <v>16</v>
      </c>
      <c r="CH21" s="439">
        <v>88.08</v>
      </c>
      <c r="CI21" s="439">
        <v>89.02</v>
      </c>
      <c r="CJ21" s="439">
        <v>90.06</v>
      </c>
      <c r="CK21" s="426"/>
      <c r="CQ21" s="113">
        <v>16</v>
      </c>
      <c r="CR21" s="439">
        <v>93.12</v>
      </c>
      <c r="CS21" s="439">
        <v>94.19</v>
      </c>
      <c r="CT21" s="439">
        <v>95.33</v>
      </c>
      <c r="CU21" s="426"/>
    </row>
    <row r="22" spans="2:99" x14ac:dyDescent="0.2">
      <c r="B22" s="113">
        <v>17</v>
      </c>
      <c r="C22" s="439">
        <v>57.21</v>
      </c>
      <c r="D22" s="439">
        <v>57.45</v>
      </c>
      <c r="E22" s="439">
        <v>57.92</v>
      </c>
      <c r="F22" s="426"/>
      <c r="M22" s="113">
        <v>17</v>
      </c>
      <c r="N22" s="439">
        <v>60.6</v>
      </c>
      <c r="O22" s="439">
        <v>60.91</v>
      </c>
      <c r="P22" s="439">
        <v>61.44</v>
      </c>
      <c r="Q22" s="426"/>
      <c r="X22" s="113">
        <v>17</v>
      </c>
      <c r="Y22" s="439">
        <v>64.2</v>
      </c>
      <c r="Z22" s="439">
        <v>64.569999999999993</v>
      </c>
      <c r="AA22" s="439">
        <v>65.16</v>
      </c>
      <c r="AB22" s="426"/>
      <c r="AI22" s="113">
        <v>17</v>
      </c>
      <c r="AJ22" s="439">
        <v>67.989999999999995</v>
      </c>
      <c r="AK22" s="439">
        <v>68.45</v>
      </c>
      <c r="AL22" s="439">
        <v>69.099999999999994</v>
      </c>
      <c r="AM22" s="426"/>
      <c r="AS22" s="113">
        <v>17</v>
      </c>
      <c r="AT22" s="439">
        <v>72</v>
      </c>
      <c r="AU22" s="439">
        <v>72.540000000000006</v>
      </c>
      <c r="AV22" s="439">
        <v>73.27</v>
      </c>
      <c r="AW22" s="426"/>
      <c r="BC22" s="113">
        <v>17</v>
      </c>
      <c r="BD22" s="439">
        <v>74.69</v>
      </c>
      <c r="BE22" s="439">
        <v>75.31</v>
      </c>
      <c r="BF22" s="439">
        <v>76.09</v>
      </c>
      <c r="BG22" s="426"/>
      <c r="BM22" s="113">
        <v>17</v>
      </c>
      <c r="BN22" s="439">
        <v>79.010000000000005</v>
      </c>
      <c r="BO22" s="439">
        <v>79.73</v>
      </c>
      <c r="BP22" s="439">
        <v>80.59</v>
      </c>
      <c r="BQ22" s="426"/>
      <c r="BW22" s="113">
        <v>17</v>
      </c>
      <c r="BX22" s="439">
        <v>83.57</v>
      </c>
      <c r="BY22" s="439">
        <v>84.4</v>
      </c>
      <c r="BZ22" s="439">
        <v>85.35</v>
      </c>
      <c r="CA22" s="426"/>
      <c r="CG22" s="113">
        <v>17</v>
      </c>
      <c r="CH22" s="439">
        <v>88.38</v>
      </c>
      <c r="CI22" s="439">
        <v>89.33</v>
      </c>
      <c r="CJ22" s="439">
        <v>90.37</v>
      </c>
      <c r="CK22" s="426"/>
      <c r="CQ22" s="113">
        <v>17</v>
      </c>
      <c r="CR22" s="439">
        <v>93.45</v>
      </c>
      <c r="CS22" s="439">
        <v>94.53</v>
      </c>
      <c r="CT22" s="439">
        <v>95.68</v>
      </c>
      <c r="CU22" s="426"/>
    </row>
    <row r="23" spans="2:99" x14ac:dyDescent="0.2">
      <c r="B23" s="113">
        <v>18</v>
      </c>
      <c r="C23" s="439">
        <v>57.34</v>
      </c>
      <c r="D23" s="439">
        <v>57.58</v>
      </c>
      <c r="E23" s="439">
        <v>58.05</v>
      </c>
      <c r="F23" s="426"/>
      <c r="M23" s="113">
        <v>18</v>
      </c>
      <c r="N23" s="439">
        <v>60.75</v>
      </c>
      <c r="O23" s="439">
        <v>61.06</v>
      </c>
      <c r="P23" s="439">
        <v>61.59</v>
      </c>
      <c r="Q23" s="426"/>
      <c r="X23" s="113">
        <v>18</v>
      </c>
      <c r="Y23" s="439">
        <v>64.36</v>
      </c>
      <c r="Z23" s="439">
        <v>64.739999999999995</v>
      </c>
      <c r="AA23" s="439">
        <v>65.33</v>
      </c>
      <c r="AB23" s="426"/>
      <c r="AI23" s="113">
        <v>18</v>
      </c>
      <c r="AJ23" s="439">
        <v>68.180000000000007</v>
      </c>
      <c r="AK23" s="439">
        <v>68.63</v>
      </c>
      <c r="AL23" s="439">
        <v>69.290000000000006</v>
      </c>
      <c r="AM23" s="426"/>
      <c r="AS23" s="113">
        <v>18</v>
      </c>
      <c r="AT23" s="439">
        <v>72.209999999999994</v>
      </c>
      <c r="AU23" s="439">
        <v>72.75</v>
      </c>
      <c r="AV23" s="439">
        <v>73.48</v>
      </c>
      <c r="AW23" s="426"/>
      <c r="BC23" s="113">
        <v>18</v>
      </c>
      <c r="BD23" s="439">
        <v>74.92</v>
      </c>
      <c r="BE23" s="439">
        <v>75.540000000000006</v>
      </c>
      <c r="BF23" s="439">
        <v>76.33</v>
      </c>
      <c r="BG23" s="426"/>
      <c r="BM23" s="113">
        <v>18</v>
      </c>
      <c r="BN23" s="439">
        <v>79.260000000000005</v>
      </c>
      <c r="BO23" s="439">
        <v>79.989999999999995</v>
      </c>
      <c r="BP23" s="439">
        <v>80.849999999999994</v>
      </c>
      <c r="BQ23" s="426"/>
      <c r="BW23" s="113">
        <v>18</v>
      </c>
      <c r="BX23" s="439">
        <v>83.85</v>
      </c>
      <c r="BY23" s="439">
        <v>84.68</v>
      </c>
      <c r="BZ23" s="439">
        <v>85.64</v>
      </c>
      <c r="CA23" s="426"/>
      <c r="CG23" s="113">
        <v>18</v>
      </c>
      <c r="CH23" s="439">
        <v>88.69</v>
      </c>
      <c r="CI23" s="439">
        <v>89.65</v>
      </c>
      <c r="CJ23" s="439">
        <v>90.7</v>
      </c>
      <c r="CK23" s="426"/>
      <c r="CQ23" s="113">
        <v>18</v>
      </c>
      <c r="CR23" s="439">
        <v>93.8</v>
      </c>
      <c r="CS23" s="439">
        <v>94.89</v>
      </c>
      <c r="CT23" s="439">
        <v>96.04</v>
      </c>
      <c r="CU23" s="426"/>
    </row>
    <row r="24" spans="2:99" x14ac:dyDescent="0.2">
      <c r="B24" s="113">
        <v>19</v>
      </c>
      <c r="C24" s="439">
        <v>57.48</v>
      </c>
      <c r="D24" s="439">
        <v>57.72</v>
      </c>
      <c r="E24" s="439">
        <v>58.2</v>
      </c>
      <c r="F24" s="426"/>
      <c r="M24" s="113">
        <v>19</v>
      </c>
      <c r="N24" s="439">
        <v>60.91</v>
      </c>
      <c r="O24" s="439">
        <v>61.22</v>
      </c>
      <c r="P24" s="439">
        <v>61.75</v>
      </c>
      <c r="Q24" s="426"/>
      <c r="X24" s="113">
        <v>19</v>
      </c>
      <c r="Y24" s="439">
        <v>64.540000000000006</v>
      </c>
      <c r="Z24" s="439">
        <v>64.92</v>
      </c>
      <c r="AA24" s="439">
        <v>65.510000000000005</v>
      </c>
      <c r="AB24" s="426"/>
      <c r="AI24" s="113">
        <v>19</v>
      </c>
      <c r="AJ24" s="439">
        <v>68.37</v>
      </c>
      <c r="AK24" s="439">
        <v>68.83</v>
      </c>
      <c r="AL24" s="439">
        <v>69.489999999999995</v>
      </c>
      <c r="AM24" s="426"/>
      <c r="AS24" s="113">
        <v>19</v>
      </c>
      <c r="AT24" s="439">
        <v>72.42</v>
      </c>
      <c r="AU24" s="439">
        <v>72.97</v>
      </c>
      <c r="AV24" s="439">
        <v>73.7</v>
      </c>
      <c r="AW24" s="426"/>
      <c r="BC24" s="113">
        <v>19</v>
      </c>
      <c r="BD24" s="439">
        <v>75.16</v>
      </c>
      <c r="BE24" s="439">
        <v>75.78</v>
      </c>
      <c r="BF24" s="439">
        <v>76.569999999999993</v>
      </c>
      <c r="BG24" s="426"/>
      <c r="BM24" s="113">
        <v>19</v>
      </c>
      <c r="BN24" s="439">
        <v>79.53</v>
      </c>
      <c r="BO24" s="439">
        <v>80.260000000000005</v>
      </c>
      <c r="BP24" s="439">
        <v>81.13</v>
      </c>
      <c r="BQ24" s="426"/>
      <c r="BW24" s="113">
        <v>19</v>
      </c>
      <c r="BX24" s="439">
        <v>84.15</v>
      </c>
      <c r="BY24" s="439">
        <v>84.98</v>
      </c>
      <c r="BZ24" s="439">
        <v>85.95</v>
      </c>
      <c r="CA24" s="426"/>
      <c r="CG24" s="113">
        <v>19</v>
      </c>
      <c r="CH24" s="439">
        <v>89.02</v>
      </c>
      <c r="CI24" s="439">
        <v>89.98</v>
      </c>
      <c r="CJ24" s="439">
        <v>91.04</v>
      </c>
      <c r="CK24" s="426"/>
      <c r="CQ24" s="113">
        <v>19</v>
      </c>
      <c r="CR24" s="439">
        <v>94.17</v>
      </c>
      <c r="CS24" s="439">
        <v>95.26</v>
      </c>
      <c r="CT24" s="439">
        <v>96.42</v>
      </c>
      <c r="CU24" s="426"/>
    </row>
    <row r="25" spans="2:99" x14ac:dyDescent="0.2">
      <c r="B25" s="113">
        <v>20</v>
      </c>
      <c r="C25" s="439">
        <v>57.63</v>
      </c>
      <c r="D25" s="439">
        <v>57.87</v>
      </c>
      <c r="E25" s="439">
        <v>58.35</v>
      </c>
      <c r="F25" s="426"/>
      <c r="M25" s="113">
        <v>20</v>
      </c>
      <c r="N25" s="439">
        <v>61.07</v>
      </c>
      <c r="O25" s="439">
        <v>61.38</v>
      </c>
      <c r="P25" s="439">
        <v>61.91</v>
      </c>
      <c r="Q25" s="426"/>
      <c r="X25" s="113">
        <v>20</v>
      </c>
      <c r="Y25" s="439">
        <v>64.72</v>
      </c>
      <c r="Z25" s="439">
        <v>65.099999999999994</v>
      </c>
      <c r="AA25" s="439">
        <v>65.69</v>
      </c>
      <c r="AB25" s="426"/>
      <c r="AI25" s="113">
        <v>20</v>
      </c>
      <c r="AJ25" s="439">
        <v>68.569999999999993</v>
      </c>
      <c r="AK25" s="439">
        <v>69.03</v>
      </c>
      <c r="AL25" s="439">
        <v>69.69</v>
      </c>
      <c r="AM25" s="426"/>
      <c r="AS25" s="113">
        <v>20</v>
      </c>
      <c r="AT25" s="439">
        <v>72.650000000000006</v>
      </c>
      <c r="AU25" s="439">
        <v>73.19</v>
      </c>
      <c r="AV25" s="439">
        <v>73.930000000000007</v>
      </c>
      <c r="AW25" s="426"/>
      <c r="BC25" s="113">
        <v>20</v>
      </c>
      <c r="BD25" s="439">
        <v>75.41</v>
      </c>
      <c r="BE25" s="439">
        <v>76.040000000000006</v>
      </c>
      <c r="BF25" s="439">
        <v>76.83</v>
      </c>
      <c r="BG25" s="426"/>
      <c r="BM25" s="113">
        <v>20</v>
      </c>
      <c r="BN25" s="439">
        <v>79.81</v>
      </c>
      <c r="BO25" s="439">
        <v>80.540000000000006</v>
      </c>
      <c r="BP25" s="439">
        <v>81.42</v>
      </c>
      <c r="BQ25" s="426"/>
      <c r="BW25" s="113">
        <v>20</v>
      </c>
      <c r="BX25" s="439">
        <v>84.46</v>
      </c>
      <c r="BY25" s="439">
        <v>85.3</v>
      </c>
      <c r="BZ25" s="439">
        <v>86.27</v>
      </c>
      <c r="CA25" s="426"/>
      <c r="CG25" s="113">
        <v>20</v>
      </c>
      <c r="CH25" s="439">
        <v>89.37</v>
      </c>
      <c r="CI25" s="439">
        <v>90.34</v>
      </c>
      <c r="CJ25" s="439">
        <v>91.4</v>
      </c>
      <c r="CK25" s="426"/>
      <c r="CQ25" s="113">
        <v>20</v>
      </c>
      <c r="CR25" s="439">
        <v>94.56</v>
      </c>
      <c r="CS25" s="439">
        <v>95.66</v>
      </c>
      <c r="CT25" s="439">
        <v>96.83</v>
      </c>
      <c r="CU25" s="426"/>
    </row>
    <row r="26" spans="2:99" x14ac:dyDescent="0.2">
      <c r="B26" s="113">
        <v>21</v>
      </c>
      <c r="C26" s="439">
        <v>57.78</v>
      </c>
      <c r="D26" s="439">
        <v>58.02</v>
      </c>
      <c r="E26" s="439">
        <v>58.5</v>
      </c>
      <c r="F26" s="426"/>
      <c r="M26" s="113">
        <v>21</v>
      </c>
      <c r="N26" s="439">
        <v>61.24</v>
      </c>
      <c r="O26" s="439">
        <v>61.55</v>
      </c>
      <c r="P26" s="439">
        <v>62.09</v>
      </c>
      <c r="Q26" s="426"/>
      <c r="X26" s="113">
        <v>21</v>
      </c>
      <c r="Y26" s="439">
        <v>64.91</v>
      </c>
      <c r="Z26" s="439">
        <v>65.290000000000006</v>
      </c>
      <c r="AA26" s="439">
        <v>65.89</v>
      </c>
      <c r="AB26" s="426"/>
      <c r="AI26" s="113">
        <v>21</v>
      </c>
      <c r="AJ26" s="439">
        <v>68.78</v>
      </c>
      <c r="AK26" s="439">
        <v>69.239999999999995</v>
      </c>
      <c r="AL26" s="439">
        <v>69.91</v>
      </c>
      <c r="AM26" s="426"/>
      <c r="AS26" s="113">
        <v>21</v>
      </c>
      <c r="AT26" s="439">
        <v>72.88</v>
      </c>
      <c r="AU26" s="439">
        <v>73.430000000000007</v>
      </c>
      <c r="AV26" s="439">
        <v>74.17</v>
      </c>
      <c r="AW26" s="426"/>
      <c r="BC26" s="113">
        <v>21</v>
      </c>
      <c r="BD26" s="439">
        <v>75.67</v>
      </c>
      <c r="BE26" s="439">
        <v>76.3</v>
      </c>
      <c r="BF26" s="439">
        <v>77.099999999999994</v>
      </c>
      <c r="BG26" s="426"/>
      <c r="BM26" s="113">
        <v>21</v>
      </c>
      <c r="BN26" s="439">
        <v>80.099999999999994</v>
      </c>
      <c r="BO26" s="439">
        <v>80.84</v>
      </c>
      <c r="BP26" s="439">
        <v>81.72</v>
      </c>
      <c r="BQ26" s="426"/>
      <c r="BW26" s="113">
        <v>21</v>
      </c>
      <c r="BX26" s="439">
        <v>84.79</v>
      </c>
      <c r="BY26" s="439">
        <v>85.63</v>
      </c>
      <c r="BZ26" s="439">
        <v>86.61</v>
      </c>
      <c r="CA26" s="426"/>
      <c r="CG26" s="113">
        <v>21</v>
      </c>
      <c r="CH26" s="439">
        <v>89.74</v>
      </c>
      <c r="CI26" s="439">
        <v>90.71</v>
      </c>
      <c r="CJ26" s="439">
        <v>91.78</v>
      </c>
      <c r="CK26" s="426"/>
      <c r="CQ26" s="113">
        <v>21</v>
      </c>
      <c r="CR26" s="439">
        <v>94.97</v>
      </c>
      <c r="CS26" s="439">
        <v>96.08</v>
      </c>
      <c r="CT26" s="439">
        <v>97.25</v>
      </c>
      <c r="CU26" s="426"/>
    </row>
    <row r="27" spans="2:99" x14ac:dyDescent="0.2">
      <c r="B27" s="113">
        <v>22</v>
      </c>
      <c r="C27" s="439">
        <v>57.94</v>
      </c>
      <c r="D27" s="439">
        <v>58.19</v>
      </c>
      <c r="E27" s="439">
        <v>58.67</v>
      </c>
      <c r="F27" s="426"/>
      <c r="M27" s="113">
        <v>22</v>
      </c>
      <c r="N27" s="439">
        <v>61.42</v>
      </c>
      <c r="O27" s="439">
        <v>61.73</v>
      </c>
      <c r="P27" s="439">
        <v>62.27</v>
      </c>
      <c r="Q27" s="426"/>
      <c r="X27" s="113">
        <v>22</v>
      </c>
      <c r="Y27" s="439">
        <v>65.11</v>
      </c>
      <c r="Z27" s="439">
        <v>65.489999999999995</v>
      </c>
      <c r="AA27" s="439">
        <v>66.09</v>
      </c>
      <c r="AB27" s="426"/>
      <c r="AI27" s="113">
        <v>22</v>
      </c>
      <c r="AJ27" s="439">
        <v>69.010000000000005</v>
      </c>
      <c r="AK27" s="439">
        <v>69.47</v>
      </c>
      <c r="AL27" s="439">
        <v>70.14</v>
      </c>
      <c r="AM27" s="426"/>
      <c r="AS27" s="113">
        <v>22</v>
      </c>
      <c r="AT27" s="439">
        <v>73.13</v>
      </c>
      <c r="AU27" s="439">
        <v>73.680000000000007</v>
      </c>
      <c r="AV27" s="439">
        <v>74.430000000000007</v>
      </c>
      <c r="AW27" s="426"/>
      <c r="BC27" s="113">
        <v>22</v>
      </c>
      <c r="BD27" s="439">
        <v>75.95</v>
      </c>
      <c r="BE27" s="439">
        <v>76.58</v>
      </c>
      <c r="BF27" s="439">
        <v>77.39</v>
      </c>
      <c r="BG27" s="426"/>
      <c r="BM27" s="113">
        <v>22</v>
      </c>
      <c r="BN27" s="439">
        <v>80.41</v>
      </c>
      <c r="BO27" s="439">
        <v>81.150000000000006</v>
      </c>
      <c r="BP27" s="439">
        <v>82.04</v>
      </c>
      <c r="BQ27" s="426"/>
      <c r="BW27" s="113">
        <v>22</v>
      </c>
      <c r="BX27" s="439">
        <v>85.14</v>
      </c>
      <c r="BY27" s="439">
        <v>85.99</v>
      </c>
      <c r="BZ27" s="439">
        <v>86.96</v>
      </c>
      <c r="CA27" s="426"/>
      <c r="CG27" s="113">
        <v>22</v>
      </c>
      <c r="CH27" s="439">
        <v>90.13</v>
      </c>
      <c r="CI27" s="439">
        <v>91.1</v>
      </c>
      <c r="CJ27" s="439">
        <v>92.18</v>
      </c>
      <c r="CK27" s="426"/>
      <c r="CQ27" s="113">
        <v>22</v>
      </c>
      <c r="CR27" s="439">
        <v>95.41</v>
      </c>
      <c r="CS27" s="439">
        <v>96.52</v>
      </c>
      <c r="CT27" s="439">
        <v>97.7</v>
      </c>
      <c r="CU27" s="426"/>
    </row>
    <row r="28" spans="2:99" x14ac:dyDescent="0.2">
      <c r="B28" s="113">
        <v>23</v>
      </c>
      <c r="C28" s="439">
        <v>58.11</v>
      </c>
      <c r="D28" s="439">
        <v>58.35</v>
      </c>
      <c r="E28" s="439">
        <v>58.84</v>
      </c>
      <c r="F28" s="426"/>
      <c r="M28" s="113">
        <v>23</v>
      </c>
      <c r="N28" s="439">
        <v>61.61</v>
      </c>
      <c r="O28" s="439">
        <v>61.92</v>
      </c>
      <c r="P28" s="439">
        <v>62.46</v>
      </c>
      <c r="Q28" s="426"/>
      <c r="X28" s="113">
        <v>23</v>
      </c>
      <c r="Y28" s="439">
        <v>65.31</v>
      </c>
      <c r="Z28" s="439">
        <v>65.7</v>
      </c>
      <c r="AA28" s="439">
        <v>66.3</v>
      </c>
      <c r="AB28" s="426"/>
      <c r="AI28" s="113">
        <v>23</v>
      </c>
      <c r="AJ28" s="439">
        <v>69.239999999999995</v>
      </c>
      <c r="AK28" s="439">
        <v>69.709999999999994</v>
      </c>
      <c r="AL28" s="439">
        <v>70.38</v>
      </c>
      <c r="AM28" s="426"/>
      <c r="AS28" s="113">
        <v>23</v>
      </c>
      <c r="AT28" s="439">
        <v>73.39</v>
      </c>
      <c r="AU28" s="439">
        <v>73.95</v>
      </c>
      <c r="AV28" s="439">
        <v>74.7</v>
      </c>
      <c r="AW28" s="426"/>
      <c r="BC28" s="113">
        <v>23</v>
      </c>
      <c r="BD28" s="439">
        <v>76.239999999999995</v>
      </c>
      <c r="BE28" s="439">
        <v>76.88</v>
      </c>
      <c r="BF28" s="439">
        <v>77.69</v>
      </c>
      <c r="BG28" s="426"/>
      <c r="BM28" s="113">
        <v>23</v>
      </c>
      <c r="BN28" s="439">
        <v>80.739999999999995</v>
      </c>
      <c r="BO28" s="439">
        <v>81.48</v>
      </c>
      <c r="BP28" s="439">
        <v>82.38</v>
      </c>
      <c r="BQ28" s="426"/>
      <c r="BW28" s="113">
        <v>23</v>
      </c>
      <c r="BX28" s="439">
        <v>85.47</v>
      </c>
      <c r="BY28" s="439">
        <v>86.35</v>
      </c>
      <c r="BZ28" s="439">
        <v>87.34</v>
      </c>
      <c r="CA28" s="426"/>
      <c r="CG28" s="113">
        <v>23</v>
      </c>
      <c r="CH28" s="439">
        <v>90.54</v>
      </c>
      <c r="CI28" s="439">
        <v>91.52</v>
      </c>
      <c r="CJ28" s="439">
        <v>92.61</v>
      </c>
      <c r="CK28" s="426"/>
      <c r="CQ28" s="113">
        <v>23</v>
      </c>
      <c r="CR28" s="439">
        <v>95.87</v>
      </c>
      <c r="CS28" s="439">
        <v>96.99</v>
      </c>
      <c r="CT28" s="439">
        <v>98.18</v>
      </c>
      <c r="CU28" s="426"/>
    </row>
    <row r="29" spans="2:99" x14ac:dyDescent="0.2">
      <c r="B29" s="113">
        <v>24</v>
      </c>
      <c r="C29" s="439">
        <v>58.28</v>
      </c>
      <c r="D29" s="439">
        <v>58.53</v>
      </c>
      <c r="E29" s="439">
        <v>59.02</v>
      </c>
      <c r="F29" s="426"/>
      <c r="M29" s="113">
        <v>24</v>
      </c>
      <c r="N29" s="439">
        <v>61.8</v>
      </c>
      <c r="O29" s="439">
        <v>62.12</v>
      </c>
      <c r="P29" s="439">
        <v>62.66</v>
      </c>
      <c r="Q29" s="426"/>
      <c r="X29" s="113">
        <v>24</v>
      </c>
      <c r="Y29" s="439">
        <v>65.53</v>
      </c>
      <c r="Z29" s="439">
        <v>65.92</v>
      </c>
      <c r="AA29" s="439">
        <v>66.53</v>
      </c>
      <c r="AB29" s="426"/>
      <c r="AI29" s="113">
        <v>24</v>
      </c>
      <c r="AJ29" s="439">
        <v>69.489999999999995</v>
      </c>
      <c r="AK29" s="439">
        <v>69.95</v>
      </c>
      <c r="AL29" s="439">
        <v>70.63</v>
      </c>
      <c r="AM29" s="426"/>
      <c r="AS29" s="113">
        <v>24</v>
      </c>
      <c r="AT29" s="439">
        <v>73.67</v>
      </c>
      <c r="AU29" s="439">
        <v>74.23</v>
      </c>
      <c r="AV29" s="439">
        <v>74.98</v>
      </c>
      <c r="AW29" s="426"/>
      <c r="BC29" s="113">
        <v>24</v>
      </c>
      <c r="BD29" s="439">
        <v>76.55</v>
      </c>
      <c r="BE29" s="439">
        <v>77.19</v>
      </c>
      <c r="BF29" s="439">
        <v>78.010000000000005</v>
      </c>
      <c r="BG29" s="426"/>
      <c r="BM29" s="113">
        <v>24</v>
      </c>
      <c r="BN29" s="439">
        <v>81.09</v>
      </c>
      <c r="BO29" s="439">
        <v>81.83</v>
      </c>
      <c r="BP29" s="439">
        <v>82.73</v>
      </c>
      <c r="BQ29" s="426"/>
      <c r="BW29" s="113">
        <v>24</v>
      </c>
      <c r="BX29" s="439">
        <v>85.66</v>
      </c>
      <c r="BY29" s="439">
        <v>86.55</v>
      </c>
      <c r="BZ29" s="439">
        <v>87.55</v>
      </c>
      <c r="CA29" s="426"/>
      <c r="CG29" s="113">
        <v>24</v>
      </c>
      <c r="CH29" s="439">
        <v>90.85</v>
      </c>
      <c r="CI29" s="439">
        <v>91.87</v>
      </c>
      <c r="CJ29" s="439">
        <v>92.98</v>
      </c>
      <c r="CK29" s="426"/>
      <c r="CQ29" s="113">
        <v>24</v>
      </c>
      <c r="CR29" s="439">
        <v>96.35</v>
      </c>
      <c r="CS29" s="439">
        <v>97.49</v>
      </c>
      <c r="CT29" s="439">
        <v>98.69</v>
      </c>
      <c r="CU29" s="426"/>
    </row>
    <row r="30" spans="2:99" x14ac:dyDescent="0.2">
      <c r="B30" s="113">
        <v>25</v>
      </c>
      <c r="C30" s="439">
        <v>58.47</v>
      </c>
      <c r="D30" s="439">
        <v>58.72</v>
      </c>
      <c r="E30" s="439">
        <v>59.2</v>
      </c>
      <c r="F30" s="426"/>
      <c r="M30" s="113">
        <v>25</v>
      </c>
      <c r="N30" s="439">
        <v>62.01</v>
      </c>
      <c r="O30" s="439">
        <v>62.33</v>
      </c>
      <c r="P30" s="439">
        <v>62.87</v>
      </c>
      <c r="Q30" s="426"/>
      <c r="X30" s="113">
        <v>25</v>
      </c>
      <c r="Y30" s="439">
        <v>65.77</v>
      </c>
      <c r="Z30" s="439">
        <v>66.16</v>
      </c>
      <c r="AA30" s="439">
        <v>66.77</v>
      </c>
      <c r="AB30" s="426"/>
      <c r="AI30" s="113">
        <v>25</v>
      </c>
      <c r="AJ30" s="439">
        <v>69.75</v>
      </c>
      <c r="AK30" s="439">
        <v>70.22</v>
      </c>
      <c r="AL30" s="439">
        <v>70.900000000000006</v>
      </c>
      <c r="AM30" s="426"/>
      <c r="AS30" s="113">
        <v>25</v>
      </c>
      <c r="AT30" s="439">
        <v>73.959999999999994</v>
      </c>
      <c r="AU30" s="439">
        <v>74.52</v>
      </c>
      <c r="AV30" s="439">
        <v>75.28</v>
      </c>
      <c r="AW30" s="426"/>
      <c r="BC30" s="113">
        <v>25</v>
      </c>
      <c r="BD30" s="439">
        <v>76.88</v>
      </c>
      <c r="BE30" s="439">
        <v>77.52</v>
      </c>
      <c r="BF30" s="439">
        <v>78.34</v>
      </c>
      <c r="BG30" s="426"/>
      <c r="BM30" s="113">
        <v>25</v>
      </c>
      <c r="BN30" s="439">
        <v>81.459999999999994</v>
      </c>
      <c r="BO30" s="439">
        <v>82.21</v>
      </c>
      <c r="BP30" s="439">
        <v>83.11</v>
      </c>
      <c r="BQ30" s="426"/>
      <c r="BW30" s="113">
        <v>25</v>
      </c>
      <c r="BX30" s="439">
        <v>85.86</v>
      </c>
      <c r="BY30" s="439">
        <v>86.75</v>
      </c>
      <c r="BZ30" s="439">
        <v>87.77</v>
      </c>
      <c r="CA30" s="426"/>
      <c r="CG30" s="113">
        <v>25</v>
      </c>
      <c r="CH30" s="439">
        <v>91.09</v>
      </c>
      <c r="CI30" s="439">
        <v>92.11</v>
      </c>
      <c r="CJ30" s="439">
        <v>93.23</v>
      </c>
      <c r="CK30" s="426"/>
      <c r="CQ30" s="113">
        <v>25</v>
      </c>
      <c r="CR30" s="439">
        <v>96.62</v>
      </c>
      <c r="CS30" s="439">
        <v>97.78</v>
      </c>
      <c r="CT30" s="439">
        <v>99.02</v>
      </c>
      <c r="CU30" s="426"/>
    </row>
    <row r="31" spans="2:99" x14ac:dyDescent="0.2">
      <c r="B31" s="113">
        <v>26</v>
      </c>
      <c r="C31" s="439">
        <v>58.66</v>
      </c>
      <c r="D31" s="439">
        <v>58.91</v>
      </c>
      <c r="E31" s="439">
        <v>59.4</v>
      </c>
      <c r="F31" s="426"/>
      <c r="M31" s="113">
        <v>26</v>
      </c>
      <c r="N31" s="439">
        <v>62.23</v>
      </c>
      <c r="O31" s="439">
        <v>62.55</v>
      </c>
      <c r="P31" s="439">
        <v>63.1</v>
      </c>
      <c r="Q31" s="426"/>
      <c r="X31" s="113">
        <v>26</v>
      </c>
      <c r="Y31" s="439">
        <v>66.010000000000005</v>
      </c>
      <c r="Z31" s="439">
        <v>66.400000000000006</v>
      </c>
      <c r="AA31" s="439">
        <v>67.02</v>
      </c>
      <c r="AB31" s="426"/>
      <c r="AI31" s="113">
        <v>26</v>
      </c>
      <c r="AJ31" s="439">
        <v>70.02</v>
      </c>
      <c r="AK31" s="439">
        <v>70.489999999999995</v>
      </c>
      <c r="AL31" s="439">
        <v>71.180000000000007</v>
      </c>
      <c r="AM31" s="426"/>
      <c r="AS31" s="113">
        <v>26</v>
      </c>
      <c r="AT31" s="439">
        <v>74.27</v>
      </c>
      <c r="AU31" s="439">
        <v>74.84</v>
      </c>
      <c r="AV31" s="439">
        <v>75.599999999999994</v>
      </c>
      <c r="AW31" s="426"/>
      <c r="BC31" s="113">
        <v>26</v>
      </c>
      <c r="BD31" s="439">
        <v>77.23</v>
      </c>
      <c r="BE31" s="439">
        <v>77.87</v>
      </c>
      <c r="BF31" s="439">
        <v>78.7</v>
      </c>
      <c r="BG31" s="426"/>
      <c r="BM31" s="113">
        <v>26</v>
      </c>
      <c r="BN31" s="439">
        <v>81.849999999999994</v>
      </c>
      <c r="BO31" s="439">
        <v>82.6</v>
      </c>
      <c r="BP31" s="439">
        <v>83.51</v>
      </c>
      <c r="BQ31" s="426"/>
      <c r="BW31" s="113">
        <v>26</v>
      </c>
      <c r="BX31" s="439">
        <v>86.07</v>
      </c>
      <c r="BY31" s="439">
        <v>86.97</v>
      </c>
      <c r="BZ31" s="439">
        <v>87.98</v>
      </c>
      <c r="CA31" s="426"/>
      <c r="CG31" s="113">
        <v>26</v>
      </c>
      <c r="CH31" s="439">
        <v>91.33</v>
      </c>
      <c r="CI31" s="439">
        <v>92.36</v>
      </c>
      <c r="CJ31" s="439">
        <v>93.49</v>
      </c>
      <c r="CK31" s="426"/>
      <c r="CQ31" s="113">
        <v>26</v>
      </c>
      <c r="CR31" s="439">
        <v>96.9</v>
      </c>
      <c r="CS31" s="439">
        <v>98.07</v>
      </c>
      <c r="CT31" s="439">
        <v>99.31</v>
      </c>
      <c r="CU31" s="426"/>
    </row>
    <row r="32" spans="2:99" x14ac:dyDescent="0.2">
      <c r="B32" s="113">
        <v>27</v>
      </c>
      <c r="C32" s="439">
        <v>58.87</v>
      </c>
      <c r="D32" s="439">
        <v>59.12</v>
      </c>
      <c r="E32" s="439">
        <v>59.61</v>
      </c>
      <c r="F32" s="426"/>
      <c r="M32" s="113">
        <v>27</v>
      </c>
      <c r="N32" s="439">
        <v>62.46</v>
      </c>
      <c r="O32" s="439">
        <v>62.78</v>
      </c>
      <c r="P32" s="439">
        <v>63.33</v>
      </c>
      <c r="Q32" s="426"/>
      <c r="X32" s="113">
        <v>27</v>
      </c>
      <c r="Y32" s="439">
        <v>66.27</v>
      </c>
      <c r="Z32" s="439">
        <v>66.66</v>
      </c>
      <c r="AA32" s="439">
        <v>67.28</v>
      </c>
      <c r="AB32" s="426"/>
      <c r="AI32" s="113">
        <v>27</v>
      </c>
      <c r="AJ32" s="439">
        <v>70.31</v>
      </c>
      <c r="AK32" s="439">
        <v>70.790000000000006</v>
      </c>
      <c r="AL32" s="439">
        <v>71.48</v>
      </c>
      <c r="AM32" s="426"/>
      <c r="AS32" s="113">
        <v>27</v>
      </c>
      <c r="AT32" s="439">
        <v>74.599999999999994</v>
      </c>
      <c r="AU32" s="439">
        <v>75.17</v>
      </c>
      <c r="AV32" s="439">
        <v>75.94</v>
      </c>
      <c r="AW32" s="426"/>
      <c r="BC32" s="113">
        <v>27</v>
      </c>
      <c r="BD32" s="439">
        <v>77.59</v>
      </c>
      <c r="BE32" s="439">
        <v>78.25</v>
      </c>
      <c r="BF32" s="439">
        <v>79.08</v>
      </c>
      <c r="BG32" s="426"/>
      <c r="BM32" s="113">
        <v>27</v>
      </c>
      <c r="BN32" s="439">
        <v>82.26</v>
      </c>
      <c r="BO32" s="439">
        <v>83.02</v>
      </c>
      <c r="BP32" s="439">
        <v>83.94</v>
      </c>
      <c r="BQ32" s="426"/>
      <c r="BW32" s="113">
        <v>27</v>
      </c>
      <c r="BX32" s="439">
        <v>86.28</v>
      </c>
      <c r="BY32" s="439">
        <v>87.19</v>
      </c>
      <c r="BZ32" s="439">
        <v>88.21</v>
      </c>
      <c r="CA32" s="426"/>
      <c r="CG32" s="113">
        <v>27</v>
      </c>
      <c r="CH32" s="439">
        <v>91.58</v>
      </c>
      <c r="CI32" s="439">
        <v>92.62</v>
      </c>
      <c r="CJ32" s="439">
        <v>93.75</v>
      </c>
      <c r="CK32" s="426"/>
      <c r="CQ32" s="113">
        <v>27</v>
      </c>
      <c r="CR32" s="439">
        <v>97.19</v>
      </c>
      <c r="CS32" s="439">
        <v>98.37</v>
      </c>
      <c r="CT32" s="439">
        <v>99.62</v>
      </c>
      <c r="CU32" s="426"/>
    </row>
    <row r="33" spans="2:99" x14ac:dyDescent="0.2">
      <c r="B33" s="113">
        <v>28</v>
      </c>
      <c r="C33" s="439">
        <v>59.08</v>
      </c>
      <c r="D33" s="439">
        <v>59.34</v>
      </c>
      <c r="E33" s="439">
        <v>59.83</v>
      </c>
      <c r="F33" s="426"/>
      <c r="M33" s="113">
        <v>28</v>
      </c>
      <c r="N33" s="439">
        <v>62.7</v>
      </c>
      <c r="O33" s="439">
        <v>63.02</v>
      </c>
      <c r="P33" s="439">
        <v>63.58</v>
      </c>
      <c r="Q33" s="426"/>
      <c r="X33" s="113">
        <v>28</v>
      </c>
      <c r="Y33" s="439">
        <v>66.55</v>
      </c>
      <c r="Z33" s="439">
        <v>66.94</v>
      </c>
      <c r="AA33" s="439">
        <v>67.56</v>
      </c>
      <c r="AB33" s="426"/>
      <c r="AI33" s="113">
        <v>28</v>
      </c>
      <c r="AJ33" s="439">
        <v>70.62</v>
      </c>
      <c r="AK33" s="439">
        <v>71.099999999999994</v>
      </c>
      <c r="AL33" s="439">
        <v>71.8</v>
      </c>
      <c r="AM33" s="426"/>
      <c r="AS33" s="113">
        <v>28</v>
      </c>
      <c r="AT33" s="439">
        <v>74.95</v>
      </c>
      <c r="AU33" s="439">
        <v>75.52</v>
      </c>
      <c r="AV33" s="439">
        <v>76.3</v>
      </c>
      <c r="AW33" s="426"/>
      <c r="BC33" s="113">
        <v>28</v>
      </c>
      <c r="BD33" s="439">
        <v>77.989999999999995</v>
      </c>
      <c r="BE33" s="439">
        <v>78.64</v>
      </c>
      <c r="BF33" s="439">
        <v>79.48</v>
      </c>
      <c r="BG33" s="426"/>
      <c r="BM33" s="113">
        <v>28</v>
      </c>
      <c r="BN33" s="439">
        <v>82.7</v>
      </c>
      <c r="BO33" s="439">
        <v>83.46</v>
      </c>
      <c r="BP33" s="439">
        <v>84.39</v>
      </c>
      <c r="BQ33" s="426"/>
      <c r="BW33" s="113">
        <v>28</v>
      </c>
      <c r="BX33" s="439">
        <v>86.51</v>
      </c>
      <c r="BY33" s="439">
        <v>87.42</v>
      </c>
      <c r="BZ33" s="439">
        <v>88.45</v>
      </c>
      <c r="CA33" s="426"/>
      <c r="CG33" s="113">
        <v>28</v>
      </c>
      <c r="CH33" s="439">
        <v>91.85</v>
      </c>
      <c r="CI33" s="439">
        <v>92.89</v>
      </c>
      <c r="CJ33" s="439">
        <v>94.03</v>
      </c>
      <c r="CK33" s="426"/>
      <c r="CQ33" s="113">
        <v>28</v>
      </c>
      <c r="CR33" s="439">
        <v>97.5</v>
      </c>
      <c r="CS33" s="439">
        <v>98.69</v>
      </c>
      <c r="CT33" s="439">
        <v>99.94</v>
      </c>
      <c r="CU33" s="426"/>
    </row>
    <row r="34" spans="2:99" x14ac:dyDescent="0.2">
      <c r="B34" s="113">
        <v>29</v>
      </c>
      <c r="C34" s="439">
        <v>59.31</v>
      </c>
      <c r="D34" s="439">
        <v>59.57</v>
      </c>
      <c r="E34" s="439">
        <v>60.07</v>
      </c>
      <c r="F34" s="426"/>
      <c r="M34" s="113">
        <v>29</v>
      </c>
      <c r="N34" s="439">
        <v>62.96</v>
      </c>
      <c r="O34" s="439">
        <v>63.28</v>
      </c>
      <c r="P34" s="439">
        <v>63.849999999999994</v>
      </c>
      <c r="Q34" s="426"/>
      <c r="X34" s="113">
        <v>29</v>
      </c>
      <c r="Y34" s="439">
        <v>66.84</v>
      </c>
      <c r="Z34" s="439">
        <v>67.23</v>
      </c>
      <c r="AA34" s="439">
        <v>67.86</v>
      </c>
      <c r="AB34" s="426"/>
      <c r="AI34" s="113">
        <v>29</v>
      </c>
      <c r="AJ34" s="439">
        <v>70.95</v>
      </c>
      <c r="AK34" s="439">
        <v>71.430000000000007</v>
      </c>
      <c r="AL34" s="439">
        <v>72.13</v>
      </c>
      <c r="AM34" s="426"/>
      <c r="AS34" s="113">
        <v>29</v>
      </c>
      <c r="AT34" s="439">
        <v>75.319999999999993</v>
      </c>
      <c r="AU34" s="439">
        <v>75.89</v>
      </c>
      <c r="AV34" s="439">
        <v>76.67</v>
      </c>
      <c r="AW34" s="426"/>
      <c r="BC34" s="113">
        <v>29</v>
      </c>
      <c r="BD34" s="439">
        <v>78.400000000000006</v>
      </c>
      <c r="BE34" s="439">
        <v>79.06</v>
      </c>
      <c r="BF34" s="439">
        <v>79.900000000000006</v>
      </c>
      <c r="BG34" s="426"/>
      <c r="BM34" s="113">
        <v>29</v>
      </c>
      <c r="BN34" s="439">
        <v>83.16</v>
      </c>
      <c r="BO34" s="439">
        <v>83.93</v>
      </c>
      <c r="BP34" s="439">
        <v>84.86</v>
      </c>
      <c r="BQ34" s="426"/>
      <c r="BW34" s="113">
        <v>29</v>
      </c>
      <c r="BX34" s="439">
        <v>86.75</v>
      </c>
      <c r="BY34" s="439">
        <v>87.66</v>
      </c>
      <c r="BZ34" s="439">
        <v>88.7</v>
      </c>
      <c r="CA34" s="426"/>
      <c r="CG34" s="113">
        <v>29</v>
      </c>
      <c r="CH34" s="439">
        <v>92.12</v>
      </c>
      <c r="CI34" s="439">
        <v>93.17</v>
      </c>
      <c r="CJ34" s="439">
        <v>94.32</v>
      </c>
      <c r="CK34" s="426"/>
      <c r="CQ34" s="113">
        <v>29</v>
      </c>
      <c r="CR34" s="439">
        <v>97.81</v>
      </c>
      <c r="CS34" s="439">
        <v>99.01</v>
      </c>
      <c r="CT34" s="439">
        <v>100.28</v>
      </c>
      <c r="CU34" s="426"/>
    </row>
    <row r="35" spans="2:99" x14ac:dyDescent="0.2">
      <c r="B35" s="113">
        <v>30</v>
      </c>
      <c r="C35" s="439">
        <v>59.56</v>
      </c>
      <c r="D35" s="439">
        <v>59.81</v>
      </c>
      <c r="E35" s="439">
        <v>60.32</v>
      </c>
      <c r="F35" s="426"/>
      <c r="M35" s="113">
        <v>30</v>
      </c>
      <c r="N35" s="439">
        <v>63.24</v>
      </c>
      <c r="O35" s="439">
        <v>63.56</v>
      </c>
      <c r="P35" s="439">
        <v>64.13</v>
      </c>
      <c r="Q35" s="426"/>
      <c r="X35" s="113">
        <v>30</v>
      </c>
      <c r="Y35" s="439">
        <v>67.150000000000006</v>
      </c>
      <c r="Z35" s="439">
        <v>67.540000000000006</v>
      </c>
      <c r="AA35" s="439">
        <v>68.180000000000007</v>
      </c>
      <c r="AB35" s="426"/>
      <c r="AI35" s="113">
        <v>30</v>
      </c>
      <c r="AJ35" s="439">
        <v>71.3</v>
      </c>
      <c r="AK35" s="439">
        <v>71.78</v>
      </c>
      <c r="AL35" s="439">
        <v>72.489999999999995</v>
      </c>
      <c r="AM35" s="426"/>
      <c r="AS35" s="113">
        <v>30</v>
      </c>
      <c r="AT35" s="439">
        <v>75.709999999999994</v>
      </c>
      <c r="AU35" s="439">
        <v>76.290000000000006</v>
      </c>
      <c r="AV35" s="439">
        <v>77.069999999999993</v>
      </c>
      <c r="AW35" s="426"/>
      <c r="BC35" s="113">
        <v>30</v>
      </c>
      <c r="BD35" s="439">
        <v>78.73</v>
      </c>
      <c r="BE35" s="439">
        <v>79.430000000000007</v>
      </c>
      <c r="BF35" s="439">
        <v>80.3</v>
      </c>
      <c r="BG35" s="426"/>
      <c r="BM35" s="113">
        <v>30</v>
      </c>
      <c r="BN35" s="439">
        <v>83.64</v>
      </c>
      <c r="BO35" s="439">
        <v>84.42</v>
      </c>
      <c r="BP35" s="439">
        <v>85.36</v>
      </c>
      <c r="BQ35" s="426"/>
      <c r="BW35" s="113">
        <v>30</v>
      </c>
      <c r="BX35" s="439">
        <v>86.99</v>
      </c>
      <c r="BY35" s="439">
        <v>87.91</v>
      </c>
      <c r="BZ35" s="439">
        <v>88.96</v>
      </c>
      <c r="CA35" s="426"/>
      <c r="CG35" s="113">
        <v>30</v>
      </c>
      <c r="CH35" s="439">
        <v>92.41</v>
      </c>
      <c r="CI35" s="439">
        <v>93.47</v>
      </c>
      <c r="CJ35" s="439">
        <v>94.62</v>
      </c>
      <c r="CK35" s="426"/>
      <c r="CQ35" s="113">
        <v>30</v>
      </c>
      <c r="CR35" s="439">
        <v>98.14</v>
      </c>
      <c r="CS35" s="439">
        <v>99.35</v>
      </c>
      <c r="CT35" s="439">
        <v>100.62</v>
      </c>
      <c r="CU35" s="426"/>
    </row>
    <row r="36" spans="2:99" x14ac:dyDescent="0.2">
      <c r="B36" s="113">
        <v>31</v>
      </c>
      <c r="C36" s="439">
        <v>59.81</v>
      </c>
      <c r="D36" s="439">
        <v>60.07</v>
      </c>
      <c r="E36" s="439">
        <v>60.58</v>
      </c>
      <c r="F36" s="426"/>
      <c r="M36" s="113">
        <v>31</v>
      </c>
      <c r="N36" s="439">
        <v>63.53</v>
      </c>
      <c r="O36" s="439">
        <v>63.849999999999994</v>
      </c>
      <c r="P36" s="439">
        <v>64.42</v>
      </c>
      <c r="Q36" s="426"/>
      <c r="X36" s="113">
        <v>31</v>
      </c>
      <c r="Y36" s="439">
        <v>67.47</v>
      </c>
      <c r="Z36" s="439">
        <v>67.88</v>
      </c>
      <c r="AA36" s="439">
        <v>68.510000000000005</v>
      </c>
      <c r="AB36" s="426"/>
      <c r="AI36" s="113">
        <v>31</v>
      </c>
      <c r="AJ36" s="439">
        <v>71.67</v>
      </c>
      <c r="AK36" s="439">
        <v>72.150000000000006</v>
      </c>
      <c r="AL36" s="439">
        <v>72.87</v>
      </c>
      <c r="AM36" s="426"/>
      <c r="AS36" s="113">
        <v>31</v>
      </c>
      <c r="AT36" s="439">
        <v>76.12</v>
      </c>
      <c r="AU36" s="439">
        <v>76.7</v>
      </c>
      <c r="AV36" s="439">
        <v>77.5</v>
      </c>
      <c r="AW36" s="426"/>
      <c r="BC36" s="113">
        <v>31</v>
      </c>
      <c r="BD36" s="439">
        <v>78.92</v>
      </c>
      <c r="BE36" s="439">
        <v>79.62</v>
      </c>
      <c r="BF36" s="439">
        <v>80.5</v>
      </c>
      <c r="BG36" s="426"/>
      <c r="BM36" s="113">
        <v>31</v>
      </c>
      <c r="BN36" s="439">
        <v>83.95</v>
      </c>
      <c r="BO36" s="439">
        <v>84.77</v>
      </c>
      <c r="BP36" s="439">
        <v>85.74</v>
      </c>
      <c r="BQ36" s="426"/>
      <c r="BW36" s="113">
        <v>31</v>
      </c>
      <c r="BX36" s="439">
        <v>87.25</v>
      </c>
      <c r="BY36" s="439">
        <v>88.17</v>
      </c>
      <c r="BZ36" s="439">
        <v>89.23</v>
      </c>
      <c r="CA36" s="426"/>
      <c r="CG36" s="113">
        <v>31</v>
      </c>
      <c r="CH36" s="439">
        <v>92.7</v>
      </c>
      <c r="CI36" s="439">
        <v>93.77</v>
      </c>
      <c r="CJ36" s="439">
        <v>94.93</v>
      </c>
      <c r="CK36" s="426"/>
      <c r="CQ36" s="113">
        <v>31</v>
      </c>
      <c r="CR36" s="439">
        <v>98.48</v>
      </c>
      <c r="CS36" s="439">
        <v>99.7</v>
      </c>
      <c r="CT36" s="439">
        <v>100.98</v>
      </c>
      <c r="CU36" s="426"/>
    </row>
    <row r="37" spans="2:99" x14ac:dyDescent="0.2">
      <c r="B37" s="113">
        <v>32</v>
      </c>
      <c r="C37" s="439">
        <v>60.09</v>
      </c>
      <c r="D37" s="439">
        <v>60.35</v>
      </c>
      <c r="E37" s="439">
        <v>60.86</v>
      </c>
      <c r="F37" s="426"/>
      <c r="M37" s="113">
        <v>32</v>
      </c>
      <c r="N37" s="439">
        <v>63.84</v>
      </c>
      <c r="O37" s="439">
        <v>64.16</v>
      </c>
      <c r="P37" s="439">
        <v>64.739999999999995</v>
      </c>
      <c r="Q37" s="426"/>
      <c r="X37" s="113">
        <v>32</v>
      </c>
      <c r="Y37" s="439">
        <v>67.819999999999993</v>
      </c>
      <c r="Z37" s="439">
        <v>68.22</v>
      </c>
      <c r="AA37" s="439">
        <v>68.87</v>
      </c>
      <c r="AB37" s="426"/>
      <c r="AI37" s="113">
        <v>32</v>
      </c>
      <c r="AJ37" s="439">
        <v>72.06</v>
      </c>
      <c r="AK37" s="439">
        <v>72.55</v>
      </c>
      <c r="AL37" s="439">
        <v>73.27</v>
      </c>
      <c r="AM37" s="426"/>
      <c r="AS37" s="113">
        <v>32</v>
      </c>
      <c r="AT37" s="439">
        <v>76.56</v>
      </c>
      <c r="AU37" s="439">
        <v>77.14</v>
      </c>
      <c r="AV37" s="439">
        <v>77.94</v>
      </c>
      <c r="AW37" s="426"/>
      <c r="BC37" s="113">
        <v>32</v>
      </c>
      <c r="BD37" s="439">
        <v>79.11</v>
      </c>
      <c r="BE37" s="439">
        <v>79.819999999999993</v>
      </c>
      <c r="BF37" s="439">
        <v>80.7</v>
      </c>
      <c r="BG37" s="426"/>
      <c r="BM37" s="113">
        <v>32</v>
      </c>
      <c r="BN37" s="439">
        <v>84.18</v>
      </c>
      <c r="BO37" s="439">
        <v>85</v>
      </c>
      <c r="BP37" s="439">
        <v>85.98</v>
      </c>
      <c r="BQ37" s="426"/>
      <c r="BW37" s="113">
        <v>32</v>
      </c>
      <c r="BX37" s="439">
        <v>87.51</v>
      </c>
      <c r="BY37" s="439">
        <v>88.44</v>
      </c>
      <c r="BZ37" s="439">
        <v>89.5</v>
      </c>
      <c r="CA37" s="426"/>
      <c r="CG37" s="113">
        <v>32</v>
      </c>
      <c r="CH37" s="439">
        <v>93.01</v>
      </c>
      <c r="CI37" s="439">
        <v>94.08</v>
      </c>
      <c r="CJ37" s="439">
        <v>95.25</v>
      </c>
      <c r="CK37" s="426"/>
      <c r="CQ37" s="113">
        <v>32</v>
      </c>
      <c r="CR37" s="439">
        <v>98.83</v>
      </c>
      <c r="CS37" s="439">
        <v>100.06</v>
      </c>
      <c r="CT37" s="439">
        <v>101.35</v>
      </c>
      <c r="CU37" s="426"/>
    </row>
    <row r="38" spans="2:99" x14ac:dyDescent="0.2">
      <c r="B38" s="113">
        <v>33</v>
      </c>
      <c r="C38" s="439">
        <v>60.38</v>
      </c>
      <c r="D38" s="439">
        <v>60.64</v>
      </c>
      <c r="E38" s="439">
        <v>61.16</v>
      </c>
      <c r="F38" s="426"/>
      <c r="M38" s="113">
        <v>33</v>
      </c>
      <c r="N38" s="439">
        <v>64.16</v>
      </c>
      <c r="O38" s="439">
        <v>64.489999999999995</v>
      </c>
      <c r="P38" s="439">
        <v>65.069999999999993</v>
      </c>
      <c r="Q38" s="426"/>
      <c r="X38" s="113">
        <v>33</v>
      </c>
      <c r="Y38" s="439">
        <v>68.19</v>
      </c>
      <c r="Z38" s="439">
        <v>68.59</v>
      </c>
      <c r="AA38" s="439">
        <v>69.239999999999995</v>
      </c>
      <c r="AB38" s="426"/>
      <c r="AI38" s="113">
        <v>33</v>
      </c>
      <c r="AJ38" s="439">
        <v>72.47</v>
      </c>
      <c r="AK38" s="439">
        <v>72.959999999999994</v>
      </c>
      <c r="AL38" s="439">
        <v>73.69</v>
      </c>
      <c r="AM38" s="426"/>
      <c r="AS38" s="113">
        <v>33</v>
      </c>
      <c r="AT38" s="439">
        <v>77.02</v>
      </c>
      <c r="AU38" s="439">
        <v>77.61</v>
      </c>
      <c r="AV38" s="439">
        <v>78.42</v>
      </c>
      <c r="AW38" s="426"/>
      <c r="BC38" s="113">
        <v>33</v>
      </c>
      <c r="BD38" s="439">
        <v>79.31</v>
      </c>
      <c r="BE38" s="439">
        <v>80.02</v>
      </c>
      <c r="BF38" s="439">
        <v>80.91</v>
      </c>
      <c r="BG38" s="426"/>
      <c r="BM38" s="113">
        <v>33</v>
      </c>
      <c r="BN38" s="439">
        <v>84.41</v>
      </c>
      <c r="BO38" s="439">
        <v>85.25</v>
      </c>
      <c r="BP38" s="439">
        <v>86.23</v>
      </c>
      <c r="BQ38" s="426"/>
      <c r="BW38" s="113">
        <v>33</v>
      </c>
      <c r="BX38" s="439">
        <v>87.78</v>
      </c>
      <c r="BY38" s="439">
        <v>88.72</v>
      </c>
      <c r="BZ38" s="439">
        <v>89.79</v>
      </c>
      <c r="CA38" s="426"/>
      <c r="CG38" s="113">
        <v>33</v>
      </c>
      <c r="CH38" s="439">
        <v>93.32</v>
      </c>
      <c r="CI38" s="439">
        <v>94.41</v>
      </c>
      <c r="CJ38" s="439">
        <v>95.59</v>
      </c>
      <c r="CK38" s="426"/>
      <c r="CQ38" s="113">
        <v>33</v>
      </c>
      <c r="CR38" s="439">
        <v>99.19</v>
      </c>
      <c r="CS38" s="439">
        <v>100.43</v>
      </c>
      <c r="CT38" s="439">
        <v>101.73</v>
      </c>
      <c r="CU38" s="426"/>
    </row>
    <row r="39" spans="2:99" x14ac:dyDescent="0.2">
      <c r="B39" s="113">
        <v>34</v>
      </c>
      <c r="C39" s="439">
        <v>60.69</v>
      </c>
      <c r="D39" s="439">
        <v>60.95</v>
      </c>
      <c r="E39" s="439">
        <v>61.47</v>
      </c>
      <c r="F39" s="426"/>
      <c r="M39" s="113">
        <v>34</v>
      </c>
      <c r="N39" s="439">
        <v>64.510000000000005</v>
      </c>
      <c r="O39" s="439">
        <v>64.84</v>
      </c>
      <c r="P39" s="439">
        <v>65.430000000000007</v>
      </c>
      <c r="Q39" s="426"/>
      <c r="X39" s="113">
        <v>34</v>
      </c>
      <c r="Y39" s="439">
        <v>68.569999999999993</v>
      </c>
      <c r="Z39" s="439">
        <v>68.98</v>
      </c>
      <c r="AA39" s="439">
        <v>69.64</v>
      </c>
      <c r="AB39" s="426"/>
      <c r="AI39" s="113">
        <v>34</v>
      </c>
      <c r="AJ39" s="439">
        <v>72.900000000000006</v>
      </c>
      <c r="AK39" s="439">
        <v>73.400000000000006</v>
      </c>
      <c r="AL39" s="439">
        <v>74.13</v>
      </c>
      <c r="AM39" s="426"/>
      <c r="AS39" s="113">
        <v>34</v>
      </c>
      <c r="AT39" s="439">
        <v>77.5</v>
      </c>
      <c r="AU39" s="439">
        <v>78.099999999999994</v>
      </c>
      <c r="AV39" s="439">
        <v>78.91</v>
      </c>
      <c r="AW39" s="426"/>
      <c r="BC39" s="113">
        <v>34</v>
      </c>
      <c r="BD39" s="439">
        <v>79.52</v>
      </c>
      <c r="BE39" s="439">
        <v>80.23</v>
      </c>
      <c r="BF39" s="439">
        <v>81.13</v>
      </c>
      <c r="BG39" s="426"/>
      <c r="BM39" s="113">
        <v>34</v>
      </c>
      <c r="BN39" s="439">
        <v>84.66</v>
      </c>
      <c r="BO39" s="439">
        <v>85.5</v>
      </c>
      <c r="BP39" s="439">
        <v>86.49</v>
      </c>
      <c r="BQ39" s="426"/>
      <c r="BW39" s="113">
        <v>34</v>
      </c>
      <c r="BX39" s="439">
        <v>88.06</v>
      </c>
      <c r="BY39" s="439">
        <v>89.01</v>
      </c>
      <c r="BZ39" s="439">
        <v>90.09</v>
      </c>
      <c r="CA39" s="426"/>
      <c r="CG39" s="113">
        <v>34</v>
      </c>
      <c r="CH39" s="439">
        <v>93.65</v>
      </c>
      <c r="CI39" s="439">
        <v>94.74</v>
      </c>
      <c r="CJ39" s="439">
        <v>95.93</v>
      </c>
      <c r="CK39" s="426"/>
      <c r="CQ39" s="113">
        <v>34</v>
      </c>
      <c r="CR39" s="439">
        <v>99.56</v>
      </c>
      <c r="CS39" s="439">
        <v>100.81</v>
      </c>
      <c r="CT39" s="439">
        <v>102.12</v>
      </c>
      <c r="CU39" s="426"/>
    </row>
    <row r="40" spans="2:99" x14ac:dyDescent="0.2">
      <c r="B40" s="113">
        <v>35</v>
      </c>
      <c r="C40" s="439">
        <v>61.01</v>
      </c>
      <c r="D40" s="439">
        <v>61.28</v>
      </c>
      <c r="E40" s="439">
        <v>61.8</v>
      </c>
      <c r="F40" s="426"/>
      <c r="M40" s="113">
        <v>35</v>
      </c>
      <c r="N40" s="439">
        <v>64.87</v>
      </c>
      <c r="O40" s="439">
        <v>65.209999999999994</v>
      </c>
      <c r="P40" s="439">
        <v>65.8</v>
      </c>
      <c r="Q40" s="426"/>
      <c r="X40" s="113">
        <v>35</v>
      </c>
      <c r="Y40" s="439">
        <v>68.98</v>
      </c>
      <c r="Z40" s="439">
        <v>69.400000000000006</v>
      </c>
      <c r="AA40" s="439">
        <v>70.06</v>
      </c>
      <c r="AB40" s="426"/>
      <c r="AI40" s="113">
        <v>35</v>
      </c>
      <c r="AJ40" s="439">
        <v>73.349999999999994</v>
      </c>
      <c r="AK40" s="439">
        <v>73.86</v>
      </c>
      <c r="AL40" s="439">
        <v>74.599999999999994</v>
      </c>
      <c r="AM40" s="426"/>
      <c r="AS40" s="113">
        <v>35</v>
      </c>
      <c r="AT40" s="439">
        <v>78.010000000000005</v>
      </c>
      <c r="AU40" s="439">
        <v>78.61</v>
      </c>
      <c r="AV40" s="439">
        <v>79.430000000000007</v>
      </c>
      <c r="AW40" s="426"/>
      <c r="BC40" s="113">
        <v>35</v>
      </c>
      <c r="BD40" s="439">
        <v>79.73</v>
      </c>
      <c r="BE40" s="439">
        <v>80.45</v>
      </c>
      <c r="BF40" s="439">
        <v>81.36</v>
      </c>
      <c r="BG40" s="426"/>
      <c r="BM40" s="113">
        <v>35</v>
      </c>
      <c r="BN40" s="439">
        <v>84.91</v>
      </c>
      <c r="BO40" s="439">
        <v>85.76</v>
      </c>
      <c r="BP40" s="439">
        <v>86.76</v>
      </c>
      <c r="BQ40" s="426"/>
      <c r="BW40" s="113">
        <v>35</v>
      </c>
      <c r="BX40" s="439">
        <v>88.35</v>
      </c>
      <c r="BY40" s="439">
        <v>89.31</v>
      </c>
      <c r="BZ40" s="439">
        <v>90.4</v>
      </c>
      <c r="CA40" s="426"/>
      <c r="CG40" s="113">
        <v>35</v>
      </c>
      <c r="CH40" s="439">
        <v>93.98</v>
      </c>
      <c r="CI40" s="439">
        <v>95.08</v>
      </c>
      <c r="CJ40" s="439">
        <v>96.29</v>
      </c>
      <c r="CK40" s="426"/>
      <c r="CQ40" s="113">
        <v>35</v>
      </c>
      <c r="CR40" s="439">
        <v>99.94</v>
      </c>
      <c r="CS40" s="439">
        <v>101.2</v>
      </c>
      <c r="CT40" s="439">
        <v>102.52</v>
      </c>
      <c r="CU40" s="426"/>
    </row>
    <row r="41" spans="2:99" x14ac:dyDescent="0.2">
      <c r="B41" s="113">
        <v>36</v>
      </c>
      <c r="C41" s="439">
        <v>61.36</v>
      </c>
      <c r="D41" s="439">
        <v>61.62</v>
      </c>
      <c r="E41" s="439">
        <v>62.15</v>
      </c>
      <c r="F41" s="426"/>
      <c r="M41" s="113">
        <v>36</v>
      </c>
      <c r="N41" s="439">
        <v>65.260000000000005</v>
      </c>
      <c r="O41" s="439">
        <v>65.599999999999994</v>
      </c>
      <c r="P41" s="439">
        <v>66.19</v>
      </c>
      <c r="Q41" s="426"/>
      <c r="X41" s="113">
        <v>36</v>
      </c>
      <c r="Y41" s="439">
        <v>69.41</v>
      </c>
      <c r="Z41" s="439">
        <v>69.83</v>
      </c>
      <c r="AA41" s="439">
        <v>70.5</v>
      </c>
      <c r="AB41" s="426"/>
      <c r="AI41" s="113">
        <v>36</v>
      </c>
      <c r="AJ41" s="439">
        <v>73.84</v>
      </c>
      <c r="AK41" s="439">
        <v>74.34</v>
      </c>
      <c r="AL41" s="439">
        <v>75.09</v>
      </c>
      <c r="AM41" s="426"/>
      <c r="AS41" s="113">
        <v>36</v>
      </c>
      <c r="AT41" s="439">
        <v>78.55</v>
      </c>
      <c r="AU41" s="439">
        <v>79.150000000000006</v>
      </c>
      <c r="AV41" s="439">
        <v>79.98</v>
      </c>
      <c r="AW41" s="426"/>
      <c r="BC41" s="113">
        <v>36</v>
      </c>
      <c r="BD41" s="439">
        <v>79.95</v>
      </c>
      <c r="BE41" s="439">
        <v>80.680000000000007</v>
      </c>
      <c r="BF41" s="439">
        <v>81.59</v>
      </c>
      <c r="BG41" s="426"/>
      <c r="BM41" s="113">
        <v>36</v>
      </c>
      <c r="BN41" s="439">
        <v>85.18</v>
      </c>
      <c r="BO41" s="439">
        <v>86.03</v>
      </c>
      <c r="BP41" s="439">
        <v>87.04</v>
      </c>
      <c r="BQ41" s="426"/>
      <c r="BW41" s="113">
        <v>36</v>
      </c>
      <c r="BX41" s="439">
        <v>88.65</v>
      </c>
      <c r="BY41" s="439">
        <v>89.62</v>
      </c>
      <c r="BZ41" s="439">
        <v>90.71</v>
      </c>
      <c r="CA41" s="426"/>
      <c r="CG41" s="113">
        <v>36</v>
      </c>
      <c r="CH41" s="439">
        <v>94.33</v>
      </c>
      <c r="CI41" s="439">
        <v>95.44</v>
      </c>
      <c r="CJ41" s="439">
        <v>96.65</v>
      </c>
      <c r="CK41" s="426"/>
      <c r="CQ41" s="113">
        <v>36</v>
      </c>
      <c r="CR41" s="439">
        <v>100.33</v>
      </c>
      <c r="CS41" s="439">
        <v>101.6</v>
      </c>
      <c r="CT41" s="439">
        <v>102.93</v>
      </c>
      <c r="CU41" s="426"/>
    </row>
    <row r="42" spans="2:99" x14ac:dyDescent="0.2">
      <c r="B42" s="113">
        <v>37</v>
      </c>
      <c r="C42" s="439">
        <v>61.72</v>
      </c>
      <c r="D42" s="439">
        <v>61.99</v>
      </c>
      <c r="E42" s="439">
        <v>62.53</v>
      </c>
      <c r="F42" s="426"/>
      <c r="M42" s="113">
        <v>37</v>
      </c>
      <c r="N42" s="439">
        <v>65.66</v>
      </c>
      <c r="O42" s="439">
        <v>66.010000000000005</v>
      </c>
      <c r="P42" s="439">
        <v>66.61</v>
      </c>
      <c r="Q42" s="426"/>
      <c r="X42" s="113">
        <v>37</v>
      </c>
      <c r="Y42" s="439">
        <v>69.87</v>
      </c>
      <c r="Z42" s="439">
        <v>70.290000000000006</v>
      </c>
      <c r="AA42" s="439">
        <v>70.97</v>
      </c>
      <c r="AB42" s="426"/>
      <c r="AI42" s="113">
        <v>37</v>
      </c>
      <c r="AJ42" s="439">
        <v>74.34</v>
      </c>
      <c r="AK42" s="439">
        <v>74.86</v>
      </c>
      <c r="AL42" s="439">
        <v>75.61</v>
      </c>
      <c r="AM42" s="426"/>
      <c r="AS42" s="113">
        <v>37</v>
      </c>
      <c r="AT42" s="439">
        <v>79.11</v>
      </c>
      <c r="AU42" s="439">
        <v>79.72</v>
      </c>
      <c r="AV42" s="439">
        <v>80.56</v>
      </c>
      <c r="AW42" s="426"/>
      <c r="BC42" s="113">
        <v>37</v>
      </c>
      <c r="BD42" s="439">
        <v>80.180000000000007</v>
      </c>
      <c r="BE42" s="439">
        <v>80.91</v>
      </c>
      <c r="BF42" s="439">
        <v>81.83</v>
      </c>
      <c r="BG42" s="426"/>
      <c r="BM42" s="113">
        <v>37</v>
      </c>
      <c r="BN42" s="439">
        <v>85.45</v>
      </c>
      <c r="BO42" s="439">
        <v>86.31</v>
      </c>
      <c r="BP42" s="439">
        <v>87.33</v>
      </c>
      <c r="BQ42" s="426"/>
      <c r="BW42" s="113">
        <v>37</v>
      </c>
      <c r="BX42" s="439">
        <v>88.96</v>
      </c>
      <c r="BY42" s="439">
        <v>89.94</v>
      </c>
      <c r="BZ42" s="439">
        <v>91.04</v>
      </c>
      <c r="CA42" s="426"/>
      <c r="CG42" s="113">
        <v>37</v>
      </c>
      <c r="CH42" s="439">
        <v>94.68</v>
      </c>
      <c r="CI42" s="439">
        <v>95.8</v>
      </c>
      <c r="CJ42" s="439">
        <v>97.02</v>
      </c>
      <c r="CK42" s="426"/>
      <c r="CQ42" s="113">
        <v>37</v>
      </c>
      <c r="CR42" s="439">
        <v>100.73</v>
      </c>
      <c r="CS42" s="439">
        <v>102.01</v>
      </c>
      <c r="CT42" s="439">
        <v>103.35</v>
      </c>
      <c r="CU42" s="426"/>
    </row>
    <row r="43" spans="2:99" x14ac:dyDescent="0.2">
      <c r="B43" s="113">
        <v>38</v>
      </c>
      <c r="C43" s="439">
        <v>62.11</v>
      </c>
      <c r="D43" s="439">
        <v>62.38</v>
      </c>
      <c r="E43" s="439">
        <v>62.92</v>
      </c>
      <c r="F43" s="426"/>
      <c r="M43" s="113">
        <v>38</v>
      </c>
      <c r="N43" s="439">
        <v>66.09</v>
      </c>
      <c r="O43" s="439">
        <v>66.44</v>
      </c>
      <c r="P43" s="439">
        <v>67.05</v>
      </c>
      <c r="Q43" s="426"/>
      <c r="X43" s="113">
        <v>38</v>
      </c>
      <c r="Y43" s="439">
        <v>70.349999999999994</v>
      </c>
      <c r="Z43" s="439">
        <v>70.77</v>
      </c>
      <c r="AA43" s="439">
        <v>71.459999999999994</v>
      </c>
      <c r="AB43" s="426"/>
      <c r="AI43" s="113">
        <v>38</v>
      </c>
      <c r="AJ43" s="439">
        <v>74.88</v>
      </c>
      <c r="AK43" s="439">
        <v>75.400000000000006</v>
      </c>
      <c r="AL43" s="439">
        <v>76.16</v>
      </c>
      <c r="AM43" s="426"/>
      <c r="AS43" s="113">
        <v>38</v>
      </c>
      <c r="AT43" s="439">
        <v>79.7</v>
      </c>
      <c r="AU43" s="439">
        <v>80.319999999999993</v>
      </c>
      <c r="AV43" s="439">
        <v>81.17</v>
      </c>
      <c r="AW43" s="426"/>
      <c r="BC43" s="113">
        <v>38</v>
      </c>
      <c r="BD43" s="439">
        <v>80.41</v>
      </c>
      <c r="BE43" s="439">
        <v>81.150000000000006</v>
      </c>
      <c r="BF43" s="439">
        <v>82.08</v>
      </c>
      <c r="BG43" s="426"/>
      <c r="BM43" s="113">
        <v>38</v>
      </c>
      <c r="BN43" s="439">
        <v>85.73</v>
      </c>
      <c r="BO43" s="439">
        <v>86.59</v>
      </c>
      <c r="BP43" s="439">
        <v>87.62</v>
      </c>
      <c r="BQ43" s="426"/>
      <c r="BW43" s="113">
        <v>38</v>
      </c>
      <c r="BX43" s="439">
        <v>89.28</v>
      </c>
      <c r="BY43" s="439">
        <v>90.26</v>
      </c>
      <c r="BZ43" s="439">
        <v>91.38</v>
      </c>
      <c r="CA43" s="426"/>
      <c r="CG43" s="113">
        <v>38</v>
      </c>
      <c r="CH43" s="439">
        <v>95.04</v>
      </c>
      <c r="CI43" s="439">
        <v>96.17</v>
      </c>
      <c r="CJ43" s="439">
        <v>97.41</v>
      </c>
      <c r="CK43" s="426"/>
      <c r="CQ43" s="113">
        <v>38</v>
      </c>
      <c r="CR43" s="439">
        <v>101.13</v>
      </c>
      <c r="CS43" s="439">
        <v>102.42</v>
      </c>
      <c r="CT43" s="439">
        <v>103.78</v>
      </c>
      <c r="CU43" s="426"/>
    </row>
    <row r="44" spans="2:99" x14ac:dyDescent="0.2">
      <c r="B44" s="113">
        <v>39</v>
      </c>
      <c r="C44" s="439">
        <v>62.51</v>
      </c>
      <c r="D44" s="439">
        <v>62.79</v>
      </c>
      <c r="E44" s="439">
        <v>63.33</v>
      </c>
      <c r="F44" s="426"/>
      <c r="M44" s="113">
        <v>39</v>
      </c>
      <c r="N44" s="439">
        <v>66.55</v>
      </c>
      <c r="O44" s="439">
        <v>66.900000000000006</v>
      </c>
      <c r="P44" s="439">
        <v>67.510000000000005</v>
      </c>
      <c r="Q44" s="426"/>
      <c r="X44" s="113">
        <v>39</v>
      </c>
      <c r="Y44" s="439">
        <v>70.849999999999994</v>
      </c>
      <c r="Z44" s="439">
        <v>71.28</v>
      </c>
      <c r="AA44" s="439">
        <v>71.98</v>
      </c>
      <c r="AB44" s="426"/>
      <c r="AI44" s="113">
        <v>39</v>
      </c>
      <c r="AJ44" s="439">
        <v>75.44</v>
      </c>
      <c r="AK44" s="439">
        <v>75.959999999999994</v>
      </c>
      <c r="AL44" s="439">
        <v>76.739999999999995</v>
      </c>
      <c r="AM44" s="426"/>
      <c r="AS44" s="113">
        <v>39</v>
      </c>
      <c r="AT44" s="439">
        <v>80.33</v>
      </c>
      <c r="AU44" s="439">
        <v>80.959999999999994</v>
      </c>
      <c r="AV44" s="439">
        <v>81.819999999999993</v>
      </c>
      <c r="AW44" s="426"/>
      <c r="BC44" s="113">
        <v>39</v>
      </c>
      <c r="BD44" s="439">
        <v>80.66</v>
      </c>
      <c r="BE44" s="439">
        <v>81.400000000000006</v>
      </c>
      <c r="BF44" s="439">
        <v>82.33</v>
      </c>
      <c r="BG44" s="426"/>
      <c r="BM44" s="113">
        <v>39</v>
      </c>
      <c r="BN44" s="439">
        <v>86.01</v>
      </c>
      <c r="BO44" s="439">
        <v>86.89</v>
      </c>
      <c r="BP44" s="439">
        <v>87.92</v>
      </c>
      <c r="BQ44" s="426"/>
      <c r="BW44" s="113">
        <v>39</v>
      </c>
      <c r="BX44" s="439">
        <v>89.6</v>
      </c>
      <c r="BY44" s="439">
        <v>90.6</v>
      </c>
      <c r="BZ44" s="439">
        <v>91.72</v>
      </c>
      <c r="CA44" s="426"/>
      <c r="CG44" s="113">
        <v>39</v>
      </c>
      <c r="CH44" s="439">
        <v>95.41</v>
      </c>
      <c r="CI44" s="439">
        <v>96.55</v>
      </c>
      <c r="CJ44" s="439">
        <v>97.8</v>
      </c>
      <c r="CK44" s="426"/>
      <c r="CQ44" s="113">
        <v>39</v>
      </c>
      <c r="CR44" s="439">
        <v>101.54</v>
      </c>
      <c r="CS44" s="439">
        <v>102.85</v>
      </c>
      <c r="CT44" s="439">
        <v>104.22</v>
      </c>
      <c r="CU44" s="426"/>
    </row>
    <row r="45" spans="2:99" x14ac:dyDescent="0.2">
      <c r="B45" s="113">
        <v>40</v>
      </c>
      <c r="C45" s="439">
        <v>62.94</v>
      </c>
      <c r="D45" s="439">
        <v>63.22</v>
      </c>
      <c r="E45" s="439">
        <v>63.769999999999996</v>
      </c>
      <c r="F45" s="426"/>
      <c r="M45" s="113">
        <v>40</v>
      </c>
      <c r="N45" s="439">
        <v>67.03</v>
      </c>
      <c r="O45" s="439">
        <v>67.38</v>
      </c>
      <c r="P45" s="439">
        <v>68</v>
      </c>
      <c r="Q45" s="426"/>
      <c r="X45" s="113">
        <v>40</v>
      </c>
      <c r="Y45" s="439">
        <v>71.39</v>
      </c>
      <c r="Z45" s="439">
        <v>71.819999999999993</v>
      </c>
      <c r="AA45" s="439">
        <v>72.52</v>
      </c>
      <c r="AB45" s="426"/>
      <c r="AI45" s="113">
        <v>40</v>
      </c>
      <c r="AJ45" s="439">
        <v>76.02</v>
      </c>
      <c r="AK45" s="439">
        <v>76.56</v>
      </c>
      <c r="AL45" s="439">
        <v>77.349999999999994</v>
      </c>
      <c r="AM45" s="426"/>
      <c r="AS45" s="113">
        <v>40</v>
      </c>
      <c r="AT45" s="439">
        <v>81</v>
      </c>
      <c r="AU45" s="439">
        <v>81.63</v>
      </c>
      <c r="AV45" s="439">
        <v>82.5</v>
      </c>
      <c r="AW45" s="426"/>
      <c r="BC45" s="113">
        <v>40</v>
      </c>
      <c r="BD45" s="439">
        <v>80.900000000000006</v>
      </c>
      <c r="BE45" s="439">
        <v>81.66</v>
      </c>
      <c r="BF45" s="439">
        <v>82.6</v>
      </c>
      <c r="BG45" s="426"/>
      <c r="BM45" s="113">
        <v>40</v>
      </c>
      <c r="BN45" s="439">
        <v>86.31</v>
      </c>
      <c r="BO45" s="439">
        <v>87.19</v>
      </c>
      <c r="BP45" s="439">
        <v>88.23</v>
      </c>
      <c r="BQ45" s="426"/>
      <c r="BW45" s="113">
        <v>40</v>
      </c>
      <c r="BX45" s="439">
        <v>89.93</v>
      </c>
      <c r="BY45" s="439">
        <v>90.94</v>
      </c>
      <c r="BZ45" s="439">
        <v>92.07</v>
      </c>
      <c r="CA45" s="426"/>
      <c r="CG45" s="113">
        <v>40</v>
      </c>
      <c r="CH45" s="439">
        <v>95.79</v>
      </c>
      <c r="CI45" s="439">
        <v>96.94</v>
      </c>
      <c r="CJ45" s="439">
        <v>98.19</v>
      </c>
      <c r="CK45" s="426"/>
      <c r="CQ45" s="113">
        <v>40</v>
      </c>
      <c r="CR45" s="439">
        <v>101.96</v>
      </c>
      <c r="CS45" s="439">
        <v>103.28</v>
      </c>
      <c r="CT45" s="439">
        <v>104.66</v>
      </c>
      <c r="CU45" s="426"/>
    </row>
    <row r="46" spans="2:99" x14ac:dyDescent="0.2">
      <c r="B46" s="113">
        <v>41</v>
      </c>
      <c r="C46" s="439">
        <v>63.39</v>
      </c>
      <c r="D46" s="439">
        <v>63.67</v>
      </c>
      <c r="E46" s="439">
        <v>64.239999999999995</v>
      </c>
      <c r="F46" s="426"/>
      <c r="M46" s="113">
        <v>41</v>
      </c>
      <c r="N46" s="439">
        <v>67.53</v>
      </c>
      <c r="O46" s="439">
        <v>67.89</v>
      </c>
      <c r="P46" s="439">
        <v>68.52</v>
      </c>
      <c r="Q46" s="426"/>
      <c r="X46" s="113">
        <v>41</v>
      </c>
      <c r="Y46" s="439">
        <v>71.95</v>
      </c>
      <c r="Z46" s="439">
        <v>72.39</v>
      </c>
      <c r="AA46" s="439">
        <v>73.099999999999994</v>
      </c>
      <c r="AB46" s="426"/>
      <c r="AI46" s="113">
        <v>41</v>
      </c>
      <c r="AJ46" s="439">
        <v>76.2</v>
      </c>
      <c r="AK46" s="439">
        <v>76.78</v>
      </c>
      <c r="AL46" s="439">
        <v>77.59</v>
      </c>
      <c r="AM46" s="426"/>
      <c r="AS46" s="113">
        <v>41</v>
      </c>
      <c r="AT46" s="439">
        <v>81.59</v>
      </c>
      <c r="AU46" s="439">
        <v>82.29</v>
      </c>
      <c r="AV46" s="439">
        <v>83.2</v>
      </c>
      <c r="AW46" s="426"/>
      <c r="BC46" s="113">
        <v>41</v>
      </c>
      <c r="BD46" s="439">
        <v>81.16</v>
      </c>
      <c r="BE46" s="439">
        <v>81.92</v>
      </c>
      <c r="BF46" s="439">
        <v>82.87</v>
      </c>
      <c r="BG46" s="426"/>
      <c r="BM46" s="113">
        <v>41</v>
      </c>
      <c r="BN46" s="439">
        <v>86.6</v>
      </c>
      <c r="BO46" s="439">
        <v>87.5</v>
      </c>
      <c r="BP46" s="439">
        <v>88.55</v>
      </c>
      <c r="BQ46" s="426"/>
      <c r="BW46" s="113">
        <v>41</v>
      </c>
      <c r="BX46" s="439">
        <v>90.27</v>
      </c>
      <c r="BY46" s="439">
        <v>91.28</v>
      </c>
      <c r="BZ46" s="439">
        <v>92.43</v>
      </c>
      <c r="CA46" s="426"/>
      <c r="CG46" s="113">
        <v>41</v>
      </c>
      <c r="CH46" s="439">
        <v>96.17</v>
      </c>
      <c r="CI46" s="439">
        <v>97.33</v>
      </c>
      <c r="CJ46" s="439">
        <v>98.6</v>
      </c>
      <c r="CK46" s="426"/>
      <c r="CQ46" s="113">
        <v>41</v>
      </c>
      <c r="CR46" s="439">
        <v>102.39</v>
      </c>
      <c r="CS46" s="439">
        <v>103.72</v>
      </c>
      <c r="CT46" s="439">
        <v>105.12</v>
      </c>
      <c r="CU46" s="426"/>
    </row>
    <row r="47" spans="2:99" x14ac:dyDescent="0.2">
      <c r="B47" s="113">
        <v>42</v>
      </c>
      <c r="C47" s="439">
        <v>63.65</v>
      </c>
      <c r="D47" s="439">
        <v>63.96</v>
      </c>
      <c r="E47" s="439">
        <v>64.540000000000006</v>
      </c>
      <c r="F47" s="426"/>
      <c r="M47" s="113">
        <v>42</v>
      </c>
      <c r="N47" s="439">
        <v>68.069999999999993</v>
      </c>
      <c r="O47" s="439">
        <v>68.430000000000007</v>
      </c>
      <c r="P47" s="439">
        <v>69.069999999999993</v>
      </c>
      <c r="Q47" s="426"/>
      <c r="X47" s="113">
        <v>42</v>
      </c>
      <c r="Y47" s="439">
        <v>72.55</v>
      </c>
      <c r="Z47" s="439">
        <v>72.989999999999995</v>
      </c>
      <c r="AA47" s="439">
        <v>73.709999999999994</v>
      </c>
      <c r="AB47" s="426"/>
      <c r="AI47" s="113">
        <v>42</v>
      </c>
      <c r="AJ47" s="439">
        <v>76.39</v>
      </c>
      <c r="AK47" s="439">
        <v>76.97</v>
      </c>
      <c r="AL47" s="439">
        <v>77.790000000000006</v>
      </c>
      <c r="AM47" s="426"/>
      <c r="AS47" s="113">
        <v>42</v>
      </c>
      <c r="AT47" s="439">
        <v>81.819999999999993</v>
      </c>
      <c r="AU47" s="439">
        <v>82.52</v>
      </c>
      <c r="AV47" s="439">
        <v>83.44</v>
      </c>
      <c r="AW47" s="426"/>
      <c r="BC47" s="113">
        <v>42</v>
      </c>
      <c r="BD47" s="439">
        <v>81.42</v>
      </c>
      <c r="BE47" s="439">
        <v>82.19</v>
      </c>
      <c r="BF47" s="439">
        <v>83.14</v>
      </c>
      <c r="BG47" s="426"/>
      <c r="BM47" s="113">
        <v>42</v>
      </c>
      <c r="BN47" s="439">
        <v>86.91</v>
      </c>
      <c r="BO47" s="439">
        <v>87.81</v>
      </c>
      <c r="BP47" s="439">
        <v>88.87</v>
      </c>
      <c r="BQ47" s="426"/>
      <c r="BW47" s="113">
        <v>42</v>
      </c>
      <c r="BX47" s="439">
        <v>90.61</v>
      </c>
      <c r="BY47" s="439">
        <v>91.64</v>
      </c>
      <c r="BZ47" s="439">
        <v>92.79</v>
      </c>
      <c r="CA47" s="426"/>
      <c r="CG47" s="113">
        <v>42</v>
      </c>
      <c r="CH47" s="439">
        <v>96.55</v>
      </c>
      <c r="CI47" s="439">
        <v>97.73</v>
      </c>
      <c r="CJ47" s="439">
        <v>99.01</v>
      </c>
      <c r="CK47" s="426"/>
      <c r="CQ47" s="113">
        <v>42</v>
      </c>
      <c r="CR47" s="439">
        <v>102.82</v>
      </c>
      <c r="CS47" s="439">
        <v>104.17</v>
      </c>
      <c r="CT47" s="439">
        <v>105.57</v>
      </c>
      <c r="CU47" s="426"/>
    </row>
    <row r="48" spans="2:99" x14ac:dyDescent="0.2">
      <c r="B48" s="113">
        <v>43</v>
      </c>
      <c r="C48" s="439">
        <v>63.72</v>
      </c>
      <c r="D48" s="439">
        <v>64.03</v>
      </c>
      <c r="E48" s="439">
        <v>64.62</v>
      </c>
      <c r="F48" s="426"/>
      <c r="M48" s="113">
        <v>43</v>
      </c>
      <c r="N48" s="439">
        <v>68.39</v>
      </c>
      <c r="O48" s="439">
        <v>68.790000000000006</v>
      </c>
      <c r="P48" s="439">
        <v>69.45</v>
      </c>
      <c r="Q48" s="426"/>
      <c r="X48" s="113">
        <v>43</v>
      </c>
      <c r="Y48" s="439">
        <v>73.180000000000007</v>
      </c>
      <c r="Z48" s="439">
        <v>73.63</v>
      </c>
      <c r="AA48" s="439">
        <v>74.36</v>
      </c>
      <c r="AB48" s="426"/>
      <c r="AI48" s="113">
        <v>43</v>
      </c>
      <c r="AJ48" s="439">
        <v>76.569999999999993</v>
      </c>
      <c r="AK48" s="439">
        <v>77.17</v>
      </c>
      <c r="AL48" s="439">
        <v>77.989999999999995</v>
      </c>
      <c r="AM48" s="426"/>
      <c r="AS48" s="113">
        <v>43</v>
      </c>
      <c r="AT48" s="439">
        <v>82.06</v>
      </c>
      <c r="AU48" s="439">
        <v>82.77</v>
      </c>
      <c r="AV48" s="439">
        <v>83.69</v>
      </c>
      <c r="AW48" s="426"/>
      <c r="BC48" s="113">
        <v>43</v>
      </c>
      <c r="BD48" s="439">
        <v>81.680000000000007</v>
      </c>
      <c r="BE48" s="439">
        <v>82.46</v>
      </c>
      <c r="BF48" s="439">
        <v>83.42</v>
      </c>
      <c r="BG48" s="426"/>
      <c r="BM48" s="113">
        <v>43</v>
      </c>
      <c r="BN48" s="439">
        <v>87.22</v>
      </c>
      <c r="BO48" s="439">
        <v>88.13</v>
      </c>
      <c r="BP48" s="439">
        <v>89.2</v>
      </c>
      <c r="BQ48" s="426"/>
      <c r="BW48" s="113">
        <v>43</v>
      </c>
      <c r="BX48" s="439">
        <v>90.96</v>
      </c>
      <c r="BY48" s="439">
        <v>92</v>
      </c>
      <c r="BZ48" s="439">
        <v>93.16</v>
      </c>
      <c r="CA48" s="426"/>
      <c r="CG48" s="113">
        <v>43</v>
      </c>
      <c r="CH48" s="439">
        <v>96.95</v>
      </c>
      <c r="CI48" s="439">
        <v>98.14</v>
      </c>
      <c r="CJ48" s="439">
        <v>99.43</v>
      </c>
      <c r="CK48" s="426"/>
      <c r="CQ48" s="113">
        <v>43</v>
      </c>
      <c r="CR48" s="439">
        <v>103.25</v>
      </c>
      <c r="CS48" s="439">
        <v>104.62</v>
      </c>
      <c r="CT48" s="439">
        <v>106.04</v>
      </c>
      <c r="CU48" s="426"/>
    </row>
    <row r="49" spans="2:103" x14ac:dyDescent="0.2">
      <c r="B49" s="113">
        <v>44</v>
      </c>
      <c r="C49" s="439">
        <v>63.79</v>
      </c>
      <c r="D49" s="439">
        <v>64.099999999999994</v>
      </c>
      <c r="E49" s="439">
        <v>64.69</v>
      </c>
      <c r="F49" s="426"/>
      <c r="M49" s="113">
        <v>44</v>
      </c>
      <c r="N49" s="439">
        <v>68.489999999999995</v>
      </c>
      <c r="O49" s="439">
        <v>68.900000000000006</v>
      </c>
      <c r="P49" s="439">
        <v>69.569999999999993</v>
      </c>
      <c r="Q49" s="426"/>
      <c r="X49" s="113">
        <v>44</v>
      </c>
      <c r="Y49" s="439">
        <v>73.55</v>
      </c>
      <c r="Z49" s="439">
        <v>74.05</v>
      </c>
      <c r="AA49" s="439">
        <v>74.81</v>
      </c>
      <c r="AB49" s="426"/>
      <c r="AI49" s="113">
        <v>44</v>
      </c>
      <c r="AJ49" s="439">
        <v>76.77</v>
      </c>
      <c r="AK49" s="439">
        <v>77.36</v>
      </c>
      <c r="AL49" s="439">
        <v>78.2</v>
      </c>
      <c r="AM49" s="426"/>
      <c r="AS49" s="113">
        <v>44</v>
      </c>
      <c r="AT49" s="439">
        <v>82.3</v>
      </c>
      <c r="AU49" s="439">
        <v>83.01</v>
      </c>
      <c r="AV49" s="439">
        <v>83.95</v>
      </c>
      <c r="AW49" s="426"/>
      <c r="BC49" s="113">
        <v>44</v>
      </c>
      <c r="BD49" s="439">
        <v>81.95</v>
      </c>
      <c r="BE49" s="439">
        <v>82.73</v>
      </c>
      <c r="BF49" s="439">
        <v>83.71</v>
      </c>
      <c r="BG49" s="426"/>
      <c r="BM49" s="113">
        <v>44</v>
      </c>
      <c r="BN49" s="439">
        <v>87.53</v>
      </c>
      <c r="BO49" s="439">
        <v>88.45</v>
      </c>
      <c r="BP49" s="439">
        <v>89.54</v>
      </c>
      <c r="BQ49" s="426"/>
      <c r="BW49" s="113">
        <v>44</v>
      </c>
      <c r="BX49" s="439">
        <v>91.31</v>
      </c>
      <c r="BY49" s="439">
        <v>92.36</v>
      </c>
      <c r="BZ49" s="439">
        <v>93.54</v>
      </c>
      <c r="CA49" s="426"/>
      <c r="CG49" s="113">
        <v>44</v>
      </c>
      <c r="CH49" s="439">
        <v>97.34</v>
      </c>
      <c r="CI49" s="439">
        <v>98.55</v>
      </c>
      <c r="CJ49" s="439">
        <v>99.85</v>
      </c>
      <c r="CK49" s="426"/>
      <c r="CQ49" s="113">
        <v>44</v>
      </c>
      <c r="CR49" s="439">
        <v>103.7</v>
      </c>
      <c r="CS49" s="439">
        <v>105.08</v>
      </c>
      <c r="CT49" s="439">
        <v>106.52</v>
      </c>
      <c r="CU49" s="426"/>
    </row>
    <row r="50" spans="2:103" x14ac:dyDescent="0.2">
      <c r="B50" s="113">
        <v>45</v>
      </c>
      <c r="C50" s="439">
        <v>63.85</v>
      </c>
      <c r="D50" s="439">
        <v>64.17</v>
      </c>
      <c r="E50" s="439">
        <v>64.760000000000005</v>
      </c>
      <c r="F50" s="426"/>
      <c r="M50" s="113">
        <v>45</v>
      </c>
      <c r="N50" s="439">
        <v>68.599999999999994</v>
      </c>
      <c r="O50" s="439">
        <v>69.010000000000005</v>
      </c>
      <c r="P50" s="439">
        <v>69.680000000000007</v>
      </c>
      <c r="Q50" s="426"/>
      <c r="X50" s="113">
        <v>45</v>
      </c>
      <c r="Y50" s="439">
        <v>73.7</v>
      </c>
      <c r="Z50" s="439">
        <v>74.209999999999994</v>
      </c>
      <c r="AA50" s="439">
        <v>74.97</v>
      </c>
      <c r="AB50" s="426"/>
      <c r="AI50" s="113">
        <v>45</v>
      </c>
      <c r="AJ50" s="439">
        <v>76.959999999999994</v>
      </c>
      <c r="AK50" s="439">
        <v>77.56</v>
      </c>
      <c r="AL50" s="439">
        <v>78.400000000000006</v>
      </c>
      <c r="AM50" s="426"/>
      <c r="AS50" s="113">
        <v>45</v>
      </c>
      <c r="AT50" s="439">
        <v>82.54</v>
      </c>
      <c r="AU50" s="439">
        <v>83.26</v>
      </c>
      <c r="AV50" s="439">
        <v>84.2</v>
      </c>
      <c r="AW50" s="426"/>
      <c r="BC50" s="113">
        <v>45</v>
      </c>
      <c r="BD50" s="439">
        <v>82.22</v>
      </c>
      <c r="BE50" s="439">
        <v>83.01</v>
      </c>
      <c r="BF50" s="439">
        <v>84</v>
      </c>
      <c r="BG50" s="426"/>
      <c r="BM50" s="113">
        <v>45</v>
      </c>
      <c r="BN50" s="439">
        <v>87.85</v>
      </c>
      <c r="BO50" s="439">
        <v>88.78</v>
      </c>
      <c r="BP50" s="439">
        <v>89.88</v>
      </c>
      <c r="BQ50" s="426"/>
      <c r="BW50" s="113">
        <v>45</v>
      </c>
      <c r="BX50" s="439">
        <v>91.67</v>
      </c>
      <c r="BY50" s="439">
        <v>92.73</v>
      </c>
      <c r="BZ50" s="439">
        <v>93.92</v>
      </c>
      <c r="CA50" s="426"/>
      <c r="CG50" s="113">
        <v>45</v>
      </c>
      <c r="CH50" s="439">
        <v>97.75</v>
      </c>
      <c r="CI50" s="439">
        <v>98.97</v>
      </c>
      <c r="CJ50" s="439">
        <v>100.29</v>
      </c>
      <c r="CK50" s="426"/>
      <c r="CQ50" s="113">
        <v>45</v>
      </c>
      <c r="CR50" s="439">
        <v>104.16</v>
      </c>
      <c r="CS50" s="439">
        <v>105.56</v>
      </c>
      <c r="CT50" s="439">
        <v>107.01</v>
      </c>
      <c r="CU50" s="426"/>
    </row>
    <row r="51" spans="2:103" x14ac:dyDescent="0.2">
      <c r="B51" s="113">
        <v>46</v>
      </c>
      <c r="C51" s="439">
        <v>63.92</v>
      </c>
      <c r="D51" s="439">
        <v>64.239999999999995</v>
      </c>
      <c r="E51" s="439">
        <v>64.84</v>
      </c>
      <c r="F51" s="426"/>
      <c r="M51" s="113">
        <v>46</v>
      </c>
      <c r="N51" s="439">
        <v>68.709999999999994</v>
      </c>
      <c r="O51" s="439">
        <v>69.12</v>
      </c>
      <c r="P51" s="439">
        <v>69.8</v>
      </c>
      <c r="Q51" s="426"/>
      <c r="X51" s="113">
        <v>46</v>
      </c>
      <c r="Y51" s="439">
        <v>73.849999999999994</v>
      </c>
      <c r="Z51" s="439">
        <v>74.37</v>
      </c>
      <c r="AA51" s="439">
        <v>75.14</v>
      </c>
      <c r="AB51" s="426"/>
      <c r="AI51" s="113">
        <v>46</v>
      </c>
      <c r="AJ51" s="439">
        <v>77.16</v>
      </c>
      <c r="AK51" s="439">
        <v>77.77</v>
      </c>
      <c r="AL51" s="439">
        <v>78.61</v>
      </c>
      <c r="AM51" s="426"/>
      <c r="AS51" s="113">
        <v>46</v>
      </c>
      <c r="AT51" s="439">
        <v>82.78</v>
      </c>
      <c r="AU51" s="439">
        <v>83.52</v>
      </c>
      <c r="AV51" s="439">
        <v>84.46</v>
      </c>
      <c r="AW51" s="426"/>
      <c r="BC51" s="113">
        <v>46</v>
      </c>
      <c r="BD51" s="439">
        <v>82.49</v>
      </c>
      <c r="BE51" s="439">
        <v>83.3</v>
      </c>
      <c r="BF51" s="439">
        <v>84.29</v>
      </c>
      <c r="BG51" s="426"/>
      <c r="BM51" s="113">
        <v>46</v>
      </c>
      <c r="BN51" s="439">
        <v>88.17</v>
      </c>
      <c r="BO51" s="439">
        <v>89.12</v>
      </c>
      <c r="BP51" s="439">
        <v>90.22</v>
      </c>
      <c r="BQ51" s="426"/>
      <c r="BW51" s="113">
        <v>46</v>
      </c>
      <c r="BX51" s="439">
        <v>92.04</v>
      </c>
      <c r="BY51" s="439">
        <v>93.11</v>
      </c>
      <c r="BZ51" s="439">
        <v>94.31</v>
      </c>
      <c r="CA51" s="426"/>
      <c r="CG51" s="113">
        <v>46</v>
      </c>
      <c r="CH51" s="439">
        <v>98.17</v>
      </c>
      <c r="CI51" s="439">
        <v>99.41</v>
      </c>
      <c r="CJ51" s="439">
        <v>100.73</v>
      </c>
      <c r="CK51" s="426"/>
      <c r="CQ51" s="113">
        <v>46</v>
      </c>
      <c r="CR51" s="439">
        <v>104.63</v>
      </c>
      <c r="CS51" s="439">
        <v>106.05</v>
      </c>
      <c r="CT51" s="439">
        <v>107.51</v>
      </c>
      <c r="CU51" s="426"/>
    </row>
    <row r="52" spans="2:103" x14ac:dyDescent="0.2">
      <c r="B52" s="113">
        <v>47</v>
      </c>
      <c r="C52" s="439">
        <v>63.98</v>
      </c>
      <c r="D52" s="439">
        <v>64.3</v>
      </c>
      <c r="E52" s="439">
        <v>64.91</v>
      </c>
      <c r="F52" s="426"/>
      <c r="M52" s="113">
        <v>47</v>
      </c>
      <c r="N52" s="439">
        <v>68.81</v>
      </c>
      <c r="O52" s="439">
        <v>69.23</v>
      </c>
      <c r="P52" s="439">
        <v>69.92</v>
      </c>
      <c r="Q52" s="426"/>
      <c r="X52" s="113">
        <v>47</v>
      </c>
      <c r="Y52" s="439">
        <v>74</v>
      </c>
      <c r="Z52" s="439">
        <v>74.52</v>
      </c>
      <c r="AA52" s="439">
        <v>75.3</v>
      </c>
      <c r="AB52" s="426"/>
      <c r="AI52" s="113">
        <v>47</v>
      </c>
      <c r="AJ52" s="439">
        <v>77.349999999999994</v>
      </c>
      <c r="AK52" s="439">
        <v>77.97</v>
      </c>
      <c r="AL52" s="439">
        <v>78.819999999999993</v>
      </c>
      <c r="AM52" s="426"/>
      <c r="AS52" s="113">
        <v>47</v>
      </c>
      <c r="AT52" s="439">
        <v>83.03</v>
      </c>
      <c r="AU52" s="439">
        <v>83.77</v>
      </c>
      <c r="AV52" s="439">
        <v>84.73</v>
      </c>
      <c r="AW52" s="426"/>
      <c r="BC52" s="113">
        <v>47</v>
      </c>
      <c r="BD52" s="439">
        <v>82.77</v>
      </c>
      <c r="BE52" s="439">
        <v>83.59</v>
      </c>
      <c r="BF52" s="439">
        <v>84.59</v>
      </c>
      <c r="BG52" s="426"/>
      <c r="BM52" s="113">
        <v>47</v>
      </c>
      <c r="BN52" s="439">
        <v>88.5</v>
      </c>
      <c r="BO52" s="439">
        <v>89.46</v>
      </c>
      <c r="BP52" s="439">
        <v>90.57</v>
      </c>
      <c r="BQ52" s="426"/>
      <c r="BW52" s="113">
        <v>47</v>
      </c>
      <c r="BX52" s="439">
        <v>92.41</v>
      </c>
      <c r="BY52" s="439">
        <v>93.5</v>
      </c>
      <c r="BZ52" s="439">
        <v>94.71</v>
      </c>
      <c r="CA52" s="426"/>
      <c r="CG52" s="113">
        <v>47</v>
      </c>
      <c r="CH52" s="439">
        <v>98.6</v>
      </c>
      <c r="CI52" s="439">
        <v>99.85</v>
      </c>
      <c r="CJ52" s="439">
        <v>101.19</v>
      </c>
      <c r="CK52" s="426"/>
      <c r="CQ52" s="113">
        <v>47</v>
      </c>
      <c r="CR52" s="439">
        <v>105.11</v>
      </c>
      <c r="CS52" s="439">
        <v>106.55</v>
      </c>
      <c r="CT52" s="439">
        <v>108.03</v>
      </c>
      <c r="CU52" s="426"/>
    </row>
    <row r="53" spans="2:103" x14ac:dyDescent="0.2">
      <c r="B53" s="113">
        <v>48</v>
      </c>
      <c r="C53" s="439">
        <v>64.040000000000006</v>
      </c>
      <c r="D53" s="439">
        <v>64.37</v>
      </c>
      <c r="E53" s="439">
        <v>64.97</v>
      </c>
      <c r="F53" s="426"/>
      <c r="M53" s="113">
        <v>48</v>
      </c>
      <c r="N53" s="439">
        <v>68.92</v>
      </c>
      <c r="O53" s="439">
        <v>69.34</v>
      </c>
      <c r="P53" s="439">
        <v>70.03</v>
      </c>
      <c r="Q53" s="426"/>
      <c r="X53" s="113">
        <v>48</v>
      </c>
      <c r="Y53" s="439">
        <v>74.16</v>
      </c>
      <c r="Z53" s="439">
        <v>74.680000000000007</v>
      </c>
      <c r="AA53" s="439">
        <v>75.47</v>
      </c>
      <c r="AB53" s="426"/>
      <c r="AI53" s="113">
        <v>48</v>
      </c>
      <c r="AJ53" s="439">
        <v>77.55</v>
      </c>
      <c r="AK53" s="439">
        <v>78.17</v>
      </c>
      <c r="AL53" s="439">
        <v>79.03</v>
      </c>
      <c r="AM53" s="426"/>
      <c r="AS53" s="113">
        <v>48</v>
      </c>
      <c r="AT53" s="439">
        <v>83.28</v>
      </c>
      <c r="AU53" s="439">
        <v>84.03</v>
      </c>
      <c r="AV53" s="439">
        <v>84.99</v>
      </c>
      <c r="AW53" s="426"/>
      <c r="BC53" s="113">
        <v>48</v>
      </c>
      <c r="BD53" s="439">
        <v>83.06</v>
      </c>
      <c r="BE53" s="439">
        <v>83.88</v>
      </c>
      <c r="BF53" s="439">
        <v>84.89</v>
      </c>
      <c r="BG53" s="426"/>
      <c r="BM53" s="113">
        <v>48</v>
      </c>
      <c r="BN53" s="439">
        <v>88.84</v>
      </c>
      <c r="BO53" s="439">
        <v>89.81</v>
      </c>
      <c r="BP53" s="439">
        <v>90.93</v>
      </c>
      <c r="BQ53" s="426"/>
      <c r="BW53" s="113">
        <v>48</v>
      </c>
      <c r="BX53" s="439">
        <v>92.8</v>
      </c>
      <c r="BY53" s="439">
        <v>93.9</v>
      </c>
      <c r="BZ53" s="439">
        <v>95.12</v>
      </c>
      <c r="CA53" s="426"/>
      <c r="CG53" s="113">
        <v>48</v>
      </c>
      <c r="CH53" s="439">
        <v>99.04</v>
      </c>
      <c r="CI53" s="439">
        <v>100.32</v>
      </c>
      <c r="CJ53" s="439">
        <v>101.67</v>
      </c>
      <c r="CK53" s="426"/>
      <c r="CQ53" s="113">
        <v>48</v>
      </c>
      <c r="CR53" s="439">
        <v>105.61</v>
      </c>
      <c r="CS53" s="439">
        <v>107.07</v>
      </c>
      <c r="CT53" s="439">
        <v>108.56</v>
      </c>
      <c r="CU53" s="426"/>
    </row>
    <row r="54" spans="2:103" x14ac:dyDescent="0.2">
      <c r="B54" s="113">
        <v>49</v>
      </c>
      <c r="C54" s="439">
        <v>64.099999999999994</v>
      </c>
      <c r="D54" s="439">
        <v>64.430000000000007</v>
      </c>
      <c r="E54" s="439">
        <v>65.040000000000006</v>
      </c>
      <c r="F54" s="426"/>
      <c r="M54" s="113">
        <v>49</v>
      </c>
      <c r="N54" s="439">
        <v>69.02</v>
      </c>
      <c r="O54" s="439">
        <v>69.45</v>
      </c>
      <c r="P54" s="439">
        <v>70.150000000000006</v>
      </c>
      <c r="Q54" s="426"/>
      <c r="X54" s="113">
        <v>49</v>
      </c>
      <c r="Y54" s="439">
        <v>74.31</v>
      </c>
      <c r="Z54" s="439">
        <v>74.84</v>
      </c>
      <c r="AA54" s="439">
        <v>75.63</v>
      </c>
      <c r="AB54" s="426"/>
      <c r="AI54" s="113">
        <v>49</v>
      </c>
      <c r="AJ54" s="439">
        <v>77.75</v>
      </c>
      <c r="AK54" s="439">
        <v>78.38</v>
      </c>
      <c r="AL54" s="439">
        <v>79.25</v>
      </c>
      <c r="AM54" s="426"/>
      <c r="AS54" s="113">
        <v>49</v>
      </c>
      <c r="AT54" s="439">
        <v>83.53</v>
      </c>
      <c r="AU54" s="439">
        <v>84.29</v>
      </c>
      <c r="AV54" s="439">
        <v>85.26</v>
      </c>
      <c r="AW54" s="426"/>
      <c r="BC54" s="113">
        <v>49</v>
      </c>
      <c r="BD54" s="439">
        <v>83.34</v>
      </c>
      <c r="BE54" s="439">
        <v>84.18</v>
      </c>
      <c r="BF54" s="439">
        <v>85.2</v>
      </c>
      <c r="BG54" s="426"/>
      <c r="BM54" s="113">
        <v>49</v>
      </c>
      <c r="BN54" s="439">
        <v>89.18</v>
      </c>
      <c r="BO54" s="439">
        <v>90.17</v>
      </c>
      <c r="BP54" s="439">
        <v>91.3</v>
      </c>
      <c r="BQ54" s="426"/>
      <c r="BW54" s="113">
        <v>49</v>
      </c>
      <c r="BX54" s="439">
        <v>93.2</v>
      </c>
      <c r="BY54" s="439">
        <v>94.32</v>
      </c>
      <c r="BZ54" s="439">
        <v>95.55</v>
      </c>
      <c r="CA54" s="426"/>
      <c r="CG54" s="113">
        <v>49</v>
      </c>
      <c r="CH54" s="439">
        <v>99.5</v>
      </c>
      <c r="CI54" s="439">
        <v>100.79</v>
      </c>
      <c r="CJ54" s="439">
        <v>102.16</v>
      </c>
      <c r="CK54" s="426"/>
      <c r="CQ54" s="113">
        <v>49</v>
      </c>
      <c r="CR54" s="439">
        <v>106.12</v>
      </c>
      <c r="CS54" s="439">
        <v>107.6</v>
      </c>
      <c r="CT54" s="439">
        <v>109.11</v>
      </c>
      <c r="CU54" s="426"/>
    </row>
    <row r="55" spans="2:103" x14ac:dyDescent="0.2">
      <c r="B55" s="113">
        <v>50</v>
      </c>
      <c r="C55" s="439">
        <v>64.150000000000006</v>
      </c>
      <c r="D55" s="439">
        <v>64.489999999999995</v>
      </c>
      <c r="E55" s="439">
        <v>65.099999999999994</v>
      </c>
      <c r="F55" s="426"/>
      <c r="G55" s="426"/>
      <c r="I55" s="440"/>
      <c r="J55" s="441"/>
      <c r="M55" s="113">
        <v>50</v>
      </c>
      <c r="N55" s="439">
        <v>69.13</v>
      </c>
      <c r="O55" s="439">
        <v>69.56</v>
      </c>
      <c r="P55" s="439">
        <v>70.260000000000005</v>
      </c>
      <c r="Q55" s="426"/>
      <c r="R55" s="426"/>
      <c r="T55" s="440"/>
      <c r="U55" s="441"/>
      <c r="X55" s="113">
        <v>50</v>
      </c>
      <c r="Y55" s="439">
        <v>74.459999999999994</v>
      </c>
      <c r="Z55" s="439">
        <v>75</v>
      </c>
      <c r="AA55" s="439">
        <v>75.8</v>
      </c>
      <c r="AB55" s="426"/>
      <c r="AC55" s="426"/>
      <c r="AE55" s="440"/>
      <c r="AF55" s="441"/>
      <c r="AI55" s="113">
        <v>50</v>
      </c>
      <c r="AJ55" s="439">
        <v>77.95</v>
      </c>
      <c r="AK55" s="439">
        <v>78.59</v>
      </c>
      <c r="AL55" s="439">
        <v>79.47</v>
      </c>
      <c r="AM55" s="426"/>
      <c r="AN55" s="426"/>
      <c r="AP55" s="440"/>
      <c r="AQ55" s="441"/>
      <c r="AS55" s="113">
        <v>50</v>
      </c>
      <c r="AT55" s="439">
        <v>83.79</v>
      </c>
      <c r="AU55" s="439">
        <v>84.56</v>
      </c>
      <c r="AV55" s="439">
        <v>85.54</v>
      </c>
      <c r="AW55" s="426"/>
      <c r="AX55" s="426"/>
      <c r="AZ55" s="440"/>
      <c r="BA55" s="441"/>
      <c r="BC55" s="113">
        <v>50</v>
      </c>
      <c r="BD55" s="439">
        <v>83.64</v>
      </c>
      <c r="BE55" s="439">
        <v>84.49</v>
      </c>
      <c r="BF55" s="439">
        <v>85.52</v>
      </c>
      <c r="BG55" s="426"/>
      <c r="BH55" s="426"/>
      <c r="BJ55" s="440"/>
      <c r="BK55" s="441"/>
      <c r="BM55" s="113">
        <v>50</v>
      </c>
      <c r="BN55" s="439">
        <v>89.54</v>
      </c>
      <c r="BO55" s="439">
        <v>90.54</v>
      </c>
      <c r="BP55" s="439">
        <v>91.69</v>
      </c>
      <c r="BQ55" s="426"/>
      <c r="BR55" s="426"/>
      <c r="BT55" s="440"/>
      <c r="BU55" s="441"/>
      <c r="BW55" s="113">
        <v>50</v>
      </c>
      <c r="BX55" s="439">
        <v>93.61</v>
      </c>
      <c r="BY55" s="439">
        <v>94.75</v>
      </c>
      <c r="BZ55" s="439">
        <v>96</v>
      </c>
      <c r="CA55" s="426"/>
      <c r="CB55" s="426"/>
      <c r="CD55" s="440"/>
      <c r="CE55" s="441"/>
      <c r="CG55" s="113">
        <v>50</v>
      </c>
      <c r="CH55" s="439">
        <v>99.98</v>
      </c>
      <c r="CI55" s="439">
        <v>101.29</v>
      </c>
      <c r="CJ55" s="439">
        <v>102.67</v>
      </c>
      <c r="CK55" s="426"/>
      <c r="CL55" s="426"/>
      <c r="CN55" s="440"/>
      <c r="CO55" s="441"/>
      <c r="CQ55" s="113">
        <v>50</v>
      </c>
      <c r="CR55" s="439">
        <v>106.65</v>
      </c>
      <c r="CS55" s="439">
        <v>108.15</v>
      </c>
      <c r="CT55" s="439">
        <v>109.67</v>
      </c>
      <c r="CU55" s="426"/>
      <c r="CV55" s="426"/>
      <c r="CX55" s="440"/>
      <c r="CY55" s="441"/>
    </row>
    <row r="56" spans="2:103" x14ac:dyDescent="0.2">
      <c r="B56" s="113">
        <v>51</v>
      </c>
      <c r="C56" s="439">
        <v>64.209999999999994</v>
      </c>
      <c r="D56" s="439">
        <v>64.540000000000006</v>
      </c>
      <c r="E56" s="439">
        <v>65.16</v>
      </c>
      <c r="M56" s="113">
        <v>51</v>
      </c>
      <c r="N56" s="439">
        <v>69.23</v>
      </c>
      <c r="O56" s="439">
        <v>69.66</v>
      </c>
      <c r="P56" s="439">
        <v>70.37</v>
      </c>
      <c r="X56" s="113">
        <v>51</v>
      </c>
      <c r="Y56" s="439">
        <v>74.62</v>
      </c>
      <c r="Z56" s="439">
        <v>75.16</v>
      </c>
      <c r="AA56" s="439">
        <v>75.97</v>
      </c>
      <c r="AI56" s="113">
        <v>51</v>
      </c>
      <c r="AJ56" s="439">
        <v>78.16</v>
      </c>
      <c r="AK56" s="439">
        <v>78.8</v>
      </c>
      <c r="AL56" s="439">
        <v>79.69</v>
      </c>
      <c r="AS56" s="113">
        <v>51</v>
      </c>
      <c r="AT56" s="439">
        <v>84.05</v>
      </c>
      <c r="AU56" s="439">
        <v>84.83</v>
      </c>
      <c r="AV56" s="439">
        <v>85.83</v>
      </c>
      <c r="BC56" s="113">
        <v>51</v>
      </c>
      <c r="BD56" s="439">
        <v>83.95</v>
      </c>
      <c r="BE56" s="439">
        <v>84.81</v>
      </c>
      <c r="BF56" s="439">
        <v>85.85</v>
      </c>
      <c r="BM56" s="113">
        <v>51</v>
      </c>
      <c r="BN56" s="439">
        <v>89.92</v>
      </c>
      <c r="BO56" s="439">
        <v>90.93</v>
      </c>
      <c r="BP56" s="439">
        <v>92.09</v>
      </c>
      <c r="BW56" s="113">
        <v>51</v>
      </c>
      <c r="BX56" s="439">
        <v>94.05</v>
      </c>
      <c r="BY56" s="439">
        <v>95.2</v>
      </c>
      <c r="BZ56" s="439">
        <v>96.46</v>
      </c>
      <c r="CG56" s="113">
        <v>51</v>
      </c>
      <c r="CH56" s="439">
        <v>100.47</v>
      </c>
      <c r="CI56" s="439">
        <v>101.8</v>
      </c>
      <c r="CJ56" s="439">
        <v>103.2</v>
      </c>
      <c r="CQ56" s="113">
        <v>51</v>
      </c>
      <c r="CR56" s="439">
        <v>107.18</v>
      </c>
      <c r="CS56" s="439">
        <v>108.7</v>
      </c>
      <c r="CT56" s="439">
        <v>110.24</v>
      </c>
    </row>
    <row r="57" spans="2:103" x14ac:dyDescent="0.2">
      <c r="B57" s="113">
        <v>52</v>
      </c>
      <c r="C57" s="439">
        <v>64.25</v>
      </c>
      <c r="D57" s="439">
        <v>64.59</v>
      </c>
      <c r="E57" s="439">
        <v>65.22</v>
      </c>
      <c r="M57" s="113">
        <v>52</v>
      </c>
      <c r="N57" s="439">
        <v>69.33</v>
      </c>
      <c r="O57" s="439">
        <v>69.77</v>
      </c>
      <c r="P57" s="439">
        <v>70.48</v>
      </c>
      <c r="X57" s="113">
        <v>52</v>
      </c>
      <c r="Y57" s="439">
        <v>74.77</v>
      </c>
      <c r="Z57" s="439">
        <v>75.33</v>
      </c>
      <c r="AA57" s="439">
        <v>76.13</v>
      </c>
      <c r="AI57" s="113">
        <v>52</v>
      </c>
      <c r="AJ57" s="439">
        <v>78.37</v>
      </c>
      <c r="AK57" s="439">
        <v>79.02</v>
      </c>
      <c r="AL57" s="439">
        <v>79.91</v>
      </c>
      <c r="AS57" s="113">
        <v>52</v>
      </c>
      <c r="AT57" s="439">
        <v>84.32</v>
      </c>
      <c r="AU57" s="439">
        <v>85.12</v>
      </c>
      <c r="AV57" s="439">
        <v>86.12</v>
      </c>
      <c r="BC57" s="113">
        <v>52</v>
      </c>
      <c r="BD57" s="439">
        <v>84.27</v>
      </c>
      <c r="BE57" s="439">
        <v>85.15</v>
      </c>
      <c r="BF57" s="439">
        <v>86.2</v>
      </c>
      <c r="BM57" s="113">
        <v>52</v>
      </c>
      <c r="BN57" s="439">
        <v>90.31</v>
      </c>
      <c r="BO57" s="439">
        <v>91.34</v>
      </c>
      <c r="BP57" s="439">
        <v>92.51</v>
      </c>
      <c r="BW57" s="113">
        <v>52</v>
      </c>
      <c r="BX57" s="439">
        <v>94.5</v>
      </c>
      <c r="BY57" s="439">
        <v>95.67</v>
      </c>
      <c r="BZ57" s="439">
        <v>96.95</v>
      </c>
      <c r="CG57" s="113">
        <v>52</v>
      </c>
      <c r="CH57" s="439">
        <v>100.98</v>
      </c>
      <c r="CI57" s="439">
        <v>102.33</v>
      </c>
      <c r="CJ57" s="439">
        <v>103.74</v>
      </c>
      <c r="CQ57" s="113">
        <v>52</v>
      </c>
      <c r="CR57" s="439">
        <v>107.72</v>
      </c>
      <c r="CS57" s="439">
        <v>109.27</v>
      </c>
      <c r="CT57" s="439">
        <v>110.82</v>
      </c>
    </row>
    <row r="58" spans="2:103" x14ac:dyDescent="0.2">
      <c r="B58" s="113">
        <v>53</v>
      </c>
      <c r="C58" s="439">
        <v>64.3</v>
      </c>
      <c r="D58" s="439">
        <v>64.64</v>
      </c>
      <c r="E58" s="439">
        <v>65.27</v>
      </c>
      <c r="M58" s="113">
        <v>53</v>
      </c>
      <c r="N58" s="439">
        <v>69.430000000000007</v>
      </c>
      <c r="O58" s="439">
        <v>69.87</v>
      </c>
      <c r="P58" s="439">
        <v>70.59</v>
      </c>
      <c r="X58" s="113">
        <v>53</v>
      </c>
      <c r="Y58" s="439">
        <v>74.930000000000007</v>
      </c>
      <c r="Z58" s="439">
        <v>75.489999999999995</v>
      </c>
      <c r="AA58" s="439">
        <v>76.31</v>
      </c>
      <c r="AI58" s="113">
        <v>53</v>
      </c>
      <c r="AJ58" s="439">
        <v>78.58</v>
      </c>
      <c r="AK58" s="439">
        <v>79.25</v>
      </c>
      <c r="AL58" s="439">
        <v>80.150000000000006</v>
      </c>
      <c r="AS58" s="113">
        <v>53</v>
      </c>
      <c r="AT58" s="439">
        <v>84.61</v>
      </c>
      <c r="AU58" s="439">
        <v>85.42</v>
      </c>
      <c r="AV58" s="439">
        <v>86.43</v>
      </c>
      <c r="BC58" s="113">
        <v>53</v>
      </c>
      <c r="BD58" s="439">
        <v>84.61</v>
      </c>
      <c r="BE58" s="439">
        <v>85.5</v>
      </c>
      <c r="BF58" s="439">
        <v>86.56</v>
      </c>
      <c r="BM58" s="113">
        <v>53</v>
      </c>
      <c r="BN58" s="439">
        <v>90.73</v>
      </c>
      <c r="BO58" s="439">
        <v>91.77</v>
      </c>
      <c r="BP58" s="439">
        <v>92.96</v>
      </c>
      <c r="BW58" s="113">
        <v>53</v>
      </c>
      <c r="BX58" s="439">
        <v>94.97</v>
      </c>
      <c r="BY58" s="439">
        <v>96.17</v>
      </c>
      <c r="BZ58" s="439">
        <v>97.46</v>
      </c>
      <c r="CG58" s="113">
        <v>53</v>
      </c>
      <c r="CH58" s="439">
        <v>101.5</v>
      </c>
      <c r="CI58" s="439">
        <v>102.88</v>
      </c>
      <c r="CJ58" s="439">
        <v>104.3</v>
      </c>
      <c r="CQ58" s="113">
        <v>53</v>
      </c>
      <c r="CR58" s="439">
        <v>108.26</v>
      </c>
      <c r="CS58" s="439">
        <v>109.83</v>
      </c>
      <c r="CT58" s="439">
        <v>111.4</v>
      </c>
    </row>
    <row r="59" spans="2:103" x14ac:dyDescent="0.2">
      <c r="B59" s="113">
        <v>54</v>
      </c>
      <c r="C59" s="439">
        <v>64.34</v>
      </c>
      <c r="D59" s="439">
        <v>64.69</v>
      </c>
      <c r="E59" s="439">
        <v>65.319999999999993</v>
      </c>
      <c r="M59" s="113">
        <v>54</v>
      </c>
      <c r="N59" s="439">
        <v>69.52</v>
      </c>
      <c r="O59" s="439">
        <v>69.98</v>
      </c>
      <c r="P59" s="439">
        <v>70.7</v>
      </c>
      <c r="X59" s="113">
        <v>54</v>
      </c>
      <c r="Y59" s="439">
        <v>75.09</v>
      </c>
      <c r="Z59" s="439">
        <v>75.66</v>
      </c>
      <c r="AA59" s="439">
        <v>76.48</v>
      </c>
      <c r="AI59" s="113">
        <v>54</v>
      </c>
      <c r="AJ59" s="439">
        <v>78.8</v>
      </c>
      <c r="AK59" s="439">
        <v>79.48</v>
      </c>
      <c r="AL59" s="439">
        <v>80.39</v>
      </c>
      <c r="AS59" s="113">
        <v>54</v>
      </c>
      <c r="AT59" s="439">
        <v>84.91</v>
      </c>
      <c r="AU59" s="439">
        <v>85.73</v>
      </c>
      <c r="AV59" s="439">
        <v>86.75</v>
      </c>
      <c r="BC59" s="113">
        <v>54</v>
      </c>
      <c r="BD59" s="439">
        <v>84.97</v>
      </c>
      <c r="BE59" s="439">
        <v>85.87</v>
      </c>
      <c r="BF59" s="439">
        <v>86.95</v>
      </c>
      <c r="BM59" s="113">
        <v>54</v>
      </c>
      <c r="BN59" s="439">
        <v>91.16</v>
      </c>
      <c r="BO59" s="439">
        <v>92.23</v>
      </c>
      <c r="BP59" s="439">
        <v>93.42</v>
      </c>
      <c r="BW59" s="113">
        <v>54</v>
      </c>
      <c r="BX59" s="439">
        <v>95.46</v>
      </c>
      <c r="BY59" s="439">
        <v>96.68</v>
      </c>
      <c r="BZ59" s="439">
        <v>97.98</v>
      </c>
      <c r="CG59" s="113">
        <v>54</v>
      </c>
      <c r="CH59" s="439">
        <v>102.03</v>
      </c>
      <c r="CI59" s="439">
        <v>103.43</v>
      </c>
      <c r="CJ59" s="439">
        <v>104.87</v>
      </c>
      <c r="CQ59" s="113">
        <v>54</v>
      </c>
      <c r="CR59" s="439">
        <v>108.78</v>
      </c>
      <c r="CS59" s="439">
        <v>110.39</v>
      </c>
      <c r="CT59" s="439">
        <v>111.96</v>
      </c>
    </row>
    <row r="60" spans="2:103" x14ac:dyDescent="0.2">
      <c r="B60" s="113">
        <v>55</v>
      </c>
      <c r="C60" s="439">
        <v>64.38</v>
      </c>
      <c r="D60" s="439">
        <v>64.73</v>
      </c>
      <c r="E60" s="439">
        <v>65.37</v>
      </c>
      <c r="M60" s="113">
        <v>55</v>
      </c>
      <c r="N60" s="439">
        <v>69.62</v>
      </c>
      <c r="O60" s="439">
        <v>70.08</v>
      </c>
      <c r="P60" s="439">
        <v>70.81</v>
      </c>
      <c r="X60" s="113">
        <v>55</v>
      </c>
      <c r="Y60" s="439">
        <v>75.260000000000005</v>
      </c>
      <c r="Z60" s="439">
        <v>75.84</v>
      </c>
      <c r="AA60" s="439">
        <v>76.66</v>
      </c>
      <c r="AI60" s="113">
        <v>55</v>
      </c>
      <c r="AJ60" s="439">
        <v>79.040000000000006</v>
      </c>
      <c r="AK60" s="439">
        <v>79.73</v>
      </c>
      <c r="AL60" s="439">
        <v>80.64</v>
      </c>
      <c r="AS60" s="113">
        <v>55</v>
      </c>
      <c r="AT60" s="439">
        <v>85.23</v>
      </c>
      <c r="AU60" s="439">
        <v>86.06</v>
      </c>
      <c r="AV60" s="439">
        <v>87.09</v>
      </c>
      <c r="BC60" s="113">
        <v>55</v>
      </c>
      <c r="BD60" s="439">
        <v>85.34</v>
      </c>
      <c r="BE60" s="439">
        <v>86.27</v>
      </c>
      <c r="BF60" s="439">
        <v>87.35</v>
      </c>
      <c r="BM60" s="113">
        <v>55</v>
      </c>
      <c r="BN60" s="439">
        <v>91.61</v>
      </c>
      <c r="BO60" s="439">
        <v>92.7</v>
      </c>
      <c r="BP60" s="439">
        <v>93.91</v>
      </c>
      <c r="BW60" s="113">
        <v>55</v>
      </c>
      <c r="BX60" s="439">
        <v>95.96</v>
      </c>
      <c r="BY60" s="439">
        <v>97.2</v>
      </c>
      <c r="BZ60" s="439">
        <v>98.52</v>
      </c>
      <c r="CG60" s="113">
        <v>55</v>
      </c>
      <c r="CH60" s="439">
        <v>102.55</v>
      </c>
      <c r="CI60" s="439">
        <v>103.98</v>
      </c>
      <c r="CJ60" s="439">
        <v>105.43</v>
      </c>
      <c r="CQ60" s="113">
        <v>55</v>
      </c>
      <c r="CR60" s="439">
        <v>109.28</v>
      </c>
      <c r="CS60" s="439">
        <v>110.91</v>
      </c>
      <c r="CT60" s="439">
        <v>112.51</v>
      </c>
    </row>
    <row r="61" spans="2:103" x14ac:dyDescent="0.2">
      <c r="B61" s="113">
        <v>56</v>
      </c>
      <c r="C61" s="439">
        <v>64.42</v>
      </c>
      <c r="D61" s="439">
        <v>64.77</v>
      </c>
      <c r="E61" s="439">
        <v>65.42</v>
      </c>
      <c r="M61" s="113">
        <v>56</v>
      </c>
      <c r="N61" s="439">
        <v>69.72</v>
      </c>
      <c r="O61" s="439">
        <v>70.19</v>
      </c>
      <c r="P61" s="439">
        <v>70.92</v>
      </c>
      <c r="X61" s="113">
        <v>56</v>
      </c>
      <c r="Y61" s="439">
        <v>75.430000000000007</v>
      </c>
      <c r="Z61" s="439">
        <v>76.010000000000005</v>
      </c>
      <c r="AA61" s="439">
        <v>76.849999999999994</v>
      </c>
      <c r="AI61" s="113">
        <v>56</v>
      </c>
      <c r="AJ61" s="439">
        <v>79.28</v>
      </c>
      <c r="AK61" s="439">
        <v>79.989999999999995</v>
      </c>
      <c r="AL61" s="439">
        <v>80.91</v>
      </c>
      <c r="AS61" s="113">
        <v>56</v>
      </c>
      <c r="AT61" s="439">
        <v>85.56</v>
      </c>
      <c r="AU61" s="439">
        <v>86.41</v>
      </c>
      <c r="AV61" s="439">
        <v>87.45</v>
      </c>
      <c r="BC61" s="113">
        <v>56</v>
      </c>
      <c r="BD61" s="439">
        <v>85.74</v>
      </c>
      <c r="BE61" s="439">
        <v>86.68</v>
      </c>
      <c r="BF61" s="439">
        <v>87.78</v>
      </c>
      <c r="BM61" s="113">
        <v>56</v>
      </c>
      <c r="BN61" s="439">
        <v>92.08</v>
      </c>
      <c r="BO61" s="439">
        <v>93.19</v>
      </c>
      <c r="BP61" s="439">
        <v>94.41</v>
      </c>
      <c r="BW61" s="113">
        <v>56</v>
      </c>
      <c r="BX61" s="439">
        <v>96.46</v>
      </c>
      <c r="BY61" s="439">
        <v>97.72</v>
      </c>
      <c r="BZ61" s="439">
        <v>99.06</v>
      </c>
      <c r="CG61" s="113">
        <v>56</v>
      </c>
      <c r="CH61" s="439">
        <v>103.05</v>
      </c>
      <c r="CI61" s="439">
        <v>104.51</v>
      </c>
      <c r="CJ61" s="439">
        <v>105.98</v>
      </c>
      <c r="CQ61" s="113">
        <v>56</v>
      </c>
      <c r="CR61" s="439">
        <v>109.74</v>
      </c>
      <c r="CS61" s="439">
        <v>111.4</v>
      </c>
      <c r="CT61" s="439">
        <v>113.01</v>
      </c>
    </row>
    <row r="62" spans="2:103" x14ac:dyDescent="0.2">
      <c r="B62" s="113">
        <v>57</v>
      </c>
      <c r="C62" s="439">
        <v>64.45</v>
      </c>
      <c r="D62" s="439">
        <v>64.81</v>
      </c>
      <c r="E62" s="439">
        <v>65.459999999999994</v>
      </c>
      <c r="M62" s="113">
        <v>57</v>
      </c>
      <c r="N62" s="439">
        <v>69.819999999999993</v>
      </c>
      <c r="O62" s="439">
        <v>70.3</v>
      </c>
      <c r="P62" s="439">
        <v>71.040000000000006</v>
      </c>
      <c r="X62" s="113">
        <v>57</v>
      </c>
      <c r="Y62" s="439">
        <v>75.61</v>
      </c>
      <c r="Z62" s="439">
        <v>76.2</v>
      </c>
      <c r="AA62" s="439">
        <v>77.05</v>
      </c>
      <c r="AI62" s="113">
        <v>57</v>
      </c>
      <c r="AJ62" s="439">
        <v>79.55</v>
      </c>
      <c r="AK62" s="439">
        <v>80.260000000000005</v>
      </c>
      <c r="AL62" s="439">
        <v>81.19</v>
      </c>
      <c r="AS62" s="113">
        <v>57</v>
      </c>
      <c r="AT62" s="439">
        <v>85.92</v>
      </c>
      <c r="AU62" s="439">
        <v>86.79</v>
      </c>
      <c r="AV62" s="439">
        <v>87.84</v>
      </c>
      <c r="BC62" s="113">
        <v>57</v>
      </c>
      <c r="BD62" s="439">
        <v>86.15</v>
      </c>
      <c r="BE62" s="439">
        <v>87.11</v>
      </c>
      <c r="BF62" s="439">
        <v>88.23</v>
      </c>
      <c r="BM62" s="113">
        <v>57</v>
      </c>
      <c r="BN62" s="439">
        <v>92.55</v>
      </c>
      <c r="BO62" s="439">
        <v>93.68</v>
      </c>
      <c r="BP62" s="439">
        <v>94.92</v>
      </c>
      <c r="BW62" s="113">
        <v>57</v>
      </c>
      <c r="BX62" s="439">
        <v>96.95</v>
      </c>
      <c r="BY62" s="439">
        <v>98.24</v>
      </c>
      <c r="BZ62" s="439">
        <v>99.59</v>
      </c>
      <c r="CG62" s="113">
        <v>57</v>
      </c>
      <c r="CH62" s="439">
        <v>103.53</v>
      </c>
      <c r="CI62" s="439">
        <v>105.01</v>
      </c>
      <c r="CJ62" s="439">
        <v>106.5</v>
      </c>
      <c r="CQ62" s="113">
        <v>57</v>
      </c>
      <c r="CR62" s="439">
        <v>110.14</v>
      </c>
      <c r="CS62" s="439">
        <v>111.83</v>
      </c>
      <c r="CT62" s="439">
        <v>113.45</v>
      </c>
    </row>
    <row r="63" spans="2:103" x14ac:dyDescent="0.2">
      <c r="B63" s="113">
        <v>58</v>
      </c>
      <c r="C63" s="439">
        <v>64.48</v>
      </c>
      <c r="D63" s="439">
        <v>64.84</v>
      </c>
      <c r="E63" s="439">
        <v>65.5</v>
      </c>
      <c r="M63" s="113">
        <v>58</v>
      </c>
      <c r="N63" s="439">
        <v>69.92</v>
      </c>
      <c r="O63" s="439">
        <v>70.400000000000006</v>
      </c>
      <c r="P63" s="439">
        <v>71.150000000000006</v>
      </c>
      <c r="X63" s="113">
        <v>58</v>
      </c>
      <c r="Y63" s="439">
        <v>75.8</v>
      </c>
      <c r="Z63" s="439">
        <v>76.400000000000006</v>
      </c>
      <c r="AA63" s="439">
        <v>77.260000000000005</v>
      </c>
      <c r="AI63" s="113">
        <v>58</v>
      </c>
      <c r="AJ63" s="439">
        <v>79.83</v>
      </c>
      <c r="AK63" s="439">
        <v>80.55</v>
      </c>
      <c r="AL63" s="439">
        <v>81.5</v>
      </c>
      <c r="AS63" s="113">
        <v>58</v>
      </c>
      <c r="AT63" s="439">
        <v>86.29</v>
      </c>
      <c r="AU63" s="439">
        <v>87.18</v>
      </c>
      <c r="AV63" s="439">
        <v>88.24</v>
      </c>
      <c r="BC63" s="113">
        <v>58</v>
      </c>
      <c r="BD63" s="439">
        <v>86.57</v>
      </c>
      <c r="BE63" s="439">
        <v>87.55</v>
      </c>
      <c r="BF63" s="439">
        <v>88.68</v>
      </c>
      <c r="BM63" s="113">
        <v>58</v>
      </c>
      <c r="BN63" s="439">
        <v>93.03</v>
      </c>
      <c r="BO63" s="439">
        <v>94.18</v>
      </c>
      <c r="BP63" s="439">
        <v>95.44</v>
      </c>
      <c r="BW63" s="113">
        <v>58</v>
      </c>
      <c r="BX63" s="439">
        <v>97.43</v>
      </c>
      <c r="BY63" s="439">
        <v>98.74</v>
      </c>
      <c r="BZ63" s="439">
        <v>100.11</v>
      </c>
      <c r="CG63" s="113">
        <v>58</v>
      </c>
      <c r="CH63" s="439">
        <v>103.96</v>
      </c>
      <c r="CI63" s="439">
        <v>105.48</v>
      </c>
      <c r="CJ63" s="439">
        <v>106.97</v>
      </c>
      <c r="CQ63" s="113">
        <v>58</v>
      </c>
      <c r="CR63" s="439">
        <v>110.47</v>
      </c>
      <c r="CS63" s="439">
        <v>112.19</v>
      </c>
      <c r="CT63" s="439">
        <v>113.82</v>
      </c>
    </row>
    <row r="64" spans="2:103" x14ac:dyDescent="0.2">
      <c r="B64" s="113">
        <v>59</v>
      </c>
      <c r="C64" s="439">
        <v>64.5</v>
      </c>
      <c r="D64" s="439">
        <v>64.88</v>
      </c>
      <c r="E64" s="439">
        <v>65.53</v>
      </c>
      <c r="M64" s="113">
        <v>59</v>
      </c>
      <c r="N64" s="439">
        <v>70.03</v>
      </c>
      <c r="O64" s="439">
        <v>70.52</v>
      </c>
      <c r="P64" s="439">
        <v>71.27</v>
      </c>
      <c r="X64" s="113">
        <v>59</v>
      </c>
      <c r="Y64" s="439">
        <v>76</v>
      </c>
      <c r="Z64" s="439">
        <v>76.62</v>
      </c>
      <c r="AA64" s="439">
        <v>77.48</v>
      </c>
      <c r="AI64" s="113">
        <v>59</v>
      </c>
      <c r="AJ64" s="439">
        <v>80.12</v>
      </c>
      <c r="AK64" s="439">
        <v>80.86</v>
      </c>
      <c r="AL64" s="439">
        <v>81.819999999999993</v>
      </c>
      <c r="AS64" s="113">
        <v>59</v>
      </c>
      <c r="AT64" s="439">
        <v>86.68</v>
      </c>
      <c r="AU64" s="439">
        <v>87.58</v>
      </c>
      <c r="AV64" s="439">
        <v>88.66</v>
      </c>
      <c r="BC64" s="113">
        <v>59</v>
      </c>
      <c r="BD64" s="439">
        <v>87</v>
      </c>
      <c r="BE64" s="439">
        <v>88</v>
      </c>
      <c r="BF64" s="439">
        <v>89.14</v>
      </c>
      <c r="BM64" s="113">
        <v>59</v>
      </c>
      <c r="BN64" s="439">
        <v>93.49</v>
      </c>
      <c r="BO64" s="439">
        <v>94.67</v>
      </c>
      <c r="BP64" s="439">
        <v>95.94</v>
      </c>
      <c r="BW64" s="113">
        <v>59</v>
      </c>
      <c r="BX64" s="439">
        <v>97.87</v>
      </c>
      <c r="BY64" s="439">
        <v>99.21</v>
      </c>
      <c r="BZ64" s="439">
        <v>100.59</v>
      </c>
      <c r="CG64" s="113">
        <v>59</v>
      </c>
      <c r="CH64" s="439">
        <v>104.34</v>
      </c>
      <c r="CI64" s="439">
        <v>105.88</v>
      </c>
      <c r="CJ64" s="439">
        <v>107.39</v>
      </c>
      <c r="CQ64" s="113">
        <v>59</v>
      </c>
      <c r="CR64" s="439">
        <v>110.7</v>
      </c>
      <c r="CS64" s="439">
        <v>112.45</v>
      </c>
      <c r="CT64" s="439">
        <v>114.09</v>
      </c>
    </row>
    <row r="65" spans="2:98" x14ac:dyDescent="0.2">
      <c r="B65" s="113">
        <v>60</v>
      </c>
      <c r="C65" s="439">
        <v>64.52</v>
      </c>
      <c r="D65" s="439">
        <v>64.900000000000006</v>
      </c>
      <c r="E65" s="439">
        <v>65.569999999999993</v>
      </c>
      <c r="M65" s="113">
        <v>60</v>
      </c>
      <c r="N65" s="439">
        <v>70.14</v>
      </c>
      <c r="O65" s="439">
        <v>70.64</v>
      </c>
      <c r="P65" s="439">
        <v>71.400000000000006</v>
      </c>
      <c r="X65" s="113">
        <v>60</v>
      </c>
      <c r="Y65" s="439">
        <v>76.209999999999994</v>
      </c>
      <c r="Z65" s="439">
        <v>76.84</v>
      </c>
      <c r="AA65" s="439">
        <v>77.709999999999994</v>
      </c>
      <c r="AI65" s="113">
        <v>60</v>
      </c>
      <c r="AJ65" s="439">
        <v>80.42</v>
      </c>
      <c r="AK65" s="439">
        <v>81.180000000000007</v>
      </c>
      <c r="AL65" s="439">
        <v>82.15</v>
      </c>
      <c r="AS65" s="113">
        <v>60</v>
      </c>
      <c r="AT65" s="439">
        <v>87.07</v>
      </c>
      <c r="AU65" s="439">
        <v>88</v>
      </c>
      <c r="AV65" s="439">
        <v>89.08</v>
      </c>
      <c r="BC65" s="113">
        <v>60</v>
      </c>
      <c r="BD65" s="439">
        <v>87.42</v>
      </c>
      <c r="BE65" s="439">
        <v>88.45</v>
      </c>
      <c r="BF65" s="439">
        <v>89.6</v>
      </c>
      <c r="BM65" s="113">
        <v>60</v>
      </c>
      <c r="BN65" s="439">
        <v>93.93</v>
      </c>
      <c r="BO65" s="439">
        <v>95.14</v>
      </c>
      <c r="BP65" s="439">
        <v>96.42</v>
      </c>
      <c r="BW65" s="113">
        <v>60</v>
      </c>
      <c r="BX65" s="439">
        <v>98.27</v>
      </c>
      <c r="BY65" s="439">
        <v>99.65</v>
      </c>
      <c r="BZ65" s="439">
        <v>101.04</v>
      </c>
      <c r="CG65" s="113">
        <v>60</v>
      </c>
      <c r="CH65" s="439">
        <v>104.64</v>
      </c>
      <c r="CI65" s="439">
        <v>106.22</v>
      </c>
      <c r="CJ65" s="439">
        <v>107.74</v>
      </c>
      <c r="CQ65" s="113">
        <v>60</v>
      </c>
      <c r="CR65" s="439">
        <v>110.83</v>
      </c>
      <c r="CS65" s="439">
        <v>112.61</v>
      </c>
      <c r="CT65" s="439">
        <v>114.26</v>
      </c>
    </row>
    <row r="66" spans="2:98" x14ac:dyDescent="0.2">
      <c r="B66" s="113">
        <v>61</v>
      </c>
      <c r="C66" s="439">
        <v>64.55</v>
      </c>
      <c r="D66" s="439">
        <v>64.930000000000007</v>
      </c>
      <c r="E66" s="439">
        <v>65.599999999999994</v>
      </c>
      <c r="M66" s="113">
        <v>61</v>
      </c>
      <c r="N66" s="439">
        <v>70.260000000000005</v>
      </c>
      <c r="O66" s="439">
        <v>70.77</v>
      </c>
      <c r="P66" s="439">
        <v>71.540000000000006</v>
      </c>
      <c r="X66" s="113">
        <v>61</v>
      </c>
      <c r="Y66" s="439">
        <v>76.44</v>
      </c>
      <c r="Z66" s="439">
        <v>77.08</v>
      </c>
      <c r="AA66" s="439">
        <v>77.959999999999994</v>
      </c>
      <c r="AI66" s="113">
        <v>61</v>
      </c>
      <c r="AJ66" s="439">
        <v>80.739999999999995</v>
      </c>
      <c r="AK66" s="439">
        <v>81.510000000000005</v>
      </c>
      <c r="AL66" s="439">
        <v>82.49</v>
      </c>
      <c r="AS66" s="113">
        <v>61</v>
      </c>
      <c r="AT66" s="439">
        <v>87.47</v>
      </c>
      <c r="AU66" s="439">
        <v>88.41</v>
      </c>
      <c r="AV66" s="439">
        <v>89.51</v>
      </c>
      <c r="BC66" s="113">
        <v>61</v>
      </c>
      <c r="BD66" s="439">
        <v>87.83</v>
      </c>
      <c r="BE66" s="439">
        <v>88.88</v>
      </c>
      <c r="BF66" s="439">
        <v>90.05</v>
      </c>
      <c r="BM66" s="113">
        <v>61</v>
      </c>
      <c r="BN66" s="439">
        <v>94.34</v>
      </c>
      <c r="BO66" s="439">
        <v>95.58</v>
      </c>
      <c r="BP66" s="439">
        <v>96.88</v>
      </c>
      <c r="BW66" s="113">
        <v>61</v>
      </c>
      <c r="BX66" s="439">
        <v>98.62</v>
      </c>
      <c r="BY66" s="439">
        <v>100.02</v>
      </c>
      <c r="BZ66" s="439">
        <v>101.43</v>
      </c>
      <c r="CG66" s="113">
        <v>61</v>
      </c>
      <c r="CH66" s="439">
        <v>104.86</v>
      </c>
      <c r="CI66" s="439">
        <v>106.46</v>
      </c>
      <c r="CJ66" s="439">
        <v>107.99</v>
      </c>
      <c r="CQ66" s="113">
        <v>61</v>
      </c>
      <c r="CR66" s="439">
        <v>110.84</v>
      </c>
      <c r="CS66" s="439">
        <v>112.65</v>
      </c>
      <c r="CT66" s="439">
        <v>114.29</v>
      </c>
    </row>
    <row r="67" spans="2:98" x14ac:dyDescent="0.2">
      <c r="B67" s="113">
        <v>62</v>
      </c>
      <c r="C67" s="439">
        <v>64.56</v>
      </c>
      <c r="D67" s="439">
        <v>64.959999999999994</v>
      </c>
      <c r="E67" s="439">
        <v>65.63</v>
      </c>
      <c r="M67" s="113">
        <v>62</v>
      </c>
      <c r="N67" s="439">
        <v>70.38</v>
      </c>
      <c r="O67" s="439">
        <v>70.900000000000006</v>
      </c>
      <c r="P67" s="439">
        <v>71.680000000000007</v>
      </c>
      <c r="X67" s="113">
        <v>62</v>
      </c>
      <c r="Y67" s="439">
        <v>76.66</v>
      </c>
      <c r="Z67" s="439">
        <v>77.319999999999993</v>
      </c>
      <c r="AA67" s="439">
        <v>78.209999999999994</v>
      </c>
      <c r="AI67" s="113">
        <v>62</v>
      </c>
      <c r="AJ67" s="439">
        <v>81.05</v>
      </c>
      <c r="AK67" s="439">
        <v>81.849999999999994</v>
      </c>
      <c r="AL67" s="439">
        <v>82.84</v>
      </c>
      <c r="AS67" s="113">
        <v>62</v>
      </c>
      <c r="AT67" s="439">
        <v>87.86</v>
      </c>
      <c r="AU67" s="439">
        <v>88.82</v>
      </c>
      <c r="AV67" s="439">
        <v>89.94</v>
      </c>
      <c r="BC67" s="113">
        <v>62</v>
      </c>
      <c r="BD67" s="439">
        <v>88.22</v>
      </c>
      <c r="BE67" s="439">
        <v>89.3</v>
      </c>
      <c r="BF67" s="439">
        <v>90.48</v>
      </c>
      <c r="BM67" s="113">
        <v>62</v>
      </c>
      <c r="BN67" s="439">
        <v>94.71</v>
      </c>
      <c r="BO67" s="439">
        <v>95.97</v>
      </c>
      <c r="BP67" s="439">
        <v>97.28</v>
      </c>
      <c r="BW67" s="113">
        <v>62</v>
      </c>
      <c r="BX67" s="439">
        <v>98.89</v>
      </c>
      <c r="BY67" s="439">
        <v>100.33</v>
      </c>
      <c r="BZ67" s="439">
        <v>101.74</v>
      </c>
      <c r="CG67" s="113">
        <v>62</v>
      </c>
      <c r="CH67" s="439">
        <v>104.97</v>
      </c>
      <c r="CI67" s="439">
        <v>106.6</v>
      </c>
      <c r="CJ67" s="439">
        <v>108.14</v>
      </c>
      <c r="CQ67" s="113">
        <v>62</v>
      </c>
      <c r="CR67" s="439">
        <v>110.7</v>
      </c>
      <c r="CS67" s="439">
        <v>112.53</v>
      </c>
      <c r="CT67" s="439">
        <v>114.18</v>
      </c>
    </row>
    <row r="68" spans="2:98" x14ac:dyDescent="0.2">
      <c r="B68" s="113">
        <v>63</v>
      </c>
      <c r="C68" s="439">
        <v>64.58</v>
      </c>
      <c r="D68" s="439">
        <v>64.98</v>
      </c>
      <c r="E68" s="439">
        <v>65.66</v>
      </c>
      <c r="M68" s="113">
        <v>63</v>
      </c>
      <c r="N68" s="439">
        <v>70.5</v>
      </c>
      <c r="O68" s="439">
        <v>71.03</v>
      </c>
      <c r="P68" s="439">
        <v>71.819999999999993</v>
      </c>
      <c r="X68" s="113">
        <v>63</v>
      </c>
      <c r="Y68" s="439">
        <v>76.89</v>
      </c>
      <c r="Z68" s="439">
        <v>77.56</v>
      </c>
      <c r="AA68" s="439">
        <v>78.459999999999994</v>
      </c>
      <c r="AI68" s="113">
        <v>63</v>
      </c>
      <c r="AJ68" s="439">
        <v>81.36</v>
      </c>
      <c r="AK68" s="439">
        <v>82.17</v>
      </c>
      <c r="AL68" s="439">
        <v>83.17</v>
      </c>
      <c r="AS68" s="113">
        <v>63</v>
      </c>
      <c r="AT68" s="439">
        <v>88.22</v>
      </c>
      <c r="AU68" s="439">
        <v>89.22</v>
      </c>
      <c r="AV68" s="439">
        <v>90.34</v>
      </c>
      <c r="BC68" s="113">
        <v>63</v>
      </c>
      <c r="BD68" s="439">
        <v>88.57</v>
      </c>
      <c r="BE68" s="439">
        <v>89.68</v>
      </c>
      <c r="BF68" s="439">
        <v>90.87</v>
      </c>
      <c r="BM68" s="113">
        <v>63</v>
      </c>
      <c r="BN68" s="439">
        <v>95.02</v>
      </c>
      <c r="BO68" s="439">
        <v>96.31</v>
      </c>
      <c r="BP68" s="439">
        <v>97.63</v>
      </c>
      <c r="BW68" s="113">
        <v>63</v>
      </c>
      <c r="BX68" s="439">
        <v>99.08</v>
      </c>
      <c r="BY68" s="439">
        <v>100.54</v>
      </c>
      <c r="BZ68" s="439">
        <v>101.96</v>
      </c>
      <c r="CG68" s="113">
        <v>63</v>
      </c>
      <c r="CH68" s="439">
        <v>104.95</v>
      </c>
      <c r="CI68" s="439">
        <v>106.61</v>
      </c>
      <c r="CJ68" s="439">
        <v>108.15</v>
      </c>
      <c r="CQ68" s="113">
        <v>63</v>
      </c>
      <c r="CR68" s="439">
        <v>110.4</v>
      </c>
      <c r="CS68" s="439">
        <v>112.26</v>
      </c>
      <c r="CT68" s="439">
        <v>113.9</v>
      </c>
    </row>
    <row r="69" spans="2:98" x14ac:dyDescent="0.2">
      <c r="B69" s="113">
        <v>64</v>
      </c>
      <c r="C69" s="439">
        <v>64.58</v>
      </c>
      <c r="D69" s="439">
        <v>64.989999999999995</v>
      </c>
      <c r="E69" s="439">
        <v>65.680000000000007</v>
      </c>
      <c r="M69" s="113">
        <v>64</v>
      </c>
      <c r="N69" s="439">
        <v>70.61</v>
      </c>
      <c r="O69" s="439">
        <v>71.16</v>
      </c>
      <c r="P69" s="439">
        <v>71.95</v>
      </c>
      <c r="X69" s="113">
        <v>64</v>
      </c>
      <c r="Y69" s="439">
        <v>77.11</v>
      </c>
      <c r="Z69" s="439">
        <v>77.8</v>
      </c>
      <c r="AA69" s="439">
        <v>78.709999999999994</v>
      </c>
      <c r="AI69" s="113">
        <v>64</v>
      </c>
      <c r="AJ69" s="439">
        <v>81.650000000000006</v>
      </c>
      <c r="AK69" s="439">
        <v>82.49</v>
      </c>
      <c r="AL69" s="439">
        <v>83.5</v>
      </c>
      <c r="AS69" s="113">
        <v>64</v>
      </c>
      <c r="AT69" s="439">
        <v>88.57</v>
      </c>
      <c r="AU69" s="439">
        <v>89.59</v>
      </c>
      <c r="AV69" s="439">
        <v>90.72</v>
      </c>
      <c r="BC69" s="113">
        <v>64</v>
      </c>
      <c r="BD69" s="439">
        <v>88.89</v>
      </c>
      <c r="BE69" s="439">
        <v>90.02</v>
      </c>
      <c r="BF69" s="439">
        <v>91.23</v>
      </c>
      <c r="BM69" s="113">
        <v>64</v>
      </c>
      <c r="BN69" s="439">
        <v>95.26</v>
      </c>
      <c r="BO69" s="439">
        <v>96.58</v>
      </c>
      <c r="BP69" s="439">
        <v>97.91</v>
      </c>
      <c r="BW69" s="113">
        <v>64</v>
      </c>
      <c r="BX69" s="439">
        <v>99.16</v>
      </c>
      <c r="BY69" s="439">
        <v>100.66</v>
      </c>
      <c r="BZ69" s="439">
        <v>102.09</v>
      </c>
      <c r="CG69" s="113">
        <v>64</v>
      </c>
      <c r="CH69" s="439">
        <v>104.8</v>
      </c>
      <c r="CI69" s="439">
        <v>106.49</v>
      </c>
      <c r="CJ69" s="439">
        <v>108.03</v>
      </c>
      <c r="CQ69" s="113">
        <v>64</v>
      </c>
      <c r="CR69" s="439">
        <v>109.93</v>
      </c>
      <c r="CS69" s="439">
        <v>111.81</v>
      </c>
      <c r="CT69" s="439">
        <v>113.45</v>
      </c>
    </row>
    <row r="70" spans="2:98" x14ac:dyDescent="0.2">
      <c r="B70" s="113">
        <v>65</v>
      </c>
      <c r="C70" s="439">
        <v>64.569999999999993</v>
      </c>
      <c r="D70" s="439">
        <v>65</v>
      </c>
      <c r="E70" s="439">
        <v>65.69</v>
      </c>
      <c r="M70" s="113">
        <v>65</v>
      </c>
      <c r="N70" s="439">
        <v>70.72</v>
      </c>
      <c r="O70" s="439">
        <v>71.28</v>
      </c>
      <c r="P70" s="439">
        <v>72.08</v>
      </c>
      <c r="X70" s="113">
        <v>65</v>
      </c>
      <c r="Y70" s="439">
        <v>77.319999999999993</v>
      </c>
      <c r="Z70" s="439">
        <v>78.03</v>
      </c>
      <c r="AA70" s="439">
        <v>78.959999999999994</v>
      </c>
      <c r="AI70" s="113">
        <v>65</v>
      </c>
      <c r="AJ70" s="439">
        <v>81.94</v>
      </c>
      <c r="AK70" s="439">
        <v>82.8</v>
      </c>
      <c r="AL70" s="439">
        <v>83.82</v>
      </c>
      <c r="AS70" s="113">
        <v>65</v>
      </c>
      <c r="AT70" s="439">
        <v>88.89</v>
      </c>
      <c r="AU70" s="439">
        <v>89.93</v>
      </c>
      <c r="AV70" s="439">
        <v>91.08</v>
      </c>
      <c r="BC70" s="113">
        <v>65</v>
      </c>
      <c r="BD70" s="439">
        <v>89.15</v>
      </c>
      <c r="BE70" s="439">
        <v>90.31</v>
      </c>
      <c r="BF70" s="439">
        <v>91.53</v>
      </c>
      <c r="BM70" s="113">
        <v>65</v>
      </c>
      <c r="BN70" s="439">
        <v>95.42</v>
      </c>
      <c r="BO70" s="439">
        <v>96.78</v>
      </c>
      <c r="BP70" s="439">
        <v>98.12</v>
      </c>
      <c r="BW70" s="113">
        <v>65</v>
      </c>
      <c r="BX70" s="439">
        <v>99.14</v>
      </c>
      <c r="BY70" s="439">
        <v>100.67</v>
      </c>
      <c r="BZ70" s="439">
        <v>102.1</v>
      </c>
      <c r="CG70" s="113">
        <v>65</v>
      </c>
      <c r="CH70" s="439">
        <v>104.51</v>
      </c>
      <c r="CI70" s="439">
        <v>106.23</v>
      </c>
      <c r="CJ70" s="439">
        <v>107.77</v>
      </c>
      <c r="CQ70" s="113">
        <v>65</v>
      </c>
      <c r="CR70" s="439">
        <v>109.28</v>
      </c>
      <c r="CS70" s="439">
        <v>111.19</v>
      </c>
      <c r="CT70" s="439">
        <v>112.83</v>
      </c>
    </row>
    <row r="71" spans="2:98" x14ac:dyDescent="0.2">
      <c r="B71" s="113">
        <v>66</v>
      </c>
      <c r="C71" s="439">
        <v>64.56</v>
      </c>
      <c r="D71" s="439">
        <v>64.989999999999995</v>
      </c>
      <c r="E71" s="439">
        <v>65.7</v>
      </c>
      <c r="M71" s="113">
        <v>66</v>
      </c>
      <c r="N71" s="439">
        <v>70.83</v>
      </c>
      <c r="O71" s="439">
        <v>71.400000000000006</v>
      </c>
      <c r="P71" s="439">
        <v>72.209999999999994</v>
      </c>
      <c r="X71" s="113">
        <v>66</v>
      </c>
      <c r="Y71" s="439">
        <v>77.53</v>
      </c>
      <c r="Z71" s="439">
        <v>78.260000000000005</v>
      </c>
      <c r="AA71" s="439">
        <v>79.19</v>
      </c>
      <c r="AI71" s="113">
        <v>66</v>
      </c>
      <c r="AJ71" s="439">
        <v>82.2</v>
      </c>
      <c r="AK71" s="439">
        <v>83.09</v>
      </c>
      <c r="AL71" s="439">
        <v>84.13</v>
      </c>
      <c r="AS71" s="113">
        <v>66</v>
      </c>
      <c r="AT71" s="439">
        <v>89.17</v>
      </c>
      <c r="AU71" s="439">
        <v>90.25</v>
      </c>
      <c r="AV71" s="439">
        <v>91.41</v>
      </c>
      <c r="BC71" s="113">
        <v>66</v>
      </c>
      <c r="BD71" s="439">
        <v>89.36</v>
      </c>
      <c r="BE71" s="439">
        <v>90.55</v>
      </c>
      <c r="BF71" s="439">
        <v>91.79</v>
      </c>
      <c r="BM71" s="113">
        <v>66</v>
      </c>
      <c r="BN71" s="439">
        <v>95.5</v>
      </c>
      <c r="BO71" s="439">
        <v>96.89</v>
      </c>
      <c r="BP71" s="439">
        <v>98.24</v>
      </c>
      <c r="BW71" s="113">
        <v>66</v>
      </c>
      <c r="BX71" s="439">
        <v>99</v>
      </c>
      <c r="BY71" s="439">
        <v>100.56</v>
      </c>
      <c r="BZ71" s="439">
        <v>102.01</v>
      </c>
      <c r="CG71" s="113">
        <v>66</v>
      </c>
      <c r="CH71" s="439">
        <v>104.07</v>
      </c>
      <c r="CI71" s="439">
        <v>105.82</v>
      </c>
      <c r="CJ71" s="439">
        <v>107.36</v>
      </c>
      <c r="CQ71" s="113">
        <v>66</v>
      </c>
      <c r="CR71" s="439">
        <v>108.47</v>
      </c>
      <c r="CS71" s="439">
        <v>110.4</v>
      </c>
      <c r="CT71" s="439">
        <v>112.03</v>
      </c>
    </row>
    <row r="72" spans="2:98" x14ac:dyDescent="0.2">
      <c r="B72" s="113">
        <v>67</v>
      </c>
      <c r="C72" s="439">
        <v>64.540000000000006</v>
      </c>
      <c r="D72" s="439">
        <v>64.98</v>
      </c>
      <c r="E72" s="439">
        <v>65.69</v>
      </c>
      <c r="M72" s="113">
        <v>67</v>
      </c>
      <c r="N72" s="439">
        <v>70.92</v>
      </c>
      <c r="O72" s="439">
        <v>71.510000000000005</v>
      </c>
      <c r="P72" s="439">
        <v>72.34</v>
      </c>
      <c r="X72" s="113">
        <v>67</v>
      </c>
      <c r="Y72" s="439">
        <v>77.73</v>
      </c>
      <c r="Z72" s="439">
        <v>78.48</v>
      </c>
      <c r="AA72" s="439">
        <v>79.430000000000007</v>
      </c>
      <c r="AI72" s="113">
        <v>67</v>
      </c>
      <c r="AJ72" s="439">
        <v>82.45</v>
      </c>
      <c r="AK72" s="439">
        <v>83.36</v>
      </c>
      <c r="AL72" s="439">
        <v>84.42</v>
      </c>
      <c r="AS72" s="113">
        <v>67</v>
      </c>
      <c r="AT72" s="439">
        <v>89.42</v>
      </c>
      <c r="AU72" s="439">
        <v>90.52</v>
      </c>
      <c r="AV72" s="439">
        <v>91.7</v>
      </c>
      <c r="BC72" s="113">
        <v>67</v>
      </c>
      <c r="BD72" s="439">
        <v>89.51</v>
      </c>
      <c r="BE72" s="439">
        <v>90.74</v>
      </c>
      <c r="BF72" s="439">
        <v>91.98</v>
      </c>
      <c r="BM72" s="113">
        <v>67</v>
      </c>
      <c r="BN72" s="439">
        <v>95.49</v>
      </c>
      <c r="BO72" s="439">
        <v>96.91</v>
      </c>
      <c r="BP72" s="439">
        <v>98.27</v>
      </c>
      <c r="BW72" s="113">
        <v>67</v>
      </c>
      <c r="BX72" s="439">
        <v>98.75</v>
      </c>
      <c r="BY72" s="439">
        <v>100.34</v>
      </c>
      <c r="BZ72" s="439">
        <v>101.78</v>
      </c>
      <c r="CG72" s="113">
        <v>67</v>
      </c>
      <c r="CH72" s="439">
        <v>103.48</v>
      </c>
      <c r="CI72" s="439">
        <v>105.26</v>
      </c>
      <c r="CJ72" s="439">
        <v>106.8</v>
      </c>
      <c r="CQ72" s="113">
        <v>67</v>
      </c>
      <c r="CR72" s="439">
        <v>107.49</v>
      </c>
      <c r="CS72" s="439">
        <v>109.43</v>
      </c>
      <c r="CT72" s="439">
        <v>111.05</v>
      </c>
    </row>
    <row r="73" spans="2:98" x14ac:dyDescent="0.2">
      <c r="B73" s="113">
        <v>68</v>
      </c>
      <c r="C73" s="439">
        <v>64.510000000000005</v>
      </c>
      <c r="D73" s="439">
        <v>64.959999999999994</v>
      </c>
      <c r="E73" s="439">
        <v>65.680000000000007</v>
      </c>
      <c r="M73" s="113">
        <v>68</v>
      </c>
      <c r="N73" s="439">
        <v>71.010000000000005</v>
      </c>
      <c r="O73" s="439">
        <v>71.62</v>
      </c>
      <c r="P73" s="439">
        <v>72.45</v>
      </c>
      <c r="X73" s="113">
        <v>68</v>
      </c>
      <c r="Y73" s="439">
        <v>77.92</v>
      </c>
      <c r="Z73" s="439">
        <v>78.69</v>
      </c>
      <c r="AA73" s="439">
        <v>79.650000000000006</v>
      </c>
      <c r="AI73" s="113">
        <v>68</v>
      </c>
      <c r="AJ73" s="439">
        <v>82.68</v>
      </c>
      <c r="AK73" s="439">
        <v>83.62</v>
      </c>
      <c r="AL73" s="439">
        <v>84.68</v>
      </c>
      <c r="AS73" s="113">
        <v>68</v>
      </c>
      <c r="AT73" s="439">
        <v>89.62</v>
      </c>
      <c r="AU73" s="439">
        <v>90.76</v>
      </c>
      <c r="AV73" s="439">
        <v>91.95</v>
      </c>
      <c r="BC73" s="113">
        <v>68</v>
      </c>
      <c r="BD73" s="439">
        <v>89.6</v>
      </c>
      <c r="BE73" s="439">
        <v>90.86</v>
      </c>
      <c r="BF73" s="439">
        <v>92.11</v>
      </c>
      <c r="BM73" s="113">
        <v>68</v>
      </c>
      <c r="BN73" s="439">
        <v>95.38</v>
      </c>
      <c r="BO73" s="439">
        <v>96.84</v>
      </c>
      <c r="BP73" s="439">
        <v>98.21</v>
      </c>
      <c r="BW73" s="113">
        <v>68</v>
      </c>
      <c r="BX73" s="439">
        <v>98.37</v>
      </c>
      <c r="BY73" s="439">
        <v>99.98</v>
      </c>
      <c r="BZ73" s="439">
        <v>101.43</v>
      </c>
      <c r="CG73" s="113">
        <v>68</v>
      </c>
      <c r="CH73" s="439">
        <v>102.74</v>
      </c>
      <c r="CI73" s="439">
        <v>104.54</v>
      </c>
      <c r="CJ73" s="439">
        <v>106.07</v>
      </c>
      <c r="CQ73" s="113">
        <v>68</v>
      </c>
      <c r="CR73" s="439">
        <v>106.33</v>
      </c>
      <c r="CS73" s="439">
        <v>108.3</v>
      </c>
      <c r="CT73" s="439">
        <v>109.9</v>
      </c>
    </row>
    <row r="74" spans="2:98" x14ac:dyDescent="0.2">
      <c r="B74" s="113">
        <v>69</v>
      </c>
      <c r="C74" s="439">
        <v>64.47</v>
      </c>
      <c r="D74" s="439">
        <v>64.94</v>
      </c>
      <c r="E74" s="439">
        <v>65.66</v>
      </c>
      <c r="M74" s="113">
        <v>69</v>
      </c>
      <c r="N74" s="439">
        <v>71.099999999999994</v>
      </c>
      <c r="O74" s="439">
        <v>71.72</v>
      </c>
      <c r="P74" s="439">
        <v>72.569999999999993</v>
      </c>
      <c r="X74" s="113">
        <v>69</v>
      </c>
      <c r="Y74" s="439">
        <v>78.09</v>
      </c>
      <c r="Z74" s="439">
        <v>78.89</v>
      </c>
      <c r="AA74" s="439">
        <v>79.86</v>
      </c>
      <c r="AI74" s="113">
        <v>69</v>
      </c>
      <c r="AJ74" s="439">
        <v>82.88</v>
      </c>
      <c r="AK74" s="439">
        <v>83.85</v>
      </c>
      <c r="AL74" s="439">
        <v>84.93</v>
      </c>
      <c r="AS74" s="113">
        <v>69</v>
      </c>
      <c r="AT74" s="439">
        <v>89.78</v>
      </c>
      <c r="AU74" s="439">
        <v>90.95</v>
      </c>
      <c r="AV74" s="439">
        <v>92.15</v>
      </c>
      <c r="BC74" s="113">
        <v>69</v>
      </c>
      <c r="BD74" s="439">
        <v>89.61</v>
      </c>
      <c r="BE74" s="439">
        <v>90.9</v>
      </c>
      <c r="BF74" s="439">
        <v>92.17</v>
      </c>
      <c r="BM74" s="113">
        <v>69</v>
      </c>
      <c r="BN74" s="439">
        <v>95.17</v>
      </c>
      <c r="BO74" s="439">
        <v>96.66</v>
      </c>
      <c r="BP74" s="439">
        <v>98.03</v>
      </c>
      <c r="BW74" s="113">
        <v>69</v>
      </c>
      <c r="BX74" s="439">
        <v>97.85</v>
      </c>
      <c r="BY74" s="439">
        <v>99.5</v>
      </c>
      <c r="BZ74" s="439">
        <v>100.95</v>
      </c>
      <c r="CG74" s="113">
        <v>69</v>
      </c>
      <c r="CH74" s="439">
        <v>101.85</v>
      </c>
      <c r="CI74" s="439">
        <v>103.67</v>
      </c>
      <c r="CJ74" s="439">
        <v>105.2</v>
      </c>
      <c r="CQ74" s="113">
        <v>69</v>
      </c>
      <c r="CR74" s="439">
        <v>105.01</v>
      </c>
      <c r="CS74" s="439">
        <v>106.99</v>
      </c>
      <c r="CT74" s="439">
        <v>108.58</v>
      </c>
    </row>
    <row r="75" spans="2:98" x14ac:dyDescent="0.2">
      <c r="B75" s="113">
        <v>70</v>
      </c>
      <c r="C75" s="439">
        <v>64.42</v>
      </c>
      <c r="D75" s="439">
        <v>64.900000000000006</v>
      </c>
      <c r="E75" s="439">
        <v>65.63</v>
      </c>
      <c r="M75" s="113">
        <v>70</v>
      </c>
      <c r="N75" s="439">
        <v>71.17</v>
      </c>
      <c r="O75" s="439">
        <v>71.81</v>
      </c>
      <c r="P75" s="439">
        <v>72.67</v>
      </c>
      <c r="X75" s="113">
        <v>70</v>
      </c>
      <c r="Y75" s="439">
        <v>78.25</v>
      </c>
      <c r="Z75" s="439">
        <v>79.08</v>
      </c>
      <c r="AA75" s="439">
        <v>80.06</v>
      </c>
      <c r="AI75" s="113">
        <v>70</v>
      </c>
      <c r="AJ75" s="439">
        <v>83.05</v>
      </c>
      <c r="AK75" s="439">
        <v>84.05</v>
      </c>
      <c r="AL75" s="439">
        <v>85.14</v>
      </c>
      <c r="AS75" s="113">
        <v>70</v>
      </c>
      <c r="AT75" s="439">
        <v>89.88</v>
      </c>
      <c r="AU75" s="439">
        <v>91.09</v>
      </c>
      <c r="AV75" s="439">
        <v>92.3</v>
      </c>
      <c r="BC75" s="113">
        <v>70</v>
      </c>
      <c r="BD75" s="439">
        <v>89.54</v>
      </c>
      <c r="BE75" s="439">
        <v>90.87</v>
      </c>
      <c r="BF75" s="439">
        <v>92.15</v>
      </c>
      <c r="BM75" s="113">
        <v>70</v>
      </c>
      <c r="BN75" s="439">
        <v>94.85</v>
      </c>
      <c r="BO75" s="439">
        <v>96.37</v>
      </c>
      <c r="BP75" s="439">
        <v>97.75</v>
      </c>
      <c r="BW75" s="113">
        <v>70</v>
      </c>
      <c r="BX75" s="439">
        <v>97.2</v>
      </c>
      <c r="BY75" s="439">
        <v>98.88</v>
      </c>
      <c r="BZ75" s="439">
        <v>100.33</v>
      </c>
      <c r="CG75" s="113">
        <v>70</v>
      </c>
      <c r="CH75" s="439">
        <v>100.8</v>
      </c>
      <c r="CI75" s="439">
        <v>102.64</v>
      </c>
      <c r="CJ75" s="439">
        <v>104.16</v>
      </c>
      <c r="CQ75" s="113">
        <v>70</v>
      </c>
      <c r="CR75" s="439">
        <v>103.53</v>
      </c>
      <c r="CS75" s="439">
        <v>105.53</v>
      </c>
      <c r="CT75" s="439">
        <v>107.1</v>
      </c>
    </row>
    <row r="76" spans="2:98" x14ac:dyDescent="0.2">
      <c r="B76" s="113">
        <v>71</v>
      </c>
      <c r="C76" s="439">
        <v>64.36</v>
      </c>
      <c r="D76" s="439">
        <v>64.849999999999994</v>
      </c>
      <c r="E76" s="439">
        <v>65.599999999999994</v>
      </c>
      <c r="M76" s="113">
        <v>71</v>
      </c>
      <c r="N76" s="439">
        <v>71.23</v>
      </c>
      <c r="O76" s="439">
        <v>71.900000000000006</v>
      </c>
      <c r="P76" s="439">
        <v>72.760000000000005</v>
      </c>
      <c r="X76" s="113">
        <v>71</v>
      </c>
      <c r="Y76" s="439">
        <v>78.39</v>
      </c>
      <c r="Z76" s="439">
        <v>79.239999999999995</v>
      </c>
      <c r="AA76" s="439">
        <v>80.239999999999995</v>
      </c>
      <c r="AI76" s="113">
        <v>71</v>
      </c>
      <c r="AJ76" s="439">
        <v>83.18</v>
      </c>
      <c r="AK76" s="439">
        <v>84.21</v>
      </c>
      <c r="AL76" s="439">
        <v>85.32</v>
      </c>
      <c r="AS76" s="113">
        <v>71</v>
      </c>
      <c r="AT76" s="439">
        <v>89.92</v>
      </c>
      <c r="AU76" s="439">
        <v>91.17</v>
      </c>
      <c r="AV76" s="439">
        <v>92.39</v>
      </c>
      <c r="BC76" s="113">
        <v>71</v>
      </c>
      <c r="BD76" s="439">
        <v>89.39</v>
      </c>
      <c r="BE76" s="439">
        <v>90.75</v>
      </c>
      <c r="BF76" s="439">
        <v>92.04</v>
      </c>
      <c r="BM76" s="113">
        <v>71</v>
      </c>
      <c r="BN76" s="439">
        <v>94.41</v>
      </c>
      <c r="BO76" s="439">
        <v>95.96</v>
      </c>
      <c r="BP76" s="439">
        <v>97.34</v>
      </c>
      <c r="BW76" s="113">
        <v>71</v>
      </c>
      <c r="BX76" s="439">
        <v>96.41</v>
      </c>
      <c r="BY76" s="439">
        <v>98.12</v>
      </c>
      <c r="BZ76" s="439">
        <v>99.56</v>
      </c>
      <c r="CG76" s="113">
        <v>71</v>
      </c>
      <c r="CH76" s="439">
        <v>99.6</v>
      </c>
      <c r="CI76" s="439">
        <v>101.47</v>
      </c>
      <c r="CJ76" s="439">
        <v>102.97</v>
      </c>
      <c r="CQ76" s="113">
        <v>71</v>
      </c>
      <c r="CR76" s="439">
        <v>101.91</v>
      </c>
      <c r="CS76" s="439">
        <v>103.91</v>
      </c>
      <c r="CT76" s="439">
        <v>105.46</v>
      </c>
    </row>
    <row r="77" spans="2:98" x14ac:dyDescent="0.2">
      <c r="B77" s="113">
        <v>72</v>
      </c>
      <c r="C77" s="439">
        <v>64.28</v>
      </c>
      <c r="D77" s="439">
        <v>64.790000000000006</v>
      </c>
      <c r="E77" s="439">
        <v>65.540000000000006</v>
      </c>
      <c r="M77" s="113">
        <v>72</v>
      </c>
      <c r="N77" s="439">
        <v>71.27</v>
      </c>
      <c r="O77" s="439">
        <v>71.959999999999994</v>
      </c>
      <c r="P77" s="439">
        <v>72.84</v>
      </c>
      <c r="X77" s="113">
        <v>72</v>
      </c>
      <c r="Y77" s="439">
        <v>78.5</v>
      </c>
      <c r="Z77" s="439">
        <v>79.39</v>
      </c>
      <c r="AA77" s="439">
        <v>80.39</v>
      </c>
      <c r="AI77" s="113">
        <v>72</v>
      </c>
      <c r="AJ77" s="439">
        <v>83.27</v>
      </c>
      <c r="AK77" s="439">
        <v>84.33</v>
      </c>
      <c r="AL77" s="439">
        <v>85.45</v>
      </c>
      <c r="AS77" s="113">
        <v>72</v>
      </c>
      <c r="AT77" s="439">
        <v>89.89</v>
      </c>
      <c r="AU77" s="439">
        <v>91.17</v>
      </c>
      <c r="AV77" s="439">
        <v>92.4</v>
      </c>
      <c r="BC77" s="113">
        <v>72</v>
      </c>
      <c r="BD77" s="439">
        <v>89.13</v>
      </c>
      <c r="BE77" s="439">
        <v>90.53</v>
      </c>
      <c r="BF77" s="439">
        <v>91.82</v>
      </c>
      <c r="BM77" s="113">
        <v>72</v>
      </c>
      <c r="BN77" s="439">
        <v>93.84</v>
      </c>
      <c r="BO77" s="439">
        <v>95.42</v>
      </c>
      <c r="BP77" s="439">
        <v>96.81</v>
      </c>
      <c r="BW77" s="113">
        <v>72</v>
      </c>
      <c r="BX77" s="439">
        <v>95.48</v>
      </c>
      <c r="BY77" s="439">
        <v>97.21</v>
      </c>
      <c r="BZ77" s="439">
        <v>98.65</v>
      </c>
      <c r="CG77" s="113">
        <v>72</v>
      </c>
      <c r="CH77" s="439">
        <v>98.25</v>
      </c>
      <c r="CI77" s="439">
        <v>100.13</v>
      </c>
      <c r="CJ77" s="439">
        <v>101.62</v>
      </c>
      <c r="CQ77" s="113">
        <v>72</v>
      </c>
      <c r="CR77" s="439">
        <v>100.13</v>
      </c>
      <c r="CS77" s="439">
        <v>102.15</v>
      </c>
      <c r="CT77" s="439">
        <v>103.68</v>
      </c>
    </row>
    <row r="78" spans="2:98" x14ac:dyDescent="0.2">
      <c r="B78" s="113">
        <v>73</v>
      </c>
      <c r="C78" s="439">
        <v>64.19</v>
      </c>
      <c r="D78" s="439">
        <v>64.72</v>
      </c>
      <c r="E78" s="439">
        <v>65.48</v>
      </c>
      <c r="M78" s="113">
        <v>73</v>
      </c>
      <c r="N78" s="439">
        <v>71.3</v>
      </c>
      <c r="O78" s="439">
        <v>72.010000000000005</v>
      </c>
      <c r="P78" s="439">
        <v>72.91</v>
      </c>
      <c r="X78" s="113">
        <v>73</v>
      </c>
      <c r="Y78" s="439">
        <v>78.59</v>
      </c>
      <c r="Z78" s="439">
        <v>79.5</v>
      </c>
      <c r="AA78" s="439">
        <v>80.53</v>
      </c>
      <c r="AI78" s="113">
        <v>73</v>
      </c>
      <c r="AJ78" s="439">
        <v>83.31</v>
      </c>
      <c r="AK78" s="439">
        <v>84.41</v>
      </c>
      <c r="AL78" s="439">
        <v>85.54</v>
      </c>
      <c r="AS78" s="113">
        <v>73</v>
      </c>
      <c r="AT78" s="439">
        <v>89.78</v>
      </c>
      <c r="AU78" s="439">
        <v>91.1</v>
      </c>
      <c r="AV78" s="439">
        <v>92.34</v>
      </c>
      <c r="BC78" s="113">
        <v>73</v>
      </c>
      <c r="BD78" s="439">
        <v>88.77</v>
      </c>
      <c r="BE78" s="439">
        <v>90.21</v>
      </c>
      <c r="BF78" s="439">
        <v>91.51</v>
      </c>
      <c r="BM78" s="113">
        <v>73</v>
      </c>
      <c r="BN78" s="439">
        <v>93.14</v>
      </c>
      <c r="BO78" s="439">
        <v>94.76</v>
      </c>
      <c r="BP78" s="439">
        <v>96.14</v>
      </c>
      <c r="BW78" s="113">
        <v>73</v>
      </c>
      <c r="BX78" s="439">
        <v>94.4</v>
      </c>
      <c r="BY78" s="439">
        <v>96.16</v>
      </c>
      <c r="BZ78" s="439">
        <v>97.59</v>
      </c>
      <c r="CG78" s="113">
        <v>73</v>
      </c>
      <c r="CH78" s="439">
        <v>96.75</v>
      </c>
      <c r="CI78" s="439">
        <v>98.66</v>
      </c>
      <c r="CJ78" s="439">
        <v>100.14</v>
      </c>
      <c r="CQ78" s="113">
        <v>73</v>
      </c>
      <c r="CR78" s="439">
        <v>98.23</v>
      </c>
      <c r="CS78" s="439">
        <v>100.26</v>
      </c>
      <c r="CT78" s="439">
        <v>101.77</v>
      </c>
    </row>
    <row r="79" spans="2:98" x14ac:dyDescent="0.2">
      <c r="B79" s="113">
        <v>74</v>
      </c>
      <c r="C79" s="439">
        <v>64.08</v>
      </c>
      <c r="D79" s="439">
        <v>64.63</v>
      </c>
      <c r="E79" s="439">
        <v>65.400000000000006</v>
      </c>
      <c r="M79" s="113">
        <v>74</v>
      </c>
      <c r="N79" s="439">
        <v>71.319999999999993</v>
      </c>
      <c r="O79" s="439">
        <v>72.05</v>
      </c>
      <c r="P79" s="439">
        <v>72.959999999999994</v>
      </c>
      <c r="X79" s="113">
        <v>74</v>
      </c>
      <c r="Y79" s="439">
        <v>78.650000000000006</v>
      </c>
      <c r="Z79" s="439">
        <v>79.599999999999994</v>
      </c>
      <c r="AA79" s="439">
        <v>80.63</v>
      </c>
      <c r="AI79" s="113">
        <v>74</v>
      </c>
      <c r="AJ79" s="439">
        <v>83.3</v>
      </c>
      <c r="AK79" s="439">
        <v>84.44</v>
      </c>
      <c r="AL79" s="439">
        <v>85.58</v>
      </c>
      <c r="AS79" s="113">
        <v>74</v>
      </c>
      <c r="AT79" s="439">
        <v>89.6</v>
      </c>
      <c r="AU79" s="439">
        <v>90.95</v>
      </c>
      <c r="AV79" s="439">
        <v>92.2</v>
      </c>
      <c r="BC79" s="113">
        <v>74</v>
      </c>
      <c r="BD79" s="439">
        <v>88.31</v>
      </c>
      <c r="BE79" s="439">
        <v>89.78</v>
      </c>
      <c r="BF79" s="439">
        <v>91.09</v>
      </c>
      <c r="BM79" s="113">
        <v>74</v>
      </c>
      <c r="BN79" s="439">
        <v>92.32</v>
      </c>
      <c r="BO79" s="439">
        <v>93.97</v>
      </c>
      <c r="BP79" s="439">
        <v>95.35</v>
      </c>
      <c r="BW79" s="113">
        <v>74</v>
      </c>
      <c r="BX79" s="439">
        <v>93.2</v>
      </c>
      <c r="BY79" s="439">
        <v>94.98</v>
      </c>
      <c r="BZ79" s="439">
        <v>96.4</v>
      </c>
      <c r="CG79" s="113">
        <v>74</v>
      </c>
      <c r="CH79" s="439">
        <v>95.13</v>
      </c>
      <c r="CI79" s="439">
        <v>97.05</v>
      </c>
      <c r="CJ79" s="439">
        <v>98.51</v>
      </c>
      <c r="CQ79" s="113">
        <v>74</v>
      </c>
      <c r="CR79" s="439">
        <v>96.22</v>
      </c>
      <c r="CS79" s="439">
        <v>98.25</v>
      </c>
      <c r="CT79" s="439">
        <v>99.74</v>
      </c>
    </row>
    <row r="80" spans="2:98" x14ac:dyDescent="0.2">
      <c r="B80" s="113">
        <v>75</v>
      </c>
      <c r="C80" s="439">
        <v>63.97</v>
      </c>
      <c r="D80" s="439">
        <v>64.53</v>
      </c>
      <c r="E80" s="439">
        <v>65.319999999999993</v>
      </c>
      <c r="M80" s="113">
        <v>75</v>
      </c>
      <c r="N80" s="439">
        <v>71.31</v>
      </c>
      <c r="O80" s="439">
        <v>72.08</v>
      </c>
      <c r="P80" s="439">
        <v>73</v>
      </c>
      <c r="X80" s="113">
        <v>75</v>
      </c>
      <c r="Y80" s="439">
        <v>78.680000000000007</v>
      </c>
      <c r="Z80" s="439">
        <v>79.66</v>
      </c>
      <c r="AA80" s="439">
        <v>80.709999999999994</v>
      </c>
      <c r="AI80" s="113">
        <v>75</v>
      </c>
      <c r="AJ80" s="439">
        <v>83.24</v>
      </c>
      <c r="AK80" s="439">
        <v>84.42</v>
      </c>
      <c r="AL80" s="439">
        <v>85.57</v>
      </c>
      <c r="AS80" s="113">
        <v>75</v>
      </c>
      <c r="AT80" s="439">
        <v>89.33</v>
      </c>
      <c r="AU80" s="439">
        <v>90.72</v>
      </c>
      <c r="AV80" s="439">
        <v>91.98</v>
      </c>
      <c r="BC80" s="113">
        <v>75</v>
      </c>
      <c r="BD80" s="439">
        <v>87.75</v>
      </c>
      <c r="BE80" s="439">
        <v>89.25</v>
      </c>
      <c r="BF80" s="439">
        <v>90.57</v>
      </c>
      <c r="BM80" s="113">
        <v>75</v>
      </c>
      <c r="BN80" s="439">
        <v>91.37</v>
      </c>
      <c r="BO80" s="439">
        <v>93.05</v>
      </c>
      <c r="BP80" s="439">
        <v>94.43</v>
      </c>
      <c r="BW80" s="113">
        <v>75</v>
      </c>
      <c r="BX80" s="439">
        <v>91.86</v>
      </c>
      <c r="BY80" s="439">
        <v>93.66</v>
      </c>
      <c r="BZ80" s="439">
        <v>95.08</v>
      </c>
      <c r="CG80" s="113">
        <v>75</v>
      </c>
      <c r="CH80" s="439">
        <v>93.39</v>
      </c>
      <c r="CI80" s="439">
        <v>95.32</v>
      </c>
      <c r="CJ80" s="439">
        <v>96.77</v>
      </c>
      <c r="CQ80" s="113">
        <v>75</v>
      </c>
      <c r="CR80" s="439">
        <v>94.12</v>
      </c>
      <c r="CS80" s="439">
        <v>96.15</v>
      </c>
      <c r="CT80" s="439">
        <v>97.62</v>
      </c>
    </row>
    <row r="81" spans="2:98" x14ac:dyDescent="0.2">
      <c r="B81" s="113">
        <v>76</v>
      </c>
      <c r="C81" s="439">
        <v>63.83</v>
      </c>
      <c r="D81" s="439">
        <v>64.42</v>
      </c>
      <c r="E81" s="439">
        <v>65.22</v>
      </c>
      <c r="M81" s="113">
        <v>76</v>
      </c>
      <c r="N81" s="439">
        <v>71.290000000000006</v>
      </c>
      <c r="O81" s="439">
        <v>72.08</v>
      </c>
      <c r="P81" s="439">
        <v>73.02</v>
      </c>
      <c r="X81" s="113">
        <v>76</v>
      </c>
      <c r="Y81" s="439">
        <v>78.67</v>
      </c>
      <c r="Z81" s="439">
        <v>79.69</v>
      </c>
      <c r="AA81" s="439">
        <v>80.75</v>
      </c>
      <c r="AI81" s="113">
        <v>76</v>
      </c>
      <c r="AJ81" s="439">
        <v>83.12</v>
      </c>
      <c r="AK81" s="439">
        <v>84.33</v>
      </c>
      <c r="AL81" s="439">
        <v>85.5</v>
      </c>
      <c r="AS81" s="113">
        <v>76</v>
      </c>
      <c r="AT81" s="439">
        <v>88.96</v>
      </c>
      <c r="AU81" s="439">
        <v>90.39</v>
      </c>
      <c r="AV81" s="439">
        <v>91.67</v>
      </c>
      <c r="BC81" s="113">
        <v>76</v>
      </c>
      <c r="BD81" s="439">
        <v>87.07</v>
      </c>
      <c r="BE81" s="439">
        <v>88.61</v>
      </c>
      <c r="BF81" s="439">
        <v>89.93</v>
      </c>
      <c r="BM81" s="113">
        <v>76</v>
      </c>
      <c r="BN81" s="439">
        <v>90.3</v>
      </c>
      <c r="BO81" s="439">
        <v>92.01</v>
      </c>
      <c r="BP81" s="439">
        <v>93.39</v>
      </c>
      <c r="BW81" s="113">
        <v>76</v>
      </c>
      <c r="BX81" s="439">
        <v>90.4</v>
      </c>
      <c r="BY81" s="439">
        <v>92.22</v>
      </c>
      <c r="BZ81" s="439">
        <v>93.63</v>
      </c>
      <c r="CG81" s="113">
        <v>76</v>
      </c>
      <c r="CH81" s="439">
        <v>91.54</v>
      </c>
      <c r="CI81" s="439">
        <v>93.48</v>
      </c>
      <c r="CJ81" s="439">
        <v>94.92</v>
      </c>
      <c r="CQ81" s="113">
        <v>76</v>
      </c>
      <c r="CR81" s="439">
        <v>91.93</v>
      </c>
      <c r="CS81" s="439">
        <v>93.97</v>
      </c>
      <c r="CT81" s="439">
        <v>95.41</v>
      </c>
    </row>
    <row r="82" spans="2:98" x14ac:dyDescent="0.2">
      <c r="B82" s="113">
        <v>77</v>
      </c>
      <c r="C82" s="439">
        <v>63.69</v>
      </c>
      <c r="D82" s="439">
        <v>64.290000000000006</v>
      </c>
      <c r="E82" s="439">
        <v>65.099999999999994</v>
      </c>
      <c r="M82" s="113">
        <v>77</v>
      </c>
      <c r="N82" s="439">
        <v>71.25</v>
      </c>
      <c r="O82" s="439">
        <v>72.069999999999993</v>
      </c>
      <c r="P82" s="439">
        <v>73.02</v>
      </c>
      <c r="X82" s="113">
        <v>77</v>
      </c>
      <c r="Y82" s="439">
        <v>78.62</v>
      </c>
      <c r="Z82" s="439">
        <v>79.680000000000007</v>
      </c>
      <c r="AA82" s="439">
        <v>80.760000000000005</v>
      </c>
      <c r="AI82" s="113">
        <v>77</v>
      </c>
      <c r="AJ82" s="439">
        <v>82.93</v>
      </c>
      <c r="AK82" s="439">
        <v>84.18</v>
      </c>
      <c r="AL82" s="439">
        <v>85.37</v>
      </c>
      <c r="AS82" s="113">
        <v>77</v>
      </c>
      <c r="AT82" s="439">
        <v>88.5</v>
      </c>
      <c r="AU82" s="439">
        <v>89.97</v>
      </c>
      <c r="AV82" s="439">
        <v>91.25</v>
      </c>
      <c r="BC82" s="113">
        <v>77</v>
      </c>
      <c r="BD82" s="439">
        <v>86.27</v>
      </c>
      <c r="BE82" s="439">
        <v>87.85</v>
      </c>
      <c r="BF82" s="439">
        <v>89.17</v>
      </c>
      <c r="BM82" s="113">
        <v>77</v>
      </c>
      <c r="BN82" s="439">
        <v>89.1</v>
      </c>
      <c r="BO82" s="439">
        <v>90.83</v>
      </c>
      <c r="BP82" s="439">
        <v>92.21</v>
      </c>
      <c r="BW82" s="113">
        <v>77</v>
      </c>
      <c r="BX82" s="439">
        <v>88.82</v>
      </c>
      <c r="BY82" s="439">
        <v>90.66</v>
      </c>
      <c r="BZ82" s="439">
        <v>92.06</v>
      </c>
      <c r="CG82" s="113">
        <v>77</v>
      </c>
      <c r="CH82" s="439">
        <v>89.59</v>
      </c>
      <c r="CI82" s="439">
        <v>91.55</v>
      </c>
      <c r="CJ82" s="439">
        <v>92.96</v>
      </c>
      <c r="CQ82" s="113">
        <v>77</v>
      </c>
      <c r="CR82" s="439">
        <v>89.67</v>
      </c>
      <c r="CS82" s="439">
        <v>91.71</v>
      </c>
      <c r="CT82" s="439">
        <v>93.13</v>
      </c>
    </row>
    <row r="83" spans="2:98" x14ac:dyDescent="0.2">
      <c r="B83" s="113">
        <v>78</v>
      </c>
      <c r="C83" s="439">
        <v>63.52</v>
      </c>
      <c r="D83" s="439">
        <v>64.150000000000006</v>
      </c>
      <c r="E83" s="439">
        <v>64.97</v>
      </c>
      <c r="M83" s="113">
        <v>78</v>
      </c>
      <c r="N83" s="439">
        <v>71.180000000000007</v>
      </c>
      <c r="O83" s="439">
        <v>72.03</v>
      </c>
      <c r="P83" s="439">
        <v>73</v>
      </c>
      <c r="X83" s="113">
        <v>78</v>
      </c>
      <c r="Y83" s="439">
        <v>78.53</v>
      </c>
      <c r="Z83" s="439">
        <v>79.62</v>
      </c>
      <c r="AA83" s="439">
        <v>80.72</v>
      </c>
      <c r="AI83" s="113">
        <v>78</v>
      </c>
      <c r="AJ83" s="439">
        <v>82.67</v>
      </c>
      <c r="AK83" s="439">
        <v>83.96</v>
      </c>
      <c r="AL83" s="439">
        <v>85.16</v>
      </c>
      <c r="AS83" s="113">
        <v>78</v>
      </c>
      <c r="AT83" s="439">
        <v>87.94</v>
      </c>
      <c r="AU83" s="439">
        <v>89.45</v>
      </c>
      <c r="AV83" s="439">
        <v>90.74</v>
      </c>
      <c r="BC83" s="113">
        <v>78</v>
      </c>
      <c r="BD83" s="439">
        <v>85.36</v>
      </c>
      <c r="BE83" s="439">
        <v>86.97</v>
      </c>
      <c r="BF83" s="439">
        <v>88.3</v>
      </c>
      <c r="BM83" s="113">
        <v>78</v>
      </c>
      <c r="BN83" s="439">
        <v>87.78</v>
      </c>
      <c r="BO83" s="439">
        <v>89.54</v>
      </c>
      <c r="BP83" s="439">
        <v>90.91</v>
      </c>
      <c r="BW83" s="113">
        <v>78</v>
      </c>
      <c r="BX83" s="439">
        <v>87.13</v>
      </c>
      <c r="BY83" s="439">
        <v>88.99</v>
      </c>
      <c r="BZ83" s="439">
        <v>90.38</v>
      </c>
      <c r="CG83" s="113">
        <v>78</v>
      </c>
      <c r="CH83" s="439">
        <v>87.55</v>
      </c>
      <c r="CI83" s="439">
        <v>89.52</v>
      </c>
      <c r="CJ83" s="439">
        <v>90.92</v>
      </c>
      <c r="CQ83" s="113">
        <v>78</v>
      </c>
      <c r="CR83" s="439">
        <v>87.36</v>
      </c>
      <c r="CS83" s="439">
        <v>89.41</v>
      </c>
      <c r="CT83" s="439">
        <v>90.8</v>
      </c>
    </row>
    <row r="84" spans="2:98" x14ac:dyDescent="0.2">
      <c r="B84" s="113">
        <v>79</v>
      </c>
      <c r="C84" s="439">
        <v>63.33</v>
      </c>
      <c r="D84" s="439">
        <v>63.99</v>
      </c>
      <c r="E84" s="439">
        <v>64.819999999999993</v>
      </c>
      <c r="M84" s="113">
        <v>79</v>
      </c>
      <c r="N84" s="439">
        <v>71.08</v>
      </c>
      <c r="O84" s="439">
        <v>71.97</v>
      </c>
      <c r="P84" s="439">
        <v>72.95</v>
      </c>
      <c r="X84" s="113">
        <v>79</v>
      </c>
      <c r="Y84" s="439">
        <v>78.39</v>
      </c>
      <c r="Z84" s="439">
        <v>79.52</v>
      </c>
      <c r="AA84" s="439">
        <v>80.64</v>
      </c>
      <c r="AI84" s="113">
        <v>79</v>
      </c>
      <c r="AJ84" s="439">
        <v>82.33</v>
      </c>
      <c r="AK84" s="439">
        <v>83.66</v>
      </c>
      <c r="AL84" s="439">
        <v>84.87</v>
      </c>
      <c r="AS84" s="113">
        <v>79</v>
      </c>
      <c r="AT84" s="439">
        <v>87.27</v>
      </c>
      <c r="AU84" s="439">
        <v>88.82</v>
      </c>
      <c r="AV84" s="439">
        <v>90.12</v>
      </c>
      <c r="BC84" s="113">
        <v>79</v>
      </c>
      <c r="BD84" s="439">
        <v>84.33</v>
      </c>
      <c r="BE84" s="439">
        <v>85.98</v>
      </c>
      <c r="BF84" s="439">
        <v>87.3</v>
      </c>
      <c r="BM84" s="113">
        <v>79</v>
      </c>
      <c r="BN84" s="439">
        <v>86.33</v>
      </c>
      <c r="BO84" s="439">
        <v>88.12</v>
      </c>
      <c r="BP84" s="439">
        <v>89.49</v>
      </c>
      <c r="BW84" s="113">
        <v>79</v>
      </c>
      <c r="BX84" s="439">
        <v>85.33</v>
      </c>
      <c r="BY84" s="439">
        <v>87.22</v>
      </c>
      <c r="BZ84" s="439">
        <v>88.59</v>
      </c>
      <c r="CG84" s="113">
        <v>79</v>
      </c>
      <c r="CH84" s="439">
        <v>85.44</v>
      </c>
      <c r="CI84" s="439">
        <v>87.42</v>
      </c>
      <c r="CJ84" s="439">
        <v>88.8</v>
      </c>
      <c r="CQ84" s="113">
        <v>79</v>
      </c>
      <c r="CR84" s="439">
        <v>85</v>
      </c>
      <c r="CS84" s="439">
        <v>87.05</v>
      </c>
      <c r="CT84" s="439">
        <v>88.42</v>
      </c>
    </row>
    <row r="85" spans="2:98" x14ac:dyDescent="0.2">
      <c r="B85" s="113">
        <v>80</v>
      </c>
      <c r="C85" s="439">
        <v>63.13</v>
      </c>
      <c r="D85" s="439">
        <v>63.81</v>
      </c>
      <c r="E85" s="439">
        <v>64.650000000000006</v>
      </c>
      <c r="M85" s="113">
        <v>80</v>
      </c>
      <c r="N85" s="439">
        <v>70.95</v>
      </c>
      <c r="O85" s="439">
        <v>71.87</v>
      </c>
      <c r="P85" s="439">
        <v>72.87</v>
      </c>
      <c r="X85" s="113">
        <v>80</v>
      </c>
      <c r="Y85" s="439">
        <v>78.2</v>
      </c>
      <c r="Z85" s="439">
        <v>79.37</v>
      </c>
      <c r="AA85" s="439">
        <v>80.5</v>
      </c>
      <c r="AI85" s="113">
        <v>80</v>
      </c>
      <c r="AJ85" s="439">
        <v>81.900000000000006</v>
      </c>
      <c r="AK85" s="439">
        <v>83.28</v>
      </c>
      <c r="AL85" s="439">
        <v>84.5</v>
      </c>
      <c r="AS85" s="113">
        <v>80</v>
      </c>
      <c r="AT85" s="439">
        <v>86.5</v>
      </c>
      <c r="AU85" s="439">
        <v>88.08</v>
      </c>
      <c r="AV85" s="439">
        <v>89.38</v>
      </c>
      <c r="BC85" s="113">
        <v>80</v>
      </c>
      <c r="BD85" s="439">
        <v>83.19</v>
      </c>
      <c r="BE85" s="439">
        <v>84.86</v>
      </c>
      <c r="BF85" s="439">
        <v>86.19</v>
      </c>
      <c r="BM85" s="113">
        <v>80</v>
      </c>
      <c r="BN85" s="439">
        <v>84.78</v>
      </c>
      <c r="BO85" s="439">
        <v>86.59</v>
      </c>
      <c r="BP85" s="439">
        <v>87.95</v>
      </c>
      <c r="BW85" s="113">
        <v>80</v>
      </c>
      <c r="BX85" s="439">
        <v>83.45</v>
      </c>
      <c r="BY85" s="439">
        <v>85.35</v>
      </c>
      <c r="BZ85" s="439">
        <v>86.71</v>
      </c>
      <c r="CG85" s="113">
        <v>80</v>
      </c>
      <c r="CH85" s="439">
        <v>83.27</v>
      </c>
      <c r="CI85" s="439">
        <v>85.26</v>
      </c>
      <c r="CJ85" s="439">
        <v>86.62</v>
      </c>
      <c r="CQ85" s="113">
        <v>80</v>
      </c>
      <c r="CR85" s="439">
        <v>82.62</v>
      </c>
      <c r="CS85" s="439">
        <v>84.67</v>
      </c>
      <c r="CT85" s="439">
        <v>86.02</v>
      </c>
    </row>
    <row r="86" spans="2:98" x14ac:dyDescent="0.2">
      <c r="B86" s="113">
        <v>81</v>
      </c>
      <c r="C86" s="439">
        <v>62.9</v>
      </c>
      <c r="D86" s="439">
        <v>63.6</v>
      </c>
      <c r="E86" s="439">
        <v>64.47</v>
      </c>
      <c r="M86" s="113">
        <v>81</v>
      </c>
      <c r="N86" s="439">
        <v>70.790000000000006</v>
      </c>
      <c r="O86" s="439">
        <v>71.739999999999995</v>
      </c>
      <c r="P86" s="439">
        <v>72.760000000000005</v>
      </c>
      <c r="X86" s="113">
        <v>81</v>
      </c>
      <c r="Y86" s="439">
        <v>77.94</v>
      </c>
      <c r="Z86" s="439">
        <v>79.16</v>
      </c>
      <c r="AA86" s="439">
        <v>80.3</v>
      </c>
      <c r="AI86" s="113">
        <v>81</v>
      </c>
      <c r="AJ86" s="439">
        <v>81.39</v>
      </c>
      <c r="AK86" s="439">
        <v>82.81</v>
      </c>
      <c r="AL86" s="439">
        <v>84.05</v>
      </c>
      <c r="AS86" s="113">
        <v>81</v>
      </c>
      <c r="AT86" s="439">
        <v>85.61</v>
      </c>
      <c r="AU86" s="439">
        <v>87.22</v>
      </c>
      <c r="AV86" s="439">
        <v>88.54</v>
      </c>
      <c r="BC86" s="113">
        <v>81</v>
      </c>
      <c r="BD86" s="439">
        <v>81.92</v>
      </c>
      <c r="BE86" s="439">
        <v>83.63</v>
      </c>
      <c r="BF86" s="439">
        <v>84.96</v>
      </c>
      <c r="BM86" s="113">
        <v>81</v>
      </c>
      <c r="BN86" s="439">
        <v>83.12</v>
      </c>
      <c r="BO86" s="439">
        <v>84.96</v>
      </c>
      <c r="BP86" s="439">
        <v>86.31</v>
      </c>
      <c r="BW86" s="113">
        <v>81</v>
      </c>
      <c r="BX86" s="439">
        <v>81.48</v>
      </c>
      <c r="BY86" s="439">
        <v>83.4</v>
      </c>
      <c r="BZ86" s="439">
        <v>84.75</v>
      </c>
      <c r="CG86" s="113">
        <v>81</v>
      </c>
      <c r="CH86" s="439">
        <v>81.05</v>
      </c>
      <c r="CI86" s="439">
        <v>83.04</v>
      </c>
      <c r="CJ86" s="439">
        <v>84.38</v>
      </c>
      <c r="CQ86" s="113">
        <v>81</v>
      </c>
      <c r="CR86" s="439">
        <v>80.22</v>
      </c>
      <c r="CS86" s="439">
        <v>82.28</v>
      </c>
      <c r="CT86" s="439">
        <v>83.6</v>
      </c>
    </row>
    <row r="87" spans="2:98" x14ac:dyDescent="0.2">
      <c r="B87" s="113">
        <v>82</v>
      </c>
      <c r="C87" s="439">
        <v>62.65</v>
      </c>
      <c r="D87" s="439">
        <v>63.38</v>
      </c>
      <c r="E87" s="439">
        <v>64.260000000000005</v>
      </c>
      <c r="M87" s="113">
        <v>82</v>
      </c>
      <c r="N87" s="439">
        <v>70.58</v>
      </c>
      <c r="O87" s="439">
        <v>71.58</v>
      </c>
      <c r="P87" s="439">
        <v>72.61</v>
      </c>
      <c r="X87" s="113">
        <v>82</v>
      </c>
      <c r="Y87" s="439">
        <v>77.62</v>
      </c>
      <c r="Z87" s="439">
        <v>78.88</v>
      </c>
      <c r="AA87" s="439">
        <v>80.040000000000006</v>
      </c>
      <c r="AI87" s="113">
        <v>82</v>
      </c>
      <c r="AJ87" s="439">
        <v>80.78</v>
      </c>
      <c r="AK87" s="439">
        <v>82.25</v>
      </c>
      <c r="AL87" s="439">
        <v>83.49</v>
      </c>
      <c r="AS87" s="113">
        <v>82</v>
      </c>
      <c r="AT87" s="439">
        <v>84.6</v>
      </c>
      <c r="AU87" s="439">
        <v>86.25</v>
      </c>
      <c r="AV87" s="439">
        <v>87.57</v>
      </c>
      <c r="BC87" s="113">
        <v>82</v>
      </c>
      <c r="BD87" s="439">
        <v>80.55</v>
      </c>
      <c r="BE87" s="439">
        <v>82.29</v>
      </c>
      <c r="BF87" s="439">
        <v>83.61</v>
      </c>
      <c r="BM87" s="113">
        <v>82</v>
      </c>
      <c r="BN87" s="439">
        <v>81.36</v>
      </c>
      <c r="BO87" s="439">
        <v>83.22</v>
      </c>
      <c r="BP87" s="439">
        <v>84.56</v>
      </c>
      <c r="BW87" s="113">
        <v>82</v>
      </c>
      <c r="BX87" s="439">
        <v>79.44</v>
      </c>
      <c r="BY87" s="439">
        <v>81.38</v>
      </c>
      <c r="BZ87" s="439">
        <v>82.71</v>
      </c>
      <c r="CG87" s="113">
        <v>82</v>
      </c>
      <c r="CH87" s="439">
        <v>78.78</v>
      </c>
      <c r="CI87" s="439">
        <v>80.790000000000006</v>
      </c>
      <c r="CJ87" s="439">
        <v>82.11</v>
      </c>
      <c r="CQ87" s="113">
        <v>82</v>
      </c>
      <c r="CR87" s="439">
        <v>77.81</v>
      </c>
      <c r="CS87" s="439">
        <v>79.87</v>
      </c>
      <c r="CT87" s="439">
        <v>81.17</v>
      </c>
    </row>
    <row r="88" spans="2:98" x14ac:dyDescent="0.2">
      <c r="B88" s="113">
        <v>83</v>
      </c>
      <c r="C88" s="439">
        <v>62.36</v>
      </c>
      <c r="D88" s="439">
        <v>63.13</v>
      </c>
      <c r="E88" s="439">
        <v>64.02</v>
      </c>
      <c r="M88" s="113">
        <v>83</v>
      </c>
      <c r="N88" s="439">
        <v>70.34</v>
      </c>
      <c r="O88" s="439">
        <v>71.37</v>
      </c>
      <c r="P88" s="439">
        <v>72.42</v>
      </c>
      <c r="X88" s="113">
        <v>83</v>
      </c>
      <c r="Y88" s="439">
        <v>77.23</v>
      </c>
      <c r="Z88" s="439">
        <v>78.53</v>
      </c>
      <c r="AA88" s="439">
        <v>79.709999999999994</v>
      </c>
      <c r="AI88" s="113">
        <v>83</v>
      </c>
      <c r="AJ88" s="439">
        <v>80.08</v>
      </c>
      <c r="AK88" s="439">
        <v>81.58</v>
      </c>
      <c r="AL88" s="439">
        <v>82.84</v>
      </c>
      <c r="AS88" s="113">
        <v>83</v>
      </c>
      <c r="AT88" s="439">
        <v>83.47</v>
      </c>
      <c r="AU88" s="439">
        <v>85.17</v>
      </c>
      <c r="AV88" s="439">
        <v>86.49</v>
      </c>
      <c r="BC88" s="113">
        <v>83</v>
      </c>
      <c r="BD88" s="439">
        <v>79.06</v>
      </c>
      <c r="BE88" s="439">
        <v>80.83</v>
      </c>
      <c r="BF88" s="439">
        <v>82.15</v>
      </c>
      <c r="BM88" s="113">
        <v>83</v>
      </c>
      <c r="BN88" s="439">
        <v>79.510000000000005</v>
      </c>
      <c r="BO88" s="439">
        <v>81.39</v>
      </c>
      <c r="BP88" s="439">
        <v>82.72</v>
      </c>
      <c r="BW88" s="113">
        <v>83</v>
      </c>
      <c r="BX88" s="439">
        <v>77.34</v>
      </c>
      <c r="BY88" s="439">
        <v>79.290000000000006</v>
      </c>
      <c r="BZ88" s="439">
        <v>80.61</v>
      </c>
      <c r="CG88" s="113">
        <v>83</v>
      </c>
      <c r="CH88" s="439">
        <v>76.489999999999995</v>
      </c>
      <c r="CI88" s="439">
        <v>78.510000000000005</v>
      </c>
      <c r="CJ88" s="439">
        <v>79.81</v>
      </c>
      <c r="CQ88" s="113">
        <v>83</v>
      </c>
      <c r="CR88" s="439">
        <v>75.400000000000006</v>
      </c>
      <c r="CS88" s="439">
        <v>77.47</v>
      </c>
      <c r="CT88" s="439">
        <v>78.75</v>
      </c>
    </row>
    <row r="89" spans="2:98" x14ac:dyDescent="0.2">
      <c r="B89" s="113">
        <v>84</v>
      </c>
      <c r="C89" s="439">
        <v>62.05</v>
      </c>
      <c r="D89" s="439">
        <v>62.85</v>
      </c>
      <c r="E89" s="439">
        <v>63.76</v>
      </c>
      <c r="M89" s="113">
        <v>84</v>
      </c>
      <c r="N89" s="439">
        <v>70.05</v>
      </c>
      <c r="O89" s="439">
        <v>71.12</v>
      </c>
      <c r="P89" s="439">
        <v>72.19</v>
      </c>
      <c r="X89" s="113">
        <v>84</v>
      </c>
      <c r="Y89" s="439">
        <v>76.77</v>
      </c>
      <c r="Z89" s="439">
        <v>78.11</v>
      </c>
      <c r="AA89" s="439">
        <v>79.31</v>
      </c>
      <c r="AI89" s="113">
        <v>84</v>
      </c>
      <c r="AJ89" s="439">
        <v>79.27</v>
      </c>
      <c r="AK89" s="439">
        <v>80.819999999999993</v>
      </c>
      <c r="AL89" s="439">
        <v>82.09</v>
      </c>
      <c r="AS89" s="113">
        <v>84</v>
      </c>
      <c r="AT89" s="439">
        <v>82.23</v>
      </c>
      <c r="AU89" s="439">
        <v>83.96</v>
      </c>
      <c r="AV89" s="439">
        <v>85.29</v>
      </c>
      <c r="BC89" s="113">
        <v>84</v>
      </c>
      <c r="BD89" s="439">
        <v>77.47</v>
      </c>
      <c r="BE89" s="439">
        <v>79.27</v>
      </c>
      <c r="BF89" s="439">
        <v>80.59</v>
      </c>
      <c r="BM89" s="113">
        <v>84</v>
      </c>
      <c r="BN89" s="439">
        <v>77.569999999999993</v>
      </c>
      <c r="BO89" s="439">
        <v>79.48</v>
      </c>
      <c r="BP89" s="439">
        <v>80.8</v>
      </c>
      <c r="BW89" s="113">
        <v>84</v>
      </c>
      <c r="BX89" s="439">
        <v>75.19</v>
      </c>
      <c r="BY89" s="439">
        <v>77.16</v>
      </c>
      <c r="BZ89" s="439">
        <v>78.459999999999994</v>
      </c>
      <c r="CG89" s="113">
        <v>84</v>
      </c>
      <c r="CH89" s="439">
        <v>74.180000000000007</v>
      </c>
      <c r="CI89" s="439">
        <v>76.2</v>
      </c>
      <c r="CJ89" s="439">
        <v>77.489999999999995</v>
      </c>
      <c r="CQ89" s="113">
        <v>84</v>
      </c>
      <c r="CR89" s="439">
        <v>73</v>
      </c>
      <c r="CS89" s="439">
        <v>75.069999999999993</v>
      </c>
      <c r="CT89" s="439">
        <v>76.34</v>
      </c>
    </row>
    <row r="90" spans="2:98" x14ac:dyDescent="0.2">
      <c r="B90" s="113">
        <v>85</v>
      </c>
      <c r="C90" s="439">
        <v>61.71</v>
      </c>
      <c r="D90" s="439">
        <v>62.54</v>
      </c>
      <c r="E90" s="439">
        <v>63.46</v>
      </c>
      <c r="M90" s="113">
        <v>85</v>
      </c>
      <c r="N90" s="439">
        <v>69.7</v>
      </c>
      <c r="O90" s="439">
        <v>70.819999999999993</v>
      </c>
      <c r="P90" s="439">
        <v>71.91</v>
      </c>
      <c r="X90" s="113">
        <v>85</v>
      </c>
      <c r="Y90" s="439">
        <v>76.22</v>
      </c>
      <c r="Z90" s="439">
        <v>77.61</v>
      </c>
      <c r="AA90" s="439">
        <v>78.819999999999993</v>
      </c>
      <c r="AI90" s="113">
        <v>85</v>
      </c>
      <c r="AJ90" s="439">
        <v>78.349999999999994</v>
      </c>
      <c r="AK90" s="439">
        <v>79.94</v>
      </c>
      <c r="AL90" s="439">
        <v>81.23</v>
      </c>
      <c r="AS90" s="113">
        <v>85</v>
      </c>
      <c r="AT90" s="439">
        <v>80.88</v>
      </c>
      <c r="AU90" s="439">
        <v>82.64</v>
      </c>
      <c r="AV90" s="439">
        <v>83.98</v>
      </c>
      <c r="BC90" s="113">
        <v>85</v>
      </c>
      <c r="BD90" s="439">
        <v>75.77</v>
      </c>
      <c r="BE90" s="439">
        <v>77.599999999999994</v>
      </c>
      <c r="BF90" s="439">
        <v>78.92</v>
      </c>
      <c r="BM90" s="113">
        <v>85</v>
      </c>
      <c r="BN90" s="439">
        <v>75.56</v>
      </c>
      <c r="BO90" s="439">
        <v>77.489999999999995</v>
      </c>
      <c r="BP90" s="439">
        <v>78.81</v>
      </c>
      <c r="BW90" s="113">
        <v>85</v>
      </c>
      <c r="BX90" s="439">
        <v>73</v>
      </c>
      <c r="BY90" s="439">
        <v>74.98</v>
      </c>
      <c r="BZ90" s="439">
        <v>76.27</v>
      </c>
      <c r="CG90" s="113">
        <v>85</v>
      </c>
      <c r="CH90" s="439">
        <v>71.849999999999994</v>
      </c>
      <c r="CI90" s="439">
        <v>73.89</v>
      </c>
      <c r="CJ90" s="439">
        <v>75.16</v>
      </c>
      <c r="CQ90" s="113">
        <v>85</v>
      </c>
      <c r="CR90" s="439">
        <v>70.62</v>
      </c>
      <c r="CS90" s="439">
        <v>72.69</v>
      </c>
      <c r="CT90" s="439">
        <v>73.94</v>
      </c>
    </row>
    <row r="91" spans="2:98" x14ac:dyDescent="0.2">
      <c r="B91" s="113">
        <v>86</v>
      </c>
      <c r="C91" s="439">
        <v>61.33</v>
      </c>
      <c r="D91" s="439">
        <v>62.19</v>
      </c>
      <c r="E91" s="439">
        <v>63.13</v>
      </c>
      <c r="M91" s="113">
        <v>86</v>
      </c>
      <c r="N91" s="439">
        <v>69.3</v>
      </c>
      <c r="O91" s="439">
        <v>70.47</v>
      </c>
      <c r="P91" s="439">
        <v>71.569999999999993</v>
      </c>
      <c r="X91" s="113">
        <v>86</v>
      </c>
      <c r="Y91" s="439">
        <v>75.58</v>
      </c>
      <c r="Z91" s="439">
        <v>77.02</v>
      </c>
      <c r="AA91" s="439">
        <v>78.25</v>
      </c>
      <c r="AI91" s="113">
        <v>86</v>
      </c>
      <c r="AJ91" s="439">
        <v>77.33</v>
      </c>
      <c r="AK91" s="439">
        <v>78.959999999999994</v>
      </c>
      <c r="AL91" s="439">
        <v>80.260000000000005</v>
      </c>
      <c r="AS91" s="113">
        <v>86</v>
      </c>
      <c r="AT91" s="439">
        <v>79.41</v>
      </c>
      <c r="AU91" s="439">
        <v>81.209999999999994</v>
      </c>
      <c r="AV91" s="439">
        <v>82.55</v>
      </c>
      <c r="BC91" s="113">
        <v>86</v>
      </c>
      <c r="BD91" s="439">
        <v>73.989999999999995</v>
      </c>
      <c r="BE91" s="439">
        <v>75.849999999999994</v>
      </c>
      <c r="BF91" s="439">
        <v>77.17</v>
      </c>
      <c r="BM91" s="113">
        <v>86</v>
      </c>
      <c r="BN91" s="439">
        <v>73.489999999999995</v>
      </c>
      <c r="BO91" s="439">
        <v>75.44</v>
      </c>
      <c r="BP91" s="439">
        <v>76.75</v>
      </c>
      <c r="BW91" s="113">
        <v>86</v>
      </c>
      <c r="BX91" s="439">
        <v>70.77</v>
      </c>
      <c r="BY91" s="439">
        <v>72.77</v>
      </c>
      <c r="BZ91" s="439">
        <v>74.05</v>
      </c>
      <c r="CG91" s="113">
        <v>86</v>
      </c>
      <c r="CH91" s="439">
        <v>69.53</v>
      </c>
      <c r="CI91" s="439">
        <v>71.569999999999993</v>
      </c>
      <c r="CJ91" s="439">
        <v>72.83</v>
      </c>
      <c r="CQ91" s="113">
        <v>86</v>
      </c>
      <c r="CR91" s="439">
        <v>68.25</v>
      </c>
      <c r="CS91" s="439">
        <v>70.33</v>
      </c>
      <c r="CT91" s="439">
        <v>71.569999999999993</v>
      </c>
    </row>
    <row r="92" spans="2:98" x14ac:dyDescent="0.2">
      <c r="B92" s="113">
        <v>87</v>
      </c>
      <c r="C92" s="439">
        <v>60.91</v>
      </c>
      <c r="D92" s="439">
        <v>61.81</v>
      </c>
      <c r="E92" s="439">
        <v>62.77</v>
      </c>
      <c r="M92" s="113">
        <v>87</v>
      </c>
      <c r="N92" s="439">
        <v>68.84</v>
      </c>
      <c r="O92" s="439">
        <v>70.05</v>
      </c>
      <c r="P92" s="439">
        <v>71.180000000000007</v>
      </c>
      <c r="X92" s="113">
        <v>87</v>
      </c>
      <c r="Y92" s="439">
        <v>74.86</v>
      </c>
      <c r="Z92" s="439">
        <v>76.34</v>
      </c>
      <c r="AA92" s="439">
        <v>77.59</v>
      </c>
      <c r="AI92" s="113">
        <v>87</v>
      </c>
      <c r="AJ92" s="439">
        <v>76.19</v>
      </c>
      <c r="AK92" s="439">
        <v>77.87</v>
      </c>
      <c r="AL92" s="439">
        <v>79.17</v>
      </c>
      <c r="AS92" s="113">
        <v>87</v>
      </c>
      <c r="AT92" s="439">
        <v>77.83</v>
      </c>
      <c r="AU92" s="439">
        <v>79.66</v>
      </c>
      <c r="AV92" s="439">
        <v>81</v>
      </c>
      <c r="BC92" s="113">
        <v>87</v>
      </c>
      <c r="BD92" s="439">
        <v>72.11</v>
      </c>
      <c r="BE92" s="439">
        <v>74</v>
      </c>
      <c r="BF92" s="439">
        <v>75.319999999999993</v>
      </c>
      <c r="BM92" s="113">
        <v>87</v>
      </c>
      <c r="BN92" s="439">
        <v>71.36</v>
      </c>
      <c r="BO92" s="439">
        <v>73.33</v>
      </c>
      <c r="BP92" s="439">
        <v>74.63</v>
      </c>
      <c r="BW92" s="113">
        <v>87</v>
      </c>
      <c r="BX92" s="439">
        <v>68.52</v>
      </c>
      <c r="BY92" s="439">
        <v>70.540000000000006</v>
      </c>
      <c r="BZ92" s="439">
        <v>71.8</v>
      </c>
      <c r="CG92" s="113">
        <v>87</v>
      </c>
      <c r="CH92" s="439">
        <v>67.2</v>
      </c>
      <c r="CI92" s="439">
        <v>69.260000000000005</v>
      </c>
      <c r="CJ92" s="439">
        <v>70.5</v>
      </c>
      <c r="CQ92" s="113">
        <v>87</v>
      </c>
      <c r="CR92" s="439">
        <v>65.91</v>
      </c>
      <c r="CS92" s="439">
        <v>68</v>
      </c>
      <c r="CT92" s="439">
        <v>69.22</v>
      </c>
    </row>
    <row r="93" spans="2:98" x14ac:dyDescent="0.2">
      <c r="B93" s="113">
        <v>88</v>
      </c>
      <c r="C93" s="439">
        <v>60.46</v>
      </c>
      <c r="D93" s="439">
        <v>61.39</v>
      </c>
      <c r="E93" s="439">
        <v>62.37</v>
      </c>
      <c r="M93" s="113">
        <v>88</v>
      </c>
      <c r="N93" s="439">
        <v>68.319999999999993</v>
      </c>
      <c r="O93" s="439">
        <v>69.569999999999993</v>
      </c>
      <c r="P93" s="439">
        <v>70.72</v>
      </c>
      <c r="X93" s="113">
        <v>88</v>
      </c>
      <c r="Y93" s="439">
        <v>74.03</v>
      </c>
      <c r="Z93" s="439">
        <v>75.569999999999993</v>
      </c>
      <c r="AA93" s="439">
        <v>76.83</v>
      </c>
      <c r="AI93" s="113">
        <v>88</v>
      </c>
      <c r="AJ93" s="439">
        <v>74.94</v>
      </c>
      <c r="AK93" s="439">
        <v>76.66</v>
      </c>
      <c r="AL93" s="439">
        <v>77.98</v>
      </c>
      <c r="AS93" s="113">
        <v>88</v>
      </c>
      <c r="AT93" s="439">
        <v>76.14</v>
      </c>
      <c r="AU93" s="439">
        <v>78.010000000000005</v>
      </c>
      <c r="AV93" s="439">
        <v>79.349999999999994</v>
      </c>
      <c r="BC93" s="113">
        <v>88</v>
      </c>
      <c r="BD93" s="439">
        <v>70.16</v>
      </c>
      <c r="BE93" s="439">
        <v>72.08</v>
      </c>
      <c r="BF93" s="439">
        <v>73.39</v>
      </c>
      <c r="BM93" s="113">
        <v>88</v>
      </c>
      <c r="BN93" s="439">
        <v>69.180000000000007</v>
      </c>
      <c r="BO93" s="439">
        <v>71.17</v>
      </c>
      <c r="BP93" s="439">
        <v>72.459999999999994</v>
      </c>
      <c r="BW93" s="113">
        <v>88</v>
      </c>
      <c r="BX93" s="439">
        <v>66.25</v>
      </c>
      <c r="BY93" s="439">
        <v>68.28</v>
      </c>
      <c r="BZ93" s="439">
        <v>69.540000000000006</v>
      </c>
      <c r="CG93" s="113">
        <v>88</v>
      </c>
      <c r="CH93" s="439">
        <v>64.88</v>
      </c>
      <c r="CI93" s="439">
        <v>66.95</v>
      </c>
      <c r="CJ93" s="439">
        <v>68.180000000000007</v>
      </c>
      <c r="CQ93" s="113">
        <v>88</v>
      </c>
      <c r="CR93" s="439">
        <v>63.6</v>
      </c>
      <c r="CS93" s="439">
        <v>65.69</v>
      </c>
      <c r="CT93" s="439">
        <v>66.900000000000006</v>
      </c>
    </row>
    <row r="94" spans="2:98" x14ac:dyDescent="0.2">
      <c r="B94" s="113">
        <v>89</v>
      </c>
      <c r="C94" s="439">
        <v>59.95</v>
      </c>
      <c r="D94" s="439">
        <v>60.92</v>
      </c>
      <c r="E94" s="439">
        <v>61.93</v>
      </c>
      <c r="M94" s="113">
        <v>89</v>
      </c>
      <c r="N94" s="439">
        <v>67.72</v>
      </c>
      <c r="O94" s="439">
        <v>69.02</v>
      </c>
      <c r="P94" s="439">
        <v>70.19</v>
      </c>
      <c r="X94" s="113">
        <v>89</v>
      </c>
      <c r="Y94" s="439">
        <v>73.099999999999994</v>
      </c>
      <c r="Z94" s="439">
        <v>74.69</v>
      </c>
      <c r="AA94" s="439">
        <v>75.97</v>
      </c>
      <c r="AI94" s="113">
        <v>89</v>
      </c>
      <c r="AJ94" s="439">
        <v>73.569999999999993</v>
      </c>
      <c r="AK94" s="439">
        <v>75.34</v>
      </c>
      <c r="AL94" s="439">
        <v>76.67</v>
      </c>
      <c r="AS94" s="113">
        <v>89</v>
      </c>
      <c r="AT94" s="439">
        <v>74.349999999999994</v>
      </c>
      <c r="AU94" s="439">
        <v>76.25</v>
      </c>
      <c r="AV94" s="439">
        <v>77.599999999999994</v>
      </c>
      <c r="BC94" s="113">
        <v>89</v>
      </c>
      <c r="BD94" s="439">
        <v>68.13</v>
      </c>
      <c r="BE94" s="439">
        <v>70.08</v>
      </c>
      <c r="BF94" s="439">
        <v>71.39</v>
      </c>
      <c r="BM94" s="113">
        <v>89</v>
      </c>
      <c r="BN94" s="439">
        <v>66.959999999999994</v>
      </c>
      <c r="BO94" s="439">
        <v>68.98</v>
      </c>
      <c r="BP94" s="439">
        <v>70.260000000000005</v>
      </c>
      <c r="BW94" s="113">
        <v>89</v>
      </c>
      <c r="BX94" s="439">
        <v>63.96</v>
      </c>
      <c r="BY94" s="439">
        <v>66.02</v>
      </c>
      <c r="BZ94" s="439">
        <v>67.260000000000005</v>
      </c>
      <c r="CG94" s="113">
        <v>89</v>
      </c>
      <c r="CH94" s="439">
        <v>62.57</v>
      </c>
      <c r="CI94" s="439">
        <v>64.66</v>
      </c>
      <c r="CJ94" s="439">
        <v>65.88</v>
      </c>
      <c r="CQ94" s="113">
        <v>89</v>
      </c>
      <c r="CR94" s="439">
        <v>61.31</v>
      </c>
      <c r="CS94" s="439">
        <v>63.41</v>
      </c>
      <c r="CT94" s="439">
        <v>64.61</v>
      </c>
    </row>
    <row r="95" spans="2:98" x14ac:dyDescent="0.2">
      <c r="B95" s="113">
        <v>90</v>
      </c>
      <c r="C95" s="439">
        <v>59.4</v>
      </c>
      <c r="D95" s="439">
        <v>60.41</v>
      </c>
      <c r="E95" s="439">
        <v>61.43</v>
      </c>
      <c r="M95" s="113">
        <v>90</v>
      </c>
      <c r="N95" s="439">
        <v>67.040000000000006</v>
      </c>
      <c r="O95" s="439">
        <v>68.400000000000006</v>
      </c>
      <c r="P95" s="439">
        <v>69.59</v>
      </c>
      <c r="X95" s="113">
        <v>90</v>
      </c>
      <c r="Y95" s="439">
        <v>72.069999999999993</v>
      </c>
      <c r="Z95" s="439">
        <v>73.709999999999994</v>
      </c>
      <c r="AA95" s="439">
        <v>75.010000000000005</v>
      </c>
      <c r="AI95" s="113">
        <v>90</v>
      </c>
      <c r="AJ95" s="439">
        <v>72.09</v>
      </c>
      <c r="AK95" s="439">
        <v>73.900000000000006</v>
      </c>
      <c r="AL95" s="439">
        <v>75.239999999999995</v>
      </c>
      <c r="AS95" s="113">
        <v>90</v>
      </c>
      <c r="AT95" s="439">
        <v>72.45</v>
      </c>
      <c r="AU95" s="439">
        <v>74.400000000000006</v>
      </c>
      <c r="AV95" s="439">
        <v>75.75</v>
      </c>
      <c r="BC95" s="113">
        <v>90</v>
      </c>
      <c r="BD95" s="439">
        <v>66.03</v>
      </c>
      <c r="BE95" s="439">
        <v>68.02</v>
      </c>
      <c r="BF95" s="439">
        <v>69.319999999999993</v>
      </c>
      <c r="BM95" s="113">
        <v>90</v>
      </c>
      <c r="BN95" s="439">
        <v>64.7</v>
      </c>
      <c r="BO95" s="439">
        <v>66.75</v>
      </c>
      <c r="BP95" s="439">
        <v>68.02</v>
      </c>
      <c r="BW95" s="113">
        <v>90</v>
      </c>
      <c r="BX95" s="439">
        <v>61.67</v>
      </c>
      <c r="BY95" s="439">
        <v>63.74</v>
      </c>
      <c r="BZ95" s="439">
        <v>64.98</v>
      </c>
      <c r="CG95" s="113">
        <v>90</v>
      </c>
      <c r="CH95" s="439">
        <v>60.28</v>
      </c>
      <c r="CI95" s="439">
        <v>62.37</v>
      </c>
      <c r="CJ95" s="439">
        <v>63.59</v>
      </c>
      <c r="CQ95" s="113">
        <v>90</v>
      </c>
      <c r="CR95" s="439">
        <v>59.04</v>
      </c>
      <c r="CS95" s="439">
        <v>61.15</v>
      </c>
      <c r="CT95" s="439">
        <v>62.35</v>
      </c>
    </row>
    <row r="96" spans="2:98" x14ac:dyDescent="0.2">
      <c r="B96" s="113">
        <v>91</v>
      </c>
      <c r="C96" s="439">
        <v>58.78</v>
      </c>
      <c r="D96" s="439">
        <v>59.85</v>
      </c>
      <c r="E96" s="439">
        <v>60.89</v>
      </c>
      <c r="M96" s="113">
        <v>91</v>
      </c>
      <c r="N96" s="439">
        <v>66.28</v>
      </c>
      <c r="O96" s="439">
        <v>67.69</v>
      </c>
      <c r="P96" s="439">
        <v>68.91</v>
      </c>
      <c r="X96" s="113">
        <v>91</v>
      </c>
      <c r="Y96" s="439">
        <v>70.92</v>
      </c>
      <c r="Z96" s="439">
        <v>72.61</v>
      </c>
      <c r="AA96" s="439">
        <v>73.930000000000007</v>
      </c>
      <c r="AI96" s="113">
        <v>91</v>
      </c>
      <c r="AJ96" s="439">
        <v>70.489999999999995</v>
      </c>
      <c r="AK96" s="439">
        <v>72.349999999999994</v>
      </c>
      <c r="AL96" s="439">
        <v>73.7</v>
      </c>
      <c r="AS96" s="113">
        <v>91</v>
      </c>
      <c r="AT96" s="439">
        <v>70.47</v>
      </c>
      <c r="AU96" s="439">
        <v>72.45</v>
      </c>
      <c r="AV96" s="439">
        <v>73.8</v>
      </c>
      <c r="BC96" s="113">
        <v>91</v>
      </c>
      <c r="BD96" s="439">
        <v>63.87</v>
      </c>
      <c r="BE96" s="439">
        <v>65.89</v>
      </c>
      <c r="BF96" s="439">
        <v>67.19</v>
      </c>
      <c r="BM96" s="113">
        <v>91</v>
      </c>
      <c r="BN96" s="439">
        <v>62.41</v>
      </c>
      <c r="BO96" s="439">
        <v>64.48</v>
      </c>
      <c r="BP96" s="439">
        <v>65.75</v>
      </c>
      <c r="BW96" s="113">
        <v>91</v>
      </c>
      <c r="BX96" s="439">
        <v>59.37</v>
      </c>
      <c r="BY96" s="439">
        <v>61.46</v>
      </c>
      <c r="BZ96" s="439">
        <v>62.69</v>
      </c>
      <c r="CG96" s="113">
        <v>91</v>
      </c>
      <c r="CH96" s="439">
        <v>57.99</v>
      </c>
      <c r="CI96" s="439">
        <v>60.1</v>
      </c>
      <c r="CJ96" s="439">
        <v>61.31</v>
      </c>
      <c r="CQ96" s="113">
        <v>91</v>
      </c>
      <c r="CR96" s="439">
        <v>56.8</v>
      </c>
      <c r="CS96" s="439">
        <v>58.92</v>
      </c>
      <c r="CT96" s="439">
        <v>60.11</v>
      </c>
    </row>
    <row r="97" spans="2:98" x14ac:dyDescent="0.2">
      <c r="B97" s="113">
        <v>92</v>
      </c>
      <c r="C97" s="439">
        <v>58.11</v>
      </c>
      <c r="D97" s="439">
        <v>59.22</v>
      </c>
      <c r="E97" s="439">
        <v>60.29</v>
      </c>
      <c r="M97" s="113">
        <v>92</v>
      </c>
      <c r="N97" s="439">
        <v>65.430000000000007</v>
      </c>
      <c r="O97" s="439">
        <v>66.89</v>
      </c>
      <c r="P97" s="439">
        <v>68.14</v>
      </c>
      <c r="X97" s="113">
        <v>92</v>
      </c>
      <c r="Y97" s="439">
        <v>69.66</v>
      </c>
      <c r="Z97" s="439">
        <v>71.41</v>
      </c>
      <c r="AA97" s="439">
        <v>72.739999999999995</v>
      </c>
      <c r="AI97" s="113">
        <v>92</v>
      </c>
      <c r="AJ97" s="439">
        <v>68.78</v>
      </c>
      <c r="AK97" s="439">
        <v>70.69</v>
      </c>
      <c r="AL97" s="439">
        <v>72.05</v>
      </c>
      <c r="AS97" s="113">
        <v>92</v>
      </c>
      <c r="AT97" s="439">
        <v>68.39</v>
      </c>
      <c r="AU97" s="439">
        <v>70.41</v>
      </c>
      <c r="AV97" s="439">
        <v>71.760000000000005</v>
      </c>
      <c r="BC97" s="113">
        <v>92</v>
      </c>
      <c r="BD97" s="439">
        <v>61.66</v>
      </c>
      <c r="BE97" s="439">
        <v>63.71</v>
      </c>
      <c r="BF97" s="439">
        <v>65</v>
      </c>
      <c r="BM97" s="113">
        <v>92</v>
      </c>
      <c r="BN97" s="439">
        <v>60.1</v>
      </c>
      <c r="BO97" s="439">
        <v>62.19</v>
      </c>
      <c r="BP97" s="439">
        <v>63.46</v>
      </c>
      <c r="BW97" s="113">
        <v>92</v>
      </c>
      <c r="BX97" s="439">
        <v>57.07</v>
      </c>
      <c r="BY97" s="439">
        <v>59.18</v>
      </c>
      <c r="BZ97" s="439">
        <v>60.41</v>
      </c>
      <c r="CG97" s="113">
        <v>92</v>
      </c>
      <c r="CH97" s="439">
        <v>55.72</v>
      </c>
      <c r="CI97" s="439">
        <v>57.84</v>
      </c>
      <c r="CJ97" s="439">
        <v>59.05</v>
      </c>
      <c r="CQ97" s="113">
        <v>92</v>
      </c>
      <c r="CR97" s="439">
        <v>54.47</v>
      </c>
      <c r="CS97" s="439">
        <v>56.6</v>
      </c>
      <c r="CT97" s="439">
        <v>57.78</v>
      </c>
    </row>
    <row r="98" spans="2:98" x14ac:dyDescent="0.2">
      <c r="B98" s="113">
        <v>93</v>
      </c>
      <c r="C98" s="439">
        <v>57.38</v>
      </c>
      <c r="D98" s="439">
        <v>58.53</v>
      </c>
      <c r="E98" s="439">
        <v>59.63</v>
      </c>
      <c r="M98" s="113">
        <v>93</v>
      </c>
      <c r="N98" s="439">
        <v>64.48</v>
      </c>
      <c r="O98" s="439">
        <v>66</v>
      </c>
      <c r="P98" s="439">
        <v>67.27</v>
      </c>
      <c r="X98" s="113">
        <v>93</v>
      </c>
      <c r="Y98" s="439">
        <v>68.28</v>
      </c>
      <c r="Z98" s="439">
        <v>70.08</v>
      </c>
      <c r="AA98" s="439">
        <v>71.430000000000007</v>
      </c>
      <c r="AI98" s="113">
        <v>93</v>
      </c>
      <c r="AJ98" s="439">
        <v>66.959999999999994</v>
      </c>
      <c r="AK98" s="439">
        <v>68.91</v>
      </c>
      <c r="AL98" s="439">
        <v>70.28</v>
      </c>
      <c r="AS98" s="113">
        <v>93</v>
      </c>
      <c r="AT98" s="439">
        <v>66.23</v>
      </c>
      <c r="AU98" s="439">
        <v>68.290000000000006</v>
      </c>
      <c r="AV98" s="439">
        <v>69.64</v>
      </c>
      <c r="BC98" s="113">
        <v>93</v>
      </c>
      <c r="BD98" s="439">
        <v>59.39</v>
      </c>
      <c r="BE98" s="439">
        <v>61.47</v>
      </c>
      <c r="BF98" s="439">
        <v>62.76</v>
      </c>
      <c r="BM98" s="113">
        <v>93</v>
      </c>
      <c r="BN98" s="439">
        <v>57.76</v>
      </c>
      <c r="BO98" s="439">
        <v>59.89</v>
      </c>
      <c r="BP98" s="439">
        <v>61.14</v>
      </c>
      <c r="BW98" s="113">
        <v>93</v>
      </c>
      <c r="BX98" s="439">
        <v>54.76</v>
      </c>
      <c r="BY98" s="439">
        <v>56.9</v>
      </c>
      <c r="BZ98" s="439">
        <v>58.12</v>
      </c>
      <c r="CG98" s="113">
        <v>93</v>
      </c>
      <c r="CH98" s="439">
        <v>53.45</v>
      </c>
      <c r="CI98" s="439">
        <v>55.6</v>
      </c>
      <c r="CJ98" s="439">
        <v>56.8</v>
      </c>
      <c r="CQ98" s="113">
        <v>93</v>
      </c>
      <c r="CR98" s="439">
        <v>52.14</v>
      </c>
      <c r="CS98" s="439">
        <v>54.28</v>
      </c>
      <c r="CT98" s="439">
        <v>55.46</v>
      </c>
    </row>
    <row r="99" spans="2:98" x14ac:dyDescent="0.2">
      <c r="B99" s="113">
        <v>94</v>
      </c>
      <c r="C99" s="439">
        <v>56.57</v>
      </c>
      <c r="D99" s="439">
        <v>57.77</v>
      </c>
      <c r="E99" s="439">
        <v>58.9</v>
      </c>
      <c r="M99" s="113">
        <v>94</v>
      </c>
      <c r="N99" s="439">
        <v>63.42</v>
      </c>
      <c r="O99" s="439">
        <v>65.010000000000005</v>
      </c>
      <c r="P99" s="439">
        <v>66.3</v>
      </c>
      <c r="X99" s="113">
        <v>94</v>
      </c>
      <c r="Y99" s="439">
        <v>66.77</v>
      </c>
      <c r="Z99" s="439">
        <v>68.63</v>
      </c>
      <c r="AA99" s="439">
        <v>70</v>
      </c>
      <c r="AI99" s="113">
        <v>94</v>
      </c>
      <c r="AJ99" s="439">
        <v>65.02</v>
      </c>
      <c r="AK99" s="439">
        <v>67.02</v>
      </c>
      <c r="AL99" s="439">
        <v>68.400000000000006</v>
      </c>
      <c r="AS99" s="113">
        <v>94</v>
      </c>
      <c r="AT99" s="439">
        <v>63.99</v>
      </c>
      <c r="AU99" s="439">
        <v>66.09</v>
      </c>
      <c r="AV99" s="439">
        <v>67.45</v>
      </c>
      <c r="BC99" s="113">
        <v>94</v>
      </c>
      <c r="BD99" s="439">
        <v>57.07</v>
      </c>
      <c r="BE99" s="439">
        <v>59.19</v>
      </c>
      <c r="BF99" s="439">
        <v>60.48</v>
      </c>
      <c r="BM99" s="113">
        <v>94</v>
      </c>
      <c r="BN99" s="439">
        <v>55.4</v>
      </c>
      <c r="BO99" s="439">
        <v>57.55</v>
      </c>
      <c r="BP99" s="439">
        <v>58.81</v>
      </c>
      <c r="BW99" s="113">
        <v>94</v>
      </c>
      <c r="BX99" s="439">
        <v>52.45</v>
      </c>
      <c r="BY99" s="439">
        <v>54.61</v>
      </c>
      <c r="BZ99" s="439">
        <v>55.83</v>
      </c>
      <c r="CG99" s="113">
        <v>94</v>
      </c>
      <c r="CH99" s="439">
        <v>51.05</v>
      </c>
      <c r="CI99" s="439">
        <v>53.2</v>
      </c>
      <c r="CJ99" s="439">
        <v>54.41</v>
      </c>
      <c r="CQ99" s="113">
        <v>94</v>
      </c>
      <c r="CR99" s="439">
        <v>49.82</v>
      </c>
      <c r="CS99" s="439">
        <v>51.97</v>
      </c>
      <c r="CT99" s="439">
        <v>53.15</v>
      </c>
    </row>
    <row r="100" spans="2:98" x14ac:dyDescent="0.2">
      <c r="B100" s="113">
        <v>95</v>
      </c>
      <c r="C100" s="439">
        <v>55.67</v>
      </c>
      <c r="D100" s="439">
        <v>56.94</v>
      </c>
      <c r="E100" s="439">
        <v>58.09</v>
      </c>
      <c r="M100" s="113">
        <v>95</v>
      </c>
      <c r="N100" s="439">
        <v>62.25</v>
      </c>
      <c r="O100" s="439">
        <v>63.9</v>
      </c>
      <c r="P100" s="439">
        <v>65.22</v>
      </c>
      <c r="X100" s="113">
        <v>95</v>
      </c>
      <c r="Y100" s="439">
        <v>65.13</v>
      </c>
      <c r="Z100" s="439">
        <v>67.05</v>
      </c>
      <c r="AA100" s="439">
        <v>68.45</v>
      </c>
      <c r="AI100" s="113">
        <v>95</v>
      </c>
      <c r="AJ100" s="439">
        <v>62.97</v>
      </c>
      <c r="AK100" s="439">
        <v>65.02</v>
      </c>
      <c r="AL100" s="439">
        <v>66.42</v>
      </c>
      <c r="AS100" s="113">
        <v>95</v>
      </c>
      <c r="AT100" s="439">
        <v>61.67</v>
      </c>
      <c r="AU100" s="439">
        <v>63.8</v>
      </c>
      <c r="AV100" s="439">
        <v>65.17</v>
      </c>
      <c r="BC100" s="113">
        <v>95</v>
      </c>
      <c r="BD100" s="439">
        <v>54.7</v>
      </c>
      <c r="BE100" s="439">
        <v>56.86</v>
      </c>
      <c r="BF100" s="439">
        <v>58.15</v>
      </c>
      <c r="BM100" s="113">
        <v>95</v>
      </c>
      <c r="BN100" s="439">
        <v>53.02</v>
      </c>
      <c r="BO100" s="439">
        <v>55.2</v>
      </c>
      <c r="BP100" s="439">
        <v>56.45</v>
      </c>
      <c r="BW100" s="113">
        <v>95</v>
      </c>
      <c r="BX100" s="439">
        <v>50.12</v>
      </c>
      <c r="BY100" s="439">
        <v>52.3</v>
      </c>
      <c r="BZ100" s="439">
        <v>53.53</v>
      </c>
      <c r="CG100" s="113">
        <v>95</v>
      </c>
      <c r="CH100" s="439">
        <v>48.62</v>
      </c>
      <c r="CI100" s="439">
        <v>50.79</v>
      </c>
      <c r="CJ100" s="439">
        <v>51.99</v>
      </c>
      <c r="CQ100" s="113">
        <v>95</v>
      </c>
      <c r="CR100" s="439">
        <v>47.48</v>
      </c>
      <c r="CS100" s="439">
        <v>49.65</v>
      </c>
      <c r="CT100" s="439">
        <v>50.84</v>
      </c>
    </row>
    <row r="101" spans="2:98" x14ac:dyDescent="0.2">
      <c r="B101" s="113">
        <v>96</v>
      </c>
      <c r="C101" s="439">
        <v>54.69</v>
      </c>
      <c r="D101" s="439">
        <v>56.01</v>
      </c>
      <c r="E101" s="439">
        <v>57.19</v>
      </c>
      <c r="M101" s="113">
        <v>96</v>
      </c>
      <c r="N101" s="439">
        <v>60.96</v>
      </c>
      <c r="O101" s="439">
        <v>62.67</v>
      </c>
      <c r="P101" s="439">
        <v>64.02</v>
      </c>
      <c r="X101" s="113">
        <v>96</v>
      </c>
      <c r="Y101" s="439">
        <v>63.36</v>
      </c>
      <c r="Z101" s="439">
        <v>65.34</v>
      </c>
      <c r="AA101" s="439">
        <v>66.760000000000005</v>
      </c>
      <c r="AI101" s="113">
        <v>96</v>
      </c>
      <c r="AJ101" s="439">
        <v>60.81</v>
      </c>
      <c r="AK101" s="439">
        <v>62.91</v>
      </c>
      <c r="AL101" s="439">
        <v>64.31</v>
      </c>
      <c r="AS101" s="113">
        <v>96</v>
      </c>
      <c r="AT101" s="439">
        <v>59.26</v>
      </c>
      <c r="AU101" s="439">
        <v>61.45</v>
      </c>
      <c r="AV101" s="439">
        <v>62.81</v>
      </c>
      <c r="BC101" s="113">
        <v>96</v>
      </c>
      <c r="BD101" s="439">
        <v>52.28</v>
      </c>
      <c r="BE101" s="439">
        <v>54.48</v>
      </c>
      <c r="BF101" s="439">
        <v>55.77</v>
      </c>
      <c r="BM101" s="113">
        <v>96</v>
      </c>
      <c r="BN101" s="439">
        <v>50.6</v>
      </c>
      <c r="BO101" s="439">
        <v>52.81</v>
      </c>
      <c r="BP101" s="439">
        <v>54.08</v>
      </c>
      <c r="BW101" s="113">
        <v>96</v>
      </c>
      <c r="BX101" s="439">
        <v>47.58</v>
      </c>
      <c r="BY101" s="439">
        <v>49.79</v>
      </c>
      <c r="BZ101" s="439">
        <v>51.01</v>
      </c>
      <c r="CG101" s="113">
        <v>96</v>
      </c>
      <c r="CH101" s="439">
        <v>46.17</v>
      </c>
      <c r="CI101" s="439">
        <v>48.37</v>
      </c>
      <c r="CJ101" s="439">
        <v>49.57</v>
      </c>
      <c r="CQ101" s="113">
        <v>96</v>
      </c>
      <c r="CR101" s="439">
        <v>45.13</v>
      </c>
      <c r="CS101" s="439">
        <v>47.31</v>
      </c>
      <c r="CT101" s="439">
        <v>48.5</v>
      </c>
    </row>
    <row r="102" spans="2:98" x14ac:dyDescent="0.2">
      <c r="B102" s="113">
        <v>97</v>
      </c>
      <c r="C102" s="439">
        <v>53.6</v>
      </c>
      <c r="D102" s="439">
        <v>54.99</v>
      </c>
      <c r="E102" s="439">
        <v>56.19</v>
      </c>
      <c r="M102" s="113">
        <v>97</v>
      </c>
      <c r="N102" s="439">
        <v>59.53</v>
      </c>
      <c r="O102" s="439">
        <v>61.31</v>
      </c>
      <c r="P102" s="439">
        <v>62.69</v>
      </c>
      <c r="X102" s="113">
        <v>97</v>
      </c>
      <c r="Y102" s="439">
        <v>61.44</v>
      </c>
      <c r="Z102" s="439">
        <v>63.49</v>
      </c>
      <c r="AA102" s="439">
        <v>64.930000000000007</v>
      </c>
      <c r="AI102" s="113">
        <v>97</v>
      </c>
      <c r="AJ102" s="439">
        <v>58.52</v>
      </c>
      <c r="AK102" s="439">
        <v>60.69</v>
      </c>
      <c r="AL102" s="439">
        <v>62.09</v>
      </c>
      <c r="AS102" s="113">
        <v>97</v>
      </c>
      <c r="AT102" s="439">
        <v>56.78</v>
      </c>
      <c r="AU102" s="439">
        <v>59.01</v>
      </c>
      <c r="AV102" s="439">
        <v>60.38</v>
      </c>
      <c r="BC102" s="113">
        <v>97</v>
      </c>
      <c r="BD102" s="439">
        <v>49.81</v>
      </c>
      <c r="BE102" s="439">
        <v>52.04</v>
      </c>
      <c r="BF102" s="439">
        <v>53.34</v>
      </c>
      <c r="BM102" s="113">
        <v>97</v>
      </c>
      <c r="BN102" s="439">
        <v>48.15</v>
      </c>
      <c r="BO102" s="439">
        <v>50.4</v>
      </c>
      <c r="BP102" s="439">
        <v>51.66</v>
      </c>
      <c r="BW102" s="113">
        <v>97</v>
      </c>
      <c r="BX102" s="439">
        <v>44.99</v>
      </c>
      <c r="BY102" s="439">
        <v>47.21</v>
      </c>
      <c r="BZ102" s="439">
        <v>48.44</v>
      </c>
      <c r="CG102" s="113">
        <v>97</v>
      </c>
      <c r="CH102" s="439">
        <v>43.68</v>
      </c>
      <c r="CI102" s="439">
        <v>45.9</v>
      </c>
      <c r="CJ102" s="439">
        <v>47.1</v>
      </c>
      <c r="CQ102" s="113">
        <v>97</v>
      </c>
      <c r="CR102" s="439">
        <v>42.72</v>
      </c>
      <c r="CS102" s="439">
        <v>44.93</v>
      </c>
      <c r="CT102" s="439">
        <v>46.12</v>
      </c>
    </row>
    <row r="103" spans="2:98" x14ac:dyDescent="0.2">
      <c r="B103" s="113">
        <v>98</v>
      </c>
      <c r="C103" s="439">
        <v>52.38</v>
      </c>
      <c r="D103" s="439">
        <v>53.84</v>
      </c>
      <c r="E103" s="439">
        <v>55.08</v>
      </c>
      <c r="M103" s="113">
        <v>98</v>
      </c>
      <c r="N103" s="439">
        <v>57.94</v>
      </c>
      <c r="O103" s="439">
        <v>59.81</v>
      </c>
      <c r="P103" s="439">
        <v>61.22</v>
      </c>
      <c r="X103" s="113">
        <v>98</v>
      </c>
      <c r="Y103" s="439">
        <v>59.37</v>
      </c>
      <c r="Z103" s="439">
        <v>61.49</v>
      </c>
      <c r="AA103" s="439">
        <v>62.94</v>
      </c>
      <c r="AI103" s="113">
        <v>98</v>
      </c>
      <c r="AJ103" s="439">
        <v>56.11</v>
      </c>
      <c r="AK103" s="439">
        <v>58.34</v>
      </c>
      <c r="AL103" s="439">
        <v>59.76</v>
      </c>
      <c r="AS103" s="113">
        <v>98</v>
      </c>
      <c r="AT103" s="439">
        <v>54.2</v>
      </c>
      <c r="AU103" s="439">
        <v>56.49</v>
      </c>
      <c r="AV103" s="439">
        <v>57.86</v>
      </c>
      <c r="BC103" s="113">
        <v>98</v>
      </c>
      <c r="BD103" s="439">
        <v>47.26</v>
      </c>
      <c r="BE103" s="439">
        <v>49.55</v>
      </c>
      <c r="BF103" s="439">
        <v>50.85</v>
      </c>
      <c r="BM103" s="113">
        <v>98</v>
      </c>
      <c r="BN103" s="439">
        <v>45.36</v>
      </c>
      <c r="BO103" s="439">
        <v>47.64</v>
      </c>
      <c r="BP103" s="439">
        <v>48.91</v>
      </c>
      <c r="BW103" s="113">
        <v>98</v>
      </c>
      <c r="BX103" s="439">
        <v>42.32</v>
      </c>
      <c r="BY103" s="439">
        <v>44.58</v>
      </c>
      <c r="BZ103" s="439">
        <v>45.81</v>
      </c>
      <c r="CG103" s="113">
        <v>98</v>
      </c>
      <c r="CH103" s="439">
        <v>41.12</v>
      </c>
      <c r="CI103" s="439">
        <v>43.36</v>
      </c>
      <c r="CJ103" s="439">
        <v>44.57</v>
      </c>
      <c r="CQ103" s="113">
        <v>98</v>
      </c>
      <c r="CR103" s="439">
        <v>40.24</v>
      </c>
      <c r="CS103" s="439">
        <v>42.47</v>
      </c>
      <c r="CT103" s="439">
        <v>43.67</v>
      </c>
    </row>
    <row r="104" spans="2:98" x14ac:dyDescent="0.2">
      <c r="B104" s="113">
        <v>99</v>
      </c>
      <c r="C104" s="439">
        <v>51.02</v>
      </c>
      <c r="D104" s="439">
        <v>52.56</v>
      </c>
      <c r="E104" s="439">
        <v>53.84</v>
      </c>
      <c r="M104" s="113">
        <v>99</v>
      </c>
      <c r="N104" s="439">
        <v>56.18</v>
      </c>
      <c r="O104" s="439">
        <v>58.13</v>
      </c>
      <c r="P104" s="439">
        <v>59.58</v>
      </c>
      <c r="X104" s="113">
        <v>99</v>
      </c>
      <c r="Y104" s="439">
        <v>57.13</v>
      </c>
      <c r="Z104" s="439">
        <v>59.32</v>
      </c>
      <c r="AA104" s="439">
        <v>60.8</v>
      </c>
      <c r="AI104" s="113">
        <v>99</v>
      </c>
      <c r="AJ104" s="439">
        <v>53.56</v>
      </c>
      <c r="AK104" s="439">
        <v>55.85</v>
      </c>
      <c r="AL104" s="439">
        <v>57.28</v>
      </c>
      <c r="AS104" s="113">
        <v>99</v>
      </c>
      <c r="AT104" s="439">
        <v>51.52</v>
      </c>
      <c r="AU104" s="439">
        <v>53.86</v>
      </c>
      <c r="AV104" s="439">
        <v>55.25</v>
      </c>
      <c r="BC104" s="113">
        <v>99</v>
      </c>
      <c r="BD104" s="439">
        <v>44.62</v>
      </c>
      <c r="BE104" s="439">
        <v>46.96</v>
      </c>
      <c r="BF104" s="439">
        <v>48.28</v>
      </c>
      <c r="BM104" s="113">
        <v>99</v>
      </c>
      <c r="BN104" s="439">
        <v>42.45</v>
      </c>
      <c r="BO104" s="439">
        <v>44.76</v>
      </c>
      <c r="BP104" s="439">
        <v>46.03</v>
      </c>
      <c r="BW104" s="113">
        <v>99</v>
      </c>
      <c r="BX104" s="439">
        <v>39.56</v>
      </c>
      <c r="BY104" s="439">
        <v>41.84</v>
      </c>
      <c r="BZ104" s="439">
        <v>43.09</v>
      </c>
      <c r="CG104" s="113">
        <v>99</v>
      </c>
      <c r="CH104" s="439">
        <v>38.450000000000003</v>
      </c>
      <c r="CI104" s="439">
        <v>40.72</v>
      </c>
      <c r="CJ104" s="439">
        <v>41.95</v>
      </c>
      <c r="CQ104" s="113">
        <v>99</v>
      </c>
      <c r="CR104" s="439">
        <v>37.64</v>
      </c>
      <c r="CS104" s="439">
        <v>39.9</v>
      </c>
      <c r="CT104" s="439">
        <v>41.11</v>
      </c>
    </row>
    <row r="105" spans="2:98" x14ac:dyDescent="0.2">
      <c r="B105" s="113">
        <v>100</v>
      </c>
      <c r="C105" s="439">
        <v>49.49</v>
      </c>
      <c r="D105" s="439">
        <v>51.12</v>
      </c>
      <c r="E105" s="439">
        <v>52.42</v>
      </c>
      <c r="M105" s="113">
        <v>100</v>
      </c>
      <c r="N105" s="439">
        <v>54.22</v>
      </c>
      <c r="O105" s="439">
        <v>56.26</v>
      </c>
      <c r="P105" s="439">
        <v>57.74</v>
      </c>
      <c r="X105" s="113">
        <v>100</v>
      </c>
      <c r="Y105" s="439">
        <v>54.7</v>
      </c>
      <c r="Z105" s="439">
        <v>56.97</v>
      </c>
      <c r="AA105" s="439">
        <v>58.47</v>
      </c>
      <c r="AI105" s="113">
        <v>100</v>
      </c>
      <c r="AJ105" s="439">
        <v>50.84</v>
      </c>
      <c r="AK105" s="439">
        <v>53.22</v>
      </c>
      <c r="AL105" s="439">
        <v>54.66</v>
      </c>
      <c r="AS105" s="113">
        <v>100</v>
      </c>
      <c r="AT105" s="439">
        <v>48.71</v>
      </c>
      <c r="AU105" s="439">
        <v>51.12</v>
      </c>
      <c r="AV105" s="439">
        <v>52.51</v>
      </c>
      <c r="BC105" s="113">
        <v>100</v>
      </c>
      <c r="BD105" s="439">
        <v>41.44</v>
      </c>
      <c r="BE105" s="439">
        <v>43.83</v>
      </c>
      <c r="BF105" s="439">
        <v>45.16</v>
      </c>
      <c r="BM105" s="113">
        <v>100</v>
      </c>
      <c r="BN105" s="439">
        <v>39.39</v>
      </c>
      <c r="BO105" s="439">
        <v>41.74</v>
      </c>
      <c r="BP105" s="439">
        <v>43.02</v>
      </c>
      <c r="BW105" s="113">
        <v>100</v>
      </c>
      <c r="BX105" s="439">
        <v>36.64</v>
      </c>
      <c r="BY105" s="439">
        <v>38.97</v>
      </c>
      <c r="BZ105" s="439">
        <v>40.22</v>
      </c>
      <c r="CG105" s="113">
        <v>100</v>
      </c>
      <c r="CH105" s="439">
        <v>35.630000000000003</v>
      </c>
      <c r="CI105" s="439">
        <v>37.94</v>
      </c>
      <c r="CJ105" s="439">
        <v>39.17</v>
      </c>
      <c r="CQ105" s="113">
        <v>100</v>
      </c>
      <c r="CR105" s="439">
        <v>34.880000000000003</v>
      </c>
      <c r="CS105" s="439">
        <v>37.18</v>
      </c>
      <c r="CT105" s="439">
        <v>38.39</v>
      </c>
    </row>
  </sheetData>
  <mergeCells count="10">
    <mergeCell ref="BM3:BU3"/>
    <mergeCell ref="BW3:CE3"/>
    <mergeCell ref="CG3:CO3"/>
    <mergeCell ref="CQ3:CY3"/>
    <mergeCell ref="B3:J3"/>
    <mergeCell ref="M3:U3"/>
    <mergeCell ref="X3:AF3"/>
    <mergeCell ref="AI3:AQ3"/>
    <mergeCell ref="AS3:BA3"/>
    <mergeCell ref="BC3:BK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U110"/>
  <sheetViews>
    <sheetView showGridLines="0" defaultGridColor="0" topLeftCell="AL25" colorId="12" zoomScale="87" zoomScaleNormal="70" zoomScaleSheetLayoutView="80" workbookViewId="0">
      <selection activeCell="J27" sqref="J27"/>
    </sheetView>
  </sheetViews>
  <sheetFormatPr defaultColWidth="9.140625" defaultRowHeight="15" x14ac:dyDescent="0.2"/>
  <cols>
    <col min="1" max="1" width="10.85546875" style="335" hidden="1" customWidth="1"/>
    <col min="2" max="2" width="10.85546875" style="335" customWidth="1"/>
    <col min="3" max="3" width="68.42578125" style="335" customWidth="1"/>
    <col min="4" max="8" width="23.85546875" style="335" customWidth="1"/>
    <col min="9" max="9" width="10.140625" style="335" customWidth="1"/>
    <col min="10" max="10" width="23.5703125" style="335" customWidth="1"/>
    <col min="11" max="11" width="20.140625" style="335" customWidth="1"/>
    <col min="12" max="12" width="21.140625" style="335" customWidth="1"/>
    <col min="13" max="13" width="24.140625" style="335" customWidth="1"/>
    <col min="14" max="14" width="17.140625" style="335" customWidth="1"/>
    <col min="15" max="15" width="15.85546875" style="335" customWidth="1"/>
    <col min="16" max="16" width="12.140625" style="335" customWidth="1"/>
    <col min="17" max="17" width="16.85546875" style="335" customWidth="1"/>
    <col min="18" max="18" width="14.42578125" style="335" customWidth="1"/>
    <col min="19" max="19" width="16.85546875" style="335" customWidth="1"/>
    <col min="20" max="27" width="9.140625" style="335"/>
    <col min="28" max="28" width="80" style="335" customWidth="1"/>
    <col min="29" max="33" width="15" style="335" customWidth="1"/>
    <col min="34" max="36" width="17.42578125" style="335" customWidth="1"/>
    <col min="37" max="38" width="9.140625" style="335"/>
    <col min="39" max="39" width="108.85546875" style="335" customWidth="1"/>
    <col min="40" max="44" width="17.85546875" style="335" customWidth="1"/>
    <col min="45" max="46" width="9.140625" style="335"/>
    <col min="47" max="47" width="9.140625" style="335" customWidth="1"/>
    <col min="48" max="48" width="9.140625" style="335"/>
    <col min="49" max="49" width="108.140625" style="335" customWidth="1"/>
    <col min="50" max="55" width="9.140625" style="335"/>
    <col min="56" max="56" width="11.85546875" style="335" customWidth="1"/>
    <col min="57" max="16384" width="9.140625" style="335"/>
  </cols>
  <sheetData>
    <row r="1" spans="3:10" hidden="1" x14ac:dyDescent="0.2">
      <c r="D1" s="350" t="s">
        <v>12</v>
      </c>
      <c r="F1" s="351"/>
      <c r="G1" s="351"/>
      <c r="H1" s="351"/>
    </row>
    <row r="2" spans="3:10" hidden="1" x14ac:dyDescent="0.25">
      <c r="C2" s="352"/>
      <c r="D2" s="353" t="s">
        <v>157</v>
      </c>
      <c r="E2" s="354"/>
      <c r="F2" s="351" t="s">
        <v>40</v>
      </c>
      <c r="G2" s="351"/>
      <c r="H2" s="351"/>
      <c r="J2" s="355"/>
    </row>
    <row r="3" spans="3:10" ht="36" customHeight="1" x14ac:dyDescent="0.2">
      <c r="C3" s="588" t="s">
        <v>0</v>
      </c>
      <c r="D3" s="588"/>
      <c r="E3" s="588"/>
      <c r="F3" s="588"/>
      <c r="G3" s="588"/>
      <c r="H3" s="588"/>
      <c r="J3" s="355"/>
    </row>
    <row r="4" spans="3:10" s="352" customFormat="1" ht="16.5" customHeight="1" x14ac:dyDescent="0.25"/>
    <row r="5" spans="3:10" x14ac:dyDescent="0.25">
      <c r="C5" s="600" t="s">
        <v>450</v>
      </c>
      <c r="D5" s="601"/>
      <c r="E5" s="321" t="s">
        <v>76</v>
      </c>
      <c r="F5" s="354"/>
      <c r="G5" s="354"/>
      <c r="H5" s="354"/>
      <c r="J5" s="355"/>
    </row>
    <row r="6" spans="3:10" x14ac:dyDescent="0.25">
      <c r="C6" s="598" t="s">
        <v>402</v>
      </c>
      <c r="D6" s="599"/>
      <c r="E6" s="322" t="str">
        <f>'Annuity Calculator'!D9</f>
        <v>Group</v>
      </c>
      <c r="F6" s="354"/>
      <c r="G6" s="354"/>
      <c r="H6" s="354"/>
    </row>
    <row r="7" spans="3:10" x14ac:dyDescent="0.25">
      <c r="C7" s="600" t="s">
        <v>101</v>
      </c>
      <c r="D7" s="601"/>
      <c r="E7" s="321" t="b">
        <f>IF(E6="NPS","NPS")</f>
        <v>0</v>
      </c>
      <c r="F7" s="356"/>
      <c r="G7" s="356"/>
      <c r="H7" s="356"/>
    </row>
    <row r="8" spans="3:10" x14ac:dyDescent="0.25">
      <c r="C8" s="598" t="s">
        <v>130</v>
      </c>
      <c r="D8" s="599"/>
      <c r="E8" s="589" t="str">
        <f>'Annuity Calculator'!D11</f>
        <v>Senna</v>
      </c>
      <c r="F8" s="590"/>
      <c r="G8" s="356"/>
      <c r="H8" s="356"/>
    </row>
    <row r="9" spans="3:10" x14ac:dyDescent="0.25">
      <c r="C9" s="602" t="s">
        <v>125</v>
      </c>
      <c r="D9" s="603"/>
      <c r="E9" s="346" t="str">
        <f>IF('Annuity Calculator'!$D$15="Deferred","Deferred Annuity","Immediate Annuity")</f>
        <v>Immediate Annuity</v>
      </c>
      <c r="F9" s="357"/>
      <c r="G9" s="356"/>
      <c r="H9" s="356"/>
    </row>
    <row r="10" spans="3:10" x14ac:dyDescent="0.25">
      <c r="C10" s="598" t="s">
        <v>110</v>
      </c>
      <c r="D10" s="599"/>
      <c r="E10" s="346" t="str">
        <f>'Annuity Calculator'!K15</f>
        <v>0</v>
      </c>
      <c r="F10" s="358" t="str">
        <f>IF(AND(Select="Immediate Annuity",DP&gt;0),"DP shouldn’t be populated",DP)</f>
        <v>DP shouldn’t be populated</v>
      </c>
      <c r="G10" s="354"/>
      <c r="H10" s="354"/>
    </row>
    <row r="11" spans="3:10" x14ac:dyDescent="0.25">
      <c r="C11" s="598" t="s">
        <v>111</v>
      </c>
      <c r="D11" s="599"/>
      <c r="E11" s="346" t="str">
        <f>'Annuity Calculator'!D13</f>
        <v>Single Premium</v>
      </c>
      <c r="F11" s="357"/>
      <c r="G11" s="356"/>
      <c r="H11" s="356"/>
    </row>
    <row r="12" spans="3:10" x14ac:dyDescent="0.25">
      <c r="C12" s="598" t="s">
        <v>87</v>
      </c>
      <c r="D12" s="599"/>
      <c r="E12" s="346">
        <f>IF(PremiumType="Single Premium",1,'Annuity Calculator'!H13)</f>
        <v>1</v>
      </c>
      <c r="F12" s="358"/>
      <c r="G12" s="354"/>
      <c r="H12" s="354"/>
    </row>
    <row r="13" spans="3:10" x14ac:dyDescent="0.2">
      <c r="C13" s="355"/>
      <c r="D13" s="355"/>
      <c r="F13" s="358"/>
      <c r="G13" s="354"/>
      <c r="H13" s="354"/>
      <c r="I13" s="355"/>
    </row>
    <row r="14" spans="3:10" x14ac:dyDescent="0.25">
      <c r="C14" s="598" t="s">
        <v>4</v>
      </c>
      <c r="D14" s="599"/>
      <c r="E14" s="591">
        <f>'Annuity Calculator'!H11</f>
        <v>60</v>
      </c>
      <c r="F14" s="592"/>
      <c r="I14" s="355"/>
    </row>
    <row r="15" spans="3:10" ht="117" customHeight="1" x14ac:dyDescent="0.2">
      <c r="C15" s="595" t="s">
        <v>119</v>
      </c>
      <c r="D15" s="595"/>
      <c r="E15" s="359" t="s">
        <v>92</v>
      </c>
      <c r="F15" s="326"/>
      <c r="I15" s="355"/>
    </row>
    <row r="16" spans="3:10" x14ac:dyDescent="0.2">
      <c r="C16" s="347" t="s">
        <v>68</v>
      </c>
      <c r="D16" s="348"/>
      <c r="E16" s="593" t="str">
        <f>'Annuity Calculator'!H15</f>
        <v>Monthly</v>
      </c>
      <c r="F16" s="594"/>
      <c r="I16" s="355"/>
    </row>
    <row r="17" spans="3:25" x14ac:dyDescent="0.25">
      <c r="C17" s="598" t="s">
        <v>68</v>
      </c>
      <c r="D17" s="599"/>
      <c r="E17" s="346">
        <f>VLOOKUP(E16,R71:S74,2,0)</f>
        <v>12</v>
      </c>
      <c r="F17" s="326"/>
      <c r="I17" s="355"/>
    </row>
    <row r="18" spans="3:25" ht="21" customHeight="1" x14ac:dyDescent="0.25">
      <c r="C18" s="598" t="s">
        <v>564</v>
      </c>
      <c r="D18" s="599"/>
      <c r="E18" s="346">
        <f>'Annuity Calculator'!D17</f>
        <v>5000000</v>
      </c>
      <c r="F18" s="346" t="str">
        <f>IF('Annuity Calculator'!$E$17="incl. GST","with GST","without GST")</f>
        <v>with GST</v>
      </c>
      <c r="G18" s="360"/>
      <c r="H18" s="360"/>
    </row>
    <row r="19" spans="3:25" x14ac:dyDescent="0.2">
      <c r="C19" s="595" t="s">
        <v>407</v>
      </c>
      <c r="D19" s="595"/>
      <c r="E19" s="346" t="str">
        <f>F19</f>
        <v>Y</v>
      </c>
      <c r="F19" s="361" t="str">
        <f>IF('Valid Data-GPG'!M149&gt;0,"Y","N")</f>
        <v>Y</v>
      </c>
      <c r="G19" s="362"/>
      <c r="H19" s="362"/>
    </row>
    <row r="20" spans="3:25" x14ac:dyDescent="0.2">
      <c r="C20" s="596" t="str">
        <f>IF(Channel="NPS","Second Life Annuitant alive / Available","Joint Life")</f>
        <v>Joint Life</v>
      </c>
      <c r="D20" s="596"/>
      <c r="E20" s="346" t="s">
        <v>543</v>
      </c>
      <c r="F20" s="326"/>
    </row>
    <row r="21" spans="3:25" ht="24.75" customHeight="1" x14ac:dyDescent="0.2">
      <c r="C21" s="595" t="s">
        <v>129</v>
      </c>
      <c r="D21" s="595"/>
      <c r="E21" s="589">
        <f>'Annuity Calculator'!N11</f>
        <v>55</v>
      </c>
      <c r="F21" s="590"/>
    </row>
    <row r="22" spans="3:25" x14ac:dyDescent="0.2">
      <c r="C22" s="597" t="s">
        <v>386</v>
      </c>
      <c r="D22" s="597"/>
      <c r="E22" s="589">
        <f>IF(PremiumType="Single Premium",1,VLOOKUP('Annuity Calculator'!$K$13,R71:S74,2,0))</f>
        <v>1</v>
      </c>
      <c r="F22" s="590"/>
    </row>
    <row r="23" spans="3:25" ht="16.5" customHeight="1" x14ac:dyDescent="0.2">
      <c r="E23" s="363">
        <f>E18*12</f>
        <v>60000000</v>
      </c>
    </row>
    <row r="24" spans="3:25" ht="16.5" customHeight="1" x14ac:dyDescent="0.2">
      <c r="E24" s="363"/>
    </row>
    <row r="25" spans="3:25" ht="16.5" customHeight="1" x14ac:dyDescent="0.2">
      <c r="C25" s="607" t="s">
        <v>565</v>
      </c>
      <c r="D25" s="608"/>
      <c r="E25" s="323">
        <f>IF(F18="without GST",E18,E31)</f>
        <v>4911591.3555992143</v>
      </c>
    </row>
    <row r="26" spans="3:25" ht="16.5" customHeight="1" x14ac:dyDescent="0.2">
      <c r="C26" s="607" t="s">
        <v>566</v>
      </c>
      <c r="D26" s="608"/>
      <c r="E26" s="323">
        <f>E25*IF(PremiumType="Single Premium",1.8%,4.5%)</f>
        <v>88408.644400785866</v>
      </c>
      <c r="X26" s="335" t="s">
        <v>569</v>
      </c>
      <c r="Y26" s="335">
        <v>1</v>
      </c>
    </row>
    <row r="27" spans="3:25" x14ac:dyDescent="0.2">
      <c r="C27" s="607" t="s">
        <v>567</v>
      </c>
      <c r="D27" s="608"/>
      <c r="E27" s="323">
        <f>SUM(E25:E26)</f>
        <v>5000000</v>
      </c>
      <c r="F27" s="364"/>
      <c r="G27" s="364"/>
      <c r="H27" s="364"/>
      <c r="X27" s="335" t="s">
        <v>568</v>
      </c>
      <c r="Y27" s="335">
        <v>2</v>
      </c>
    </row>
    <row r="28" spans="3:25" ht="15.75" thickBot="1" x14ac:dyDescent="0.3">
      <c r="E28" s="363"/>
      <c r="I28" s="365"/>
      <c r="J28" s="366"/>
      <c r="K28" s="352"/>
    </row>
    <row r="29" spans="3:25" x14ac:dyDescent="0.25">
      <c r="C29" s="611" t="str">
        <f>IF(PremiumType="Single Premium","Goods &amp; Service Tax","Goods &amp; Service Tax First Year")</f>
        <v>Goods &amp; Service Tax</v>
      </c>
      <c r="D29" s="612"/>
      <c r="E29" s="367">
        <f>IF(PremiumType="Single Premium",1.8%*$S$84,4.5%*E18)</f>
        <v>90000.000000000015</v>
      </c>
      <c r="F29" s="368"/>
      <c r="G29" s="368"/>
      <c r="H29" s="368"/>
      <c r="I29" s="369"/>
      <c r="J29" s="366"/>
      <c r="K29" s="352"/>
      <c r="Y29" s="335" t="e">
        <f>VLOOKUP(D34,X26:Y27,2,0)</f>
        <v>#N/A</v>
      </c>
    </row>
    <row r="30" spans="3:25" ht="15.75" thickBot="1" x14ac:dyDescent="0.25">
      <c r="C30" s="609" t="str">
        <f>IF(PremiumType="Single Premium", "Purchase Price with Goods &amp; Service Tax
 (to be deposited)","Instalment Premium with Goods &amp; Service Tax
 (to be deposited) for First Year")</f>
        <v>Purchase Price with Goods &amp; Service Tax
 (to be deposited)</v>
      </c>
      <c r="D30" s="610"/>
      <c r="E30" s="370">
        <f>IF(PremiumType="Single Premium",$S$84,E18)+E29</f>
        <v>5090000</v>
      </c>
      <c r="I30" s="609" t="str">
        <f>IF(PremiumType="Single Premium", "Purchase Price with Goods &amp; Service Tax
 (to be deposited)","Instalment Premium with Goods &amp; Service Tax
 (to be deposited) Second Year onwards")</f>
        <v>Purchase Price with Goods &amp; Service Tax
 (to be deposited)</v>
      </c>
      <c r="J30" s="610"/>
      <c r="K30" s="370">
        <f>E18+(E18*2.25%)</f>
        <v>5112500</v>
      </c>
    </row>
    <row r="31" spans="3:25" x14ac:dyDescent="0.2">
      <c r="E31" s="371">
        <f>E18/IF(PremiumType="Single Premium",1.018,1.045)</f>
        <v>4911591.3555992143</v>
      </c>
      <c r="F31" s="363">
        <f>E31*1.8%</f>
        <v>88408.644400785866</v>
      </c>
      <c r="G31" s="363">
        <f>SUM(E31:F31)</f>
        <v>5000000</v>
      </c>
      <c r="H31" s="363"/>
    </row>
    <row r="32" spans="3:25" x14ac:dyDescent="0.2">
      <c r="E32" s="363"/>
      <c r="F32" s="363"/>
      <c r="G32" s="363"/>
      <c r="H32" s="363"/>
    </row>
    <row r="33" spans="3:47" x14ac:dyDescent="0.2">
      <c r="E33" s="363"/>
      <c r="F33" s="363"/>
      <c r="G33" s="363"/>
      <c r="H33" s="363"/>
    </row>
    <row r="34" spans="3:47" ht="24" customHeight="1" x14ac:dyDescent="0.2">
      <c r="C34" s="324"/>
      <c r="D34" s="606" t="s">
        <v>571</v>
      </c>
      <c r="E34" s="606"/>
      <c r="F34" s="606"/>
      <c r="G34" s="606"/>
      <c r="H34" s="606"/>
      <c r="AB34" s="604" t="s">
        <v>575</v>
      </c>
      <c r="AC34" s="604"/>
      <c r="AD34" s="604"/>
      <c r="AE34" s="604"/>
      <c r="AF34" s="604"/>
      <c r="AG34" s="605"/>
      <c r="AH34" s="372"/>
      <c r="AI34" s="373"/>
      <c r="AM34" s="604" t="s">
        <v>576</v>
      </c>
      <c r="AN34" s="604"/>
      <c r="AO34" s="604"/>
      <c r="AP34" s="604"/>
      <c r="AQ34" s="604"/>
      <c r="AR34" s="605"/>
    </row>
    <row r="35" spans="3:47" ht="38.1" customHeight="1" x14ac:dyDescent="0.2">
      <c r="C35" s="344" t="s">
        <v>604</v>
      </c>
      <c r="D35" s="345" t="s">
        <v>601</v>
      </c>
      <c r="E35" s="345" t="str">
        <f>'Annuity Calculator'!$H$15&amp;" Annuity"</f>
        <v>Monthly Annuity</v>
      </c>
      <c r="F35" s="345" t="s">
        <v>602</v>
      </c>
      <c r="G35" s="345" t="s">
        <v>603</v>
      </c>
      <c r="H35" s="345" t="str">
        <f>'Annuity Calculator'!$H$15&amp;" Annuity %"</f>
        <v>Monthly Annuity %</v>
      </c>
      <c r="AB35" s="374" t="s">
        <v>2</v>
      </c>
      <c r="AC35" s="325" t="s">
        <v>563</v>
      </c>
      <c r="AD35" s="325" t="s">
        <v>546</v>
      </c>
      <c r="AE35" s="325" t="s">
        <v>562</v>
      </c>
      <c r="AF35" s="325" t="s">
        <v>563</v>
      </c>
      <c r="AG35" s="325" t="s">
        <v>546</v>
      </c>
      <c r="AH35" s="351"/>
      <c r="AI35" s="375"/>
      <c r="AJ35" s="351"/>
      <c r="AM35" s="374" t="s">
        <v>2</v>
      </c>
      <c r="AN35" s="325" t="s">
        <v>563</v>
      </c>
      <c r="AO35" s="325" t="s">
        <v>546</v>
      </c>
      <c r="AP35" s="325" t="s">
        <v>562</v>
      </c>
      <c r="AQ35" s="325" t="s">
        <v>563</v>
      </c>
      <c r="AR35" s="325" t="s">
        <v>546</v>
      </c>
    </row>
    <row r="36" spans="3:47" ht="17.45" customHeight="1" x14ac:dyDescent="0.2">
      <c r="C36" s="337" t="s">
        <v>93</v>
      </c>
      <c r="D36" s="338">
        <f>IFERROR(IF($F$18="without GST",AC36*AA36,AN36*AL36),0)</f>
        <v>395024.55795677798</v>
      </c>
      <c r="E36" s="338">
        <f>IFERROR(IF($F$18="without GST",AD36*AA36,AO36*AL36),0)</f>
        <v>31799.476915520627</v>
      </c>
      <c r="F36" s="338">
        <f>IFERROR(IF($F$18="without GST",AE36*AA36,AP36*AL36),0)</f>
        <v>381593.72298624751</v>
      </c>
      <c r="G36" s="339">
        <f>IFERROR(IF($F$18="without GST",AF36*AA36,AQ36*AL36),0)</f>
        <v>8.0426999999999998E-2</v>
      </c>
      <c r="H36" s="339">
        <f>IFERROR(IF($F$18="without GST",AG36*AA36,AR36*AL36),0)</f>
        <v>7.7692481999999993E-2</v>
      </c>
      <c r="AA36" s="335" t="b">
        <f>AD36&gt;=INDEX('Valid Data-GPG'!$B$64:$E$65,2,MATCH('Annuity Calculator'!$H$15,'Valid Data-GPG'!$B$64:$E$64,0))</f>
        <v>1</v>
      </c>
      <c r="AB36" s="326" t="s">
        <v>93</v>
      </c>
      <c r="AC36" s="327">
        <f>ROUND(VLOOKUP($E$14,Imm_OptionA!$B$5:$E$105,VLOOKUP($E$18*$E$22,'Working-GPG'!$E$10:$F$15,2,TRUE)+1,FALSE),2)*(IF($F$19="Y",$S$84*(1+'Valid Data-GPG'!$M$149),$S$84))/1000*(AND(Select="Immediate Annuity",PremiumType="Single Premium"))*(AND('Annuity Calculator'!$H$11&gt;29,'Annuity Calculator'!$H$11&lt;86))</f>
        <v>402135</v>
      </c>
      <c r="AD36" s="327">
        <f>AC36*VLOOKUP($E$22,'Valid Data-GPG'!$B$130:$F$134,MATCH(AnnuityMode,'Valid Data-GPG'!$B$130:$F$130,0),FALSE)</f>
        <v>32371.8675</v>
      </c>
      <c r="AE36" s="328">
        <f t="shared" ref="AE36:AE47" si="0">AD36*AnnuityMode</f>
        <v>388462.41000000003</v>
      </c>
      <c r="AF36" s="329">
        <f t="shared" ref="AF36:AF47" si="1">AC36/$E$18</f>
        <v>8.0426999999999998E-2</v>
      </c>
      <c r="AG36" s="329">
        <f t="shared" ref="AG36:AG47" si="2">AE36/$E$18</f>
        <v>7.7692482000000007E-2</v>
      </c>
      <c r="AH36" s="376">
        <f>AC36*VLOOKUP($E$22,'Valid Data-GPG'!$B$130:$F$134,MATCH(AnnuityMode,'Valid Data-GPG'!$B$130:$F$130,0),FALSE)</f>
        <v>32371.8675</v>
      </c>
      <c r="AI36" s="377">
        <f t="shared" ref="AI36:AI47" si="3">AC36/$E$18</f>
        <v>8.0426999999999998E-2</v>
      </c>
      <c r="AJ36" s="351"/>
      <c r="AL36" s="335" t="b">
        <f>AO36&gt;=INDEX('Valid Data-GPG'!$B$64:$E$65,2,MATCH('Annuity Calculator'!$H$15,'Valid Data-GPG'!$B$64:$E$64,0))</f>
        <v>1</v>
      </c>
      <c r="AM36" s="326" t="s">
        <v>93</v>
      </c>
      <c r="AN36" s="327">
        <f>ROUND(VLOOKUP($E$14,Imm_OptionA!$B$5:$E$105,VLOOKUP($E$31*$E$22,'Working-GPG'!$E$10:$F$15,2,TRUE)+1,FALSE),2)*(IF($F$19="Y",$E$31*(1+'Valid Data-GPG'!$M$149),$E$31))/1000*(AND(Select="Immediate Annuity",PremiumType="Single Premium"))*(AND('Annuity Calculator'!$H$11&gt;29,'Annuity Calculator'!$H$11&lt;86))</f>
        <v>395024.55795677798</v>
      </c>
      <c r="AO36" s="327">
        <f>AN36*VLOOKUP($E$22,'Valid Data-GPG'!$B$130:$F$134,MATCH(AnnuityMode,'Valid Data-GPG'!$B$130:$F$130,0),FALSE)</f>
        <v>31799.476915520627</v>
      </c>
      <c r="AP36" s="328">
        <f t="shared" ref="AP36:AP47" si="4">AO36*AnnuityMode</f>
        <v>381593.72298624751</v>
      </c>
      <c r="AQ36" s="329">
        <f>AN36/$E$31</f>
        <v>8.0426999999999998E-2</v>
      </c>
      <c r="AR36" s="329">
        <f t="shared" ref="AR36:AR47" si="5">AP36/$E$31</f>
        <v>7.7692481999999993E-2</v>
      </c>
    </row>
    <row r="37" spans="3:47" s="378" customFormat="1" ht="17.45" customHeight="1" x14ac:dyDescent="0.2">
      <c r="C37" s="340" t="s">
        <v>92</v>
      </c>
      <c r="D37" s="338">
        <f t="shared" ref="D37:D47" si="6">IFERROR(IF($F$18="without GST",AC37*AA37,AN37*AL37),0)</f>
        <v>355285.8546168959</v>
      </c>
      <c r="E37" s="338">
        <f t="shared" ref="E37:E47" si="7">IFERROR(IF($F$18="without GST",AD37*AA37,AO37*AL37),0)</f>
        <v>28600.511296660119</v>
      </c>
      <c r="F37" s="338">
        <f t="shared" ref="F37:F47" si="8">IFERROR(IF($F$18="without GST",AE37*AA37,AP37*AL37),0)</f>
        <v>343206.13555992144</v>
      </c>
      <c r="G37" s="339">
        <f t="shared" ref="G37:G47" si="9">IFERROR(IF($F$18="without GST",AF37*AA37,AQ37*AL37),0)</f>
        <v>7.2336200000000003E-2</v>
      </c>
      <c r="H37" s="339">
        <f t="shared" ref="H37:H47" si="10">IFERROR(IF($F$18="without GST",AG37*AA37,AR37*AL37),0)</f>
        <v>6.9876769200000008E-2</v>
      </c>
      <c r="AA37" s="335" t="b">
        <f>AD37&gt;=INDEX('Valid Data-GPG'!$B$64:$E$65,2,MATCH('Annuity Calculator'!$H$15,'Valid Data-GPG'!$B$64:$E$64,0))</f>
        <v>1</v>
      </c>
      <c r="AB37" s="330" t="s">
        <v>92</v>
      </c>
      <c r="AC37" s="327">
        <f>IFERROR(IF(AND('Annuity Calculator'!H11&gt;=40,'Annuity Calculator'!H11&lt;=80,'Annuity Calculator'!N11&gt;=40,'Annuity Calculator'!N11&lt;=80),'SP-input'!$D$20,ROUND(VLOOKUP($E$14,Imm_OptionB!$B$5:$E$105,VLOOKUP($E$18*$E$22,'Working-GPG'!$E$10:$F$15,2,TRUE)+1,FALSE),2)*(IF($F$19="Y",$S$84*(1+'Valid Data-GPG'!$M$149),$S$84))/1000*(AND(Select="Immediate Annuity",PremiumType="Single Premium"))*(AND('Annuity Calculator'!$H$11&gt;29,'Annuity Calculator'!$H$11&lt;86)))*(Select="Immediate Annuity"),0)</f>
        <v>361681</v>
      </c>
      <c r="AD37" s="327">
        <f>'All Options'!AC37*VLOOKUP(AnnuityMode,'Valid Data-SP'!$N$3:$O$6,2,0)</f>
        <v>29115.320500000002</v>
      </c>
      <c r="AE37" s="328">
        <f t="shared" si="0"/>
        <v>349383.84600000002</v>
      </c>
      <c r="AF37" s="329">
        <f t="shared" si="1"/>
        <v>7.2336200000000003E-2</v>
      </c>
      <c r="AG37" s="329">
        <f t="shared" si="2"/>
        <v>6.9876769200000008E-2</v>
      </c>
      <c r="AH37" s="376">
        <f>AC37*VLOOKUP($E$22,'Valid Data-GPG'!$B$130:$F$134,MATCH(AnnuityMode,'Valid Data-GPG'!$B$130:$F$130,0),FALSE)</f>
        <v>29115.320500000002</v>
      </c>
      <c r="AI37" s="377">
        <f t="shared" si="3"/>
        <v>7.2336200000000003E-2</v>
      </c>
      <c r="AJ37" s="379">
        <f>AC37*0.49</f>
        <v>177223.69</v>
      </c>
      <c r="AL37" s="335" t="b">
        <f>AO37&gt;=INDEX('Valid Data-GPG'!$B$64:$E$65,2,MATCH('Annuity Calculator'!$H$15,'Valid Data-GPG'!$B$64:$E$64,0))</f>
        <v>1</v>
      </c>
      <c r="AM37" s="330" t="s">
        <v>92</v>
      </c>
      <c r="AN37" s="327">
        <f>IFERROR(IF(AND('Annuity Calculator'!H11&gt;=40,'Annuity Calculator'!H11&lt;=80),'SP-input'!$D$23,ROUND(VLOOKUP($E$14,Imm_OptionB!$B$5:$E$105,VLOOKUP($E$31*$E$22,'Working-GPG'!$E$10:$F$15,2,TRUE)+1,FALSE),2)*(IF($F$19="Y",$E$31*(1+'Valid Data-GPG'!$M$149),$E$31))/1000*(AND(Select="Immediate Annuity",PremiumType="Single Premium"))*(AND('Annuity Calculator'!$H$11&gt;29,'Annuity Calculator'!$H$11&lt;86)))*(Select="Immediate Annuity"),0)</f>
        <v>355285.8546168959</v>
      </c>
      <c r="AO37" s="327">
        <f>'All Options'!AN37*VLOOKUP(AnnuityMode,'Valid Data-SP'!$N$3:$O$6,2,0)</f>
        <v>28600.511296660119</v>
      </c>
      <c r="AP37" s="328">
        <f t="shared" si="4"/>
        <v>343206.13555992144</v>
      </c>
      <c r="AQ37" s="329">
        <f t="shared" ref="AQ37:AQ47" si="11">AN37/$E$31</f>
        <v>7.2336200000000003E-2</v>
      </c>
      <c r="AR37" s="329">
        <f t="shared" si="5"/>
        <v>6.9876769200000008E-2</v>
      </c>
    </row>
    <row r="38" spans="3:47" ht="17.45" customHeight="1" x14ac:dyDescent="0.2">
      <c r="C38" s="337" t="s">
        <v>33</v>
      </c>
      <c r="D38" s="338">
        <f t="shared" si="6"/>
        <v>391818.27111984283</v>
      </c>
      <c r="E38" s="338">
        <f t="shared" si="7"/>
        <v>31541.370825147347</v>
      </c>
      <c r="F38" s="338">
        <f t="shared" si="8"/>
        <v>378496.44990176818</v>
      </c>
      <c r="G38" s="339">
        <f t="shared" si="9"/>
        <v>7.9774200000000003E-2</v>
      </c>
      <c r="H38" s="339">
        <f t="shared" si="10"/>
        <v>7.7061877200000004E-2</v>
      </c>
      <c r="AA38" s="335" t="b">
        <f>AD38&gt;=INDEX('Valid Data-GPG'!$B$64:$E$65,2,MATCH('Annuity Calculator'!$H$15,'Valid Data-GPG'!$B$64:$E$64,0))</f>
        <v>1</v>
      </c>
      <c r="AB38" s="326" t="s">
        <v>33</v>
      </c>
      <c r="AC38" s="327">
        <f>(ROUND(VLOOKUP($E$14,Imm_OptionC_G5!$B$5:$E$105,VLOOKUP($S$84,'Working-GPG'!$E$10:$F$15,2,TRUE)+1,FALSE),2)*(IF($F$19="Y",$S$84*(1+'Valid Data-GPG'!$M$149),$S$84))/1000*(AND(Select="Immediate Annuity",PremiumType="Single Premium")))*(Channel&lt;&gt;"POS")*(AND('Annuity Calculator'!$H$11&gt;29,'Annuity Calculator'!$H$11&lt;86))</f>
        <v>398870.99999999994</v>
      </c>
      <c r="AD38" s="327">
        <f>AC38*VLOOKUP($E$22,'Valid Data-GPG'!$B$130:$F$134,MATCH(AnnuityMode,'Valid Data-GPG'!$B$130:$F$130,0),FALSE)</f>
        <v>32109.115499999996</v>
      </c>
      <c r="AE38" s="328">
        <f t="shared" si="0"/>
        <v>385309.38599999994</v>
      </c>
      <c r="AF38" s="329">
        <f t="shared" si="1"/>
        <v>7.977419999999999E-2</v>
      </c>
      <c r="AG38" s="329">
        <f t="shared" si="2"/>
        <v>7.706187719999999E-2</v>
      </c>
      <c r="AH38" s="376">
        <f>AC38*VLOOKUP($E$22,'Valid Data-GPG'!$B$130:$F$134,MATCH(AnnuityMode,'Valid Data-GPG'!$B$130:$F$130,0),FALSE)</f>
        <v>32109.115499999996</v>
      </c>
      <c r="AI38" s="377">
        <f t="shared" si="3"/>
        <v>7.977419999999999E-2</v>
      </c>
      <c r="AJ38" s="351"/>
      <c r="AL38" s="335" t="b">
        <f>AO38&gt;=INDEX('Valid Data-GPG'!$B$64:$E$65,2,MATCH('Annuity Calculator'!$H$15,'Valid Data-GPG'!$B$64:$E$64,0))</f>
        <v>1</v>
      </c>
      <c r="AM38" s="326" t="s">
        <v>33</v>
      </c>
      <c r="AN38" s="327">
        <f>(ROUND(VLOOKUP($E$14,Imm_OptionC_G5!$B$5:$E$105,VLOOKUP($E$31,'Working-GPG'!$E$10:$F$15,2,TRUE)+1,FALSE),2)*(IF($F$19="Y",$E$31*(1+'Valid Data-GPG'!$M$149),$E$31))/1000*(AND(Select="Immediate Annuity",PremiumType="Single Premium")))*(Channel&lt;&gt;"POS")*(AND('Annuity Calculator'!$H$11&gt;29,'Annuity Calculator'!$H$11&lt;86))</f>
        <v>391818.27111984283</v>
      </c>
      <c r="AO38" s="327">
        <f>AN38*VLOOKUP($E$22,'Valid Data-GPG'!$B$130:$F$134,MATCH(AnnuityMode,'Valid Data-GPG'!$B$130:$F$130,0),FALSE)</f>
        <v>31541.370825147347</v>
      </c>
      <c r="AP38" s="328">
        <f t="shared" si="4"/>
        <v>378496.44990176818</v>
      </c>
      <c r="AQ38" s="329">
        <f t="shared" si="11"/>
        <v>7.9774200000000003E-2</v>
      </c>
      <c r="AR38" s="329">
        <f t="shared" si="5"/>
        <v>7.7061877200000004E-2</v>
      </c>
    </row>
    <row r="39" spans="3:47" ht="17.45" customHeight="1" x14ac:dyDescent="0.2">
      <c r="C39" s="337" t="s">
        <v>34</v>
      </c>
      <c r="D39" s="338">
        <f t="shared" si="6"/>
        <v>384954.81335952855</v>
      </c>
      <c r="E39" s="338">
        <f t="shared" si="7"/>
        <v>30988.862475442049</v>
      </c>
      <c r="F39" s="338">
        <f t="shared" si="8"/>
        <v>371866.3497053046</v>
      </c>
      <c r="G39" s="339">
        <f t="shared" si="9"/>
        <v>7.837680000000001E-2</v>
      </c>
      <c r="H39" s="339">
        <f t="shared" si="10"/>
        <v>7.5711988800000019E-2</v>
      </c>
      <c r="AA39" s="335" t="b">
        <f>AD39&gt;=INDEX('Valid Data-GPG'!$B$64:$E$65,2,MATCH('Annuity Calculator'!$H$15,'Valid Data-GPG'!$B$64:$E$64,0))</f>
        <v>1</v>
      </c>
      <c r="AB39" s="326" t="s">
        <v>34</v>
      </c>
      <c r="AC39" s="327">
        <f>(ROUND(VLOOKUP($E$14,Imm_OptionC_G10!$B$5:$E$105,VLOOKUP($S$84,'Working-GPG'!$E$10:$F$15,2,TRUE)+1,FALSE),2)*(IF($F$19="Y",$S$84*(1+'Valid Data-GPG'!$M$149),$S$84))/1000*(AND(Select="Immediate Annuity",PremiumType="Single Premium")))*(Channel&lt;&gt;"POS")*(AND('Annuity Calculator'!$H$11&gt;29,'Annuity Calculator'!$H$11&lt;86))</f>
        <v>391884</v>
      </c>
      <c r="AD39" s="327">
        <f>AC39*VLOOKUP($E$22,'Valid Data-GPG'!$B$130:$F$134,MATCH(AnnuityMode,'Valid Data-GPG'!$B$130:$F$130,0),FALSE)</f>
        <v>31546.662</v>
      </c>
      <c r="AE39" s="328">
        <f t="shared" si="0"/>
        <v>378559.94400000002</v>
      </c>
      <c r="AF39" s="329">
        <f t="shared" si="1"/>
        <v>7.8376799999999996E-2</v>
      </c>
      <c r="AG39" s="329">
        <f t="shared" si="2"/>
        <v>7.5711988800000005E-2</v>
      </c>
      <c r="AH39" s="376">
        <f>AC39*VLOOKUP($E$22,'Valid Data-GPG'!$B$130:$F$134,MATCH(AnnuityMode,'Valid Data-GPG'!$B$130:$F$130,0),FALSE)</f>
        <v>31546.662</v>
      </c>
      <c r="AI39" s="377">
        <f t="shared" si="3"/>
        <v>7.8376799999999996E-2</v>
      </c>
      <c r="AJ39" s="351"/>
      <c r="AL39" s="335" t="b">
        <f>AO39&gt;=INDEX('Valid Data-GPG'!$B$64:$E$65,2,MATCH('Annuity Calculator'!$H$15,'Valid Data-GPG'!$B$64:$E$64,0))</f>
        <v>1</v>
      </c>
      <c r="AM39" s="326" t="s">
        <v>34</v>
      </c>
      <c r="AN39" s="327">
        <f>(ROUND(VLOOKUP($E$14,Imm_OptionC_G10!$B$5:$E$105,VLOOKUP($E$31,'Working-GPG'!$E$10:$F$15,2,TRUE)+1,FALSE),2)*(IF($F$19="Y",$E$31*(1+'Valid Data-GPG'!$M$149),$E$31))/1000*(AND(Select="Immediate Annuity",PremiumType="Single Premium")))*(Channel&lt;&gt;"POS")*(AND('Annuity Calculator'!$H$11&gt;29,'Annuity Calculator'!$H$11&lt;86))</f>
        <v>384954.81335952855</v>
      </c>
      <c r="AO39" s="327">
        <f>AN39*VLOOKUP($E$22,'Valid Data-GPG'!$B$130:$F$134,MATCH(AnnuityMode,'Valid Data-GPG'!$B$130:$F$130,0),FALSE)</f>
        <v>30988.862475442049</v>
      </c>
      <c r="AP39" s="328">
        <f t="shared" si="4"/>
        <v>371866.3497053046</v>
      </c>
      <c r="AQ39" s="329">
        <f t="shared" si="11"/>
        <v>7.837680000000001E-2</v>
      </c>
      <c r="AR39" s="329">
        <f t="shared" si="5"/>
        <v>7.5711988800000019E-2</v>
      </c>
    </row>
    <row r="40" spans="3:47" ht="17.45" customHeight="1" x14ac:dyDescent="0.2">
      <c r="C40" s="337" t="s">
        <v>35</v>
      </c>
      <c r="D40" s="338">
        <f t="shared" si="6"/>
        <v>375235.75638506882</v>
      </c>
      <c r="E40" s="338">
        <f t="shared" si="7"/>
        <v>30206.478388998039</v>
      </c>
      <c r="F40" s="338">
        <f t="shared" si="8"/>
        <v>362477.74066797644</v>
      </c>
      <c r="G40" s="339">
        <f t="shared" si="9"/>
        <v>7.6398000000000008E-2</v>
      </c>
      <c r="H40" s="339">
        <f t="shared" si="10"/>
        <v>7.3800467999999994E-2</v>
      </c>
      <c r="AA40" s="335" t="b">
        <f>AD40&gt;=INDEX('Valid Data-GPG'!$B$64:$E$65,2,MATCH('Annuity Calculator'!$H$15,'Valid Data-GPG'!$B$64:$E$64,0))</f>
        <v>1</v>
      </c>
      <c r="AB40" s="326" t="s">
        <v>35</v>
      </c>
      <c r="AC40" s="327">
        <f>(ROUND(VLOOKUP($E$14,Imm_OptionC_G15!$B$5:$E$105,VLOOKUP($S$84,'Working-GPG'!$E$10:$F$15,2,TRUE)+1,FALSE),2)*(IF($F$19="Y",$S$84*(1+'Valid Data-GPG'!$M$149),$S$84))/1000*(AND(Select="Immediate Annuity",PremiumType="Single Premium")))*(Channel&lt;&gt;"POS")*(AND('Annuity Calculator'!$H$11&gt;29,'Annuity Calculator'!$H$11&lt;86))</f>
        <v>381990</v>
      </c>
      <c r="AD40" s="327">
        <f>AC40*VLOOKUP($E$22,'Valid Data-GPG'!$B$130:$F$134,MATCH(AnnuityMode,'Valid Data-GPG'!$B$130:$F$130,0),FALSE)</f>
        <v>30750.195</v>
      </c>
      <c r="AE40" s="328">
        <f t="shared" si="0"/>
        <v>369002.33999999997</v>
      </c>
      <c r="AF40" s="329">
        <f t="shared" si="1"/>
        <v>7.6397999999999994E-2</v>
      </c>
      <c r="AG40" s="329">
        <f t="shared" si="2"/>
        <v>7.3800467999999994E-2</v>
      </c>
      <c r="AH40" s="376">
        <f>AC40*VLOOKUP($E$22,'Valid Data-GPG'!$B$130:$F$134,MATCH(AnnuityMode,'Valid Data-GPG'!$B$130:$F$130,0),FALSE)</f>
        <v>30750.195</v>
      </c>
      <c r="AI40" s="377">
        <f t="shared" si="3"/>
        <v>7.6397999999999994E-2</v>
      </c>
      <c r="AJ40" s="351"/>
      <c r="AL40" s="335" t="b">
        <f>AO40&gt;=INDEX('Valid Data-GPG'!$B$64:$E$65,2,MATCH('Annuity Calculator'!$H$15,'Valid Data-GPG'!$B$64:$E$64,0))</f>
        <v>1</v>
      </c>
      <c r="AM40" s="326" t="s">
        <v>35</v>
      </c>
      <c r="AN40" s="327">
        <f>(ROUND(VLOOKUP($E$14,Imm_OptionC_G15!$B$5:$E$105,VLOOKUP($E$31,'Working-GPG'!$E$10:$F$15,2,TRUE)+1,FALSE),2)*(IF($F$19="Y",$E$31*(1+'Valid Data-GPG'!$M$149),$E$31))/1000*(AND(Select="Immediate Annuity",PremiumType="Single Premium")))*(Channel&lt;&gt;"POS")*(AND('Annuity Calculator'!$H$11&gt;29,'Annuity Calculator'!$H$11&lt;86))</f>
        <v>375235.75638506882</v>
      </c>
      <c r="AO40" s="327">
        <f>AN40*VLOOKUP($E$22,'Valid Data-GPG'!$B$130:$F$134,MATCH(AnnuityMode,'Valid Data-GPG'!$B$130:$F$130,0),FALSE)</f>
        <v>30206.478388998039</v>
      </c>
      <c r="AP40" s="328">
        <f t="shared" si="4"/>
        <v>362477.74066797644</v>
      </c>
      <c r="AQ40" s="329">
        <f t="shared" si="11"/>
        <v>7.6398000000000008E-2</v>
      </c>
      <c r="AR40" s="329">
        <f t="shared" si="5"/>
        <v>7.3800467999999994E-2</v>
      </c>
    </row>
    <row r="41" spans="3:47" ht="17.45" customHeight="1" x14ac:dyDescent="0.2">
      <c r="C41" s="337" t="s">
        <v>36</v>
      </c>
      <c r="D41" s="338">
        <f t="shared" si="6"/>
        <v>363462.67190569744</v>
      </c>
      <c r="E41" s="338">
        <f t="shared" si="7"/>
        <v>29258.745088408643</v>
      </c>
      <c r="F41" s="338">
        <f t="shared" si="8"/>
        <v>351104.94106090371</v>
      </c>
      <c r="G41" s="339">
        <f t="shared" si="9"/>
        <v>7.4000999999999997E-2</v>
      </c>
      <c r="H41" s="339">
        <f t="shared" si="10"/>
        <v>7.1484965999999997E-2</v>
      </c>
      <c r="AA41" s="335" t="b">
        <f>AD41&gt;=INDEX('Valid Data-GPG'!$B$64:$E$65,2,MATCH('Annuity Calculator'!$H$15,'Valid Data-GPG'!$B$64:$E$64,0))</f>
        <v>1</v>
      </c>
      <c r="AB41" s="326" t="s">
        <v>36</v>
      </c>
      <c r="AC41" s="327">
        <f>(ROUND(VLOOKUP($E$14,Imm_OptionC_G20!$B$5:$E$105,VLOOKUP($S$84,'Working-GPG'!$E$10:$F$15,2,TRUE)+1,FALSE),2)*(IF($F$19="Y",$S$84*(1+'Valid Data-GPG'!$M$149),$S$84))/1000*(AND(Select="Immediate Annuity",PremiumType="Single Premium")))*(Channel&lt;&gt;"POS")*(AND('Annuity Calculator'!$H$11&gt;29,'Annuity Calculator'!$H$11&lt;86))</f>
        <v>370005</v>
      </c>
      <c r="AD41" s="327">
        <f>AC41*VLOOKUP($E$22,'Valid Data-GPG'!$B$130:$F$134,MATCH(AnnuityMode,'Valid Data-GPG'!$B$130:$F$130,0),FALSE)</f>
        <v>29785.4025</v>
      </c>
      <c r="AE41" s="328">
        <f t="shared" si="0"/>
        <v>357424.83</v>
      </c>
      <c r="AF41" s="329">
        <f t="shared" si="1"/>
        <v>7.4000999999999997E-2</v>
      </c>
      <c r="AG41" s="329">
        <f t="shared" si="2"/>
        <v>7.1484965999999997E-2</v>
      </c>
      <c r="AH41" s="376">
        <f>AC41*VLOOKUP($E$22,'Valid Data-GPG'!$B$130:$F$134,MATCH(AnnuityMode,'Valid Data-GPG'!$B$130:$F$130,0),FALSE)</f>
        <v>29785.4025</v>
      </c>
      <c r="AI41" s="377">
        <f t="shared" si="3"/>
        <v>7.4000999999999997E-2</v>
      </c>
      <c r="AJ41" s="351"/>
      <c r="AL41" s="335" t="b">
        <f>AO41&gt;=INDEX('Valid Data-GPG'!$B$64:$E$65,2,MATCH('Annuity Calculator'!$H$15,'Valid Data-GPG'!$B$64:$E$64,0))</f>
        <v>1</v>
      </c>
      <c r="AM41" s="326" t="s">
        <v>36</v>
      </c>
      <c r="AN41" s="327">
        <f>(ROUND(VLOOKUP($E$14,Imm_OptionC_G20!$B$5:$E$105,VLOOKUP($E$31,'Working-GPG'!$E$10:$F$15,2,TRUE)+1,FALSE),2)*(IF($F$19="Y",$E$31*(1+'Valid Data-GPG'!$M$149),$E$31))/1000*(AND(Select="Immediate Annuity",PremiumType="Single Premium")))*(Channel&lt;&gt;"POS")*(AND('Annuity Calculator'!$H$11&gt;29,'Annuity Calculator'!$H$11&lt;86))</f>
        <v>363462.67190569744</v>
      </c>
      <c r="AO41" s="327">
        <f>AN41*VLOOKUP($E$22,'Valid Data-GPG'!$B$130:$F$134,MATCH(AnnuityMode,'Valid Data-GPG'!$B$130:$F$130,0),FALSE)</f>
        <v>29258.745088408643</v>
      </c>
      <c r="AP41" s="328">
        <f t="shared" si="4"/>
        <v>351104.94106090371</v>
      </c>
      <c r="AQ41" s="329">
        <f t="shared" si="11"/>
        <v>7.4000999999999997E-2</v>
      </c>
      <c r="AR41" s="329">
        <f t="shared" si="5"/>
        <v>7.1484965999999997E-2</v>
      </c>
    </row>
    <row r="42" spans="3:47" ht="17.45" customHeight="1" x14ac:dyDescent="0.2">
      <c r="C42" s="337" t="s">
        <v>94</v>
      </c>
      <c r="D42" s="338">
        <f t="shared" ca="1" si="6"/>
        <v>356048.13359528489</v>
      </c>
      <c r="E42" s="338">
        <f t="shared" ca="1" si="7"/>
        <v>28661.874754420434</v>
      </c>
      <c r="F42" s="338">
        <f t="shared" ca="1" si="8"/>
        <v>343942.4970530452</v>
      </c>
      <c r="G42" s="339">
        <f t="shared" ca="1" si="9"/>
        <v>7.2491399999999998E-2</v>
      </c>
      <c r="H42" s="339">
        <f t="shared" ca="1" si="10"/>
        <v>7.0026692399999993E-2</v>
      </c>
      <c r="AA42" s="335" t="b">
        <f ca="1">AD42&gt;=INDEX('Valid Data-GPG'!$B$64:$E$65,2,MATCH('Annuity Calculator'!$H$15,'Valid Data-GPG'!$B$64:$E$64,0))</f>
        <v>1</v>
      </c>
      <c r="AB42" s="326" t="s">
        <v>94</v>
      </c>
      <c r="AC42" s="327">
        <f ca="1">(IFERROR(ROUND(VLOOKUP($E$14,INDIRECT('Working-GPG'!$F$23),VLOOKUP(ABS($E$14-$E$21),'Working-GPG'!$B$9:$C$35,2,TRUE),FALSE),2)*(IF($F$19="Y",$S$84*(1+'Valid Data-GPG'!$M$149),$S$84))/1000,0)*($E$20="Y")*(AND(Select="Immediate Annuity",PremiumType="Single Premium")))*(Channel&lt;&gt;"POS")*(AND('Annuity Calculator'!$H$11&gt;29,'Annuity Calculator'!$H$11&lt;86,'Annuity Calculator'!$N$11&gt;29,'Annuity Calculator'!$N$11&lt;86))</f>
        <v>362456.99999999994</v>
      </c>
      <c r="AD42" s="327">
        <f ca="1">AC42*VLOOKUP($E$22,'Valid Data-GPG'!$B$130:$F$134,MATCH(AnnuityMode,'Valid Data-GPG'!$B$130:$F$130,0),FALSE)</f>
        <v>29177.788499999995</v>
      </c>
      <c r="AE42" s="328">
        <f t="shared" ca="1" si="0"/>
        <v>350133.46199999994</v>
      </c>
      <c r="AF42" s="329">
        <f t="shared" ca="1" si="1"/>
        <v>7.2491399999999984E-2</v>
      </c>
      <c r="AG42" s="329">
        <f t="shared" ca="1" si="2"/>
        <v>7.0026692399999993E-2</v>
      </c>
      <c r="AH42" s="376">
        <f ca="1">AC42*VLOOKUP($E$22,'Valid Data-GPG'!$B$130:$F$134,MATCH(AnnuityMode,'Valid Data-GPG'!$B$130:$F$130,0),FALSE)</f>
        <v>29177.788499999995</v>
      </c>
      <c r="AI42" s="377">
        <f t="shared" ca="1" si="3"/>
        <v>7.2491399999999984E-2</v>
      </c>
      <c r="AJ42" s="351"/>
      <c r="AL42" s="335" t="b">
        <f ca="1">AO42&gt;=INDEX('Valid Data-GPG'!$B$64:$E$65,2,MATCH('Annuity Calculator'!$H$15,'Valid Data-GPG'!$B$64:$E$64,0))</f>
        <v>1</v>
      </c>
      <c r="AM42" s="326" t="s">
        <v>94</v>
      </c>
      <c r="AN42" s="327">
        <f ca="1">(IFERROR(ROUND(VLOOKUP($E$14,INDIRECT('Working-GPG'!$H$23),VLOOKUP(ABS($E$14-$E$21),'Working-GPG'!$B$9:$C$35,2,TRUE),FALSE),2)*(IF($F$19="Y",$E$31*(1+'Valid Data-GPG'!$M$149),$E$31))/1000,0)*($E$20="Y")*(AND(Select="Immediate Annuity",PremiumType="Single Premium")))*(Channel&lt;&gt;"POS")*(AND('Annuity Calculator'!$H$11&gt;29,'Annuity Calculator'!$H$11&lt;86,'Annuity Calculator'!$N$11&gt;29,'Annuity Calculator'!$N$11&lt;86))</f>
        <v>356048.13359528489</v>
      </c>
      <c r="AO42" s="327">
        <f ca="1">AN42*VLOOKUP($E$22,'Valid Data-GPG'!$B$130:$F$134,MATCH(AnnuityMode,'Valid Data-GPG'!$B$130:$F$130,0),FALSE)</f>
        <v>28661.874754420434</v>
      </c>
      <c r="AP42" s="328">
        <f t="shared" ca="1" si="4"/>
        <v>343942.4970530452</v>
      </c>
      <c r="AQ42" s="329">
        <f t="shared" ca="1" si="11"/>
        <v>7.2491399999999998E-2</v>
      </c>
      <c r="AR42" s="329">
        <f t="shared" ca="1" si="5"/>
        <v>7.0026692399999993E-2</v>
      </c>
    </row>
    <row r="43" spans="3:47" ht="17.45" customHeight="1" x14ac:dyDescent="0.2">
      <c r="C43" s="337" t="s">
        <v>11</v>
      </c>
      <c r="D43" s="338">
        <f t="shared" ca="1" si="6"/>
        <v>332602.16110019648</v>
      </c>
      <c r="E43" s="338">
        <f t="shared" ca="1" si="7"/>
        <v>26774.473968565817</v>
      </c>
      <c r="F43" s="338">
        <f t="shared" ca="1" si="8"/>
        <v>321293.68762278982</v>
      </c>
      <c r="G43" s="339">
        <f t="shared" ca="1" si="9"/>
        <v>6.7717799999999995E-2</v>
      </c>
      <c r="H43" s="339">
        <f t="shared" ca="1" si="10"/>
        <v>6.5415394799999999E-2</v>
      </c>
      <c r="AA43" s="335" t="b">
        <f ca="1">AD43&gt;=INDEX('Valid Data-GPG'!$B$64:$E$65,2,MATCH('Annuity Calculator'!$H$15,'Valid Data-GPG'!$B$64:$E$64,0))</f>
        <v>1</v>
      </c>
      <c r="AB43" s="326" t="s">
        <v>11</v>
      </c>
      <c r="AC43" s="327">
        <f ca="1">(IFERROR(ROUND(VLOOKUP(MIN($E$14,$E$21),INDIRECT('Working-GPG'!$F$24),VLOOKUP(ABS($E$14-$E$21),'Working-GPG'!$B$9:$C$35,2,TRUE),FALSE),2)*(IF($F$19="Y",$S$84*(1+'Valid Data-GPG'!$M$149),$S$84))/1000,0)*($E$20="Y")*(AND(Select="Immediate Annuity",PremiumType="Single Premium")))*(Channel&lt;&gt;"POS")*(AND('Annuity Calculator'!$H$11&gt;29,'Annuity Calculator'!$H$11&lt;86,'Annuity Calculator'!$N$11&gt;29,'Annuity Calculator'!$N$11&lt;86))</f>
        <v>338589</v>
      </c>
      <c r="AD43" s="327">
        <f ca="1">AC43*VLOOKUP($E$22,'Valid Data-GPG'!$B$130:$F$134,MATCH(AnnuityMode,'Valid Data-GPG'!$B$130:$F$130,0),FALSE)</f>
        <v>27256.414499999999</v>
      </c>
      <c r="AE43" s="328">
        <f t="shared" ca="1" si="0"/>
        <v>327076.97399999999</v>
      </c>
      <c r="AF43" s="329">
        <f t="shared" ca="1" si="1"/>
        <v>6.7717799999999995E-2</v>
      </c>
      <c r="AG43" s="329">
        <f t="shared" ca="1" si="2"/>
        <v>6.5415394799999999E-2</v>
      </c>
      <c r="AH43" s="376">
        <f ca="1">AC43*VLOOKUP($E$22,'Valid Data-GPG'!$B$130:$F$134,MATCH(AnnuityMode,'Valid Data-GPG'!$B$130:$F$130,0),FALSE)</f>
        <v>27256.414499999999</v>
      </c>
      <c r="AI43" s="377">
        <f t="shared" ca="1" si="3"/>
        <v>6.7717799999999995E-2</v>
      </c>
      <c r="AJ43" s="351"/>
      <c r="AL43" s="335" t="b">
        <f ca="1">AO43&gt;=INDEX('Valid Data-GPG'!$B$64:$E$65,2,MATCH('Annuity Calculator'!$H$15,'Valid Data-GPG'!$B$64:$E$64,0))</f>
        <v>1</v>
      </c>
      <c r="AM43" s="326" t="s">
        <v>11</v>
      </c>
      <c r="AN43" s="327">
        <f ca="1">(IFERROR(ROUND(VLOOKUP(MIN($E$14,$E$21),INDIRECT('Working-GPG'!$H$24),VLOOKUP(ABS($E$14-$E$21),'Working-GPG'!$B$9:$C$35,2,TRUE),FALSE),2)*(IF($F$19="Y",$E$31*(1+'Valid Data-GPG'!$M$149),$E$31))/1000,0)*($E$20="Y")*(AND(Select="Immediate Annuity",PremiumType="Single Premium")))*(Channel&lt;&gt;"POS")*(AND('Annuity Calculator'!$H$11&gt;29,'Annuity Calculator'!$H$11&lt;86,'Annuity Calculator'!$N$11&gt;29,'Annuity Calculator'!$N$11&lt;86))</f>
        <v>332602.16110019648</v>
      </c>
      <c r="AO43" s="327">
        <f ca="1">AN43*VLOOKUP($E$22,'Valid Data-GPG'!$B$130:$F$134,MATCH(AnnuityMode,'Valid Data-GPG'!$B$130:$F$130,0),FALSE)</f>
        <v>26774.473968565817</v>
      </c>
      <c r="AP43" s="328">
        <f t="shared" ca="1" si="4"/>
        <v>321293.68762278982</v>
      </c>
      <c r="AQ43" s="329">
        <f t="shared" ca="1" si="11"/>
        <v>6.7717799999999995E-2</v>
      </c>
      <c r="AR43" s="329">
        <f t="shared" ca="1" si="5"/>
        <v>6.5415394799999999E-2</v>
      </c>
    </row>
    <row r="44" spans="3:47" ht="30" x14ac:dyDescent="0.2">
      <c r="C44" s="343" t="s">
        <v>541</v>
      </c>
      <c r="D44" s="338">
        <f t="shared" ca="1" si="6"/>
        <v>353500</v>
      </c>
      <c r="E44" s="338">
        <f t="shared" ca="1" si="7"/>
        <v>28456.75</v>
      </c>
      <c r="F44" s="338">
        <f t="shared" ca="1" si="8"/>
        <v>341481</v>
      </c>
      <c r="G44" s="339">
        <f t="shared" ca="1" si="9"/>
        <v>7.1972599999999998E-2</v>
      </c>
      <c r="H44" s="339">
        <f t="shared" ca="1" si="10"/>
        <v>6.9525531599999996E-2</v>
      </c>
      <c r="AA44" s="335" t="b">
        <f ca="1">AD44&gt;=INDEX('Valid Data-GPG'!$B$64:$E$65,2,MATCH('Annuity Calculator'!$H$15,'Valid Data-GPG'!$B$64:$E$64,0))</f>
        <v>1</v>
      </c>
      <c r="AB44" s="334" t="s">
        <v>541</v>
      </c>
      <c r="AC44" s="327">
        <f ca="1">IFERROR(IF(AND('Annuity Calculator'!H11&gt;=40,'Annuity Calculator'!H11&lt;=80,'Annuity Calculator'!N11&gt;=40,'Annuity Calculator'!N11&lt;=80),'SP-input'!$D$21,IFERROR(ROUND(VLOOKUP(MIN($E$14,$E$21),INDIRECT('Working-GPG'!$F$25),VLOOKUP(ABS($E$14-$E$21),'Working-GPG'!$B$9:$C$35,2,TRUE),FALSE),2)*(IF($F$19="Y",$S$84*(1+'Valid Data-GPG'!$M$149),$S$84))/1000,0)*($E$20="Y")*(AND(Select="Immediate Annuity",PremiumType="Single Premium")))*(Channel&lt;&gt;"POS")*(AND('Annuity Calculator'!$H$11&gt;29,'Annuity Calculator'!$H$11&lt;86,'Annuity Calculator'!$N$11&gt;29,'Annuity Calculator'!$N$11&lt;86))*(Select="Immediate Annuity"),0)</f>
        <v>359863</v>
      </c>
      <c r="AD44" s="327">
        <f ca="1">'All Options'!AC44*VLOOKUP(AnnuityMode,'Valid Data-SP'!$N$3:$O$6,2,0)</f>
        <v>28968.9715</v>
      </c>
      <c r="AE44" s="328">
        <f t="shared" ca="1" si="0"/>
        <v>347627.658</v>
      </c>
      <c r="AF44" s="329">
        <f t="shared" ca="1" si="1"/>
        <v>7.1972599999999998E-2</v>
      </c>
      <c r="AG44" s="329">
        <f t="shared" ca="1" si="2"/>
        <v>6.9525531599999996E-2</v>
      </c>
      <c r="AH44" s="381">
        <f ca="1">AC44*VLOOKUP($E$22,'Valid Data-GPG'!$B$130:$F$134,MATCH(AnnuityMode,'Valid Data-GPG'!$B$130:$F$130,0),FALSE)</f>
        <v>28968.9715</v>
      </c>
      <c r="AI44" s="382">
        <f t="shared" ca="1" si="3"/>
        <v>7.1972599999999998E-2</v>
      </c>
      <c r="AJ44" s="356"/>
      <c r="AK44" s="383"/>
      <c r="AL44" s="335" t="b">
        <f ca="1">AO44&gt;=INDEX('Valid Data-GPG'!$B$64:$E$65,2,MATCH('Annuity Calculator'!$H$15,'Valid Data-GPG'!$B$64:$E$64,0))</f>
        <v>1</v>
      </c>
      <c r="AM44" s="334" t="s">
        <v>541</v>
      </c>
      <c r="AN44" s="327">
        <f ca="1">IFERROR(IF(AND('Annuity Calculator'!H11&gt;=40,'Annuity Calculator'!H11&lt;=80,'Annuity Calculator'!N11&gt;=40,'Annuity Calculator'!N11&lt;=80),'SP-input'!$D$24,IFERROR(ROUND(VLOOKUP(MIN($E$14,$E$21),INDIRECT('Working-GPG'!$H$25),VLOOKUP(ABS($E$14-$E$21),'Working-GPG'!$B$9:$C$35,2,TRUE),FALSE),2)*(IF($F$19="Y",$E$31*(1+'Valid Data-GPG'!$M$149),$E$31))/1000,0)*($E$20="Y")*(AND(Select="Immediate Annuity",PremiumType="Single Premium"))*(Channel&lt;&gt;"POS")*(AND('Annuity Calculator'!$H$11&gt;29,'Annuity Calculator'!$H$11&lt;86,'Annuity Calculator'!$N$11&gt;29,'Annuity Calculator'!$N$11&lt;86))),0)*(Select="Immediate Annuity")</f>
        <v>353500</v>
      </c>
      <c r="AO44" s="327">
        <f ca="1">'All Options'!AN44*VLOOKUP(AnnuityMode,'Valid Data-SP'!$N$3:$O$6,2,0)</f>
        <v>28456.75</v>
      </c>
      <c r="AP44" s="328">
        <f t="shared" ca="1" si="4"/>
        <v>341481</v>
      </c>
      <c r="AQ44" s="329">
        <f t="shared" ca="1" si="11"/>
        <v>7.1972599999999998E-2</v>
      </c>
      <c r="AR44" s="329">
        <f t="shared" ca="1" si="5"/>
        <v>6.9525531599999996E-2</v>
      </c>
    </row>
    <row r="45" spans="3:47" ht="17.100000000000001" customHeight="1" x14ac:dyDescent="0.2">
      <c r="C45" s="343" t="s">
        <v>95</v>
      </c>
      <c r="D45" s="338">
        <f t="shared" si="6"/>
        <v>291571.70923379174</v>
      </c>
      <c r="E45" s="338">
        <f t="shared" si="7"/>
        <v>23471.522593320235</v>
      </c>
      <c r="F45" s="338">
        <f t="shared" si="8"/>
        <v>281658.27111984283</v>
      </c>
      <c r="G45" s="339">
        <f t="shared" si="9"/>
        <v>5.9363999999999993E-2</v>
      </c>
      <c r="H45" s="339">
        <f t="shared" si="10"/>
        <v>5.7345623999999998E-2</v>
      </c>
      <c r="AA45" s="335" t="b">
        <f>AD45&gt;=INDEX('Valid Data-GPG'!$B$64:$E$65,2,MATCH('Annuity Calculator'!$H$15,'Valid Data-GPG'!$B$64:$E$64,0))</f>
        <v>1</v>
      </c>
      <c r="AB45" s="334" t="s">
        <v>95</v>
      </c>
      <c r="AC45" s="327">
        <f>ROUND(VLOOKUP($E$14,'Imm_Option G'!$B$5:$E$105,VLOOKUP($S$84,'Working-GPG'!$E$10:$F$15,2,TRUE)+1,FALSE),2)*(IF($F$19="Y",$S$84*(1+'Valid Data-GPG'!$M$149),$S$84))/1000*(AND(Select="Immediate Annuity",PremiumType="Single Premium"))*(AND('Annuity Calculator'!$H$11&gt;29,'Annuity Calculator'!$H$11&lt;86))</f>
        <v>296820</v>
      </c>
      <c r="AD45" s="327">
        <f>AC45*VLOOKUP($E$22,'Valid Data-GPG'!$B$130:$F$134,MATCH(AnnuityMode,'Valid Data-GPG'!$B$130:$F$130,0),FALSE)</f>
        <v>23894.010000000002</v>
      </c>
      <c r="AE45" s="328">
        <f t="shared" si="0"/>
        <v>286728.12</v>
      </c>
      <c r="AF45" s="329">
        <f t="shared" si="1"/>
        <v>5.9364E-2</v>
      </c>
      <c r="AG45" s="329">
        <f t="shared" si="2"/>
        <v>5.7345623999999998E-2</v>
      </c>
      <c r="AH45" s="381">
        <f>AC45*VLOOKUP($E$22,'Valid Data-GPG'!$B$130:$F$134,MATCH(AnnuityMode,'Valid Data-GPG'!$B$130:$F$130,0),FALSE)</f>
        <v>23894.010000000002</v>
      </c>
      <c r="AI45" s="382">
        <f t="shared" si="3"/>
        <v>5.9364E-2</v>
      </c>
      <c r="AJ45" s="356"/>
      <c r="AK45" s="354"/>
      <c r="AL45" s="335" t="b">
        <f>AO45&gt;=INDEX('Valid Data-GPG'!$B$64:$E$65,2,MATCH('Annuity Calculator'!$H$15,'Valid Data-GPG'!$B$64:$E$64,0))</f>
        <v>1</v>
      </c>
      <c r="AM45" s="334" t="s">
        <v>95</v>
      </c>
      <c r="AN45" s="327">
        <f>ROUND(VLOOKUP($E$14,'Imm_Option G'!$B$5:$E$105,VLOOKUP($E$31,'Working-GPG'!$E$10:$F$15,2,TRUE)+1,FALSE),2)*(IF($F$19="Y",$E$31*(1+'Valid Data-GPG'!$M$149),$E$31))/1000*(AND(Select="Immediate Annuity",PremiumType="Single Premium"))*(AND('Annuity Calculator'!$H$11&gt;29,'Annuity Calculator'!$H$11&lt;86))</f>
        <v>291571.70923379174</v>
      </c>
      <c r="AO45" s="327">
        <f>AN45*VLOOKUP($E$22,'Valid Data-GPG'!$B$130:$F$134,MATCH(AnnuityMode,'Valid Data-GPG'!$B$130:$F$130,0),FALSE)</f>
        <v>23471.522593320235</v>
      </c>
      <c r="AP45" s="328">
        <f t="shared" si="4"/>
        <v>281658.27111984283</v>
      </c>
      <c r="AQ45" s="329">
        <f t="shared" si="11"/>
        <v>5.9363999999999993E-2</v>
      </c>
      <c r="AR45" s="329">
        <f t="shared" si="5"/>
        <v>5.7345623999999998E-2</v>
      </c>
      <c r="AS45" s="384"/>
      <c r="AT45" s="384"/>
      <c r="AU45" s="354"/>
    </row>
    <row r="46" spans="3:47" ht="31.5" customHeight="1" x14ac:dyDescent="0.2">
      <c r="C46" s="343" t="s">
        <v>97</v>
      </c>
      <c r="D46" s="338">
        <f t="shared" si="6"/>
        <v>283355.59921414545</v>
      </c>
      <c r="E46" s="338">
        <f t="shared" si="7"/>
        <v>22810.125736738708</v>
      </c>
      <c r="F46" s="338">
        <f t="shared" si="8"/>
        <v>273721.50884086452</v>
      </c>
      <c r="G46" s="339">
        <f t="shared" si="9"/>
        <v>5.7691200000000012E-2</v>
      </c>
      <c r="H46" s="339">
        <f t="shared" si="10"/>
        <v>5.5729699200000017E-2</v>
      </c>
      <c r="AA46" s="335" t="b">
        <f>AD46&gt;=INDEX('Valid Data-GPG'!$B$64:$E$65,2,MATCH('Annuity Calculator'!$H$15,'Valid Data-GPG'!$B$64:$E$64,0))</f>
        <v>1</v>
      </c>
      <c r="AB46" s="334" t="s">
        <v>97</v>
      </c>
      <c r="AC46" s="327">
        <f>ROUND(VLOOKUP($E$14,'Imm_Option H'!$B$5:$E$105,VLOOKUP($S$84,'Working-GPG'!$E$10:$F$15,2,TRUE)+1,FALSE),2)*(IF($F$19="Y",$S$84*(1+'Valid Data-GPG'!$M$149),$S$84))/1000*(AND(Select="Immediate Annuity",PremiumType="Single Premium"))*(AND('Annuity Calculator'!$H$11&gt;29,'Annuity Calculator'!$H$11&lt;86))</f>
        <v>288456</v>
      </c>
      <c r="AD46" s="327">
        <f>AC46*VLOOKUP($E$22,'Valid Data-GPG'!$B$130:$F$134,MATCH(AnnuityMode,'Valid Data-GPG'!$B$130:$F$130,0),FALSE)</f>
        <v>23220.708000000002</v>
      </c>
      <c r="AE46" s="328">
        <f t="shared" si="0"/>
        <v>278648.49600000004</v>
      </c>
      <c r="AF46" s="329">
        <f t="shared" si="1"/>
        <v>5.7691199999999998E-2</v>
      </c>
      <c r="AG46" s="329">
        <f t="shared" si="2"/>
        <v>5.572969920000001E-2</v>
      </c>
      <c r="AH46" s="381">
        <f>AC46*VLOOKUP($E$22,'Valid Data-GPG'!$B$130:$F$134,MATCH(AnnuityMode,'Valid Data-GPG'!$B$130:$F$130,0),FALSE)</f>
        <v>23220.708000000002</v>
      </c>
      <c r="AI46" s="382">
        <f t="shared" si="3"/>
        <v>5.7691199999999998E-2</v>
      </c>
      <c r="AJ46" s="356"/>
      <c r="AK46" s="385"/>
      <c r="AL46" s="335" t="b">
        <f>AO46&gt;=INDEX('Valid Data-GPG'!$B$64:$E$65,2,MATCH('Annuity Calculator'!$H$15,'Valid Data-GPG'!$B$64:$E$64,0))</f>
        <v>1</v>
      </c>
      <c r="AM46" s="334" t="s">
        <v>97</v>
      </c>
      <c r="AN46" s="327">
        <f>ROUND(VLOOKUP($E$14,'Imm_Option H'!$B$5:$E$105,VLOOKUP($E$31,'Working-GPG'!$E$10:$F$15,2,TRUE)+1,FALSE),2)*(IF($F$19="Y",$E$31*(1+'Valid Data-GPG'!$M$149),$E$31))/1000*(AND(Select="Immediate Annuity",PremiumType="Single Premium"))*(AND('Annuity Calculator'!$H$11&gt;29,'Annuity Calculator'!$H$11&lt;86))</f>
        <v>283355.59921414545</v>
      </c>
      <c r="AO46" s="327">
        <f>AN46*VLOOKUP($E$22,'Valid Data-GPG'!$B$130:$F$134,MATCH(AnnuityMode,'Valid Data-GPG'!$B$130:$F$130,0),FALSE)</f>
        <v>22810.125736738708</v>
      </c>
      <c r="AP46" s="328">
        <f t="shared" si="4"/>
        <v>273721.50884086452</v>
      </c>
      <c r="AQ46" s="329">
        <f t="shared" si="11"/>
        <v>5.7691200000000012E-2</v>
      </c>
      <c r="AR46" s="329">
        <f t="shared" si="5"/>
        <v>5.5729699200000017E-2</v>
      </c>
      <c r="AS46" s="384"/>
      <c r="AT46" s="384"/>
      <c r="AU46" s="354"/>
    </row>
    <row r="47" spans="3:47" ht="17.100000000000001" hidden="1" customHeight="1" x14ac:dyDescent="0.2">
      <c r="C47" s="337" t="s">
        <v>99</v>
      </c>
      <c r="D47" s="338">
        <f t="shared" ca="1" si="6"/>
        <v>0</v>
      </c>
      <c r="E47" s="338">
        <f t="shared" ca="1" si="7"/>
        <v>0</v>
      </c>
      <c r="F47" s="338">
        <f t="shared" ca="1" si="8"/>
        <v>0</v>
      </c>
      <c r="G47" s="339">
        <f t="shared" ca="1" si="9"/>
        <v>0</v>
      </c>
      <c r="H47" s="339">
        <f t="shared" ca="1" si="10"/>
        <v>0</v>
      </c>
      <c r="AA47" s="335" t="b">
        <f ca="1">AD47&gt;=INDEX('Valid Data-GPG'!$B$64:$E$65,2,MATCH('Annuity Calculator'!$H$15,'Valid Data-GPG'!$B$64:$E$64,0))</f>
        <v>1</v>
      </c>
      <c r="AB47" s="334" t="str">
        <f>'Valid Data-GPG'!$B$25</f>
        <v/>
      </c>
      <c r="AC47" s="327">
        <f ca="1">IFERROR(IF(E20="Y",ROUND(VLOOKUP(MIN($E$14,$E$21),INDIRECT('Working-GPG'!$F$25),VLOOKUP(ABS($E$14-$E$21),'Working-GPG'!$B$9:$C$35,2,TRUE),FALSE),2)*(IF($F$19="Y",$S$84*(1+'Valid Data-GPG'!$M$149),$S$84))/1000,ROUND(VLOOKUP($E$14,Imm_OptionB!$B$7:$E$107,VLOOKUP($S$84,'Working-GPG'!$E$10:$F$15,2,TRUE)+1,FALSE),2)*(IF($F$19="Y",$S$84*(1+'Valid Data-GPG'!$M$149),$S$84))/1000),0)*(Select="Immediate Annuity")</f>
        <v>318597</v>
      </c>
      <c r="AD47" s="327">
        <f ca="1">AC47*VLOOKUP($E$22,'Valid Data-GPG'!$B$130:$F$134,MATCH(AnnuityMode,'Valid Data-GPG'!$B$130:$F$130,0),FALSE)</f>
        <v>25647.058499999999</v>
      </c>
      <c r="AE47" s="328">
        <f t="shared" ca="1" si="0"/>
        <v>307764.70199999999</v>
      </c>
      <c r="AF47" s="329">
        <f t="shared" ca="1" si="1"/>
        <v>6.3719399999999995E-2</v>
      </c>
      <c r="AG47" s="329">
        <f t="shared" ca="1" si="2"/>
        <v>6.1552940399999999E-2</v>
      </c>
      <c r="AH47" s="381">
        <f ca="1">AC47*VLOOKUP($E$22,'Valid Data-GPG'!$B$130:$F$134,MATCH(AnnuityMode,'Valid Data-GPG'!$B$130:$F$130,0),FALSE)</f>
        <v>25647.058499999999</v>
      </c>
      <c r="AI47" s="382">
        <f t="shared" ca="1" si="3"/>
        <v>6.3719399999999995E-2</v>
      </c>
      <c r="AJ47" s="354"/>
      <c r="AK47" s="354"/>
      <c r="AL47" s="354"/>
      <c r="AM47" s="334" t="str">
        <f>'Valid Data-GPG'!$B$25</f>
        <v/>
      </c>
      <c r="AN47" s="327">
        <f ca="1">IFERROR(IF(AD39="Y",ROUND(VLOOKUP(MIN($E$14,$E$21),INDIRECT('Working-GPG'!$F$25),VLOOKUP(ABS($E$14-$E$21),'Working-GPG'!$B$9:$C$35,2,TRUE),FALSE),2)*(IF($F$19="Y",$S$84*(1+'Valid Data-GPG'!$M$149),$S$84))/1000,ROUND(VLOOKUP($E$14,Imm_OptionB!$B$7:$E$107,VLOOKUP($S$84,'Working-GPG'!$E$10:$F$15,2,TRUE)+1,FALSE),2)*(IF($F$19="Y",$S$84*(1+'Valid Data-GPG'!$M$149),$S$84))/1000),0)*(Select="Immediate Annuity")</f>
        <v>319668</v>
      </c>
      <c r="AO47" s="327">
        <f ca="1">AN47*VLOOKUP($E$22,'Valid Data-GPG'!$B$130:$F$134,MATCH(AnnuityMode,'Valid Data-GPG'!$B$130:$F$130,0),FALSE)</f>
        <v>25733.274000000001</v>
      </c>
      <c r="AP47" s="328">
        <f t="shared" ca="1" si="4"/>
        <v>308799.288</v>
      </c>
      <c r="AQ47" s="329">
        <f t="shared" ca="1" si="11"/>
        <v>6.5084404799999995E-2</v>
      </c>
      <c r="AR47" s="329">
        <f t="shared" ca="1" si="5"/>
        <v>6.28715350368E-2</v>
      </c>
      <c r="AS47" s="354"/>
      <c r="AT47" s="354"/>
      <c r="AU47" s="354"/>
    </row>
    <row r="48" spans="3:47" x14ac:dyDescent="0.2">
      <c r="E48" s="363"/>
      <c r="F48" s="363"/>
      <c r="G48" s="363"/>
      <c r="H48" s="363"/>
    </row>
    <row r="49" spans="3:44" x14ac:dyDescent="0.2">
      <c r="E49" s="363"/>
      <c r="F49" s="363"/>
      <c r="G49" s="363"/>
      <c r="H49" s="363"/>
    </row>
    <row r="50" spans="3:44" ht="21" x14ac:dyDescent="0.2">
      <c r="C50" s="324"/>
      <c r="D50" s="606" t="s">
        <v>572</v>
      </c>
      <c r="E50" s="606"/>
      <c r="F50" s="606"/>
      <c r="G50" s="606"/>
      <c r="H50" s="606"/>
      <c r="AB50" s="604" t="s">
        <v>574</v>
      </c>
      <c r="AC50" s="604"/>
      <c r="AD50" s="604"/>
      <c r="AE50" s="604"/>
      <c r="AF50" s="604"/>
      <c r="AG50" s="605"/>
      <c r="AM50" s="604" t="s">
        <v>578</v>
      </c>
      <c r="AN50" s="604"/>
      <c r="AO50" s="604"/>
      <c r="AP50" s="604"/>
      <c r="AQ50" s="604"/>
      <c r="AR50" s="605"/>
    </row>
    <row r="51" spans="3:44" ht="39.6" customHeight="1" x14ac:dyDescent="0.2">
      <c r="C51" s="344" t="s">
        <v>604</v>
      </c>
      <c r="D51" s="345" t="s">
        <v>601</v>
      </c>
      <c r="E51" s="345" t="str">
        <f>'Annuity Calculator'!$H$15&amp;" Annuity"</f>
        <v>Monthly Annuity</v>
      </c>
      <c r="F51" s="345" t="s">
        <v>602</v>
      </c>
      <c r="G51" s="345" t="s">
        <v>603</v>
      </c>
      <c r="H51" s="345" t="str">
        <f>'Annuity Calculator'!$H$15&amp;" Annuity %"</f>
        <v>Monthly Annuity %</v>
      </c>
      <c r="AB51" s="374" t="s">
        <v>2</v>
      </c>
      <c r="AC51" s="325" t="s">
        <v>563</v>
      </c>
      <c r="AD51" s="325" t="s">
        <v>546</v>
      </c>
      <c r="AE51" s="325" t="s">
        <v>562</v>
      </c>
      <c r="AF51" s="325" t="s">
        <v>563</v>
      </c>
      <c r="AG51" s="325" t="s">
        <v>546</v>
      </c>
      <c r="AM51" s="374" t="s">
        <v>2</v>
      </c>
      <c r="AN51" s="325" t="s">
        <v>563</v>
      </c>
      <c r="AO51" s="325" t="s">
        <v>546</v>
      </c>
      <c r="AP51" s="325" t="s">
        <v>562</v>
      </c>
      <c r="AQ51" s="325" t="s">
        <v>563</v>
      </c>
      <c r="AR51" s="325" t="s">
        <v>546</v>
      </c>
    </row>
    <row r="52" spans="3:44" x14ac:dyDescent="0.2">
      <c r="C52" s="337" t="s">
        <v>93</v>
      </c>
      <c r="D52" s="338">
        <f ca="1">IF($F$18="without GST",AC52*AA52,AN52*AL52)</f>
        <v>0</v>
      </c>
      <c r="E52" s="338">
        <f ca="1">IF($F$18="without GST",AD52*AA52,AO52*AL52)</f>
        <v>0</v>
      </c>
      <c r="F52" s="338">
        <f ca="1">IF($F$18="without GST",AE52*AA52,AP52*AL52)</f>
        <v>0</v>
      </c>
      <c r="G52" s="339">
        <f ca="1">IF($F$18="without GST",AF52*AA52,AQ52*AL52)</f>
        <v>0</v>
      </c>
      <c r="H52" s="339">
        <f ca="1">IF($F$18="without GST",AG52*AA52,AR52*AL52)</f>
        <v>0</v>
      </c>
      <c r="AA52" s="335" t="b">
        <f ca="1">AD52&gt;=INDEX('Valid Data-GPG'!$B$64:$E$65,2,MATCH('Annuity Calculator'!$H$15,'Valid Data-GPG'!$B$64:$E$64,0))</f>
        <v>0</v>
      </c>
      <c r="AB52" s="326" t="s">
        <v>93</v>
      </c>
      <c r="AC52" s="327">
        <f ca="1">IFERROR(ROUND(VLOOKUP(Age,INDIRECT('Working-GPG'!$J$11),VLOOKUP($E$18*$E$22,'Working-GPG'!$E$10:$F$12,2,TRUE)+1,FALSE),2)*(IF($F$19="Y",$S$84*(1+'Valid Data-GPG'!$M$149),$S$84))/1000,0)*(AND(Select="Deferred Annuity",PremiumType="Single Premium"))*(AND('Annuity Calculator'!$H$11&gt;44,'Annuity Calculator'!$H$11&lt;85,'Annuity Calculator'!$H$11+'Annuity Calculator'!$K$15&lt;86))</f>
        <v>0</v>
      </c>
      <c r="AD52" s="327">
        <f ca="1">AC52*VLOOKUP($E$22,'Valid Data-GPG'!$B$130:$F$134,MATCH(AnnuityMode,'Valid Data-GPG'!$B$130:$F$130,0),FALSE)</f>
        <v>0</v>
      </c>
      <c r="AE52" s="328">
        <f ca="1">AD52*AnnuityMode</f>
        <v>0</v>
      </c>
      <c r="AF52" s="329">
        <f ca="1">AC52/$E$18</f>
        <v>0</v>
      </c>
      <c r="AG52" s="329">
        <f ca="1">AE52/$E$18</f>
        <v>0</v>
      </c>
      <c r="AL52" s="335" t="b">
        <f ca="1">AO52&gt;=INDEX('Valid Data-GPG'!$B$64:$E$65,2,MATCH('Annuity Calculator'!$H$15,'Valid Data-GPG'!$B$64:$E$64,0))</f>
        <v>0</v>
      </c>
      <c r="AM52" s="326" t="s">
        <v>93</v>
      </c>
      <c r="AN52" s="327">
        <f ca="1">IFERROR(ROUND(VLOOKUP(Age,INDIRECT('Working-GPG'!$J$11),VLOOKUP($E$31*$E$22,'Working-GPG'!$E$10:$F$12,2,TRUE)+1,FALSE),2)*(IF($F$19="Y",$E$31*(1+'Valid Data-GPG'!$M$149),$E$31))/1000,0)*(AND(Select="Deferred Annuity",PremiumType="Single Premium"))*(Channel&lt;&gt;"POS")*(AND('Annuity Calculator'!$H$11&gt;44,'Annuity Calculator'!$H$11&lt;85,'Annuity Calculator'!$H$11+'Annuity Calculator'!$K$15&lt;86))</f>
        <v>0</v>
      </c>
      <c r="AO52" s="327">
        <f ca="1">AN52*VLOOKUP($E$22,'Valid Data-GPG'!$B$130:$F$134,MATCH(AnnuityMode,'Valid Data-GPG'!$B$130:$F$130,0),FALSE)</f>
        <v>0</v>
      </c>
      <c r="AP52" s="328">
        <f ca="1">AO52*AnnuityMode</f>
        <v>0</v>
      </c>
      <c r="AQ52" s="329">
        <f ca="1">AN52/$E$31</f>
        <v>0</v>
      </c>
      <c r="AR52" s="329">
        <f ca="1">AP52/$E$31</f>
        <v>0</v>
      </c>
    </row>
    <row r="53" spans="3:44" x14ac:dyDescent="0.2">
      <c r="C53" s="340" t="s">
        <v>92</v>
      </c>
      <c r="D53" s="338">
        <f t="shared" ref="D53:D56" ca="1" si="12">IF($F$18="without GST",AC53*AA53,AN53*AL53)</f>
        <v>0</v>
      </c>
      <c r="E53" s="338">
        <f t="shared" ref="E53:E56" ca="1" si="13">IF($F$18="without GST",AD53*AA53,AO53*AL53)</f>
        <v>0</v>
      </c>
      <c r="F53" s="338">
        <f t="shared" ref="F53:F56" ca="1" si="14">IF($F$18="without GST",AE53*AA53,AP53*AL53)</f>
        <v>0</v>
      </c>
      <c r="G53" s="339">
        <f t="shared" ref="G53:G56" ca="1" si="15">IF($F$18="without GST",AF53*AA53,AQ53*AL53)</f>
        <v>0</v>
      </c>
      <c r="H53" s="339">
        <f t="shared" ref="H53:H56" ca="1" si="16">IF($F$18="without GST",AG53*AA53,AR53*AL53)</f>
        <v>0</v>
      </c>
      <c r="AA53" s="335" t="b">
        <f ca="1">AD53&gt;=INDEX('Valid Data-GPG'!$B$64:$E$65,2,MATCH('Annuity Calculator'!$H$15,'Valid Data-GPG'!$B$64:$E$64,0))</f>
        <v>0</v>
      </c>
      <c r="AB53" s="330" t="s">
        <v>92</v>
      </c>
      <c r="AC53" s="327">
        <f ca="1">IFERROR(ROUND(VLOOKUP(Age,INDIRECT('Working-GPG'!$J$12),VLOOKUP($E$18*$E$22,'Working-GPG'!$E$10:$F$12,2,TRUE)+1,FALSE),2)*(IF($F$19="Y",$S$84*(1+'Valid Data-GPG'!$M$149),$S$84))/1000,0)*(AND(Select="Deferred Annuity",PremiumType="Single Premium"))*(AND('Annuity Calculator'!$H$11&gt;44,'Annuity Calculator'!$H$11&lt;85,'Annuity Calculator'!$H$11+'Annuity Calculator'!$K$15&lt;86))</f>
        <v>0</v>
      </c>
      <c r="AD53" s="331">
        <f ca="1">'All Options'!AC53*VLOOKUP(AnnuityMode,'Valid Data-SP'!$N$3:$O$6,2,0)</f>
        <v>0</v>
      </c>
      <c r="AE53" s="332">
        <f ca="1">AD53*AnnuityMode</f>
        <v>0</v>
      </c>
      <c r="AF53" s="333">
        <f ca="1">AC53/$E$18</f>
        <v>0</v>
      </c>
      <c r="AG53" s="333">
        <f ca="1">AE53/$E$18</f>
        <v>0</v>
      </c>
      <c r="AL53" s="335" t="b">
        <f ca="1">AO53&gt;=INDEX('Valid Data-GPG'!$B$64:$E$65,2,MATCH('Annuity Calculator'!$H$15,'Valid Data-GPG'!$B$64:$E$64,0))</f>
        <v>0</v>
      </c>
      <c r="AM53" s="330" t="s">
        <v>92</v>
      </c>
      <c r="AN53" s="327">
        <f ca="1">IFERROR(ROUND(VLOOKUP(Age,INDIRECT('Working-GPG'!$J$12),VLOOKUP($E$31*$E$22,'Working-GPG'!$E$10:$F$12,2,TRUE)+1,FALSE),2)*(IF($F$19="Y",$S$85*(1+'Valid Data-GPG'!$M$149),$S$85))/1000,0)*(AND(Select="Deferred Annuity",PremiumType="Single Premium"))*(AND('Annuity Calculator'!$H$11&gt;44,'Annuity Calculator'!$H$11&lt;85,'Annuity Calculator'!$H$11+'Annuity Calculator'!$K$15&lt;86))</f>
        <v>0</v>
      </c>
      <c r="AO53" s="327">
        <f ca="1">'All Options'!AN53*VLOOKUP(AnnuityMode,'Valid Data-SP'!$N$3:$O$6,2,0)</f>
        <v>0</v>
      </c>
      <c r="AP53" s="328">
        <f ca="1">AO53*AnnuityMode</f>
        <v>0</v>
      </c>
      <c r="AQ53" s="329">
        <f ca="1">AN53/$E$31</f>
        <v>0</v>
      </c>
      <c r="AR53" s="329">
        <f ca="1">AP53/$E$31</f>
        <v>0</v>
      </c>
    </row>
    <row r="54" spans="3:44" ht="30" x14ac:dyDescent="0.2">
      <c r="C54" s="343" t="s">
        <v>541</v>
      </c>
      <c r="D54" s="338">
        <f t="shared" ca="1" si="12"/>
        <v>0</v>
      </c>
      <c r="E54" s="338">
        <f t="shared" ca="1" si="13"/>
        <v>0</v>
      </c>
      <c r="F54" s="338">
        <f t="shared" ca="1" si="14"/>
        <v>0</v>
      </c>
      <c r="G54" s="339">
        <f t="shared" ca="1" si="15"/>
        <v>0</v>
      </c>
      <c r="H54" s="339">
        <f t="shared" ca="1" si="16"/>
        <v>0</v>
      </c>
      <c r="AA54" s="335" t="b">
        <f ca="1">AD54&gt;=INDEX('Valid Data-GPG'!$B$64:$E$65,2,MATCH('Annuity Calculator'!$H$15,'Valid Data-GPG'!$B$64:$E$64,0))</f>
        <v>0</v>
      </c>
      <c r="AB54" s="334" t="s">
        <v>541</v>
      </c>
      <c r="AC54" s="327">
        <f ca="1">(IFERROR(ROUND(VLOOKUP(MIN($E$14,$E$21),INDIRECT('Working-GPG'!$J$13),VLOOKUP(ABS($E$14-$E$21),'Working-GPG'!$B$9:$C$35,2,TRUE),FALSE),2)*(IF($F$19="Y",$S$84*(1+'Valid Data-GPG'!$M$149),$S$84))/1000,0)*($E$20="Y")*(AND(Select="Deferred Annuity",PremiumType="Single Premium")))*(Channel&lt;&gt;"POS")*(AND('Annuity Calculator'!$H$11&gt;44,'Annuity Calculator'!$H$11&lt;85,'Annuity Calculator'!$N$11&gt;44,'Annuity Calculator'!$N$11&lt;85,'Annuity Calculator'!$H$11+'Annuity Calculator'!$K$15&lt;86,'Annuity Calculator'!$N$11+'Annuity Calculator'!$K$15&lt;86))</f>
        <v>0</v>
      </c>
      <c r="AD54" s="327">
        <f ca="1">'All Options'!AC54*VLOOKUP(AnnuityMode,'Valid Data-SP'!$N$3:$O$6,2,0)</f>
        <v>0</v>
      </c>
      <c r="AE54" s="328">
        <f ca="1">AD54*AnnuityMode</f>
        <v>0</v>
      </c>
      <c r="AF54" s="329">
        <f ca="1">AC54/$E$18</f>
        <v>0</v>
      </c>
      <c r="AG54" s="329">
        <f ca="1">AE54/$E$18</f>
        <v>0</v>
      </c>
      <c r="AL54" s="335" t="b">
        <f ca="1">AO54&gt;=INDEX('Valid Data-GPG'!$B$64:$E$65,2,MATCH('Annuity Calculator'!$H$15,'Valid Data-GPG'!$B$64:$E$64,0))</f>
        <v>0</v>
      </c>
      <c r="AM54" s="334" t="s">
        <v>541</v>
      </c>
      <c r="AN54" s="327">
        <f ca="1">(IFERROR(ROUND(VLOOKUP(MIN($E$14,$E$21),INDIRECT('Working-GPG'!$J$13),VLOOKUP(ABS($E$14-$E$21),'Working-GPG'!$B$9:$C$35,2,TRUE),FALSE),2)*(IF($F$19="Y",$S$85*(1+'Valid Data-GPG'!$M$149),$S$85))/1000,0)*($E$20="Y")*(AND(Select="Deferred Annuity",PremiumType="Single Premium")))*(Channel&lt;&gt;"POS")*(AND('Annuity Calculator'!$H$11&gt;44,'Annuity Calculator'!$H$11&lt;85,'Annuity Calculator'!$N$11&gt;44,'Annuity Calculator'!$N$11&lt;85,'Annuity Calculator'!$H$11+'Annuity Calculator'!$K$15&lt;86,'Annuity Calculator'!$N$11+'Annuity Calculator'!$K$15&lt;86))</f>
        <v>0</v>
      </c>
      <c r="AO54" s="327">
        <f ca="1">'All Options'!AN54*VLOOKUP(AnnuityMode,'Valid Data-SP'!$N$3:$O$6,2,0)</f>
        <v>0</v>
      </c>
      <c r="AP54" s="328">
        <f ca="1">AO54*AnnuityMode</f>
        <v>0</v>
      </c>
      <c r="AQ54" s="329">
        <f ca="1">AN54/$E$31</f>
        <v>0</v>
      </c>
      <c r="AR54" s="329">
        <f ca="1">AP54/$E$31</f>
        <v>0</v>
      </c>
    </row>
    <row r="55" spans="3:44" x14ac:dyDescent="0.2">
      <c r="C55" s="343" t="s">
        <v>95</v>
      </c>
      <c r="D55" s="338">
        <f t="shared" ca="1" si="12"/>
        <v>0</v>
      </c>
      <c r="E55" s="338">
        <f t="shared" ca="1" si="13"/>
        <v>0</v>
      </c>
      <c r="F55" s="338">
        <f t="shared" ca="1" si="14"/>
        <v>0</v>
      </c>
      <c r="G55" s="339">
        <f t="shared" ca="1" si="15"/>
        <v>0</v>
      </c>
      <c r="H55" s="339">
        <f t="shared" ca="1" si="16"/>
        <v>0</v>
      </c>
      <c r="AA55" s="335" t="b">
        <f ca="1">AD55&gt;=INDEX('Valid Data-GPG'!$B$64:$E$65,2,MATCH('Annuity Calculator'!$H$15,'Valid Data-GPG'!$B$64:$E$64,0))</f>
        <v>0</v>
      </c>
      <c r="AB55" s="334" t="s">
        <v>95</v>
      </c>
      <c r="AC55" s="327">
        <f ca="1">IFERROR(ROUND(VLOOKUP(Age,INDIRECT('Working-GPG'!$J$14),VLOOKUP($S$84,'Working-GPG'!$E$10:$F$12,2,TRUE)+1,FALSE),2)*(IF($F$19="Y",$S$84*(1+'Valid Data-GPG'!$M$149),$S$84))/1000,0)*(AND(Select="Deferred Annuity",PremiumType="Single Premium"))*(Channel&lt;&gt;"POS")*(AND('Annuity Calculator'!$H$11&gt;44,'Annuity Calculator'!$H$11&lt;85,'Annuity Calculator'!$H$11+'Annuity Calculator'!$K$15&lt;86))</f>
        <v>0</v>
      </c>
      <c r="AD55" s="327">
        <f ca="1">AC55*VLOOKUP($E$22,'Valid Data-GPG'!$B$130:$F$134,MATCH(AnnuityMode,'Valid Data-GPG'!$B$130:$F$130,0),FALSE)</f>
        <v>0</v>
      </c>
      <c r="AE55" s="328">
        <f ca="1">AD55*AnnuityMode</f>
        <v>0</v>
      </c>
      <c r="AF55" s="329">
        <f ca="1">AC55/$E$18</f>
        <v>0</v>
      </c>
      <c r="AG55" s="329">
        <f ca="1">AE55/$E$18</f>
        <v>0</v>
      </c>
      <c r="AL55" s="335" t="b">
        <f ca="1">AO55&gt;=INDEX('Valid Data-GPG'!$B$64:$E$65,2,MATCH('Annuity Calculator'!$H$15,'Valid Data-GPG'!$B$64:$E$64,0))</f>
        <v>0</v>
      </c>
      <c r="AM55" s="334" t="s">
        <v>95</v>
      </c>
      <c r="AN55" s="327">
        <f ca="1">IFERROR(ROUND(VLOOKUP(Age,INDIRECT('Working-GPG'!$J$14),VLOOKUP($E$31,'Working-GPG'!$E$10:$F$12,2,TRUE)+1,FALSE),2)*(IF($F$19="Y",$S$85*(1+'Valid Data-GPG'!$M$149),$S$85))/1000,0)*(AND(Select="Deferred Annuity",PremiumType="Single Premium"))*(Channel&lt;&gt;"POS")*(AND('Annuity Calculator'!$H$11&gt;44,'Annuity Calculator'!$H$11&lt;85,'Annuity Calculator'!$H$11+'Annuity Calculator'!$K$15&lt;86))</f>
        <v>0</v>
      </c>
      <c r="AO55" s="327">
        <f ca="1">AN55*VLOOKUP($E$22,'Valid Data-GPG'!$B$130:$F$134,MATCH(AnnuityMode,'Valid Data-GPG'!$B$130:$F$130,0),FALSE)</f>
        <v>0</v>
      </c>
      <c r="AP55" s="328">
        <f ca="1">AO55*AnnuityMode</f>
        <v>0</v>
      </c>
      <c r="AQ55" s="329">
        <f ca="1">AN55/$E$31</f>
        <v>0</v>
      </c>
      <c r="AR55" s="329">
        <f ca="1">AP55/$E$31</f>
        <v>0</v>
      </c>
    </row>
    <row r="56" spans="3:44" ht="30" x14ac:dyDescent="0.2">
      <c r="C56" s="343" t="s">
        <v>97</v>
      </c>
      <c r="D56" s="338">
        <f t="shared" ca="1" si="12"/>
        <v>0</v>
      </c>
      <c r="E56" s="338">
        <f t="shared" ca="1" si="13"/>
        <v>0</v>
      </c>
      <c r="F56" s="338">
        <f t="shared" ca="1" si="14"/>
        <v>0</v>
      </c>
      <c r="G56" s="339">
        <f t="shared" ca="1" si="15"/>
        <v>0</v>
      </c>
      <c r="H56" s="339">
        <f t="shared" ca="1" si="16"/>
        <v>0</v>
      </c>
      <c r="AA56" s="335" t="b">
        <f ca="1">AD56&gt;=INDEX('Valid Data-GPG'!$B$64:$E$65,2,MATCH('Annuity Calculator'!$H$15,'Valid Data-GPG'!$B$64:$E$64,0))</f>
        <v>0</v>
      </c>
      <c r="AB56" s="334" t="s">
        <v>97</v>
      </c>
      <c r="AC56" s="327">
        <f ca="1">IFERROR(ROUND(VLOOKUP(Age,INDIRECT('Working-GPG'!$J$15),VLOOKUP($S$84,'Working-GPG'!$E$10:$F$12,2,TRUE)+1,FALSE),2)*(IF($F$19="Y",$S$84*(1+'Valid Data-GPG'!$M$149),$S$84))/1000,0)*(AND(Select="Deferred Annuity",PremiumType="Single Premium"))*(Channel&lt;&gt;"POS")*(AND('Annuity Calculator'!$H$11&gt;44,'Annuity Calculator'!$H$11&lt;85,'Annuity Calculator'!$H$11+'Annuity Calculator'!$K$15&lt;86))</f>
        <v>0</v>
      </c>
      <c r="AD56" s="327">
        <f ca="1">AC56*VLOOKUP($E$22,'Valid Data-GPG'!$B$130:$F$134,MATCH(AnnuityMode,'Valid Data-GPG'!$B$130:$F$130,0),FALSE)</f>
        <v>0</v>
      </c>
      <c r="AE56" s="328">
        <f ca="1">AD56*AnnuityMode</f>
        <v>0</v>
      </c>
      <c r="AF56" s="329">
        <f ca="1">AC56/$E$18</f>
        <v>0</v>
      </c>
      <c r="AG56" s="329">
        <f ca="1">AE56/$E$18</f>
        <v>0</v>
      </c>
      <c r="AL56" s="335" t="b">
        <f ca="1">AO56&gt;=INDEX('Valid Data-GPG'!$B$64:$E$65,2,MATCH('Annuity Calculator'!$H$15,'Valid Data-GPG'!$B$64:$E$64,0))</f>
        <v>0</v>
      </c>
      <c r="AM56" s="334" t="s">
        <v>97</v>
      </c>
      <c r="AN56" s="327">
        <f ca="1">IFERROR(ROUND(VLOOKUP(Age,INDIRECT('Working-GPG'!$J$15),VLOOKUP($E$31,'Working-GPG'!$E$10:$F$12,2,TRUE)+1,FALSE),2)*(IF($F$19="Y",$S$85*(1+'Valid Data-GPG'!$M$149),$S$85))/1000,0)*(AND(Select="Deferred Annuity",PremiumType="Single Premium"))*(Channel&lt;&gt;"POS")*(AND('Annuity Calculator'!$H$11&gt;44,'Annuity Calculator'!$H$11&lt;85,'Annuity Calculator'!$H$11+'Annuity Calculator'!$K$15&lt;86))</f>
        <v>0</v>
      </c>
      <c r="AO56" s="327">
        <f ca="1">AN56*VLOOKUP($E$22,'Valid Data-GPG'!$B$130:$F$134,MATCH(AnnuityMode,'Valid Data-GPG'!$B$130:$F$130,0),FALSE)</f>
        <v>0</v>
      </c>
      <c r="AP56" s="328">
        <f ca="1">AO56*AnnuityMode</f>
        <v>0</v>
      </c>
      <c r="AQ56" s="329">
        <f ca="1">AN56/$E$31</f>
        <v>0</v>
      </c>
      <c r="AR56" s="329">
        <f ca="1">AP56/$E$31</f>
        <v>0</v>
      </c>
    </row>
    <row r="57" spans="3:44" x14ac:dyDescent="0.2">
      <c r="E57" s="363"/>
      <c r="F57" s="363"/>
      <c r="G57" s="363"/>
      <c r="H57" s="363"/>
    </row>
    <row r="58" spans="3:44" x14ac:dyDescent="0.2">
      <c r="E58" s="363"/>
      <c r="F58" s="363"/>
      <c r="G58" s="363"/>
      <c r="H58" s="363"/>
    </row>
    <row r="59" spans="3:44" ht="21" x14ac:dyDescent="0.2">
      <c r="C59" s="324"/>
      <c r="D59" s="606" t="s">
        <v>573</v>
      </c>
      <c r="E59" s="606"/>
      <c r="F59" s="606"/>
      <c r="G59" s="606"/>
      <c r="H59" s="606"/>
      <c r="AB59" s="604" t="s">
        <v>577</v>
      </c>
      <c r="AC59" s="604"/>
      <c r="AD59" s="604"/>
      <c r="AE59" s="604"/>
      <c r="AF59" s="604"/>
      <c r="AG59" s="605"/>
      <c r="AM59" s="604" t="s">
        <v>579</v>
      </c>
      <c r="AN59" s="604"/>
      <c r="AO59" s="604"/>
      <c r="AP59" s="604"/>
      <c r="AQ59" s="604"/>
      <c r="AR59" s="605"/>
    </row>
    <row r="60" spans="3:44" ht="38.450000000000003" customHeight="1" x14ac:dyDescent="0.2">
      <c r="C60" s="344" t="s">
        <v>604</v>
      </c>
      <c r="D60" s="345" t="s">
        <v>601</v>
      </c>
      <c r="E60" s="345" t="str">
        <f>'Annuity Calculator'!$H$15&amp;" Annuity"</f>
        <v>Monthly Annuity</v>
      </c>
      <c r="F60" s="345" t="s">
        <v>602</v>
      </c>
      <c r="G60" s="345" t="s">
        <v>603</v>
      </c>
      <c r="H60" s="345" t="str">
        <f>'Annuity Calculator'!$H$15&amp;" Annuity %"</f>
        <v>Monthly Annuity %</v>
      </c>
      <c r="AB60" s="374" t="s">
        <v>2</v>
      </c>
      <c r="AC60" s="325" t="s">
        <v>563</v>
      </c>
      <c r="AD60" s="325" t="s">
        <v>546</v>
      </c>
      <c r="AE60" s="325" t="s">
        <v>562</v>
      </c>
      <c r="AF60" s="325" t="s">
        <v>563</v>
      </c>
      <c r="AG60" s="325" t="s">
        <v>546</v>
      </c>
      <c r="AM60" s="374" t="s">
        <v>2</v>
      </c>
      <c r="AN60" s="325" t="s">
        <v>563</v>
      </c>
      <c r="AO60" s="325" t="s">
        <v>546</v>
      </c>
      <c r="AP60" s="325" t="s">
        <v>562</v>
      </c>
      <c r="AQ60" s="325" t="s">
        <v>563</v>
      </c>
      <c r="AR60" s="325" t="s">
        <v>546</v>
      </c>
    </row>
    <row r="61" spans="3:44" x14ac:dyDescent="0.2">
      <c r="C61" s="337" t="s">
        <v>93</v>
      </c>
      <c r="D61" s="338">
        <f ca="1">IF($F$18="without GST",AC61*AA61,AN61*AL61)</f>
        <v>0</v>
      </c>
      <c r="E61" s="338">
        <f ca="1">IF($F$18="without GST",AD61*AA61,AO61*AL61)</f>
        <v>0</v>
      </c>
      <c r="F61" s="338">
        <f ca="1">IF($F$18="without GST",AE61*AA61,AP61*AL61)</f>
        <v>0</v>
      </c>
      <c r="G61" s="339">
        <f ca="1">IF($F$18="without GST",AF61*AA61,AQ61*AL61)</f>
        <v>0</v>
      </c>
      <c r="H61" s="339">
        <f ca="1">IF($F$18="without GST",AG61*AA61,AR61*AL61)</f>
        <v>0</v>
      </c>
      <c r="AA61" s="335" t="b">
        <f ca="1">AD61&gt;=INDEX('Valid Data-GPG'!$B$64:$E$65,2,MATCH('Annuity Calculator'!$H$15,'Valid Data-GPG'!$B$64:$E$64,0))</f>
        <v>0</v>
      </c>
      <c r="AB61" s="326" t="str">
        <f>'Valid Data-GPG'!$B$14</f>
        <v>Life annuity</v>
      </c>
      <c r="AC61" s="327">
        <f ca="1">IFERROR(ROUND(VLOOKUP(Age,INDIRECT('Working-GPG'!$M$11),VLOOKUP($E$18*$E$22,'Working-GPG'!$E$10:$F$12,2,TRUE)+1,FALSE),2)*(IF($F$19="Y",$S$84*(1+'Valid Data-GPG'!$M$149),$S$84))/1000,0)*(AND(Select="Deferred Annuity",PremiumType="Regular Premium"))*(Channel&lt;&gt;"POS")*(AND('Annuity Calculator'!$H$11&gt;44,'Annuity Calculator'!$H$11&lt;85,'Annuity Calculator'!$H$11+'Annuity Calculator'!$K$15&lt;86))</f>
        <v>0</v>
      </c>
      <c r="AD61" s="327">
        <f ca="1">AC61*VLOOKUP($E$22,'Valid Data-GPG'!$B$130:$F$134,MATCH(AnnuityMode,'Valid Data-GPG'!$B$130:$F$130,0),FALSE)</f>
        <v>0</v>
      </c>
      <c r="AE61" s="328">
        <f ca="1">AD61*AnnuityMode</f>
        <v>0</v>
      </c>
      <c r="AF61" s="329">
        <f ca="1">AC61/$S$84</f>
        <v>0</v>
      </c>
      <c r="AG61" s="329">
        <f ca="1">AE61/$S$84</f>
        <v>0</v>
      </c>
      <c r="AL61" s="335" t="b">
        <f ca="1">AO61&gt;=INDEX('Valid Data-GPG'!$B$64:$E$65,2,MATCH('Annuity Calculator'!$H$15,'Valid Data-GPG'!$B$64:$E$64,0))</f>
        <v>0</v>
      </c>
      <c r="AM61" s="326" t="str">
        <f>'Valid Data-GPG'!$B$14</f>
        <v>Life annuity</v>
      </c>
      <c r="AN61" s="327">
        <f ca="1">IFERROR(ROUND(VLOOKUP(Age,INDIRECT('Working-GPG'!$M$11),VLOOKUP($E$31*$E$22,'Working-GPG'!$E$10:$F$12,2,TRUE)+1,FALSE),2)*(IF($F$19="Y",$S$85*(1+'Valid Data-GPG'!$M$149),$E$31))/1000,0)*(AND(Select="Deferred Annuity",PremiumType="Regular Premium"))*(Channel&lt;&gt;"POS")*(AND('Annuity Calculator'!$H$11&gt;44,'Annuity Calculator'!$H$11&lt;85,'Annuity Calculator'!$H$11+'Annuity Calculator'!$K$15&lt;86))</f>
        <v>0</v>
      </c>
      <c r="AO61" s="327">
        <f ca="1">AN61*VLOOKUP($E$22,'Valid Data-GPG'!$B$130:$F$134,MATCH(AnnuityMode,'Valid Data-GPG'!$B$130:$F$130,0),FALSE)</f>
        <v>0</v>
      </c>
      <c r="AP61" s="328">
        <f ca="1">AO61*AnnuityMode</f>
        <v>0</v>
      </c>
      <c r="AQ61" s="329">
        <f ca="1">AN61/$S$85</f>
        <v>0</v>
      </c>
      <c r="AR61" s="329">
        <f ca="1">AP61/$S$84</f>
        <v>0</v>
      </c>
    </row>
    <row r="62" spans="3:44" x14ac:dyDescent="0.2">
      <c r="C62" s="340" t="s">
        <v>92</v>
      </c>
      <c r="D62" s="338">
        <f ca="1">IF($F$18="without GST",AC62*AA62,AN62*AL62)</f>
        <v>0</v>
      </c>
      <c r="E62" s="338">
        <f ca="1">IF($F$18="without GST",AD62*AA62,AO62*AL62)</f>
        <v>0</v>
      </c>
      <c r="F62" s="338">
        <f ca="1">IF($F$18="without GST",AE62*AA62,AP62*AL62)</f>
        <v>0</v>
      </c>
      <c r="G62" s="339">
        <f ca="1">IF($F$18="without GST",AF62*AA62,AQ62*AL62)</f>
        <v>0</v>
      </c>
      <c r="H62" s="339">
        <f ca="1">IF($F$18="without GST",AG62*AA62,AR62*AL62)</f>
        <v>0</v>
      </c>
      <c r="AA62" s="335" t="b">
        <f ca="1">AD62&gt;=INDEX('Valid Data-GPG'!$B$64:$E$65,2,MATCH('Annuity Calculator'!$H$15,'Valid Data-GPG'!$B$64:$E$64,0))</f>
        <v>0</v>
      </c>
      <c r="AB62" s="330" t="str">
        <f>'Valid Data-GPG'!$B$15</f>
        <v>Life annuity with Return of Purchase Price (ROP) on death of annuitant</v>
      </c>
      <c r="AC62" s="327">
        <f ca="1">IFERROR(ROUND(VLOOKUP(Age,INDIRECT('Working-GPG'!$M$12),VLOOKUP($E$18*$E$22,'Working-GPG'!$E$10:$F$12,2,TRUE)+1,FALSE),2)*(IF($F$19="Y",$S$84*(1+'Valid Data-GPG'!$M$149),$S$84))/1000,0)*(AND(Select="Deferred Annuity",PremiumType="Regular Premium"))*(AND('Annuity Calculator'!$H$11&gt;44,'Annuity Calculator'!$H$11&lt;85,'Annuity Calculator'!$H$11+'Annuity Calculator'!$K$15&lt;86))</f>
        <v>0</v>
      </c>
      <c r="AD62" s="328">
        <f ca="1">'All Options'!AC62*VLOOKUP(E22,'Valid Data-GPG'!$B$130:$F$134,MATCH(AnnuityMode,'Valid Data-GPG'!C130:F130,0)+1,FALSE)</f>
        <v>0</v>
      </c>
      <c r="AE62" s="328">
        <f ca="1">AD62*AnnuityMode</f>
        <v>0</v>
      </c>
      <c r="AF62" s="329">
        <f ca="1">AC62/$S$84</f>
        <v>0</v>
      </c>
      <c r="AG62" s="329">
        <f ca="1">AE62/$S$84</f>
        <v>0</v>
      </c>
      <c r="AL62" s="335" t="b">
        <f ca="1">AO62&gt;=INDEX('Valid Data-GPG'!$B$64:$E$65,2,MATCH('Annuity Calculator'!$H$15,'Valid Data-GPG'!$B$64:$E$64,0))</f>
        <v>0</v>
      </c>
      <c r="AM62" s="330" t="str">
        <f>'Valid Data-GPG'!$B$15</f>
        <v>Life annuity with Return of Purchase Price (ROP) on death of annuitant</v>
      </c>
      <c r="AN62" s="327">
        <f ca="1">IFERROR(ROUND(VLOOKUP(Age,INDIRECT('Working-GPG'!$M$12),VLOOKUP($E$31*$E$22,'Working-GPG'!$E$10:$F$12,2,TRUE)+1,FALSE),2)*(IF($F$19="Y",$S$85*(1+'Valid Data-GPG'!$M$149),$S$85))/1000,0)*(AND(Select="Deferred Annuity",PremiumType="Regular Premium"))*(AND('Annuity Calculator'!$H$11&gt;44,'Annuity Calculator'!$H$11&lt;85,'Annuity Calculator'!$H$11+'Annuity Calculator'!$K$15&lt;86))</f>
        <v>0</v>
      </c>
      <c r="AO62" s="328">
        <f ca="1">'All Options'!AN62*VLOOKUP(E22,'Valid Data-GPG'!$B$130:$F$134,MATCH(AnnuityMode,'Valid Data-GPG'!$C$130:$F$130,0)+1,FALSE)</f>
        <v>0</v>
      </c>
      <c r="AP62" s="328">
        <f ca="1">AO62*AnnuityMode</f>
        <v>0</v>
      </c>
      <c r="AQ62" s="329">
        <f ca="1">AN62/$S$85</f>
        <v>0</v>
      </c>
      <c r="AR62" s="329">
        <f ca="1">AP62/$S$84</f>
        <v>0</v>
      </c>
    </row>
    <row r="63" spans="3:44" x14ac:dyDescent="0.2">
      <c r="E63" s="363"/>
      <c r="F63" s="363"/>
      <c r="G63" s="363"/>
      <c r="H63" s="363"/>
    </row>
    <row r="64" spans="3:44" x14ac:dyDescent="0.2">
      <c r="E64" s="363"/>
      <c r="F64" s="363"/>
      <c r="G64" s="363"/>
      <c r="H64" s="363"/>
    </row>
    <row r="65" spans="5:19" x14ac:dyDescent="0.2">
      <c r="E65" s="363"/>
      <c r="F65" s="363"/>
      <c r="G65" s="363"/>
      <c r="H65" s="363"/>
    </row>
    <row r="66" spans="5:19" x14ac:dyDescent="0.2">
      <c r="E66" s="363"/>
      <c r="F66" s="363"/>
      <c r="G66" s="363"/>
      <c r="H66" s="363"/>
    </row>
    <row r="67" spans="5:19" x14ac:dyDescent="0.2">
      <c r="E67" s="363"/>
      <c r="F67" s="363"/>
      <c r="G67" s="363"/>
      <c r="H67" s="363"/>
    </row>
    <row r="68" spans="5:19" x14ac:dyDescent="0.2">
      <c r="E68" s="363"/>
      <c r="F68" s="363"/>
      <c r="G68" s="363"/>
      <c r="H68" s="363"/>
    </row>
    <row r="69" spans="5:19" x14ac:dyDescent="0.2">
      <c r="E69" s="363"/>
      <c r="F69" s="363"/>
      <c r="G69" s="363"/>
      <c r="H69" s="363"/>
      <c r="K69" s="335" t="s">
        <v>367</v>
      </c>
    </row>
    <row r="70" spans="5:19" x14ac:dyDescent="0.2">
      <c r="E70" s="363"/>
      <c r="F70" s="363"/>
      <c r="G70" s="363"/>
      <c r="H70" s="363"/>
      <c r="K70" s="361" t="str">
        <f>IF(AND(Channel="POS",E20="Y"),AB44,IF(Channel="POS",$AB$37,IF(AND(Channel="NPS",E20="N"),AB36,IF(AND(Channel="NPS",E20="Y"),AB42,IF($E$20="N",AB36,AB42)))))</f>
        <v>Joint Life Last Survivor with 50% of annuity to spouse</v>
      </c>
      <c r="N70" s="386"/>
      <c r="O70" s="386"/>
      <c r="P70" s="386"/>
      <c r="Q70" s="387"/>
      <c r="R70" s="387"/>
    </row>
    <row r="71" spans="5:19" ht="45" x14ac:dyDescent="0.2">
      <c r="E71" s="363"/>
      <c r="F71" s="363"/>
      <c r="G71" s="363"/>
      <c r="H71" s="363"/>
      <c r="K71" s="388" t="str">
        <f>IF(AND(Channel="POS",E20="Y"),AB44,IF(Channel="POS",$AB$37,IF(AND(Channel="NPS",E20="N"),AB37,IF(AND(Channel="NPS",E20="Y"),AB43,IF($E$20="N",AB37,AB43)))))</f>
        <v>Joint Life Last Survivor with 100% of annuity to spouse</v>
      </c>
      <c r="L71" s="378"/>
      <c r="M71" s="378"/>
      <c r="N71" s="389"/>
      <c r="O71" s="389"/>
      <c r="P71" s="389"/>
      <c r="Q71" s="390"/>
      <c r="R71" s="378" t="s">
        <v>69</v>
      </c>
      <c r="S71" s="378">
        <v>1</v>
      </c>
    </row>
    <row r="72" spans="5:19" x14ac:dyDescent="0.2">
      <c r="E72" s="363"/>
      <c r="F72" s="363"/>
      <c r="G72" s="363"/>
      <c r="H72" s="363"/>
      <c r="K72" s="361" t="str">
        <f>IF(AND(Channel="POS",E20="Y"),AB44,IF(Channel="POS",$AB$37,IF(AND(Channel="NPS",E20="N"),AB38,IF(AND(Channel="NPS",E20="Y"),AB44,IF($E$20="N",AB38,AB44)))))</f>
        <v>Joint Life Last Survivor with 100% of annuity to spouse &amp; with Return of Purchase Price on death of Last Survivor</v>
      </c>
      <c r="N72" s="386"/>
      <c r="O72" s="386"/>
      <c r="P72" s="386"/>
      <c r="Q72" s="387"/>
      <c r="R72" s="335" t="s">
        <v>72</v>
      </c>
      <c r="S72" s="335">
        <v>2</v>
      </c>
    </row>
    <row r="73" spans="5:19" x14ac:dyDescent="0.2">
      <c r="E73" s="363"/>
      <c r="F73" s="363"/>
      <c r="G73" s="363"/>
      <c r="H73" s="363"/>
      <c r="K73" s="361" t="str">
        <f>IF(AND(Channel="POS",E20="Y"),AB44,IF(Channel="POS",$AB$37,IF(AND(Channel="NPS",E20="N"),AB39,IF(AND(Channel="NPS",E20="Y")," ",IF($E$20="N",AB39," ")))))</f>
        <v xml:space="preserve"> </v>
      </c>
      <c r="N73" s="386"/>
      <c r="O73" s="386"/>
      <c r="P73" s="386"/>
      <c r="Q73" s="387"/>
      <c r="R73" s="335" t="s">
        <v>70</v>
      </c>
      <c r="S73" s="335">
        <v>4</v>
      </c>
    </row>
    <row r="74" spans="5:19" x14ac:dyDescent="0.2">
      <c r="E74" s="363"/>
      <c r="F74" s="363"/>
      <c r="G74" s="363"/>
      <c r="H74" s="363"/>
      <c r="K74" s="391" t="str">
        <f>IF(AND(Channel="POS",E20="Y"),AB44,IF(Channel="POS",$AB$37,IF(AND(Channel="NPS",E20="N"),AB40,IF(AND(Channel="NPS",E20="Y")," ",IF($E$20="N",AB40," ")))))</f>
        <v xml:space="preserve"> </v>
      </c>
      <c r="N74" s="386"/>
      <c r="O74" s="386"/>
      <c r="P74" s="386"/>
      <c r="Q74" s="387"/>
      <c r="R74" s="335" t="s">
        <v>71</v>
      </c>
      <c r="S74" s="335">
        <v>12</v>
      </c>
    </row>
    <row r="75" spans="5:19" x14ac:dyDescent="0.2">
      <c r="E75" s="336"/>
      <c r="F75" s="336"/>
      <c r="G75" s="336"/>
      <c r="H75" s="336"/>
      <c r="I75" s="336"/>
      <c r="K75" s="361" t="str">
        <f>IF(AND(Channel="POS",E20="Y"),AB44,IF(Channel="POS",$AB$37,IF(AND(Channel="NPS",E20="N"),AB41,IF(AND(Channel="NPS",E20="Y")," ",IF($E$20="N",AB41," ")))))</f>
        <v xml:space="preserve"> </v>
      </c>
      <c r="N75" s="386"/>
      <c r="O75" s="386"/>
      <c r="P75" s="386"/>
      <c r="Q75" s="387"/>
      <c r="R75" s="387"/>
    </row>
    <row r="76" spans="5:19" ht="21.75" customHeight="1" x14ac:dyDescent="0.2">
      <c r="K76" s="361" t="str">
        <f>IF(AND(Channel="POS",E20="Y"),AB44,IF(Channel="POS",$AB$37,IF(AND(Channel="NPS",E20="N"),AB45,IF(AND(Channel="NPS",E20="Y")," ",IF($E$20="N",AB45," ")))))</f>
        <v xml:space="preserve"> </v>
      </c>
      <c r="N76" s="386"/>
      <c r="O76" s="386"/>
      <c r="P76" s="386"/>
      <c r="Q76" s="387"/>
      <c r="R76" s="387"/>
    </row>
    <row r="77" spans="5:19" ht="48.75" customHeight="1" x14ac:dyDescent="0.2">
      <c r="K77" s="361" t="str">
        <f>IF(AND(Channel="POS",E20="Y"),AB44,IF(Channel="POS",$AB$37,IF(AND(Channel="NPS",E20="N"),AB46,IF(AND(Channel="NPS",E20="Y")," ",IF($E$20="N",AB46," ")))))</f>
        <v xml:space="preserve"> </v>
      </c>
      <c r="N77" s="386"/>
      <c r="O77" s="386"/>
      <c r="P77" s="386"/>
      <c r="Q77" s="387"/>
      <c r="R77" s="387"/>
    </row>
    <row r="78" spans="5:19" x14ac:dyDescent="0.2">
      <c r="K78" s="358" t="str">
        <f>IF(AND(Channel="POS",E20="Y"),AB44,IF(Channel="POS",$AB$37,IF(AND(LEFT(K70,1)&lt;&gt;"J",Channel="NPS"),AB47,"")))</f>
        <v/>
      </c>
      <c r="L78" s="354"/>
      <c r="M78" s="354"/>
      <c r="N78" s="392"/>
      <c r="O78" s="392"/>
      <c r="P78" s="392"/>
      <c r="Q78" s="384"/>
      <c r="R78" s="384"/>
      <c r="S78" s="354"/>
    </row>
    <row r="83" spans="6:19" x14ac:dyDescent="0.2">
      <c r="K83" s="393" t="s">
        <v>589</v>
      </c>
      <c r="L83" s="326"/>
      <c r="M83" s="326"/>
      <c r="N83" s="326"/>
      <c r="O83" s="326"/>
      <c r="P83" s="326"/>
      <c r="S83" s="335" t="str">
        <f>VLOOKUP(E17,'Valid Data-GPG'!$A$92:$B$95,2,0)</f>
        <v>Monthly</v>
      </c>
    </row>
    <row r="84" spans="6:19" x14ac:dyDescent="0.2">
      <c r="K84" s="393"/>
      <c r="L84" s="326"/>
      <c r="M84" s="326"/>
      <c r="N84" s="326"/>
      <c r="O84" s="326"/>
      <c r="P84" s="326"/>
      <c r="R84" s="335" t="s">
        <v>595</v>
      </c>
      <c r="S84" s="394">
        <f>IF(PremiumType="Regular Premium",E18*PPT*E22,E18)</f>
        <v>5000000</v>
      </c>
    </row>
    <row r="85" spans="6:19" x14ac:dyDescent="0.2">
      <c r="K85" s="393" t="s">
        <v>83</v>
      </c>
      <c r="L85" s="326" t="s">
        <v>588</v>
      </c>
      <c r="M85" s="326" t="s">
        <v>590</v>
      </c>
      <c r="N85" s="326"/>
      <c r="O85" s="326"/>
      <c r="P85" s="326"/>
      <c r="R85" s="335" t="s">
        <v>596</v>
      </c>
      <c r="S85" s="395">
        <f>IF(PremiumType="Regular Premium",E31*PPT*E22,E31)</f>
        <v>4911591.3555992143</v>
      </c>
    </row>
    <row r="86" spans="6:19" s="354" customFormat="1" x14ac:dyDescent="0.2">
      <c r="K86" s="393" t="s">
        <v>82</v>
      </c>
      <c r="L86" s="326" t="s">
        <v>588</v>
      </c>
      <c r="M86" s="326" t="s">
        <v>591</v>
      </c>
      <c r="N86" s="326"/>
      <c r="O86" s="326"/>
      <c r="P86" s="326"/>
      <c r="Q86" s="335"/>
      <c r="R86" s="335"/>
      <c r="S86" s="335"/>
    </row>
    <row r="87" spans="6:19" s="354" customFormat="1" ht="48.75" customHeight="1" x14ac:dyDescent="0.2">
      <c r="K87" s="393" t="s">
        <v>82</v>
      </c>
      <c r="L87" s="326" t="s">
        <v>90</v>
      </c>
      <c r="M87" s="326" t="s">
        <v>592</v>
      </c>
      <c r="N87" s="326"/>
      <c r="O87" s="326"/>
      <c r="P87" s="326"/>
      <c r="Q87" s="335"/>
      <c r="R87" s="335"/>
      <c r="S87" s="335"/>
    </row>
    <row r="88" spans="6:19" s="354" customFormat="1" x14ac:dyDescent="0.2">
      <c r="K88" s="393"/>
      <c r="L88" s="326"/>
      <c r="M88" s="326"/>
      <c r="N88" s="326"/>
      <c r="O88" s="326"/>
      <c r="P88" s="326"/>
      <c r="Q88" s="335"/>
      <c r="R88" s="335"/>
      <c r="S88" s="335"/>
    </row>
    <row r="89" spans="6:19" s="354" customFormat="1" ht="31.5" customHeight="1" x14ac:dyDescent="0.2">
      <c r="K89" s="393"/>
      <c r="L89" s="326"/>
      <c r="M89" s="391" t="str">
        <f>IF(AND('Annuity Calculator'!$D$13=$K$85,'Annuity Calculator'!$D$15=$L$85),$M$85,IF(AND('Annuity Calculator'!$D$13=$K$86,'Annuity Calculator'!D15=$L$86),$M$86,$M$87))</f>
        <v>Imm_Ann_Table</v>
      </c>
      <c r="N89" s="396">
        <f ca="1">IFERROR(VLOOKUP(AnnuityOption,INDIRECT($M$89),2,FALSE),0)</f>
        <v>355285.8546168959</v>
      </c>
      <c r="O89" s="326">
        <f ca="1">IFERROR(VLOOKUP(AnnuityOption,INDIRECT($M$89),3,FALSE),0)</f>
        <v>28600.511296660119</v>
      </c>
      <c r="P89" s="396">
        <f ca="1">IFERROR(VLOOKUP(AnnuityOption,INDIRECT($M$89),4,FALSE),0)</f>
        <v>343206.13555992144</v>
      </c>
      <c r="Q89" s="335"/>
      <c r="R89" s="335"/>
      <c r="S89" s="335"/>
    </row>
    <row r="90" spans="6:19" x14ac:dyDescent="0.2">
      <c r="F90" s="336"/>
      <c r="G90" s="336"/>
      <c r="H90" s="336"/>
      <c r="I90" s="336"/>
      <c r="K90" s="393"/>
      <c r="L90" s="326"/>
      <c r="M90" s="326"/>
      <c r="N90" s="397">
        <f ca="1">IFERROR(VLOOKUP(AnnuityOption,INDIRECT($M$89),5,FALSE),0)</f>
        <v>7.2336200000000003E-2</v>
      </c>
      <c r="P90" s="397">
        <f ca="1">IFERROR(VLOOKUP(AnnuityOption,INDIRECT($M$89),6,FALSE),0)</f>
        <v>6.9876769200000008E-2</v>
      </c>
    </row>
    <row r="91" spans="6:19" x14ac:dyDescent="0.2">
      <c r="K91" s="355"/>
      <c r="R91" s="335">
        <f>85-32</f>
        <v>53</v>
      </c>
    </row>
    <row r="92" spans="6:19" x14ac:dyDescent="0.2">
      <c r="K92" s="355"/>
    </row>
    <row r="93" spans="6:19" x14ac:dyDescent="0.2">
      <c r="K93" s="393" t="s">
        <v>595</v>
      </c>
      <c r="L93" s="326"/>
      <c r="M93" s="326"/>
      <c r="N93" s="393" t="s">
        <v>596</v>
      </c>
      <c r="O93" s="326"/>
    </row>
    <row r="94" spans="6:19" x14ac:dyDescent="0.2">
      <c r="K94" s="393"/>
      <c r="L94" s="326"/>
      <c r="M94" s="326"/>
      <c r="N94" s="326"/>
      <c r="O94" s="326"/>
    </row>
    <row r="95" spans="6:19" ht="30.75" customHeight="1" x14ac:dyDescent="0.2">
      <c r="K95" s="326" t="str">
        <f>IF(PremiumType="Single Premium","Purchase Price","Annualized Premium")</f>
        <v>Purchase Price</v>
      </c>
      <c r="L95" s="323">
        <f>IF(PremiumType="Single Premium",E18,E18*E22)</f>
        <v>5000000</v>
      </c>
      <c r="M95" s="326"/>
      <c r="N95" s="326" t="str">
        <f>IF(PremiumType="Single Premium","PP","AP")&amp;" + GST"</f>
        <v>PP + GST</v>
      </c>
      <c r="O95" s="323">
        <f>IF(Premium_Type="Single Premium",E18,E18*VLOOKUP('Annuity Calculator'!$K$13,'Valid Data-GPG'!$B$92:$D$95,3,FALSE))</f>
        <v>5000000</v>
      </c>
    </row>
    <row r="96" spans="6:19" x14ac:dyDescent="0.2">
      <c r="K96" s="326" t="str">
        <f>IF(PremiumType="Single Premium","GST","GST for 1st year")</f>
        <v>GST</v>
      </c>
      <c r="L96" s="398">
        <f>IF(PremiumType="Single Premium",L95*1.8%,L95*4.5%)</f>
        <v>90000.000000000015</v>
      </c>
      <c r="M96" s="326"/>
      <c r="N96" s="326" t="str">
        <f>IF(PremiumType="Single Premium","GST","GST for 1st year")</f>
        <v>GST</v>
      </c>
      <c r="O96" s="414">
        <f>O95-O97</f>
        <v>88408.644400785677</v>
      </c>
    </row>
    <row r="97" spans="4:15" x14ac:dyDescent="0.2">
      <c r="K97" s="326" t="str">
        <f>IF(PremiumType="Single Premium","PP","AP")&amp;" + GST"</f>
        <v>PP + GST</v>
      </c>
      <c r="L97" s="398">
        <f>L96+L95</f>
        <v>5090000</v>
      </c>
      <c r="M97" s="326"/>
      <c r="N97" s="326" t="s">
        <v>597</v>
      </c>
      <c r="O97" s="414">
        <f>IF(PremiumType="Single Premium",O95/1.018,O95/1.045)</f>
        <v>4911591.3555992143</v>
      </c>
    </row>
    <row r="98" spans="4:15" x14ac:dyDescent="0.2">
      <c r="I98" s="400"/>
      <c r="J98" s="400"/>
      <c r="K98" s="400" t="s">
        <v>616</v>
      </c>
      <c r="L98" s="400">
        <f>IF(Premium_Type="Single Premium",0,'All Options'!L95*2.25%)</f>
        <v>0</v>
      </c>
      <c r="M98" s="400"/>
      <c r="N98" s="400" t="s">
        <v>616</v>
      </c>
      <c r="O98" s="424">
        <f>IF(Premium_Type="Single Premium",0,'All Options'!O97*2.25%)</f>
        <v>0</v>
      </c>
    </row>
    <row r="99" spans="4:15" x14ac:dyDescent="0.2">
      <c r="I99" s="400"/>
      <c r="J99" s="400"/>
      <c r="K99" s="400"/>
      <c r="L99" s="400"/>
      <c r="M99" s="400"/>
      <c r="N99" s="400"/>
      <c r="O99" s="400"/>
    </row>
    <row r="100" spans="4:15" x14ac:dyDescent="0.2">
      <c r="I100" s="400"/>
      <c r="J100" s="400"/>
      <c r="K100" s="400"/>
      <c r="L100" s="400"/>
      <c r="M100" s="400"/>
      <c r="N100" s="400"/>
      <c r="O100" s="400"/>
    </row>
    <row r="101" spans="4:15" x14ac:dyDescent="0.2">
      <c r="I101" s="400"/>
      <c r="J101" s="400"/>
      <c r="K101" s="400"/>
      <c r="L101" s="400"/>
      <c r="M101" s="400"/>
      <c r="N101" s="400"/>
      <c r="O101" s="400"/>
    </row>
    <row r="102" spans="4:15" x14ac:dyDescent="0.2">
      <c r="I102" s="400"/>
      <c r="J102" s="400"/>
      <c r="K102" s="400"/>
      <c r="L102" s="400"/>
      <c r="M102" s="400"/>
      <c r="N102" s="400"/>
      <c r="O102" s="400"/>
    </row>
    <row r="103" spans="4:15" x14ac:dyDescent="0.2">
      <c r="I103" s="400"/>
      <c r="J103" s="400"/>
      <c r="K103" s="400"/>
      <c r="L103" s="400"/>
      <c r="M103" s="400"/>
      <c r="N103" s="400"/>
      <c r="O103" s="400"/>
    </row>
    <row r="104" spans="4:15" x14ac:dyDescent="0.2">
      <c r="I104" s="400"/>
      <c r="J104" s="400"/>
      <c r="K104" s="400"/>
      <c r="L104" s="400"/>
      <c r="M104" s="400"/>
      <c r="N104" s="400"/>
      <c r="O104" s="400"/>
    </row>
    <row r="105" spans="4:15" x14ac:dyDescent="0.2">
      <c r="L105" s="400"/>
      <c r="M105" s="400"/>
      <c r="N105" s="400"/>
      <c r="O105" s="400"/>
    </row>
    <row r="106" spans="4:15" x14ac:dyDescent="0.2">
      <c r="D106" s="400"/>
      <c r="F106" s="400"/>
      <c r="G106" s="400"/>
      <c r="H106" s="400"/>
      <c r="L106" s="400"/>
      <c r="M106" s="400"/>
      <c r="N106" s="400"/>
      <c r="O106" s="400"/>
    </row>
    <row r="107" spans="4:15" x14ac:dyDescent="0.2">
      <c r="D107" s="400"/>
      <c r="F107" s="400"/>
      <c r="G107" s="400"/>
      <c r="H107" s="400"/>
      <c r="L107" s="400"/>
      <c r="M107" s="400"/>
      <c r="N107" s="400"/>
      <c r="O107" s="400"/>
    </row>
    <row r="108" spans="4:15" x14ac:dyDescent="0.2">
      <c r="D108" s="400"/>
      <c r="F108" s="400"/>
      <c r="G108" s="400"/>
      <c r="H108" s="400"/>
      <c r="L108" s="400"/>
      <c r="M108" s="400"/>
      <c r="N108" s="400"/>
      <c r="O108" s="400"/>
    </row>
    <row r="109" spans="4:15" x14ac:dyDescent="0.2">
      <c r="M109" s="400"/>
      <c r="N109" s="400"/>
      <c r="O109" s="400"/>
    </row>
    <row r="110" spans="4:15" x14ac:dyDescent="0.2">
      <c r="M110" s="400"/>
      <c r="N110" s="400"/>
      <c r="O110" s="400"/>
    </row>
  </sheetData>
  <dataConsolidate/>
  <mergeCells count="37">
    <mergeCell ref="AM34:AR34"/>
    <mergeCell ref="AB59:AG59"/>
    <mergeCell ref="AM50:AR50"/>
    <mergeCell ref="AM59:AR59"/>
    <mergeCell ref="E22:F22"/>
    <mergeCell ref="D50:H50"/>
    <mergeCell ref="D59:H59"/>
    <mergeCell ref="AB50:AG50"/>
    <mergeCell ref="C26:D26"/>
    <mergeCell ref="C27:D27"/>
    <mergeCell ref="C30:D30"/>
    <mergeCell ref="D34:H34"/>
    <mergeCell ref="AB34:AG34"/>
    <mergeCell ref="I30:J30"/>
    <mergeCell ref="C29:D29"/>
    <mergeCell ref="C25:D25"/>
    <mergeCell ref="C22:D22"/>
    <mergeCell ref="C21:D21"/>
    <mergeCell ref="C18:D18"/>
    <mergeCell ref="C17:D17"/>
    <mergeCell ref="C5:D5"/>
    <mergeCell ref="C14:D14"/>
    <mergeCell ref="C7:D7"/>
    <mergeCell ref="C8:D8"/>
    <mergeCell ref="C9:D9"/>
    <mergeCell ref="C10:D10"/>
    <mergeCell ref="C11:D11"/>
    <mergeCell ref="C6:D6"/>
    <mergeCell ref="C12:D12"/>
    <mergeCell ref="C3:H3"/>
    <mergeCell ref="E8:F8"/>
    <mergeCell ref="E14:F14"/>
    <mergeCell ref="E16:F16"/>
    <mergeCell ref="E21:F21"/>
    <mergeCell ref="C19:D19"/>
    <mergeCell ref="C20:D20"/>
    <mergeCell ref="C15:D15"/>
  </mergeCells>
  <phoneticPr fontId="0" type="noConversion"/>
  <conditionalFormatting sqref="E11:E12">
    <cfRule type="expression" dxfId="14" priority="98">
      <formula>OR(AND($E$11="Single Premium",$E$12&lt;&gt;1),AND($E$9="Immediate Annuity",$E$11="Regular Premium"))</formula>
    </cfRule>
  </conditionalFormatting>
  <conditionalFormatting sqref="C10:E10">
    <cfRule type="expression" dxfId="13" priority="92">
      <formula>AND($E$9="Immediate Annuity",$E$7="NPS")</formula>
    </cfRule>
  </conditionalFormatting>
  <conditionalFormatting sqref="C7:E7">
    <cfRule type="expression" dxfId="12" priority="8">
      <formula>$E$6="Group"</formula>
    </cfRule>
  </conditionalFormatting>
  <conditionalFormatting sqref="I30:K30">
    <cfRule type="expression" dxfId="11" priority="5">
      <formula>$E$11&lt;&gt;"Regular Premium"</formula>
    </cfRule>
  </conditionalFormatting>
  <conditionalFormatting sqref="C22:F22">
    <cfRule type="expression" dxfId="10" priority="4">
      <formula>$E$11="Single Premium"</formula>
    </cfRule>
  </conditionalFormatting>
  <dataValidations disablePrompts="1" xWindow="790" yWindow="396" count="1">
    <dataValidation type="list" allowBlank="1" showInputMessage="1" showErrorMessage="1" sqref="E5">
      <formula1>"Y,N"</formula1>
    </dataValidation>
  </dataValidations>
  <pageMargins left="1.6929133858267718" right="0.59055118110236227" top="0.35433070866141736" bottom="0.39370078740157483" header="0.23622047244094491" footer="0.27559055118110237"/>
  <pageSetup paperSize="9" scale="52" orientation="landscape" r:id="rId1"/>
  <headerFooter alignWithMargins="0">
    <oddFooter>&amp;L&amp;"Book Antiqua,Regular"&amp;12Bajaj Allianz Life Insurance co. Ltd&amp;C&amp;"Book Antiqua,Regular"&amp;12Bajaj Allianz Life Pension Guarantee&amp;R&amp;"Book Antiqua,Regular"&amp;12Page 1 of 2</oddFooter>
  </headerFooter>
  <ignoredErrors>
    <ignoredError sqref="E18" unlockedFormula="1"/>
  </ignoredErrors>
  <legacyDrawing r:id="rId2"/>
  <extLst>
    <ext xmlns:x14="http://schemas.microsoft.com/office/spreadsheetml/2009/9/main" uri="{CCE6A557-97BC-4b89-ADB6-D9C93CAAB3DF}">
      <x14:dataValidations xmlns:xm="http://schemas.microsoft.com/office/excel/2006/main" disablePrompts="1" xWindow="790" yWindow="396" count="1">
        <x14:dataValidation type="whole" allowBlank="1" showInputMessage="1" showErrorMessage="1">
          <x14:formula1>
            <xm:f>'Valid Data-GPG'!B7</xm:f>
          </x14:formula1>
          <x14:formula2>
            <xm:f>'Valid Data-GPG'!C7</xm:f>
          </x14:formula2>
          <xm:sqref>E14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sheetPr>
  <dimension ref="B1:BE897"/>
  <sheetViews>
    <sheetView zoomScale="71" zoomScaleNormal="50" workbookViewId="0">
      <selection sqref="A1:XFD1048576"/>
    </sheetView>
  </sheetViews>
  <sheetFormatPr defaultColWidth="9.140625" defaultRowHeight="19.5" x14ac:dyDescent="0.25"/>
  <cols>
    <col min="1" max="1" width="2.140625" style="443" customWidth="1"/>
    <col min="2" max="2" width="49.42578125" style="442" bestFit="1" customWidth="1"/>
    <col min="3" max="57" width="12.85546875" style="442" customWidth="1"/>
    <col min="58" max="16384" width="9.140625" style="443"/>
  </cols>
  <sheetData>
    <row r="1" spans="2:57" x14ac:dyDescent="0.25">
      <c r="B1" s="442" t="s">
        <v>181</v>
      </c>
    </row>
    <row r="3" spans="2:57" ht="42.75" customHeight="1" x14ac:dyDescent="0.25">
      <c r="B3" s="444"/>
      <c r="C3" s="526" t="s">
        <v>224</v>
      </c>
      <c r="D3" s="527"/>
      <c r="E3" s="527"/>
      <c r="F3" s="527"/>
      <c r="G3" s="527"/>
      <c r="H3" s="527"/>
      <c r="I3" s="527"/>
      <c r="J3" s="527"/>
      <c r="K3" s="527"/>
      <c r="L3" s="527"/>
      <c r="M3" s="527"/>
      <c r="N3" s="527"/>
      <c r="O3" s="527"/>
      <c r="P3" s="527"/>
      <c r="Q3" s="527"/>
      <c r="R3" s="527"/>
      <c r="S3" s="527"/>
      <c r="V3" s="526" t="s">
        <v>224</v>
      </c>
      <c r="W3" s="527"/>
      <c r="X3" s="527"/>
      <c r="Y3" s="527"/>
      <c r="Z3" s="527"/>
      <c r="AA3" s="527"/>
      <c r="AB3" s="527"/>
      <c r="AC3" s="527"/>
      <c r="AD3" s="527"/>
      <c r="AE3" s="527"/>
      <c r="AF3" s="527"/>
      <c r="AG3" s="527"/>
      <c r="AH3" s="527"/>
      <c r="AI3" s="527"/>
      <c r="AJ3" s="527"/>
      <c r="AK3" s="527"/>
      <c r="AL3" s="527"/>
      <c r="AO3" s="526" t="s">
        <v>224</v>
      </c>
      <c r="AP3" s="527"/>
      <c r="AQ3" s="527"/>
      <c r="AR3" s="527"/>
      <c r="AS3" s="527"/>
      <c r="AT3" s="527"/>
      <c r="AU3" s="527"/>
      <c r="AV3" s="527"/>
      <c r="AW3" s="527"/>
      <c r="AX3" s="527"/>
      <c r="AY3" s="527"/>
      <c r="AZ3" s="527"/>
      <c r="BA3" s="527"/>
      <c r="BB3" s="527"/>
      <c r="BC3" s="527"/>
      <c r="BD3" s="527"/>
      <c r="BE3" s="527"/>
    </row>
    <row r="4" spans="2:57" ht="17.25" customHeight="1" x14ac:dyDescent="0.25">
      <c r="B4" s="444"/>
      <c r="V4" s="444"/>
      <c r="AO4" s="444"/>
    </row>
    <row r="5" spans="2:57" x14ac:dyDescent="0.25">
      <c r="C5" s="528" t="s">
        <v>173</v>
      </c>
      <c r="D5" s="528"/>
      <c r="E5" s="528"/>
      <c r="F5" s="528"/>
      <c r="G5" s="528"/>
      <c r="H5" s="528"/>
      <c r="I5" s="528"/>
      <c r="J5" s="528"/>
      <c r="K5" s="528"/>
      <c r="L5" s="528"/>
      <c r="M5" s="528"/>
      <c r="N5" s="528"/>
      <c r="O5" s="528"/>
      <c r="P5" s="528"/>
      <c r="Q5" s="528"/>
      <c r="R5" s="528"/>
      <c r="S5" s="528"/>
      <c r="V5" s="528" t="s">
        <v>165</v>
      </c>
      <c r="W5" s="528"/>
      <c r="X5" s="528"/>
      <c r="Y5" s="528"/>
      <c r="Z5" s="528"/>
      <c r="AA5" s="528"/>
      <c r="AB5" s="528"/>
      <c r="AC5" s="528"/>
      <c r="AD5" s="528"/>
      <c r="AE5" s="528"/>
      <c r="AF5" s="528"/>
      <c r="AG5" s="528"/>
      <c r="AH5" s="528"/>
      <c r="AI5" s="528"/>
      <c r="AJ5" s="528"/>
      <c r="AK5" s="528"/>
      <c r="AL5" s="528"/>
      <c r="AO5" s="528" t="s">
        <v>166</v>
      </c>
      <c r="AP5" s="528"/>
      <c r="AQ5" s="528"/>
      <c r="AR5" s="528"/>
      <c r="AS5" s="528"/>
      <c r="AT5" s="528"/>
      <c r="AU5" s="528"/>
      <c r="AV5" s="528"/>
      <c r="AW5" s="528"/>
      <c r="AX5" s="528"/>
      <c r="AY5" s="528"/>
      <c r="AZ5" s="528"/>
      <c r="BA5" s="528"/>
      <c r="BB5" s="528"/>
      <c r="BC5" s="528"/>
      <c r="BD5" s="528"/>
      <c r="BE5" s="528"/>
    </row>
    <row r="6" spans="2:57" s="449" customFormat="1" ht="195" x14ac:dyDescent="0.25">
      <c r="B6" s="445" t="s">
        <v>14</v>
      </c>
      <c r="C6" s="446">
        <v>0</v>
      </c>
      <c r="D6" s="447">
        <v>1</v>
      </c>
      <c r="E6" s="447">
        <v>2</v>
      </c>
      <c r="F6" s="447">
        <v>3</v>
      </c>
      <c r="G6" s="447">
        <v>4</v>
      </c>
      <c r="H6" s="447">
        <v>5</v>
      </c>
      <c r="I6" s="447">
        <v>6</v>
      </c>
      <c r="J6" s="447">
        <v>7</v>
      </c>
      <c r="K6" s="447">
        <v>8</v>
      </c>
      <c r="L6" s="447">
        <v>9</v>
      </c>
      <c r="M6" s="447">
        <v>10</v>
      </c>
      <c r="N6" s="448" t="s">
        <v>15</v>
      </c>
      <c r="O6" s="447" t="s">
        <v>16</v>
      </c>
      <c r="P6" s="447" t="s">
        <v>17</v>
      </c>
      <c r="Q6" s="447" t="s">
        <v>18</v>
      </c>
      <c r="R6" s="447" t="s">
        <v>19</v>
      </c>
      <c r="S6" s="447" t="s">
        <v>20</v>
      </c>
      <c r="U6" s="445" t="s">
        <v>14</v>
      </c>
      <c r="V6" s="446">
        <v>0</v>
      </c>
      <c r="W6" s="447">
        <v>1</v>
      </c>
      <c r="X6" s="447">
        <v>2</v>
      </c>
      <c r="Y6" s="447"/>
      <c r="Z6" s="447">
        <v>4</v>
      </c>
      <c r="AA6" s="447">
        <v>5</v>
      </c>
      <c r="AB6" s="447">
        <v>6</v>
      </c>
      <c r="AC6" s="447">
        <v>7</v>
      </c>
      <c r="AD6" s="447">
        <v>8</v>
      </c>
      <c r="AE6" s="447">
        <v>9</v>
      </c>
      <c r="AF6" s="447">
        <v>10</v>
      </c>
      <c r="AG6" s="448" t="s">
        <v>15</v>
      </c>
      <c r="AH6" s="447" t="s">
        <v>16</v>
      </c>
      <c r="AI6" s="447" t="s">
        <v>17</v>
      </c>
      <c r="AJ6" s="447" t="s">
        <v>18</v>
      </c>
      <c r="AK6" s="447" t="s">
        <v>19</v>
      </c>
      <c r="AL6" s="447" t="s">
        <v>20</v>
      </c>
      <c r="AN6" s="445" t="s">
        <v>14</v>
      </c>
      <c r="AO6" s="446">
        <v>0</v>
      </c>
      <c r="AP6" s="447">
        <v>1</v>
      </c>
      <c r="AQ6" s="447">
        <v>2</v>
      </c>
      <c r="AR6" s="447">
        <v>3</v>
      </c>
      <c r="AS6" s="447">
        <v>4</v>
      </c>
      <c r="AT6" s="447">
        <v>5</v>
      </c>
      <c r="AU6" s="447">
        <v>6</v>
      </c>
      <c r="AV6" s="447">
        <v>7</v>
      </c>
      <c r="AW6" s="447">
        <v>8</v>
      </c>
      <c r="AX6" s="447">
        <v>9</v>
      </c>
      <c r="AY6" s="447">
        <v>10</v>
      </c>
      <c r="AZ6" s="448" t="s">
        <v>15</v>
      </c>
      <c r="BA6" s="447" t="s">
        <v>16</v>
      </c>
      <c r="BB6" s="447" t="s">
        <v>17</v>
      </c>
      <c r="BC6" s="447" t="s">
        <v>18</v>
      </c>
      <c r="BD6" s="447" t="s">
        <v>19</v>
      </c>
      <c r="BE6" s="447" t="s">
        <v>225</v>
      </c>
    </row>
    <row r="7" spans="2:57" x14ac:dyDescent="0.25">
      <c r="B7" s="134">
        <v>18</v>
      </c>
      <c r="C7" s="450">
        <v>61.83</v>
      </c>
      <c r="D7" s="450">
        <v>61.84</v>
      </c>
      <c r="E7" s="450">
        <v>61.85</v>
      </c>
      <c r="F7" s="450">
        <v>61.87</v>
      </c>
      <c r="G7" s="450">
        <v>61.88</v>
      </c>
      <c r="H7" s="450">
        <v>61.9</v>
      </c>
      <c r="I7" s="450">
        <v>61.91</v>
      </c>
      <c r="J7" s="450">
        <v>61.93</v>
      </c>
      <c r="K7" s="450">
        <v>61.94</v>
      </c>
      <c r="L7" s="450">
        <v>61.95</v>
      </c>
      <c r="M7" s="450">
        <v>61.97</v>
      </c>
      <c r="N7" s="450">
        <v>61.98</v>
      </c>
      <c r="O7" s="450">
        <v>62.04</v>
      </c>
      <c r="P7" s="450">
        <v>62.09</v>
      </c>
      <c r="Q7" s="450">
        <v>62.13</v>
      </c>
      <c r="R7" s="450">
        <v>62.17</v>
      </c>
      <c r="S7" s="450">
        <v>62.19</v>
      </c>
      <c r="T7" s="133"/>
      <c r="U7" s="134">
        <v>18</v>
      </c>
      <c r="V7" s="450">
        <v>62.1</v>
      </c>
      <c r="W7" s="450">
        <v>62.11</v>
      </c>
      <c r="X7" s="450">
        <v>62.13</v>
      </c>
      <c r="Y7" s="450">
        <v>62.14</v>
      </c>
      <c r="Z7" s="450">
        <v>62.15</v>
      </c>
      <c r="AA7" s="450">
        <v>62.17</v>
      </c>
      <c r="AB7" s="450">
        <v>62.18</v>
      </c>
      <c r="AC7" s="450">
        <v>62.2</v>
      </c>
      <c r="AD7" s="450">
        <v>62.21</v>
      </c>
      <c r="AE7" s="450">
        <v>62.23</v>
      </c>
      <c r="AF7" s="450">
        <v>62.24</v>
      </c>
      <c r="AG7" s="450">
        <v>62.25</v>
      </c>
      <c r="AH7" s="450">
        <v>62.31</v>
      </c>
      <c r="AI7" s="450">
        <v>62.37</v>
      </c>
      <c r="AJ7" s="450">
        <v>62.41</v>
      </c>
      <c r="AK7" s="450">
        <v>62.44</v>
      </c>
      <c r="AL7" s="450">
        <v>62.46</v>
      </c>
      <c r="AM7" s="133"/>
      <c r="AN7" s="134">
        <v>18</v>
      </c>
      <c r="AO7" s="450">
        <v>62.61</v>
      </c>
      <c r="AP7" s="450">
        <v>62.63</v>
      </c>
      <c r="AQ7" s="450">
        <v>62.64</v>
      </c>
      <c r="AR7" s="450">
        <v>62.66</v>
      </c>
      <c r="AS7" s="450">
        <v>62.67</v>
      </c>
      <c r="AT7" s="450">
        <v>62.69</v>
      </c>
      <c r="AU7" s="450">
        <v>62.7</v>
      </c>
      <c r="AV7" s="450">
        <v>62.72</v>
      </c>
      <c r="AW7" s="450">
        <v>62.73</v>
      </c>
      <c r="AX7" s="450">
        <v>62.75</v>
      </c>
      <c r="AY7" s="450">
        <v>62.76</v>
      </c>
      <c r="AZ7" s="450">
        <v>62.77</v>
      </c>
      <c r="BA7" s="450">
        <v>62.84</v>
      </c>
      <c r="BB7" s="450">
        <v>62.89</v>
      </c>
      <c r="BC7" s="450">
        <v>62.93</v>
      </c>
      <c r="BD7" s="450">
        <v>62.97</v>
      </c>
      <c r="BE7" s="450">
        <v>62.99</v>
      </c>
    </row>
    <row r="8" spans="2:57" x14ac:dyDescent="0.25">
      <c r="B8" s="134">
        <v>19</v>
      </c>
      <c r="C8" s="450">
        <v>61.86</v>
      </c>
      <c r="D8" s="450">
        <v>61.87</v>
      </c>
      <c r="E8" s="450">
        <v>61.89</v>
      </c>
      <c r="F8" s="450">
        <v>61.9</v>
      </c>
      <c r="G8" s="450">
        <v>61.92</v>
      </c>
      <c r="H8" s="450">
        <v>61.93</v>
      </c>
      <c r="I8" s="450">
        <v>61.95</v>
      </c>
      <c r="J8" s="450">
        <v>61.96</v>
      </c>
      <c r="K8" s="450">
        <v>61.98</v>
      </c>
      <c r="L8" s="450">
        <v>61.99</v>
      </c>
      <c r="M8" s="450">
        <v>62</v>
      </c>
      <c r="N8" s="450">
        <v>62.02</v>
      </c>
      <c r="O8" s="450">
        <v>62.08</v>
      </c>
      <c r="P8" s="450">
        <v>62.13</v>
      </c>
      <c r="Q8" s="450">
        <v>62.18</v>
      </c>
      <c r="R8" s="450">
        <v>62.21</v>
      </c>
      <c r="S8" s="450">
        <v>62.23</v>
      </c>
      <c r="T8" s="133"/>
      <c r="U8" s="134">
        <v>19</v>
      </c>
      <c r="V8" s="450">
        <v>62.13</v>
      </c>
      <c r="W8" s="450">
        <v>62.14</v>
      </c>
      <c r="X8" s="450">
        <v>62.16</v>
      </c>
      <c r="Y8" s="450">
        <v>62.17</v>
      </c>
      <c r="Z8" s="450">
        <v>62.19</v>
      </c>
      <c r="AA8" s="450">
        <v>62.2</v>
      </c>
      <c r="AB8" s="450">
        <v>62.22</v>
      </c>
      <c r="AC8" s="450">
        <v>62.23</v>
      </c>
      <c r="AD8" s="450">
        <v>62.25</v>
      </c>
      <c r="AE8" s="450">
        <v>62.26</v>
      </c>
      <c r="AF8" s="450">
        <v>62.28</v>
      </c>
      <c r="AG8" s="450">
        <v>62.29</v>
      </c>
      <c r="AH8" s="450">
        <v>62.35</v>
      </c>
      <c r="AI8" s="450">
        <v>62.41</v>
      </c>
      <c r="AJ8" s="450">
        <v>62.45</v>
      </c>
      <c r="AK8" s="450">
        <v>62.49</v>
      </c>
      <c r="AL8" s="450">
        <v>62.51</v>
      </c>
      <c r="AM8" s="133"/>
      <c r="AN8" s="134">
        <v>19</v>
      </c>
      <c r="AO8" s="450">
        <v>62.65</v>
      </c>
      <c r="AP8" s="450">
        <v>62.66</v>
      </c>
      <c r="AQ8" s="450">
        <v>62.68</v>
      </c>
      <c r="AR8" s="450">
        <v>62.69</v>
      </c>
      <c r="AS8" s="450">
        <v>62.71</v>
      </c>
      <c r="AT8" s="450">
        <v>62.72</v>
      </c>
      <c r="AU8" s="450">
        <v>62.74</v>
      </c>
      <c r="AV8" s="450">
        <v>62.76</v>
      </c>
      <c r="AW8" s="450">
        <v>62.77</v>
      </c>
      <c r="AX8" s="450">
        <v>62.79</v>
      </c>
      <c r="AY8" s="450">
        <v>62.8</v>
      </c>
      <c r="AZ8" s="450">
        <v>62.81</v>
      </c>
      <c r="BA8" s="450">
        <v>62.88</v>
      </c>
      <c r="BB8" s="450">
        <v>62.94</v>
      </c>
      <c r="BC8" s="450">
        <v>62.98</v>
      </c>
      <c r="BD8" s="450">
        <v>63.01</v>
      </c>
      <c r="BE8" s="450">
        <v>63.04</v>
      </c>
    </row>
    <row r="9" spans="2:57" x14ac:dyDescent="0.25">
      <c r="B9" s="134">
        <v>20</v>
      </c>
      <c r="C9" s="450">
        <v>61.89</v>
      </c>
      <c r="D9" s="450">
        <v>61.91</v>
      </c>
      <c r="E9" s="450">
        <v>61.92</v>
      </c>
      <c r="F9" s="450">
        <v>61.94</v>
      </c>
      <c r="G9" s="450">
        <v>61.95</v>
      </c>
      <c r="H9" s="450">
        <v>61.97</v>
      </c>
      <c r="I9" s="450">
        <v>61.98</v>
      </c>
      <c r="J9" s="450">
        <v>62</v>
      </c>
      <c r="K9" s="450">
        <v>62.01</v>
      </c>
      <c r="L9" s="450">
        <v>62.03</v>
      </c>
      <c r="M9" s="450">
        <v>62.04</v>
      </c>
      <c r="N9" s="450">
        <v>62.06</v>
      </c>
      <c r="O9" s="450">
        <v>62.12</v>
      </c>
      <c r="P9" s="450">
        <v>62.18</v>
      </c>
      <c r="Q9" s="450">
        <v>62.22</v>
      </c>
      <c r="R9" s="450">
        <v>62.26</v>
      </c>
      <c r="S9" s="450">
        <v>62.28</v>
      </c>
      <c r="T9" s="133"/>
      <c r="U9" s="134">
        <v>20</v>
      </c>
      <c r="V9" s="450">
        <v>62.16</v>
      </c>
      <c r="W9" s="450">
        <v>62.18</v>
      </c>
      <c r="X9" s="450">
        <v>62.19</v>
      </c>
      <c r="Y9" s="450">
        <v>62.21</v>
      </c>
      <c r="Z9" s="450">
        <v>62.22</v>
      </c>
      <c r="AA9" s="450">
        <v>62.24</v>
      </c>
      <c r="AB9" s="450">
        <v>62.26</v>
      </c>
      <c r="AC9" s="450">
        <v>62.27</v>
      </c>
      <c r="AD9" s="450">
        <v>62.29</v>
      </c>
      <c r="AE9" s="450">
        <v>62.3</v>
      </c>
      <c r="AF9" s="450">
        <v>62.32</v>
      </c>
      <c r="AG9" s="450">
        <v>62.33</v>
      </c>
      <c r="AH9" s="450">
        <v>62.4</v>
      </c>
      <c r="AI9" s="450">
        <v>62.45</v>
      </c>
      <c r="AJ9" s="450">
        <v>62.5</v>
      </c>
      <c r="AK9" s="450">
        <v>62.53</v>
      </c>
      <c r="AL9" s="450">
        <v>62.55</v>
      </c>
      <c r="AM9" s="133"/>
      <c r="AN9" s="134">
        <v>20</v>
      </c>
      <c r="AO9" s="450">
        <v>62.68</v>
      </c>
      <c r="AP9" s="450">
        <v>62.7</v>
      </c>
      <c r="AQ9" s="450">
        <v>62.71</v>
      </c>
      <c r="AR9" s="450">
        <v>62.73</v>
      </c>
      <c r="AS9" s="450">
        <v>62.75</v>
      </c>
      <c r="AT9" s="450">
        <v>62.76</v>
      </c>
      <c r="AU9" s="450">
        <v>62.78</v>
      </c>
      <c r="AV9" s="450">
        <v>62.79</v>
      </c>
      <c r="AW9" s="450">
        <v>62.81</v>
      </c>
      <c r="AX9" s="450">
        <v>62.83</v>
      </c>
      <c r="AY9" s="450">
        <v>62.84</v>
      </c>
      <c r="AZ9" s="450">
        <v>62.86</v>
      </c>
      <c r="BA9" s="450">
        <v>62.92</v>
      </c>
      <c r="BB9" s="450">
        <v>62.98</v>
      </c>
      <c r="BC9" s="450">
        <v>63.03</v>
      </c>
      <c r="BD9" s="450">
        <v>63.06</v>
      </c>
      <c r="BE9" s="450">
        <v>63.09</v>
      </c>
    </row>
    <row r="10" spans="2:57" x14ac:dyDescent="0.25">
      <c r="B10" s="134">
        <v>21</v>
      </c>
      <c r="C10" s="450">
        <v>61.92</v>
      </c>
      <c r="D10" s="450">
        <v>61.94</v>
      </c>
      <c r="E10" s="450">
        <v>61.96</v>
      </c>
      <c r="F10" s="450">
        <v>61.97</v>
      </c>
      <c r="G10" s="450">
        <v>61.99</v>
      </c>
      <c r="H10" s="450">
        <v>62.01</v>
      </c>
      <c r="I10" s="450">
        <v>62.02</v>
      </c>
      <c r="J10" s="450">
        <v>62.04</v>
      </c>
      <c r="K10" s="450">
        <v>62.05</v>
      </c>
      <c r="L10" s="450">
        <v>62.07</v>
      </c>
      <c r="M10" s="450">
        <v>62.09</v>
      </c>
      <c r="N10" s="450">
        <v>62.1</v>
      </c>
      <c r="O10" s="450">
        <v>62.17</v>
      </c>
      <c r="P10" s="450">
        <v>62.23</v>
      </c>
      <c r="Q10" s="450">
        <v>62.27</v>
      </c>
      <c r="R10" s="450">
        <v>62.3</v>
      </c>
      <c r="S10" s="450">
        <v>62.33</v>
      </c>
      <c r="T10" s="133"/>
      <c r="U10" s="134">
        <v>21</v>
      </c>
      <c r="V10" s="450">
        <v>62.19</v>
      </c>
      <c r="W10" s="450">
        <v>62.21</v>
      </c>
      <c r="X10" s="450">
        <v>62.23</v>
      </c>
      <c r="Y10" s="450">
        <v>62.25</v>
      </c>
      <c r="Z10" s="450">
        <v>62.26</v>
      </c>
      <c r="AA10" s="450">
        <v>62.28</v>
      </c>
      <c r="AB10" s="450">
        <v>62.3</v>
      </c>
      <c r="AC10" s="450">
        <v>62.31</v>
      </c>
      <c r="AD10" s="450">
        <v>62.33</v>
      </c>
      <c r="AE10" s="450">
        <v>62.34</v>
      </c>
      <c r="AF10" s="450">
        <v>62.36</v>
      </c>
      <c r="AG10" s="450">
        <v>62.37</v>
      </c>
      <c r="AH10" s="450">
        <v>62.44</v>
      </c>
      <c r="AI10" s="450">
        <v>62.5</v>
      </c>
      <c r="AJ10" s="450">
        <v>62.55</v>
      </c>
      <c r="AK10" s="450">
        <v>62.58</v>
      </c>
      <c r="AL10" s="450">
        <v>62.6</v>
      </c>
      <c r="AM10" s="133"/>
      <c r="AN10" s="134">
        <v>21</v>
      </c>
      <c r="AO10" s="450">
        <v>62.72</v>
      </c>
      <c r="AP10" s="450">
        <v>62.73</v>
      </c>
      <c r="AQ10" s="450">
        <v>62.75</v>
      </c>
      <c r="AR10" s="450">
        <v>62.77</v>
      </c>
      <c r="AS10" s="450">
        <v>62.78</v>
      </c>
      <c r="AT10" s="450">
        <v>62.8</v>
      </c>
      <c r="AU10" s="450">
        <v>62.82</v>
      </c>
      <c r="AV10" s="450">
        <v>62.84</v>
      </c>
      <c r="AW10" s="450">
        <v>62.85</v>
      </c>
      <c r="AX10" s="450">
        <v>62.87</v>
      </c>
      <c r="AY10" s="450">
        <v>62.88</v>
      </c>
      <c r="AZ10" s="450">
        <v>62.9</v>
      </c>
      <c r="BA10" s="450">
        <v>62.97</v>
      </c>
      <c r="BB10" s="450">
        <v>63.03</v>
      </c>
      <c r="BC10" s="450">
        <v>63.08</v>
      </c>
      <c r="BD10" s="450">
        <v>63.11</v>
      </c>
      <c r="BE10" s="450">
        <v>63.14</v>
      </c>
    </row>
    <row r="11" spans="2:57" x14ac:dyDescent="0.25">
      <c r="B11" s="134">
        <v>22</v>
      </c>
      <c r="C11" s="450">
        <v>61.96</v>
      </c>
      <c r="D11" s="450">
        <v>61.98</v>
      </c>
      <c r="E11" s="450">
        <v>61.99</v>
      </c>
      <c r="F11" s="450">
        <v>62.01</v>
      </c>
      <c r="G11" s="450">
        <v>62.03</v>
      </c>
      <c r="H11" s="450">
        <v>62.05</v>
      </c>
      <c r="I11" s="450">
        <v>62.06</v>
      </c>
      <c r="J11" s="450">
        <v>62.08</v>
      </c>
      <c r="K11" s="450">
        <v>62.1</v>
      </c>
      <c r="L11" s="450">
        <v>62.11</v>
      </c>
      <c r="M11" s="450">
        <v>62.13</v>
      </c>
      <c r="N11" s="450">
        <v>62.14</v>
      </c>
      <c r="O11" s="450">
        <v>62.21</v>
      </c>
      <c r="P11" s="450">
        <v>62.27</v>
      </c>
      <c r="Q11" s="450">
        <v>62.32</v>
      </c>
      <c r="R11" s="450">
        <v>62.35</v>
      </c>
      <c r="S11" s="450">
        <v>62.38</v>
      </c>
      <c r="T11" s="133"/>
      <c r="U11" s="134">
        <v>22</v>
      </c>
      <c r="V11" s="450">
        <v>62.23</v>
      </c>
      <c r="W11" s="450">
        <v>62.25</v>
      </c>
      <c r="X11" s="450">
        <v>62.27</v>
      </c>
      <c r="Y11" s="450">
        <v>62.28</v>
      </c>
      <c r="Z11" s="450">
        <v>62.3</v>
      </c>
      <c r="AA11" s="450">
        <v>62.32</v>
      </c>
      <c r="AB11" s="450">
        <v>62.34</v>
      </c>
      <c r="AC11" s="450">
        <v>62.35</v>
      </c>
      <c r="AD11" s="450">
        <v>62.37</v>
      </c>
      <c r="AE11" s="450">
        <v>62.39</v>
      </c>
      <c r="AF11" s="450">
        <v>62.4</v>
      </c>
      <c r="AG11" s="450">
        <v>62.42</v>
      </c>
      <c r="AH11" s="450">
        <v>62.49</v>
      </c>
      <c r="AI11" s="450">
        <v>62.55</v>
      </c>
      <c r="AJ11" s="450">
        <v>62.6</v>
      </c>
      <c r="AK11" s="450">
        <v>62.63</v>
      </c>
      <c r="AL11" s="450">
        <v>62.65</v>
      </c>
      <c r="AM11" s="133"/>
      <c r="AN11" s="134">
        <v>22</v>
      </c>
      <c r="AO11" s="450">
        <v>62.75</v>
      </c>
      <c r="AP11" s="450">
        <v>62.77</v>
      </c>
      <c r="AQ11" s="450">
        <v>62.79</v>
      </c>
      <c r="AR11" s="450">
        <v>62.81</v>
      </c>
      <c r="AS11" s="450">
        <v>62.83</v>
      </c>
      <c r="AT11" s="450">
        <v>62.84</v>
      </c>
      <c r="AU11" s="450">
        <v>62.86</v>
      </c>
      <c r="AV11" s="450">
        <v>62.88</v>
      </c>
      <c r="AW11" s="450">
        <v>62.9</v>
      </c>
      <c r="AX11" s="450">
        <v>62.91</v>
      </c>
      <c r="AY11" s="450">
        <v>62.93</v>
      </c>
      <c r="AZ11" s="450">
        <v>62.94</v>
      </c>
      <c r="BA11" s="450">
        <v>63.02</v>
      </c>
      <c r="BB11" s="450">
        <v>63.08</v>
      </c>
      <c r="BC11" s="450">
        <v>63.13</v>
      </c>
      <c r="BD11" s="450">
        <v>63.16</v>
      </c>
      <c r="BE11" s="450">
        <v>63.19</v>
      </c>
    </row>
    <row r="12" spans="2:57" x14ac:dyDescent="0.25">
      <c r="B12" s="134">
        <v>23</v>
      </c>
      <c r="C12" s="450">
        <v>62</v>
      </c>
      <c r="D12" s="450">
        <v>62.01</v>
      </c>
      <c r="E12" s="450">
        <v>62.03</v>
      </c>
      <c r="F12" s="450">
        <v>62.05</v>
      </c>
      <c r="G12" s="450">
        <v>62.07</v>
      </c>
      <c r="H12" s="450">
        <v>62.09</v>
      </c>
      <c r="I12" s="450">
        <v>62.11</v>
      </c>
      <c r="J12" s="450">
        <v>62.12</v>
      </c>
      <c r="K12" s="450">
        <v>62.14</v>
      </c>
      <c r="L12" s="450">
        <v>62.16</v>
      </c>
      <c r="M12" s="450">
        <v>62.17</v>
      </c>
      <c r="N12" s="450">
        <v>62.19</v>
      </c>
      <c r="O12" s="450">
        <v>62.26</v>
      </c>
      <c r="P12" s="450">
        <v>62.32</v>
      </c>
      <c r="Q12" s="450">
        <v>62.37</v>
      </c>
      <c r="R12" s="450">
        <v>62.4</v>
      </c>
      <c r="S12" s="450">
        <v>62.43</v>
      </c>
      <c r="T12" s="133"/>
      <c r="U12" s="134">
        <v>23</v>
      </c>
      <c r="V12" s="450">
        <v>62.27</v>
      </c>
      <c r="W12" s="450">
        <v>62.29</v>
      </c>
      <c r="X12" s="450">
        <v>62.31</v>
      </c>
      <c r="Y12" s="450">
        <v>62.32</v>
      </c>
      <c r="Z12" s="450">
        <v>62.34</v>
      </c>
      <c r="AA12" s="450">
        <v>62.36</v>
      </c>
      <c r="AB12" s="450">
        <v>62.38</v>
      </c>
      <c r="AC12" s="450">
        <v>62.4</v>
      </c>
      <c r="AD12" s="450">
        <v>62.41</v>
      </c>
      <c r="AE12" s="450">
        <v>62.43</v>
      </c>
      <c r="AF12" s="450">
        <v>62.45</v>
      </c>
      <c r="AG12" s="450">
        <v>62.46</v>
      </c>
      <c r="AH12" s="450">
        <v>62.54</v>
      </c>
      <c r="AI12" s="450">
        <v>62.6</v>
      </c>
      <c r="AJ12" s="450">
        <v>62.65</v>
      </c>
      <c r="AK12" s="450">
        <v>62.68</v>
      </c>
      <c r="AL12" s="450">
        <v>62.7</v>
      </c>
      <c r="AM12" s="133"/>
      <c r="AN12" s="134">
        <v>23</v>
      </c>
      <c r="AO12" s="450">
        <v>62.79</v>
      </c>
      <c r="AP12" s="450">
        <v>62.81</v>
      </c>
      <c r="AQ12" s="450">
        <v>62.83</v>
      </c>
      <c r="AR12" s="450">
        <v>62.85</v>
      </c>
      <c r="AS12" s="450">
        <v>62.87</v>
      </c>
      <c r="AT12" s="450">
        <v>62.89</v>
      </c>
      <c r="AU12" s="450">
        <v>62.9</v>
      </c>
      <c r="AV12" s="450">
        <v>62.92</v>
      </c>
      <c r="AW12" s="450">
        <v>62.94</v>
      </c>
      <c r="AX12" s="450">
        <v>62.96</v>
      </c>
      <c r="AY12" s="450">
        <v>62.98</v>
      </c>
      <c r="AZ12" s="450">
        <v>62.99</v>
      </c>
      <c r="BA12" s="450">
        <v>63.07</v>
      </c>
      <c r="BB12" s="450">
        <v>63.13</v>
      </c>
      <c r="BC12" s="450">
        <v>63.18</v>
      </c>
      <c r="BD12" s="450">
        <v>63.22</v>
      </c>
      <c r="BE12" s="450">
        <v>63.24</v>
      </c>
    </row>
    <row r="13" spans="2:57" x14ac:dyDescent="0.25">
      <c r="B13" s="134">
        <v>24</v>
      </c>
      <c r="C13" s="450">
        <v>62.04</v>
      </c>
      <c r="D13" s="450">
        <v>62.05</v>
      </c>
      <c r="E13" s="450">
        <v>62.07</v>
      </c>
      <c r="F13" s="450">
        <v>62.09</v>
      </c>
      <c r="G13" s="450">
        <v>62.11</v>
      </c>
      <c r="H13" s="450">
        <v>62.13</v>
      </c>
      <c r="I13" s="450">
        <v>62.15</v>
      </c>
      <c r="J13" s="450">
        <v>62.17</v>
      </c>
      <c r="K13" s="450">
        <v>62.18</v>
      </c>
      <c r="L13" s="450">
        <v>62.2</v>
      </c>
      <c r="M13" s="450">
        <v>62.22</v>
      </c>
      <c r="N13" s="450">
        <v>62.24</v>
      </c>
      <c r="O13" s="450">
        <v>62.31</v>
      </c>
      <c r="P13" s="450">
        <v>62.38</v>
      </c>
      <c r="Q13" s="450">
        <v>62.42</v>
      </c>
      <c r="R13" s="450">
        <v>62.46</v>
      </c>
      <c r="S13" s="450">
        <v>62.48</v>
      </c>
      <c r="T13" s="133"/>
      <c r="U13" s="134">
        <v>24</v>
      </c>
      <c r="V13" s="450">
        <v>62.31</v>
      </c>
      <c r="W13" s="450">
        <v>62.33</v>
      </c>
      <c r="X13" s="450">
        <v>62.35</v>
      </c>
      <c r="Y13" s="450">
        <v>62.37</v>
      </c>
      <c r="Z13" s="450">
        <v>62.39</v>
      </c>
      <c r="AA13" s="450">
        <v>62.4</v>
      </c>
      <c r="AB13" s="450">
        <v>62.42</v>
      </c>
      <c r="AC13" s="450">
        <v>62.44</v>
      </c>
      <c r="AD13" s="450">
        <v>62.46</v>
      </c>
      <c r="AE13" s="450">
        <v>62.48</v>
      </c>
      <c r="AF13" s="450">
        <v>62.49</v>
      </c>
      <c r="AG13" s="450">
        <v>62.51</v>
      </c>
      <c r="AH13" s="450">
        <v>62.59</v>
      </c>
      <c r="AI13" s="450">
        <v>62.65</v>
      </c>
      <c r="AJ13" s="450">
        <v>62.7</v>
      </c>
      <c r="AK13" s="450">
        <v>62.74</v>
      </c>
      <c r="AL13" s="450">
        <v>62.76</v>
      </c>
      <c r="AM13" s="133"/>
      <c r="AN13" s="134">
        <v>24</v>
      </c>
      <c r="AO13" s="450">
        <v>62.83</v>
      </c>
      <c r="AP13" s="450">
        <v>62.85</v>
      </c>
      <c r="AQ13" s="450">
        <v>62.87</v>
      </c>
      <c r="AR13" s="450">
        <v>62.89</v>
      </c>
      <c r="AS13" s="450">
        <v>62.91</v>
      </c>
      <c r="AT13" s="450">
        <v>62.93</v>
      </c>
      <c r="AU13" s="450">
        <v>62.95</v>
      </c>
      <c r="AV13" s="450">
        <v>62.97</v>
      </c>
      <c r="AW13" s="450">
        <v>62.99</v>
      </c>
      <c r="AX13" s="450">
        <v>63.01</v>
      </c>
      <c r="AY13" s="450">
        <v>63.02</v>
      </c>
      <c r="AZ13" s="450">
        <v>63.04</v>
      </c>
      <c r="BA13" s="450">
        <v>63.12</v>
      </c>
      <c r="BB13" s="450">
        <v>63.19</v>
      </c>
      <c r="BC13" s="450">
        <v>63.24</v>
      </c>
      <c r="BD13" s="450">
        <v>63.27</v>
      </c>
      <c r="BE13" s="450">
        <v>63.3</v>
      </c>
    </row>
    <row r="14" spans="2:57" x14ac:dyDescent="0.25">
      <c r="B14" s="134">
        <v>25</v>
      </c>
      <c r="C14" s="450">
        <v>62.08</v>
      </c>
      <c r="D14" s="450">
        <v>62.1</v>
      </c>
      <c r="E14" s="450">
        <v>62.12</v>
      </c>
      <c r="F14" s="450">
        <v>62.14</v>
      </c>
      <c r="G14" s="450">
        <v>62.16</v>
      </c>
      <c r="H14" s="450">
        <v>62.18</v>
      </c>
      <c r="I14" s="450">
        <v>62.19</v>
      </c>
      <c r="J14" s="450">
        <v>62.21</v>
      </c>
      <c r="K14" s="450">
        <v>62.23</v>
      </c>
      <c r="L14" s="450">
        <v>62.25</v>
      </c>
      <c r="M14" s="450">
        <v>62.27</v>
      </c>
      <c r="N14" s="450">
        <v>62.29</v>
      </c>
      <c r="O14" s="450">
        <v>62.36</v>
      </c>
      <c r="P14" s="450">
        <v>62.43</v>
      </c>
      <c r="Q14" s="450">
        <v>62.48</v>
      </c>
      <c r="R14" s="450">
        <v>62.51</v>
      </c>
      <c r="S14" s="450">
        <v>62.53</v>
      </c>
      <c r="T14" s="133"/>
      <c r="U14" s="134">
        <v>25</v>
      </c>
      <c r="V14" s="450">
        <v>62.35</v>
      </c>
      <c r="W14" s="450">
        <v>62.37</v>
      </c>
      <c r="X14" s="450">
        <v>62.39</v>
      </c>
      <c r="Y14" s="450">
        <v>62.41</v>
      </c>
      <c r="Z14" s="450">
        <v>62.43</v>
      </c>
      <c r="AA14" s="450">
        <v>62.45</v>
      </c>
      <c r="AB14" s="450">
        <v>62.47</v>
      </c>
      <c r="AC14" s="450">
        <v>62.49</v>
      </c>
      <c r="AD14" s="450">
        <v>62.51</v>
      </c>
      <c r="AE14" s="450">
        <v>62.53</v>
      </c>
      <c r="AF14" s="450">
        <v>62.54</v>
      </c>
      <c r="AG14" s="450">
        <v>62.56</v>
      </c>
      <c r="AH14" s="450">
        <v>62.64</v>
      </c>
      <c r="AI14" s="450">
        <v>62.71</v>
      </c>
      <c r="AJ14" s="450">
        <v>62.76</v>
      </c>
      <c r="AK14" s="450">
        <v>62.79</v>
      </c>
      <c r="AL14" s="450">
        <v>62.81</v>
      </c>
      <c r="AM14" s="133"/>
      <c r="AN14" s="134">
        <v>25</v>
      </c>
      <c r="AO14" s="450">
        <v>62.87</v>
      </c>
      <c r="AP14" s="450">
        <v>62.9</v>
      </c>
      <c r="AQ14" s="450">
        <v>62.92</v>
      </c>
      <c r="AR14" s="450">
        <v>62.94</v>
      </c>
      <c r="AS14" s="450">
        <v>62.96</v>
      </c>
      <c r="AT14" s="450">
        <v>62.98</v>
      </c>
      <c r="AU14" s="450">
        <v>63</v>
      </c>
      <c r="AV14" s="450">
        <v>63.02</v>
      </c>
      <c r="AW14" s="450">
        <v>63.04</v>
      </c>
      <c r="AX14" s="450">
        <v>63.06</v>
      </c>
      <c r="AY14" s="450">
        <v>63.07</v>
      </c>
      <c r="AZ14" s="450">
        <v>63.09</v>
      </c>
      <c r="BA14" s="450">
        <v>63.18</v>
      </c>
      <c r="BB14" s="450">
        <v>63.24</v>
      </c>
      <c r="BC14" s="450">
        <v>63.29</v>
      </c>
      <c r="BD14" s="450">
        <v>63.33</v>
      </c>
      <c r="BE14" s="450">
        <v>63.35</v>
      </c>
    </row>
    <row r="15" spans="2:57" x14ac:dyDescent="0.25">
      <c r="B15" s="134">
        <v>26</v>
      </c>
      <c r="C15" s="450">
        <v>62.12</v>
      </c>
      <c r="D15" s="450">
        <v>62.14</v>
      </c>
      <c r="E15" s="450">
        <v>62.16</v>
      </c>
      <c r="F15" s="450">
        <v>62.18</v>
      </c>
      <c r="G15" s="450">
        <v>62.2</v>
      </c>
      <c r="H15" s="450">
        <v>62.22</v>
      </c>
      <c r="I15" s="450">
        <v>62.24</v>
      </c>
      <c r="J15" s="450">
        <v>62.26</v>
      </c>
      <c r="K15" s="450">
        <v>62.28</v>
      </c>
      <c r="L15" s="450">
        <v>62.3</v>
      </c>
      <c r="M15" s="450">
        <v>62.32</v>
      </c>
      <c r="N15" s="450">
        <v>62.34</v>
      </c>
      <c r="O15" s="450">
        <v>62.42</v>
      </c>
      <c r="P15" s="450">
        <v>62.48</v>
      </c>
      <c r="Q15" s="450">
        <v>62.53</v>
      </c>
      <c r="R15" s="450">
        <v>62.57</v>
      </c>
      <c r="S15" s="450">
        <v>62.59</v>
      </c>
      <c r="T15" s="133"/>
      <c r="U15" s="134">
        <v>26</v>
      </c>
      <c r="V15" s="450">
        <v>62.39</v>
      </c>
      <c r="W15" s="450">
        <v>62.41</v>
      </c>
      <c r="X15" s="450">
        <v>62.43</v>
      </c>
      <c r="Y15" s="450">
        <v>62.46</v>
      </c>
      <c r="Z15" s="450">
        <v>62.48</v>
      </c>
      <c r="AA15" s="450">
        <v>62.5</v>
      </c>
      <c r="AB15" s="450">
        <v>62.52</v>
      </c>
      <c r="AC15" s="450">
        <v>62.54</v>
      </c>
      <c r="AD15" s="450">
        <v>62.56</v>
      </c>
      <c r="AE15" s="450">
        <v>62.58</v>
      </c>
      <c r="AF15" s="450">
        <v>62.6</v>
      </c>
      <c r="AG15" s="450">
        <v>62.61</v>
      </c>
      <c r="AH15" s="450">
        <v>62.7</v>
      </c>
      <c r="AI15" s="450">
        <v>62.76</v>
      </c>
      <c r="AJ15" s="450">
        <v>62.81</v>
      </c>
      <c r="AK15" s="450">
        <v>62.85</v>
      </c>
      <c r="AL15" s="450">
        <v>62.87</v>
      </c>
      <c r="AM15" s="133"/>
      <c r="AN15" s="134">
        <v>26</v>
      </c>
      <c r="AO15" s="450">
        <v>62.92</v>
      </c>
      <c r="AP15" s="450">
        <v>62.94</v>
      </c>
      <c r="AQ15" s="450">
        <v>62.96</v>
      </c>
      <c r="AR15" s="450">
        <v>62.98</v>
      </c>
      <c r="AS15" s="450">
        <v>63.01</v>
      </c>
      <c r="AT15" s="450">
        <v>63.03</v>
      </c>
      <c r="AU15" s="450">
        <v>63.05</v>
      </c>
      <c r="AV15" s="450">
        <v>63.07</v>
      </c>
      <c r="AW15" s="450">
        <v>63.09</v>
      </c>
      <c r="AX15" s="450">
        <v>63.11</v>
      </c>
      <c r="AY15" s="450">
        <v>63.13</v>
      </c>
      <c r="AZ15" s="450">
        <v>63.15</v>
      </c>
      <c r="BA15" s="450">
        <v>63.23</v>
      </c>
      <c r="BB15" s="450">
        <v>63.3</v>
      </c>
      <c r="BC15" s="450">
        <v>63.35</v>
      </c>
      <c r="BD15" s="450">
        <v>63.39</v>
      </c>
      <c r="BE15" s="450">
        <v>63.41</v>
      </c>
    </row>
    <row r="16" spans="2:57" x14ac:dyDescent="0.25">
      <c r="B16" s="134">
        <v>27</v>
      </c>
      <c r="C16" s="450">
        <v>62.16</v>
      </c>
      <c r="D16" s="450">
        <v>62.19</v>
      </c>
      <c r="E16" s="450">
        <v>62.21</v>
      </c>
      <c r="F16" s="450">
        <v>62.23</v>
      </c>
      <c r="G16" s="450">
        <v>62.25</v>
      </c>
      <c r="H16" s="450">
        <v>62.27</v>
      </c>
      <c r="I16" s="450">
        <v>62.29</v>
      </c>
      <c r="J16" s="450">
        <v>62.31</v>
      </c>
      <c r="K16" s="450">
        <v>62.33</v>
      </c>
      <c r="L16" s="450">
        <v>62.35</v>
      </c>
      <c r="M16" s="450">
        <v>62.37</v>
      </c>
      <c r="N16" s="450">
        <v>62.39</v>
      </c>
      <c r="O16" s="450">
        <v>62.48</v>
      </c>
      <c r="P16" s="450">
        <v>62.54</v>
      </c>
      <c r="Q16" s="450">
        <v>62.59</v>
      </c>
      <c r="R16" s="450">
        <v>62.63</v>
      </c>
      <c r="S16" s="450">
        <v>62.65</v>
      </c>
      <c r="T16" s="133"/>
      <c r="U16" s="134">
        <v>27</v>
      </c>
      <c r="V16" s="450">
        <v>62.44</v>
      </c>
      <c r="W16" s="450">
        <v>62.46</v>
      </c>
      <c r="X16" s="450">
        <v>62.48</v>
      </c>
      <c r="Y16" s="450">
        <v>62.5</v>
      </c>
      <c r="Z16" s="450">
        <v>62.53</v>
      </c>
      <c r="AA16" s="450">
        <v>62.55</v>
      </c>
      <c r="AB16" s="450">
        <v>62.57</v>
      </c>
      <c r="AC16" s="450">
        <v>62.59</v>
      </c>
      <c r="AD16" s="450">
        <v>62.61</v>
      </c>
      <c r="AE16" s="450">
        <v>62.63</v>
      </c>
      <c r="AF16" s="450">
        <v>62.65</v>
      </c>
      <c r="AG16" s="450">
        <v>62.67</v>
      </c>
      <c r="AH16" s="450">
        <v>62.75</v>
      </c>
      <c r="AI16" s="450">
        <v>62.82</v>
      </c>
      <c r="AJ16" s="450">
        <v>62.87</v>
      </c>
      <c r="AK16" s="450">
        <v>62.91</v>
      </c>
      <c r="AL16" s="450">
        <v>62.93</v>
      </c>
      <c r="AM16" s="133"/>
      <c r="AN16" s="134">
        <v>27</v>
      </c>
      <c r="AO16" s="450">
        <v>62.96</v>
      </c>
      <c r="AP16" s="450">
        <v>62.99</v>
      </c>
      <c r="AQ16" s="450">
        <v>63.01</v>
      </c>
      <c r="AR16" s="450">
        <v>63.03</v>
      </c>
      <c r="AS16" s="450">
        <v>63.06</v>
      </c>
      <c r="AT16" s="450">
        <v>63.08</v>
      </c>
      <c r="AU16" s="450">
        <v>63.1</v>
      </c>
      <c r="AV16" s="450">
        <v>63.12</v>
      </c>
      <c r="AW16" s="450">
        <v>63.14</v>
      </c>
      <c r="AX16" s="450">
        <v>63.16</v>
      </c>
      <c r="AY16" s="450">
        <v>63.18</v>
      </c>
      <c r="AZ16" s="450">
        <v>63.2</v>
      </c>
      <c r="BA16" s="450">
        <v>63.29</v>
      </c>
      <c r="BB16" s="450">
        <v>63.36</v>
      </c>
      <c r="BC16" s="450">
        <v>63.41</v>
      </c>
      <c r="BD16" s="450">
        <v>63.45</v>
      </c>
      <c r="BE16" s="450">
        <v>63.47</v>
      </c>
    </row>
    <row r="17" spans="2:57" x14ac:dyDescent="0.25">
      <c r="B17" s="134">
        <v>28</v>
      </c>
      <c r="C17" s="450">
        <v>62.21</v>
      </c>
      <c r="D17" s="450">
        <v>62.23</v>
      </c>
      <c r="E17" s="450">
        <v>62.26</v>
      </c>
      <c r="F17" s="450">
        <v>62.28</v>
      </c>
      <c r="G17" s="450">
        <v>62.3</v>
      </c>
      <c r="H17" s="450">
        <v>62.32</v>
      </c>
      <c r="I17" s="450">
        <v>62.34</v>
      </c>
      <c r="J17" s="450">
        <v>62.37</v>
      </c>
      <c r="K17" s="450">
        <v>62.39</v>
      </c>
      <c r="L17" s="450">
        <v>62.41</v>
      </c>
      <c r="M17" s="450">
        <v>62.43</v>
      </c>
      <c r="N17" s="450">
        <v>62.45</v>
      </c>
      <c r="O17" s="450">
        <v>62.53</v>
      </c>
      <c r="P17" s="450">
        <v>62.6</v>
      </c>
      <c r="Q17" s="450">
        <v>62.65</v>
      </c>
      <c r="R17" s="450">
        <v>62.69</v>
      </c>
      <c r="S17" s="450">
        <v>62.71</v>
      </c>
      <c r="T17" s="133"/>
      <c r="U17" s="134">
        <v>28</v>
      </c>
      <c r="V17" s="450">
        <v>62.48</v>
      </c>
      <c r="W17" s="450">
        <v>62.51</v>
      </c>
      <c r="X17" s="450">
        <v>62.53</v>
      </c>
      <c r="Y17" s="450">
        <v>62.55</v>
      </c>
      <c r="Z17" s="450">
        <v>62.58</v>
      </c>
      <c r="AA17" s="450">
        <v>62.6</v>
      </c>
      <c r="AB17" s="450">
        <v>62.62</v>
      </c>
      <c r="AC17" s="450">
        <v>62.64</v>
      </c>
      <c r="AD17" s="450">
        <v>62.66</v>
      </c>
      <c r="AE17" s="450">
        <v>62.69</v>
      </c>
      <c r="AF17" s="450">
        <v>62.71</v>
      </c>
      <c r="AG17" s="450">
        <v>62.73</v>
      </c>
      <c r="AH17" s="450">
        <v>62.81</v>
      </c>
      <c r="AI17" s="450">
        <v>62.88</v>
      </c>
      <c r="AJ17" s="450">
        <v>62.93</v>
      </c>
      <c r="AK17" s="450">
        <v>62.97</v>
      </c>
      <c r="AL17" s="450">
        <v>62.99</v>
      </c>
      <c r="AM17" s="133"/>
      <c r="AN17" s="134">
        <v>28</v>
      </c>
      <c r="AO17" s="450">
        <v>63.01</v>
      </c>
      <c r="AP17" s="450">
        <v>63.04</v>
      </c>
      <c r="AQ17" s="450">
        <v>63.06</v>
      </c>
      <c r="AR17" s="450">
        <v>63.08</v>
      </c>
      <c r="AS17" s="450">
        <v>63.11</v>
      </c>
      <c r="AT17" s="450">
        <v>63.13</v>
      </c>
      <c r="AU17" s="450">
        <v>63.15</v>
      </c>
      <c r="AV17" s="450">
        <v>63.18</v>
      </c>
      <c r="AW17" s="450">
        <v>63.2</v>
      </c>
      <c r="AX17" s="450">
        <v>63.22</v>
      </c>
      <c r="AY17" s="450">
        <v>63.24</v>
      </c>
      <c r="AZ17" s="450">
        <v>63.26</v>
      </c>
      <c r="BA17" s="450">
        <v>63.35</v>
      </c>
      <c r="BB17" s="450">
        <v>63.42</v>
      </c>
      <c r="BC17" s="450">
        <v>63.48</v>
      </c>
      <c r="BD17" s="450">
        <v>63.51</v>
      </c>
      <c r="BE17" s="450">
        <v>63.53</v>
      </c>
    </row>
    <row r="18" spans="2:57" x14ac:dyDescent="0.25">
      <c r="B18" s="134">
        <v>29</v>
      </c>
      <c r="C18" s="450">
        <v>62.26</v>
      </c>
      <c r="D18" s="450">
        <v>62.28</v>
      </c>
      <c r="E18" s="450">
        <v>62.31</v>
      </c>
      <c r="F18" s="450">
        <v>62.33</v>
      </c>
      <c r="G18" s="450">
        <v>62.35</v>
      </c>
      <c r="H18" s="450">
        <v>62.38</v>
      </c>
      <c r="I18" s="450">
        <v>62.4</v>
      </c>
      <c r="J18" s="450">
        <v>62.42</v>
      </c>
      <c r="K18" s="450">
        <v>62.44</v>
      </c>
      <c r="L18" s="450">
        <v>62.46</v>
      </c>
      <c r="M18" s="450">
        <v>62.48</v>
      </c>
      <c r="N18" s="450">
        <v>62.5</v>
      </c>
      <c r="O18" s="450">
        <v>62.59</v>
      </c>
      <c r="P18" s="450">
        <v>62.66</v>
      </c>
      <c r="Q18" s="450">
        <v>62.71</v>
      </c>
      <c r="R18" s="450">
        <v>62.75</v>
      </c>
      <c r="S18" s="450">
        <v>62.77</v>
      </c>
      <c r="T18" s="133"/>
      <c r="U18" s="134">
        <v>29</v>
      </c>
      <c r="V18" s="450">
        <v>62.53</v>
      </c>
      <c r="W18" s="450">
        <v>62.56</v>
      </c>
      <c r="X18" s="450">
        <v>62.58</v>
      </c>
      <c r="Y18" s="450">
        <v>62.61</v>
      </c>
      <c r="Z18" s="450">
        <v>62.63</v>
      </c>
      <c r="AA18" s="450">
        <v>62.65</v>
      </c>
      <c r="AB18" s="450">
        <v>62.68</v>
      </c>
      <c r="AC18" s="450">
        <v>62.7</v>
      </c>
      <c r="AD18" s="450">
        <v>62.72</v>
      </c>
      <c r="AE18" s="450">
        <v>62.74</v>
      </c>
      <c r="AF18" s="450">
        <v>62.76</v>
      </c>
      <c r="AG18" s="450">
        <v>62.78</v>
      </c>
      <c r="AH18" s="450">
        <v>62.87</v>
      </c>
      <c r="AI18" s="450">
        <v>62.95</v>
      </c>
      <c r="AJ18" s="450">
        <v>63</v>
      </c>
      <c r="AK18" s="450">
        <v>63.03</v>
      </c>
      <c r="AL18" s="450">
        <v>63.05</v>
      </c>
      <c r="AM18" s="133"/>
      <c r="AN18" s="134">
        <v>29</v>
      </c>
      <c r="AO18" s="450">
        <v>63.06</v>
      </c>
      <c r="AP18" s="450">
        <v>63.09</v>
      </c>
      <c r="AQ18" s="450">
        <v>63.11</v>
      </c>
      <c r="AR18" s="450">
        <v>63.14</v>
      </c>
      <c r="AS18" s="450">
        <v>63.16</v>
      </c>
      <c r="AT18" s="450">
        <v>63.19</v>
      </c>
      <c r="AU18" s="450">
        <v>63.21</v>
      </c>
      <c r="AV18" s="450">
        <v>63.23</v>
      </c>
      <c r="AW18" s="450">
        <v>63.26</v>
      </c>
      <c r="AX18" s="450">
        <v>63.28</v>
      </c>
      <c r="AY18" s="450">
        <v>63.3</v>
      </c>
      <c r="AZ18" s="450">
        <v>63.32</v>
      </c>
      <c r="BA18" s="450">
        <v>63.42</v>
      </c>
      <c r="BB18" s="450">
        <v>63.49</v>
      </c>
      <c r="BC18" s="450">
        <v>63.54</v>
      </c>
      <c r="BD18" s="450">
        <v>63.58</v>
      </c>
      <c r="BE18" s="450">
        <v>63.6</v>
      </c>
    </row>
    <row r="19" spans="2:57" x14ac:dyDescent="0.25">
      <c r="B19" s="134">
        <v>30</v>
      </c>
      <c r="C19" s="450">
        <v>62.31</v>
      </c>
      <c r="D19" s="450">
        <v>62.33</v>
      </c>
      <c r="E19" s="450">
        <v>62.36</v>
      </c>
      <c r="F19" s="450">
        <v>62.38</v>
      </c>
      <c r="G19" s="450">
        <v>62.41</v>
      </c>
      <c r="H19" s="450">
        <v>62.43</v>
      </c>
      <c r="I19" s="450">
        <v>62.46</v>
      </c>
      <c r="J19" s="450">
        <v>62.48</v>
      </c>
      <c r="K19" s="450">
        <v>62.5</v>
      </c>
      <c r="L19" s="450">
        <v>62.52</v>
      </c>
      <c r="M19" s="450">
        <v>62.54</v>
      </c>
      <c r="N19" s="450">
        <v>62.57</v>
      </c>
      <c r="O19" s="450">
        <v>62.66</v>
      </c>
      <c r="P19" s="450">
        <v>62.73</v>
      </c>
      <c r="Q19" s="450">
        <v>62.78</v>
      </c>
      <c r="R19" s="450">
        <v>62.81</v>
      </c>
      <c r="S19" s="450">
        <v>62.83</v>
      </c>
      <c r="T19" s="133"/>
      <c r="U19" s="134">
        <v>30</v>
      </c>
      <c r="V19" s="450">
        <v>62.58</v>
      </c>
      <c r="W19" s="450">
        <v>62.61</v>
      </c>
      <c r="X19" s="450">
        <v>62.64</v>
      </c>
      <c r="Y19" s="450">
        <v>62.66</v>
      </c>
      <c r="Z19" s="450">
        <v>62.69</v>
      </c>
      <c r="AA19" s="450">
        <v>62.71</v>
      </c>
      <c r="AB19" s="450">
        <v>62.73</v>
      </c>
      <c r="AC19" s="450">
        <v>62.76</v>
      </c>
      <c r="AD19" s="450">
        <v>62.78</v>
      </c>
      <c r="AE19" s="450">
        <v>62.8</v>
      </c>
      <c r="AF19" s="450">
        <v>62.82</v>
      </c>
      <c r="AG19" s="450">
        <v>62.85</v>
      </c>
      <c r="AH19" s="450">
        <v>62.94</v>
      </c>
      <c r="AI19" s="450">
        <v>63.01</v>
      </c>
      <c r="AJ19" s="450">
        <v>63.06</v>
      </c>
      <c r="AK19" s="450">
        <v>63.1</v>
      </c>
      <c r="AL19" s="450">
        <v>63.11</v>
      </c>
      <c r="AM19" s="133"/>
      <c r="AN19" s="134">
        <v>30</v>
      </c>
      <c r="AO19" s="450">
        <v>63.12</v>
      </c>
      <c r="AP19" s="450">
        <v>63.14</v>
      </c>
      <c r="AQ19" s="450">
        <v>63.17</v>
      </c>
      <c r="AR19" s="450">
        <v>63.19</v>
      </c>
      <c r="AS19" s="450">
        <v>63.22</v>
      </c>
      <c r="AT19" s="450">
        <v>63.25</v>
      </c>
      <c r="AU19" s="450">
        <v>63.27</v>
      </c>
      <c r="AV19" s="450">
        <v>63.29</v>
      </c>
      <c r="AW19" s="450">
        <v>63.32</v>
      </c>
      <c r="AX19" s="450">
        <v>63.34</v>
      </c>
      <c r="AY19" s="450">
        <v>63.36</v>
      </c>
      <c r="AZ19" s="450">
        <v>63.38</v>
      </c>
      <c r="BA19" s="450">
        <v>63.48</v>
      </c>
      <c r="BB19" s="450">
        <v>63.56</v>
      </c>
      <c r="BC19" s="450">
        <v>63.61</v>
      </c>
      <c r="BD19" s="450">
        <v>63.64</v>
      </c>
      <c r="BE19" s="450">
        <v>63.67</v>
      </c>
    </row>
    <row r="20" spans="2:57" x14ac:dyDescent="0.25">
      <c r="B20" s="134">
        <v>31</v>
      </c>
      <c r="C20" s="450">
        <v>62.36</v>
      </c>
      <c r="D20" s="450">
        <v>62.39</v>
      </c>
      <c r="E20" s="450">
        <v>62.41</v>
      </c>
      <c r="F20" s="450">
        <v>62.44</v>
      </c>
      <c r="G20" s="450">
        <v>62.46</v>
      </c>
      <c r="H20" s="450">
        <v>62.49</v>
      </c>
      <c r="I20" s="450">
        <v>62.51</v>
      </c>
      <c r="J20" s="450">
        <v>62.54</v>
      </c>
      <c r="K20" s="450">
        <v>62.56</v>
      </c>
      <c r="L20" s="450">
        <v>62.58</v>
      </c>
      <c r="M20" s="450">
        <v>62.61</v>
      </c>
      <c r="N20" s="450">
        <v>62.63</v>
      </c>
      <c r="O20" s="450">
        <v>62.72</v>
      </c>
      <c r="P20" s="450">
        <v>62.79</v>
      </c>
      <c r="Q20" s="450">
        <v>62.84</v>
      </c>
      <c r="R20" s="450">
        <v>62.88</v>
      </c>
      <c r="S20" s="450">
        <v>62.89</v>
      </c>
      <c r="T20" s="133"/>
      <c r="U20" s="134">
        <v>31</v>
      </c>
      <c r="V20" s="450">
        <v>62.64</v>
      </c>
      <c r="W20" s="450">
        <v>62.67</v>
      </c>
      <c r="X20" s="450">
        <v>62.69</v>
      </c>
      <c r="Y20" s="450">
        <v>62.72</v>
      </c>
      <c r="Z20" s="450">
        <v>62.74</v>
      </c>
      <c r="AA20" s="450">
        <v>62.77</v>
      </c>
      <c r="AB20" s="450">
        <v>62.79</v>
      </c>
      <c r="AC20" s="450">
        <v>62.82</v>
      </c>
      <c r="AD20" s="450">
        <v>62.84</v>
      </c>
      <c r="AE20" s="450">
        <v>62.86</v>
      </c>
      <c r="AF20" s="450">
        <v>62.89</v>
      </c>
      <c r="AG20" s="450">
        <v>62.91</v>
      </c>
      <c r="AH20" s="450">
        <v>63</v>
      </c>
      <c r="AI20" s="450">
        <v>63.08</v>
      </c>
      <c r="AJ20" s="450">
        <v>63.13</v>
      </c>
      <c r="AK20" s="450">
        <v>63.16</v>
      </c>
      <c r="AL20" s="450">
        <v>63.18</v>
      </c>
      <c r="AM20" s="133"/>
      <c r="AN20" s="134">
        <v>31</v>
      </c>
      <c r="AO20" s="450">
        <v>63.17</v>
      </c>
      <c r="AP20" s="450">
        <v>63.2</v>
      </c>
      <c r="AQ20" s="450">
        <v>63.23</v>
      </c>
      <c r="AR20" s="450">
        <v>63.25</v>
      </c>
      <c r="AS20" s="450">
        <v>63.28</v>
      </c>
      <c r="AT20" s="450">
        <v>63.31</v>
      </c>
      <c r="AU20" s="450">
        <v>63.33</v>
      </c>
      <c r="AV20" s="450">
        <v>63.36</v>
      </c>
      <c r="AW20" s="450">
        <v>63.38</v>
      </c>
      <c r="AX20" s="450">
        <v>63.4</v>
      </c>
      <c r="AY20" s="450">
        <v>63.43</v>
      </c>
      <c r="AZ20" s="450">
        <v>63.45</v>
      </c>
      <c r="BA20" s="450">
        <v>63.55</v>
      </c>
      <c r="BB20" s="450">
        <v>63.63</v>
      </c>
      <c r="BC20" s="450">
        <v>63.68</v>
      </c>
      <c r="BD20" s="450">
        <v>63.71</v>
      </c>
      <c r="BE20" s="450">
        <v>63.73</v>
      </c>
    </row>
    <row r="21" spans="2:57" x14ac:dyDescent="0.25">
      <c r="B21" s="134">
        <v>32</v>
      </c>
      <c r="C21" s="450">
        <v>62.42</v>
      </c>
      <c r="D21" s="450">
        <v>62.44</v>
      </c>
      <c r="E21" s="450">
        <v>62.47</v>
      </c>
      <c r="F21" s="450">
        <v>62.5</v>
      </c>
      <c r="G21" s="450">
        <v>62.52</v>
      </c>
      <c r="H21" s="450">
        <v>62.55</v>
      </c>
      <c r="I21" s="450">
        <v>62.58</v>
      </c>
      <c r="J21" s="450">
        <v>62.6</v>
      </c>
      <c r="K21" s="450">
        <v>62.62</v>
      </c>
      <c r="L21" s="450">
        <v>62.65</v>
      </c>
      <c r="M21" s="450">
        <v>62.67</v>
      </c>
      <c r="N21" s="450">
        <v>62.69</v>
      </c>
      <c r="O21" s="450">
        <v>62.79</v>
      </c>
      <c r="P21" s="450">
        <v>62.86</v>
      </c>
      <c r="Q21" s="450">
        <v>62.91</v>
      </c>
      <c r="R21" s="450">
        <v>62.94</v>
      </c>
      <c r="S21" s="450">
        <v>62.96</v>
      </c>
      <c r="T21" s="133"/>
      <c r="U21" s="134">
        <v>32</v>
      </c>
      <c r="V21" s="450">
        <v>62.69</v>
      </c>
      <c r="W21" s="450">
        <v>62.72</v>
      </c>
      <c r="X21" s="450">
        <v>62.75</v>
      </c>
      <c r="Y21" s="450">
        <v>62.78</v>
      </c>
      <c r="Z21" s="450">
        <v>62.8</v>
      </c>
      <c r="AA21" s="450">
        <v>62.83</v>
      </c>
      <c r="AB21" s="450">
        <v>62.86</v>
      </c>
      <c r="AC21" s="450">
        <v>62.88</v>
      </c>
      <c r="AD21" s="450">
        <v>62.91</v>
      </c>
      <c r="AE21" s="450">
        <v>62.93</v>
      </c>
      <c r="AF21" s="450">
        <v>62.95</v>
      </c>
      <c r="AG21" s="450">
        <v>62.97</v>
      </c>
      <c r="AH21" s="450">
        <v>63.07</v>
      </c>
      <c r="AI21" s="450">
        <v>63.15</v>
      </c>
      <c r="AJ21" s="450">
        <v>63.2</v>
      </c>
      <c r="AK21" s="450">
        <v>63.23</v>
      </c>
      <c r="AL21" s="450">
        <v>63.25</v>
      </c>
      <c r="AM21" s="133"/>
      <c r="AN21" s="134">
        <v>32</v>
      </c>
      <c r="AO21" s="450">
        <v>63.23</v>
      </c>
      <c r="AP21" s="450">
        <v>63.26</v>
      </c>
      <c r="AQ21" s="450">
        <v>63.29</v>
      </c>
      <c r="AR21" s="450">
        <v>63.31</v>
      </c>
      <c r="AS21" s="450">
        <v>63.34</v>
      </c>
      <c r="AT21" s="450">
        <v>63.37</v>
      </c>
      <c r="AU21" s="450">
        <v>63.4</v>
      </c>
      <c r="AV21" s="450">
        <v>63.42</v>
      </c>
      <c r="AW21" s="450">
        <v>63.45</v>
      </c>
      <c r="AX21" s="450">
        <v>63.47</v>
      </c>
      <c r="AY21" s="450">
        <v>63.5</v>
      </c>
      <c r="AZ21" s="450">
        <v>63.52</v>
      </c>
      <c r="BA21" s="450">
        <v>63.62</v>
      </c>
      <c r="BB21" s="450">
        <v>63.7</v>
      </c>
      <c r="BC21" s="450">
        <v>63.75</v>
      </c>
      <c r="BD21" s="450">
        <v>63.78</v>
      </c>
      <c r="BE21" s="450">
        <v>63.8</v>
      </c>
    </row>
    <row r="22" spans="2:57" x14ac:dyDescent="0.25">
      <c r="B22" s="134">
        <v>33</v>
      </c>
      <c r="C22" s="450">
        <v>62.47</v>
      </c>
      <c r="D22" s="450">
        <v>62.5</v>
      </c>
      <c r="E22" s="450">
        <v>62.53</v>
      </c>
      <c r="F22" s="450">
        <v>62.56</v>
      </c>
      <c r="G22" s="450">
        <v>62.59</v>
      </c>
      <c r="H22" s="450">
        <v>62.61</v>
      </c>
      <c r="I22" s="450">
        <v>62.64</v>
      </c>
      <c r="J22" s="450">
        <v>62.66</v>
      </c>
      <c r="K22" s="450">
        <v>62.69</v>
      </c>
      <c r="L22" s="450">
        <v>62.71</v>
      </c>
      <c r="M22" s="450">
        <v>62.74</v>
      </c>
      <c r="N22" s="450">
        <v>62.76</v>
      </c>
      <c r="O22" s="450">
        <v>62.86</v>
      </c>
      <c r="P22" s="450">
        <v>62.93</v>
      </c>
      <c r="Q22" s="450">
        <v>62.98</v>
      </c>
      <c r="R22" s="450">
        <v>63.01</v>
      </c>
      <c r="S22" s="450">
        <v>63.03</v>
      </c>
      <c r="T22" s="133"/>
      <c r="U22" s="134">
        <v>33</v>
      </c>
      <c r="V22" s="450">
        <v>62.75</v>
      </c>
      <c r="W22" s="450">
        <v>62.78</v>
      </c>
      <c r="X22" s="450">
        <v>62.81</v>
      </c>
      <c r="Y22" s="450">
        <v>62.84</v>
      </c>
      <c r="Z22" s="450">
        <v>62.87</v>
      </c>
      <c r="AA22" s="450">
        <v>62.89</v>
      </c>
      <c r="AB22" s="450">
        <v>62.92</v>
      </c>
      <c r="AC22" s="450">
        <v>62.95</v>
      </c>
      <c r="AD22" s="450">
        <v>62.97</v>
      </c>
      <c r="AE22" s="450">
        <v>63</v>
      </c>
      <c r="AF22" s="450">
        <v>63.02</v>
      </c>
      <c r="AG22" s="450">
        <v>63.04</v>
      </c>
      <c r="AH22" s="450">
        <v>63.14</v>
      </c>
      <c r="AI22" s="450">
        <v>63.22</v>
      </c>
      <c r="AJ22" s="450">
        <v>63.27</v>
      </c>
      <c r="AK22" s="450">
        <v>63.3</v>
      </c>
      <c r="AL22" s="450">
        <v>63.32</v>
      </c>
      <c r="AM22" s="133"/>
      <c r="AN22" s="134">
        <v>33</v>
      </c>
      <c r="AO22" s="450">
        <v>63.29</v>
      </c>
      <c r="AP22" s="450">
        <v>63.32</v>
      </c>
      <c r="AQ22" s="450">
        <v>63.35</v>
      </c>
      <c r="AR22" s="450">
        <v>63.38</v>
      </c>
      <c r="AS22" s="450">
        <v>63.41</v>
      </c>
      <c r="AT22" s="450">
        <v>63.43</v>
      </c>
      <c r="AU22" s="450">
        <v>63.46</v>
      </c>
      <c r="AV22" s="450">
        <v>63.49</v>
      </c>
      <c r="AW22" s="450">
        <v>63.51</v>
      </c>
      <c r="AX22" s="450">
        <v>63.54</v>
      </c>
      <c r="AY22" s="450">
        <v>63.56</v>
      </c>
      <c r="AZ22" s="450">
        <v>63.59</v>
      </c>
      <c r="BA22" s="450">
        <v>63.69</v>
      </c>
      <c r="BB22" s="450">
        <v>63.77</v>
      </c>
      <c r="BC22" s="450">
        <v>63.82</v>
      </c>
      <c r="BD22" s="450">
        <v>63.86</v>
      </c>
      <c r="BE22" s="450">
        <v>63.87</v>
      </c>
    </row>
    <row r="23" spans="2:57" x14ac:dyDescent="0.25">
      <c r="B23" s="134">
        <v>34</v>
      </c>
      <c r="C23" s="450">
        <v>62.53</v>
      </c>
      <c r="D23" s="450">
        <v>62.56</v>
      </c>
      <c r="E23" s="450">
        <v>62.59</v>
      </c>
      <c r="F23" s="450">
        <v>62.62</v>
      </c>
      <c r="G23" s="450">
        <v>62.65</v>
      </c>
      <c r="H23" s="450">
        <v>62.68</v>
      </c>
      <c r="I23" s="450">
        <v>62.7</v>
      </c>
      <c r="J23" s="450">
        <v>62.73</v>
      </c>
      <c r="K23" s="450">
        <v>62.76</v>
      </c>
      <c r="L23" s="450">
        <v>62.78</v>
      </c>
      <c r="M23" s="450">
        <v>62.81</v>
      </c>
      <c r="N23" s="450">
        <v>62.83</v>
      </c>
      <c r="O23" s="450">
        <v>62.93</v>
      </c>
      <c r="P23" s="450">
        <v>63</v>
      </c>
      <c r="Q23" s="450">
        <v>63.05</v>
      </c>
      <c r="R23" s="450">
        <v>63.08</v>
      </c>
      <c r="S23" s="450">
        <v>63.09</v>
      </c>
      <c r="T23" s="133"/>
      <c r="U23" s="134">
        <v>34</v>
      </c>
      <c r="V23" s="450">
        <v>62.81</v>
      </c>
      <c r="W23" s="450">
        <v>62.84</v>
      </c>
      <c r="X23" s="450">
        <v>62.87</v>
      </c>
      <c r="Y23" s="450">
        <v>62.9</v>
      </c>
      <c r="Z23" s="450">
        <v>62.93</v>
      </c>
      <c r="AA23" s="450">
        <v>62.96</v>
      </c>
      <c r="AB23" s="450">
        <v>62.99</v>
      </c>
      <c r="AC23" s="450">
        <v>63.01</v>
      </c>
      <c r="AD23" s="450">
        <v>63.04</v>
      </c>
      <c r="AE23" s="450">
        <v>63.07</v>
      </c>
      <c r="AF23" s="450">
        <v>63.09</v>
      </c>
      <c r="AG23" s="450">
        <v>63.11</v>
      </c>
      <c r="AH23" s="450">
        <v>63.21</v>
      </c>
      <c r="AI23" s="450">
        <v>63.29</v>
      </c>
      <c r="AJ23" s="450">
        <v>63.34</v>
      </c>
      <c r="AK23" s="450">
        <v>63.37</v>
      </c>
      <c r="AL23" s="450">
        <v>63.39</v>
      </c>
      <c r="AM23" s="133"/>
      <c r="AN23" s="134">
        <v>34</v>
      </c>
      <c r="AO23" s="450">
        <v>63.35</v>
      </c>
      <c r="AP23" s="450">
        <v>63.38</v>
      </c>
      <c r="AQ23" s="450">
        <v>63.41</v>
      </c>
      <c r="AR23" s="450">
        <v>63.44</v>
      </c>
      <c r="AS23" s="450">
        <v>63.47</v>
      </c>
      <c r="AT23" s="450">
        <v>63.5</v>
      </c>
      <c r="AU23" s="450">
        <v>63.53</v>
      </c>
      <c r="AV23" s="450">
        <v>63.56</v>
      </c>
      <c r="AW23" s="450">
        <v>63.59</v>
      </c>
      <c r="AX23" s="450">
        <v>63.61</v>
      </c>
      <c r="AY23" s="450">
        <v>63.64</v>
      </c>
      <c r="AZ23" s="450">
        <v>63.66</v>
      </c>
      <c r="BA23" s="450">
        <v>63.77</v>
      </c>
      <c r="BB23" s="450">
        <v>63.84</v>
      </c>
      <c r="BC23" s="450">
        <v>63.9</v>
      </c>
      <c r="BD23" s="450">
        <v>63.93</v>
      </c>
      <c r="BE23" s="450">
        <v>63.95</v>
      </c>
    </row>
    <row r="24" spans="2:57" x14ac:dyDescent="0.25">
      <c r="B24" s="134">
        <v>35</v>
      </c>
      <c r="C24" s="450">
        <v>62.6</v>
      </c>
      <c r="D24" s="450">
        <v>62.63</v>
      </c>
      <c r="E24" s="450">
        <v>62.66</v>
      </c>
      <c r="F24" s="450">
        <v>62.69</v>
      </c>
      <c r="G24" s="450">
        <v>62.72</v>
      </c>
      <c r="H24" s="450">
        <v>62.74</v>
      </c>
      <c r="I24" s="450">
        <v>62.77</v>
      </c>
      <c r="J24" s="450">
        <v>62.8</v>
      </c>
      <c r="K24" s="450">
        <v>62.83</v>
      </c>
      <c r="L24" s="450">
        <v>62.85</v>
      </c>
      <c r="M24" s="450">
        <v>62.88</v>
      </c>
      <c r="N24" s="450">
        <v>62.9</v>
      </c>
      <c r="O24" s="450">
        <v>63</v>
      </c>
      <c r="P24" s="450">
        <v>63.07</v>
      </c>
      <c r="Q24" s="450">
        <v>63.12</v>
      </c>
      <c r="R24" s="450">
        <v>63.15</v>
      </c>
      <c r="S24" s="450">
        <v>63.16</v>
      </c>
      <c r="T24" s="133"/>
      <c r="U24" s="134">
        <v>35</v>
      </c>
      <c r="V24" s="450">
        <v>62.88</v>
      </c>
      <c r="W24" s="450">
        <v>62.91</v>
      </c>
      <c r="X24" s="450">
        <v>62.94</v>
      </c>
      <c r="Y24" s="450">
        <v>62.97</v>
      </c>
      <c r="Z24" s="450">
        <v>63</v>
      </c>
      <c r="AA24" s="450">
        <v>63.03</v>
      </c>
      <c r="AB24" s="450">
        <v>63.06</v>
      </c>
      <c r="AC24" s="450">
        <v>63.08</v>
      </c>
      <c r="AD24" s="450">
        <v>63.11</v>
      </c>
      <c r="AE24" s="450">
        <v>63.14</v>
      </c>
      <c r="AF24" s="450">
        <v>63.16</v>
      </c>
      <c r="AG24" s="450">
        <v>63.19</v>
      </c>
      <c r="AH24" s="450">
        <v>63.29</v>
      </c>
      <c r="AI24" s="450">
        <v>63.36</v>
      </c>
      <c r="AJ24" s="450">
        <v>63.41</v>
      </c>
      <c r="AK24" s="450">
        <v>63.44</v>
      </c>
      <c r="AL24" s="450">
        <v>63.46</v>
      </c>
      <c r="AM24" s="133"/>
      <c r="AN24" s="134">
        <v>35</v>
      </c>
      <c r="AO24" s="450">
        <v>63.42</v>
      </c>
      <c r="AP24" s="450">
        <v>63.45</v>
      </c>
      <c r="AQ24" s="450">
        <v>63.48</v>
      </c>
      <c r="AR24" s="450">
        <v>63.51</v>
      </c>
      <c r="AS24" s="450">
        <v>63.54</v>
      </c>
      <c r="AT24" s="450">
        <v>63.57</v>
      </c>
      <c r="AU24" s="450">
        <v>63.6</v>
      </c>
      <c r="AV24" s="450">
        <v>63.63</v>
      </c>
      <c r="AW24" s="450">
        <v>63.66</v>
      </c>
      <c r="AX24" s="450">
        <v>63.68</v>
      </c>
      <c r="AY24" s="450">
        <v>63.71</v>
      </c>
      <c r="AZ24" s="450">
        <v>63.74</v>
      </c>
      <c r="BA24" s="450">
        <v>63.84</v>
      </c>
      <c r="BB24" s="450">
        <v>63.92</v>
      </c>
      <c r="BC24" s="450">
        <v>63.97</v>
      </c>
      <c r="BD24" s="450">
        <v>64</v>
      </c>
      <c r="BE24" s="450">
        <v>64.02</v>
      </c>
    </row>
    <row r="25" spans="2:57" x14ac:dyDescent="0.25">
      <c r="B25" s="134">
        <v>36</v>
      </c>
      <c r="C25" s="450">
        <v>62.66</v>
      </c>
      <c r="D25" s="450">
        <v>62.69</v>
      </c>
      <c r="E25" s="450">
        <v>62.72</v>
      </c>
      <c r="F25" s="450">
        <v>62.75</v>
      </c>
      <c r="G25" s="450">
        <v>62.78</v>
      </c>
      <c r="H25" s="450">
        <v>62.81</v>
      </c>
      <c r="I25" s="450">
        <v>62.84</v>
      </c>
      <c r="J25" s="450">
        <v>62.87</v>
      </c>
      <c r="K25" s="450">
        <v>62.9</v>
      </c>
      <c r="L25" s="450">
        <v>62.92</v>
      </c>
      <c r="M25" s="450">
        <v>62.95</v>
      </c>
      <c r="N25" s="450">
        <v>62.97</v>
      </c>
      <c r="O25" s="450">
        <v>63.08</v>
      </c>
      <c r="P25" s="450">
        <v>63.15</v>
      </c>
      <c r="Q25" s="450">
        <v>63.2</v>
      </c>
      <c r="R25" s="450">
        <v>63.22</v>
      </c>
      <c r="S25" s="450">
        <v>63.23</v>
      </c>
      <c r="T25" s="133"/>
      <c r="U25" s="134">
        <v>36</v>
      </c>
      <c r="V25" s="450">
        <v>62.94</v>
      </c>
      <c r="W25" s="450">
        <v>62.97</v>
      </c>
      <c r="X25" s="450">
        <v>63.01</v>
      </c>
      <c r="Y25" s="450">
        <v>63.04</v>
      </c>
      <c r="Z25" s="450">
        <v>63.07</v>
      </c>
      <c r="AA25" s="450">
        <v>63.1</v>
      </c>
      <c r="AB25" s="450">
        <v>63.13</v>
      </c>
      <c r="AC25" s="450">
        <v>63.16</v>
      </c>
      <c r="AD25" s="450">
        <v>63.18</v>
      </c>
      <c r="AE25" s="450">
        <v>63.21</v>
      </c>
      <c r="AF25" s="450">
        <v>63.24</v>
      </c>
      <c r="AG25" s="450">
        <v>63.26</v>
      </c>
      <c r="AH25" s="450">
        <v>63.36</v>
      </c>
      <c r="AI25" s="450">
        <v>63.44</v>
      </c>
      <c r="AJ25" s="450">
        <v>63.49</v>
      </c>
      <c r="AK25" s="450">
        <v>63.51</v>
      </c>
      <c r="AL25" s="450">
        <v>63.53</v>
      </c>
      <c r="AM25" s="133"/>
      <c r="AN25" s="134">
        <v>36</v>
      </c>
      <c r="AO25" s="450">
        <v>63.48</v>
      </c>
      <c r="AP25" s="450">
        <v>63.52</v>
      </c>
      <c r="AQ25" s="450">
        <v>63.55</v>
      </c>
      <c r="AR25" s="450">
        <v>63.58</v>
      </c>
      <c r="AS25" s="450">
        <v>63.61</v>
      </c>
      <c r="AT25" s="450">
        <v>63.65</v>
      </c>
      <c r="AU25" s="450">
        <v>63.68</v>
      </c>
      <c r="AV25" s="450">
        <v>63.7</v>
      </c>
      <c r="AW25" s="450">
        <v>63.73</v>
      </c>
      <c r="AX25" s="450">
        <v>63.76</v>
      </c>
      <c r="AY25" s="450">
        <v>63.79</v>
      </c>
      <c r="AZ25" s="450">
        <v>63.81</v>
      </c>
      <c r="BA25" s="450">
        <v>63.92</v>
      </c>
      <c r="BB25" s="450">
        <v>64</v>
      </c>
      <c r="BC25" s="450">
        <v>64.05</v>
      </c>
      <c r="BD25" s="450">
        <v>64.08</v>
      </c>
      <c r="BE25" s="450">
        <v>64.09</v>
      </c>
    </row>
    <row r="26" spans="2:57" x14ac:dyDescent="0.25">
      <c r="B26" s="134">
        <v>37</v>
      </c>
      <c r="C26" s="450">
        <v>62.73</v>
      </c>
      <c r="D26" s="450">
        <v>62.76</v>
      </c>
      <c r="E26" s="450">
        <v>62.79</v>
      </c>
      <c r="F26" s="450">
        <v>62.82</v>
      </c>
      <c r="G26" s="450">
        <v>62.86</v>
      </c>
      <c r="H26" s="450">
        <v>62.89</v>
      </c>
      <c r="I26" s="450">
        <v>62.92</v>
      </c>
      <c r="J26" s="450">
        <v>62.94</v>
      </c>
      <c r="K26" s="450">
        <v>62.97</v>
      </c>
      <c r="L26" s="450">
        <v>63</v>
      </c>
      <c r="M26" s="450">
        <v>63.02</v>
      </c>
      <c r="N26" s="450">
        <v>63.05</v>
      </c>
      <c r="O26" s="450">
        <v>63.15</v>
      </c>
      <c r="P26" s="450">
        <v>63.22</v>
      </c>
      <c r="Q26" s="450">
        <v>63.27</v>
      </c>
      <c r="R26" s="450">
        <v>63.29</v>
      </c>
      <c r="S26" s="450">
        <v>63.3</v>
      </c>
      <c r="T26" s="133"/>
      <c r="U26" s="134">
        <v>37</v>
      </c>
      <c r="V26" s="450">
        <v>63.01</v>
      </c>
      <c r="W26" s="450">
        <v>63.04</v>
      </c>
      <c r="X26" s="450">
        <v>63.08</v>
      </c>
      <c r="Y26" s="450">
        <v>63.11</v>
      </c>
      <c r="Z26" s="450">
        <v>63.14</v>
      </c>
      <c r="AA26" s="450">
        <v>63.17</v>
      </c>
      <c r="AB26" s="450">
        <v>63.2</v>
      </c>
      <c r="AC26" s="450">
        <v>63.23</v>
      </c>
      <c r="AD26" s="450">
        <v>63.26</v>
      </c>
      <c r="AE26" s="450">
        <v>63.29</v>
      </c>
      <c r="AF26" s="450">
        <v>63.31</v>
      </c>
      <c r="AG26" s="450">
        <v>63.34</v>
      </c>
      <c r="AH26" s="450">
        <v>63.44</v>
      </c>
      <c r="AI26" s="450">
        <v>63.51</v>
      </c>
      <c r="AJ26" s="450">
        <v>63.56</v>
      </c>
      <c r="AK26" s="450">
        <v>63.59</v>
      </c>
      <c r="AL26" s="450">
        <v>63.6</v>
      </c>
      <c r="AM26" s="133"/>
      <c r="AN26" s="134">
        <v>37</v>
      </c>
      <c r="AO26" s="450">
        <v>63.55</v>
      </c>
      <c r="AP26" s="450">
        <v>63.59</v>
      </c>
      <c r="AQ26" s="450">
        <v>63.62</v>
      </c>
      <c r="AR26" s="450">
        <v>63.66</v>
      </c>
      <c r="AS26" s="450">
        <v>63.69</v>
      </c>
      <c r="AT26" s="450">
        <v>63.72</v>
      </c>
      <c r="AU26" s="450">
        <v>63.75</v>
      </c>
      <c r="AV26" s="450">
        <v>63.78</v>
      </c>
      <c r="AW26" s="450">
        <v>63.81</v>
      </c>
      <c r="AX26" s="450">
        <v>63.84</v>
      </c>
      <c r="AY26" s="450">
        <v>63.87</v>
      </c>
      <c r="AZ26" s="450">
        <v>63.89</v>
      </c>
      <c r="BA26" s="450">
        <v>64</v>
      </c>
      <c r="BB26" s="450">
        <v>64.08</v>
      </c>
      <c r="BC26" s="450">
        <v>64.13</v>
      </c>
      <c r="BD26" s="450">
        <v>64.16</v>
      </c>
      <c r="BE26" s="450">
        <v>64.17</v>
      </c>
    </row>
    <row r="27" spans="2:57" x14ac:dyDescent="0.25">
      <c r="B27" s="134">
        <v>38</v>
      </c>
      <c r="C27" s="450">
        <v>62.8</v>
      </c>
      <c r="D27" s="450">
        <v>62.83</v>
      </c>
      <c r="E27" s="450">
        <v>62.86</v>
      </c>
      <c r="F27" s="450">
        <v>62.9</v>
      </c>
      <c r="G27" s="450">
        <v>62.93</v>
      </c>
      <c r="H27" s="450">
        <v>62.96</v>
      </c>
      <c r="I27" s="450">
        <v>62.99</v>
      </c>
      <c r="J27" s="450">
        <v>63.02</v>
      </c>
      <c r="K27" s="450">
        <v>63.05</v>
      </c>
      <c r="L27" s="450">
        <v>63.07</v>
      </c>
      <c r="M27" s="450">
        <v>63.1</v>
      </c>
      <c r="N27" s="450">
        <v>63.12</v>
      </c>
      <c r="O27" s="450">
        <v>63.23</v>
      </c>
      <c r="P27" s="450">
        <v>63.3</v>
      </c>
      <c r="Q27" s="450">
        <v>63.34</v>
      </c>
      <c r="R27" s="450">
        <v>63.37</v>
      </c>
      <c r="S27" s="450">
        <v>63.37</v>
      </c>
      <c r="T27" s="133"/>
      <c r="U27" s="134">
        <v>38</v>
      </c>
      <c r="V27" s="450">
        <v>63.08</v>
      </c>
      <c r="W27" s="450">
        <v>63.11</v>
      </c>
      <c r="X27" s="450">
        <v>63.15</v>
      </c>
      <c r="Y27" s="450">
        <v>63.18</v>
      </c>
      <c r="Z27" s="450">
        <v>63.21</v>
      </c>
      <c r="AA27" s="450">
        <v>63.25</v>
      </c>
      <c r="AB27" s="450">
        <v>63.28</v>
      </c>
      <c r="AC27" s="450">
        <v>63.31</v>
      </c>
      <c r="AD27" s="450">
        <v>63.33</v>
      </c>
      <c r="AE27" s="450">
        <v>63.36</v>
      </c>
      <c r="AF27" s="450">
        <v>63.39</v>
      </c>
      <c r="AG27" s="450">
        <v>63.41</v>
      </c>
      <c r="AH27" s="450">
        <v>63.52</v>
      </c>
      <c r="AI27" s="450">
        <v>63.59</v>
      </c>
      <c r="AJ27" s="450">
        <v>63.64</v>
      </c>
      <c r="AK27" s="450">
        <v>63.66</v>
      </c>
      <c r="AL27" s="450">
        <v>63.67</v>
      </c>
      <c r="AM27" s="133"/>
      <c r="AN27" s="134">
        <v>38</v>
      </c>
      <c r="AO27" s="450">
        <v>63.63</v>
      </c>
      <c r="AP27" s="450">
        <v>63.66</v>
      </c>
      <c r="AQ27" s="450">
        <v>63.7</v>
      </c>
      <c r="AR27" s="450">
        <v>63.73</v>
      </c>
      <c r="AS27" s="450">
        <v>63.76</v>
      </c>
      <c r="AT27" s="450">
        <v>63.8</v>
      </c>
      <c r="AU27" s="450">
        <v>63.83</v>
      </c>
      <c r="AV27" s="450">
        <v>63.86</v>
      </c>
      <c r="AW27" s="450">
        <v>63.89</v>
      </c>
      <c r="AX27" s="450">
        <v>63.92</v>
      </c>
      <c r="AY27" s="450">
        <v>63.95</v>
      </c>
      <c r="AZ27" s="450">
        <v>63.97</v>
      </c>
      <c r="BA27" s="450">
        <v>64.08</v>
      </c>
      <c r="BB27" s="450">
        <v>64.16</v>
      </c>
      <c r="BC27" s="450">
        <v>64.209999999999994</v>
      </c>
      <c r="BD27" s="450">
        <v>64.23</v>
      </c>
      <c r="BE27" s="450">
        <v>64.239999999999995</v>
      </c>
    </row>
    <row r="28" spans="2:57" x14ac:dyDescent="0.25">
      <c r="B28" s="134">
        <v>39</v>
      </c>
      <c r="C28" s="450">
        <v>62.87</v>
      </c>
      <c r="D28" s="450">
        <v>62.9</v>
      </c>
      <c r="E28" s="450">
        <v>62.94</v>
      </c>
      <c r="F28" s="450">
        <v>62.97</v>
      </c>
      <c r="G28" s="450">
        <v>63</v>
      </c>
      <c r="H28" s="450">
        <v>63.04</v>
      </c>
      <c r="I28" s="450">
        <v>63.07</v>
      </c>
      <c r="J28" s="450">
        <v>63.1</v>
      </c>
      <c r="K28" s="450">
        <v>63.12</v>
      </c>
      <c r="L28" s="450">
        <v>63.15</v>
      </c>
      <c r="M28" s="450">
        <v>63.18</v>
      </c>
      <c r="N28" s="450">
        <v>63.2</v>
      </c>
      <c r="O28" s="450">
        <v>63.31</v>
      </c>
      <c r="P28" s="450">
        <v>63.37</v>
      </c>
      <c r="Q28" s="450">
        <v>63.42</v>
      </c>
      <c r="R28" s="450">
        <v>63.44</v>
      </c>
      <c r="S28" s="450">
        <v>63.44</v>
      </c>
      <c r="T28" s="133"/>
      <c r="U28" s="134">
        <v>39</v>
      </c>
      <c r="V28" s="450">
        <v>63.15</v>
      </c>
      <c r="W28" s="450">
        <v>63.19</v>
      </c>
      <c r="X28" s="450">
        <v>63.22</v>
      </c>
      <c r="Y28" s="450">
        <v>63.26</v>
      </c>
      <c r="Z28" s="450">
        <v>63.29</v>
      </c>
      <c r="AA28" s="450">
        <v>63.32</v>
      </c>
      <c r="AB28" s="450">
        <v>63.35</v>
      </c>
      <c r="AC28" s="450">
        <v>63.38</v>
      </c>
      <c r="AD28" s="450">
        <v>63.41</v>
      </c>
      <c r="AE28" s="450">
        <v>63.44</v>
      </c>
      <c r="AF28" s="450">
        <v>63.47</v>
      </c>
      <c r="AG28" s="450">
        <v>63.49</v>
      </c>
      <c r="AH28" s="450">
        <v>63.6</v>
      </c>
      <c r="AI28" s="450">
        <v>63.67</v>
      </c>
      <c r="AJ28" s="450">
        <v>63.71</v>
      </c>
      <c r="AK28" s="450">
        <v>63.74</v>
      </c>
      <c r="AL28" s="450">
        <v>63.74</v>
      </c>
      <c r="AM28" s="133"/>
      <c r="AN28" s="134">
        <v>39</v>
      </c>
      <c r="AO28" s="450">
        <v>63.7</v>
      </c>
      <c r="AP28" s="450">
        <v>63.74</v>
      </c>
      <c r="AQ28" s="450">
        <v>63.77</v>
      </c>
      <c r="AR28" s="450">
        <v>63.81</v>
      </c>
      <c r="AS28" s="450">
        <v>63.84</v>
      </c>
      <c r="AT28" s="450">
        <v>63.88</v>
      </c>
      <c r="AU28" s="450">
        <v>63.91</v>
      </c>
      <c r="AV28" s="450">
        <v>63.94</v>
      </c>
      <c r="AW28" s="450">
        <v>63.97</v>
      </c>
      <c r="AX28" s="450">
        <v>64</v>
      </c>
      <c r="AY28" s="450">
        <v>64.03</v>
      </c>
      <c r="AZ28" s="450">
        <v>64.05</v>
      </c>
      <c r="BA28" s="450">
        <v>64.16</v>
      </c>
      <c r="BB28" s="450">
        <v>64.239999999999995</v>
      </c>
      <c r="BC28" s="450">
        <v>64.290000000000006</v>
      </c>
      <c r="BD28" s="450">
        <v>64.31</v>
      </c>
      <c r="BE28" s="450">
        <v>64.319999999999993</v>
      </c>
    </row>
    <row r="29" spans="2:57" x14ac:dyDescent="0.25">
      <c r="B29" s="134">
        <v>40</v>
      </c>
      <c r="C29" s="450">
        <v>62.94</v>
      </c>
      <c r="D29" s="450">
        <v>62.98</v>
      </c>
      <c r="E29" s="450">
        <v>63.01</v>
      </c>
      <c r="F29" s="450">
        <v>63.05</v>
      </c>
      <c r="G29" s="450">
        <v>63.08</v>
      </c>
      <c r="H29" s="450">
        <v>63.11</v>
      </c>
      <c r="I29" s="450">
        <v>63.14</v>
      </c>
      <c r="J29" s="450">
        <v>63.17</v>
      </c>
      <c r="K29" s="450">
        <v>63.2</v>
      </c>
      <c r="L29" s="450">
        <v>63.23</v>
      </c>
      <c r="M29" s="450">
        <v>63.26</v>
      </c>
      <c r="N29" s="450">
        <v>63.28</v>
      </c>
      <c r="O29" s="450">
        <v>63.38</v>
      </c>
      <c r="P29" s="450">
        <v>63.45</v>
      </c>
      <c r="Q29" s="450">
        <v>63.49</v>
      </c>
      <c r="R29" s="450">
        <v>63.51</v>
      </c>
      <c r="S29" s="450">
        <v>63.52</v>
      </c>
      <c r="T29" s="133"/>
      <c r="U29" s="134">
        <v>40</v>
      </c>
      <c r="V29" s="450">
        <v>63.23</v>
      </c>
      <c r="W29" s="450">
        <v>63.26</v>
      </c>
      <c r="X29" s="450">
        <v>63.3</v>
      </c>
      <c r="Y29" s="450">
        <v>63.33</v>
      </c>
      <c r="Z29" s="450">
        <v>63.37</v>
      </c>
      <c r="AA29" s="450">
        <v>63.4</v>
      </c>
      <c r="AB29" s="450">
        <v>63.43</v>
      </c>
      <c r="AC29" s="450">
        <v>63.46</v>
      </c>
      <c r="AD29" s="450">
        <v>63.49</v>
      </c>
      <c r="AE29" s="450">
        <v>63.52</v>
      </c>
      <c r="AF29" s="450">
        <v>63.55</v>
      </c>
      <c r="AG29" s="450">
        <v>63.57</v>
      </c>
      <c r="AH29" s="450">
        <v>63.68</v>
      </c>
      <c r="AI29" s="450">
        <v>63.75</v>
      </c>
      <c r="AJ29" s="450">
        <v>63.79</v>
      </c>
      <c r="AK29" s="450">
        <v>63.81</v>
      </c>
      <c r="AL29" s="450">
        <v>63.82</v>
      </c>
      <c r="AM29" s="133"/>
      <c r="AN29" s="134">
        <v>40</v>
      </c>
      <c r="AO29" s="450">
        <v>63.78</v>
      </c>
      <c r="AP29" s="450">
        <v>63.82</v>
      </c>
      <c r="AQ29" s="450">
        <v>63.85</v>
      </c>
      <c r="AR29" s="450">
        <v>63.89</v>
      </c>
      <c r="AS29" s="450">
        <v>63.92</v>
      </c>
      <c r="AT29" s="450">
        <v>63.96</v>
      </c>
      <c r="AU29" s="450">
        <v>63.99</v>
      </c>
      <c r="AV29" s="450">
        <v>64.02</v>
      </c>
      <c r="AW29" s="450">
        <v>64.05</v>
      </c>
      <c r="AX29" s="450">
        <v>64.08</v>
      </c>
      <c r="AY29" s="450">
        <v>64.11</v>
      </c>
      <c r="AZ29" s="450">
        <v>64.14</v>
      </c>
      <c r="BA29" s="450">
        <v>64.25</v>
      </c>
      <c r="BB29" s="450">
        <v>64.319999999999993</v>
      </c>
      <c r="BC29" s="450">
        <v>64.37</v>
      </c>
      <c r="BD29" s="450">
        <v>64.39</v>
      </c>
      <c r="BE29" s="450">
        <v>64.400000000000006</v>
      </c>
    </row>
    <row r="30" spans="2:57" x14ac:dyDescent="0.25">
      <c r="B30" s="134">
        <v>41</v>
      </c>
      <c r="C30" s="450">
        <v>63.02</v>
      </c>
      <c r="D30" s="450">
        <v>63.05</v>
      </c>
      <c r="E30" s="450">
        <v>63.09</v>
      </c>
      <c r="F30" s="450">
        <v>63.12</v>
      </c>
      <c r="G30" s="450">
        <v>63.16</v>
      </c>
      <c r="H30" s="450">
        <v>63.19</v>
      </c>
      <c r="I30" s="450">
        <v>63.22</v>
      </c>
      <c r="J30" s="450">
        <v>63.25</v>
      </c>
      <c r="K30" s="450">
        <v>63.28</v>
      </c>
      <c r="L30" s="450">
        <v>63.31</v>
      </c>
      <c r="M30" s="450">
        <v>63.34</v>
      </c>
      <c r="N30" s="450">
        <v>63.36</v>
      </c>
      <c r="O30" s="450">
        <v>63.46</v>
      </c>
      <c r="P30" s="450">
        <v>63.53</v>
      </c>
      <c r="Q30" s="450">
        <v>63.57</v>
      </c>
      <c r="R30" s="450">
        <v>63.58</v>
      </c>
      <c r="S30" s="450">
        <v>63.59</v>
      </c>
      <c r="T30" s="133"/>
      <c r="U30" s="134">
        <v>41</v>
      </c>
      <c r="V30" s="450">
        <v>63.3</v>
      </c>
      <c r="W30" s="450">
        <v>63.34</v>
      </c>
      <c r="X30" s="450">
        <v>63.38</v>
      </c>
      <c r="Y30" s="450">
        <v>63.41</v>
      </c>
      <c r="Z30" s="450">
        <v>63.45</v>
      </c>
      <c r="AA30" s="450">
        <v>63.48</v>
      </c>
      <c r="AB30" s="450">
        <v>63.51</v>
      </c>
      <c r="AC30" s="450">
        <v>63.54</v>
      </c>
      <c r="AD30" s="450">
        <v>63.57</v>
      </c>
      <c r="AE30" s="450">
        <v>63.6</v>
      </c>
      <c r="AF30" s="450">
        <v>63.63</v>
      </c>
      <c r="AG30" s="450">
        <v>63.65</v>
      </c>
      <c r="AH30" s="450">
        <v>63.76</v>
      </c>
      <c r="AI30" s="450">
        <v>63.83</v>
      </c>
      <c r="AJ30" s="450">
        <v>63.87</v>
      </c>
      <c r="AK30" s="450">
        <v>63.89</v>
      </c>
      <c r="AL30" s="450">
        <v>63.89</v>
      </c>
      <c r="AM30" s="133"/>
      <c r="AN30" s="134">
        <v>41</v>
      </c>
      <c r="AO30" s="450">
        <v>63.86</v>
      </c>
      <c r="AP30" s="450">
        <v>63.9</v>
      </c>
      <c r="AQ30" s="450">
        <v>63.93</v>
      </c>
      <c r="AR30" s="450">
        <v>63.97</v>
      </c>
      <c r="AS30" s="450">
        <v>64.010000000000005</v>
      </c>
      <c r="AT30" s="450">
        <v>64.040000000000006</v>
      </c>
      <c r="AU30" s="450">
        <v>64.08</v>
      </c>
      <c r="AV30" s="450">
        <v>64.11</v>
      </c>
      <c r="AW30" s="450">
        <v>64.14</v>
      </c>
      <c r="AX30" s="450">
        <v>64.17</v>
      </c>
      <c r="AY30" s="450">
        <v>64.2</v>
      </c>
      <c r="AZ30" s="450">
        <v>64.22</v>
      </c>
      <c r="BA30" s="450">
        <v>64.33</v>
      </c>
      <c r="BB30" s="450">
        <v>64.400000000000006</v>
      </c>
      <c r="BC30" s="450">
        <v>64.45</v>
      </c>
      <c r="BD30" s="450">
        <v>64.47</v>
      </c>
      <c r="BE30" s="450">
        <v>64.47</v>
      </c>
    </row>
    <row r="31" spans="2:57" x14ac:dyDescent="0.25">
      <c r="B31" s="134">
        <v>42</v>
      </c>
      <c r="C31" s="450">
        <v>63.09</v>
      </c>
      <c r="D31" s="450">
        <v>63.13</v>
      </c>
      <c r="E31" s="450">
        <v>63.17</v>
      </c>
      <c r="F31" s="450">
        <v>63.2</v>
      </c>
      <c r="G31" s="450">
        <v>63.24</v>
      </c>
      <c r="H31" s="450">
        <v>63.27</v>
      </c>
      <c r="I31" s="450">
        <v>63.3</v>
      </c>
      <c r="J31" s="450">
        <v>63.33</v>
      </c>
      <c r="K31" s="450">
        <v>63.36</v>
      </c>
      <c r="L31" s="450">
        <v>63.39</v>
      </c>
      <c r="M31" s="450">
        <v>63.42</v>
      </c>
      <c r="N31" s="450">
        <v>63.44</v>
      </c>
      <c r="O31" s="450">
        <v>63.54</v>
      </c>
      <c r="P31" s="450">
        <v>63.6</v>
      </c>
      <c r="Q31" s="450">
        <v>63.64</v>
      </c>
      <c r="R31" s="450">
        <v>63.65</v>
      </c>
      <c r="S31" s="450">
        <v>63.66</v>
      </c>
      <c r="T31" s="133"/>
      <c r="U31" s="134">
        <v>42</v>
      </c>
      <c r="V31" s="450">
        <v>63.38</v>
      </c>
      <c r="W31" s="450">
        <v>63.42</v>
      </c>
      <c r="X31" s="450">
        <v>63.46</v>
      </c>
      <c r="Y31" s="450">
        <v>63.49</v>
      </c>
      <c r="Z31" s="450">
        <v>63.53</v>
      </c>
      <c r="AA31" s="450">
        <v>63.56</v>
      </c>
      <c r="AB31" s="450">
        <v>63.6</v>
      </c>
      <c r="AC31" s="450">
        <v>63.63</v>
      </c>
      <c r="AD31" s="450">
        <v>63.66</v>
      </c>
      <c r="AE31" s="450">
        <v>63.68</v>
      </c>
      <c r="AF31" s="450">
        <v>63.71</v>
      </c>
      <c r="AG31" s="450">
        <v>63.74</v>
      </c>
      <c r="AH31" s="450">
        <v>63.84</v>
      </c>
      <c r="AI31" s="450">
        <v>63.9</v>
      </c>
      <c r="AJ31" s="450">
        <v>63.94</v>
      </c>
      <c r="AK31" s="450">
        <v>63.96</v>
      </c>
      <c r="AL31" s="450">
        <v>63.96</v>
      </c>
      <c r="AM31" s="133"/>
      <c r="AN31" s="134">
        <v>42</v>
      </c>
      <c r="AO31" s="450">
        <v>63.94</v>
      </c>
      <c r="AP31" s="450">
        <v>63.98</v>
      </c>
      <c r="AQ31" s="450">
        <v>64.02</v>
      </c>
      <c r="AR31" s="450">
        <v>64.05</v>
      </c>
      <c r="AS31" s="450">
        <v>64.09</v>
      </c>
      <c r="AT31" s="450">
        <v>64.13</v>
      </c>
      <c r="AU31" s="450">
        <v>64.16</v>
      </c>
      <c r="AV31" s="450">
        <v>64.19</v>
      </c>
      <c r="AW31" s="450">
        <v>64.22</v>
      </c>
      <c r="AX31" s="450">
        <v>64.25</v>
      </c>
      <c r="AY31" s="450">
        <v>64.28</v>
      </c>
      <c r="AZ31" s="450">
        <v>64.31</v>
      </c>
      <c r="BA31" s="450">
        <v>64.41</v>
      </c>
      <c r="BB31" s="450">
        <v>64.48</v>
      </c>
      <c r="BC31" s="450">
        <v>64.53</v>
      </c>
      <c r="BD31" s="450">
        <v>64.540000000000006</v>
      </c>
      <c r="BE31" s="450">
        <v>64.55</v>
      </c>
    </row>
    <row r="32" spans="2:57" x14ac:dyDescent="0.25">
      <c r="B32" s="134">
        <v>43</v>
      </c>
      <c r="C32" s="450">
        <v>63.17</v>
      </c>
      <c r="D32" s="450">
        <v>63.21</v>
      </c>
      <c r="E32" s="450">
        <v>63.25</v>
      </c>
      <c r="F32" s="450">
        <v>63.28</v>
      </c>
      <c r="G32" s="450">
        <v>63.32</v>
      </c>
      <c r="H32" s="450">
        <v>63.35</v>
      </c>
      <c r="I32" s="450">
        <v>63.39</v>
      </c>
      <c r="J32" s="450">
        <v>63.42</v>
      </c>
      <c r="K32" s="450">
        <v>63.44</v>
      </c>
      <c r="L32" s="450">
        <v>63.47</v>
      </c>
      <c r="M32" s="450">
        <v>63.5</v>
      </c>
      <c r="N32" s="450">
        <v>63.52</v>
      </c>
      <c r="O32" s="450">
        <v>63.62</v>
      </c>
      <c r="P32" s="450">
        <v>63.68</v>
      </c>
      <c r="Q32" s="450">
        <v>63.71</v>
      </c>
      <c r="R32" s="450">
        <v>63.72</v>
      </c>
      <c r="S32" s="450">
        <v>63.73</v>
      </c>
      <c r="T32" s="133"/>
      <c r="U32" s="134">
        <v>43</v>
      </c>
      <c r="V32" s="450">
        <v>63.46</v>
      </c>
      <c r="W32" s="450">
        <v>63.5</v>
      </c>
      <c r="X32" s="450">
        <v>63.54</v>
      </c>
      <c r="Y32" s="450">
        <v>63.58</v>
      </c>
      <c r="Z32" s="450">
        <v>63.61</v>
      </c>
      <c r="AA32" s="450">
        <v>63.65</v>
      </c>
      <c r="AB32" s="450">
        <v>63.68</v>
      </c>
      <c r="AC32" s="450">
        <v>63.71</v>
      </c>
      <c r="AD32" s="450">
        <v>63.74</v>
      </c>
      <c r="AE32" s="450">
        <v>63.77</v>
      </c>
      <c r="AF32" s="450">
        <v>63.79</v>
      </c>
      <c r="AG32" s="450">
        <v>63.82</v>
      </c>
      <c r="AH32" s="450">
        <v>63.92</v>
      </c>
      <c r="AI32" s="450">
        <v>63.98</v>
      </c>
      <c r="AJ32" s="450">
        <v>64.02</v>
      </c>
      <c r="AK32" s="450">
        <v>64.03</v>
      </c>
      <c r="AL32" s="450">
        <v>64.040000000000006</v>
      </c>
      <c r="AM32" s="133"/>
      <c r="AN32" s="134">
        <v>43</v>
      </c>
      <c r="AO32" s="450">
        <v>64.02</v>
      </c>
      <c r="AP32" s="450">
        <v>64.06</v>
      </c>
      <c r="AQ32" s="450">
        <v>64.099999999999994</v>
      </c>
      <c r="AR32" s="450">
        <v>64.14</v>
      </c>
      <c r="AS32" s="450">
        <v>64.180000000000007</v>
      </c>
      <c r="AT32" s="450">
        <v>64.209999999999994</v>
      </c>
      <c r="AU32" s="450">
        <v>64.25</v>
      </c>
      <c r="AV32" s="450">
        <v>64.28</v>
      </c>
      <c r="AW32" s="450">
        <v>64.31</v>
      </c>
      <c r="AX32" s="450">
        <v>64.34</v>
      </c>
      <c r="AY32" s="450">
        <v>64.37</v>
      </c>
      <c r="AZ32" s="450">
        <v>64.39</v>
      </c>
      <c r="BA32" s="450">
        <v>64.5</v>
      </c>
      <c r="BB32" s="450">
        <v>64.569999999999993</v>
      </c>
      <c r="BC32" s="450">
        <v>64.599999999999994</v>
      </c>
      <c r="BD32" s="450">
        <v>64.62</v>
      </c>
      <c r="BE32" s="450">
        <v>64.63</v>
      </c>
    </row>
    <row r="33" spans="2:57" x14ac:dyDescent="0.25">
      <c r="B33" s="134">
        <v>44</v>
      </c>
      <c r="C33" s="450">
        <v>63.25</v>
      </c>
      <c r="D33" s="450">
        <v>63.29</v>
      </c>
      <c r="E33" s="450">
        <v>63.33</v>
      </c>
      <c r="F33" s="450">
        <v>63.37</v>
      </c>
      <c r="G33" s="450">
        <v>63.4</v>
      </c>
      <c r="H33" s="450">
        <v>63.43</v>
      </c>
      <c r="I33" s="450">
        <v>63.47</v>
      </c>
      <c r="J33" s="450">
        <v>63.5</v>
      </c>
      <c r="K33" s="450">
        <v>63.53</v>
      </c>
      <c r="L33" s="450">
        <v>63.55</v>
      </c>
      <c r="M33" s="450">
        <v>63.58</v>
      </c>
      <c r="N33" s="450">
        <v>63.6</v>
      </c>
      <c r="O33" s="450">
        <v>63.7</v>
      </c>
      <c r="P33" s="450">
        <v>63.75</v>
      </c>
      <c r="Q33" s="450">
        <v>63.79</v>
      </c>
      <c r="R33" s="450">
        <v>63.79</v>
      </c>
      <c r="S33" s="450">
        <v>63.8</v>
      </c>
      <c r="T33" s="133"/>
      <c r="U33" s="134">
        <v>44</v>
      </c>
      <c r="V33" s="450">
        <v>63.54</v>
      </c>
      <c r="W33" s="450">
        <v>63.58</v>
      </c>
      <c r="X33" s="450">
        <v>63.62</v>
      </c>
      <c r="Y33" s="450">
        <v>63.66</v>
      </c>
      <c r="Z33" s="450">
        <v>63.69</v>
      </c>
      <c r="AA33" s="450">
        <v>63.73</v>
      </c>
      <c r="AB33" s="450">
        <v>63.76</v>
      </c>
      <c r="AC33" s="450">
        <v>63.79</v>
      </c>
      <c r="AD33" s="450">
        <v>63.82</v>
      </c>
      <c r="AE33" s="450">
        <v>63.85</v>
      </c>
      <c r="AF33" s="450">
        <v>63.88</v>
      </c>
      <c r="AG33" s="450">
        <v>63.9</v>
      </c>
      <c r="AH33" s="450">
        <v>64</v>
      </c>
      <c r="AI33" s="450">
        <v>64.06</v>
      </c>
      <c r="AJ33" s="450">
        <v>64.09</v>
      </c>
      <c r="AK33" s="450">
        <v>64.099999999999994</v>
      </c>
      <c r="AL33" s="450">
        <v>64.11</v>
      </c>
      <c r="AM33" s="133"/>
      <c r="AN33" s="134">
        <v>44</v>
      </c>
      <c r="AO33" s="450">
        <v>64.11</v>
      </c>
      <c r="AP33" s="450">
        <v>64.150000000000006</v>
      </c>
      <c r="AQ33" s="450">
        <v>64.19</v>
      </c>
      <c r="AR33" s="450">
        <v>64.23</v>
      </c>
      <c r="AS33" s="450">
        <v>64.260000000000005</v>
      </c>
      <c r="AT33" s="450">
        <v>64.3</v>
      </c>
      <c r="AU33" s="450">
        <v>64.33</v>
      </c>
      <c r="AV33" s="450">
        <v>64.37</v>
      </c>
      <c r="AW33" s="450">
        <v>64.400000000000006</v>
      </c>
      <c r="AX33" s="450">
        <v>64.430000000000007</v>
      </c>
      <c r="AY33" s="450">
        <v>64.45</v>
      </c>
      <c r="AZ33" s="450">
        <v>64.48</v>
      </c>
      <c r="BA33" s="450">
        <v>64.58</v>
      </c>
      <c r="BB33" s="450">
        <v>64.650000000000006</v>
      </c>
      <c r="BC33" s="450">
        <v>64.680000000000007</v>
      </c>
      <c r="BD33" s="450">
        <v>64.7</v>
      </c>
      <c r="BE33" s="450">
        <v>64.7</v>
      </c>
    </row>
    <row r="34" spans="2:57" x14ac:dyDescent="0.25">
      <c r="B34" s="134">
        <v>45</v>
      </c>
      <c r="C34" s="450">
        <v>63.33</v>
      </c>
      <c r="D34" s="450">
        <v>63.37</v>
      </c>
      <c r="E34" s="450">
        <v>63.41</v>
      </c>
      <c r="F34" s="450">
        <v>63.45</v>
      </c>
      <c r="G34" s="450">
        <v>63.48</v>
      </c>
      <c r="H34" s="450">
        <v>63.52</v>
      </c>
      <c r="I34" s="450">
        <v>63.55</v>
      </c>
      <c r="J34" s="450">
        <v>63.58</v>
      </c>
      <c r="K34" s="450">
        <v>63.61</v>
      </c>
      <c r="L34" s="450">
        <v>63.63</v>
      </c>
      <c r="M34" s="450">
        <v>63.66</v>
      </c>
      <c r="N34" s="450">
        <v>63.68</v>
      </c>
      <c r="O34" s="450">
        <v>63.77</v>
      </c>
      <c r="P34" s="450">
        <v>63.83</v>
      </c>
      <c r="Q34" s="450">
        <v>63.86</v>
      </c>
      <c r="R34" s="450">
        <v>63.86</v>
      </c>
      <c r="S34" s="450">
        <v>63.86</v>
      </c>
      <c r="T34" s="133"/>
      <c r="U34" s="134">
        <v>45</v>
      </c>
      <c r="V34" s="450">
        <v>63.63</v>
      </c>
      <c r="W34" s="450">
        <v>63.67</v>
      </c>
      <c r="X34" s="450">
        <v>63.71</v>
      </c>
      <c r="Y34" s="450">
        <v>63.74</v>
      </c>
      <c r="Z34" s="450">
        <v>63.78</v>
      </c>
      <c r="AA34" s="450">
        <v>63.81</v>
      </c>
      <c r="AB34" s="450">
        <v>63.85</v>
      </c>
      <c r="AC34" s="450">
        <v>63.88</v>
      </c>
      <c r="AD34" s="450">
        <v>63.91</v>
      </c>
      <c r="AE34" s="450">
        <v>63.93</v>
      </c>
      <c r="AF34" s="450">
        <v>63.96</v>
      </c>
      <c r="AG34" s="450">
        <v>63.98</v>
      </c>
      <c r="AH34" s="450">
        <v>64.08</v>
      </c>
      <c r="AI34" s="450">
        <v>64.14</v>
      </c>
      <c r="AJ34" s="450">
        <v>64.17</v>
      </c>
      <c r="AK34" s="450">
        <v>64.17</v>
      </c>
      <c r="AL34" s="450">
        <v>64.180000000000007</v>
      </c>
      <c r="AM34" s="133"/>
      <c r="AN34" s="134">
        <v>45</v>
      </c>
      <c r="AO34" s="450">
        <v>64.19</v>
      </c>
      <c r="AP34" s="450">
        <v>64.23</v>
      </c>
      <c r="AQ34" s="450">
        <v>64.27</v>
      </c>
      <c r="AR34" s="450">
        <v>64.31</v>
      </c>
      <c r="AS34" s="450">
        <v>64.349999999999994</v>
      </c>
      <c r="AT34" s="450">
        <v>64.39</v>
      </c>
      <c r="AU34" s="450">
        <v>64.42</v>
      </c>
      <c r="AV34" s="450">
        <v>64.45</v>
      </c>
      <c r="AW34" s="450">
        <v>64.48</v>
      </c>
      <c r="AX34" s="450">
        <v>64.510000000000005</v>
      </c>
      <c r="AY34" s="450">
        <v>64.540000000000006</v>
      </c>
      <c r="AZ34" s="450">
        <v>64.56</v>
      </c>
      <c r="BA34" s="450">
        <v>64.66</v>
      </c>
      <c r="BB34" s="450">
        <v>64.73</v>
      </c>
      <c r="BC34" s="450">
        <v>64.760000000000005</v>
      </c>
      <c r="BD34" s="450">
        <v>64.77</v>
      </c>
      <c r="BE34" s="450">
        <v>64.78</v>
      </c>
    </row>
    <row r="35" spans="2:57" x14ac:dyDescent="0.25">
      <c r="B35" s="134">
        <v>46</v>
      </c>
      <c r="C35" s="450">
        <v>63.42</v>
      </c>
      <c r="D35" s="450">
        <v>63.46</v>
      </c>
      <c r="E35" s="450">
        <v>63.49</v>
      </c>
      <c r="F35" s="450">
        <v>63.53</v>
      </c>
      <c r="G35" s="450">
        <v>63.57</v>
      </c>
      <c r="H35" s="450">
        <v>63.6</v>
      </c>
      <c r="I35" s="450">
        <v>63.63</v>
      </c>
      <c r="J35" s="450">
        <v>63.66</v>
      </c>
      <c r="K35" s="450">
        <v>63.69</v>
      </c>
      <c r="L35" s="450">
        <v>63.71</v>
      </c>
      <c r="M35" s="450">
        <v>63.74</v>
      </c>
      <c r="N35" s="450">
        <v>63.76</v>
      </c>
      <c r="O35" s="450">
        <v>63.85</v>
      </c>
      <c r="P35" s="450">
        <v>63.9</v>
      </c>
      <c r="Q35" s="450">
        <v>63.92</v>
      </c>
      <c r="R35" s="450">
        <v>63.93</v>
      </c>
      <c r="S35" s="450">
        <v>63.93</v>
      </c>
      <c r="T35" s="133"/>
      <c r="U35" s="134">
        <v>46</v>
      </c>
      <c r="V35" s="450">
        <v>63.71</v>
      </c>
      <c r="W35" s="450">
        <v>63.75</v>
      </c>
      <c r="X35" s="450">
        <v>63.79</v>
      </c>
      <c r="Y35" s="450">
        <v>63.83</v>
      </c>
      <c r="Z35" s="450">
        <v>63.86</v>
      </c>
      <c r="AA35" s="450">
        <v>63.9</v>
      </c>
      <c r="AB35" s="450">
        <v>63.93</v>
      </c>
      <c r="AC35" s="450">
        <v>63.96</v>
      </c>
      <c r="AD35" s="450">
        <v>63.99</v>
      </c>
      <c r="AE35" s="450">
        <v>64.02</v>
      </c>
      <c r="AF35" s="450">
        <v>64.040000000000006</v>
      </c>
      <c r="AG35" s="450">
        <v>64.06</v>
      </c>
      <c r="AH35" s="450">
        <v>64.150000000000006</v>
      </c>
      <c r="AI35" s="450">
        <v>64.209999999999994</v>
      </c>
      <c r="AJ35" s="450">
        <v>64.239999999999995</v>
      </c>
      <c r="AK35" s="450">
        <v>64.239999999999995</v>
      </c>
      <c r="AL35" s="450">
        <v>64.25</v>
      </c>
      <c r="AM35" s="133"/>
      <c r="AN35" s="134">
        <v>46</v>
      </c>
      <c r="AO35" s="450">
        <v>64.28</v>
      </c>
      <c r="AP35" s="450">
        <v>64.319999999999993</v>
      </c>
      <c r="AQ35" s="450">
        <v>64.36</v>
      </c>
      <c r="AR35" s="450">
        <v>64.400000000000006</v>
      </c>
      <c r="AS35" s="450">
        <v>64.44</v>
      </c>
      <c r="AT35" s="450">
        <v>64.47</v>
      </c>
      <c r="AU35" s="450">
        <v>64.510000000000005</v>
      </c>
      <c r="AV35" s="450">
        <v>64.540000000000006</v>
      </c>
      <c r="AW35" s="450">
        <v>64.569999999999993</v>
      </c>
      <c r="AX35" s="450">
        <v>64.599999999999994</v>
      </c>
      <c r="AY35" s="450">
        <v>64.62</v>
      </c>
      <c r="AZ35" s="450">
        <v>64.650000000000006</v>
      </c>
      <c r="BA35" s="450">
        <v>64.739999999999995</v>
      </c>
      <c r="BB35" s="450">
        <v>64.8</v>
      </c>
      <c r="BC35" s="450">
        <v>64.84</v>
      </c>
      <c r="BD35" s="450">
        <v>64.84</v>
      </c>
      <c r="BE35" s="450">
        <v>64.849999999999994</v>
      </c>
    </row>
    <row r="36" spans="2:57" x14ac:dyDescent="0.25">
      <c r="B36" s="134">
        <v>47</v>
      </c>
      <c r="C36" s="450">
        <v>63.5</v>
      </c>
      <c r="D36" s="450">
        <v>63.54</v>
      </c>
      <c r="E36" s="450">
        <v>63.58</v>
      </c>
      <c r="F36" s="450">
        <v>63.61</v>
      </c>
      <c r="G36" s="450">
        <v>63.65</v>
      </c>
      <c r="H36" s="450">
        <v>63.68</v>
      </c>
      <c r="I36" s="450">
        <v>63.71</v>
      </c>
      <c r="J36" s="450">
        <v>63.74</v>
      </c>
      <c r="K36" s="450">
        <v>63.77</v>
      </c>
      <c r="L36" s="450">
        <v>63.79</v>
      </c>
      <c r="M36" s="450">
        <v>63.82</v>
      </c>
      <c r="N36" s="450">
        <v>63.84</v>
      </c>
      <c r="O36" s="450">
        <v>63.92</v>
      </c>
      <c r="P36" s="450">
        <v>63.97</v>
      </c>
      <c r="Q36" s="450">
        <v>63.99</v>
      </c>
      <c r="R36" s="450">
        <v>63.99</v>
      </c>
      <c r="S36" s="450">
        <v>64</v>
      </c>
      <c r="T36" s="133"/>
      <c r="U36" s="134">
        <v>47</v>
      </c>
      <c r="V36" s="450">
        <v>63.79</v>
      </c>
      <c r="W36" s="450">
        <v>63.83</v>
      </c>
      <c r="X36" s="450">
        <v>63.87</v>
      </c>
      <c r="Y36" s="450">
        <v>63.91</v>
      </c>
      <c r="Z36" s="450">
        <v>63.95</v>
      </c>
      <c r="AA36" s="450">
        <v>63.98</v>
      </c>
      <c r="AB36" s="450">
        <v>64.010000000000005</v>
      </c>
      <c r="AC36" s="450">
        <v>64.040000000000006</v>
      </c>
      <c r="AD36" s="450">
        <v>64.069999999999993</v>
      </c>
      <c r="AE36" s="450">
        <v>64.099999999999994</v>
      </c>
      <c r="AF36" s="450">
        <v>64.12</v>
      </c>
      <c r="AG36" s="450">
        <v>64.14</v>
      </c>
      <c r="AH36" s="450">
        <v>64.23</v>
      </c>
      <c r="AI36" s="450">
        <v>64.28</v>
      </c>
      <c r="AJ36" s="450">
        <v>64.3</v>
      </c>
      <c r="AK36" s="450">
        <v>64.31</v>
      </c>
      <c r="AL36" s="450">
        <v>64.31</v>
      </c>
      <c r="AM36" s="133"/>
      <c r="AN36" s="134">
        <v>47</v>
      </c>
      <c r="AO36" s="450">
        <v>64.37</v>
      </c>
      <c r="AP36" s="450">
        <v>64.41</v>
      </c>
      <c r="AQ36" s="450">
        <v>64.45</v>
      </c>
      <c r="AR36" s="450">
        <v>64.489999999999995</v>
      </c>
      <c r="AS36" s="450">
        <v>64.52</v>
      </c>
      <c r="AT36" s="450">
        <v>64.56</v>
      </c>
      <c r="AU36" s="450">
        <v>64.59</v>
      </c>
      <c r="AV36" s="450">
        <v>64.63</v>
      </c>
      <c r="AW36" s="450">
        <v>64.650000000000006</v>
      </c>
      <c r="AX36" s="450">
        <v>64.680000000000007</v>
      </c>
      <c r="AY36" s="450">
        <v>64.709999999999994</v>
      </c>
      <c r="AZ36" s="450">
        <v>64.73</v>
      </c>
      <c r="BA36" s="450">
        <v>64.83</v>
      </c>
      <c r="BB36" s="450">
        <v>64.88</v>
      </c>
      <c r="BC36" s="450">
        <v>64.91</v>
      </c>
      <c r="BD36" s="450">
        <v>64.92</v>
      </c>
      <c r="BE36" s="450">
        <v>64.92</v>
      </c>
    </row>
    <row r="37" spans="2:57" x14ac:dyDescent="0.25">
      <c r="B37" s="134">
        <v>48</v>
      </c>
      <c r="C37" s="450">
        <v>63.58</v>
      </c>
      <c r="D37" s="450">
        <v>63.62</v>
      </c>
      <c r="E37" s="450">
        <v>63.66</v>
      </c>
      <c r="F37" s="450">
        <v>63.7</v>
      </c>
      <c r="G37" s="450">
        <v>63.73</v>
      </c>
      <c r="H37" s="450">
        <v>63.76</v>
      </c>
      <c r="I37" s="450">
        <v>63.79</v>
      </c>
      <c r="J37" s="450">
        <v>63.82</v>
      </c>
      <c r="K37" s="450">
        <v>63.85</v>
      </c>
      <c r="L37" s="450">
        <v>63.87</v>
      </c>
      <c r="M37" s="450">
        <v>63.89</v>
      </c>
      <c r="N37" s="450">
        <v>63.92</v>
      </c>
      <c r="O37" s="450">
        <v>63.99</v>
      </c>
      <c r="P37" s="450">
        <v>64.040000000000006</v>
      </c>
      <c r="Q37" s="450">
        <v>64.05</v>
      </c>
      <c r="R37" s="450">
        <v>64.06</v>
      </c>
      <c r="S37" s="450">
        <v>64.06</v>
      </c>
      <c r="T37" s="133"/>
      <c r="U37" s="134">
        <v>48</v>
      </c>
      <c r="V37" s="450">
        <v>63.88</v>
      </c>
      <c r="W37" s="450">
        <v>63.92</v>
      </c>
      <c r="X37" s="450">
        <v>63.96</v>
      </c>
      <c r="Y37" s="450">
        <v>64</v>
      </c>
      <c r="Z37" s="450">
        <v>64.03</v>
      </c>
      <c r="AA37" s="450">
        <v>64.06</v>
      </c>
      <c r="AB37" s="450">
        <v>64.09</v>
      </c>
      <c r="AC37" s="450">
        <v>64.12</v>
      </c>
      <c r="AD37" s="450">
        <v>64.150000000000006</v>
      </c>
      <c r="AE37" s="450">
        <v>64.180000000000007</v>
      </c>
      <c r="AF37" s="450">
        <v>64.2</v>
      </c>
      <c r="AG37" s="450">
        <v>64.22</v>
      </c>
      <c r="AH37" s="450">
        <v>64.31</v>
      </c>
      <c r="AI37" s="450">
        <v>64.349999999999994</v>
      </c>
      <c r="AJ37" s="450">
        <v>64.37</v>
      </c>
      <c r="AK37" s="450">
        <v>64.38</v>
      </c>
      <c r="AL37" s="450">
        <v>64.38</v>
      </c>
      <c r="AM37" s="133"/>
      <c r="AN37" s="134">
        <v>48</v>
      </c>
      <c r="AO37" s="450">
        <v>64.45</v>
      </c>
      <c r="AP37" s="450">
        <v>64.5</v>
      </c>
      <c r="AQ37" s="450">
        <v>64.540000000000006</v>
      </c>
      <c r="AR37" s="450">
        <v>64.58</v>
      </c>
      <c r="AS37" s="450">
        <v>64.61</v>
      </c>
      <c r="AT37" s="450">
        <v>64.650000000000006</v>
      </c>
      <c r="AU37" s="450">
        <v>64.680000000000007</v>
      </c>
      <c r="AV37" s="450">
        <v>64.709999999999994</v>
      </c>
      <c r="AW37" s="450">
        <v>64.739999999999995</v>
      </c>
      <c r="AX37" s="450">
        <v>64.77</v>
      </c>
      <c r="AY37" s="450">
        <v>64.790000000000006</v>
      </c>
      <c r="AZ37" s="450">
        <v>64.81</v>
      </c>
      <c r="BA37" s="450">
        <v>64.900000000000006</v>
      </c>
      <c r="BB37" s="450">
        <v>64.959999999999994</v>
      </c>
      <c r="BC37" s="450">
        <v>64.98</v>
      </c>
      <c r="BD37" s="450">
        <v>64.989999999999995</v>
      </c>
      <c r="BE37" s="450">
        <v>64.989999999999995</v>
      </c>
    </row>
    <row r="38" spans="2:57" x14ac:dyDescent="0.25">
      <c r="B38" s="134">
        <v>49</v>
      </c>
      <c r="C38" s="450">
        <v>63.66</v>
      </c>
      <c r="D38" s="450">
        <v>63.7</v>
      </c>
      <c r="E38" s="450">
        <v>63.74</v>
      </c>
      <c r="F38" s="450">
        <v>63.78</v>
      </c>
      <c r="G38" s="450">
        <v>63.81</v>
      </c>
      <c r="H38" s="450">
        <v>63.84</v>
      </c>
      <c r="I38" s="450">
        <v>63.87</v>
      </c>
      <c r="J38" s="450">
        <v>63.9</v>
      </c>
      <c r="K38" s="450">
        <v>63.92</v>
      </c>
      <c r="L38" s="450">
        <v>63.95</v>
      </c>
      <c r="M38" s="450">
        <v>63.97</v>
      </c>
      <c r="N38" s="450">
        <v>63.99</v>
      </c>
      <c r="O38" s="450">
        <v>64.06</v>
      </c>
      <c r="P38" s="450">
        <v>64.099999999999994</v>
      </c>
      <c r="Q38" s="450">
        <v>64.11</v>
      </c>
      <c r="R38" s="450">
        <v>64.12</v>
      </c>
      <c r="S38" s="450">
        <v>64.12</v>
      </c>
      <c r="T38" s="133"/>
      <c r="U38" s="134">
        <v>49</v>
      </c>
      <c r="V38" s="450">
        <v>63.96</v>
      </c>
      <c r="W38" s="450">
        <v>64</v>
      </c>
      <c r="X38" s="450">
        <v>64.040000000000006</v>
      </c>
      <c r="Y38" s="450">
        <v>64.08</v>
      </c>
      <c r="Z38" s="450">
        <v>64.11</v>
      </c>
      <c r="AA38" s="450">
        <v>64.150000000000006</v>
      </c>
      <c r="AB38" s="450">
        <v>64.180000000000007</v>
      </c>
      <c r="AC38" s="450">
        <v>64.2</v>
      </c>
      <c r="AD38" s="450">
        <v>64.23</v>
      </c>
      <c r="AE38" s="450">
        <v>64.260000000000005</v>
      </c>
      <c r="AF38" s="450">
        <v>64.28</v>
      </c>
      <c r="AG38" s="450">
        <v>64.3</v>
      </c>
      <c r="AH38" s="450">
        <v>64.38</v>
      </c>
      <c r="AI38" s="450">
        <v>64.42</v>
      </c>
      <c r="AJ38" s="450">
        <v>64.430000000000007</v>
      </c>
      <c r="AK38" s="450">
        <v>64.44</v>
      </c>
      <c r="AL38" s="450">
        <v>64.45</v>
      </c>
      <c r="AM38" s="133"/>
      <c r="AN38" s="134">
        <v>49</v>
      </c>
      <c r="AO38" s="450">
        <v>64.540000000000006</v>
      </c>
      <c r="AP38" s="450">
        <v>64.58</v>
      </c>
      <c r="AQ38" s="450">
        <v>64.62</v>
      </c>
      <c r="AR38" s="450">
        <v>64.66</v>
      </c>
      <c r="AS38" s="450">
        <v>64.7</v>
      </c>
      <c r="AT38" s="450">
        <v>64.73</v>
      </c>
      <c r="AU38" s="450">
        <v>64.760000000000005</v>
      </c>
      <c r="AV38" s="450">
        <v>64.790000000000006</v>
      </c>
      <c r="AW38" s="450">
        <v>64.819999999999993</v>
      </c>
      <c r="AX38" s="450">
        <v>64.849999999999994</v>
      </c>
      <c r="AY38" s="450">
        <v>64.87</v>
      </c>
      <c r="AZ38" s="450">
        <v>64.900000000000006</v>
      </c>
      <c r="BA38" s="450">
        <v>64.98</v>
      </c>
      <c r="BB38" s="450">
        <v>65.03</v>
      </c>
      <c r="BC38" s="450">
        <v>65.05</v>
      </c>
      <c r="BD38" s="450">
        <v>65.06</v>
      </c>
      <c r="BE38" s="450">
        <v>65.06</v>
      </c>
    </row>
    <row r="39" spans="2:57" x14ac:dyDescent="0.25">
      <c r="B39" s="134">
        <v>50</v>
      </c>
      <c r="C39" s="450">
        <v>63.75</v>
      </c>
      <c r="D39" s="450">
        <v>63.78</v>
      </c>
      <c r="E39" s="450">
        <v>63.82</v>
      </c>
      <c r="F39" s="450">
        <v>63.86</v>
      </c>
      <c r="G39" s="450">
        <v>63.89</v>
      </c>
      <c r="H39" s="450">
        <v>63.92</v>
      </c>
      <c r="I39" s="450">
        <v>63.95</v>
      </c>
      <c r="J39" s="450">
        <v>63.97</v>
      </c>
      <c r="K39" s="450">
        <v>64</v>
      </c>
      <c r="L39" s="450">
        <v>64.02</v>
      </c>
      <c r="M39" s="450">
        <v>64.040000000000006</v>
      </c>
      <c r="N39" s="450">
        <v>64.06</v>
      </c>
      <c r="O39" s="450">
        <v>64.13</v>
      </c>
      <c r="P39" s="450">
        <v>64.17</v>
      </c>
      <c r="Q39" s="450">
        <v>64.17</v>
      </c>
      <c r="R39" s="450">
        <v>64.180000000000007</v>
      </c>
      <c r="S39" s="450">
        <v>64.180000000000007</v>
      </c>
      <c r="T39" s="133"/>
      <c r="U39" s="134">
        <v>50</v>
      </c>
      <c r="V39" s="450">
        <v>64.05</v>
      </c>
      <c r="W39" s="450">
        <v>64.09</v>
      </c>
      <c r="X39" s="450">
        <v>64.12</v>
      </c>
      <c r="Y39" s="450">
        <v>64.16</v>
      </c>
      <c r="Z39" s="450">
        <v>64.19</v>
      </c>
      <c r="AA39" s="450">
        <v>64.23</v>
      </c>
      <c r="AB39" s="450">
        <v>64.260000000000005</v>
      </c>
      <c r="AC39" s="450">
        <v>64.28</v>
      </c>
      <c r="AD39" s="450">
        <v>64.31</v>
      </c>
      <c r="AE39" s="450">
        <v>64.33</v>
      </c>
      <c r="AF39" s="450">
        <v>64.349999999999994</v>
      </c>
      <c r="AG39" s="450">
        <v>64.37</v>
      </c>
      <c r="AH39" s="450">
        <v>64.45</v>
      </c>
      <c r="AI39" s="450">
        <v>64.489999999999995</v>
      </c>
      <c r="AJ39" s="450">
        <v>64.5</v>
      </c>
      <c r="AK39" s="450">
        <v>64.5</v>
      </c>
      <c r="AL39" s="450">
        <v>64.510000000000005</v>
      </c>
      <c r="AM39" s="133"/>
      <c r="AN39" s="134">
        <v>50</v>
      </c>
      <c r="AO39" s="450">
        <v>64.63</v>
      </c>
      <c r="AP39" s="450">
        <v>64.67</v>
      </c>
      <c r="AQ39" s="450">
        <v>64.709999999999994</v>
      </c>
      <c r="AR39" s="450">
        <v>64.75</v>
      </c>
      <c r="AS39" s="450">
        <v>64.78</v>
      </c>
      <c r="AT39" s="450">
        <v>64.819999999999993</v>
      </c>
      <c r="AU39" s="450">
        <v>64.849999999999994</v>
      </c>
      <c r="AV39" s="450">
        <v>64.88</v>
      </c>
      <c r="AW39" s="450">
        <v>64.900000000000006</v>
      </c>
      <c r="AX39" s="450">
        <v>64.930000000000007</v>
      </c>
      <c r="AY39" s="450">
        <v>64.95</v>
      </c>
      <c r="AZ39" s="450">
        <v>64.97</v>
      </c>
      <c r="BA39" s="450">
        <v>65.05</v>
      </c>
      <c r="BB39" s="450">
        <v>65.099999999999994</v>
      </c>
      <c r="BC39" s="450">
        <v>65.11</v>
      </c>
      <c r="BD39" s="450">
        <v>65.12</v>
      </c>
      <c r="BE39" s="450">
        <v>65.13</v>
      </c>
    </row>
    <row r="40" spans="2:57" x14ac:dyDescent="0.25">
      <c r="B40" s="134">
        <v>51</v>
      </c>
      <c r="C40" s="450">
        <v>63.83</v>
      </c>
      <c r="D40" s="450">
        <v>63.86</v>
      </c>
      <c r="E40" s="450">
        <v>63.9</v>
      </c>
      <c r="F40" s="450">
        <v>63.93</v>
      </c>
      <c r="G40" s="450">
        <v>63.97</v>
      </c>
      <c r="H40" s="450">
        <v>64</v>
      </c>
      <c r="I40" s="450">
        <v>64.02</v>
      </c>
      <c r="J40" s="450">
        <v>64.05</v>
      </c>
      <c r="K40" s="450">
        <v>64.069999999999993</v>
      </c>
      <c r="L40" s="450">
        <v>64.09</v>
      </c>
      <c r="M40" s="450">
        <v>64.11</v>
      </c>
      <c r="N40" s="450">
        <v>64.13</v>
      </c>
      <c r="O40" s="450">
        <v>64.19</v>
      </c>
      <c r="P40" s="450">
        <v>64.22</v>
      </c>
      <c r="Q40" s="450">
        <v>64.23</v>
      </c>
      <c r="R40" s="450">
        <v>64.23</v>
      </c>
      <c r="S40" s="450">
        <v>64.23</v>
      </c>
      <c r="T40" s="133"/>
      <c r="U40" s="134">
        <v>51</v>
      </c>
      <c r="V40" s="450">
        <v>64.13</v>
      </c>
      <c r="W40" s="450">
        <v>64.17</v>
      </c>
      <c r="X40" s="450">
        <v>64.209999999999994</v>
      </c>
      <c r="Y40" s="450">
        <v>64.239999999999995</v>
      </c>
      <c r="Z40" s="450">
        <v>64.27</v>
      </c>
      <c r="AA40" s="450">
        <v>64.3</v>
      </c>
      <c r="AB40" s="450">
        <v>64.33</v>
      </c>
      <c r="AC40" s="450">
        <v>64.36</v>
      </c>
      <c r="AD40" s="450">
        <v>64.38</v>
      </c>
      <c r="AE40" s="450">
        <v>64.41</v>
      </c>
      <c r="AF40" s="450">
        <v>64.430000000000007</v>
      </c>
      <c r="AG40" s="450">
        <v>64.44</v>
      </c>
      <c r="AH40" s="450">
        <v>64.510000000000005</v>
      </c>
      <c r="AI40" s="450">
        <v>64.55</v>
      </c>
      <c r="AJ40" s="450">
        <v>64.56</v>
      </c>
      <c r="AK40" s="450">
        <v>64.56</v>
      </c>
      <c r="AL40" s="450">
        <v>64.569999999999993</v>
      </c>
      <c r="AM40" s="133"/>
      <c r="AN40" s="134">
        <v>51</v>
      </c>
      <c r="AO40" s="450">
        <v>64.72</v>
      </c>
      <c r="AP40" s="450">
        <v>64.760000000000005</v>
      </c>
      <c r="AQ40" s="450">
        <v>64.790000000000006</v>
      </c>
      <c r="AR40" s="450">
        <v>64.83</v>
      </c>
      <c r="AS40" s="450">
        <v>64.87</v>
      </c>
      <c r="AT40" s="450">
        <v>64.900000000000006</v>
      </c>
      <c r="AU40" s="450">
        <v>64.930000000000007</v>
      </c>
      <c r="AV40" s="450">
        <v>64.959999999999994</v>
      </c>
      <c r="AW40" s="450">
        <v>64.98</v>
      </c>
      <c r="AX40" s="450">
        <v>65.010000000000005</v>
      </c>
      <c r="AY40" s="450">
        <v>65.03</v>
      </c>
      <c r="AZ40" s="450">
        <v>65.05</v>
      </c>
      <c r="BA40" s="450">
        <v>65.13</v>
      </c>
      <c r="BB40" s="450">
        <v>65.17</v>
      </c>
      <c r="BC40" s="450">
        <v>65.180000000000007</v>
      </c>
      <c r="BD40" s="450">
        <v>65.19</v>
      </c>
      <c r="BE40" s="450">
        <v>65.19</v>
      </c>
    </row>
    <row r="41" spans="2:57" x14ac:dyDescent="0.25">
      <c r="B41" s="134">
        <v>52</v>
      </c>
      <c r="C41" s="450">
        <v>63.9</v>
      </c>
      <c r="D41" s="450">
        <v>63.94</v>
      </c>
      <c r="E41" s="450">
        <v>63.98</v>
      </c>
      <c r="F41" s="450">
        <v>64.010000000000005</v>
      </c>
      <c r="G41" s="450">
        <v>64.040000000000006</v>
      </c>
      <c r="H41" s="450">
        <v>64.069999999999993</v>
      </c>
      <c r="I41" s="450">
        <v>64.09</v>
      </c>
      <c r="J41" s="450">
        <v>64.12</v>
      </c>
      <c r="K41" s="450">
        <v>64.14</v>
      </c>
      <c r="L41" s="450">
        <v>64.16</v>
      </c>
      <c r="M41" s="450">
        <v>64.180000000000007</v>
      </c>
      <c r="N41" s="450">
        <v>64.2</v>
      </c>
      <c r="O41" s="450">
        <v>64.260000000000005</v>
      </c>
      <c r="P41" s="450">
        <v>64.28</v>
      </c>
      <c r="Q41" s="450">
        <v>64.28</v>
      </c>
      <c r="R41" s="450">
        <v>64.28</v>
      </c>
      <c r="S41" s="450">
        <v>64.290000000000006</v>
      </c>
      <c r="T41" s="133"/>
      <c r="U41" s="134">
        <v>52</v>
      </c>
      <c r="V41" s="450">
        <v>64.209999999999994</v>
      </c>
      <c r="W41" s="450">
        <v>64.25</v>
      </c>
      <c r="X41" s="450">
        <v>64.28</v>
      </c>
      <c r="Y41" s="450">
        <v>64.319999999999993</v>
      </c>
      <c r="Z41" s="450">
        <v>64.349999999999994</v>
      </c>
      <c r="AA41" s="450">
        <v>64.38</v>
      </c>
      <c r="AB41" s="450">
        <v>64.41</v>
      </c>
      <c r="AC41" s="450">
        <v>64.430000000000007</v>
      </c>
      <c r="AD41" s="450">
        <v>64.459999999999994</v>
      </c>
      <c r="AE41" s="450">
        <v>64.48</v>
      </c>
      <c r="AF41" s="450">
        <v>64.5</v>
      </c>
      <c r="AG41" s="450">
        <v>64.510000000000005</v>
      </c>
      <c r="AH41" s="450">
        <v>64.58</v>
      </c>
      <c r="AI41" s="450">
        <v>64.61</v>
      </c>
      <c r="AJ41" s="450">
        <v>64.61</v>
      </c>
      <c r="AK41" s="450">
        <v>64.62</v>
      </c>
      <c r="AL41" s="450">
        <v>64.62</v>
      </c>
      <c r="AM41" s="133"/>
      <c r="AN41" s="134">
        <v>52</v>
      </c>
      <c r="AO41" s="450">
        <v>64.8</v>
      </c>
      <c r="AP41" s="450">
        <v>64.84</v>
      </c>
      <c r="AQ41" s="450">
        <v>64.88</v>
      </c>
      <c r="AR41" s="450">
        <v>64.91</v>
      </c>
      <c r="AS41" s="450">
        <v>64.95</v>
      </c>
      <c r="AT41" s="450">
        <v>64.98</v>
      </c>
      <c r="AU41" s="450">
        <v>65.010000000000005</v>
      </c>
      <c r="AV41" s="450">
        <v>65.040000000000006</v>
      </c>
      <c r="AW41" s="450">
        <v>65.06</v>
      </c>
      <c r="AX41" s="450">
        <v>65.08</v>
      </c>
      <c r="AY41" s="450">
        <v>65.099999999999994</v>
      </c>
      <c r="AZ41" s="450">
        <v>65.12</v>
      </c>
      <c r="BA41" s="450">
        <v>65.2</v>
      </c>
      <c r="BB41" s="450">
        <v>65.23</v>
      </c>
      <c r="BC41" s="450">
        <v>65.239999999999995</v>
      </c>
      <c r="BD41" s="450">
        <v>65.25</v>
      </c>
      <c r="BE41" s="450">
        <v>65.25</v>
      </c>
    </row>
    <row r="42" spans="2:57" x14ac:dyDescent="0.25">
      <c r="B42" s="134">
        <v>53</v>
      </c>
      <c r="C42" s="450">
        <v>63.98</v>
      </c>
      <c r="D42" s="450">
        <v>64.02</v>
      </c>
      <c r="E42" s="450">
        <v>64.05</v>
      </c>
      <c r="F42" s="450">
        <v>64.08</v>
      </c>
      <c r="G42" s="450">
        <v>64.11</v>
      </c>
      <c r="H42" s="450">
        <v>64.14</v>
      </c>
      <c r="I42" s="450">
        <v>64.16</v>
      </c>
      <c r="J42" s="450">
        <v>64.19</v>
      </c>
      <c r="K42" s="450">
        <v>64.209999999999994</v>
      </c>
      <c r="L42" s="450">
        <v>64.23</v>
      </c>
      <c r="M42" s="450">
        <v>64.239999999999995</v>
      </c>
      <c r="N42" s="450">
        <v>64.260000000000005</v>
      </c>
      <c r="O42" s="450">
        <v>64.31</v>
      </c>
      <c r="P42" s="450">
        <v>64.33</v>
      </c>
      <c r="Q42" s="450">
        <v>64.33</v>
      </c>
      <c r="R42" s="450">
        <v>64.34</v>
      </c>
      <c r="S42" s="450">
        <v>64.34</v>
      </c>
      <c r="T42" s="133"/>
      <c r="U42" s="134">
        <v>53</v>
      </c>
      <c r="V42" s="450">
        <v>64.290000000000006</v>
      </c>
      <c r="W42" s="450">
        <v>64.33</v>
      </c>
      <c r="X42" s="450">
        <v>64.36</v>
      </c>
      <c r="Y42" s="450">
        <v>64.39</v>
      </c>
      <c r="Z42" s="450">
        <v>64.42</v>
      </c>
      <c r="AA42" s="450">
        <v>64.45</v>
      </c>
      <c r="AB42" s="450">
        <v>64.48</v>
      </c>
      <c r="AC42" s="450">
        <v>64.5</v>
      </c>
      <c r="AD42" s="450">
        <v>64.52</v>
      </c>
      <c r="AE42" s="450">
        <v>64.540000000000006</v>
      </c>
      <c r="AF42" s="450">
        <v>64.56</v>
      </c>
      <c r="AG42" s="450">
        <v>64.58</v>
      </c>
      <c r="AH42" s="450">
        <v>64.64</v>
      </c>
      <c r="AI42" s="450">
        <v>64.66</v>
      </c>
      <c r="AJ42" s="450">
        <v>64.67</v>
      </c>
      <c r="AK42" s="450">
        <v>64.67</v>
      </c>
      <c r="AL42" s="450">
        <v>64.680000000000007</v>
      </c>
      <c r="AM42" s="133"/>
      <c r="AN42" s="134">
        <v>53</v>
      </c>
      <c r="AO42" s="450">
        <v>64.88</v>
      </c>
      <c r="AP42" s="450">
        <v>64.92</v>
      </c>
      <c r="AQ42" s="450">
        <v>64.959999999999994</v>
      </c>
      <c r="AR42" s="450">
        <v>64.989999999999995</v>
      </c>
      <c r="AS42" s="450">
        <v>65.03</v>
      </c>
      <c r="AT42" s="450">
        <v>65.06</v>
      </c>
      <c r="AU42" s="450">
        <v>65.08</v>
      </c>
      <c r="AV42" s="450">
        <v>65.11</v>
      </c>
      <c r="AW42" s="450">
        <v>65.13</v>
      </c>
      <c r="AX42" s="450">
        <v>65.16</v>
      </c>
      <c r="AY42" s="450">
        <v>65.180000000000007</v>
      </c>
      <c r="AZ42" s="450">
        <v>65.19</v>
      </c>
      <c r="BA42" s="450">
        <v>65.260000000000005</v>
      </c>
      <c r="BB42" s="450">
        <v>65.290000000000006</v>
      </c>
      <c r="BC42" s="450">
        <v>65.3</v>
      </c>
      <c r="BD42" s="450">
        <v>65.31</v>
      </c>
      <c r="BE42" s="450">
        <v>65.31</v>
      </c>
    </row>
    <row r="43" spans="2:57" x14ac:dyDescent="0.25">
      <c r="B43" s="134">
        <v>54</v>
      </c>
      <c r="C43" s="450">
        <v>64.06</v>
      </c>
      <c r="D43" s="450">
        <v>64.09</v>
      </c>
      <c r="E43" s="450">
        <v>64.12</v>
      </c>
      <c r="F43" s="450">
        <v>64.150000000000006</v>
      </c>
      <c r="G43" s="450">
        <v>64.180000000000007</v>
      </c>
      <c r="H43" s="450">
        <v>64.209999999999994</v>
      </c>
      <c r="I43" s="450">
        <v>64.23</v>
      </c>
      <c r="J43" s="450">
        <v>64.25</v>
      </c>
      <c r="K43" s="450">
        <v>64.27</v>
      </c>
      <c r="L43" s="450">
        <v>64.290000000000006</v>
      </c>
      <c r="M43" s="450">
        <v>64.3</v>
      </c>
      <c r="N43" s="450">
        <v>64.319999999999993</v>
      </c>
      <c r="O43" s="450">
        <v>64.37</v>
      </c>
      <c r="P43" s="450">
        <v>64.38</v>
      </c>
      <c r="Q43" s="450">
        <v>64.38</v>
      </c>
      <c r="R43" s="450">
        <v>64.38</v>
      </c>
      <c r="S43" s="450">
        <v>64.39</v>
      </c>
      <c r="T43" s="133"/>
      <c r="U43" s="134">
        <v>54</v>
      </c>
      <c r="V43" s="450">
        <v>64.37</v>
      </c>
      <c r="W43" s="450">
        <v>64.400000000000006</v>
      </c>
      <c r="X43" s="450">
        <v>64.44</v>
      </c>
      <c r="Y43" s="450">
        <v>64.47</v>
      </c>
      <c r="Z43" s="450">
        <v>64.5</v>
      </c>
      <c r="AA43" s="450">
        <v>64.52</v>
      </c>
      <c r="AB43" s="450">
        <v>64.55</v>
      </c>
      <c r="AC43" s="450">
        <v>64.569999999999993</v>
      </c>
      <c r="AD43" s="450">
        <v>64.59</v>
      </c>
      <c r="AE43" s="450">
        <v>64.61</v>
      </c>
      <c r="AF43" s="450">
        <v>64.63</v>
      </c>
      <c r="AG43" s="450">
        <v>64.64</v>
      </c>
      <c r="AH43" s="450">
        <v>64.7</v>
      </c>
      <c r="AI43" s="450">
        <v>64.709999999999994</v>
      </c>
      <c r="AJ43" s="450">
        <v>64.72</v>
      </c>
      <c r="AK43" s="450">
        <v>64.72</v>
      </c>
      <c r="AL43" s="450">
        <v>64.73</v>
      </c>
      <c r="AM43" s="133"/>
      <c r="AN43" s="134">
        <v>54</v>
      </c>
      <c r="AO43" s="450">
        <v>64.97</v>
      </c>
      <c r="AP43" s="450">
        <v>65</v>
      </c>
      <c r="AQ43" s="450">
        <v>65.040000000000006</v>
      </c>
      <c r="AR43" s="450">
        <v>65.069999999999993</v>
      </c>
      <c r="AS43" s="450">
        <v>65.099999999999994</v>
      </c>
      <c r="AT43" s="450">
        <v>65.13</v>
      </c>
      <c r="AU43" s="450">
        <v>65.16</v>
      </c>
      <c r="AV43" s="450">
        <v>65.180000000000007</v>
      </c>
      <c r="AW43" s="450">
        <v>65.209999999999994</v>
      </c>
      <c r="AX43" s="450">
        <v>65.23</v>
      </c>
      <c r="AY43" s="450">
        <v>65.25</v>
      </c>
      <c r="AZ43" s="450">
        <v>65.260000000000005</v>
      </c>
      <c r="BA43" s="450">
        <v>65.319999999999993</v>
      </c>
      <c r="BB43" s="450">
        <v>65.349999999999994</v>
      </c>
      <c r="BC43" s="450">
        <v>65.36</v>
      </c>
      <c r="BD43" s="450">
        <v>65.36</v>
      </c>
      <c r="BE43" s="450">
        <v>65.37</v>
      </c>
    </row>
    <row r="44" spans="2:57" x14ac:dyDescent="0.25">
      <c r="B44" s="134">
        <v>55</v>
      </c>
      <c r="C44" s="450">
        <v>64.13</v>
      </c>
      <c r="D44" s="450">
        <v>64.16</v>
      </c>
      <c r="E44" s="450">
        <v>64.19</v>
      </c>
      <c r="F44" s="450">
        <v>64.22</v>
      </c>
      <c r="G44" s="450">
        <v>64.25</v>
      </c>
      <c r="H44" s="450">
        <v>64.27</v>
      </c>
      <c r="I44" s="450">
        <v>64.290000000000006</v>
      </c>
      <c r="J44" s="450">
        <v>64.31</v>
      </c>
      <c r="K44" s="450">
        <v>64.33</v>
      </c>
      <c r="L44" s="450">
        <v>64.349999999999994</v>
      </c>
      <c r="M44" s="450">
        <v>64.36</v>
      </c>
      <c r="N44" s="450">
        <v>64.37</v>
      </c>
      <c r="O44" s="450">
        <v>64.42</v>
      </c>
      <c r="P44" s="450">
        <v>64.42</v>
      </c>
      <c r="Q44" s="450">
        <v>64.42</v>
      </c>
      <c r="R44" s="450">
        <v>64.430000000000007</v>
      </c>
      <c r="S44" s="450">
        <v>64.430000000000007</v>
      </c>
      <c r="T44" s="133"/>
      <c r="U44" s="134">
        <v>55</v>
      </c>
      <c r="V44" s="450">
        <v>64.44</v>
      </c>
      <c r="W44" s="450">
        <v>64.47</v>
      </c>
      <c r="X44" s="450">
        <v>64.510000000000005</v>
      </c>
      <c r="Y44" s="450">
        <v>64.540000000000006</v>
      </c>
      <c r="Z44" s="450">
        <v>64.56</v>
      </c>
      <c r="AA44" s="450">
        <v>64.59</v>
      </c>
      <c r="AB44" s="450">
        <v>64.61</v>
      </c>
      <c r="AC44" s="450">
        <v>64.63</v>
      </c>
      <c r="AD44" s="450">
        <v>64.650000000000006</v>
      </c>
      <c r="AE44" s="450">
        <v>64.67</v>
      </c>
      <c r="AF44" s="450">
        <v>64.69</v>
      </c>
      <c r="AG44" s="450">
        <v>64.7</v>
      </c>
      <c r="AH44" s="450">
        <v>64.75</v>
      </c>
      <c r="AI44" s="450">
        <v>64.760000000000005</v>
      </c>
      <c r="AJ44" s="450">
        <v>64.77</v>
      </c>
      <c r="AK44" s="450">
        <v>64.77</v>
      </c>
      <c r="AL44" s="450">
        <v>64.78</v>
      </c>
      <c r="AM44" s="133"/>
      <c r="AN44" s="134">
        <v>55</v>
      </c>
      <c r="AO44" s="450">
        <v>65.040000000000006</v>
      </c>
      <c r="AP44" s="450">
        <v>65.08</v>
      </c>
      <c r="AQ44" s="450">
        <v>65.11</v>
      </c>
      <c r="AR44" s="450">
        <v>65.150000000000006</v>
      </c>
      <c r="AS44" s="450">
        <v>65.180000000000007</v>
      </c>
      <c r="AT44" s="450">
        <v>65.2</v>
      </c>
      <c r="AU44" s="450">
        <v>65.23</v>
      </c>
      <c r="AV44" s="450">
        <v>65.25</v>
      </c>
      <c r="AW44" s="450">
        <v>65.27</v>
      </c>
      <c r="AX44" s="450">
        <v>65.290000000000006</v>
      </c>
      <c r="AY44" s="450">
        <v>65.31</v>
      </c>
      <c r="AZ44" s="450">
        <v>65.33</v>
      </c>
      <c r="BA44" s="450">
        <v>65.39</v>
      </c>
      <c r="BB44" s="450">
        <v>65.400000000000006</v>
      </c>
      <c r="BC44" s="450">
        <v>65.41</v>
      </c>
      <c r="BD44" s="450">
        <v>65.42</v>
      </c>
      <c r="BE44" s="450">
        <v>65.42</v>
      </c>
    </row>
    <row r="45" spans="2:57" x14ac:dyDescent="0.25">
      <c r="B45" s="134">
        <v>56</v>
      </c>
      <c r="C45" s="450">
        <v>64.2</v>
      </c>
      <c r="D45" s="450">
        <v>64.23</v>
      </c>
      <c r="E45" s="450">
        <v>64.260000000000005</v>
      </c>
      <c r="F45" s="450">
        <v>64.28</v>
      </c>
      <c r="G45" s="450">
        <v>64.31</v>
      </c>
      <c r="H45" s="450">
        <v>64.33</v>
      </c>
      <c r="I45" s="450">
        <v>64.349999999999994</v>
      </c>
      <c r="J45" s="450">
        <v>64.37</v>
      </c>
      <c r="K45" s="450">
        <v>64.39</v>
      </c>
      <c r="L45" s="450">
        <v>64.400000000000006</v>
      </c>
      <c r="M45" s="450">
        <v>64.41</v>
      </c>
      <c r="N45" s="450">
        <v>64.42</v>
      </c>
      <c r="O45" s="450">
        <v>64.459999999999994</v>
      </c>
      <c r="P45" s="450">
        <v>64.459999999999994</v>
      </c>
      <c r="Q45" s="450">
        <v>64.459999999999994</v>
      </c>
      <c r="R45" s="450">
        <v>64.47</v>
      </c>
      <c r="S45" s="450">
        <v>64.47</v>
      </c>
      <c r="T45" s="133"/>
      <c r="U45" s="134">
        <v>56</v>
      </c>
      <c r="V45" s="450">
        <v>64.510000000000005</v>
      </c>
      <c r="W45" s="450">
        <v>64.540000000000006</v>
      </c>
      <c r="X45" s="450">
        <v>64.58</v>
      </c>
      <c r="Y45" s="450">
        <v>64.599999999999994</v>
      </c>
      <c r="Z45" s="450">
        <v>64.63</v>
      </c>
      <c r="AA45" s="450">
        <v>64.650000000000006</v>
      </c>
      <c r="AB45" s="450">
        <v>64.67</v>
      </c>
      <c r="AC45" s="450">
        <v>64.69</v>
      </c>
      <c r="AD45" s="450">
        <v>64.709999999999994</v>
      </c>
      <c r="AE45" s="450">
        <v>64.73</v>
      </c>
      <c r="AF45" s="450">
        <v>64.739999999999995</v>
      </c>
      <c r="AG45" s="450">
        <v>64.760000000000005</v>
      </c>
      <c r="AH45" s="450">
        <v>64.8</v>
      </c>
      <c r="AI45" s="450">
        <v>64.8</v>
      </c>
      <c r="AJ45" s="450">
        <v>64.81</v>
      </c>
      <c r="AK45" s="450">
        <v>64.819999999999993</v>
      </c>
      <c r="AL45" s="450">
        <v>64.819999999999993</v>
      </c>
      <c r="AM45" s="133"/>
      <c r="AN45" s="134">
        <v>56</v>
      </c>
      <c r="AO45" s="450">
        <v>65.12</v>
      </c>
      <c r="AP45" s="450">
        <v>65.150000000000006</v>
      </c>
      <c r="AQ45" s="450">
        <v>65.19</v>
      </c>
      <c r="AR45" s="450">
        <v>65.22</v>
      </c>
      <c r="AS45" s="450">
        <v>65.25</v>
      </c>
      <c r="AT45" s="450">
        <v>65.27</v>
      </c>
      <c r="AU45" s="450">
        <v>65.3</v>
      </c>
      <c r="AV45" s="450">
        <v>65.319999999999993</v>
      </c>
      <c r="AW45" s="450">
        <v>65.34</v>
      </c>
      <c r="AX45" s="450">
        <v>65.36</v>
      </c>
      <c r="AY45" s="450">
        <v>65.37</v>
      </c>
      <c r="AZ45" s="450">
        <v>65.39</v>
      </c>
      <c r="BA45" s="450">
        <v>65.44</v>
      </c>
      <c r="BB45" s="450">
        <v>65.45</v>
      </c>
      <c r="BC45" s="450">
        <v>65.459999999999994</v>
      </c>
      <c r="BD45" s="450">
        <v>65.47</v>
      </c>
      <c r="BE45" s="450">
        <v>65.47</v>
      </c>
    </row>
    <row r="46" spans="2:57" x14ac:dyDescent="0.25">
      <c r="B46" s="134">
        <v>57</v>
      </c>
      <c r="C46" s="450">
        <v>64.260000000000005</v>
      </c>
      <c r="D46" s="450">
        <v>64.290000000000006</v>
      </c>
      <c r="E46" s="450">
        <v>64.319999999999993</v>
      </c>
      <c r="F46" s="450">
        <v>64.34</v>
      </c>
      <c r="G46" s="450">
        <v>64.37</v>
      </c>
      <c r="H46" s="450">
        <v>64.39</v>
      </c>
      <c r="I46" s="450">
        <v>64.41</v>
      </c>
      <c r="J46" s="450">
        <v>64.42</v>
      </c>
      <c r="K46" s="450">
        <v>64.44</v>
      </c>
      <c r="L46" s="450">
        <v>64.45</v>
      </c>
      <c r="M46" s="450">
        <v>64.459999999999994</v>
      </c>
      <c r="N46" s="450">
        <v>64.47</v>
      </c>
      <c r="O46" s="450">
        <v>64.5</v>
      </c>
      <c r="P46" s="450">
        <v>64.5</v>
      </c>
      <c r="Q46" s="450">
        <v>64.5</v>
      </c>
      <c r="R46" s="450">
        <v>64.510000000000005</v>
      </c>
      <c r="S46" s="450">
        <v>64.510000000000005</v>
      </c>
      <c r="T46" s="133"/>
      <c r="U46" s="134">
        <v>57</v>
      </c>
      <c r="V46" s="450">
        <v>64.58</v>
      </c>
      <c r="W46" s="450">
        <v>64.61</v>
      </c>
      <c r="X46" s="450">
        <v>64.64</v>
      </c>
      <c r="Y46" s="450">
        <v>64.67</v>
      </c>
      <c r="Z46" s="450">
        <v>64.69</v>
      </c>
      <c r="AA46" s="450">
        <v>64.709999999999994</v>
      </c>
      <c r="AB46" s="450">
        <v>64.73</v>
      </c>
      <c r="AC46" s="450">
        <v>64.75</v>
      </c>
      <c r="AD46" s="450">
        <v>64.77</v>
      </c>
      <c r="AE46" s="450">
        <v>64.78</v>
      </c>
      <c r="AF46" s="450">
        <v>64.8</v>
      </c>
      <c r="AG46" s="450">
        <v>64.81</v>
      </c>
      <c r="AH46" s="450">
        <v>64.84</v>
      </c>
      <c r="AI46" s="450">
        <v>64.849999999999994</v>
      </c>
      <c r="AJ46" s="450">
        <v>64.849999999999994</v>
      </c>
      <c r="AK46" s="450">
        <v>64.86</v>
      </c>
      <c r="AL46" s="450">
        <v>64.87</v>
      </c>
      <c r="AM46" s="133"/>
      <c r="AN46" s="134">
        <v>57</v>
      </c>
      <c r="AO46" s="450">
        <v>65.19</v>
      </c>
      <c r="AP46" s="450">
        <v>65.23</v>
      </c>
      <c r="AQ46" s="450">
        <v>65.260000000000005</v>
      </c>
      <c r="AR46" s="450">
        <v>65.290000000000006</v>
      </c>
      <c r="AS46" s="450">
        <v>65.31</v>
      </c>
      <c r="AT46" s="450">
        <v>65.34</v>
      </c>
      <c r="AU46" s="450">
        <v>65.36</v>
      </c>
      <c r="AV46" s="450">
        <v>65.38</v>
      </c>
      <c r="AW46" s="450">
        <v>65.400000000000006</v>
      </c>
      <c r="AX46" s="450">
        <v>65.42</v>
      </c>
      <c r="AY46" s="450">
        <v>65.430000000000007</v>
      </c>
      <c r="AZ46" s="450">
        <v>65.44</v>
      </c>
      <c r="BA46" s="450">
        <v>65.489999999999995</v>
      </c>
      <c r="BB46" s="450">
        <v>65.5</v>
      </c>
      <c r="BC46" s="450">
        <v>65.510000000000005</v>
      </c>
      <c r="BD46" s="450">
        <v>65.52</v>
      </c>
      <c r="BE46" s="450">
        <v>65.52</v>
      </c>
    </row>
    <row r="47" spans="2:57" x14ac:dyDescent="0.25">
      <c r="B47" s="134">
        <v>58</v>
      </c>
      <c r="C47" s="450">
        <v>64.319999999999993</v>
      </c>
      <c r="D47" s="450">
        <v>64.349999999999994</v>
      </c>
      <c r="E47" s="450">
        <v>64.38</v>
      </c>
      <c r="F47" s="450">
        <v>64.400000000000006</v>
      </c>
      <c r="G47" s="450">
        <v>64.42</v>
      </c>
      <c r="H47" s="450">
        <v>64.44</v>
      </c>
      <c r="I47" s="450">
        <v>64.459999999999994</v>
      </c>
      <c r="J47" s="450">
        <v>64.47</v>
      </c>
      <c r="K47" s="450">
        <v>64.48</v>
      </c>
      <c r="L47" s="450">
        <v>64.5</v>
      </c>
      <c r="M47" s="450">
        <v>64.510000000000005</v>
      </c>
      <c r="N47" s="450">
        <v>64.52</v>
      </c>
      <c r="O47" s="450">
        <v>64.53</v>
      </c>
      <c r="P47" s="450">
        <v>64.53</v>
      </c>
      <c r="Q47" s="450">
        <v>64.540000000000006</v>
      </c>
      <c r="R47" s="450">
        <v>64.540000000000006</v>
      </c>
      <c r="S47" s="450">
        <v>64.540000000000006</v>
      </c>
      <c r="T47" s="133"/>
      <c r="U47" s="134">
        <v>58</v>
      </c>
      <c r="V47" s="450">
        <v>64.64</v>
      </c>
      <c r="W47" s="450">
        <v>64.67</v>
      </c>
      <c r="X47" s="450">
        <v>64.7</v>
      </c>
      <c r="Y47" s="450">
        <v>64.73</v>
      </c>
      <c r="Z47" s="450">
        <v>64.75</v>
      </c>
      <c r="AA47" s="450">
        <v>64.77</v>
      </c>
      <c r="AB47" s="450">
        <v>64.790000000000006</v>
      </c>
      <c r="AC47" s="450">
        <v>64.8</v>
      </c>
      <c r="AD47" s="450">
        <v>64.819999999999993</v>
      </c>
      <c r="AE47" s="450">
        <v>64.83</v>
      </c>
      <c r="AF47" s="450">
        <v>64.84</v>
      </c>
      <c r="AG47" s="450">
        <v>64.849999999999994</v>
      </c>
      <c r="AH47" s="450">
        <v>64.88</v>
      </c>
      <c r="AI47" s="450">
        <v>64.89</v>
      </c>
      <c r="AJ47" s="450">
        <v>64.89</v>
      </c>
      <c r="AK47" s="450">
        <v>64.900000000000006</v>
      </c>
      <c r="AL47" s="450">
        <v>64.91</v>
      </c>
      <c r="AM47" s="133"/>
      <c r="AN47" s="134">
        <v>58</v>
      </c>
      <c r="AO47" s="450">
        <v>65.260000000000005</v>
      </c>
      <c r="AP47" s="450">
        <v>65.290000000000006</v>
      </c>
      <c r="AQ47" s="450">
        <v>65.319999999999993</v>
      </c>
      <c r="AR47" s="450">
        <v>65.349999999999994</v>
      </c>
      <c r="AS47" s="450">
        <v>65.38</v>
      </c>
      <c r="AT47" s="450">
        <v>65.400000000000006</v>
      </c>
      <c r="AU47" s="450">
        <v>65.42</v>
      </c>
      <c r="AV47" s="450">
        <v>65.44</v>
      </c>
      <c r="AW47" s="450">
        <v>65.459999999999994</v>
      </c>
      <c r="AX47" s="450">
        <v>65.47</v>
      </c>
      <c r="AY47" s="450">
        <v>65.489999999999995</v>
      </c>
      <c r="AZ47" s="450">
        <v>65.5</v>
      </c>
      <c r="BA47" s="450">
        <v>65.53</v>
      </c>
      <c r="BB47" s="450">
        <v>65.55</v>
      </c>
      <c r="BC47" s="450">
        <v>65.56</v>
      </c>
      <c r="BD47" s="450">
        <v>65.56</v>
      </c>
      <c r="BE47" s="450">
        <v>65.569999999999993</v>
      </c>
    </row>
    <row r="48" spans="2:57" x14ac:dyDescent="0.25">
      <c r="B48" s="134">
        <v>59</v>
      </c>
      <c r="C48" s="450">
        <v>64.38</v>
      </c>
      <c r="D48" s="450">
        <v>64.41</v>
      </c>
      <c r="E48" s="450">
        <v>64.430000000000007</v>
      </c>
      <c r="F48" s="450">
        <v>64.45</v>
      </c>
      <c r="G48" s="450">
        <v>64.47</v>
      </c>
      <c r="H48" s="450">
        <v>64.489999999999995</v>
      </c>
      <c r="I48" s="450">
        <v>64.5</v>
      </c>
      <c r="J48" s="450">
        <v>64.52</v>
      </c>
      <c r="K48" s="450">
        <v>64.53</v>
      </c>
      <c r="L48" s="450">
        <v>64.540000000000006</v>
      </c>
      <c r="M48" s="450">
        <v>64.55</v>
      </c>
      <c r="N48" s="450">
        <v>64.56</v>
      </c>
      <c r="O48" s="450">
        <v>64.56</v>
      </c>
      <c r="P48" s="450">
        <v>64.569999999999993</v>
      </c>
      <c r="Q48" s="450">
        <v>64.569999999999993</v>
      </c>
      <c r="R48" s="450">
        <v>64.569999999999993</v>
      </c>
      <c r="S48" s="450">
        <v>64.569999999999993</v>
      </c>
      <c r="T48" s="133"/>
      <c r="U48" s="134">
        <v>59</v>
      </c>
      <c r="V48" s="450">
        <v>64.709999999999994</v>
      </c>
      <c r="W48" s="450">
        <v>64.73</v>
      </c>
      <c r="X48" s="450">
        <v>64.760000000000005</v>
      </c>
      <c r="Y48" s="450">
        <v>64.78</v>
      </c>
      <c r="Z48" s="450">
        <v>64.8</v>
      </c>
      <c r="AA48" s="450">
        <v>64.819999999999993</v>
      </c>
      <c r="AB48" s="450">
        <v>64.84</v>
      </c>
      <c r="AC48" s="450">
        <v>64.849999999999994</v>
      </c>
      <c r="AD48" s="450">
        <v>64.87</v>
      </c>
      <c r="AE48" s="450">
        <v>64.88</v>
      </c>
      <c r="AF48" s="450">
        <v>64.89</v>
      </c>
      <c r="AG48" s="450">
        <v>64.900000000000006</v>
      </c>
      <c r="AH48" s="450">
        <v>64.92</v>
      </c>
      <c r="AI48" s="450">
        <v>64.92</v>
      </c>
      <c r="AJ48" s="450">
        <v>64.930000000000007</v>
      </c>
      <c r="AK48" s="450">
        <v>64.94</v>
      </c>
      <c r="AL48" s="450">
        <v>64.94</v>
      </c>
      <c r="AM48" s="133"/>
      <c r="AN48" s="134">
        <v>59</v>
      </c>
      <c r="AO48" s="450">
        <v>65.33</v>
      </c>
      <c r="AP48" s="450">
        <v>65.36</v>
      </c>
      <c r="AQ48" s="450">
        <v>65.39</v>
      </c>
      <c r="AR48" s="450">
        <v>65.41</v>
      </c>
      <c r="AS48" s="450">
        <v>65.44</v>
      </c>
      <c r="AT48" s="450">
        <v>65.459999999999994</v>
      </c>
      <c r="AU48" s="450">
        <v>65.48</v>
      </c>
      <c r="AV48" s="450">
        <v>65.489999999999995</v>
      </c>
      <c r="AW48" s="450">
        <v>65.510000000000005</v>
      </c>
      <c r="AX48" s="450">
        <v>65.52</v>
      </c>
      <c r="AY48" s="450">
        <v>65.540000000000006</v>
      </c>
      <c r="AZ48" s="450">
        <v>65.55</v>
      </c>
      <c r="BA48" s="450">
        <v>65.58</v>
      </c>
      <c r="BB48" s="450">
        <v>65.59</v>
      </c>
      <c r="BC48" s="450">
        <v>65.599999999999994</v>
      </c>
      <c r="BD48" s="450">
        <v>65.61</v>
      </c>
      <c r="BE48" s="450">
        <v>65.61</v>
      </c>
    </row>
    <row r="49" spans="2:57" x14ac:dyDescent="0.25">
      <c r="B49" s="134">
        <v>60</v>
      </c>
      <c r="C49" s="450">
        <v>64.430000000000007</v>
      </c>
      <c r="D49" s="450">
        <v>64.459999999999994</v>
      </c>
      <c r="E49" s="450">
        <v>64.48</v>
      </c>
      <c r="F49" s="450">
        <v>64.5</v>
      </c>
      <c r="G49" s="450">
        <v>64.52</v>
      </c>
      <c r="H49" s="450">
        <v>64.53</v>
      </c>
      <c r="I49" s="450">
        <v>64.540000000000006</v>
      </c>
      <c r="J49" s="450">
        <v>64.56</v>
      </c>
      <c r="K49" s="450">
        <v>64.569999999999993</v>
      </c>
      <c r="L49" s="450">
        <v>64.58</v>
      </c>
      <c r="M49" s="450">
        <v>64.58</v>
      </c>
      <c r="N49" s="450">
        <v>64.59</v>
      </c>
      <c r="O49" s="450">
        <v>64.59</v>
      </c>
      <c r="P49" s="450">
        <v>64.59</v>
      </c>
      <c r="Q49" s="450">
        <v>64.59</v>
      </c>
      <c r="R49" s="450">
        <v>64.599999999999994</v>
      </c>
      <c r="S49" s="450">
        <v>64.599999999999994</v>
      </c>
      <c r="T49" s="133"/>
      <c r="U49" s="134">
        <v>60</v>
      </c>
      <c r="V49" s="450">
        <v>64.760000000000005</v>
      </c>
      <c r="W49" s="450">
        <v>64.790000000000006</v>
      </c>
      <c r="X49" s="450">
        <v>64.81</v>
      </c>
      <c r="Y49" s="450">
        <v>64.83</v>
      </c>
      <c r="Z49" s="450">
        <v>64.849999999999994</v>
      </c>
      <c r="AA49" s="450">
        <v>64.87</v>
      </c>
      <c r="AB49" s="450">
        <v>64.88</v>
      </c>
      <c r="AC49" s="450">
        <v>64.900000000000006</v>
      </c>
      <c r="AD49" s="450">
        <v>64.91</v>
      </c>
      <c r="AE49" s="450">
        <v>64.92</v>
      </c>
      <c r="AF49" s="450">
        <v>64.930000000000007</v>
      </c>
      <c r="AG49" s="450">
        <v>64.94</v>
      </c>
      <c r="AH49" s="450">
        <v>64.95</v>
      </c>
      <c r="AI49" s="450">
        <v>64.959999999999994</v>
      </c>
      <c r="AJ49" s="450">
        <v>64.959999999999994</v>
      </c>
      <c r="AK49" s="450">
        <v>64.97</v>
      </c>
      <c r="AL49" s="450">
        <v>64.98</v>
      </c>
      <c r="AM49" s="133"/>
      <c r="AN49" s="134">
        <v>60</v>
      </c>
      <c r="AO49" s="450">
        <v>65.39</v>
      </c>
      <c r="AP49" s="450">
        <v>65.42</v>
      </c>
      <c r="AQ49" s="450">
        <v>65.45</v>
      </c>
      <c r="AR49" s="450">
        <v>65.47</v>
      </c>
      <c r="AS49" s="450">
        <v>65.489999999999995</v>
      </c>
      <c r="AT49" s="450">
        <v>65.510000000000005</v>
      </c>
      <c r="AU49" s="450">
        <v>65.53</v>
      </c>
      <c r="AV49" s="450">
        <v>65.55</v>
      </c>
      <c r="AW49" s="450">
        <v>65.56</v>
      </c>
      <c r="AX49" s="450">
        <v>65.569999999999993</v>
      </c>
      <c r="AY49" s="450">
        <v>65.59</v>
      </c>
      <c r="AZ49" s="450">
        <v>65.599999999999994</v>
      </c>
      <c r="BA49" s="450">
        <v>65.62</v>
      </c>
      <c r="BB49" s="450">
        <v>65.63</v>
      </c>
      <c r="BC49" s="450">
        <v>65.64</v>
      </c>
      <c r="BD49" s="450">
        <v>65.650000000000006</v>
      </c>
      <c r="BE49" s="450">
        <v>65.650000000000006</v>
      </c>
    </row>
    <row r="50" spans="2:57" x14ac:dyDescent="0.25">
      <c r="B50" s="134">
        <v>61</v>
      </c>
      <c r="C50" s="450">
        <v>64.48</v>
      </c>
      <c r="D50" s="450">
        <v>64.5</v>
      </c>
      <c r="E50" s="450">
        <v>64.52</v>
      </c>
      <c r="F50" s="450">
        <v>64.540000000000006</v>
      </c>
      <c r="G50" s="450">
        <v>64.56</v>
      </c>
      <c r="H50" s="450">
        <v>64.569999999999993</v>
      </c>
      <c r="I50" s="450">
        <v>64.58</v>
      </c>
      <c r="J50" s="450">
        <v>64.59</v>
      </c>
      <c r="K50" s="450">
        <v>64.599999999999994</v>
      </c>
      <c r="L50" s="450">
        <v>64.61</v>
      </c>
      <c r="M50" s="450">
        <v>64.62</v>
      </c>
      <c r="N50" s="450">
        <v>64.62</v>
      </c>
      <c r="O50" s="450">
        <v>64.62</v>
      </c>
      <c r="P50" s="450">
        <v>64.62</v>
      </c>
      <c r="Q50" s="450">
        <v>64.62</v>
      </c>
      <c r="R50" s="450">
        <v>64.62</v>
      </c>
      <c r="S50" s="450">
        <v>64.63</v>
      </c>
      <c r="T50" s="133"/>
      <c r="U50" s="134">
        <v>61</v>
      </c>
      <c r="V50" s="450">
        <v>64.819999999999993</v>
      </c>
      <c r="W50" s="450">
        <v>64.84</v>
      </c>
      <c r="X50" s="450">
        <v>64.86</v>
      </c>
      <c r="Y50" s="450">
        <v>64.88</v>
      </c>
      <c r="Z50" s="450">
        <v>64.900000000000006</v>
      </c>
      <c r="AA50" s="450">
        <v>64.91</v>
      </c>
      <c r="AB50" s="450">
        <v>64.930000000000007</v>
      </c>
      <c r="AC50" s="450">
        <v>64.94</v>
      </c>
      <c r="AD50" s="450">
        <v>64.95</v>
      </c>
      <c r="AE50" s="450">
        <v>64.959999999999994</v>
      </c>
      <c r="AF50" s="450">
        <v>64.97</v>
      </c>
      <c r="AG50" s="450">
        <v>64.97</v>
      </c>
      <c r="AH50" s="450">
        <v>64.98</v>
      </c>
      <c r="AI50" s="450">
        <v>64.989999999999995</v>
      </c>
      <c r="AJ50" s="450">
        <v>64.989999999999995</v>
      </c>
      <c r="AK50" s="450">
        <v>65</v>
      </c>
      <c r="AL50" s="450">
        <v>65.010000000000005</v>
      </c>
      <c r="AM50" s="133"/>
      <c r="AN50" s="134">
        <v>61</v>
      </c>
      <c r="AO50" s="450">
        <v>65.45</v>
      </c>
      <c r="AP50" s="450">
        <v>65.48</v>
      </c>
      <c r="AQ50" s="450">
        <v>65.5</v>
      </c>
      <c r="AR50" s="450">
        <v>65.52</v>
      </c>
      <c r="AS50" s="450">
        <v>65.540000000000006</v>
      </c>
      <c r="AT50" s="450">
        <v>65.56</v>
      </c>
      <c r="AU50" s="450">
        <v>65.58</v>
      </c>
      <c r="AV50" s="450">
        <v>65.59</v>
      </c>
      <c r="AW50" s="450">
        <v>65.61</v>
      </c>
      <c r="AX50" s="450">
        <v>65.62</v>
      </c>
      <c r="AY50" s="450">
        <v>65.63</v>
      </c>
      <c r="AZ50" s="450">
        <v>65.64</v>
      </c>
      <c r="BA50" s="450">
        <v>65.650000000000006</v>
      </c>
      <c r="BB50" s="450">
        <v>65.67</v>
      </c>
      <c r="BC50" s="450">
        <v>65.680000000000007</v>
      </c>
      <c r="BD50" s="450">
        <v>65.680000000000007</v>
      </c>
      <c r="BE50" s="450">
        <v>65.680000000000007</v>
      </c>
    </row>
    <row r="51" spans="2:57" x14ac:dyDescent="0.25">
      <c r="B51" s="134">
        <v>62</v>
      </c>
      <c r="C51" s="450">
        <v>64.53</v>
      </c>
      <c r="D51" s="450">
        <v>64.55</v>
      </c>
      <c r="E51" s="450">
        <v>64.56</v>
      </c>
      <c r="F51" s="450">
        <v>64.58</v>
      </c>
      <c r="G51" s="450">
        <v>64.59</v>
      </c>
      <c r="H51" s="450">
        <v>64.61</v>
      </c>
      <c r="I51" s="450">
        <v>64.62</v>
      </c>
      <c r="J51" s="450">
        <v>64.62</v>
      </c>
      <c r="K51" s="450">
        <v>64.63</v>
      </c>
      <c r="L51" s="450">
        <v>64.64</v>
      </c>
      <c r="M51" s="450">
        <v>64.64</v>
      </c>
      <c r="N51" s="450">
        <v>64.64</v>
      </c>
      <c r="O51" s="450">
        <v>64.64</v>
      </c>
      <c r="P51" s="450">
        <v>64.64</v>
      </c>
      <c r="Q51" s="450">
        <v>64.64</v>
      </c>
      <c r="R51" s="450">
        <v>64.64</v>
      </c>
      <c r="S51" s="450">
        <v>64.650000000000006</v>
      </c>
      <c r="T51" s="133"/>
      <c r="U51" s="134">
        <v>62</v>
      </c>
      <c r="V51" s="450">
        <v>64.87</v>
      </c>
      <c r="W51" s="450">
        <v>64.89</v>
      </c>
      <c r="X51" s="450">
        <v>64.91</v>
      </c>
      <c r="Y51" s="450">
        <v>64.92</v>
      </c>
      <c r="Z51" s="450">
        <v>64.94</v>
      </c>
      <c r="AA51" s="450">
        <v>64.95</v>
      </c>
      <c r="AB51" s="450">
        <v>64.97</v>
      </c>
      <c r="AC51" s="450">
        <v>64.98</v>
      </c>
      <c r="AD51" s="450">
        <v>64.989999999999995</v>
      </c>
      <c r="AE51" s="450">
        <v>65</v>
      </c>
      <c r="AF51" s="450">
        <v>65</v>
      </c>
      <c r="AG51" s="450">
        <v>65</v>
      </c>
      <c r="AH51" s="450">
        <v>65.010000000000005</v>
      </c>
      <c r="AI51" s="450">
        <v>65.02</v>
      </c>
      <c r="AJ51" s="450">
        <v>65.02</v>
      </c>
      <c r="AK51" s="450">
        <v>65.03</v>
      </c>
      <c r="AL51" s="450">
        <v>65.040000000000006</v>
      </c>
      <c r="AM51" s="133"/>
      <c r="AN51" s="134">
        <v>62</v>
      </c>
      <c r="AO51" s="450">
        <v>65.510000000000005</v>
      </c>
      <c r="AP51" s="450">
        <v>65.53</v>
      </c>
      <c r="AQ51" s="450">
        <v>65.55</v>
      </c>
      <c r="AR51" s="450">
        <v>65.569999999999993</v>
      </c>
      <c r="AS51" s="450">
        <v>65.59</v>
      </c>
      <c r="AT51" s="450">
        <v>65.61</v>
      </c>
      <c r="AU51" s="450">
        <v>65.62</v>
      </c>
      <c r="AV51" s="450">
        <v>65.64</v>
      </c>
      <c r="AW51" s="450">
        <v>65.650000000000006</v>
      </c>
      <c r="AX51" s="450">
        <v>65.66</v>
      </c>
      <c r="AY51" s="450">
        <v>65.67</v>
      </c>
      <c r="AZ51" s="450">
        <v>65.67</v>
      </c>
      <c r="BA51" s="450">
        <v>65.69</v>
      </c>
      <c r="BB51" s="450">
        <v>65.7</v>
      </c>
      <c r="BC51" s="450">
        <v>65.709999999999994</v>
      </c>
      <c r="BD51" s="450">
        <v>65.72</v>
      </c>
      <c r="BE51" s="450">
        <v>65.72</v>
      </c>
    </row>
    <row r="52" spans="2:57" x14ac:dyDescent="0.25">
      <c r="B52" s="134">
        <v>63</v>
      </c>
      <c r="C52" s="450">
        <v>64.569999999999993</v>
      </c>
      <c r="D52" s="450">
        <v>64.59</v>
      </c>
      <c r="E52" s="450">
        <v>64.599999999999994</v>
      </c>
      <c r="F52" s="450">
        <v>64.61</v>
      </c>
      <c r="G52" s="450">
        <v>64.63</v>
      </c>
      <c r="H52" s="450">
        <v>64.64</v>
      </c>
      <c r="I52" s="450">
        <v>64.650000000000006</v>
      </c>
      <c r="J52" s="450">
        <v>64.650000000000006</v>
      </c>
      <c r="K52" s="450">
        <v>64.66</v>
      </c>
      <c r="L52" s="450">
        <v>64.66</v>
      </c>
      <c r="M52" s="450">
        <v>64.66</v>
      </c>
      <c r="N52" s="450">
        <v>64.66</v>
      </c>
      <c r="O52" s="450">
        <v>64.66</v>
      </c>
      <c r="P52" s="450">
        <v>64.66</v>
      </c>
      <c r="Q52" s="450">
        <v>64.66</v>
      </c>
      <c r="R52" s="450">
        <v>64.66</v>
      </c>
      <c r="S52" s="450">
        <v>64.66</v>
      </c>
      <c r="T52" s="133"/>
      <c r="U52" s="134">
        <v>63</v>
      </c>
      <c r="V52" s="450">
        <v>64.91</v>
      </c>
      <c r="W52" s="450">
        <v>64.930000000000007</v>
      </c>
      <c r="X52" s="450">
        <v>64.95</v>
      </c>
      <c r="Y52" s="450">
        <v>64.959999999999994</v>
      </c>
      <c r="Z52" s="450">
        <v>64.98</v>
      </c>
      <c r="AA52" s="450">
        <v>64.989999999999995</v>
      </c>
      <c r="AB52" s="450">
        <v>65</v>
      </c>
      <c r="AC52" s="450">
        <v>65.010000000000005</v>
      </c>
      <c r="AD52" s="450">
        <v>65.02</v>
      </c>
      <c r="AE52" s="450">
        <v>65.02</v>
      </c>
      <c r="AF52" s="450">
        <v>65.02</v>
      </c>
      <c r="AG52" s="450">
        <v>65.03</v>
      </c>
      <c r="AH52" s="450">
        <v>65.03</v>
      </c>
      <c r="AI52" s="450">
        <v>65.040000000000006</v>
      </c>
      <c r="AJ52" s="450">
        <v>65.05</v>
      </c>
      <c r="AK52" s="450">
        <v>65.06</v>
      </c>
      <c r="AL52" s="450">
        <v>65.06</v>
      </c>
      <c r="AM52" s="133"/>
      <c r="AN52" s="134">
        <v>63</v>
      </c>
      <c r="AO52" s="450">
        <v>65.56</v>
      </c>
      <c r="AP52" s="450">
        <v>65.58</v>
      </c>
      <c r="AQ52" s="450">
        <v>65.599999999999994</v>
      </c>
      <c r="AR52" s="450">
        <v>65.62</v>
      </c>
      <c r="AS52" s="450">
        <v>65.64</v>
      </c>
      <c r="AT52" s="450">
        <v>65.650000000000006</v>
      </c>
      <c r="AU52" s="450">
        <v>65.67</v>
      </c>
      <c r="AV52" s="450">
        <v>65.680000000000007</v>
      </c>
      <c r="AW52" s="450">
        <v>65.69</v>
      </c>
      <c r="AX52" s="450">
        <v>65.7</v>
      </c>
      <c r="AY52" s="450">
        <v>65.7</v>
      </c>
      <c r="AZ52" s="450">
        <v>65.709999999999994</v>
      </c>
      <c r="BA52" s="450">
        <v>65.72</v>
      </c>
      <c r="BB52" s="450">
        <v>65.739999999999995</v>
      </c>
      <c r="BC52" s="450">
        <v>65.75</v>
      </c>
      <c r="BD52" s="450">
        <v>65.75</v>
      </c>
      <c r="BE52" s="450">
        <v>65.75</v>
      </c>
    </row>
    <row r="53" spans="2:57" x14ac:dyDescent="0.25">
      <c r="B53" s="134">
        <v>64</v>
      </c>
      <c r="C53" s="450">
        <v>64.61</v>
      </c>
      <c r="D53" s="450">
        <v>64.62</v>
      </c>
      <c r="E53" s="450">
        <v>64.63</v>
      </c>
      <c r="F53" s="450">
        <v>64.64</v>
      </c>
      <c r="G53" s="450">
        <v>64.650000000000006</v>
      </c>
      <c r="H53" s="450">
        <v>64.66</v>
      </c>
      <c r="I53" s="450">
        <v>64.67</v>
      </c>
      <c r="J53" s="450">
        <v>64.680000000000007</v>
      </c>
      <c r="K53" s="450">
        <v>64.680000000000007</v>
      </c>
      <c r="L53" s="450">
        <v>64.680000000000007</v>
      </c>
      <c r="M53" s="450">
        <v>64.680000000000007</v>
      </c>
      <c r="N53" s="450">
        <v>64.680000000000007</v>
      </c>
      <c r="O53" s="450">
        <v>64.67</v>
      </c>
      <c r="P53" s="450">
        <v>64.67</v>
      </c>
      <c r="Q53" s="450">
        <v>64.67</v>
      </c>
      <c r="R53" s="450">
        <v>64.67</v>
      </c>
      <c r="S53" s="450">
        <v>64.67</v>
      </c>
      <c r="T53" s="133"/>
      <c r="U53" s="134">
        <v>64</v>
      </c>
      <c r="V53" s="450">
        <v>64.95</v>
      </c>
      <c r="W53" s="450">
        <v>64.97</v>
      </c>
      <c r="X53" s="450">
        <v>64.98</v>
      </c>
      <c r="Y53" s="450">
        <v>65</v>
      </c>
      <c r="Z53" s="450">
        <v>65.010000000000005</v>
      </c>
      <c r="AA53" s="450">
        <v>65.02</v>
      </c>
      <c r="AB53" s="450">
        <v>65.03</v>
      </c>
      <c r="AC53" s="450">
        <v>65.040000000000006</v>
      </c>
      <c r="AD53" s="450">
        <v>65.040000000000006</v>
      </c>
      <c r="AE53" s="450">
        <v>65.05</v>
      </c>
      <c r="AF53" s="450">
        <v>65.05</v>
      </c>
      <c r="AG53" s="450">
        <v>65.05</v>
      </c>
      <c r="AH53" s="450">
        <v>65.06</v>
      </c>
      <c r="AI53" s="450">
        <v>65.06</v>
      </c>
      <c r="AJ53" s="450">
        <v>65.069999999999993</v>
      </c>
      <c r="AK53" s="450">
        <v>65.08</v>
      </c>
      <c r="AL53" s="450">
        <v>65.08</v>
      </c>
      <c r="AM53" s="133"/>
      <c r="AN53" s="134">
        <v>64</v>
      </c>
      <c r="AO53" s="450">
        <v>65.61</v>
      </c>
      <c r="AP53" s="450">
        <v>65.63</v>
      </c>
      <c r="AQ53" s="450">
        <v>65.650000000000006</v>
      </c>
      <c r="AR53" s="450">
        <v>65.66</v>
      </c>
      <c r="AS53" s="450">
        <v>65.680000000000007</v>
      </c>
      <c r="AT53" s="450">
        <v>65.69</v>
      </c>
      <c r="AU53" s="450">
        <v>65.709999999999994</v>
      </c>
      <c r="AV53" s="450">
        <v>65.72</v>
      </c>
      <c r="AW53" s="450">
        <v>65.72</v>
      </c>
      <c r="AX53" s="450">
        <v>65.73</v>
      </c>
      <c r="AY53" s="450">
        <v>65.73</v>
      </c>
      <c r="AZ53" s="450">
        <v>65.739999999999995</v>
      </c>
      <c r="BA53" s="450">
        <v>65.75</v>
      </c>
      <c r="BB53" s="450">
        <v>65.77</v>
      </c>
      <c r="BC53" s="450">
        <v>65.78</v>
      </c>
      <c r="BD53" s="450">
        <v>65.78</v>
      </c>
      <c r="BE53" s="450">
        <v>65.78</v>
      </c>
    </row>
    <row r="54" spans="2:57" x14ac:dyDescent="0.25">
      <c r="B54" s="134">
        <v>65</v>
      </c>
      <c r="C54" s="450">
        <v>64.64</v>
      </c>
      <c r="D54" s="450">
        <v>64.650000000000006</v>
      </c>
      <c r="E54" s="450">
        <v>64.66</v>
      </c>
      <c r="F54" s="450">
        <v>64.67</v>
      </c>
      <c r="G54" s="450">
        <v>64.680000000000007</v>
      </c>
      <c r="H54" s="450">
        <v>64.69</v>
      </c>
      <c r="I54" s="450">
        <v>64.69</v>
      </c>
      <c r="J54" s="450">
        <v>64.69</v>
      </c>
      <c r="K54" s="450">
        <v>64.69</v>
      </c>
      <c r="L54" s="450">
        <v>64.69</v>
      </c>
      <c r="M54" s="450">
        <v>64.69</v>
      </c>
      <c r="N54" s="450">
        <v>64.69</v>
      </c>
      <c r="O54" s="450">
        <v>64.680000000000007</v>
      </c>
      <c r="P54" s="450">
        <v>64.680000000000007</v>
      </c>
      <c r="Q54" s="450">
        <v>64.680000000000007</v>
      </c>
      <c r="R54" s="450">
        <v>64.680000000000007</v>
      </c>
      <c r="S54" s="450" t="s">
        <v>556</v>
      </c>
      <c r="T54" s="133"/>
      <c r="U54" s="134">
        <v>65</v>
      </c>
      <c r="V54" s="450">
        <v>64.989999999999995</v>
      </c>
      <c r="W54" s="450">
        <v>65</v>
      </c>
      <c r="X54" s="450">
        <v>65.02</v>
      </c>
      <c r="Y54" s="450">
        <v>65.03</v>
      </c>
      <c r="Z54" s="450">
        <v>65.040000000000006</v>
      </c>
      <c r="AA54" s="450">
        <v>65.05</v>
      </c>
      <c r="AB54" s="450">
        <v>65.06</v>
      </c>
      <c r="AC54" s="450">
        <v>65.06</v>
      </c>
      <c r="AD54" s="450">
        <v>65.06</v>
      </c>
      <c r="AE54" s="450">
        <v>65.069999999999993</v>
      </c>
      <c r="AF54" s="450">
        <v>65.069999999999993</v>
      </c>
      <c r="AG54" s="450">
        <v>65.069999999999993</v>
      </c>
      <c r="AH54" s="450">
        <v>65.08</v>
      </c>
      <c r="AI54" s="450">
        <v>65.08</v>
      </c>
      <c r="AJ54" s="450">
        <v>65.09</v>
      </c>
      <c r="AK54" s="450">
        <v>65.09</v>
      </c>
      <c r="AL54" s="450" t="s">
        <v>556</v>
      </c>
      <c r="AM54" s="133"/>
      <c r="AN54" s="134">
        <v>65</v>
      </c>
      <c r="AO54" s="450">
        <v>65.650000000000006</v>
      </c>
      <c r="AP54" s="450">
        <v>65.67</v>
      </c>
      <c r="AQ54" s="450">
        <v>65.69</v>
      </c>
      <c r="AR54" s="450">
        <v>65.7</v>
      </c>
      <c r="AS54" s="450">
        <v>65.72</v>
      </c>
      <c r="AT54" s="450">
        <v>65.73</v>
      </c>
      <c r="AU54" s="450">
        <v>65.739999999999995</v>
      </c>
      <c r="AV54" s="450">
        <v>65.75</v>
      </c>
      <c r="AW54" s="450">
        <v>65.75</v>
      </c>
      <c r="AX54" s="450">
        <v>65.760000000000005</v>
      </c>
      <c r="AY54" s="450">
        <v>65.760000000000005</v>
      </c>
      <c r="AZ54" s="450">
        <v>65.77</v>
      </c>
      <c r="BA54" s="450">
        <v>65.78</v>
      </c>
      <c r="BB54" s="450">
        <v>65.790000000000006</v>
      </c>
      <c r="BC54" s="450">
        <v>65.8</v>
      </c>
      <c r="BD54" s="450">
        <v>65.8</v>
      </c>
      <c r="BE54" s="450" t="s">
        <v>556</v>
      </c>
    </row>
    <row r="55" spans="2:57" x14ac:dyDescent="0.25">
      <c r="B55" s="134">
        <v>66</v>
      </c>
      <c r="C55" s="450">
        <v>64.67</v>
      </c>
      <c r="D55" s="450">
        <v>64.680000000000007</v>
      </c>
      <c r="E55" s="450">
        <v>64.69</v>
      </c>
      <c r="F55" s="450">
        <v>64.69</v>
      </c>
      <c r="G55" s="450">
        <v>64.7</v>
      </c>
      <c r="H55" s="450">
        <v>64.709999999999994</v>
      </c>
      <c r="I55" s="450">
        <v>64.709999999999994</v>
      </c>
      <c r="J55" s="450">
        <v>64.7</v>
      </c>
      <c r="K55" s="450">
        <v>64.7</v>
      </c>
      <c r="L55" s="450">
        <v>64.7</v>
      </c>
      <c r="M55" s="450">
        <v>64.7</v>
      </c>
      <c r="N55" s="450">
        <v>64.7</v>
      </c>
      <c r="O55" s="450">
        <v>64.69</v>
      </c>
      <c r="P55" s="450">
        <v>64.69</v>
      </c>
      <c r="Q55" s="450">
        <v>64.69</v>
      </c>
      <c r="R55" s="450">
        <v>64.69</v>
      </c>
      <c r="S55" s="450" t="s">
        <v>556</v>
      </c>
      <c r="T55" s="133"/>
      <c r="U55" s="134">
        <v>66</v>
      </c>
      <c r="V55" s="450">
        <v>65.02</v>
      </c>
      <c r="W55" s="450">
        <v>65.040000000000006</v>
      </c>
      <c r="X55" s="450">
        <v>65.05</v>
      </c>
      <c r="Y55" s="450">
        <v>65.06</v>
      </c>
      <c r="Z55" s="450">
        <v>65.069999999999993</v>
      </c>
      <c r="AA55" s="450">
        <v>65.08</v>
      </c>
      <c r="AB55" s="450">
        <v>65.08</v>
      </c>
      <c r="AC55" s="450">
        <v>65.08</v>
      </c>
      <c r="AD55" s="450">
        <v>65.08</v>
      </c>
      <c r="AE55" s="450">
        <v>65.08</v>
      </c>
      <c r="AF55" s="450">
        <v>65.08</v>
      </c>
      <c r="AG55" s="450">
        <v>65.09</v>
      </c>
      <c r="AH55" s="450">
        <v>65.09</v>
      </c>
      <c r="AI55" s="450">
        <v>65.099999999999994</v>
      </c>
      <c r="AJ55" s="450">
        <v>65.099999999999994</v>
      </c>
      <c r="AK55" s="450">
        <v>65.11</v>
      </c>
      <c r="AL55" s="450" t="s">
        <v>556</v>
      </c>
      <c r="AM55" s="133"/>
      <c r="AN55" s="134">
        <v>66</v>
      </c>
      <c r="AO55" s="450">
        <v>65.69</v>
      </c>
      <c r="AP55" s="450">
        <v>65.709999999999994</v>
      </c>
      <c r="AQ55" s="450">
        <v>65.73</v>
      </c>
      <c r="AR55" s="450">
        <v>65.739999999999995</v>
      </c>
      <c r="AS55" s="450">
        <v>65.75</v>
      </c>
      <c r="AT55" s="450">
        <v>65.77</v>
      </c>
      <c r="AU55" s="450">
        <v>65.77</v>
      </c>
      <c r="AV55" s="450">
        <v>65.78</v>
      </c>
      <c r="AW55" s="450">
        <v>65.78</v>
      </c>
      <c r="AX55" s="450">
        <v>65.78</v>
      </c>
      <c r="AY55" s="450">
        <v>65.790000000000006</v>
      </c>
      <c r="AZ55" s="450">
        <v>65.790000000000006</v>
      </c>
      <c r="BA55" s="450">
        <v>65.81</v>
      </c>
      <c r="BB55" s="450">
        <v>65.819999999999993</v>
      </c>
      <c r="BC55" s="450">
        <v>65.819999999999993</v>
      </c>
      <c r="BD55" s="450">
        <v>65.819999999999993</v>
      </c>
      <c r="BE55" s="450" t="s">
        <v>556</v>
      </c>
    </row>
    <row r="56" spans="2:57" x14ac:dyDescent="0.25">
      <c r="B56" s="134">
        <v>67</v>
      </c>
      <c r="C56" s="450">
        <v>64.69</v>
      </c>
      <c r="D56" s="450">
        <v>64.7</v>
      </c>
      <c r="E56" s="450">
        <v>64.709999999999994</v>
      </c>
      <c r="F56" s="450">
        <v>64.709999999999994</v>
      </c>
      <c r="G56" s="450">
        <v>64.72</v>
      </c>
      <c r="H56" s="450">
        <v>64.72</v>
      </c>
      <c r="I56" s="450">
        <v>64.709999999999994</v>
      </c>
      <c r="J56" s="450">
        <v>64.709999999999994</v>
      </c>
      <c r="K56" s="450">
        <v>64.709999999999994</v>
      </c>
      <c r="L56" s="450">
        <v>64.709999999999994</v>
      </c>
      <c r="M56" s="450">
        <v>64.709999999999994</v>
      </c>
      <c r="N56" s="450">
        <v>64.7</v>
      </c>
      <c r="O56" s="450">
        <v>64.7</v>
      </c>
      <c r="P56" s="450">
        <v>64.69</v>
      </c>
      <c r="Q56" s="450">
        <v>64.69</v>
      </c>
      <c r="R56" s="450">
        <v>64.680000000000007</v>
      </c>
      <c r="S56" s="450" t="s">
        <v>556</v>
      </c>
      <c r="T56" s="133"/>
      <c r="U56" s="134">
        <v>67</v>
      </c>
      <c r="V56" s="450">
        <v>65.05</v>
      </c>
      <c r="W56" s="450">
        <v>65.06</v>
      </c>
      <c r="X56" s="450">
        <v>65.069999999999993</v>
      </c>
      <c r="Y56" s="450">
        <v>65.08</v>
      </c>
      <c r="Z56" s="450">
        <v>65.09</v>
      </c>
      <c r="AA56" s="450">
        <v>65.09</v>
      </c>
      <c r="AB56" s="450">
        <v>65.099999999999994</v>
      </c>
      <c r="AC56" s="450">
        <v>65.099999999999994</v>
      </c>
      <c r="AD56" s="450">
        <v>65.099999999999994</v>
      </c>
      <c r="AE56" s="450">
        <v>65.099999999999994</v>
      </c>
      <c r="AF56" s="450">
        <v>65.099999999999994</v>
      </c>
      <c r="AG56" s="450">
        <v>65.099999999999994</v>
      </c>
      <c r="AH56" s="450">
        <v>65.11</v>
      </c>
      <c r="AI56" s="450">
        <v>65.11</v>
      </c>
      <c r="AJ56" s="450">
        <v>65.12</v>
      </c>
      <c r="AK56" s="450">
        <v>65.12</v>
      </c>
      <c r="AL56" s="450" t="s">
        <v>556</v>
      </c>
      <c r="AM56" s="133"/>
      <c r="AN56" s="134">
        <v>67</v>
      </c>
      <c r="AO56" s="450">
        <v>65.73</v>
      </c>
      <c r="AP56" s="450">
        <v>65.75</v>
      </c>
      <c r="AQ56" s="450">
        <v>65.760000000000005</v>
      </c>
      <c r="AR56" s="450">
        <v>65.77</v>
      </c>
      <c r="AS56" s="450">
        <v>65.790000000000006</v>
      </c>
      <c r="AT56" s="450">
        <v>65.790000000000006</v>
      </c>
      <c r="AU56" s="450">
        <v>65.8</v>
      </c>
      <c r="AV56" s="450">
        <v>65.8</v>
      </c>
      <c r="AW56" s="450">
        <v>65.8</v>
      </c>
      <c r="AX56" s="450">
        <v>65.81</v>
      </c>
      <c r="AY56" s="450">
        <v>65.81</v>
      </c>
      <c r="AZ56" s="450">
        <v>65.819999999999993</v>
      </c>
      <c r="BA56" s="450">
        <v>65.83</v>
      </c>
      <c r="BB56" s="450">
        <v>65.84</v>
      </c>
      <c r="BC56" s="450">
        <v>65.84</v>
      </c>
      <c r="BD56" s="450">
        <v>65.84</v>
      </c>
      <c r="BE56" s="450" t="s">
        <v>556</v>
      </c>
    </row>
    <row r="57" spans="2:57" x14ac:dyDescent="0.25">
      <c r="B57" s="134">
        <v>68</v>
      </c>
      <c r="C57" s="450">
        <v>64.709999999999994</v>
      </c>
      <c r="D57" s="450">
        <v>64.72</v>
      </c>
      <c r="E57" s="450">
        <v>64.72</v>
      </c>
      <c r="F57" s="450">
        <v>64.73</v>
      </c>
      <c r="G57" s="450">
        <v>64.72</v>
      </c>
      <c r="H57" s="450">
        <v>64.72</v>
      </c>
      <c r="I57" s="450">
        <v>64.72</v>
      </c>
      <c r="J57" s="450">
        <v>64.72</v>
      </c>
      <c r="K57" s="450">
        <v>64.709999999999994</v>
      </c>
      <c r="L57" s="450">
        <v>64.709999999999994</v>
      </c>
      <c r="M57" s="450">
        <v>64.709999999999994</v>
      </c>
      <c r="N57" s="450">
        <v>64.709999999999994</v>
      </c>
      <c r="O57" s="450">
        <v>64.7</v>
      </c>
      <c r="P57" s="450">
        <v>64.69</v>
      </c>
      <c r="Q57" s="450">
        <v>64.680000000000007</v>
      </c>
      <c r="R57" s="450">
        <v>64.680000000000007</v>
      </c>
      <c r="S57" s="450" t="s">
        <v>556</v>
      </c>
      <c r="T57" s="133"/>
      <c r="U57" s="134">
        <v>68</v>
      </c>
      <c r="V57" s="450">
        <v>65.08</v>
      </c>
      <c r="W57" s="450">
        <v>65.09</v>
      </c>
      <c r="X57" s="450">
        <v>65.099999999999994</v>
      </c>
      <c r="Y57" s="450">
        <v>65.11</v>
      </c>
      <c r="Z57" s="450">
        <v>65.11</v>
      </c>
      <c r="AA57" s="450">
        <v>65.11</v>
      </c>
      <c r="AB57" s="450">
        <v>65.11</v>
      </c>
      <c r="AC57" s="450">
        <v>65.11</v>
      </c>
      <c r="AD57" s="450">
        <v>65.11</v>
      </c>
      <c r="AE57" s="450">
        <v>65.11</v>
      </c>
      <c r="AF57" s="450">
        <v>65.11</v>
      </c>
      <c r="AG57" s="450">
        <v>65.11</v>
      </c>
      <c r="AH57" s="450">
        <v>65.12</v>
      </c>
      <c r="AI57" s="450">
        <v>65.12</v>
      </c>
      <c r="AJ57" s="450">
        <v>65.12</v>
      </c>
      <c r="AK57" s="450">
        <v>65.12</v>
      </c>
      <c r="AL57" s="450" t="s">
        <v>556</v>
      </c>
      <c r="AM57" s="133"/>
      <c r="AN57" s="134">
        <v>68</v>
      </c>
      <c r="AO57" s="450">
        <v>65.760000000000005</v>
      </c>
      <c r="AP57" s="450">
        <v>65.78</v>
      </c>
      <c r="AQ57" s="450">
        <v>65.790000000000006</v>
      </c>
      <c r="AR57" s="450">
        <v>65.8</v>
      </c>
      <c r="AS57" s="450">
        <v>65.81</v>
      </c>
      <c r="AT57" s="450">
        <v>65.81</v>
      </c>
      <c r="AU57" s="450">
        <v>65.819999999999993</v>
      </c>
      <c r="AV57" s="450">
        <v>65.819999999999993</v>
      </c>
      <c r="AW57" s="450">
        <v>65.83</v>
      </c>
      <c r="AX57" s="450">
        <v>65.83</v>
      </c>
      <c r="AY57" s="450">
        <v>65.84</v>
      </c>
      <c r="AZ57" s="450">
        <v>65.84</v>
      </c>
      <c r="BA57" s="450">
        <v>65.849999999999994</v>
      </c>
      <c r="BB57" s="450">
        <v>65.86</v>
      </c>
      <c r="BC57" s="450">
        <v>65.86</v>
      </c>
      <c r="BD57" s="450">
        <v>65.849999999999994</v>
      </c>
      <c r="BE57" s="450" t="s">
        <v>556</v>
      </c>
    </row>
    <row r="58" spans="2:57" x14ac:dyDescent="0.25">
      <c r="B58" s="134">
        <v>69</v>
      </c>
      <c r="C58" s="450">
        <v>64.72</v>
      </c>
      <c r="D58" s="450">
        <v>64.73</v>
      </c>
      <c r="E58" s="450">
        <v>64.73</v>
      </c>
      <c r="F58" s="450">
        <v>64.73</v>
      </c>
      <c r="G58" s="450">
        <v>64.73</v>
      </c>
      <c r="H58" s="450">
        <v>64.73</v>
      </c>
      <c r="I58" s="450">
        <v>64.72</v>
      </c>
      <c r="J58" s="450">
        <v>64.72</v>
      </c>
      <c r="K58" s="450">
        <v>64.72</v>
      </c>
      <c r="L58" s="450">
        <v>64.709999999999994</v>
      </c>
      <c r="M58" s="450">
        <v>64.709999999999994</v>
      </c>
      <c r="N58" s="450">
        <v>64.709999999999994</v>
      </c>
      <c r="O58" s="450">
        <v>64.7</v>
      </c>
      <c r="P58" s="450">
        <v>64.680000000000007</v>
      </c>
      <c r="Q58" s="450">
        <v>64.680000000000007</v>
      </c>
      <c r="R58" s="450">
        <v>64.66</v>
      </c>
      <c r="S58" s="450" t="s">
        <v>556</v>
      </c>
      <c r="T58" s="133"/>
      <c r="U58" s="134">
        <v>69</v>
      </c>
      <c r="V58" s="450">
        <v>65.099999999999994</v>
      </c>
      <c r="W58" s="450">
        <v>65.11</v>
      </c>
      <c r="X58" s="450">
        <v>65.12</v>
      </c>
      <c r="Y58" s="450">
        <v>65.12</v>
      </c>
      <c r="Z58" s="450">
        <v>65.12</v>
      </c>
      <c r="AA58" s="450">
        <v>65.12</v>
      </c>
      <c r="AB58" s="450">
        <v>65.12</v>
      </c>
      <c r="AC58" s="450">
        <v>65.12</v>
      </c>
      <c r="AD58" s="450">
        <v>65.12</v>
      </c>
      <c r="AE58" s="450">
        <v>65.12</v>
      </c>
      <c r="AF58" s="450">
        <v>65.12</v>
      </c>
      <c r="AG58" s="450">
        <v>65.12</v>
      </c>
      <c r="AH58" s="450">
        <v>65.13</v>
      </c>
      <c r="AI58" s="450">
        <v>65.13</v>
      </c>
      <c r="AJ58" s="450">
        <v>65.13</v>
      </c>
      <c r="AK58" s="450">
        <v>65.12</v>
      </c>
      <c r="AL58" s="450" t="s">
        <v>556</v>
      </c>
      <c r="AM58" s="133"/>
      <c r="AN58" s="134">
        <v>69</v>
      </c>
      <c r="AO58" s="450">
        <v>65.8</v>
      </c>
      <c r="AP58" s="450">
        <v>65.81</v>
      </c>
      <c r="AQ58" s="450">
        <v>65.819999999999993</v>
      </c>
      <c r="AR58" s="450">
        <v>65.83</v>
      </c>
      <c r="AS58" s="450">
        <v>65.83</v>
      </c>
      <c r="AT58" s="450">
        <v>65.84</v>
      </c>
      <c r="AU58" s="450">
        <v>65.84</v>
      </c>
      <c r="AV58" s="450">
        <v>65.84</v>
      </c>
      <c r="AW58" s="450">
        <v>65.849999999999994</v>
      </c>
      <c r="AX58" s="450">
        <v>65.849999999999994</v>
      </c>
      <c r="AY58" s="450">
        <v>65.86</v>
      </c>
      <c r="AZ58" s="450">
        <v>65.86</v>
      </c>
      <c r="BA58" s="450">
        <v>65.87</v>
      </c>
      <c r="BB58" s="450">
        <v>65.87</v>
      </c>
      <c r="BC58" s="450">
        <v>65.87</v>
      </c>
      <c r="BD58" s="450">
        <v>65.86</v>
      </c>
      <c r="BE58" s="450" t="s">
        <v>556</v>
      </c>
    </row>
    <row r="59" spans="2:57" x14ac:dyDescent="0.25">
      <c r="B59" s="134">
        <v>70</v>
      </c>
      <c r="C59" s="450">
        <v>64.739999999999995</v>
      </c>
      <c r="D59" s="450">
        <v>64.739999999999995</v>
      </c>
      <c r="E59" s="450">
        <v>64.739999999999995</v>
      </c>
      <c r="F59" s="450">
        <v>64.73</v>
      </c>
      <c r="G59" s="450">
        <v>64.73</v>
      </c>
      <c r="H59" s="450">
        <v>64.73</v>
      </c>
      <c r="I59" s="450">
        <v>64.72</v>
      </c>
      <c r="J59" s="450">
        <v>64.72</v>
      </c>
      <c r="K59" s="450">
        <v>64.709999999999994</v>
      </c>
      <c r="L59" s="450">
        <v>64.709999999999994</v>
      </c>
      <c r="M59" s="450">
        <v>64.709999999999994</v>
      </c>
      <c r="N59" s="450">
        <v>64.7</v>
      </c>
      <c r="O59" s="450">
        <v>64.69</v>
      </c>
      <c r="P59" s="450">
        <v>64.67</v>
      </c>
      <c r="Q59" s="450">
        <v>64.66</v>
      </c>
      <c r="R59" s="450" t="s">
        <v>556</v>
      </c>
      <c r="S59" s="450" t="s">
        <v>556</v>
      </c>
      <c r="T59" s="133"/>
      <c r="U59" s="134">
        <v>70</v>
      </c>
      <c r="V59" s="450">
        <v>65.12</v>
      </c>
      <c r="W59" s="450">
        <v>65.13</v>
      </c>
      <c r="X59" s="450">
        <v>65.13</v>
      </c>
      <c r="Y59" s="450">
        <v>65.13</v>
      </c>
      <c r="Z59" s="450">
        <v>65.13</v>
      </c>
      <c r="AA59" s="450">
        <v>65.13</v>
      </c>
      <c r="AB59" s="450">
        <v>65.13</v>
      </c>
      <c r="AC59" s="450">
        <v>65.13</v>
      </c>
      <c r="AD59" s="450">
        <v>65.13</v>
      </c>
      <c r="AE59" s="450">
        <v>65.13</v>
      </c>
      <c r="AF59" s="450">
        <v>65.13</v>
      </c>
      <c r="AG59" s="450">
        <v>65.13</v>
      </c>
      <c r="AH59" s="450">
        <v>65.13</v>
      </c>
      <c r="AI59" s="450">
        <v>65.13</v>
      </c>
      <c r="AJ59" s="450">
        <v>65.12</v>
      </c>
      <c r="AK59" s="450" t="s">
        <v>556</v>
      </c>
      <c r="AL59" s="450" t="s">
        <v>556</v>
      </c>
      <c r="AM59" s="133"/>
      <c r="AN59" s="134">
        <v>70</v>
      </c>
      <c r="AO59" s="450">
        <v>65.83</v>
      </c>
      <c r="AP59" s="450">
        <v>65.84</v>
      </c>
      <c r="AQ59" s="450">
        <v>65.84</v>
      </c>
      <c r="AR59" s="450">
        <v>65.849999999999994</v>
      </c>
      <c r="AS59" s="450">
        <v>65.849999999999994</v>
      </c>
      <c r="AT59" s="450">
        <v>65.86</v>
      </c>
      <c r="AU59" s="450">
        <v>65.86</v>
      </c>
      <c r="AV59" s="450">
        <v>65.86</v>
      </c>
      <c r="AW59" s="450">
        <v>65.87</v>
      </c>
      <c r="AX59" s="450">
        <v>65.87</v>
      </c>
      <c r="AY59" s="450">
        <v>65.87</v>
      </c>
      <c r="AZ59" s="450">
        <v>65.88</v>
      </c>
      <c r="BA59" s="450">
        <v>65.89</v>
      </c>
      <c r="BB59" s="450">
        <v>65.89</v>
      </c>
      <c r="BC59" s="450">
        <v>65.88</v>
      </c>
      <c r="BD59" s="450" t="s">
        <v>556</v>
      </c>
      <c r="BE59" s="450" t="s">
        <v>556</v>
      </c>
    </row>
    <row r="60" spans="2:57" x14ac:dyDescent="0.25">
      <c r="B60" s="134">
        <v>71</v>
      </c>
      <c r="C60" s="450">
        <v>64.75</v>
      </c>
      <c r="D60" s="450">
        <v>64.739999999999995</v>
      </c>
      <c r="E60" s="450">
        <v>64.739999999999995</v>
      </c>
      <c r="F60" s="450">
        <v>64.73</v>
      </c>
      <c r="G60" s="450">
        <v>64.73</v>
      </c>
      <c r="H60" s="450">
        <v>64.72</v>
      </c>
      <c r="I60" s="450">
        <v>64.72</v>
      </c>
      <c r="J60" s="450">
        <v>64.709999999999994</v>
      </c>
      <c r="K60" s="450">
        <v>64.709999999999994</v>
      </c>
      <c r="L60" s="450">
        <v>64.709999999999994</v>
      </c>
      <c r="M60" s="450">
        <v>64.7</v>
      </c>
      <c r="N60" s="450">
        <v>64.7</v>
      </c>
      <c r="O60" s="450">
        <v>64.680000000000007</v>
      </c>
      <c r="P60" s="450">
        <v>64.66</v>
      </c>
      <c r="Q60" s="450">
        <v>64.64</v>
      </c>
      <c r="R60" s="450" t="s">
        <v>556</v>
      </c>
      <c r="S60" s="450" t="s">
        <v>556</v>
      </c>
      <c r="T60" s="133"/>
      <c r="U60" s="134">
        <v>71</v>
      </c>
      <c r="V60" s="450">
        <v>65.14</v>
      </c>
      <c r="W60" s="450">
        <v>65.14</v>
      </c>
      <c r="X60" s="450">
        <v>65.14</v>
      </c>
      <c r="Y60" s="450">
        <v>65.14</v>
      </c>
      <c r="Z60" s="450">
        <v>65.14</v>
      </c>
      <c r="AA60" s="450">
        <v>65.14</v>
      </c>
      <c r="AB60" s="450">
        <v>65.14</v>
      </c>
      <c r="AC60" s="450">
        <v>65.14</v>
      </c>
      <c r="AD60" s="450">
        <v>65.14</v>
      </c>
      <c r="AE60" s="450">
        <v>65.14</v>
      </c>
      <c r="AF60" s="450">
        <v>65.14</v>
      </c>
      <c r="AG60" s="450">
        <v>65.14</v>
      </c>
      <c r="AH60" s="450">
        <v>65.13</v>
      </c>
      <c r="AI60" s="450">
        <v>65.13</v>
      </c>
      <c r="AJ60" s="450">
        <v>65.12</v>
      </c>
      <c r="AK60" s="450" t="s">
        <v>556</v>
      </c>
      <c r="AL60" s="450" t="s">
        <v>556</v>
      </c>
      <c r="AM60" s="133"/>
      <c r="AN60" s="134">
        <v>71</v>
      </c>
      <c r="AO60" s="450">
        <v>65.849999999999994</v>
      </c>
      <c r="AP60" s="450">
        <v>65.86</v>
      </c>
      <c r="AQ60" s="450">
        <v>65.86</v>
      </c>
      <c r="AR60" s="450">
        <v>65.86</v>
      </c>
      <c r="AS60" s="450">
        <v>65.87</v>
      </c>
      <c r="AT60" s="450">
        <v>65.87</v>
      </c>
      <c r="AU60" s="450">
        <v>65.88</v>
      </c>
      <c r="AV60" s="450">
        <v>65.88</v>
      </c>
      <c r="AW60" s="450">
        <v>65.88</v>
      </c>
      <c r="AX60" s="450">
        <v>65.89</v>
      </c>
      <c r="AY60" s="450">
        <v>65.89</v>
      </c>
      <c r="AZ60" s="450">
        <v>65.89</v>
      </c>
      <c r="BA60" s="450">
        <v>65.900000000000006</v>
      </c>
      <c r="BB60" s="450">
        <v>65.89</v>
      </c>
      <c r="BC60" s="450">
        <v>65.88</v>
      </c>
      <c r="BD60" s="450" t="s">
        <v>556</v>
      </c>
      <c r="BE60" s="450" t="s">
        <v>556</v>
      </c>
    </row>
    <row r="61" spans="2:57" x14ac:dyDescent="0.25">
      <c r="B61" s="134">
        <v>72</v>
      </c>
      <c r="C61" s="450">
        <v>64.739999999999995</v>
      </c>
      <c r="D61" s="450">
        <v>64.73</v>
      </c>
      <c r="E61" s="450">
        <v>64.73</v>
      </c>
      <c r="F61" s="450">
        <v>64.72</v>
      </c>
      <c r="G61" s="450">
        <v>64.72</v>
      </c>
      <c r="H61" s="450">
        <v>64.709999999999994</v>
      </c>
      <c r="I61" s="450">
        <v>64.709999999999994</v>
      </c>
      <c r="J61" s="450">
        <v>64.7</v>
      </c>
      <c r="K61" s="450">
        <v>64.7</v>
      </c>
      <c r="L61" s="450">
        <v>64.69</v>
      </c>
      <c r="M61" s="450">
        <v>64.69</v>
      </c>
      <c r="N61" s="450">
        <v>64.680000000000007</v>
      </c>
      <c r="O61" s="450">
        <v>64.66</v>
      </c>
      <c r="P61" s="450">
        <v>64.63</v>
      </c>
      <c r="Q61" s="450">
        <v>64.61</v>
      </c>
      <c r="R61" s="450" t="s">
        <v>556</v>
      </c>
      <c r="S61" s="450" t="s">
        <v>556</v>
      </c>
      <c r="T61" s="133"/>
      <c r="U61" s="134">
        <v>72</v>
      </c>
      <c r="V61" s="450">
        <v>65.14</v>
      </c>
      <c r="W61" s="450">
        <v>65.14</v>
      </c>
      <c r="X61" s="450">
        <v>65.14</v>
      </c>
      <c r="Y61" s="450">
        <v>65.14</v>
      </c>
      <c r="Z61" s="450">
        <v>65.14</v>
      </c>
      <c r="AA61" s="450">
        <v>65.14</v>
      </c>
      <c r="AB61" s="450">
        <v>65.14</v>
      </c>
      <c r="AC61" s="450">
        <v>65.13</v>
      </c>
      <c r="AD61" s="450">
        <v>65.13</v>
      </c>
      <c r="AE61" s="450">
        <v>65.13</v>
      </c>
      <c r="AF61" s="450">
        <v>65.13</v>
      </c>
      <c r="AG61" s="450">
        <v>65.13</v>
      </c>
      <c r="AH61" s="450">
        <v>65.12</v>
      </c>
      <c r="AI61" s="450">
        <v>65.12</v>
      </c>
      <c r="AJ61" s="450">
        <v>65.099999999999994</v>
      </c>
      <c r="AK61" s="450" t="s">
        <v>556</v>
      </c>
      <c r="AL61" s="450" t="s">
        <v>556</v>
      </c>
      <c r="AM61" s="133"/>
      <c r="AN61" s="134">
        <v>72</v>
      </c>
      <c r="AO61" s="450">
        <v>65.86</v>
      </c>
      <c r="AP61" s="450">
        <v>65.87</v>
      </c>
      <c r="AQ61" s="450">
        <v>65.87</v>
      </c>
      <c r="AR61" s="450">
        <v>65.88</v>
      </c>
      <c r="AS61" s="450">
        <v>65.88</v>
      </c>
      <c r="AT61" s="450">
        <v>65.88</v>
      </c>
      <c r="AU61" s="450">
        <v>65.89</v>
      </c>
      <c r="AV61" s="450">
        <v>65.89</v>
      </c>
      <c r="AW61" s="450">
        <v>65.89</v>
      </c>
      <c r="AX61" s="450">
        <v>65.89</v>
      </c>
      <c r="AY61" s="450">
        <v>65.900000000000006</v>
      </c>
      <c r="AZ61" s="450">
        <v>65.900000000000006</v>
      </c>
      <c r="BA61" s="450">
        <v>65.900000000000006</v>
      </c>
      <c r="BB61" s="450">
        <v>65.89</v>
      </c>
      <c r="BC61" s="450">
        <v>65.87</v>
      </c>
      <c r="BD61" s="450" t="s">
        <v>556</v>
      </c>
      <c r="BE61" s="450" t="s">
        <v>556</v>
      </c>
    </row>
    <row r="62" spans="2:57" x14ac:dyDescent="0.25">
      <c r="B62" s="134">
        <v>73</v>
      </c>
      <c r="C62" s="450">
        <v>64.73</v>
      </c>
      <c r="D62" s="450">
        <v>64.72</v>
      </c>
      <c r="E62" s="450">
        <v>64.72</v>
      </c>
      <c r="F62" s="450">
        <v>64.709999999999994</v>
      </c>
      <c r="G62" s="450">
        <v>64.7</v>
      </c>
      <c r="H62" s="450">
        <v>64.7</v>
      </c>
      <c r="I62" s="450">
        <v>64.69</v>
      </c>
      <c r="J62" s="450">
        <v>64.69</v>
      </c>
      <c r="K62" s="450">
        <v>64.680000000000007</v>
      </c>
      <c r="L62" s="450">
        <v>64.67</v>
      </c>
      <c r="M62" s="450">
        <v>64.67</v>
      </c>
      <c r="N62" s="450">
        <v>64.66</v>
      </c>
      <c r="O62" s="450">
        <v>64.63</v>
      </c>
      <c r="P62" s="450">
        <v>64.599999999999994</v>
      </c>
      <c r="Q62" s="450">
        <v>64.569999999999993</v>
      </c>
      <c r="R62" s="450" t="s">
        <v>556</v>
      </c>
      <c r="S62" s="450" t="s">
        <v>556</v>
      </c>
      <c r="T62" s="133"/>
      <c r="U62" s="134">
        <v>73</v>
      </c>
      <c r="V62" s="450">
        <v>65.14</v>
      </c>
      <c r="W62" s="450">
        <v>65.14</v>
      </c>
      <c r="X62" s="450">
        <v>65.14</v>
      </c>
      <c r="Y62" s="450">
        <v>65.14</v>
      </c>
      <c r="Z62" s="450">
        <v>65.13</v>
      </c>
      <c r="AA62" s="450">
        <v>65.13</v>
      </c>
      <c r="AB62" s="450">
        <v>65.13</v>
      </c>
      <c r="AC62" s="450">
        <v>65.13</v>
      </c>
      <c r="AD62" s="450">
        <v>65.13</v>
      </c>
      <c r="AE62" s="450">
        <v>65.13</v>
      </c>
      <c r="AF62" s="450">
        <v>65.13</v>
      </c>
      <c r="AG62" s="450">
        <v>65.12</v>
      </c>
      <c r="AH62" s="450">
        <v>65.11</v>
      </c>
      <c r="AI62" s="450">
        <v>65.099999999999994</v>
      </c>
      <c r="AJ62" s="450">
        <v>65.08</v>
      </c>
      <c r="AK62" s="450" t="s">
        <v>556</v>
      </c>
      <c r="AL62" s="450" t="s">
        <v>556</v>
      </c>
      <c r="AM62" s="133"/>
      <c r="AN62" s="134">
        <v>73</v>
      </c>
      <c r="AO62" s="450">
        <v>65.87</v>
      </c>
      <c r="AP62" s="450">
        <v>65.88</v>
      </c>
      <c r="AQ62" s="450">
        <v>65.88</v>
      </c>
      <c r="AR62" s="450">
        <v>65.88</v>
      </c>
      <c r="AS62" s="450">
        <v>65.89</v>
      </c>
      <c r="AT62" s="450">
        <v>65.89</v>
      </c>
      <c r="AU62" s="450">
        <v>65.89</v>
      </c>
      <c r="AV62" s="450">
        <v>65.900000000000006</v>
      </c>
      <c r="AW62" s="450">
        <v>65.900000000000006</v>
      </c>
      <c r="AX62" s="450">
        <v>65.900000000000006</v>
      </c>
      <c r="AY62" s="450">
        <v>65.900000000000006</v>
      </c>
      <c r="AZ62" s="450">
        <v>65.900000000000006</v>
      </c>
      <c r="BA62" s="450">
        <v>65.900000000000006</v>
      </c>
      <c r="BB62" s="450">
        <v>65.89</v>
      </c>
      <c r="BC62" s="450">
        <v>65.86</v>
      </c>
      <c r="BD62" s="450" t="s">
        <v>556</v>
      </c>
      <c r="BE62" s="450" t="s">
        <v>556</v>
      </c>
    </row>
    <row r="63" spans="2:57" x14ac:dyDescent="0.25">
      <c r="B63" s="134">
        <v>74</v>
      </c>
      <c r="C63" s="450">
        <v>64.72</v>
      </c>
      <c r="D63" s="450">
        <v>64.709999999999994</v>
      </c>
      <c r="E63" s="450">
        <v>64.7</v>
      </c>
      <c r="F63" s="450">
        <v>64.7</v>
      </c>
      <c r="G63" s="450">
        <v>64.69</v>
      </c>
      <c r="H63" s="450">
        <v>64.680000000000007</v>
      </c>
      <c r="I63" s="450">
        <v>64.680000000000007</v>
      </c>
      <c r="J63" s="450">
        <v>64.67</v>
      </c>
      <c r="K63" s="450">
        <v>64.66</v>
      </c>
      <c r="L63" s="450">
        <v>64.650000000000006</v>
      </c>
      <c r="M63" s="450">
        <v>64.650000000000006</v>
      </c>
      <c r="N63" s="450">
        <v>64.64</v>
      </c>
      <c r="O63" s="450">
        <v>64.599999999999994</v>
      </c>
      <c r="P63" s="450">
        <v>64.569999999999993</v>
      </c>
      <c r="Q63" s="450">
        <v>64.52</v>
      </c>
      <c r="R63" s="450" t="s">
        <v>556</v>
      </c>
      <c r="S63" s="450" t="s">
        <v>556</v>
      </c>
      <c r="T63" s="133"/>
      <c r="U63" s="134">
        <v>74</v>
      </c>
      <c r="V63" s="450">
        <v>65.14</v>
      </c>
      <c r="W63" s="450">
        <v>65.14</v>
      </c>
      <c r="X63" s="450">
        <v>65.14</v>
      </c>
      <c r="Y63" s="450">
        <v>65.13</v>
      </c>
      <c r="Z63" s="450">
        <v>65.13</v>
      </c>
      <c r="AA63" s="450">
        <v>65.13</v>
      </c>
      <c r="AB63" s="450">
        <v>65.13</v>
      </c>
      <c r="AC63" s="450">
        <v>65.13</v>
      </c>
      <c r="AD63" s="450">
        <v>65.12</v>
      </c>
      <c r="AE63" s="450">
        <v>65.12</v>
      </c>
      <c r="AF63" s="450">
        <v>65.12</v>
      </c>
      <c r="AG63" s="450">
        <v>65.12</v>
      </c>
      <c r="AH63" s="450">
        <v>65.099999999999994</v>
      </c>
      <c r="AI63" s="450">
        <v>65.08</v>
      </c>
      <c r="AJ63" s="450">
        <v>65.05</v>
      </c>
      <c r="AK63" s="450" t="s">
        <v>556</v>
      </c>
      <c r="AL63" s="450" t="s">
        <v>556</v>
      </c>
      <c r="AM63" s="133"/>
      <c r="AN63" s="134">
        <v>74</v>
      </c>
      <c r="AO63" s="450">
        <v>65.88</v>
      </c>
      <c r="AP63" s="450">
        <v>65.89</v>
      </c>
      <c r="AQ63" s="450">
        <v>65.89</v>
      </c>
      <c r="AR63" s="450">
        <v>65.89</v>
      </c>
      <c r="AS63" s="450">
        <v>65.900000000000006</v>
      </c>
      <c r="AT63" s="450">
        <v>65.900000000000006</v>
      </c>
      <c r="AU63" s="450">
        <v>65.900000000000006</v>
      </c>
      <c r="AV63" s="450">
        <v>65.900000000000006</v>
      </c>
      <c r="AW63" s="450">
        <v>65.900000000000006</v>
      </c>
      <c r="AX63" s="450">
        <v>65.900000000000006</v>
      </c>
      <c r="AY63" s="450">
        <v>65.900000000000006</v>
      </c>
      <c r="AZ63" s="450">
        <v>65.900000000000006</v>
      </c>
      <c r="BA63" s="450">
        <v>65.900000000000006</v>
      </c>
      <c r="BB63" s="450">
        <v>65.88</v>
      </c>
      <c r="BC63" s="450">
        <v>65.84</v>
      </c>
      <c r="BD63" s="450" t="s">
        <v>556</v>
      </c>
      <c r="BE63" s="450" t="s">
        <v>556</v>
      </c>
    </row>
    <row r="64" spans="2:57" x14ac:dyDescent="0.25">
      <c r="B64" s="134">
        <v>75</v>
      </c>
      <c r="C64" s="450">
        <v>64.709999999999994</v>
      </c>
      <c r="D64" s="450">
        <v>64.7</v>
      </c>
      <c r="E64" s="450">
        <v>64.69</v>
      </c>
      <c r="F64" s="450">
        <v>64.680000000000007</v>
      </c>
      <c r="G64" s="450">
        <v>64.67</v>
      </c>
      <c r="H64" s="450">
        <v>64.66</v>
      </c>
      <c r="I64" s="450">
        <v>64.66</v>
      </c>
      <c r="J64" s="450">
        <v>64.650000000000006</v>
      </c>
      <c r="K64" s="450">
        <v>64.64</v>
      </c>
      <c r="L64" s="450">
        <v>64.63</v>
      </c>
      <c r="M64" s="450">
        <v>64.62</v>
      </c>
      <c r="N64" s="450">
        <v>64.61</v>
      </c>
      <c r="O64" s="450">
        <v>64.569999999999993</v>
      </c>
      <c r="P64" s="450">
        <v>64.52</v>
      </c>
      <c r="Q64" s="450" t="s">
        <v>556</v>
      </c>
      <c r="R64" s="450" t="s">
        <v>556</v>
      </c>
      <c r="S64" s="450" t="s">
        <v>556</v>
      </c>
      <c r="T64" s="133"/>
      <c r="U64" s="134">
        <v>75</v>
      </c>
      <c r="V64" s="450">
        <v>65.14</v>
      </c>
      <c r="W64" s="450">
        <v>65.13</v>
      </c>
      <c r="X64" s="450">
        <v>65.13</v>
      </c>
      <c r="Y64" s="450">
        <v>65.13</v>
      </c>
      <c r="Z64" s="450">
        <v>65.13</v>
      </c>
      <c r="AA64" s="450">
        <v>65.12</v>
      </c>
      <c r="AB64" s="450">
        <v>65.12</v>
      </c>
      <c r="AC64" s="450">
        <v>65.12</v>
      </c>
      <c r="AD64" s="450">
        <v>65.11</v>
      </c>
      <c r="AE64" s="450">
        <v>65.11</v>
      </c>
      <c r="AF64" s="450">
        <v>65.11</v>
      </c>
      <c r="AG64" s="450">
        <v>65.099999999999994</v>
      </c>
      <c r="AH64" s="450">
        <v>65.08</v>
      </c>
      <c r="AI64" s="450">
        <v>65.05</v>
      </c>
      <c r="AJ64" s="450" t="s">
        <v>556</v>
      </c>
      <c r="AK64" s="450" t="s">
        <v>556</v>
      </c>
      <c r="AL64" s="450" t="s">
        <v>556</v>
      </c>
      <c r="AM64" s="133"/>
      <c r="AN64" s="134">
        <v>75</v>
      </c>
      <c r="AO64" s="450">
        <v>65.89</v>
      </c>
      <c r="AP64" s="450">
        <v>65.89</v>
      </c>
      <c r="AQ64" s="450">
        <v>65.900000000000006</v>
      </c>
      <c r="AR64" s="450">
        <v>65.900000000000006</v>
      </c>
      <c r="AS64" s="450">
        <v>65.900000000000006</v>
      </c>
      <c r="AT64" s="450">
        <v>65.900000000000006</v>
      </c>
      <c r="AU64" s="450">
        <v>65.900000000000006</v>
      </c>
      <c r="AV64" s="450">
        <v>65.91</v>
      </c>
      <c r="AW64" s="450">
        <v>65.91</v>
      </c>
      <c r="AX64" s="450">
        <v>65.91</v>
      </c>
      <c r="AY64" s="450">
        <v>65.91</v>
      </c>
      <c r="AZ64" s="450">
        <v>65.900000000000006</v>
      </c>
      <c r="BA64" s="450">
        <v>65.89</v>
      </c>
      <c r="BB64" s="450">
        <v>65.86</v>
      </c>
      <c r="BC64" s="450" t="s">
        <v>556</v>
      </c>
      <c r="BD64" s="450" t="s">
        <v>556</v>
      </c>
      <c r="BE64" s="450" t="s">
        <v>556</v>
      </c>
    </row>
    <row r="65" spans="2:57" x14ac:dyDescent="0.25">
      <c r="B65" s="134">
        <v>76</v>
      </c>
      <c r="C65" s="450">
        <v>64.69</v>
      </c>
      <c r="D65" s="450">
        <v>64.680000000000007</v>
      </c>
      <c r="E65" s="450">
        <v>64.67</v>
      </c>
      <c r="F65" s="450">
        <v>64.66</v>
      </c>
      <c r="G65" s="450">
        <v>64.650000000000006</v>
      </c>
      <c r="H65" s="450">
        <v>64.64</v>
      </c>
      <c r="I65" s="450">
        <v>64.63</v>
      </c>
      <c r="J65" s="450">
        <v>64.62</v>
      </c>
      <c r="K65" s="450">
        <v>64.61</v>
      </c>
      <c r="L65" s="450">
        <v>64.599999999999994</v>
      </c>
      <c r="M65" s="450">
        <v>64.59</v>
      </c>
      <c r="N65" s="450">
        <v>64.58</v>
      </c>
      <c r="O65" s="450">
        <v>64.53</v>
      </c>
      <c r="P65" s="450">
        <v>64.47</v>
      </c>
      <c r="Q65" s="450" t="s">
        <v>556</v>
      </c>
      <c r="R65" s="450" t="s">
        <v>556</v>
      </c>
      <c r="S65" s="450" t="s">
        <v>556</v>
      </c>
      <c r="T65" s="133"/>
      <c r="U65" s="134">
        <v>76</v>
      </c>
      <c r="V65" s="450">
        <v>65.13</v>
      </c>
      <c r="W65" s="450">
        <v>65.13</v>
      </c>
      <c r="X65" s="450">
        <v>65.13</v>
      </c>
      <c r="Y65" s="450">
        <v>65.12</v>
      </c>
      <c r="Z65" s="450">
        <v>65.12</v>
      </c>
      <c r="AA65" s="450">
        <v>65.12</v>
      </c>
      <c r="AB65" s="450">
        <v>65.11</v>
      </c>
      <c r="AC65" s="450">
        <v>65.11</v>
      </c>
      <c r="AD65" s="450">
        <v>65.099999999999994</v>
      </c>
      <c r="AE65" s="450">
        <v>65.099999999999994</v>
      </c>
      <c r="AF65" s="450">
        <v>65.09</v>
      </c>
      <c r="AG65" s="450">
        <v>65.09</v>
      </c>
      <c r="AH65" s="450">
        <v>65.06</v>
      </c>
      <c r="AI65" s="450">
        <v>65.02</v>
      </c>
      <c r="AJ65" s="450" t="s">
        <v>556</v>
      </c>
      <c r="AK65" s="450" t="s">
        <v>556</v>
      </c>
      <c r="AL65" s="450" t="s">
        <v>556</v>
      </c>
      <c r="AM65" s="133"/>
      <c r="AN65" s="134">
        <v>76</v>
      </c>
      <c r="AO65" s="450">
        <v>65.900000000000006</v>
      </c>
      <c r="AP65" s="450">
        <v>65.900000000000006</v>
      </c>
      <c r="AQ65" s="450">
        <v>65.900000000000006</v>
      </c>
      <c r="AR65" s="450">
        <v>65.91</v>
      </c>
      <c r="AS65" s="450">
        <v>65.91</v>
      </c>
      <c r="AT65" s="450">
        <v>65.91</v>
      </c>
      <c r="AU65" s="450">
        <v>65.91</v>
      </c>
      <c r="AV65" s="450">
        <v>65.91</v>
      </c>
      <c r="AW65" s="450">
        <v>65.91</v>
      </c>
      <c r="AX65" s="450">
        <v>65.91</v>
      </c>
      <c r="AY65" s="450">
        <v>65.900000000000006</v>
      </c>
      <c r="AZ65" s="450">
        <v>65.900000000000006</v>
      </c>
      <c r="BA65" s="450">
        <v>65.88</v>
      </c>
      <c r="BB65" s="450">
        <v>65.84</v>
      </c>
      <c r="BC65" s="450" t="s">
        <v>556</v>
      </c>
      <c r="BD65" s="450" t="s">
        <v>556</v>
      </c>
      <c r="BE65" s="450" t="s">
        <v>556</v>
      </c>
    </row>
    <row r="66" spans="2:57" x14ac:dyDescent="0.25">
      <c r="B66" s="134">
        <v>77</v>
      </c>
      <c r="C66" s="450">
        <v>64.67</v>
      </c>
      <c r="D66" s="450">
        <v>64.66</v>
      </c>
      <c r="E66" s="450">
        <v>64.650000000000006</v>
      </c>
      <c r="F66" s="450">
        <v>64.64</v>
      </c>
      <c r="G66" s="450">
        <v>64.63</v>
      </c>
      <c r="H66" s="450">
        <v>64.62</v>
      </c>
      <c r="I66" s="450">
        <v>64.61</v>
      </c>
      <c r="J66" s="450">
        <v>64.59</v>
      </c>
      <c r="K66" s="450">
        <v>64.58</v>
      </c>
      <c r="L66" s="450">
        <v>64.569999999999993</v>
      </c>
      <c r="M66" s="450">
        <v>64.56</v>
      </c>
      <c r="N66" s="450">
        <v>64.55</v>
      </c>
      <c r="O66" s="450">
        <v>64.48</v>
      </c>
      <c r="P66" s="450">
        <v>64.41</v>
      </c>
      <c r="Q66" s="450" t="s">
        <v>556</v>
      </c>
      <c r="R66" s="450" t="s">
        <v>556</v>
      </c>
      <c r="S66" s="450" t="s">
        <v>556</v>
      </c>
      <c r="T66" s="133"/>
      <c r="U66" s="134">
        <v>77</v>
      </c>
      <c r="V66" s="450">
        <v>65.13</v>
      </c>
      <c r="W66" s="450">
        <v>65.12</v>
      </c>
      <c r="X66" s="450">
        <v>65.12</v>
      </c>
      <c r="Y66" s="450">
        <v>65.11</v>
      </c>
      <c r="Z66" s="450">
        <v>65.11</v>
      </c>
      <c r="AA66" s="450">
        <v>65.099999999999994</v>
      </c>
      <c r="AB66" s="450">
        <v>65.099999999999994</v>
      </c>
      <c r="AC66" s="450">
        <v>65.09</v>
      </c>
      <c r="AD66" s="450">
        <v>65.09</v>
      </c>
      <c r="AE66" s="450">
        <v>65.08</v>
      </c>
      <c r="AF66" s="450">
        <v>65.08</v>
      </c>
      <c r="AG66" s="450">
        <v>65.069999999999993</v>
      </c>
      <c r="AH66" s="450">
        <v>65.03</v>
      </c>
      <c r="AI66" s="450">
        <v>64.98</v>
      </c>
      <c r="AJ66" s="450" t="s">
        <v>556</v>
      </c>
      <c r="AK66" s="450" t="s">
        <v>556</v>
      </c>
      <c r="AL66" s="450" t="s">
        <v>556</v>
      </c>
      <c r="AM66" s="133"/>
      <c r="AN66" s="134">
        <v>77</v>
      </c>
      <c r="AO66" s="450">
        <v>65.91</v>
      </c>
      <c r="AP66" s="450">
        <v>65.91</v>
      </c>
      <c r="AQ66" s="450">
        <v>65.91</v>
      </c>
      <c r="AR66" s="450">
        <v>65.91</v>
      </c>
      <c r="AS66" s="450">
        <v>65.91</v>
      </c>
      <c r="AT66" s="450">
        <v>65.91</v>
      </c>
      <c r="AU66" s="450">
        <v>65.91</v>
      </c>
      <c r="AV66" s="450">
        <v>65.91</v>
      </c>
      <c r="AW66" s="450">
        <v>65.900000000000006</v>
      </c>
      <c r="AX66" s="450">
        <v>65.900000000000006</v>
      </c>
      <c r="AY66" s="450">
        <v>65.900000000000006</v>
      </c>
      <c r="AZ66" s="450">
        <v>65.89</v>
      </c>
      <c r="BA66" s="450">
        <v>65.86</v>
      </c>
      <c r="BB66" s="450">
        <v>65.81</v>
      </c>
      <c r="BC66" s="450" t="s">
        <v>556</v>
      </c>
      <c r="BD66" s="450" t="s">
        <v>556</v>
      </c>
      <c r="BE66" s="450" t="s">
        <v>556</v>
      </c>
    </row>
    <row r="67" spans="2:57" x14ac:dyDescent="0.25">
      <c r="B67" s="134">
        <v>78</v>
      </c>
      <c r="C67" s="450">
        <v>64.650000000000006</v>
      </c>
      <c r="D67" s="450">
        <v>64.64</v>
      </c>
      <c r="E67" s="450">
        <v>64.63</v>
      </c>
      <c r="F67" s="450">
        <v>64.61</v>
      </c>
      <c r="G67" s="450">
        <v>64.599999999999994</v>
      </c>
      <c r="H67" s="450">
        <v>64.59</v>
      </c>
      <c r="I67" s="450">
        <v>64.569999999999993</v>
      </c>
      <c r="J67" s="450">
        <v>64.56</v>
      </c>
      <c r="K67" s="450">
        <v>64.55</v>
      </c>
      <c r="L67" s="450">
        <v>64.53</v>
      </c>
      <c r="M67" s="450">
        <v>64.52</v>
      </c>
      <c r="N67" s="450">
        <v>64.510000000000005</v>
      </c>
      <c r="O67" s="450">
        <v>64.430000000000007</v>
      </c>
      <c r="P67" s="450">
        <v>64.34</v>
      </c>
      <c r="Q67" s="450" t="s">
        <v>556</v>
      </c>
      <c r="R67" s="450" t="s">
        <v>556</v>
      </c>
      <c r="S67" s="450" t="s">
        <v>556</v>
      </c>
      <c r="T67" s="133"/>
      <c r="U67" s="134">
        <v>78</v>
      </c>
      <c r="V67" s="450">
        <v>65.12</v>
      </c>
      <c r="W67" s="450">
        <v>65.12</v>
      </c>
      <c r="X67" s="450">
        <v>65.11</v>
      </c>
      <c r="Y67" s="450">
        <v>65.099999999999994</v>
      </c>
      <c r="Z67" s="450">
        <v>65.099999999999994</v>
      </c>
      <c r="AA67" s="450">
        <v>65.09</v>
      </c>
      <c r="AB67" s="450">
        <v>65.08</v>
      </c>
      <c r="AC67" s="450">
        <v>65.08</v>
      </c>
      <c r="AD67" s="450">
        <v>65.069999999999993</v>
      </c>
      <c r="AE67" s="450">
        <v>65.06</v>
      </c>
      <c r="AF67" s="450">
        <v>65.05</v>
      </c>
      <c r="AG67" s="450">
        <v>65.05</v>
      </c>
      <c r="AH67" s="450">
        <v>65</v>
      </c>
      <c r="AI67" s="450">
        <v>64.930000000000007</v>
      </c>
      <c r="AJ67" s="450" t="s">
        <v>556</v>
      </c>
      <c r="AK67" s="450" t="s">
        <v>556</v>
      </c>
      <c r="AL67" s="450" t="s">
        <v>556</v>
      </c>
      <c r="AM67" s="133"/>
      <c r="AN67" s="134">
        <v>78</v>
      </c>
      <c r="AO67" s="450">
        <v>65.91</v>
      </c>
      <c r="AP67" s="450">
        <v>65.91</v>
      </c>
      <c r="AQ67" s="450">
        <v>65.91</v>
      </c>
      <c r="AR67" s="450">
        <v>65.91</v>
      </c>
      <c r="AS67" s="450">
        <v>65.91</v>
      </c>
      <c r="AT67" s="450">
        <v>65.91</v>
      </c>
      <c r="AU67" s="450">
        <v>65.91</v>
      </c>
      <c r="AV67" s="450">
        <v>65.900000000000006</v>
      </c>
      <c r="AW67" s="450">
        <v>65.900000000000006</v>
      </c>
      <c r="AX67" s="450">
        <v>65.89</v>
      </c>
      <c r="AY67" s="450">
        <v>65.89</v>
      </c>
      <c r="AZ67" s="450">
        <v>65.88</v>
      </c>
      <c r="BA67" s="450">
        <v>65.84</v>
      </c>
      <c r="BB67" s="450">
        <v>65.77</v>
      </c>
      <c r="BC67" s="450" t="s">
        <v>556</v>
      </c>
      <c r="BD67" s="450" t="s">
        <v>556</v>
      </c>
      <c r="BE67" s="450" t="s">
        <v>556</v>
      </c>
    </row>
    <row r="68" spans="2:57" x14ac:dyDescent="0.25">
      <c r="B68" s="134">
        <v>79</v>
      </c>
      <c r="C68" s="450">
        <v>64.63</v>
      </c>
      <c r="D68" s="450">
        <v>64.61</v>
      </c>
      <c r="E68" s="450">
        <v>64.599999999999994</v>
      </c>
      <c r="F68" s="450">
        <v>64.58</v>
      </c>
      <c r="G68" s="450">
        <v>64.569999999999993</v>
      </c>
      <c r="H68" s="450">
        <v>64.55</v>
      </c>
      <c r="I68" s="450">
        <v>64.540000000000006</v>
      </c>
      <c r="J68" s="450">
        <v>64.52</v>
      </c>
      <c r="K68" s="450">
        <v>64.510000000000005</v>
      </c>
      <c r="L68" s="450">
        <v>64.489999999999995</v>
      </c>
      <c r="M68" s="450">
        <v>64.48</v>
      </c>
      <c r="N68" s="450">
        <v>64.459999999999994</v>
      </c>
      <c r="O68" s="450">
        <v>64.37</v>
      </c>
      <c r="P68" s="450">
        <v>64.260000000000005</v>
      </c>
      <c r="Q68" s="450" t="s">
        <v>556</v>
      </c>
      <c r="R68" s="450" t="s">
        <v>556</v>
      </c>
      <c r="S68" s="450" t="s">
        <v>556</v>
      </c>
      <c r="T68" s="133"/>
      <c r="U68" s="134">
        <v>79</v>
      </c>
      <c r="V68" s="450">
        <v>65.11</v>
      </c>
      <c r="W68" s="450">
        <v>65.099999999999994</v>
      </c>
      <c r="X68" s="450">
        <v>65.099999999999994</v>
      </c>
      <c r="Y68" s="450">
        <v>65.09</v>
      </c>
      <c r="Z68" s="450">
        <v>65.08</v>
      </c>
      <c r="AA68" s="450">
        <v>65.069999999999993</v>
      </c>
      <c r="AB68" s="450">
        <v>65.069999999999993</v>
      </c>
      <c r="AC68" s="450">
        <v>65.06</v>
      </c>
      <c r="AD68" s="450">
        <v>65.05</v>
      </c>
      <c r="AE68" s="450">
        <v>65.040000000000006</v>
      </c>
      <c r="AF68" s="450">
        <v>65.03</v>
      </c>
      <c r="AG68" s="450">
        <v>65.02</v>
      </c>
      <c r="AH68" s="450">
        <v>64.959999999999994</v>
      </c>
      <c r="AI68" s="450">
        <v>64.87</v>
      </c>
      <c r="AJ68" s="450" t="s">
        <v>556</v>
      </c>
      <c r="AK68" s="450" t="s">
        <v>556</v>
      </c>
      <c r="AL68" s="450" t="s">
        <v>556</v>
      </c>
      <c r="AM68" s="133"/>
      <c r="AN68" s="134">
        <v>79</v>
      </c>
      <c r="AO68" s="450">
        <v>65.91</v>
      </c>
      <c r="AP68" s="450">
        <v>65.91</v>
      </c>
      <c r="AQ68" s="450">
        <v>65.91</v>
      </c>
      <c r="AR68" s="450">
        <v>65.91</v>
      </c>
      <c r="AS68" s="450">
        <v>65.91</v>
      </c>
      <c r="AT68" s="450">
        <v>65.900000000000006</v>
      </c>
      <c r="AU68" s="450">
        <v>65.900000000000006</v>
      </c>
      <c r="AV68" s="450">
        <v>65.89</v>
      </c>
      <c r="AW68" s="450">
        <v>65.89</v>
      </c>
      <c r="AX68" s="450">
        <v>65.88</v>
      </c>
      <c r="AY68" s="450">
        <v>65.88</v>
      </c>
      <c r="AZ68" s="450">
        <v>65.87</v>
      </c>
      <c r="BA68" s="450">
        <v>65.81</v>
      </c>
      <c r="BB68" s="450">
        <v>65.72</v>
      </c>
      <c r="BC68" s="450" t="s">
        <v>556</v>
      </c>
      <c r="BD68" s="450" t="s">
        <v>556</v>
      </c>
      <c r="BE68" s="450" t="s">
        <v>556</v>
      </c>
    </row>
    <row r="69" spans="2:57" x14ac:dyDescent="0.25">
      <c r="B69" s="134">
        <v>80</v>
      </c>
      <c r="C69" s="450">
        <v>64.599999999999994</v>
      </c>
      <c r="D69" s="450">
        <v>64.58</v>
      </c>
      <c r="E69" s="450">
        <v>64.569999999999993</v>
      </c>
      <c r="F69" s="450">
        <v>64.55</v>
      </c>
      <c r="G69" s="450">
        <v>64.53</v>
      </c>
      <c r="H69" s="450">
        <v>64.510000000000005</v>
      </c>
      <c r="I69" s="450">
        <v>64.5</v>
      </c>
      <c r="J69" s="450">
        <v>64.48</v>
      </c>
      <c r="K69" s="450">
        <v>64.459999999999994</v>
      </c>
      <c r="L69" s="450">
        <v>64.44</v>
      </c>
      <c r="M69" s="450">
        <v>64.42</v>
      </c>
      <c r="N69" s="450">
        <v>64.400000000000006</v>
      </c>
      <c r="O69" s="450">
        <v>64.3</v>
      </c>
      <c r="P69" s="450" t="s">
        <v>556</v>
      </c>
      <c r="Q69" s="450" t="s">
        <v>556</v>
      </c>
      <c r="R69" s="450" t="s">
        <v>556</v>
      </c>
      <c r="S69" s="450" t="s">
        <v>556</v>
      </c>
      <c r="T69" s="133"/>
      <c r="U69" s="134">
        <v>80</v>
      </c>
      <c r="V69" s="450">
        <v>65.099999999999994</v>
      </c>
      <c r="W69" s="450">
        <v>65.09</v>
      </c>
      <c r="X69" s="450">
        <v>65.08</v>
      </c>
      <c r="Y69" s="450">
        <v>65.069999999999993</v>
      </c>
      <c r="Z69" s="450">
        <v>65.06</v>
      </c>
      <c r="AA69" s="450">
        <v>65.05</v>
      </c>
      <c r="AB69" s="450">
        <v>65.040000000000006</v>
      </c>
      <c r="AC69" s="450">
        <v>65.03</v>
      </c>
      <c r="AD69" s="450">
        <v>65.02</v>
      </c>
      <c r="AE69" s="450">
        <v>65.010000000000005</v>
      </c>
      <c r="AF69" s="450">
        <v>65</v>
      </c>
      <c r="AG69" s="450">
        <v>64.98</v>
      </c>
      <c r="AH69" s="450">
        <v>64.91</v>
      </c>
      <c r="AI69" s="450" t="s">
        <v>556</v>
      </c>
      <c r="AJ69" s="450" t="s">
        <v>556</v>
      </c>
      <c r="AK69" s="450" t="s">
        <v>556</v>
      </c>
      <c r="AL69" s="450" t="s">
        <v>556</v>
      </c>
      <c r="AM69" s="133"/>
      <c r="AN69" s="134">
        <v>80</v>
      </c>
      <c r="AO69" s="450">
        <v>65.91</v>
      </c>
      <c r="AP69" s="450">
        <v>65.91</v>
      </c>
      <c r="AQ69" s="450">
        <v>65.91</v>
      </c>
      <c r="AR69" s="450">
        <v>65.900000000000006</v>
      </c>
      <c r="AS69" s="450">
        <v>65.900000000000006</v>
      </c>
      <c r="AT69" s="450">
        <v>65.89</v>
      </c>
      <c r="AU69" s="450">
        <v>65.89</v>
      </c>
      <c r="AV69" s="450">
        <v>65.88</v>
      </c>
      <c r="AW69" s="450">
        <v>65.87</v>
      </c>
      <c r="AX69" s="450">
        <v>65.87</v>
      </c>
      <c r="AY69" s="450">
        <v>65.86</v>
      </c>
      <c r="AZ69" s="450">
        <v>65.849999999999994</v>
      </c>
      <c r="BA69" s="450">
        <v>65.77</v>
      </c>
      <c r="BB69" s="450" t="s">
        <v>556</v>
      </c>
      <c r="BC69" s="450" t="s">
        <v>556</v>
      </c>
      <c r="BD69" s="450" t="s">
        <v>556</v>
      </c>
      <c r="BE69" s="450" t="s">
        <v>556</v>
      </c>
    </row>
    <row r="70" spans="2:57" x14ac:dyDescent="0.25">
      <c r="B70" s="134">
        <v>81</v>
      </c>
      <c r="C70" s="450">
        <v>64.569999999999993</v>
      </c>
      <c r="D70" s="450">
        <v>64.55</v>
      </c>
      <c r="E70" s="450">
        <v>64.53</v>
      </c>
      <c r="F70" s="450">
        <v>64.510000000000005</v>
      </c>
      <c r="G70" s="450">
        <v>64.489999999999995</v>
      </c>
      <c r="H70" s="450">
        <v>64.47</v>
      </c>
      <c r="I70" s="450">
        <v>64.45</v>
      </c>
      <c r="J70" s="450">
        <v>64.430000000000007</v>
      </c>
      <c r="K70" s="450">
        <v>64.41</v>
      </c>
      <c r="L70" s="450">
        <v>64.39</v>
      </c>
      <c r="M70" s="450">
        <v>64.36</v>
      </c>
      <c r="N70" s="450">
        <v>64.34</v>
      </c>
      <c r="O70" s="450">
        <v>64.209999999999994</v>
      </c>
      <c r="P70" s="450" t="s">
        <v>556</v>
      </c>
      <c r="Q70" s="450" t="s">
        <v>556</v>
      </c>
      <c r="R70" s="450" t="s">
        <v>556</v>
      </c>
      <c r="S70" s="450" t="s">
        <v>556</v>
      </c>
      <c r="T70" s="133"/>
      <c r="U70" s="134">
        <v>81</v>
      </c>
      <c r="V70" s="450">
        <v>65.08</v>
      </c>
      <c r="W70" s="450">
        <v>65.069999999999993</v>
      </c>
      <c r="X70" s="450">
        <v>65.06</v>
      </c>
      <c r="Y70" s="450">
        <v>65.05</v>
      </c>
      <c r="Z70" s="450">
        <v>65.040000000000006</v>
      </c>
      <c r="AA70" s="450">
        <v>65.03</v>
      </c>
      <c r="AB70" s="450">
        <v>65.010000000000005</v>
      </c>
      <c r="AC70" s="450">
        <v>65</v>
      </c>
      <c r="AD70" s="450">
        <v>64.989999999999995</v>
      </c>
      <c r="AE70" s="450">
        <v>64.97</v>
      </c>
      <c r="AF70" s="450">
        <v>64.959999999999994</v>
      </c>
      <c r="AG70" s="450">
        <v>64.94</v>
      </c>
      <c r="AH70" s="450">
        <v>64.849999999999994</v>
      </c>
      <c r="AI70" s="450" t="s">
        <v>556</v>
      </c>
      <c r="AJ70" s="450" t="s">
        <v>556</v>
      </c>
      <c r="AK70" s="450" t="s">
        <v>556</v>
      </c>
      <c r="AL70" s="450" t="s">
        <v>556</v>
      </c>
      <c r="AM70" s="133"/>
      <c r="AN70" s="134">
        <v>81</v>
      </c>
      <c r="AO70" s="450">
        <v>65.91</v>
      </c>
      <c r="AP70" s="450">
        <v>65.91</v>
      </c>
      <c r="AQ70" s="450">
        <v>65.900000000000006</v>
      </c>
      <c r="AR70" s="450">
        <v>65.89</v>
      </c>
      <c r="AS70" s="450">
        <v>65.89</v>
      </c>
      <c r="AT70" s="450">
        <v>65.88</v>
      </c>
      <c r="AU70" s="450">
        <v>65.87</v>
      </c>
      <c r="AV70" s="450">
        <v>65.86</v>
      </c>
      <c r="AW70" s="450">
        <v>65.849999999999994</v>
      </c>
      <c r="AX70" s="450">
        <v>65.84</v>
      </c>
      <c r="AY70" s="450">
        <v>65.83</v>
      </c>
      <c r="AZ70" s="450">
        <v>65.819999999999993</v>
      </c>
      <c r="BA70" s="450">
        <v>65.73</v>
      </c>
      <c r="BB70" s="450" t="s">
        <v>556</v>
      </c>
      <c r="BC70" s="450" t="s">
        <v>556</v>
      </c>
      <c r="BD70" s="450" t="s">
        <v>556</v>
      </c>
      <c r="BE70" s="450" t="s">
        <v>556</v>
      </c>
    </row>
    <row r="71" spans="2:57" x14ac:dyDescent="0.25">
      <c r="B71" s="134">
        <v>82</v>
      </c>
      <c r="C71" s="450">
        <v>64.53</v>
      </c>
      <c r="D71" s="450">
        <v>64.510000000000005</v>
      </c>
      <c r="E71" s="450">
        <v>64.489999999999995</v>
      </c>
      <c r="F71" s="450">
        <v>64.459999999999994</v>
      </c>
      <c r="G71" s="450">
        <v>64.44</v>
      </c>
      <c r="H71" s="450">
        <v>64.42</v>
      </c>
      <c r="I71" s="450">
        <v>64.400000000000006</v>
      </c>
      <c r="J71" s="450">
        <v>64.37</v>
      </c>
      <c r="K71" s="450">
        <v>64.349999999999994</v>
      </c>
      <c r="L71" s="450">
        <v>64.319999999999993</v>
      </c>
      <c r="M71" s="450">
        <v>64.290000000000006</v>
      </c>
      <c r="N71" s="450">
        <v>64.27</v>
      </c>
      <c r="O71" s="450">
        <v>64.12</v>
      </c>
      <c r="P71" s="450" t="s">
        <v>556</v>
      </c>
      <c r="Q71" s="450" t="s">
        <v>556</v>
      </c>
      <c r="R71" s="450" t="s">
        <v>556</v>
      </c>
      <c r="S71" s="450" t="s">
        <v>556</v>
      </c>
      <c r="T71" s="133"/>
      <c r="U71" s="134">
        <v>82</v>
      </c>
      <c r="V71" s="450">
        <v>65.06</v>
      </c>
      <c r="W71" s="450">
        <v>65.05</v>
      </c>
      <c r="X71" s="450">
        <v>65.040000000000006</v>
      </c>
      <c r="Y71" s="450">
        <v>65.02</v>
      </c>
      <c r="Z71" s="450">
        <v>65.010000000000005</v>
      </c>
      <c r="AA71" s="450">
        <v>64.989999999999995</v>
      </c>
      <c r="AB71" s="450">
        <v>64.98</v>
      </c>
      <c r="AC71" s="450">
        <v>64.959999999999994</v>
      </c>
      <c r="AD71" s="450">
        <v>64.95</v>
      </c>
      <c r="AE71" s="450">
        <v>64.930000000000007</v>
      </c>
      <c r="AF71" s="450">
        <v>64.91</v>
      </c>
      <c r="AG71" s="450">
        <v>64.89</v>
      </c>
      <c r="AH71" s="450">
        <v>64.77</v>
      </c>
      <c r="AI71" s="450" t="s">
        <v>556</v>
      </c>
      <c r="AJ71" s="450" t="s">
        <v>556</v>
      </c>
      <c r="AK71" s="450" t="s">
        <v>556</v>
      </c>
      <c r="AL71" s="450" t="s">
        <v>556</v>
      </c>
      <c r="AM71" s="133"/>
      <c r="AN71" s="134">
        <v>82</v>
      </c>
      <c r="AO71" s="450">
        <v>65.900000000000006</v>
      </c>
      <c r="AP71" s="450">
        <v>65.900000000000006</v>
      </c>
      <c r="AQ71" s="450">
        <v>65.89</v>
      </c>
      <c r="AR71" s="450">
        <v>65.88</v>
      </c>
      <c r="AS71" s="450">
        <v>65.87</v>
      </c>
      <c r="AT71" s="450">
        <v>65.86</v>
      </c>
      <c r="AU71" s="450">
        <v>65.849999999999994</v>
      </c>
      <c r="AV71" s="450">
        <v>65.84</v>
      </c>
      <c r="AW71" s="450">
        <v>65.83</v>
      </c>
      <c r="AX71" s="450">
        <v>65.81</v>
      </c>
      <c r="AY71" s="450">
        <v>65.8</v>
      </c>
      <c r="AZ71" s="450">
        <v>65.78</v>
      </c>
      <c r="BA71" s="450">
        <v>65.67</v>
      </c>
      <c r="BB71" s="450" t="s">
        <v>556</v>
      </c>
      <c r="BC71" s="450" t="s">
        <v>556</v>
      </c>
      <c r="BD71" s="450" t="s">
        <v>556</v>
      </c>
      <c r="BE71" s="450" t="s">
        <v>556</v>
      </c>
    </row>
    <row r="72" spans="2:57" x14ac:dyDescent="0.25">
      <c r="B72" s="134">
        <v>83</v>
      </c>
      <c r="C72" s="450">
        <v>64.489999999999995</v>
      </c>
      <c r="D72" s="450">
        <v>64.459999999999994</v>
      </c>
      <c r="E72" s="450">
        <v>64.44</v>
      </c>
      <c r="F72" s="450">
        <v>64.41</v>
      </c>
      <c r="G72" s="450">
        <v>64.39</v>
      </c>
      <c r="H72" s="450">
        <v>64.36</v>
      </c>
      <c r="I72" s="450">
        <v>64.33</v>
      </c>
      <c r="J72" s="450">
        <v>64.3</v>
      </c>
      <c r="K72" s="450">
        <v>64.28</v>
      </c>
      <c r="L72" s="450">
        <v>64.25</v>
      </c>
      <c r="M72" s="450">
        <v>64.22</v>
      </c>
      <c r="N72" s="450">
        <v>64.180000000000007</v>
      </c>
      <c r="O72" s="450">
        <v>64</v>
      </c>
      <c r="P72" s="450" t="s">
        <v>556</v>
      </c>
      <c r="Q72" s="450" t="s">
        <v>556</v>
      </c>
      <c r="R72" s="450" t="s">
        <v>556</v>
      </c>
      <c r="S72" s="450" t="s">
        <v>556</v>
      </c>
      <c r="T72" s="133"/>
      <c r="U72" s="134">
        <v>83</v>
      </c>
      <c r="V72" s="450">
        <v>65.040000000000006</v>
      </c>
      <c r="W72" s="450">
        <v>65.02</v>
      </c>
      <c r="X72" s="450">
        <v>65.010000000000005</v>
      </c>
      <c r="Y72" s="450">
        <v>64.989999999999995</v>
      </c>
      <c r="Z72" s="450">
        <v>64.97</v>
      </c>
      <c r="AA72" s="450">
        <v>64.959999999999994</v>
      </c>
      <c r="AB72" s="450">
        <v>64.94</v>
      </c>
      <c r="AC72" s="450">
        <v>64.92</v>
      </c>
      <c r="AD72" s="450">
        <v>64.900000000000006</v>
      </c>
      <c r="AE72" s="450">
        <v>64.88</v>
      </c>
      <c r="AF72" s="450">
        <v>64.849999999999994</v>
      </c>
      <c r="AG72" s="450">
        <v>64.83</v>
      </c>
      <c r="AH72" s="450">
        <v>64.69</v>
      </c>
      <c r="AI72" s="450" t="s">
        <v>556</v>
      </c>
      <c r="AJ72" s="450" t="s">
        <v>556</v>
      </c>
      <c r="AK72" s="450" t="s">
        <v>556</v>
      </c>
      <c r="AL72" s="450" t="s">
        <v>556</v>
      </c>
      <c r="AM72" s="133"/>
      <c r="AN72" s="134">
        <v>83</v>
      </c>
      <c r="AO72" s="450">
        <v>65.89</v>
      </c>
      <c r="AP72" s="450">
        <v>65.88</v>
      </c>
      <c r="AQ72" s="450">
        <v>65.87</v>
      </c>
      <c r="AR72" s="450">
        <v>65.86</v>
      </c>
      <c r="AS72" s="450">
        <v>65.849999999999994</v>
      </c>
      <c r="AT72" s="450">
        <v>65.84</v>
      </c>
      <c r="AU72" s="450">
        <v>65.83</v>
      </c>
      <c r="AV72" s="450">
        <v>65.81</v>
      </c>
      <c r="AW72" s="450">
        <v>65.790000000000006</v>
      </c>
      <c r="AX72" s="450">
        <v>65.77</v>
      </c>
      <c r="AY72" s="450">
        <v>65.75</v>
      </c>
      <c r="AZ72" s="450">
        <v>65.73</v>
      </c>
      <c r="BA72" s="450">
        <v>65.59</v>
      </c>
      <c r="BB72" s="450" t="s">
        <v>556</v>
      </c>
      <c r="BC72" s="450" t="s">
        <v>556</v>
      </c>
      <c r="BD72" s="450" t="s">
        <v>556</v>
      </c>
      <c r="BE72" s="450" t="s">
        <v>556</v>
      </c>
    </row>
    <row r="73" spans="2:57" x14ac:dyDescent="0.25">
      <c r="B73" s="134">
        <v>84</v>
      </c>
      <c r="C73" s="450">
        <v>64.44</v>
      </c>
      <c r="D73" s="450">
        <v>64.41</v>
      </c>
      <c r="E73" s="450">
        <v>64.38</v>
      </c>
      <c r="F73" s="450">
        <v>64.349999999999994</v>
      </c>
      <c r="G73" s="450">
        <v>64.319999999999993</v>
      </c>
      <c r="H73" s="450">
        <v>64.290000000000006</v>
      </c>
      <c r="I73" s="450">
        <v>64.260000000000005</v>
      </c>
      <c r="J73" s="450">
        <v>64.23</v>
      </c>
      <c r="K73" s="450">
        <v>64.19</v>
      </c>
      <c r="L73" s="450">
        <v>64.16</v>
      </c>
      <c r="M73" s="450">
        <v>64.12</v>
      </c>
      <c r="N73" s="450">
        <v>64.09</v>
      </c>
      <c r="O73" s="450">
        <v>63.87</v>
      </c>
      <c r="P73" s="450" t="s">
        <v>556</v>
      </c>
      <c r="Q73" s="450" t="s">
        <v>556</v>
      </c>
      <c r="R73" s="450" t="s">
        <v>556</v>
      </c>
      <c r="S73" s="450" t="s">
        <v>556</v>
      </c>
      <c r="T73" s="133"/>
      <c r="U73" s="134">
        <v>84</v>
      </c>
      <c r="V73" s="450">
        <v>65.010000000000005</v>
      </c>
      <c r="W73" s="450">
        <v>64.989999999999995</v>
      </c>
      <c r="X73" s="450">
        <v>64.97</v>
      </c>
      <c r="Y73" s="450">
        <v>64.95</v>
      </c>
      <c r="Z73" s="450">
        <v>64.930000000000007</v>
      </c>
      <c r="AA73" s="450">
        <v>64.91</v>
      </c>
      <c r="AB73" s="450">
        <v>64.89</v>
      </c>
      <c r="AC73" s="450">
        <v>64.87</v>
      </c>
      <c r="AD73" s="450">
        <v>64.84</v>
      </c>
      <c r="AE73" s="450">
        <v>64.81</v>
      </c>
      <c r="AF73" s="450">
        <v>64.790000000000006</v>
      </c>
      <c r="AG73" s="450">
        <v>64.760000000000005</v>
      </c>
      <c r="AH73" s="450">
        <v>64.58</v>
      </c>
      <c r="AI73" s="450" t="s">
        <v>556</v>
      </c>
      <c r="AJ73" s="450" t="s">
        <v>556</v>
      </c>
      <c r="AK73" s="450" t="s">
        <v>556</v>
      </c>
      <c r="AL73" s="450" t="s">
        <v>556</v>
      </c>
      <c r="AM73" s="133"/>
      <c r="AN73" s="134">
        <v>84</v>
      </c>
      <c r="AO73" s="450">
        <v>65.88</v>
      </c>
      <c r="AP73" s="450">
        <v>65.86</v>
      </c>
      <c r="AQ73" s="450">
        <v>65.849999999999994</v>
      </c>
      <c r="AR73" s="450">
        <v>65.84</v>
      </c>
      <c r="AS73" s="450">
        <v>65.819999999999993</v>
      </c>
      <c r="AT73" s="450">
        <v>65.81</v>
      </c>
      <c r="AU73" s="450">
        <v>65.790000000000006</v>
      </c>
      <c r="AV73" s="450">
        <v>65.77</v>
      </c>
      <c r="AW73" s="450">
        <v>65.75</v>
      </c>
      <c r="AX73" s="450">
        <v>65.73</v>
      </c>
      <c r="AY73" s="450">
        <v>65.7</v>
      </c>
      <c r="AZ73" s="450">
        <v>65.680000000000007</v>
      </c>
      <c r="BA73" s="450">
        <v>65.5</v>
      </c>
      <c r="BB73" s="450" t="s">
        <v>556</v>
      </c>
      <c r="BC73" s="450" t="s">
        <v>556</v>
      </c>
      <c r="BD73" s="450" t="s">
        <v>556</v>
      </c>
      <c r="BE73" s="450" t="s">
        <v>556</v>
      </c>
    </row>
    <row r="74" spans="2:57" x14ac:dyDescent="0.25">
      <c r="B74" s="134">
        <v>85</v>
      </c>
      <c r="C74" s="450">
        <v>64.38</v>
      </c>
      <c r="D74" s="450">
        <v>64.349999999999994</v>
      </c>
      <c r="E74" s="450">
        <v>64.319999999999993</v>
      </c>
      <c r="F74" s="450">
        <v>64.28</v>
      </c>
      <c r="G74" s="450">
        <v>64.25</v>
      </c>
      <c r="H74" s="450">
        <v>64.209999999999994</v>
      </c>
      <c r="I74" s="450">
        <v>64.180000000000007</v>
      </c>
      <c r="J74" s="450">
        <v>64.14</v>
      </c>
      <c r="K74" s="450">
        <v>64.099999999999994</v>
      </c>
      <c r="L74" s="450">
        <v>64.06</v>
      </c>
      <c r="M74" s="450">
        <v>64.02</v>
      </c>
      <c r="N74" s="450">
        <v>63.98</v>
      </c>
      <c r="O74" s="450" t="s">
        <v>556</v>
      </c>
      <c r="P74" s="450" t="s">
        <v>556</v>
      </c>
      <c r="Q74" s="450" t="s">
        <v>556</v>
      </c>
      <c r="R74" s="450" t="s">
        <v>556</v>
      </c>
      <c r="S74" s="450" t="s">
        <v>556</v>
      </c>
      <c r="T74" s="133"/>
      <c r="U74" s="134">
        <v>85</v>
      </c>
      <c r="V74" s="450">
        <v>64.98</v>
      </c>
      <c r="W74" s="450">
        <v>64.95</v>
      </c>
      <c r="X74" s="450">
        <v>64.930000000000007</v>
      </c>
      <c r="Y74" s="450">
        <v>64.91</v>
      </c>
      <c r="Z74" s="450">
        <v>64.88</v>
      </c>
      <c r="AA74" s="450">
        <v>64.86</v>
      </c>
      <c r="AB74" s="450">
        <v>64.83</v>
      </c>
      <c r="AC74" s="450">
        <v>64.8</v>
      </c>
      <c r="AD74" s="450">
        <v>64.77</v>
      </c>
      <c r="AE74" s="450">
        <v>64.739999999999995</v>
      </c>
      <c r="AF74" s="450">
        <v>64.709999999999994</v>
      </c>
      <c r="AG74" s="450">
        <v>64.67</v>
      </c>
      <c r="AH74" s="450" t="s">
        <v>556</v>
      </c>
      <c r="AI74" s="450" t="s">
        <v>556</v>
      </c>
      <c r="AJ74" s="450" t="s">
        <v>556</v>
      </c>
      <c r="AK74" s="450" t="s">
        <v>556</v>
      </c>
      <c r="AL74" s="450" t="s">
        <v>556</v>
      </c>
      <c r="AM74" s="133"/>
      <c r="AN74" s="134">
        <v>85</v>
      </c>
      <c r="AO74" s="450">
        <v>65.849999999999994</v>
      </c>
      <c r="AP74" s="450">
        <v>65.84</v>
      </c>
      <c r="AQ74" s="450">
        <v>65.819999999999993</v>
      </c>
      <c r="AR74" s="450">
        <v>65.81</v>
      </c>
      <c r="AS74" s="450">
        <v>65.790000000000006</v>
      </c>
      <c r="AT74" s="450">
        <v>65.77</v>
      </c>
      <c r="AU74" s="450">
        <v>65.75</v>
      </c>
      <c r="AV74" s="450">
        <v>65.72</v>
      </c>
      <c r="AW74" s="450">
        <v>65.7</v>
      </c>
      <c r="AX74" s="450">
        <v>65.67</v>
      </c>
      <c r="AY74" s="450">
        <v>65.64</v>
      </c>
      <c r="AZ74" s="450">
        <v>65.599999999999994</v>
      </c>
      <c r="BA74" s="450" t="s">
        <v>556</v>
      </c>
      <c r="BB74" s="450" t="s">
        <v>556</v>
      </c>
      <c r="BC74" s="450" t="s">
        <v>556</v>
      </c>
      <c r="BD74" s="450" t="s">
        <v>556</v>
      </c>
      <c r="BE74" s="450" t="s">
        <v>556</v>
      </c>
    </row>
    <row r="75" spans="2:57" x14ac:dyDescent="0.25">
      <c r="B75" s="134">
        <v>86</v>
      </c>
      <c r="C75" s="450">
        <v>64.319999999999993</v>
      </c>
      <c r="D75" s="450">
        <v>64.28</v>
      </c>
      <c r="E75" s="450">
        <v>64.25</v>
      </c>
      <c r="F75" s="450">
        <v>64.209999999999994</v>
      </c>
      <c r="G75" s="450">
        <v>64.17</v>
      </c>
      <c r="H75" s="450">
        <v>64.13</v>
      </c>
      <c r="I75" s="450">
        <v>64.08</v>
      </c>
      <c r="J75" s="450">
        <v>64.040000000000006</v>
      </c>
      <c r="K75" s="450">
        <v>63.99</v>
      </c>
      <c r="L75" s="450">
        <v>63.95</v>
      </c>
      <c r="M75" s="450">
        <v>63.9</v>
      </c>
      <c r="N75" s="450">
        <v>63.85</v>
      </c>
      <c r="O75" s="450" t="s">
        <v>556</v>
      </c>
      <c r="P75" s="450" t="s">
        <v>556</v>
      </c>
      <c r="Q75" s="450" t="s">
        <v>556</v>
      </c>
      <c r="R75" s="450" t="s">
        <v>556</v>
      </c>
      <c r="S75" s="450" t="s">
        <v>556</v>
      </c>
      <c r="T75" s="133"/>
      <c r="U75" s="134">
        <v>86</v>
      </c>
      <c r="V75" s="450">
        <v>64.930000000000007</v>
      </c>
      <c r="W75" s="450">
        <v>64.91</v>
      </c>
      <c r="X75" s="450">
        <v>64.88</v>
      </c>
      <c r="Y75" s="450">
        <v>64.849999999999994</v>
      </c>
      <c r="Z75" s="450">
        <v>64.819999999999993</v>
      </c>
      <c r="AA75" s="450">
        <v>64.790000000000006</v>
      </c>
      <c r="AB75" s="450">
        <v>64.760000000000005</v>
      </c>
      <c r="AC75" s="450">
        <v>64.73</v>
      </c>
      <c r="AD75" s="450">
        <v>64.69</v>
      </c>
      <c r="AE75" s="450">
        <v>64.66</v>
      </c>
      <c r="AF75" s="450">
        <v>64.62</v>
      </c>
      <c r="AG75" s="450">
        <v>64.569999999999993</v>
      </c>
      <c r="AH75" s="450" t="s">
        <v>556</v>
      </c>
      <c r="AI75" s="450" t="s">
        <v>556</v>
      </c>
      <c r="AJ75" s="450" t="s">
        <v>556</v>
      </c>
      <c r="AK75" s="450" t="s">
        <v>556</v>
      </c>
      <c r="AL75" s="450" t="s">
        <v>556</v>
      </c>
      <c r="AM75" s="133"/>
      <c r="AN75" s="134">
        <v>86</v>
      </c>
      <c r="AO75" s="450">
        <v>65.819999999999993</v>
      </c>
      <c r="AP75" s="450">
        <v>65.81</v>
      </c>
      <c r="AQ75" s="450">
        <v>65.790000000000006</v>
      </c>
      <c r="AR75" s="450">
        <v>65.77</v>
      </c>
      <c r="AS75" s="450">
        <v>65.739999999999995</v>
      </c>
      <c r="AT75" s="450">
        <v>65.72</v>
      </c>
      <c r="AU75" s="450">
        <v>65.69</v>
      </c>
      <c r="AV75" s="450">
        <v>65.66</v>
      </c>
      <c r="AW75" s="450">
        <v>65.63</v>
      </c>
      <c r="AX75" s="450">
        <v>65.599999999999994</v>
      </c>
      <c r="AY75" s="450">
        <v>65.56</v>
      </c>
      <c r="AZ75" s="450">
        <v>65.52</v>
      </c>
      <c r="BA75" s="450" t="s">
        <v>556</v>
      </c>
      <c r="BB75" s="450" t="s">
        <v>556</v>
      </c>
      <c r="BC75" s="450" t="s">
        <v>556</v>
      </c>
      <c r="BD75" s="450" t="s">
        <v>556</v>
      </c>
      <c r="BE75" s="450" t="s">
        <v>556</v>
      </c>
    </row>
    <row r="76" spans="2:57" x14ac:dyDescent="0.25">
      <c r="B76" s="134">
        <v>87</v>
      </c>
      <c r="C76" s="450">
        <v>64.25</v>
      </c>
      <c r="D76" s="450">
        <v>64.2</v>
      </c>
      <c r="E76" s="450">
        <v>64.16</v>
      </c>
      <c r="F76" s="450">
        <v>64.12</v>
      </c>
      <c r="G76" s="450">
        <v>64.069999999999993</v>
      </c>
      <c r="H76" s="450">
        <v>64.02</v>
      </c>
      <c r="I76" s="450">
        <v>63.98</v>
      </c>
      <c r="J76" s="450">
        <v>63.92</v>
      </c>
      <c r="K76" s="450">
        <v>63.87</v>
      </c>
      <c r="L76" s="450">
        <v>63.82</v>
      </c>
      <c r="M76" s="450">
        <v>63.76</v>
      </c>
      <c r="N76" s="450">
        <v>63.7</v>
      </c>
      <c r="O76" s="450" t="s">
        <v>556</v>
      </c>
      <c r="P76" s="450" t="s">
        <v>556</v>
      </c>
      <c r="Q76" s="450" t="s">
        <v>556</v>
      </c>
      <c r="R76" s="450" t="s">
        <v>556</v>
      </c>
      <c r="S76" s="450" t="s">
        <v>556</v>
      </c>
      <c r="T76" s="133"/>
      <c r="U76" s="134">
        <v>87</v>
      </c>
      <c r="V76" s="450">
        <v>64.88</v>
      </c>
      <c r="W76" s="450">
        <v>64.849999999999994</v>
      </c>
      <c r="X76" s="450">
        <v>64.819999999999993</v>
      </c>
      <c r="Y76" s="450">
        <v>64.790000000000006</v>
      </c>
      <c r="Z76" s="450">
        <v>64.75</v>
      </c>
      <c r="AA76" s="450">
        <v>64.72</v>
      </c>
      <c r="AB76" s="450">
        <v>64.680000000000007</v>
      </c>
      <c r="AC76" s="450">
        <v>64.64</v>
      </c>
      <c r="AD76" s="450">
        <v>64.599999999999994</v>
      </c>
      <c r="AE76" s="450">
        <v>64.55</v>
      </c>
      <c r="AF76" s="450">
        <v>64.510000000000005</v>
      </c>
      <c r="AG76" s="450">
        <v>64.459999999999994</v>
      </c>
      <c r="AH76" s="450" t="s">
        <v>556</v>
      </c>
      <c r="AI76" s="450" t="s">
        <v>556</v>
      </c>
      <c r="AJ76" s="450" t="s">
        <v>556</v>
      </c>
      <c r="AK76" s="450" t="s">
        <v>556</v>
      </c>
      <c r="AL76" s="450" t="s">
        <v>556</v>
      </c>
      <c r="AM76" s="133"/>
      <c r="AN76" s="134">
        <v>87</v>
      </c>
      <c r="AO76" s="450">
        <v>65.790000000000006</v>
      </c>
      <c r="AP76" s="450">
        <v>65.77</v>
      </c>
      <c r="AQ76" s="450">
        <v>65.739999999999995</v>
      </c>
      <c r="AR76" s="450">
        <v>65.72</v>
      </c>
      <c r="AS76" s="450">
        <v>65.69</v>
      </c>
      <c r="AT76" s="450">
        <v>65.66</v>
      </c>
      <c r="AU76" s="450">
        <v>65.62</v>
      </c>
      <c r="AV76" s="450">
        <v>65.59</v>
      </c>
      <c r="AW76" s="450">
        <v>65.55</v>
      </c>
      <c r="AX76" s="450">
        <v>65.510000000000005</v>
      </c>
      <c r="AY76" s="450">
        <v>65.459999999999994</v>
      </c>
      <c r="AZ76" s="450">
        <v>65.41</v>
      </c>
      <c r="BA76" s="450" t="s">
        <v>556</v>
      </c>
      <c r="BB76" s="450" t="s">
        <v>556</v>
      </c>
      <c r="BC76" s="450" t="s">
        <v>556</v>
      </c>
      <c r="BD76" s="450" t="s">
        <v>556</v>
      </c>
      <c r="BE76" s="450" t="s">
        <v>556</v>
      </c>
    </row>
    <row r="77" spans="2:57" x14ac:dyDescent="0.25">
      <c r="B77" s="134">
        <v>88</v>
      </c>
      <c r="C77" s="450">
        <v>64.16</v>
      </c>
      <c r="D77" s="450">
        <v>64.11</v>
      </c>
      <c r="E77" s="450">
        <v>64.06</v>
      </c>
      <c r="F77" s="450">
        <v>64.010000000000005</v>
      </c>
      <c r="G77" s="450">
        <v>63.96</v>
      </c>
      <c r="H77" s="450">
        <v>63.91</v>
      </c>
      <c r="I77" s="450">
        <v>63.85</v>
      </c>
      <c r="J77" s="450">
        <v>63.79</v>
      </c>
      <c r="K77" s="450">
        <v>63.73</v>
      </c>
      <c r="L77" s="450">
        <v>63.67</v>
      </c>
      <c r="M77" s="450">
        <v>63.6</v>
      </c>
      <c r="N77" s="450">
        <v>63.52</v>
      </c>
      <c r="O77" s="450" t="s">
        <v>556</v>
      </c>
      <c r="P77" s="450" t="s">
        <v>556</v>
      </c>
      <c r="Q77" s="450" t="s">
        <v>556</v>
      </c>
      <c r="R77" s="450" t="s">
        <v>556</v>
      </c>
      <c r="S77" s="450" t="s">
        <v>556</v>
      </c>
      <c r="T77" s="133"/>
      <c r="U77" s="134">
        <v>88</v>
      </c>
      <c r="V77" s="450">
        <v>64.819999999999993</v>
      </c>
      <c r="W77" s="450">
        <v>64.790000000000006</v>
      </c>
      <c r="X77" s="450">
        <v>64.75</v>
      </c>
      <c r="Y77" s="450">
        <v>64.709999999999994</v>
      </c>
      <c r="Z77" s="450">
        <v>64.67</v>
      </c>
      <c r="AA77" s="450">
        <v>64.63</v>
      </c>
      <c r="AB77" s="450">
        <v>64.58</v>
      </c>
      <c r="AC77" s="450">
        <v>64.540000000000006</v>
      </c>
      <c r="AD77" s="450">
        <v>64.489999999999995</v>
      </c>
      <c r="AE77" s="450">
        <v>64.430000000000007</v>
      </c>
      <c r="AF77" s="450">
        <v>64.38</v>
      </c>
      <c r="AG77" s="450">
        <v>64.31</v>
      </c>
      <c r="AH77" s="450" t="s">
        <v>556</v>
      </c>
      <c r="AI77" s="450" t="s">
        <v>556</v>
      </c>
      <c r="AJ77" s="450" t="s">
        <v>556</v>
      </c>
      <c r="AK77" s="450" t="s">
        <v>556</v>
      </c>
      <c r="AL77" s="450" t="s">
        <v>556</v>
      </c>
      <c r="AM77" s="133"/>
      <c r="AN77" s="134">
        <v>88</v>
      </c>
      <c r="AO77" s="450">
        <v>65.739999999999995</v>
      </c>
      <c r="AP77" s="450">
        <v>65.72</v>
      </c>
      <c r="AQ77" s="450">
        <v>65.69</v>
      </c>
      <c r="AR77" s="450">
        <v>65.650000000000006</v>
      </c>
      <c r="AS77" s="450">
        <v>65.62</v>
      </c>
      <c r="AT77" s="450">
        <v>65.58</v>
      </c>
      <c r="AU77" s="450">
        <v>65.540000000000006</v>
      </c>
      <c r="AV77" s="450">
        <v>65.5</v>
      </c>
      <c r="AW77" s="450">
        <v>65.45</v>
      </c>
      <c r="AX77" s="450">
        <v>65.400000000000006</v>
      </c>
      <c r="AY77" s="450">
        <v>65.349999999999994</v>
      </c>
      <c r="AZ77" s="450">
        <v>65.290000000000006</v>
      </c>
      <c r="BA77" s="450" t="s">
        <v>556</v>
      </c>
      <c r="BB77" s="450" t="s">
        <v>556</v>
      </c>
      <c r="BC77" s="450" t="s">
        <v>556</v>
      </c>
      <c r="BD77" s="450" t="s">
        <v>556</v>
      </c>
      <c r="BE77" s="450" t="s">
        <v>556</v>
      </c>
    </row>
    <row r="78" spans="2:57" x14ac:dyDescent="0.25">
      <c r="B78" s="134">
        <v>89</v>
      </c>
      <c r="C78" s="450">
        <v>64.069999999999993</v>
      </c>
      <c r="D78" s="450">
        <v>64.010000000000005</v>
      </c>
      <c r="E78" s="450">
        <v>63.95</v>
      </c>
      <c r="F78" s="450">
        <v>63.9</v>
      </c>
      <c r="G78" s="450">
        <v>63.83</v>
      </c>
      <c r="H78" s="450">
        <v>63.77</v>
      </c>
      <c r="I78" s="450">
        <v>63.71</v>
      </c>
      <c r="J78" s="450">
        <v>63.64</v>
      </c>
      <c r="K78" s="450">
        <v>63.57</v>
      </c>
      <c r="L78" s="450">
        <v>63.49</v>
      </c>
      <c r="M78" s="450">
        <v>63.41</v>
      </c>
      <c r="N78" s="450">
        <v>63.32</v>
      </c>
      <c r="O78" s="450" t="s">
        <v>556</v>
      </c>
      <c r="P78" s="450" t="s">
        <v>556</v>
      </c>
      <c r="Q78" s="450" t="s">
        <v>556</v>
      </c>
      <c r="R78" s="450" t="s">
        <v>556</v>
      </c>
      <c r="S78" s="450" t="s">
        <v>556</v>
      </c>
      <c r="T78" s="133"/>
      <c r="U78" s="134">
        <v>89</v>
      </c>
      <c r="V78" s="450">
        <v>64.75</v>
      </c>
      <c r="W78" s="450">
        <v>64.709999999999994</v>
      </c>
      <c r="X78" s="450">
        <v>64.67</v>
      </c>
      <c r="Y78" s="450">
        <v>64.62</v>
      </c>
      <c r="Z78" s="450">
        <v>64.569999999999993</v>
      </c>
      <c r="AA78" s="450">
        <v>64.52</v>
      </c>
      <c r="AB78" s="450">
        <v>64.47</v>
      </c>
      <c r="AC78" s="450">
        <v>64.41</v>
      </c>
      <c r="AD78" s="450">
        <v>64.349999999999994</v>
      </c>
      <c r="AE78" s="450">
        <v>64.290000000000006</v>
      </c>
      <c r="AF78" s="450">
        <v>64.22</v>
      </c>
      <c r="AG78" s="450">
        <v>64.150000000000006</v>
      </c>
      <c r="AH78" s="450" t="s">
        <v>556</v>
      </c>
      <c r="AI78" s="450" t="s">
        <v>556</v>
      </c>
      <c r="AJ78" s="450" t="s">
        <v>556</v>
      </c>
      <c r="AK78" s="450" t="s">
        <v>556</v>
      </c>
      <c r="AL78" s="450" t="s">
        <v>556</v>
      </c>
      <c r="AM78" s="133"/>
      <c r="AN78" s="134">
        <v>89</v>
      </c>
      <c r="AO78" s="450">
        <v>65.69</v>
      </c>
      <c r="AP78" s="450">
        <v>65.650000000000006</v>
      </c>
      <c r="AQ78" s="450">
        <v>65.62</v>
      </c>
      <c r="AR78" s="450">
        <v>65.58</v>
      </c>
      <c r="AS78" s="450">
        <v>65.540000000000006</v>
      </c>
      <c r="AT78" s="450">
        <v>65.489999999999995</v>
      </c>
      <c r="AU78" s="450">
        <v>65.45</v>
      </c>
      <c r="AV78" s="450">
        <v>65.39</v>
      </c>
      <c r="AW78" s="450">
        <v>65.34</v>
      </c>
      <c r="AX78" s="450">
        <v>65.28</v>
      </c>
      <c r="AY78" s="450">
        <v>65.209999999999994</v>
      </c>
      <c r="AZ78" s="450">
        <v>65.14</v>
      </c>
      <c r="BA78" s="450" t="s">
        <v>556</v>
      </c>
      <c r="BB78" s="450" t="s">
        <v>556</v>
      </c>
      <c r="BC78" s="450" t="s">
        <v>556</v>
      </c>
      <c r="BD78" s="450" t="s">
        <v>556</v>
      </c>
      <c r="BE78" s="450" t="s">
        <v>556</v>
      </c>
    </row>
    <row r="79" spans="2:57" x14ac:dyDescent="0.25">
      <c r="B79" s="134">
        <v>90</v>
      </c>
      <c r="C79" s="450">
        <v>63.95</v>
      </c>
      <c r="D79" s="450">
        <v>63.89</v>
      </c>
      <c r="E79" s="450">
        <v>63.83</v>
      </c>
      <c r="F79" s="450">
        <v>63.76</v>
      </c>
      <c r="G79" s="450">
        <v>63.69</v>
      </c>
      <c r="H79" s="450">
        <v>63.62</v>
      </c>
      <c r="I79" s="450">
        <v>63.54</v>
      </c>
      <c r="J79" s="450">
        <v>63.46</v>
      </c>
      <c r="K79" s="450">
        <v>63.38</v>
      </c>
      <c r="L79" s="450">
        <v>63.29</v>
      </c>
      <c r="M79" s="450">
        <v>63.19</v>
      </c>
      <c r="N79" s="450" t="s">
        <v>556</v>
      </c>
      <c r="O79" s="450" t="s">
        <v>556</v>
      </c>
      <c r="P79" s="450" t="s">
        <v>556</v>
      </c>
      <c r="Q79" s="450" t="s">
        <v>556</v>
      </c>
      <c r="R79" s="450" t="s">
        <v>556</v>
      </c>
      <c r="S79" s="450" t="s">
        <v>556</v>
      </c>
      <c r="T79" s="133"/>
      <c r="U79" s="134">
        <v>90</v>
      </c>
      <c r="V79" s="450">
        <v>64.67</v>
      </c>
      <c r="W79" s="450">
        <v>64.62</v>
      </c>
      <c r="X79" s="450">
        <v>64.569999999999993</v>
      </c>
      <c r="Y79" s="450">
        <v>64.510000000000005</v>
      </c>
      <c r="Z79" s="450">
        <v>64.459999999999994</v>
      </c>
      <c r="AA79" s="450">
        <v>64.400000000000006</v>
      </c>
      <c r="AB79" s="450">
        <v>64.34</v>
      </c>
      <c r="AC79" s="450">
        <v>64.27</v>
      </c>
      <c r="AD79" s="450">
        <v>64.2</v>
      </c>
      <c r="AE79" s="450">
        <v>64.12</v>
      </c>
      <c r="AF79" s="450">
        <v>64.040000000000006</v>
      </c>
      <c r="AG79" s="450" t="s">
        <v>556</v>
      </c>
      <c r="AH79" s="450" t="s">
        <v>556</v>
      </c>
      <c r="AI79" s="450" t="s">
        <v>556</v>
      </c>
      <c r="AJ79" s="450" t="s">
        <v>556</v>
      </c>
      <c r="AK79" s="450" t="s">
        <v>556</v>
      </c>
      <c r="AL79" s="450" t="s">
        <v>556</v>
      </c>
      <c r="AM79" s="133"/>
      <c r="AN79" s="134">
        <v>90</v>
      </c>
      <c r="AO79" s="450">
        <v>65.62</v>
      </c>
      <c r="AP79" s="450">
        <v>65.58</v>
      </c>
      <c r="AQ79" s="450">
        <v>65.540000000000006</v>
      </c>
      <c r="AR79" s="450">
        <v>65.489999999999995</v>
      </c>
      <c r="AS79" s="450">
        <v>65.44</v>
      </c>
      <c r="AT79" s="450">
        <v>65.39</v>
      </c>
      <c r="AU79" s="450">
        <v>65.33</v>
      </c>
      <c r="AV79" s="450">
        <v>65.27</v>
      </c>
      <c r="AW79" s="450">
        <v>65.2</v>
      </c>
      <c r="AX79" s="450">
        <v>65.13</v>
      </c>
      <c r="AY79" s="450">
        <v>65.040000000000006</v>
      </c>
      <c r="AZ79" s="450" t="s">
        <v>556</v>
      </c>
      <c r="BA79" s="450" t="s">
        <v>556</v>
      </c>
      <c r="BB79" s="450" t="s">
        <v>556</v>
      </c>
      <c r="BC79" s="450" t="s">
        <v>556</v>
      </c>
      <c r="BD79" s="450" t="s">
        <v>556</v>
      </c>
      <c r="BE79" s="450" t="s">
        <v>556</v>
      </c>
    </row>
    <row r="80" spans="2:57" x14ac:dyDescent="0.25">
      <c r="B80" s="134">
        <v>91</v>
      </c>
      <c r="C80" s="450">
        <v>63.83</v>
      </c>
      <c r="D80" s="450">
        <v>63.76</v>
      </c>
      <c r="E80" s="450">
        <v>63.68</v>
      </c>
      <c r="F80" s="450">
        <v>63.6</v>
      </c>
      <c r="G80" s="450">
        <v>63.52</v>
      </c>
      <c r="H80" s="450">
        <v>63.44</v>
      </c>
      <c r="I80" s="450">
        <v>63.35</v>
      </c>
      <c r="J80" s="450">
        <v>63.26</v>
      </c>
      <c r="K80" s="450">
        <v>63.16</v>
      </c>
      <c r="L80" s="450">
        <v>63.05</v>
      </c>
      <c r="M80" s="450" t="s">
        <v>556</v>
      </c>
      <c r="N80" s="450" t="s">
        <v>556</v>
      </c>
      <c r="O80" s="450" t="s">
        <v>556</v>
      </c>
      <c r="P80" s="450" t="s">
        <v>556</v>
      </c>
      <c r="Q80" s="450" t="s">
        <v>556</v>
      </c>
      <c r="R80" s="450" t="s">
        <v>556</v>
      </c>
      <c r="S80" s="450" t="s">
        <v>556</v>
      </c>
      <c r="T80" s="133"/>
      <c r="U80" s="134">
        <v>91</v>
      </c>
      <c r="V80" s="450">
        <v>64.569999999999993</v>
      </c>
      <c r="W80" s="450">
        <v>64.510000000000005</v>
      </c>
      <c r="X80" s="450">
        <v>64.45</v>
      </c>
      <c r="Y80" s="450">
        <v>64.39</v>
      </c>
      <c r="Z80" s="450">
        <v>64.319999999999993</v>
      </c>
      <c r="AA80" s="450">
        <v>64.260000000000005</v>
      </c>
      <c r="AB80" s="450">
        <v>64.180000000000007</v>
      </c>
      <c r="AC80" s="450">
        <v>64.099999999999994</v>
      </c>
      <c r="AD80" s="450">
        <v>64.02</v>
      </c>
      <c r="AE80" s="450">
        <v>63.92</v>
      </c>
      <c r="AF80" s="450" t="s">
        <v>556</v>
      </c>
      <c r="AG80" s="450" t="s">
        <v>556</v>
      </c>
      <c r="AH80" s="450" t="s">
        <v>556</v>
      </c>
      <c r="AI80" s="450" t="s">
        <v>556</v>
      </c>
      <c r="AJ80" s="450" t="s">
        <v>556</v>
      </c>
      <c r="AK80" s="450" t="s">
        <v>556</v>
      </c>
      <c r="AL80" s="450" t="s">
        <v>556</v>
      </c>
      <c r="AM80" s="133"/>
      <c r="AN80" s="134">
        <v>91</v>
      </c>
      <c r="AO80" s="450">
        <v>65.53</v>
      </c>
      <c r="AP80" s="450">
        <v>65.489999999999995</v>
      </c>
      <c r="AQ80" s="450">
        <v>65.44</v>
      </c>
      <c r="AR80" s="450">
        <v>65.38</v>
      </c>
      <c r="AS80" s="450">
        <v>65.319999999999993</v>
      </c>
      <c r="AT80" s="450">
        <v>65.260000000000005</v>
      </c>
      <c r="AU80" s="450">
        <v>65.19</v>
      </c>
      <c r="AV80" s="450">
        <v>65.12</v>
      </c>
      <c r="AW80" s="450">
        <v>65.03</v>
      </c>
      <c r="AX80" s="450">
        <v>64.94</v>
      </c>
      <c r="AY80" s="450" t="s">
        <v>556</v>
      </c>
      <c r="AZ80" s="450" t="s">
        <v>556</v>
      </c>
      <c r="BA80" s="450" t="s">
        <v>556</v>
      </c>
      <c r="BB80" s="450" t="s">
        <v>556</v>
      </c>
      <c r="BC80" s="450" t="s">
        <v>556</v>
      </c>
      <c r="BD80" s="450" t="s">
        <v>556</v>
      </c>
      <c r="BE80" s="450" t="s">
        <v>556</v>
      </c>
    </row>
    <row r="81" spans="2:57" x14ac:dyDescent="0.25">
      <c r="B81" s="134">
        <v>92</v>
      </c>
      <c r="C81" s="450">
        <v>63.68</v>
      </c>
      <c r="D81" s="450">
        <v>63.6</v>
      </c>
      <c r="E81" s="450">
        <v>63.51</v>
      </c>
      <c r="F81" s="450">
        <v>63.43</v>
      </c>
      <c r="G81" s="450">
        <v>63.33</v>
      </c>
      <c r="H81" s="450">
        <v>63.24</v>
      </c>
      <c r="I81" s="450">
        <v>63.13</v>
      </c>
      <c r="J81" s="450">
        <v>63.02</v>
      </c>
      <c r="K81" s="450">
        <v>62.9</v>
      </c>
      <c r="L81" s="450" t="s">
        <v>556</v>
      </c>
      <c r="M81" s="450" t="s">
        <v>556</v>
      </c>
      <c r="N81" s="450" t="s">
        <v>556</v>
      </c>
      <c r="O81" s="450" t="s">
        <v>556</v>
      </c>
      <c r="P81" s="450" t="s">
        <v>556</v>
      </c>
      <c r="Q81" s="450" t="s">
        <v>556</v>
      </c>
      <c r="R81" s="450" t="s">
        <v>556</v>
      </c>
      <c r="S81" s="450" t="s">
        <v>556</v>
      </c>
      <c r="T81" s="133"/>
      <c r="U81" s="134">
        <v>92</v>
      </c>
      <c r="V81" s="450">
        <v>64.45</v>
      </c>
      <c r="W81" s="450">
        <v>64.39</v>
      </c>
      <c r="X81" s="450">
        <v>64.319999999999993</v>
      </c>
      <c r="Y81" s="450">
        <v>64.239999999999995</v>
      </c>
      <c r="Z81" s="450">
        <v>64.17</v>
      </c>
      <c r="AA81" s="450">
        <v>64.09</v>
      </c>
      <c r="AB81" s="450">
        <v>64</v>
      </c>
      <c r="AC81" s="450">
        <v>63.9</v>
      </c>
      <c r="AD81" s="450">
        <v>63.8</v>
      </c>
      <c r="AE81" s="450" t="s">
        <v>556</v>
      </c>
      <c r="AF81" s="450" t="s">
        <v>556</v>
      </c>
      <c r="AG81" s="450" t="s">
        <v>556</v>
      </c>
      <c r="AH81" s="450" t="s">
        <v>556</v>
      </c>
      <c r="AI81" s="450" t="s">
        <v>556</v>
      </c>
      <c r="AJ81" s="450" t="s">
        <v>556</v>
      </c>
      <c r="AK81" s="450" t="s">
        <v>556</v>
      </c>
      <c r="AL81" s="450" t="s">
        <v>556</v>
      </c>
      <c r="AM81" s="133"/>
      <c r="AN81" s="134">
        <v>92</v>
      </c>
      <c r="AO81" s="450">
        <v>65.44</v>
      </c>
      <c r="AP81" s="450">
        <v>65.38</v>
      </c>
      <c r="AQ81" s="450">
        <v>65.319999999999993</v>
      </c>
      <c r="AR81" s="450">
        <v>65.25</v>
      </c>
      <c r="AS81" s="450">
        <v>65.180000000000007</v>
      </c>
      <c r="AT81" s="450">
        <v>65.11</v>
      </c>
      <c r="AU81" s="450">
        <v>65.02</v>
      </c>
      <c r="AV81" s="450">
        <v>64.930000000000007</v>
      </c>
      <c r="AW81" s="450">
        <v>64.83</v>
      </c>
      <c r="AX81" s="450" t="s">
        <v>556</v>
      </c>
      <c r="AY81" s="450" t="s">
        <v>556</v>
      </c>
      <c r="AZ81" s="450" t="s">
        <v>556</v>
      </c>
      <c r="BA81" s="450" t="s">
        <v>556</v>
      </c>
      <c r="BB81" s="450" t="s">
        <v>556</v>
      </c>
      <c r="BC81" s="450" t="s">
        <v>556</v>
      </c>
      <c r="BD81" s="450" t="s">
        <v>556</v>
      </c>
      <c r="BE81" s="450" t="s">
        <v>556</v>
      </c>
    </row>
    <row r="82" spans="2:57" x14ac:dyDescent="0.25">
      <c r="B82" s="134">
        <v>93</v>
      </c>
      <c r="C82" s="450">
        <v>63.51</v>
      </c>
      <c r="D82" s="450">
        <v>63.42</v>
      </c>
      <c r="E82" s="450">
        <v>63.32</v>
      </c>
      <c r="F82" s="450">
        <v>63.22</v>
      </c>
      <c r="G82" s="450">
        <v>63.11</v>
      </c>
      <c r="H82" s="450">
        <v>63</v>
      </c>
      <c r="I82" s="450">
        <v>62.88</v>
      </c>
      <c r="J82" s="450">
        <v>62.74</v>
      </c>
      <c r="K82" s="450" t="s">
        <v>556</v>
      </c>
      <c r="L82" s="450" t="s">
        <v>556</v>
      </c>
      <c r="M82" s="450" t="s">
        <v>556</v>
      </c>
      <c r="N82" s="450" t="s">
        <v>556</v>
      </c>
      <c r="O82" s="450" t="s">
        <v>556</v>
      </c>
      <c r="P82" s="450" t="s">
        <v>556</v>
      </c>
      <c r="Q82" s="450" t="s">
        <v>556</v>
      </c>
      <c r="R82" s="450" t="s">
        <v>556</v>
      </c>
      <c r="S82" s="450" t="s">
        <v>556</v>
      </c>
      <c r="T82" s="133"/>
      <c r="U82" s="134">
        <v>93</v>
      </c>
      <c r="V82" s="450">
        <v>64.319999999999993</v>
      </c>
      <c r="W82" s="450">
        <v>64.239999999999995</v>
      </c>
      <c r="X82" s="450">
        <v>64.16</v>
      </c>
      <c r="Y82" s="450">
        <v>64.069999999999993</v>
      </c>
      <c r="Z82" s="450">
        <v>63.98</v>
      </c>
      <c r="AA82" s="450">
        <v>63.89</v>
      </c>
      <c r="AB82" s="450">
        <v>63.78</v>
      </c>
      <c r="AC82" s="450">
        <v>63.67</v>
      </c>
      <c r="AD82" s="450" t="s">
        <v>556</v>
      </c>
      <c r="AE82" s="450" t="s">
        <v>556</v>
      </c>
      <c r="AF82" s="450" t="s">
        <v>556</v>
      </c>
      <c r="AG82" s="450" t="s">
        <v>556</v>
      </c>
      <c r="AH82" s="450" t="s">
        <v>556</v>
      </c>
      <c r="AI82" s="450" t="s">
        <v>556</v>
      </c>
      <c r="AJ82" s="450" t="s">
        <v>556</v>
      </c>
      <c r="AK82" s="450" t="s">
        <v>556</v>
      </c>
      <c r="AL82" s="450" t="s">
        <v>556</v>
      </c>
      <c r="AM82" s="133"/>
      <c r="AN82" s="134">
        <v>93</v>
      </c>
      <c r="AO82" s="450">
        <v>65.319999999999993</v>
      </c>
      <c r="AP82" s="450">
        <v>65.25</v>
      </c>
      <c r="AQ82" s="450">
        <v>65.180000000000007</v>
      </c>
      <c r="AR82" s="450">
        <v>65.099999999999994</v>
      </c>
      <c r="AS82" s="450">
        <v>65.02</v>
      </c>
      <c r="AT82" s="450">
        <v>64.930000000000007</v>
      </c>
      <c r="AU82" s="450">
        <v>64.83</v>
      </c>
      <c r="AV82" s="450">
        <v>64.72</v>
      </c>
      <c r="AW82" s="450" t="s">
        <v>556</v>
      </c>
      <c r="AX82" s="450" t="s">
        <v>556</v>
      </c>
      <c r="AY82" s="450" t="s">
        <v>556</v>
      </c>
      <c r="AZ82" s="450" t="s">
        <v>556</v>
      </c>
      <c r="BA82" s="450" t="s">
        <v>556</v>
      </c>
      <c r="BB82" s="450" t="s">
        <v>556</v>
      </c>
      <c r="BC82" s="450" t="s">
        <v>556</v>
      </c>
      <c r="BD82" s="450" t="s">
        <v>556</v>
      </c>
      <c r="BE82" s="450" t="s">
        <v>556</v>
      </c>
    </row>
    <row r="83" spans="2:57" x14ac:dyDescent="0.25">
      <c r="B83" s="134">
        <v>94</v>
      </c>
      <c r="C83" s="450">
        <v>63.32</v>
      </c>
      <c r="D83" s="450">
        <v>63.21</v>
      </c>
      <c r="E83" s="450">
        <v>63.1</v>
      </c>
      <c r="F83" s="450">
        <v>62.98</v>
      </c>
      <c r="G83" s="450">
        <v>62.86</v>
      </c>
      <c r="H83" s="450">
        <v>62.72</v>
      </c>
      <c r="I83" s="450">
        <v>62.58</v>
      </c>
      <c r="J83" s="450" t="s">
        <v>556</v>
      </c>
      <c r="K83" s="450" t="s">
        <v>556</v>
      </c>
      <c r="L83" s="450" t="s">
        <v>556</v>
      </c>
      <c r="M83" s="450" t="s">
        <v>556</v>
      </c>
      <c r="N83" s="450" t="s">
        <v>556</v>
      </c>
      <c r="O83" s="450" t="s">
        <v>556</v>
      </c>
      <c r="P83" s="450" t="s">
        <v>556</v>
      </c>
      <c r="Q83" s="450" t="s">
        <v>556</v>
      </c>
      <c r="R83" s="450" t="s">
        <v>556</v>
      </c>
      <c r="S83" s="450" t="s">
        <v>556</v>
      </c>
      <c r="T83" s="133"/>
      <c r="U83" s="134">
        <v>94</v>
      </c>
      <c r="V83" s="450">
        <v>64.16</v>
      </c>
      <c r="W83" s="450">
        <v>64.069999999999993</v>
      </c>
      <c r="X83" s="450">
        <v>63.98</v>
      </c>
      <c r="Y83" s="450">
        <v>63.87</v>
      </c>
      <c r="Z83" s="450">
        <v>63.77</v>
      </c>
      <c r="AA83" s="450">
        <v>63.65</v>
      </c>
      <c r="AB83" s="450">
        <v>63.53</v>
      </c>
      <c r="AC83" s="450" t="s">
        <v>556</v>
      </c>
      <c r="AD83" s="450" t="s">
        <v>556</v>
      </c>
      <c r="AE83" s="450" t="s">
        <v>556</v>
      </c>
      <c r="AF83" s="450" t="s">
        <v>556</v>
      </c>
      <c r="AG83" s="450" t="s">
        <v>556</v>
      </c>
      <c r="AH83" s="450" t="s">
        <v>556</v>
      </c>
      <c r="AI83" s="450" t="s">
        <v>556</v>
      </c>
      <c r="AJ83" s="450" t="s">
        <v>556</v>
      </c>
      <c r="AK83" s="450" t="s">
        <v>556</v>
      </c>
      <c r="AL83" s="450" t="s">
        <v>556</v>
      </c>
      <c r="AM83" s="133"/>
      <c r="AN83" s="134">
        <v>94</v>
      </c>
      <c r="AO83" s="450">
        <v>65.17</v>
      </c>
      <c r="AP83" s="450">
        <v>65.099999999999994</v>
      </c>
      <c r="AQ83" s="450">
        <v>65.010000000000005</v>
      </c>
      <c r="AR83" s="450">
        <v>64.92</v>
      </c>
      <c r="AS83" s="450">
        <v>64.819999999999993</v>
      </c>
      <c r="AT83" s="450">
        <v>64.709999999999994</v>
      </c>
      <c r="AU83" s="450">
        <v>64.59</v>
      </c>
      <c r="AV83" s="450" t="s">
        <v>556</v>
      </c>
      <c r="AW83" s="450" t="s">
        <v>556</v>
      </c>
      <c r="AX83" s="450" t="s">
        <v>556</v>
      </c>
      <c r="AY83" s="450" t="s">
        <v>556</v>
      </c>
      <c r="AZ83" s="450" t="s">
        <v>556</v>
      </c>
      <c r="BA83" s="450" t="s">
        <v>556</v>
      </c>
      <c r="BB83" s="450" t="s">
        <v>556</v>
      </c>
      <c r="BC83" s="450" t="s">
        <v>556</v>
      </c>
      <c r="BD83" s="450" t="s">
        <v>556</v>
      </c>
      <c r="BE83" s="450" t="s">
        <v>556</v>
      </c>
    </row>
    <row r="84" spans="2:57" x14ac:dyDescent="0.25">
      <c r="B84" s="134">
        <v>95</v>
      </c>
      <c r="C84" s="450">
        <v>63.1</v>
      </c>
      <c r="D84" s="450">
        <v>62.97</v>
      </c>
      <c r="E84" s="450">
        <v>62.84</v>
      </c>
      <c r="F84" s="450">
        <v>62.71</v>
      </c>
      <c r="G84" s="450">
        <v>62.56</v>
      </c>
      <c r="H84" s="450">
        <v>62.4</v>
      </c>
      <c r="I84" s="450" t="s">
        <v>556</v>
      </c>
      <c r="J84" s="450" t="s">
        <v>556</v>
      </c>
      <c r="K84" s="450" t="s">
        <v>556</v>
      </c>
      <c r="L84" s="450" t="s">
        <v>556</v>
      </c>
      <c r="M84" s="450" t="s">
        <v>556</v>
      </c>
      <c r="N84" s="450" t="s">
        <v>556</v>
      </c>
      <c r="O84" s="450" t="s">
        <v>556</v>
      </c>
      <c r="P84" s="450" t="s">
        <v>556</v>
      </c>
      <c r="Q84" s="450" t="s">
        <v>556</v>
      </c>
      <c r="R84" s="450" t="s">
        <v>556</v>
      </c>
      <c r="S84" s="450" t="s">
        <v>556</v>
      </c>
      <c r="T84" s="133"/>
      <c r="U84" s="134">
        <v>95</v>
      </c>
      <c r="V84" s="450">
        <v>63.97</v>
      </c>
      <c r="W84" s="450">
        <v>63.87</v>
      </c>
      <c r="X84" s="450">
        <v>63.76</v>
      </c>
      <c r="Y84" s="450">
        <v>63.64</v>
      </c>
      <c r="Z84" s="450">
        <v>63.51</v>
      </c>
      <c r="AA84" s="450">
        <v>63.37</v>
      </c>
      <c r="AB84" s="450" t="s">
        <v>556</v>
      </c>
      <c r="AC84" s="450" t="s">
        <v>556</v>
      </c>
      <c r="AD84" s="450" t="s">
        <v>556</v>
      </c>
      <c r="AE84" s="450" t="s">
        <v>556</v>
      </c>
      <c r="AF84" s="450" t="s">
        <v>556</v>
      </c>
      <c r="AG84" s="450" t="s">
        <v>556</v>
      </c>
      <c r="AH84" s="450" t="s">
        <v>556</v>
      </c>
      <c r="AI84" s="450" t="s">
        <v>556</v>
      </c>
      <c r="AJ84" s="450" t="s">
        <v>556</v>
      </c>
      <c r="AK84" s="450" t="s">
        <v>556</v>
      </c>
      <c r="AL84" s="450" t="s">
        <v>556</v>
      </c>
      <c r="AM84" s="133"/>
      <c r="AN84" s="134">
        <v>95</v>
      </c>
      <c r="AO84" s="450">
        <v>65.010000000000005</v>
      </c>
      <c r="AP84" s="450">
        <v>64.91</v>
      </c>
      <c r="AQ84" s="450">
        <v>64.81</v>
      </c>
      <c r="AR84" s="450">
        <v>64.7</v>
      </c>
      <c r="AS84" s="450">
        <v>64.58</v>
      </c>
      <c r="AT84" s="450">
        <v>64.45</v>
      </c>
      <c r="AU84" s="450" t="s">
        <v>556</v>
      </c>
      <c r="AV84" s="450" t="s">
        <v>556</v>
      </c>
      <c r="AW84" s="450" t="s">
        <v>556</v>
      </c>
      <c r="AX84" s="450" t="s">
        <v>556</v>
      </c>
      <c r="AY84" s="450" t="s">
        <v>556</v>
      </c>
      <c r="AZ84" s="450" t="s">
        <v>556</v>
      </c>
      <c r="BA84" s="450" t="s">
        <v>556</v>
      </c>
      <c r="BB84" s="450" t="s">
        <v>556</v>
      </c>
      <c r="BC84" s="450" t="s">
        <v>556</v>
      </c>
      <c r="BD84" s="450" t="s">
        <v>556</v>
      </c>
      <c r="BE84" s="450" t="s">
        <v>556</v>
      </c>
    </row>
    <row r="85" spans="2:57" x14ac:dyDescent="0.25">
      <c r="B85" s="134">
        <v>96</v>
      </c>
      <c r="C85" s="450">
        <v>62.84</v>
      </c>
      <c r="D85" s="450">
        <v>62.7</v>
      </c>
      <c r="E85" s="450">
        <v>62.54</v>
      </c>
      <c r="F85" s="450">
        <v>62.38</v>
      </c>
      <c r="G85" s="450">
        <v>62.21</v>
      </c>
      <c r="H85" s="450" t="s">
        <v>556</v>
      </c>
      <c r="I85" s="450" t="s">
        <v>556</v>
      </c>
      <c r="J85" s="450" t="s">
        <v>556</v>
      </c>
      <c r="K85" s="450" t="s">
        <v>556</v>
      </c>
      <c r="L85" s="450" t="s">
        <v>556</v>
      </c>
      <c r="M85" s="450" t="s">
        <v>556</v>
      </c>
      <c r="N85" s="450" t="s">
        <v>556</v>
      </c>
      <c r="O85" s="450" t="s">
        <v>556</v>
      </c>
      <c r="P85" s="450" t="s">
        <v>556</v>
      </c>
      <c r="Q85" s="450" t="s">
        <v>556</v>
      </c>
      <c r="R85" s="450" t="s">
        <v>556</v>
      </c>
      <c r="S85" s="450" t="s">
        <v>556</v>
      </c>
      <c r="T85" s="133"/>
      <c r="U85" s="134">
        <v>96</v>
      </c>
      <c r="V85" s="450">
        <v>63.76</v>
      </c>
      <c r="W85" s="450">
        <v>63.63</v>
      </c>
      <c r="X85" s="450">
        <v>63.5</v>
      </c>
      <c r="Y85" s="450">
        <v>63.36</v>
      </c>
      <c r="Z85" s="450">
        <v>63.21</v>
      </c>
      <c r="AA85" s="450" t="s">
        <v>556</v>
      </c>
      <c r="AB85" s="450" t="s">
        <v>556</v>
      </c>
      <c r="AC85" s="450" t="s">
        <v>556</v>
      </c>
      <c r="AD85" s="450" t="s">
        <v>556</v>
      </c>
      <c r="AE85" s="450" t="s">
        <v>556</v>
      </c>
      <c r="AF85" s="450" t="s">
        <v>556</v>
      </c>
      <c r="AG85" s="450" t="s">
        <v>556</v>
      </c>
      <c r="AH85" s="450" t="s">
        <v>556</v>
      </c>
      <c r="AI85" s="450" t="s">
        <v>556</v>
      </c>
      <c r="AJ85" s="450" t="s">
        <v>556</v>
      </c>
      <c r="AK85" s="450" t="s">
        <v>556</v>
      </c>
      <c r="AL85" s="450" t="s">
        <v>556</v>
      </c>
      <c r="AM85" s="133"/>
      <c r="AN85" s="134">
        <v>96</v>
      </c>
      <c r="AO85" s="450">
        <v>64.8</v>
      </c>
      <c r="AP85" s="450">
        <v>64.69</v>
      </c>
      <c r="AQ85" s="450">
        <v>64.569999999999993</v>
      </c>
      <c r="AR85" s="450">
        <v>64.44</v>
      </c>
      <c r="AS85" s="450">
        <v>64.3</v>
      </c>
      <c r="AT85" s="450" t="s">
        <v>556</v>
      </c>
      <c r="AU85" s="450" t="s">
        <v>556</v>
      </c>
      <c r="AV85" s="450" t="s">
        <v>556</v>
      </c>
      <c r="AW85" s="450" t="s">
        <v>556</v>
      </c>
      <c r="AX85" s="450" t="s">
        <v>556</v>
      </c>
      <c r="AY85" s="450" t="s">
        <v>556</v>
      </c>
      <c r="AZ85" s="450" t="s">
        <v>556</v>
      </c>
      <c r="BA85" s="450" t="s">
        <v>556</v>
      </c>
      <c r="BB85" s="450" t="s">
        <v>556</v>
      </c>
      <c r="BC85" s="450" t="s">
        <v>556</v>
      </c>
      <c r="BD85" s="450" t="s">
        <v>556</v>
      </c>
      <c r="BE85" s="450" t="s">
        <v>556</v>
      </c>
    </row>
    <row r="86" spans="2:57" x14ac:dyDescent="0.25">
      <c r="B86" s="134">
        <v>97</v>
      </c>
      <c r="C86" s="450">
        <v>62.54</v>
      </c>
      <c r="D86" s="450">
        <v>62.37</v>
      </c>
      <c r="E86" s="450">
        <v>62.19</v>
      </c>
      <c r="F86" s="450">
        <v>62</v>
      </c>
      <c r="G86" s="450" t="s">
        <v>556</v>
      </c>
      <c r="H86" s="450" t="s">
        <v>556</v>
      </c>
      <c r="I86" s="450" t="s">
        <v>556</v>
      </c>
      <c r="J86" s="450" t="s">
        <v>556</v>
      </c>
      <c r="K86" s="450" t="s">
        <v>556</v>
      </c>
      <c r="L86" s="450" t="s">
        <v>556</v>
      </c>
      <c r="M86" s="450" t="s">
        <v>556</v>
      </c>
      <c r="N86" s="450" t="s">
        <v>556</v>
      </c>
      <c r="O86" s="450" t="s">
        <v>556</v>
      </c>
      <c r="P86" s="450" t="s">
        <v>556</v>
      </c>
      <c r="Q86" s="450" t="s">
        <v>556</v>
      </c>
      <c r="R86" s="450" t="s">
        <v>556</v>
      </c>
      <c r="S86" s="450" t="s">
        <v>556</v>
      </c>
      <c r="T86" s="133"/>
      <c r="U86" s="134">
        <v>97</v>
      </c>
      <c r="V86" s="450">
        <v>63.5</v>
      </c>
      <c r="W86" s="450">
        <v>63.35</v>
      </c>
      <c r="X86" s="450">
        <v>63.2</v>
      </c>
      <c r="Y86" s="450">
        <v>63.03</v>
      </c>
      <c r="Z86" s="450" t="s">
        <v>556</v>
      </c>
      <c r="AA86" s="450" t="s">
        <v>556</v>
      </c>
      <c r="AB86" s="450" t="s">
        <v>556</v>
      </c>
      <c r="AC86" s="450" t="s">
        <v>556</v>
      </c>
      <c r="AD86" s="450" t="s">
        <v>556</v>
      </c>
      <c r="AE86" s="450" t="s">
        <v>556</v>
      </c>
      <c r="AF86" s="450" t="s">
        <v>556</v>
      </c>
      <c r="AG86" s="450" t="s">
        <v>556</v>
      </c>
      <c r="AH86" s="450" t="s">
        <v>556</v>
      </c>
      <c r="AI86" s="450" t="s">
        <v>556</v>
      </c>
      <c r="AJ86" s="450" t="s">
        <v>556</v>
      </c>
      <c r="AK86" s="450" t="s">
        <v>556</v>
      </c>
      <c r="AL86" s="450" t="s">
        <v>556</v>
      </c>
      <c r="AM86" s="133"/>
      <c r="AN86" s="134">
        <v>97</v>
      </c>
      <c r="AO86" s="450">
        <v>64.56</v>
      </c>
      <c r="AP86" s="450">
        <v>64.430000000000007</v>
      </c>
      <c r="AQ86" s="450">
        <v>64.290000000000006</v>
      </c>
      <c r="AR86" s="450">
        <v>64.13</v>
      </c>
      <c r="AS86" s="450" t="s">
        <v>556</v>
      </c>
      <c r="AT86" s="450" t="s">
        <v>556</v>
      </c>
      <c r="AU86" s="450" t="s">
        <v>556</v>
      </c>
      <c r="AV86" s="450" t="s">
        <v>556</v>
      </c>
      <c r="AW86" s="450" t="s">
        <v>556</v>
      </c>
      <c r="AX86" s="450" t="s">
        <v>556</v>
      </c>
      <c r="AY86" s="450" t="s">
        <v>556</v>
      </c>
      <c r="AZ86" s="450" t="s">
        <v>556</v>
      </c>
      <c r="BA86" s="450" t="s">
        <v>556</v>
      </c>
      <c r="BB86" s="450" t="s">
        <v>556</v>
      </c>
      <c r="BC86" s="450" t="s">
        <v>556</v>
      </c>
      <c r="BD86" s="450" t="s">
        <v>556</v>
      </c>
      <c r="BE86" s="450" t="s">
        <v>556</v>
      </c>
    </row>
    <row r="87" spans="2:57" x14ac:dyDescent="0.25">
      <c r="B87" s="134">
        <v>98</v>
      </c>
      <c r="C87" s="450">
        <v>62.19</v>
      </c>
      <c r="D87" s="450">
        <v>61.99</v>
      </c>
      <c r="E87" s="450">
        <v>61.78</v>
      </c>
      <c r="F87" s="450" t="s">
        <v>556</v>
      </c>
      <c r="G87" s="450" t="s">
        <v>556</v>
      </c>
      <c r="H87" s="450" t="s">
        <v>556</v>
      </c>
      <c r="I87" s="450" t="s">
        <v>556</v>
      </c>
      <c r="J87" s="450" t="s">
        <v>556</v>
      </c>
      <c r="K87" s="450" t="s">
        <v>556</v>
      </c>
      <c r="L87" s="450" t="s">
        <v>556</v>
      </c>
      <c r="M87" s="450" t="s">
        <v>556</v>
      </c>
      <c r="N87" s="450" t="s">
        <v>556</v>
      </c>
      <c r="O87" s="450" t="s">
        <v>556</v>
      </c>
      <c r="P87" s="450" t="s">
        <v>556</v>
      </c>
      <c r="Q87" s="450" t="s">
        <v>556</v>
      </c>
      <c r="R87" s="450" t="s">
        <v>556</v>
      </c>
      <c r="S87" s="450" t="s">
        <v>556</v>
      </c>
      <c r="T87" s="133"/>
      <c r="U87" s="134">
        <v>98</v>
      </c>
      <c r="V87" s="450">
        <v>63.19</v>
      </c>
      <c r="W87" s="450">
        <v>63.02</v>
      </c>
      <c r="X87" s="450">
        <v>62.83</v>
      </c>
      <c r="Y87" s="450" t="s">
        <v>556</v>
      </c>
      <c r="Z87" s="450" t="s">
        <v>556</v>
      </c>
      <c r="AA87" s="450" t="s">
        <v>556</v>
      </c>
      <c r="AB87" s="450" t="s">
        <v>556</v>
      </c>
      <c r="AC87" s="450" t="s">
        <v>556</v>
      </c>
      <c r="AD87" s="450" t="s">
        <v>556</v>
      </c>
      <c r="AE87" s="450" t="s">
        <v>556</v>
      </c>
      <c r="AF87" s="450" t="s">
        <v>556</v>
      </c>
      <c r="AG87" s="450" t="s">
        <v>556</v>
      </c>
      <c r="AH87" s="450" t="s">
        <v>556</v>
      </c>
      <c r="AI87" s="450" t="s">
        <v>556</v>
      </c>
      <c r="AJ87" s="450" t="s">
        <v>556</v>
      </c>
      <c r="AK87" s="450" t="s">
        <v>556</v>
      </c>
      <c r="AL87" s="450" t="s">
        <v>556</v>
      </c>
      <c r="AM87" s="133"/>
      <c r="AN87" s="134">
        <v>98</v>
      </c>
      <c r="AO87" s="450">
        <v>64.28</v>
      </c>
      <c r="AP87" s="450">
        <v>64.12</v>
      </c>
      <c r="AQ87" s="450">
        <v>63.95</v>
      </c>
      <c r="AR87" s="450" t="s">
        <v>556</v>
      </c>
      <c r="AS87" s="450" t="s">
        <v>556</v>
      </c>
      <c r="AT87" s="450" t="s">
        <v>556</v>
      </c>
      <c r="AU87" s="450" t="s">
        <v>556</v>
      </c>
      <c r="AV87" s="450" t="s">
        <v>556</v>
      </c>
      <c r="AW87" s="450" t="s">
        <v>556</v>
      </c>
      <c r="AX87" s="450" t="s">
        <v>556</v>
      </c>
      <c r="AY87" s="450" t="s">
        <v>556</v>
      </c>
      <c r="AZ87" s="450" t="s">
        <v>556</v>
      </c>
      <c r="BA87" s="450" t="s">
        <v>556</v>
      </c>
      <c r="BB87" s="450" t="s">
        <v>556</v>
      </c>
      <c r="BC87" s="450" t="s">
        <v>556</v>
      </c>
      <c r="BD87" s="450" t="s">
        <v>556</v>
      </c>
      <c r="BE87" s="450" t="s">
        <v>556</v>
      </c>
    </row>
    <row r="88" spans="2:57" x14ac:dyDescent="0.25">
      <c r="B88" s="134">
        <v>99</v>
      </c>
      <c r="C88" s="450">
        <v>61.77</v>
      </c>
      <c r="D88" s="450">
        <v>61.54</v>
      </c>
      <c r="E88" s="450" t="s">
        <v>556</v>
      </c>
      <c r="F88" s="450" t="s">
        <v>556</v>
      </c>
      <c r="G88" s="450" t="s">
        <v>556</v>
      </c>
      <c r="H88" s="450" t="s">
        <v>556</v>
      </c>
      <c r="I88" s="450" t="s">
        <v>556</v>
      </c>
      <c r="J88" s="450" t="s">
        <v>556</v>
      </c>
      <c r="K88" s="450" t="s">
        <v>556</v>
      </c>
      <c r="L88" s="450" t="s">
        <v>556</v>
      </c>
      <c r="M88" s="450" t="s">
        <v>556</v>
      </c>
      <c r="N88" s="450" t="s">
        <v>556</v>
      </c>
      <c r="O88" s="450" t="s">
        <v>556</v>
      </c>
      <c r="P88" s="450" t="s">
        <v>556</v>
      </c>
      <c r="Q88" s="450" t="s">
        <v>556</v>
      </c>
      <c r="R88" s="450" t="s">
        <v>556</v>
      </c>
      <c r="S88" s="450" t="s">
        <v>556</v>
      </c>
      <c r="T88" s="133"/>
      <c r="U88" s="134">
        <v>99</v>
      </c>
      <c r="V88" s="450">
        <v>62.82</v>
      </c>
      <c r="W88" s="450">
        <v>62.62</v>
      </c>
      <c r="X88" s="450" t="s">
        <v>556</v>
      </c>
      <c r="Y88" s="450" t="s">
        <v>556</v>
      </c>
      <c r="Z88" s="450" t="s">
        <v>556</v>
      </c>
      <c r="AA88" s="450" t="s">
        <v>556</v>
      </c>
      <c r="AB88" s="450" t="s">
        <v>556</v>
      </c>
      <c r="AC88" s="450" t="s">
        <v>556</v>
      </c>
      <c r="AD88" s="450" t="s">
        <v>556</v>
      </c>
      <c r="AE88" s="450" t="s">
        <v>556</v>
      </c>
      <c r="AF88" s="450" t="s">
        <v>556</v>
      </c>
      <c r="AG88" s="450" t="s">
        <v>556</v>
      </c>
      <c r="AH88" s="450" t="s">
        <v>556</v>
      </c>
      <c r="AI88" s="450" t="s">
        <v>556</v>
      </c>
      <c r="AJ88" s="450" t="s">
        <v>556</v>
      </c>
      <c r="AK88" s="450" t="s">
        <v>556</v>
      </c>
      <c r="AL88" s="450" t="s">
        <v>556</v>
      </c>
      <c r="AM88" s="133"/>
      <c r="AN88" s="134">
        <v>99</v>
      </c>
      <c r="AO88" s="450">
        <v>63.93</v>
      </c>
      <c r="AP88" s="450">
        <v>63.74</v>
      </c>
      <c r="AQ88" s="450" t="s">
        <v>556</v>
      </c>
      <c r="AR88" s="450" t="s">
        <v>556</v>
      </c>
      <c r="AS88" s="450" t="s">
        <v>556</v>
      </c>
      <c r="AT88" s="450" t="s">
        <v>556</v>
      </c>
      <c r="AU88" s="450" t="s">
        <v>556</v>
      </c>
      <c r="AV88" s="450" t="s">
        <v>556</v>
      </c>
      <c r="AW88" s="450" t="s">
        <v>556</v>
      </c>
      <c r="AX88" s="450" t="s">
        <v>556</v>
      </c>
      <c r="AY88" s="450" t="s">
        <v>556</v>
      </c>
      <c r="AZ88" s="450" t="s">
        <v>556</v>
      </c>
      <c r="BA88" s="450" t="s">
        <v>556</v>
      </c>
      <c r="BB88" s="450" t="s">
        <v>556</v>
      </c>
      <c r="BC88" s="450" t="s">
        <v>556</v>
      </c>
      <c r="BD88" s="450" t="s">
        <v>556</v>
      </c>
      <c r="BE88" s="450" t="s">
        <v>556</v>
      </c>
    </row>
    <row r="89" spans="2:57" x14ac:dyDescent="0.25">
      <c r="B89" s="134">
        <v>100</v>
      </c>
      <c r="C89" s="450">
        <v>61.27</v>
      </c>
      <c r="D89" s="450" t="s">
        <v>556</v>
      </c>
      <c r="E89" s="450" t="s">
        <v>556</v>
      </c>
      <c r="F89" s="450" t="s">
        <v>556</v>
      </c>
      <c r="G89" s="450" t="s">
        <v>556</v>
      </c>
      <c r="H89" s="450" t="s">
        <v>556</v>
      </c>
      <c r="I89" s="450" t="s">
        <v>556</v>
      </c>
      <c r="J89" s="450" t="s">
        <v>556</v>
      </c>
      <c r="K89" s="450" t="s">
        <v>556</v>
      </c>
      <c r="L89" s="450" t="s">
        <v>556</v>
      </c>
      <c r="M89" s="450" t="s">
        <v>556</v>
      </c>
      <c r="N89" s="450" t="s">
        <v>556</v>
      </c>
      <c r="O89" s="450" t="s">
        <v>556</v>
      </c>
      <c r="P89" s="450" t="s">
        <v>556</v>
      </c>
      <c r="Q89" s="450" t="s">
        <v>556</v>
      </c>
      <c r="R89" s="450" t="s">
        <v>556</v>
      </c>
      <c r="S89" s="450" t="s">
        <v>556</v>
      </c>
      <c r="T89" s="133"/>
      <c r="U89" s="134">
        <v>100</v>
      </c>
      <c r="V89" s="450">
        <v>62.38</v>
      </c>
      <c r="W89" s="450" t="s">
        <v>556</v>
      </c>
      <c r="X89" s="450" t="s">
        <v>556</v>
      </c>
      <c r="Y89" s="450" t="s">
        <v>556</v>
      </c>
      <c r="Z89" s="450" t="s">
        <v>556</v>
      </c>
      <c r="AA89" s="450" t="s">
        <v>556</v>
      </c>
      <c r="AB89" s="450" t="s">
        <v>556</v>
      </c>
      <c r="AC89" s="450" t="s">
        <v>556</v>
      </c>
      <c r="AD89" s="450" t="s">
        <v>556</v>
      </c>
      <c r="AE89" s="450" t="s">
        <v>556</v>
      </c>
      <c r="AF89" s="450" t="s">
        <v>556</v>
      </c>
      <c r="AG89" s="450" t="s">
        <v>556</v>
      </c>
      <c r="AH89" s="450" t="s">
        <v>556</v>
      </c>
      <c r="AI89" s="450" t="s">
        <v>556</v>
      </c>
      <c r="AJ89" s="450" t="s">
        <v>556</v>
      </c>
      <c r="AK89" s="450" t="s">
        <v>556</v>
      </c>
      <c r="AL89" s="450" t="s">
        <v>556</v>
      </c>
      <c r="AM89" s="133"/>
      <c r="AN89" s="134">
        <v>100</v>
      </c>
      <c r="AO89" s="450">
        <v>63.51</v>
      </c>
      <c r="AP89" s="450" t="s">
        <v>556</v>
      </c>
      <c r="AQ89" s="450" t="s">
        <v>556</v>
      </c>
      <c r="AR89" s="450" t="s">
        <v>556</v>
      </c>
      <c r="AS89" s="450" t="s">
        <v>556</v>
      </c>
      <c r="AT89" s="450" t="s">
        <v>556</v>
      </c>
      <c r="AU89" s="450" t="s">
        <v>556</v>
      </c>
      <c r="AV89" s="450" t="s">
        <v>556</v>
      </c>
      <c r="AW89" s="450" t="s">
        <v>556</v>
      </c>
      <c r="AX89" s="450" t="s">
        <v>556</v>
      </c>
      <c r="AY89" s="450" t="s">
        <v>556</v>
      </c>
      <c r="AZ89" s="450" t="s">
        <v>556</v>
      </c>
      <c r="BA89" s="450" t="s">
        <v>556</v>
      </c>
      <c r="BB89" s="450" t="s">
        <v>556</v>
      </c>
      <c r="BC89" s="450" t="s">
        <v>556</v>
      </c>
      <c r="BD89" s="450" t="s">
        <v>556</v>
      </c>
      <c r="BE89" s="450" t="s">
        <v>556</v>
      </c>
    </row>
    <row r="93" spans="2:57" ht="20.45" customHeight="1" x14ac:dyDescent="0.25">
      <c r="B93" s="442" t="s">
        <v>183</v>
      </c>
      <c r="C93" s="526" t="s">
        <v>226</v>
      </c>
      <c r="D93" s="527"/>
      <c r="E93" s="527"/>
      <c r="F93" s="527"/>
      <c r="G93" s="527"/>
      <c r="H93" s="527"/>
      <c r="I93" s="527"/>
      <c r="J93" s="527"/>
      <c r="K93" s="527"/>
      <c r="L93" s="527"/>
      <c r="M93" s="527"/>
      <c r="N93" s="527"/>
      <c r="O93" s="527"/>
      <c r="P93" s="527"/>
      <c r="Q93" s="527"/>
      <c r="R93" s="527"/>
      <c r="S93" s="527"/>
      <c r="V93" s="526" t="s">
        <v>226</v>
      </c>
      <c r="W93" s="527"/>
      <c r="X93" s="527"/>
      <c r="Y93" s="527"/>
      <c r="Z93" s="527"/>
      <c r="AA93" s="527"/>
      <c r="AB93" s="527"/>
      <c r="AC93" s="527"/>
      <c r="AD93" s="527"/>
      <c r="AE93" s="527"/>
      <c r="AF93" s="527"/>
      <c r="AG93" s="527"/>
      <c r="AH93" s="527"/>
      <c r="AI93" s="527"/>
      <c r="AJ93" s="527"/>
      <c r="AK93" s="527"/>
      <c r="AL93" s="527"/>
      <c r="AO93" s="526" t="s">
        <v>226</v>
      </c>
      <c r="AP93" s="527"/>
      <c r="AQ93" s="527"/>
      <c r="AR93" s="527"/>
      <c r="AS93" s="527"/>
      <c r="AT93" s="527"/>
      <c r="AU93" s="527"/>
      <c r="AV93" s="527"/>
      <c r="AW93" s="527"/>
      <c r="AX93" s="527"/>
      <c r="AY93" s="527"/>
      <c r="AZ93" s="527"/>
      <c r="BA93" s="527"/>
      <c r="BB93" s="527"/>
      <c r="BC93" s="527"/>
      <c r="BD93" s="527"/>
      <c r="BE93" s="527"/>
    </row>
    <row r="94" spans="2:57" x14ac:dyDescent="0.25">
      <c r="B94" s="444"/>
      <c r="V94" s="444"/>
      <c r="AO94" s="444"/>
    </row>
    <row r="95" spans="2:57" x14ac:dyDescent="0.25">
      <c r="C95" s="528" t="s">
        <v>173</v>
      </c>
      <c r="D95" s="528"/>
      <c r="E95" s="528"/>
      <c r="F95" s="528"/>
      <c r="G95" s="528"/>
      <c r="H95" s="528"/>
      <c r="I95" s="528"/>
      <c r="J95" s="528"/>
      <c r="K95" s="528"/>
      <c r="L95" s="528"/>
      <c r="M95" s="528"/>
      <c r="N95" s="528"/>
      <c r="O95" s="528"/>
      <c r="P95" s="528"/>
      <c r="Q95" s="528"/>
      <c r="R95" s="528"/>
      <c r="S95" s="528"/>
      <c r="V95" s="528" t="s">
        <v>165</v>
      </c>
      <c r="W95" s="528"/>
      <c r="X95" s="528"/>
      <c r="Y95" s="528"/>
      <c r="Z95" s="528"/>
      <c r="AA95" s="528"/>
      <c r="AB95" s="528"/>
      <c r="AC95" s="528"/>
      <c r="AD95" s="528"/>
      <c r="AE95" s="528"/>
      <c r="AF95" s="528"/>
      <c r="AG95" s="528"/>
      <c r="AH95" s="528"/>
      <c r="AI95" s="528"/>
      <c r="AJ95" s="528"/>
      <c r="AK95" s="528"/>
      <c r="AL95" s="528"/>
      <c r="AO95" s="528" t="s">
        <v>166</v>
      </c>
      <c r="AP95" s="528"/>
      <c r="AQ95" s="528"/>
      <c r="AR95" s="528"/>
      <c r="AS95" s="528"/>
      <c r="AT95" s="528"/>
      <c r="AU95" s="528"/>
      <c r="AV95" s="528"/>
      <c r="AW95" s="528"/>
      <c r="AX95" s="528"/>
      <c r="AY95" s="528"/>
      <c r="AZ95" s="528"/>
      <c r="BA95" s="528"/>
      <c r="BB95" s="528"/>
      <c r="BC95" s="528"/>
      <c r="BD95" s="528"/>
      <c r="BE95" s="528"/>
    </row>
    <row r="96" spans="2:57" ht="195" x14ac:dyDescent="0.25">
      <c r="B96" s="445" t="s">
        <v>14</v>
      </c>
      <c r="C96" s="446">
        <v>0</v>
      </c>
      <c r="D96" s="447">
        <v>1</v>
      </c>
      <c r="E96" s="447">
        <v>2</v>
      </c>
      <c r="F96" s="447">
        <v>3</v>
      </c>
      <c r="G96" s="447">
        <v>4</v>
      </c>
      <c r="H96" s="447">
        <v>5</v>
      </c>
      <c r="I96" s="447">
        <v>6</v>
      </c>
      <c r="J96" s="447">
        <v>7</v>
      </c>
      <c r="K96" s="447">
        <v>8</v>
      </c>
      <c r="L96" s="447">
        <v>9</v>
      </c>
      <c r="M96" s="447">
        <v>10</v>
      </c>
      <c r="N96" s="448" t="s">
        <v>15</v>
      </c>
      <c r="O96" s="447" t="s">
        <v>16</v>
      </c>
      <c r="P96" s="447" t="s">
        <v>17</v>
      </c>
      <c r="Q96" s="447" t="s">
        <v>18</v>
      </c>
      <c r="R96" s="447" t="s">
        <v>19</v>
      </c>
      <c r="S96" s="447" t="s">
        <v>20</v>
      </c>
      <c r="T96" s="449"/>
      <c r="U96" s="445" t="s">
        <v>14</v>
      </c>
      <c r="V96" s="446">
        <v>0</v>
      </c>
      <c r="W96" s="447">
        <v>1</v>
      </c>
      <c r="X96" s="447">
        <v>2</v>
      </c>
      <c r="Y96" s="447">
        <v>3</v>
      </c>
      <c r="Z96" s="447">
        <v>4</v>
      </c>
      <c r="AA96" s="447">
        <v>5</v>
      </c>
      <c r="AB96" s="447">
        <v>6</v>
      </c>
      <c r="AC96" s="447">
        <v>7</v>
      </c>
      <c r="AD96" s="447">
        <v>8</v>
      </c>
      <c r="AE96" s="447">
        <v>9</v>
      </c>
      <c r="AF96" s="447">
        <v>10</v>
      </c>
      <c r="AG96" s="448" t="s">
        <v>15</v>
      </c>
      <c r="AH96" s="447" t="s">
        <v>16</v>
      </c>
      <c r="AI96" s="447" t="s">
        <v>17</v>
      </c>
      <c r="AJ96" s="447" t="s">
        <v>18</v>
      </c>
      <c r="AK96" s="447" t="s">
        <v>19</v>
      </c>
      <c r="AL96" s="447" t="s">
        <v>20</v>
      </c>
      <c r="AM96" s="449"/>
      <c r="AN96" s="445" t="s">
        <v>14</v>
      </c>
      <c r="AO96" s="446">
        <v>0</v>
      </c>
      <c r="AP96" s="447">
        <v>1</v>
      </c>
      <c r="AQ96" s="447">
        <v>2</v>
      </c>
      <c r="AR96" s="447">
        <v>3</v>
      </c>
      <c r="AS96" s="447">
        <v>4</v>
      </c>
      <c r="AT96" s="447">
        <v>5</v>
      </c>
      <c r="AU96" s="447">
        <v>6</v>
      </c>
      <c r="AV96" s="447">
        <v>7</v>
      </c>
      <c r="AW96" s="447">
        <v>8</v>
      </c>
      <c r="AX96" s="447">
        <v>9</v>
      </c>
      <c r="AY96" s="447">
        <v>10</v>
      </c>
      <c r="AZ96" s="448" t="s">
        <v>15</v>
      </c>
      <c r="BA96" s="447" t="s">
        <v>16</v>
      </c>
      <c r="BB96" s="447" t="s">
        <v>17</v>
      </c>
      <c r="BC96" s="447" t="s">
        <v>18</v>
      </c>
      <c r="BD96" s="447" t="s">
        <v>19</v>
      </c>
      <c r="BE96" s="447" t="s">
        <v>225</v>
      </c>
    </row>
    <row r="97" spans="2:57" x14ac:dyDescent="0.25">
      <c r="B97" s="134">
        <v>18</v>
      </c>
      <c r="C97" s="450">
        <v>65.819999999999993</v>
      </c>
      <c r="D97" s="450">
        <v>65.83</v>
      </c>
      <c r="E97" s="450">
        <v>65.849999999999994</v>
      </c>
      <c r="F97" s="450">
        <v>65.87</v>
      </c>
      <c r="G97" s="450">
        <v>65.89</v>
      </c>
      <c r="H97" s="450">
        <v>65.91</v>
      </c>
      <c r="I97" s="450">
        <v>65.92</v>
      </c>
      <c r="J97" s="450">
        <v>65.94</v>
      </c>
      <c r="K97" s="450">
        <v>65.959999999999994</v>
      </c>
      <c r="L97" s="450">
        <v>65.98</v>
      </c>
      <c r="M97" s="450">
        <v>65.989999999999995</v>
      </c>
      <c r="N97" s="450">
        <v>66.010000000000005</v>
      </c>
      <c r="O97" s="450">
        <v>66.08</v>
      </c>
      <c r="P97" s="450">
        <v>66.150000000000006</v>
      </c>
      <c r="Q97" s="450">
        <v>66.2</v>
      </c>
      <c r="R97" s="450">
        <v>66.239999999999995</v>
      </c>
      <c r="S97" s="450">
        <v>66.27</v>
      </c>
      <c r="T97" s="133"/>
      <c r="U97" s="134">
        <v>18</v>
      </c>
      <c r="V97" s="450">
        <v>66.16</v>
      </c>
      <c r="W97" s="450">
        <v>66.180000000000007</v>
      </c>
      <c r="X97" s="450">
        <v>66.2</v>
      </c>
      <c r="Y97" s="450">
        <v>66.209999999999994</v>
      </c>
      <c r="Z97" s="450">
        <v>66.23</v>
      </c>
      <c r="AA97" s="450">
        <v>66.25</v>
      </c>
      <c r="AB97" s="450">
        <v>66.27</v>
      </c>
      <c r="AC97" s="450">
        <v>66.290000000000006</v>
      </c>
      <c r="AD97" s="450">
        <v>66.3</v>
      </c>
      <c r="AE97" s="450">
        <v>66.319999999999993</v>
      </c>
      <c r="AF97" s="450">
        <v>66.34</v>
      </c>
      <c r="AG97" s="450">
        <v>66.349999999999994</v>
      </c>
      <c r="AH97" s="450">
        <v>66.430000000000007</v>
      </c>
      <c r="AI97" s="450">
        <v>66.5</v>
      </c>
      <c r="AJ97" s="450">
        <v>66.55</v>
      </c>
      <c r="AK97" s="450">
        <v>66.59</v>
      </c>
      <c r="AL97" s="450">
        <v>66.62</v>
      </c>
      <c r="AM97" s="133"/>
      <c r="AN97" s="134">
        <v>18</v>
      </c>
      <c r="AO97" s="450">
        <v>66.739999999999995</v>
      </c>
      <c r="AP97" s="450">
        <v>66.760000000000005</v>
      </c>
      <c r="AQ97" s="450">
        <v>66.78</v>
      </c>
      <c r="AR97" s="450">
        <v>66.8</v>
      </c>
      <c r="AS97" s="450">
        <v>66.819999999999993</v>
      </c>
      <c r="AT97" s="450">
        <v>66.83</v>
      </c>
      <c r="AU97" s="450">
        <v>66.849999999999994</v>
      </c>
      <c r="AV97" s="450">
        <v>66.87</v>
      </c>
      <c r="AW97" s="450">
        <v>66.89</v>
      </c>
      <c r="AX97" s="450">
        <v>66.91</v>
      </c>
      <c r="AY97" s="450">
        <v>66.92</v>
      </c>
      <c r="AZ97" s="450">
        <v>66.94</v>
      </c>
      <c r="BA97" s="450">
        <v>67.02</v>
      </c>
      <c r="BB97" s="450">
        <v>67.09</v>
      </c>
      <c r="BC97" s="450">
        <v>67.14</v>
      </c>
      <c r="BD97" s="450">
        <v>67.19</v>
      </c>
      <c r="BE97" s="450">
        <v>67.22</v>
      </c>
    </row>
    <row r="98" spans="2:57" x14ac:dyDescent="0.25">
      <c r="B98" s="134">
        <v>19</v>
      </c>
      <c r="C98" s="450">
        <v>65.849999999999994</v>
      </c>
      <c r="D98" s="450">
        <v>65.87</v>
      </c>
      <c r="E98" s="450">
        <v>65.89</v>
      </c>
      <c r="F98" s="450">
        <v>65.91</v>
      </c>
      <c r="G98" s="450">
        <v>65.930000000000007</v>
      </c>
      <c r="H98" s="450">
        <v>65.95</v>
      </c>
      <c r="I98" s="450">
        <v>65.97</v>
      </c>
      <c r="J98" s="450">
        <v>65.989999999999995</v>
      </c>
      <c r="K98" s="450">
        <v>66</v>
      </c>
      <c r="L98" s="450">
        <v>66.02</v>
      </c>
      <c r="M98" s="450">
        <v>66.040000000000006</v>
      </c>
      <c r="N98" s="450">
        <v>66.06</v>
      </c>
      <c r="O98" s="450">
        <v>66.13</v>
      </c>
      <c r="P98" s="450">
        <v>66.2</v>
      </c>
      <c r="Q98" s="450">
        <v>66.260000000000005</v>
      </c>
      <c r="R98" s="450">
        <v>66.3</v>
      </c>
      <c r="S98" s="450">
        <v>66.33</v>
      </c>
      <c r="T98" s="133"/>
      <c r="U98" s="134">
        <v>19</v>
      </c>
      <c r="V98" s="450">
        <v>66.2</v>
      </c>
      <c r="W98" s="450">
        <v>66.22</v>
      </c>
      <c r="X98" s="450">
        <v>66.239999999999995</v>
      </c>
      <c r="Y98" s="450">
        <v>66.260000000000005</v>
      </c>
      <c r="Z98" s="450">
        <v>66.28</v>
      </c>
      <c r="AA98" s="450">
        <v>66.290000000000006</v>
      </c>
      <c r="AB98" s="450">
        <v>66.31</v>
      </c>
      <c r="AC98" s="450">
        <v>66.33</v>
      </c>
      <c r="AD98" s="450">
        <v>66.349999999999994</v>
      </c>
      <c r="AE98" s="450">
        <v>66.37</v>
      </c>
      <c r="AF98" s="450">
        <v>66.38</v>
      </c>
      <c r="AG98" s="450">
        <v>66.400000000000006</v>
      </c>
      <c r="AH98" s="450">
        <v>66.48</v>
      </c>
      <c r="AI98" s="450">
        <v>66.55</v>
      </c>
      <c r="AJ98" s="450">
        <v>66.61</v>
      </c>
      <c r="AK98" s="450">
        <v>66.650000000000006</v>
      </c>
      <c r="AL98" s="450">
        <v>66.680000000000007</v>
      </c>
      <c r="AM98" s="133"/>
      <c r="AN98" s="134">
        <v>19</v>
      </c>
      <c r="AO98" s="450">
        <v>66.78</v>
      </c>
      <c r="AP98" s="450">
        <v>66.8</v>
      </c>
      <c r="AQ98" s="450">
        <v>66.819999999999993</v>
      </c>
      <c r="AR98" s="450">
        <v>66.84</v>
      </c>
      <c r="AS98" s="450">
        <v>66.86</v>
      </c>
      <c r="AT98" s="450">
        <v>66.88</v>
      </c>
      <c r="AU98" s="450">
        <v>66.900000000000006</v>
      </c>
      <c r="AV98" s="450">
        <v>66.92</v>
      </c>
      <c r="AW98" s="450">
        <v>66.94</v>
      </c>
      <c r="AX98" s="450">
        <v>66.95</v>
      </c>
      <c r="AY98" s="450">
        <v>66.97</v>
      </c>
      <c r="AZ98" s="450">
        <v>66.989999999999995</v>
      </c>
      <c r="BA98" s="450">
        <v>67.069999999999993</v>
      </c>
      <c r="BB98" s="450">
        <v>67.14</v>
      </c>
      <c r="BC98" s="450">
        <v>67.2</v>
      </c>
      <c r="BD98" s="450">
        <v>67.239999999999995</v>
      </c>
      <c r="BE98" s="450">
        <v>67.28</v>
      </c>
    </row>
    <row r="99" spans="2:57" x14ac:dyDescent="0.25">
      <c r="B99" s="134">
        <v>20</v>
      </c>
      <c r="C99" s="450">
        <v>65.900000000000006</v>
      </c>
      <c r="D99" s="450">
        <v>65.92</v>
      </c>
      <c r="E99" s="450">
        <v>65.94</v>
      </c>
      <c r="F99" s="450">
        <v>65.95</v>
      </c>
      <c r="G99" s="450">
        <v>65.97</v>
      </c>
      <c r="H99" s="450">
        <v>65.989999999999995</v>
      </c>
      <c r="I99" s="450">
        <v>66.010000000000005</v>
      </c>
      <c r="J99" s="450">
        <v>66.03</v>
      </c>
      <c r="K99" s="450">
        <v>66.05</v>
      </c>
      <c r="L99" s="450">
        <v>66.069999999999993</v>
      </c>
      <c r="M99" s="450">
        <v>66.09</v>
      </c>
      <c r="N99" s="450">
        <v>66.11</v>
      </c>
      <c r="O99" s="450">
        <v>66.19</v>
      </c>
      <c r="P99" s="450">
        <v>66.260000000000005</v>
      </c>
      <c r="Q99" s="450">
        <v>66.31</v>
      </c>
      <c r="R99" s="450">
        <v>66.36</v>
      </c>
      <c r="S99" s="450">
        <v>66.39</v>
      </c>
      <c r="T99" s="133"/>
      <c r="U99" s="134">
        <v>20</v>
      </c>
      <c r="V99" s="450">
        <v>66.239999999999995</v>
      </c>
      <c r="W99" s="450">
        <v>66.260000000000005</v>
      </c>
      <c r="X99" s="450">
        <v>66.28</v>
      </c>
      <c r="Y99" s="450">
        <v>66.3</v>
      </c>
      <c r="Z99" s="450">
        <v>66.319999999999993</v>
      </c>
      <c r="AA99" s="450">
        <v>66.34</v>
      </c>
      <c r="AB99" s="450">
        <v>66.36</v>
      </c>
      <c r="AC99" s="450">
        <v>66.38</v>
      </c>
      <c r="AD99" s="450">
        <v>66.400000000000006</v>
      </c>
      <c r="AE99" s="450">
        <v>66.42</v>
      </c>
      <c r="AF99" s="450">
        <v>66.430000000000007</v>
      </c>
      <c r="AG99" s="450">
        <v>66.45</v>
      </c>
      <c r="AH99" s="450">
        <v>66.540000000000006</v>
      </c>
      <c r="AI99" s="450">
        <v>66.61</v>
      </c>
      <c r="AJ99" s="450">
        <v>66.66</v>
      </c>
      <c r="AK99" s="450">
        <v>66.709999999999994</v>
      </c>
      <c r="AL99" s="450">
        <v>66.739999999999995</v>
      </c>
      <c r="AM99" s="133"/>
      <c r="AN99" s="134">
        <v>20</v>
      </c>
      <c r="AO99" s="450">
        <v>66.819999999999993</v>
      </c>
      <c r="AP99" s="450">
        <v>66.84</v>
      </c>
      <c r="AQ99" s="450">
        <v>66.86</v>
      </c>
      <c r="AR99" s="450">
        <v>66.89</v>
      </c>
      <c r="AS99" s="450">
        <v>66.91</v>
      </c>
      <c r="AT99" s="450">
        <v>66.930000000000007</v>
      </c>
      <c r="AU99" s="450">
        <v>66.95</v>
      </c>
      <c r="AV99" s="450">
        <v>66.97</v>
      </c>
      <c r="AW99" s="450">
        <v>66.989999999999995</v>
      </c>
      <c r="AX99" s="450">
        <v>67</v>
      </c>
      <c r="AY99" s="450">
        <v>67.02</v>
      </c>
      <c r="AZ99" s="450">
        <v>67.040000000000006</v>
      </c>
      <c r="BA99" s="450">
        <v>67.13</v>
      </c>
      <c r="BB99" s="450">
        <v>67.2</v>
      </c>
      <c r="BC99" s="450">
        <v>67.260000000000005</v>
      </c>
      <c r="BD99" s="450">
        <v>67.3</v>
      </c>
      <c r="BE99" s="450">
        <v>67.34</v>
      </c>
    </row>
    <row r="100" spans="2:57" x14ac:dyDescent="0.25">
      <c r="B100" s="134">
        <v>21</v>
      </c>
      <c r="C100" s="450">
        <v>65.94</v>
      </c>
      <c r="D100" s="450">
        <v>65.959999999999994</v>
      </c>
      <c r="E100" s="450">
        <v>65.98</v>
      </c>
      <c r="F100" s="450">
        <v>66</v>
      </c>
      <c r="G100" s="450">
        <v>66.02</v>
      </c>
      <c r="H100" s="450">
        <v>66.040000000000006</v>
      </c>
      <c r="I100" s="450">
        <v>66.06</v>
      </c>
      <c r="J100" s="450">
        <v>66.08</v>
      </c>
      <c r="K100" s="450">
        <v>66.099999999999994</v>
      </c>
      <c r="L100" s="450">
        <v>66.12</v>
      </c>
      <c r="M100" s="450">
        <v>66.14</v>
      </c>
      <c r="N100" s="450">
        <v>66.16</v>
      </c>
      <c r="O100" s="450">
        <v>66.239999999999995</v>
      </c>
      <c r="P100" s="450">
        <v>66.31</v>
      </c>
      <c r="Q100" s="450">
        <v>66.37</v>
      </c>
      <c r="R100" s="450">
        <v>66.42</v>
      </c>
      <c r="S100" s="450">
        <v>66.45</v>
      </c>
      <c r="T100" s="133"/>
      <c r="U100" s="134">
        <v>21</v>
      </c>
      <c r="V100" s="450">
        <v>66.28</v>
      </c>
      <c r="W100" s="450">
        <v>66.3</v>
      </c>
      <c r="X100" s="450">
        <v>66.319999999999993</v>
      </c>
      <c r="Y100" s="450">
        <v>66.349999999999994</v>
      </c>
      <c r="Z100" s="450">
        <v>66.37</v>
      </c>
      <c r="AA100" s="450">
        <v>66.39</v>
      </c>
      <c r="AB100" s="450">
        <v>66.41</v>
      </c>
      <c r="AC100" s="450">
        <v>66.430000000000007</v>
      </c>
      <c r="AD100" s="450">
        <v>66.45</v>
      </c>
      <c r="AE100" s="450">
        <v>66.47</v>
      </c>
      <c r="AF100" s="450">
        <v>66.489999999999995</v>
      </c>
      <c r="AG100" s="450">
        <v>66.5</v>
      </c>
      <c r="AH100" s="450">
        <v>66.59</v>
      </c>
      <c r="AI100" s="450">
        <v>66.66</v>
      </c>
      <c r="AJ100" s="450">
        <v>66.72</v>
      </c>
      <c r="AK100" s="450">
        <v>66.77</v>
      </c>
      <c r="AL100" s="450">
        <v>66.8</v>
      </c>
      <c r="AM100" s="133"/>
      <c r="AN100" s="134">
        <v>21</v>
      </c>
      <c r="AO100" s="450">
        <v>66.87</v>
      </c>
      <c r="AP100" s="450">
        <v>66.89</v>
      </c>
      <c r="AQ100" s="450">
        <v>66.91</v>
      </c>
      <c r="AR100" s="450">
        <v>66.930000000000007</v>
      </c>
      <c r="AS100" s="450">
        <v>66.95</v>
      </c>
      <c r="AT100" s="450">
        <v>66.98</v>
      </c>
      <c r="AU100" s="450">
        <v>67</v>
      </c>
      <c r="AV100" s="450">
        <v>67.02</v>
      </c>
      <c r="AW100" s="450">
        <v>67.040000000000006</v>
      </c>
      <c r="AX100" s="450">
        <v>67.06</v>
      </c>
      <c r="AY100" s="450">
        <v>67.08</v>
      </c>
      <c r="AZ100" s="450">
        <v>67.099999999999994</v>
      </c>
      <c r="BA100" s="450">
        <v>67.19</v>
      </c>
      <c r="BB100" s="450">
        <v>67.260000000000005</v>
      </c>
      <c r="BC100" s="450">
        <v>67.319999999999993</v>
      </c>
      <c r="BD100" s="450">
        <v>67.37</v>
      </c>
      <c r="BE100" s="450">
        <v>67.400000000000006</v>
      </c>
    </row>
    <row r="101" spans="2:57" x14ac:dyDescent="0.25">
      <c r="B101" s="134">
        <v>22</v>
      </c>
      <c r="C101" s="450">
        <v>65.98</v>
      </c>
      <c r="D101" s="450">
        <v>66</v>
      </c>
      <c r="E101" s="450">
        <v>66.03</v>
      </c>
      <c r="F101" s="450">
        <v>66.05</v>
      </c>
      <c r="G101" s="450">
        <v>66.069999999999993</v>
      </c>
      <c r="H101" s="450">
        <v>66.09</v>
      </c>
      <c r="I101" s="450">
        <v>66.11</v>
      </c>
      <c r="J101" s="450">
        <v>66.13</v>
      </c>
      <c r="K101" s="450">
        <v>66.150000000000006</v>
      </c>
      <c r="L101" s="450">
        <v>66.17</v>
      </c>
      <c r="M101" s="450">
        <v>66.19</v>
      </c>
      <c r="N101" s="450">
        <v>66.209999999999994</v>
      </c>
      <c r="O101" s="450">
        <v>66.3</v>
      </c>
      <c r="P101" s="450">
        <v>66.37</v>
      </c>
      <c r="Q101" s="450">
        <v>66.430000000000007</v>
      </c>
      <c r="R101" s="450">
        <v>66.48</v>
      </c>
      <c r="S101" s="450">
        <v>66.510000000000005</v>
      </c>
      <c r="T101" s="133"/>
      <c r="U101" s="134">
        <v>22</v>
      </c>
      <c r="V101" s="450">
        <v>66.33</v>
      </c>
      <c r="W101" s="450">
        <v>66.349999999999994</v>
      </c>
      <c r="X101" s="450">
        <v>66.37</v>
      </c>
      <c r="Y101" s="450">
        <v>66.39</v>
      </c>
      <c r="Z101" s="450">
        <v>66.42</v>
      </c>
      <c r="AA101" s="450">
        <v>66.44</v>
      </c>
      <c r="AB101" s="450">
        <v>66.459999999999994</v>
      </c>
      <c r="AC101" s="450">
        <v>66.48</v>
      </c>
      <c r="AD101" s="450">
        <v>66.5</v>
      </c>
      <c r="AE101" s="450">
        <v>66.52</v>
      </c>
      <c r="AF101" s="450">
        <v>66.540000000000006</v>
      </c>
      <c r="AG101" s="450">
        <v>66.56</v>
      </c>
      <c r="AH101" s="450">
        <v>66.650000000000006</v>
      </c>
      <c r="AI101" s="450">
        <v>66.73</v>
      </c>
      <c r="AJ101" s="450">
        <v>66.790000000000006</v>
      </c>
      <c r="AK101" s="450">
        <v>66.83</v>
      </c>
      <c r="AL101" s="450">
        <v>66.86</v>
      </c>
      <c r="AM101" s="133"/>
      <c r="AN101" s="134">
        <v>22</v>
      </c>
      <c r="AO101" s="450">
        <v>66.91</v>
      </c>
      <c r="AP101" s="450">
        <v>66.94</v>
      </c>
      <c r="AQ101" s="450">
        <v>66.959999999999994</v>
      </c>
      <c r="AR101" s="450">
        <v>66.98</v>
      </c>
      <c r="AS101" s="450">
        <v>67</v>
      </c>
      <c r="AT101" s="450">
        <v>67.03</v>
      </c>
      <c r="AU101" s="450">
        <v>67.05</v>
      </c>
      <c r="AV101" s="450">
        <v>67.069999999999993</v>
      </c>
      <c r="AW101" s="450">
        <v>67.09</v>
      </c>
      <c r="AX101" s="450">
        <v>67.11</v>
      </c>
      <c r="AY101" s="450">
        <v>67.13</v>
      </c>
      <c r="AZ101" s="450">
        <v>67.150000000000006</v>
      </c>
      <c r="BA101" s="450">
        <v>67.25</v>
      </c>
      <c r="BB101" s="450">
        <v>67.319999999999993</v>
      </c>
      <c r="BC101" s="450">
        <v>67.39</v>
      </c>
      <c r="BD101" s="450">
        <v>67.430000000000007</v>
      </c>
      <c r="BE101" s="450">
        <v>67.47</v>
      </c>
    </row>
    <row r="102" spans="2:57" x14ac:dyDescent="0.25">
      <c r="B102" s="134">
        <v>23</v>
      </c>
      <c r="C102" s="450">
        <v>66.03</v>
      </c>
      <c r="D102" s="450">
        <v>66.05</v>
      </c>
      <c r="E102" s="450">
        <v>66.069999999999993</v>
      </c>
      <c r="F102" s="450">
        <v>66.099999999999994</v>
      </c>
      <c r="G102" s="450">
        <v>66.12</v>
      </c>
      <c r="H102" s="450">
        <v>66.14</v>
      </c>
      <c r="I102" s="450">
        <v>66.16</v>
      </c>
      <c r="J102" s="450">
        <v>66.19</v>
      </c>
      <c r="K102" s="450">
        <v>66.209999999999994</v>
      </c>
      <c r="L102" s="450">
        <v>66.23</v>
      </c>
      <c r="M102" s="450">
        <v>66.25</v>
      </c>
      <c r="N102" s="450">
        <v>66.27</v>
      </c>
      <c r="O102" s="450">
        <v>66.36</v>
      </c>
      <c r="P102" s="450">
        <v>66.44</v>
      </c>
      <c r="Q102" s="450">
        <v>66.5</v>
      </c>
      <c r="R102" s="450">
        <v>66.540000000000006</v>
      </c>
      <c r="S102" s="450">
        <v>66.58</v>
      </c>
      <c r="T102" s="133"/>
      <c r="U102" s="134">
        <v>23</v>
      </c>
      <c r="V102" s="450">
        <v>66.37</v>
      </c>
      <c r="W102" s="450">
        <v>66.400000000000006</v>
      </c>
      <c r="X102" s="450">
        <v>66.42</v>
      </c>
      <c r="Y102" s="450">
        <v>66.44</v>
      </c>
      <c r="Z102" s="450">
        <v>66.47</v>
      </c>
      <c r="AA102" s="450">
        <v>66.489999999999995</v>
      </c>
      <c r="AB102" s="450">
        <v>66.510000000000005</v>
      </c>
      <c r="AC102" s="450">
        <v>66.53</v>
      </c>
      <c r="AD102" s="450">
        <v>66.56</v>
      </c>
      <c r="AE102" s="450">
        <v>66.58</v>
      </c>
      <c r="AF102" s="450">
        <v>66.599999999999994</v>
      </c>
      <c r="AG102" s="450">
        <v>66.62</v>
      </c>
      <c r="AH102" s="450">
        <v>66.709999999999994</v>
      </c>
      <c r="AI102" s="450">
        <v>66.790000000000006</v>
      </c>
      <c r="AJ102" s="450">
        <v>66.849999999999994</v>
      </c>
      <c r="AK102" s="450">
        <v>66.900000000000006</v>
      </c>
      <c r="AL102" s="450">
        <v>66.930000000000007</v>
      </c>
      <c r="AM102" s="133"/>
      <c r="AN102" s="134">
        <v>23</v>
      </c>
      <c r="AO102" s="450">
        <v>66.959999999999994</v>
      </c>
      <c r="AP102" s="450">
        <v>66.989999999999995</v>
      </c>
      <c r="AQ102" s="450">
        <v>67.010000000000005</v>
      </c>
      <c r="AR102" s="450">
        <v>67.03</v>
      </c>
      <c r="AS102" s="450">
        <v>67.06</v>
      </c>
      <c r="AT102" s="450">
        <v>67.08</v>
      </c>
      <c r="AU102" s="450">
        <v>67.099999999999994</v>
      </c>
      <c r="AV102" s="450">
        <v>67.13</v>
      </c>
      <c r="AW102" s="450">
        <v>67.150000000000006</v>
      </c>
      <c r="AX102" s="450">
        <v>67.17</v>
      </c>
      <c r="AY102" s="450">
        <v>67.19</v>
      </c>
      <c r="AZ102" s="450">
        <v>67.209999999999994</v>
      </c>
      <c r="BA102" s="450">
        <v>67.31</v>
      </c>
      <c r="BB102" s="450">
        <v>67.39</v>
      </c>
      <c r="BC102" s="450">
        <v>67.45</v>
      </c>
      <c r="BD102" s="450">
        <v>67.5</v>
      </c>
      <c r="BE102" s="450">
        <v>67.53</v>
      </c>
    </row>
    <row r="103" spans="2:57" x14ac:dyDescent="0.25">
      <c r="B103" s="134">
        <v>24</v>
      </c>
      <c r="C103" s="450">
        <v>66.08</v>
      </c>
      <c r="D103" s="450">
        <v>66.099999999999994</v>
      </c>
      <c r="E103" s="450">
        <v>66.12</v>
      </c>
      <c r="F103" s="450">
        <v>66.150000000000006</v>
      </c>
      <c r="G103" s="450">
        <v>66.17</v>
      </c>
      <c r="H103" s="450">
        <v>66.2</v>
      </c>
      <c r="I103" s="450">
        <v>66.22</v>
      </c>
      <c r="J103" s="450">
        <v>66.239999999999995</v>
      </c>
      <c r="K103" s="450">
        <v>66.260000000000005</v>
      </c>
      <c r="L103" s="450">
        <v>66.28</v>
      </c>
      <c r="M103" s="450">
        <v>66.31</v>
      </c>
      <c r="N103" s="450">
        <v>66.33</v>
      </c>
      <c r="O103" s="450">
        <v>66.42</v>
      </c>
      <c r="P103" s="450">
        <v>66.5</v>
      </c>
      <c r="Q103" s="450">
        <v>66.569999999999993</v>
      </c>
      <c r="R103" s="450">
        <v>66.61</v>
      </c>
      <c r="S103" s="450">
        <v>66.64</v>
      </c>
      <c r="T103" s="133"/>
      <c r="U103" s="134">
        <v>24</v>
      </c>
      <c r="V103" s="450">
        <v>66.42</v>
      </c>
      <c r="W103" s="450">
        <v>66.45</v>
      </c>
      <c r="X103" s="450">
        <v>66.47</v>
      </c>
      <c r="Y103" s="450">
        <v>66.5</v>
      </c>
      <c r="Z103" s="450">
        <v>66.52</v>
      </c>
      <c r="AA103" s="450">
        <v>66.540000000000006</v>
      </c>
      <c r="AB103" s="450">
        <v>66.569999999999993</v>
      </c>
      <c r="AC103" s="450">
        <v>66.59</v>
      </c>
      <c r="AD103" s="450">
        <v>66.61</v>
      </c>
      <c r="AE103" s="450">
        <v>66.63</v>
      </c>
      <c r="AF103" s="450">
        <v>66.66</v>
      </c>
      <c r="AG103" s="450">
        <v>66.680000000000007</v>
      </c>
      <c r="AH103" s="450">
        <v>66.78</v>
      </c>
      <c r="AI103" s="450">
        <v>66.86</v>
      </c>
      <c r="AJ103" s="450">
        <v>66.92</v>
      </c>
      <c r="AK103" s="450">
        <v>66.97</v>
      </c>
      <c r="AL103" s="450">
        <v>67</v>
      </c>
      <c r="AM103" s="133"/>
      <c r="AN103" s="134">
        <v>24</v>
      </c>
      <c r="AO103" s="450">
        <v>67.010000000000005</v>
      </c>
      <c r="AP103" s="450">
        <v>67.040000000000006</v>
      </c>
      <c r="AQ103" s="450">
        <v>67.06</v>
      </c>
      <c r="AR103" s="450">
        <v>67.09</v>
      </c>
      <c r="AS103" s="450">
        <v>67.11</v>
      </c>
      <c r="AT103" s="450">
        <v>67.14</v>
      </c>
      <c r="AU103" s="450">
        <v>67.16</v>
      </c>
      <c r="AV103" s="450">
        <v>67.180000000000007</v>
      </c>
      <c r="AW103" s="450">
        <v>67.209999999999994</v>
      </c>
      <c r="AX103" s="450">
        <v>67.23</v>
      </c>
      <c r="AY103" s="450">
        <v>67.25</v>
      </c>
      <c r="AZ103" s="450">
        <v>67.27</v>
      </c>
      <c r="BA103" s="450">
        <v>67.37</v>
      </c>
      <c r="BB103" s="450">
        <v>67.459999999999994</v>
      </c>
      <c r="BC103" s="450">
        <v>67.52</v>
      </c>
      <c r="BD103" s="450">
        <v>67.569999999999993</v>
      </c>
      <c r="BE103" s="450">
        <v>67.61</v>
      </c>
    </row>
    <row r="104" spans="2:57" x14ac:dyDescent="0.25">
      <c r="B104" s="134">
        <v>25</v>
      </c>
      <c r="C104" s="450">
        <v>66.13</v>
      </c>
      <c r="D104" s="450">
        <v>66.150000000000006</v>
      </c>
      <c r="E104" s="450">
        <v>66.180000000000007</v>
      </c>
      <c r="F104" s="450">
        <v>66.2</v>
      </c>
      <c r="G104" s="450">
        <v>66.23</v>
      </c>
      <c r="H104" s="450">
        <v>66.25</v>
      </c>
      <c r="I104" s="450">
        <v>66.28</v>
      </c>
      <c r="J104" s="450">
        <v>66.3</v>
      </c>
      <c r="K104" s="450">
        <v>66.319999999999993</v>
      </c>
      <c r="L104" s="450">
        <v>66.34</v>
      </c>
      <c r="M104" s="450">
        <v>66.37</v>
      </c>
      <c r="N104" s="450">
        <v>66.39</v>
      </c>
      <c r="O104" s="450">
        <v>66.489999999999995</v>
      </c>
      <c r="P104" s="450">
        <v>66.569999999999993</v>
      </c>
      <c r="Q104" s="450">
        <v>66.64</v>
      </c>
      <c r="R104" s="450">
        <v>66.680000000000007</v>
      </c>
      <c r="S104" s="450">
        <v>66.709999999999994</v>
      </c>
      <c r="T104" s="133"/>
      <c r="U104" s="134">
        <v>25</v>
      </c>
      <c r="V104" s="450">
        <v>66.47</v>
      </c>
      <c r="W104" s="450">
        <v>66.5</v>
      </c>
      <c r="X104" s="450">
        <v>66.53</v>
      </c>
      <c r="Y104" s="450">
        <v>66.55</v>
      </c>
      <c r="Z104" s="450">
        <v>66.58</v>
      </c>
      <c r="AA104" s="450">
        <v>66.599999999999994</v>
      </c>
      <c r="AB104" s="450">
        <v>66.62</v>
      </c>
      <c r="AC104" s="450">
        <v>66.650000000000006</v>
      </c>
      <c r="AD104" s="450">
        <v>66.67</v>
      </c>
      <c r="AE104" s="450">
        <v>66.7</v>
      </c>
      <c r="AF104" s="450">
        <v>66.72</v>
      </c>
      <c r="AG104" s="450">
        <v>66.739999999999995</v>
      </c>
      <c r="AH104" s="450">
        <v>66.84</v>
      </c>
      <c r="AI104" s="450">
        <v>66.930000000000007</v>
      </c>
      <c r="AJ104" s="450">
        <v>66.989999999999995</v>
      </c>
      <c r="AK104" s="450">
        <v>67.040000000000006</v>
      </c>
      <c r="AL104" s="450">
        <v>67.069999999999993</v>
      </c>
      <c r="AM104" s="133"/>
      <c r="AN104" s="134">
        <v>25</v>
      </c>
      <c r="AO104" s="450">
        <v>67.06</v>
      </c>
      <c r="AP104" s="450">
        <v>67.09</v>
      </c>
      <c r="AQ104" s="450">
        <v>67.12</v>
      </c>
      <c r="AR104" s="450">
        <v>67.14</v>
      </c>
      <c r="AS104" s="450">
        <v>67.17</v>
      </c>
      <c r="AT104" s="450">
        <v>67.19</v>
      </c>
      <c r="AU104" s="450">
        <v>67.22</v>
      </c>
      <c r="AV104" s="450">
        <v>67.239999999999995</v>
      </c>
      <c r="AW104" s="450">
        <v>67.27</v>
      </c>
      <c r="AX104" s="450">
        <v>67.290000000000006</v>
      </c>
      <c r="AY104" s="450">
        <v>67.319999999999993</v>
      </c>
      <c r="AZ104" s="450">
        <v>67.34</v>
      </c>
      <c r="BA104" s="450">
        <v>67.44</v>
      </c>
      <c r="BB104" s="450">
        <v>67.53</v>
      </c>
      <c r="BC104" s="450">
        <v>67.599999999999994</v>
      </c>
      <c r="BD104" s="450">
        <v>67.650000000000006</v>
      </c>
      <c r="BE104" s="450">
        <v>67.680000000000007</v>
      </c>
    </row>
    <row r="105" spans="2:57" x14ac:dyDescent="0.25">
      <c r="B105" s="134">
        <v>26</v>
      </c>
      <c r="C105" s="450">
        <v>66.180000000000007</v>
      </c>
      <c r="D105" s="450">
        <v>66.209999999999994</v>
      </c>
      <c r="E105" s="450">
        <v>66.23</v>
      </c>
      <c r="F105" s="450">
        <v>66.260000000000005</v>
      </c>
      <c r="G105" s="450">
        <v>66.28</v>
      </c>
      <c r="H105" s="450">
        <v>66.31</v>
      </c>
      <c r="I105" s="450">
        <v>66.33</v>
      </c>
      <c r="J105" s="450">
        <v>66.36</v>
      </c>
      <c r="K105" s="450">
        <v>66.38</v>
      </c>
      <c r="L105" s="450">
        <v>66.41</v>
      </c>
      <c r="M105" s="450">
        <v>66.430000000000007</v>
      </c>
      <c r="N105" s="450">
        <v>66.45</v>
      </c>
      <c r="O105" s="450">
        <v>66.56</v>
      </c>
      <c r="P105" s="450">
        <v>66.64</v>
      </c>
      <c r="Q105" s="450">
        <v>66.709999999999994</v>
      </c>
      <c r="R105" s="450">
        <v>66.75</v>
      </c>
      <c r="S105" s="450">
        <v>66.790000000000006</v>
      </c>
      <c r="T105" s="133"/>
      <c r="U105" s="134">
        <v>26</v>
      </c>
      <c r="V105" s="450">
        <v>66.53</v>
      </c>
      <c r="W105" s="450">
        <v>66.55</v>
      </c>
      <c r="X105" s="450">
        <v>66.58</v>
      </c>
      <c r="Y105" s="450">
        <v>66.61</v>
      </c>
      <c r="Z105" s="450">
        <v>66.63</v>
      </c>
      <c r="AA105" s="450">
        <v>66.66</v>
      </c>
      <c r="AB105" s="450">
        <v>66.69</v>
      </c>
      <c r="AC105" s="450">
        <v>66.709999999999994</v>
      </c>
      <c r="AD105" s="450">
        <v>66.739999999999995</v>
      </c>
      <c r="AE105" s="450">
        <v>66.760000000000005</v>
      </c>
      <c r="AF105" s="450">
        <v>66.78</v>
      </c>
      <c r="AG105" s="450">
        <v>66.81</v>
      </c>
      <c r="AH105" s="450">
        <v>66.91</v>
      </c>
      <c r="AI105" s="450">
        <v>67</v>
      </c>
      <c r="AJ105" s="450">
        <v>67.06</v>
      </c>
      <c r="AK105" s="450">
        <v>67.11</v>
      </c>
      <c r="AL105" s="450">
        <v>67.14</v>
      </c>
      <c r="AM105" s="133"/>
      <c r="AN105" s="134">
        <v>26</v>
      </c>
      <c r="AO105" s="450">
        <v>67.12</v>
      </c>
      <c r="AP105" s="450">
        <v>67.150000000000006</v>
      </c>
      <c r="AQ105" s="450">
        <v>67.17</v>
      </c>
      <c r="AR105" s="450">
        <v>67.2</v>
      </c>
      <c r="AS105" s="450">
        <v>67.23</v>
      </c>
      <c r="AT105" s="450">
        <v>67.260000000000005</v>
      </c>
      <c r="AU105" s="450">
        <v>67.28</v>
      </c>
      <c r="AV105" s="450">
        <v>67.31</v>
      </c>
      <c r="AW105" s="450">
        <v>67.33</v>
      </c>
      <c r="AX105" s="450">
        <v>67.36</v>
      </c>
      <c r="AY105" s="450">
        <v>67.38</v>
      </c>
      <c r="AZ105" s="450">
        <v>67.41</v>
      </c>
      <c r="BA105" s="450">
        <v>67.510000000000005</v>
      </c>
      <c r="BB105" s="450">
        <v>67.599999999999994</v>
      </c>
      <c r="BC105" s="450">
        <v>67.67</v>
      </c>
      <c r="BD105" s="450">
        <v>67.72</v>
      </c>
      <c r="BE105" s="450">
        <v>67.75</v>
      </c>
    </row>
    <row r="106" spans="2:57" x14ac:dyDescent="0.25">
      <c r="B106" s="134">
        <v>27</v>
      </c>
      <c r="C106" s="450">
        <v>66.239999999999995</v>
      </c>
      <c r="D106" s="450">
        <v>66.260000000000005</v>
      </c>
      <c r="E106" s="450">
        <v>66.290000000000006</v>
      </c>
      <c r="F106" s="450">
        <v>66.319999999999993</v>
      </c>
      <c r="G106" s="450">
        <v>66.34</v>
      </c>
      <c r="H106" s="450">
        <v>66.37</v>
      </c>
      <c r="I106" s="450">
        <v>66.400000000000006</v>
      </c>
      <c r="J106" s="450">
        <v>66.42</v>
      </c>
      <c r="K106" s="450">
        <v>66.45</v>
      </c>
      <c r="L106" s="450">
        <v>66.47</v>
      </c>
      <c r="M106" s="450">
        <v>66.5</v>
      </c>
      <c r="N106" s="450">
        <v>66.52</v>
      </c>
      <c r="O106" s="450">
        <v>66.63</v>
      </c>
      <c r="P106" s="450">
        <v>66.72</v>
      </c>
      <c r="Q106" s="450">
        <v>66.78</v>
      </c>
      <c r="R106" s="450">
        <v>66.83</v>
      </c>
      <c r="S106" s="450">
        <v>66.86</v>
      </c>
      <c r="T106" s="133"/>
      <c r="U106" s="134">
        <v>27</v>
      </c>
      <c r="V106" s="450">
        <v>66.58</v>
      </c>
      <c r="W106" s="450">
        <v>66.61</v>
      </c>
      <c r="X106" s="450">
        <v>66.64</v>
      </c>
      <c r="Y106" s="450">
        <v>66.67</v>
      </c>
      <c r="Z106" s="450">
        <v>66.7</v>
      </c>
      <c r="AA106" s="450">
        <v>66.72</v>
      </c>
      <c r="AB106" s="450">
        <v>66.75</v>
      </c>
      <c r="AC106" s="450">
        <v>66.77</v>
      </c>
      <c r="AD106" s="450">
        <v>66.8</v>
      </c>
      <c r="AE106" s="450">
        <v>66.83</v>
      </c>
      <c r="AF106" s="450">
        <v>66.849999999999994</v>
      </c>
      <c r="AG106" s="450">
        <v>66.87</v>
      </c>
      <c r="AH106" s="450">
        <v>66.98</v>
      </c>
      <c r="AI106" s="450">
        <v>67.069999999999993</v>
      </c>
      <c r="AJ106" s="450">
        <v>67.14</v>
      </c>
      <c r="AK106" s="450">
        <v>67.19</v>
      </c>
      <c r="AL106" s="450">
        <v>67.22</v>
      </c>
      <c r="AM106" s="133"/>
      <c r="AN106" s="134">
        <v>27</v>
      </c>
      <c r="AO106" s="450">
        <v>67.180000000000007</v>
      </c>
      <c r="AP106" s="450">
        <v>67.209999999999994</v>
      </c>
      <c r="AQ106" s="450">
        <v>67.239999999999995</v>
      </c>
      <c r="AR106" s="450">
        <v>67.260000000000005</v>
      </c>
      <c r="AS106" s="450">
        <v>67.290000000000006</v>
      </c>
      <c r="AT106" s="450">
        <v>67.319999999999993</v>
      </c>
      <c r="AU106" s="450">
        <v>67.349999999999994</v>
      </c>
      <c r="AV106" s="450">
        <v>67.37</v>
      </c>
      <c r="AW106" s="450">
        <v>67.400000000000006</v>
      </c>
      <c r="AX106" s="450">
        <v>67.430000000000007</v>
      </c>
      <c r="AY106" s="450">
        <v>67.45</v>
      </c>
      <c r="AZ106" s="450">
        <v>67.48</v>
      </c>
      <c r="BA106" s="450">
        <v>67.59</v>
      </c>
      <c r="BB106" s="450">
        <v>67.680000000000007</v>
      </c>
      <c r="BC106" s="450">
        <v>67.75</v>
      </c>
      <c r="BD106" s="450">
        <v>67.8</v>
      </c>
      <c r="BE106" s="450">
        <v>67.83</v>
      </c>
    </row>
    <row r="107" spans="2:57" x14ac:dyDescent="0.25">
      <c r="B107" s="134">
        <v>28</v>
      </c>
      <c r="C107" s="450">
        <v>66.290000000000006</v>
      </c>
      <c r="D107" s="450">
        <v>66.319999999999993</v>
      </c>
      <c r="E107" s="450">
        <v>66.349999999999994</v>
      </c>
      <c r="F107" s="450">
        <v>66.38</v>
      </c>
      <c r="G107" s="450">
        <v>66.41</v>
      </c>
      <c r="H107" s="450">
        <v>66.44</v>
      </c>
      <c r="I107" s="450">
        <v>66.459999999999994</v>
      </c>
      <c r="J107" s="450">
        <v>66.489999999999995</v>
      </c>
      <c r="K107" s="450">
        <v>66.52</v>
      </c>
      <c r="L107" s="450">
        <v>66.540000000000006</v>
      </c>
      <c r="M107" s="450">
        <v>66.569999999999993</v>
      </c>
      <c r="N107" s="450">
        <v>66.59</v>
      </c>
      <c r="O107" s="450">
        <v>66.7</v>
      </c>
      <c r="P107" s="450">
        <v>66.790000000000006</v>
      </c>
      <c r="Q107" s="450">
        <v>66.86</v>
      </c>
      <c r="R107" s="450">
        <v>66.91</v>
      </c>
      <c r="S107" s="450">
        <v>66.94</v>
      </c>
      <c r="T107" s="133"/>
      <c r="U107" s="134">
        <v>28</v>
      </c>
      <c r="V107" s="450">
        <v>66.64</v>
      </c>
      <c r="W107" s="450">
        <v>66.67</v>
      </c>
      <c r="X107" s="450">
        <v>66.7</v>
      </c>
      <c r="Y107" s="450">
        <v>66.73</v>
      </c>
      <c r="Z107" s="450">
        <v>66.760000000000005</v>
      </c>
      <c r="AA107" s="450">
        <v>66.790000000000006</v>
      </c>
      <c r="AB107" s="450">
        <v>66.81</v>
      </c>
      <c r="AC107" s="450">
        <v>66.84</v>
      </c>
      <c r="AD107" s="450">
        <v>66.87</v>
      </c>
      <c r="AE107" s="450">
        <v>66.900000000000006</v>
      </c>
      <c r="AF107" s="450">
        <v>66.92</v>
      </c>
      <c r="AG107" s="450">
        <v>66.95</v>
      </c>
      <c r="AH107" s="450">
        <v>67.06</v>
      </c>
      <c r="AI107" s="450">
        <v>67.150000000000006</v>
      </c>
      <c r="AJ107" s="450">
        <v>67.22</v>
      </c>
      <c r="AK107" s="450">
        <v>67.27</v>
      </c>
      <c r="AL107" s="450">
        <v>67.3</v>
      </c>
      <c r="AM107" s="133"/>
      <c r="AN107" s="134">
        <v>28</v>
      </c>
      <c r="AO107" s="450">
        <v>67.239999999999995</v>
      </c>
      <c r="AP107" s="450">
        <v>67.27</v>
      </c>
      <c r="AQ107" s="450">
        <v>67.3</v>
      </c>
      <c r="AR107" s="450">
        <v>67.33</v>
      </c>
      <c r="AS107" s="450">
        <v>67.36</v>
      </c>
      <c r="AT107" s="450">
        <v>67.39</v>
      </c>
      <c r="AU107" s="450">
        <v>67.41</v>
      </c>
      <c r="AV107" s="450">
        <v>67.44</v>
      </c>
      <c r="AW107" s="450">
        <v>67.47</v>
      </c>
      <c r="AX107" s="450">
        <v>67.5</v>
      </c>
      <c r="AY107" s="450">
        <v>67.52</v>
      </c>
      <c r="AZ107" s="450">
        <v>67.55</v>
      </c>
      <c r="BA107" s="450">
        <v>67.67</v>
      </c>
      <c r="BB107" s="450">
        <v>67.760000000000005</v>
      </c>
      <c r="BC107" s="450">
        <v>67.83</v>
      </c>
      <c r="BD107" s="450">
        <v>67.88</v>
      </c>
      <c r="BE107" s="450">
        <v>67.92</v>
      </c>
    </row>
    <row r="108" spans="2:57" x14ac:dyDescent="0.25">
      <c r="B108" s="134">
        <v>29</v>
      </c>
      <c r="C108" s="450">
        <v>66.349999999999994</v>
      </c>
      <c r="D108" s="450">
        <v>66.38</v>
      </c>
      <c r="E108" s="450">
        <v>66.41</v>
      </c>
      <c r="F108" s="450">
        <v>66.44</v>
      </c>
      <c r="G108" s="450">
        <v>66.47</v>
      </c>
      <c r="H108" s="450">
        <v>66.5</v>
      </c>
      <c r="I108" s="450">
        <v>66.53</v>
      </c>
      <c r="J108" s="450">
        <v>66.56</v>
      </c>
      <c r="K108" s="450">
        <v>66.59</v>
      </c>
      <c r="L108" s="450">
        <v>66.61</v>
      </c>
      <c r="M108" s="450">
        <v>66.64</v>
      </c>
      <c r="N108" s="450">
        <v>66.66</v>
      </c>
      <c r="O108" s="450">
        <v>66.78</v>
      </c>
      <c r="P108" s="450">
        <v>66.87</v>
      </c>
      <c r="Q108" s="450">
        <v>66.94</v>
      </c>
      <c r="R108" s="450">
        <v>66.989999999999995</v>
      </c>
      <c r="S108" s="450">
        <v>67.02</v>
      </c>
      <c r="T108" s="133"/>
      <c r="U108" s="134">
        <v>29</v>
      </c>
      <c r="V108" s="450">
        <v>66.7</v>
      </c>
      <c r="W108" s="450">
        <v>66.739999999999995</v>
      </c>
      <c r="X108" s="450">
        <v>66.77</v>
      </c>
      <c r="Y108" s="450">
        <v>66.8</v>
      </c>
      <c r="Z108" s="450">
        <v>66.83</v>
      </c>
      <c r="AA108" s="450">
        <v>66.849999999999994</v>
      </c>
      <c r="AB108" s="450">
        <v>66.88</v>
      </c>
      <c r="AC108" s="450">
        <v>66.91</v>
      </c>
      <c r="AD108" s="450">
        <v>66.94</v>
      </c>
      <c r="AE108" s="450">
        <v>66.97</v>
      </c>
      <c r="AF108" s="450">
        <v>66.989999999999995</v>
      </c>
      <c r="AG108" s="450">
        <v>67.02</v>
      </c>
      <c r="AH108" s="450">
        <v>67.14</v>
      </c>
      <c r="AI108" s="450">
        <v>67.23</v>
      </c>
      <c r="AJ108" s="450">
        <v>67.3</v>
      </c>
      <c r="AK108" s="450">
        <v>67.349999999999994</v>
      </c>
      <c r="AL108" s="450">
        <v>67.38</v>
      </c>
      <c r="AM108" s="133"/>
      <c r="AN108" s="134">
        <v>29</v>
      </c>
      <c r="AO108" s="450">
        <v>67.3</v>
      </c>
      <c r="AP108" s="450">
        <v>67.33</v>
      </c>
      <c r="AQ108" s="450">
        <v>67.36</v>
      </c>
      <c r="AR108" s="450">
        <v>67.400000000000006</v>
      </c>
      <c r="AS108" s="450">
        <v>67.430000000000007</v>
      </c>
      <c r="AT108" s="450">
        <v>67.459999999999994</v>
      </c>
      <c r="AU108" s="450">
        <v>67.489999999999995</v>
      </c>
      <c r="AV108" s="450">
        <v>67.52</v>
      </c>
      <c r="AW108" s="450">
        <v>67.540000000000006</v>
      </c>
      <c r="AX108" s="450">
        <v>67.569999999999993</v>
      </c>
      <c r="AY108" s="450">
        <v>67.599999999999994</v>
      </c>
      <c r="AZ108" s="450">
        <v>67.63</v>
      </c>
      <c r="BA108" s="450">
        <v>67.75</v>
      </c>
      <c r="BB108" s="450">
        <v>67.84</v>
      </c>
      <c r="BC108" s="450">
        <v>67.91</v>
      </c>
      <c r="BD108" s="450">
        <v>67.97</v>
      </c>
      <c r="BE108" s="450">
        <v>68</v>
      </c>
    </row>
    <row r="109" spans="2:57" x14ac:dyDescent="0.25">
      <c r="B109" s="134">
        <v>30</v>
      </c>
      <c r="C109" s="450">
        <v>66.42</v>
      </c>
      <c r="D109" s="450">
        <v>66.45</v>
      </c>
      <c r="E109" s="450">
        <v>66.48</v>
      </c>
      <c r="F109" s="450">
        <v>66.510000000000005</v>
      </c>
      <c r="G109" s="450">
        <v>66.540000000000006</v>
      </c>
      <c r="H109" s="450">
        <v>66.569999999999993</v>
      </c>
      <c r="I109" s="450">
        <v>66.599999999999994</v>
      </c>
      <c r="J109" s="450">
        <v>66.63</v>
      </c>
      <c r="K109" s="450">
        <v>66.66</v>
      </c>
      <c r="L109" s="450">
        <v>66.69</v>
      </c>
      <c r="M109" s="450">
        <v>66.709999999999994</v>
      </c>
      <c r="N109" s="450">
        <v>66.739999999999995</v>
      </c>
      <c r="O109" s="450">
        <v>66.86</v>
      </c>
      <c r="P109" s="450">
        <v>66.95</v>
      </c>
      <c r="Q109" s="450">
        <v>67.02</v>
      </c>
      <c r="R109" s="450">
        <v>67.069999999999993</v>
      </c>
      <c r="S109" s="450">
        <v>67.099999999999994</v>
      </c>
      <c r="T109" s="133"/>
      <c r="U109" s="134">
        <v>30</v>
      </c>
      <c r="V109" s="450">
        <v>66.77</v>
      </c>
      <c r="W109" s="450">
        <v>66.8</v>
      </c>
      <c r="X109" s="450">
        <v>66.83</v>
      </c>
      <c r="Y109" s="450">
        <v>66.86</v>
      </c>
      <c r="Z109" s="450">
        <v>66.900000000000006</v>
      </c>
      <c r="AA109" s="450">
        <v>66.930000000000007</v>
      </c>
      <c r="AB109" s="450">
        <v>66.959999999999994</v>
      </c>
      <c r="AC109" s="450">
        <v>66.989999999999995</v>
      </c>
      <c r="AD109" s="450">
        <v>67.010000000000005</v>
      </c>
      <c r="AE109" s="450">
        <v>67.040000000000006</v>
      </c>
      <c r="AF109" s="450">
        <v>67.069999999999993</v>
      </c>
      <c r="AG109" s="450">
        <v>67.099999999999994</v>
      </c>
      <c r="AH109" s="450">
        <v>67.22</v>
      </c>
      <c r="AI109" s="450">
        <v>67.31</v>
      </c>
      <c r="AJ109" s="450">
        <v>67.38</v>
      </c>
      <c r="AK109" s="450">
        <v>67.430000000000007</v>
      </c>
      <c r="AL109" s="450">
        <v>67.47</v>
      </c>
      <c r="AM109" s="133"/>
      <c r="AN109" s="134">
        <v>30</v>
      </c>
      <c r="AO109" s="450">
        <v>67.37</v>
      </c>
      <c r="AP109" s="450">
        <v>67.400000000000006</v>
      </c>
      <c r="AQ109" s="450">
        <v>67.430000000000007</v>
      </c>
      <c r="AR109" s="450">
        <v>67.47</v>
      </c>
      <c r="AS109" s="450">
        <v>67.5</v>
      </c>
      <c r="AT109" s="450">
        <v>67.53</v>
      </c>
      <c r="AU109" s="450">
        <v>67.56</v>
      </c>
      <c r="AV109" s="450">
        <v>67.59</v>
      </c>
      <c r="AW109" s="450">
        <v>67.62</v>
      </c>
      <c r="AX109" s="450">
        <v>67.650000000000006</v>
      </c>
      <c r="AY109" s="450">
        <v>67.680000000000007</v>
      </c>
      <c r="AZ109" s="450">
        <v>67.709999999999994</v>
      </c>
      <c r="BA109" s="450">
        <v>67.83</v>
      </c>
      <c r="BB109" s="450">
        <v>67.930000000000007</v>
      </c>
      <c r="BC109" s="450">
        <v>68</v>
      </c>
      <c r="BD109" s="450">
        <v>68.05</v>
      </c>
      <c r="BE109" s="450">
        <v>68.09</v>
      </c>
    </row>
    <row r="110" spans="2:57" x14ac:dyDescent="0.25">
      <c r="B110" s="134">
        <v>31</v>
      </c>
      <c r="C110" s="450">
        <v>66.48</v>
      </c>
      <c r="D110" s="450">
        <v>66.52</v>
      </c>
      <c r="E110" s="450">
        <v>66.55</v>
      </c>
      <c r="F110" s="450">
        <v>66.58</v>
      </c>
      <c r="G110" s="450">
        <v>66.61</v>
      </c>
      <c r="H110" s="450">
        <v>66.64</v>
      </c>
      <c r="I110" s="450">
        <v>66.680000000000007</v>
      </c>
      <c r="J110" s="450">
        <v>66.709999999999994</v>
      </c>
      <c r="K110" s="450">
        <v>66.739999999999995</v>
      </c>
      <c r="L110" s="450">
        <v>66.760000000000005</v>
      </c>
      <c r="M110" s="450">
        <v>66.790000000000006</v>
      </c>
      <c r="N110" s="450">
        <v>66.819999999999993</v>
      </c>
      <c r="O110" s="450">
        <v>66.94</v>
      </c>
      <c r="P110" s="450">
        <v>67.040000000000006</v>
      </c>
      <c r="Q110" s="450">
        <v>67.11</v>
      </c>
      <c r="R110" s="450">
        <v>67.16</v>
      </c>
      <c r="S110" s="450">
        <v>67.19</v>
      </c>
      <c r="T110" s="133"/>
      <c r="U110" s="134">
        <v>31</v>
      </c>
      <c r="V110" s="450">
        <v>66.84</v>
      </c>
      <c r="W110" s="450">
        <v>66.87</v>
      </c>
      <c r="X110" s="450">
        <v>66.900000000000006</v>
      </c>
      <c r="Y110" s="450">
        <v>66.94</v>
      </c>
      <c r="Z110" s="450">
        <v>66.97</v>
      </c>
      <c r="AA110" s="450">
        <v>67</v>
      </c>
      <c r="AB110" s="450">
        <v>67.03</v>
      </c>
      <c r="AC110" s="450">
        <v>67.06</v>
      </c>
      <c r="AD110" s="450">
        <v>67.09</v>
      </c>
      <c r="AE110" s="450">
        <v>67.12</v>
      </c>
      <c r="AF110" s="450">
        <v>67.150000000000006</v>
      </c>
      <c r="AG110" s="450">
        <v>67.180000000000007</v>
      </c>
      <c r="AH110" s="450">
        <v>67.3</v>
      </c>
      <c r="AI110" s="450">
        <v>67.400000000000006</v>
      </c>
      <c r="AJ110" s="450">
        <v>67.47</v>
      </c>
      <c r="AK110" s="450">
        <v>67.52</v>
      </c>
      <c r="AL110" s="450">
        <v>67.55</v>
      </c>
      <c r="AM110" s="133"/>
      <c r="AN110" s="134">
        <v>31</v>
      </c>
      <c r="AO110" s="450">
        <v>67.44</v>
      </c>
      <c r="AP110" s="450">
        <v>67.47</v>
      </c>
      <c r="AQ110" s="450">
        <v>67.5</v>
      </c>
      <c r="AR110" s="450">
        <v>67.540000000000006</v>
      </c>
      <c r="AS110" s="450">
        <v>67.569999999999993</v>
      </c>
      <c r="AT110" s="450">
        <v>67.599999999999994</v>
      </c>
      <c r="AU110" s="450">
        <v>67.64</v>
      </c>
      <c r="AV110" s="450">
        <v>67.67</v>
      </c>
      <c r="AW110" s="450">
        <v>67.7</v>
      </c>
      <c r="AX110" s="450">
        <v>67.73</v>
      </c>
      <c r="AY110" s="450">
        <v>67.760000000000005</v>
      </c>
      <c r="AZ110" s="450">
        <v>67.790000000000006</v>
      </c>
      <c r="BA110" s="450">
        <v>67.92</v>
      </c>
      <c r="BB110" s="450">
        <v>68.02</v>
      </c>
      <c r="BC110" s="450">
        <v>68.09</v>
      </c>
      <c r="BD110" s="450">
        <v>68.14</v>
      </c>
      <c r="BE110" s="450">
        <v>68.180000000000007</v>
      </c>
    </row>
    <row r="111" spans="2:57" x14ac:dyDescent="0.25">
      <c r="B111" s="134">
        <v>32</v>
      </c>
      <c r="C111" s="450">
        <v>66.55</v>
      </c>
      <c r="D111" s="450">
        <v>66.59</v>
      </c>
      <c r="E111" s="450">
        <v>66.62</v>
      </c>
      <c r="F111" s="450">
        <v>66.650000000000006</v>
      </c>
      <c r="G111" s="450">
        <v>66.69</v>
      </c>
      <c r="H111" s="450">
        <v>66.72</v>
      </c>
      <c r="I111" s="450">
        <v>66.75</v>
      </c>
      <c r="J111" s="450">
        <v>66.78</v>
      </c>
      <c r="K111" s="450">
        <v>66.81</v>
      </c>
      <c r="L111" s="450">
        <v>66.84</v>
      </c>
      <c r="M111" s="450">
        <v>66.87</v>
      </c>
      <c r="N111" s="450">
        <v>66.900000000000006</v>
      </c>
      <c r="O111" s="450">
        <v>67.03</v>
      </c>
      <c r="P111" s="450">
        <v>67.12</v>
      </c>
      <c r="Q111" s="450">
        <v>67.2</v>
      </c>
      <c r="R111" s="450">
        <v>67.239999999999995</v>
      </c>
      <c r="S111" s="450">
        <v>67.27</v>
      </c>
      <c r="T111" s="133"/>
      <c r="U111" s="134">
        <v>32</v>
      </c>
      <c r="V111" s="450">
        <v>66.91</v>
      </c>
      <c r="W111" s="450">
        <v>66.94</v>
      </c>
      <c r="X111" s="450">
        <v>66.98</v>
      </c>
      <c r="Y111" s="450">
        <v>67.010000000000005</v>
      </c>
      <c r="Z111" s="450">
        <v>67.040000000000006</v>
      </c>
      <c r="AA111" s="450">
        <v>67.08</v>
      </c>
      <c r="AB111" s="450">
        <v>67.11</v>
      </c>
      <c r="AC111" s="450">
        <v>67.14</v>
      </c>
      <c r="AD111" s="450">
        <v>67.17</v>
      </c>
      <c r="AE111" s="450">
        <v>67.2</v>
      </c>
      <c r="AF111" s="450">
        <v>67.23</v>
      </c>
      <c r="AG111" s="450">
        <v>67.260000000000005</v>
      </c>
      <c r="AH111" s="450">
        <v>67.39</v>
      </c>
      <c r="AI111" s="450">
        <v>67.489999999999995</v>
      </c>
      <c r="AJ111" s="450">
        <v>67.56</v>
      </c>
      <c r="AK111" s="450">
        <v>67.61</v>
      </c>
      <c r="AL111" s="450">
        <v>67.64</v>
      </c>
      <c r="AM111" s="133"/>
      <c r="AN111" s="134">
        <v>32</v>
      </c>
      <c r="AO111" s="450">
        <v>67.510000000000005</v>
      </c>
      <c r="AP111" s="450">
        <v>67.540000000000006</v>
      </c>
      <c r="AQ111" s="450">
        <v>67.58</v>
      </c>
      <c r="AR111" s="450">
        <v>67.62</v>
      </c>
      <c r="AS111" s="450">
        <v>67.650000000000006</v>
      </c>
      <c r="AT111" s="450">
        <v>67.680000000000007</v>
      </c>
      <c r="AU111" s="450">
        <v>67.72</v>
      </c>
      <c r="AV111" s="450">
        <v>67.75</v>
      </c>
      <c r="AW111" s="450">
        <v>67.78</v>
      </c>
      <c r="AX111" s="450">
        <v>67.81</v>
      </c>
      <c r="AY111" s="450">
        <v>67.84</v>
      </c>
      <c r="AZ111" s="450">
        <v>67.87</v>
      </c>
      <c r="BA111" s="450">
        <v>68.010000000000005</v>
      </c>
      <c r="BB111" s="450">
        <v>68.11</v>
      </c>
      <c r="BC111" s="450">
        <v>68.180000000000007</v>
      </c>
      <c r="BD111" s="450">
        <v>68.239999999999995</v>
      </c>
      <c r="BE111" s="450">
        <v>68.27</v>
      </c>
    </row>
    <row r="112" spans="2:57" x14ac:dyDescent="0.25">
      <c r="B112" s="134">
        <v>33</v>
      </c>
      <c r="C112" s="450">
        <v>66.62</v>
      </c>
      <c r="D112" s="450">
        <v>66.66</v>
      </c>
      <c r="E112" s="450">
        <v>66.7</v>
      </c>
      <c r="F112" s="450">
        <v>66.73</v>
      </c>
      <c r="G112" s="450">
        <v>66.77</v>
      </c>
      <c r="H112" s="450">
        <v>66.8</v>
      </c>
      <c r="I112" s="450">
        <v>66.83</v>
      </c>
      <c r="J112" s="450">
        <v>66.87</v>
      </c>
      <c r="K112" s="450">
        <v>66.900000000000006</v>
      </c>
      <c r="L112" s="450">
        <v>66.930000000000007</v>
      </c>
      <c r="M112" s="450">
        <v>66.959999999999994</v>
      </c>
      <c r="N112" s="450">
        <v>66.989999999999995</v>
      </c>
      <c r="O112" s="450">
        <v>67.12</v>
      </c>
      <c r="P112" s="450">
        <v>67.209999999999994</v>
      </c>
      <c r="Q112" s="450">
        <v>67.290000000000006</v>
      </c>
      <c r="R112" s="450">
        <v>67.33</v>
      </c>
      <c r="S112" s="450">
        <v>67.36</v>
      </c>
      <c r="T112" s="133"/>
      <c r="U112" s="134">
        <v>33</v>
      </c>
      <c r="V112" s="450">
        <v>66.98</v>
      </c>
      <c r="W112" s="450">
        <v>67.02</v>
      </c>
      <c r="X112" s="450">
        <v>67.05</v>
      </c>
      <c r="Y112" s="450">
        <v>67.09</v>
      </c>
      <c r="Z112" s="450">
        <v>67.12</v>
      </c>
      <c r="AA112" s="450">
        <v>67.16</v>
      </c>
      <c r="AB112" s="450">
        <v>67.19</v>
      </c>
      <c r="AC112" s="450">
        <v>67.22</v>
      </c>
      <c r="AD112" s="450">
        <v>67.260000000000005</v>
      </c>
      <c r="AE112" s="450">
        <v>67.290000000000006</v>
      </c>
      <c r="AF112" s="450">
        <v>67.319999999999993</v>
      </c>
      <c r="AG112" s="450">
        <v>67.349999999999994</v>
      </c>
      <c r="AH112" s="450">
        <v>67.48</v>
      </c>
      <c r="AI112" s="450">
        <v>67.58</v>
      </c>
      <c r="AJ112" s="450">
        <v>67.650000000000006</v>
      </c>
      <c r="AK112" s="450">
        <v>67.7</v>
      </c>
      <c r="AL112" s="450">
        <v>67.73</v>
      </c>
      <c r="AM112" s="133"/>
      <c r="AN112" s="134">
        <v>33</v>
      </c>
      <c r="AO112" s="450">
        <v>67.58</v>
      </c>
      <c r="AP112" s="450">
        <v>67.62</v>
      </c>
      <c r="AQ112" s="450">
        <v>67.66</v>
      </c>
      <c r="AR112" s="450">
        <v>67.69</v>
      </c>
      <c r="AS112" s="450">
        <v>67.73</v>
      </c>
      <c r="AT112" s="450">
        <v>67.77</v>
      </c>
      <c r="AU112" s="450">
        <v>67.8</v>
      </c>
      <c r="AV112" s="450">
        <v>67.84</v>
      </c>
      <c r="AW112" s="450">
        <v>67.87</v>
      </c>
      <c r="AX112" s="450">
        <v>67.900000000000006</v>
      </c>
      <c r="AY112" s="450">
        <v>67.930000000000007</v>
      </c>
      <c r="AZ112" s="450">
        <v>67.959999999999994</v>
      </c>
      <c r="BA112" s="450">
        <v>68.099999999999994</v>
      </c>
      <c r="BB112" s="450">
        <v>68.2</v>
      </c>
      <c r="BC112" s="450">
        <v>68.28</v>
      </c>
      <c r="BD112" s="450">
        <v>68.33</v>
      </c>
      <c r="BE112" s="450">
        <v>68.37</v>
      </c>
    </row>
    <row r="113" spans="2:57" x14ac:dyDescent="0.25">
      <c r="B113" s="134">
        <v>34</v>
      </c>
      <c r="C113" s="450">
        <v>66.7</v>
      </c>
      <c r="D113" s="450">
        <v>66.739999999999995</v>
      </c>
      <c r="E113" s="450">
        <v>66.77</v>
      </c>
      <c r="F113" s="450">
        <v>66.81</v>
      </c>
      <c r="G113" s="450">
        <v>66.849999999999994</v>
      </c>
      <c r="H113" s="450">
        <v>66.88</v>
      </c>
      <c r="I113" s="450">
        <v>66.92</v>
      </c>
      <c r="J113" s="450">
        <v>66.95</v>
      </c>
      <c r="K113" s="450">
        <v>66.98</v>
      </c>
      <c r="L113" s="450">
        <v>67.010000000000005</v>
      </c>
      <c r="M113" s="450">
        <v>67.05</v>
      </c>
      <c r="N113" s="450">
        <v>67.08</v>
      </c>
      <c r="O113" s="450">
        <v>67.209999999999994</v>
      </c>
      <c r="P113" s="450">
        <v>67.31</v>
      </c>
      <c r="Q113" s="450">
        <v>67.38</v>
      </c>
      <c r="R113" s="450">
        <v>67.430000000000007</v>
      </c>
      <c r="S113" s="450">
        <v>67.459999999999994</v>
      </c>
      <c r="T113" s="133"/>
      <c r="U113" s="134">
        <v>34</v>
      </c>
      <c r="V113" s="450">
        <v>67.06</v>
      </c>
      <c r="W113" s="450">
        <v>67.09</v>
      </c>
      <c r="X113" s="450">
        <v>67.13</v>
      </c>
      <c r="Y113" s="450">
        <v>67.17</v>
      </c>
      <c r="Z113" s="450">
        <v>67.2</v>
      </c>
      <c r="AA113" s="450">
        <v>67.239999999999995</v>
      </c>
      <c r="AB113" s="450">
        <v>67.28</v>
      </c>
      <c r="AC113" s="450">
        <v>67.31</v>
      </c>
      <c r="AD113" s="450">
        <v>67.34</v>
      </c>
      <c r="AE113" s="450">
        <v>67.38</v>
      </c>
      <c r="AF113" s="450">
        <v>67.41</v>
      </c>
      <c r="AG113" s="450">
        <v>67.44</v>
      </c>
      <c r="AH113" s="450">
        <v>67.569999999999993</v>
      </c>
      <c r="AI113" s="450">
        <v>67.67</v>
      </c>
      <c r="AJ113" s="450">
        <v>67.75</v>
      </c>
      <c r="AK113" s="450">
        <v>67.8</v>
      </c>
      <c r="AL113" s="450">
        <v>67.83</v>
      </c>
      <c r="AM113" s="133"/>
      <c r="AN113" s="134">
        <v>34</v>
      </c>
      <c r="AO113" s="450">
        <v>67.66</v>
      </c>
      <c r="AP113" s="450">
        <v>67.7</v>
      </c>
      <c r="AQ113" s="450">
        <v>67.739999999999995</v>
      </c>
      <c r="AR113" s="450">
        <v>67.78</v>
      </c>
      <c r="AS113" s="450">
        <v>67.819999999999993</v>
      </c>
      <c r="AT113" s="450">
        <v>67.849999999999994</v>
      </c>
      <c r="AU113" s="450">
        <v>67.89</v>
      </c>
      <c r="AV113" s="450">
        <v>67.92</v>
      </c>
      <c r="AW113" s="450">
        <v>67.959999999999994</v>
      </c>
      <c r="AX113" s="450">
        <v>67.989999999999995</v>
      </c>
      <c r="AY113" s="450">
        <v>68.02</v>
      </c>
      <c r="AZ113" s="450">
        <v>68.06</v>
      </c>
      <c r="BA113" s="450">
        <v>68.19</v>
      </c>
      <c r="BB113" s="450">
        <v>68.3</v>
      </c>
      <c r="BC113" s="450">
        <v>68.38</v>
      </c>
      <c r="BD113" s="450">
        <v>68.430000000000007</v>
      </c>
      <c r="BE113" s="450">
        <v>68.459999999999994</v>
      </c>
    </row>
    <row r="114" spans="2:57" x14ac:dyDescent="0.25">
      <c r="B114" s="134">
        <v>35</v>
      </c>
      <c r="C114" s="450">
        <v>66.78</v>
      </c>
      <c r="D114" s="450">
        <v>66.819999999999993</v>
      </c>
      <c r="E114" s="450">
        <v>66.849999999999994</v>
      </c>
      <c r="F114" s="450">
        <v>66.89</v>
      </c>
      <c r="G114" s="450">
        <v>66.930000000000007</v>
      </c>
      <c r="H114" s="450">
        <v>66.97</v>
      </c>
      <c r="I114" s="450">
        <v>67</v>
      </c>
      <c r="J114" s="450">
        <v>67.040000000000006</v>
      </c>
      <c r="K114" s="450">
        <v>67.069999999999993</v>
      </c>
      <c r="L114" s="450">
        <v>67.099999999999994</v>
      </c>
      <c r="M114" s="450">
        <v>67.14</v>
      </c>
      <c r="N114" s="450">
        <v>67.17</v>
      </c>
      <c r="O114" s="450">
        <v>67.3</v>
      </c>
      <c r="P114" s="450">
        <v>67.400000000000006</v>
      </c>
      <c r="Q114" s="450">
        <v>67.48</v>
      </c>
      <c r="R114" s="450">
        <v>67.52</v>
      </c>
      <c r="S114" s="450">
        <v>67.55</v>
      </c>
      <c r="T114" s="133"/>
      <c r="U114" s="134">
        <v>35</v>
      </c>
      <c r="V114" s="450">
        <v>67.13</v>
      </c>
      <c r="W114" s="450">
        <v>67.17</v>
      </c>
      <c r="X114" s="450">
        <v>67.209999999999994</v>
      </c>
      <c r="Y114" s="450">
        <v>67.25</v>
      </c>
      <c r="Z114" s="450">
        <v>67.290000000000006</v>
      </c>
      <c r="AA114" s="450">
        <v>67.33</v>
      </c>
      <c r="AB114" s="450">
        <v>67.36</v>
      </c>
      <c r="AC114" s="450">
        <v>67.400000000000006</v>
      </c>
      <c r="AD114" s="450">
        <v>67.430000000000007</v>
      </c>
      <c r="AE114" s="450">
        <v>67.47</v>
      </c>
      <c r="AF114" s="450">
        <v>67.5</v>
      </c>
      <c r="AG114" s="450">
        <v>67.53</v>
      </c>
      <c r="AH114" s="450">
        <v>67.67</v>
      </c>
      <c r="AI114" s="450">
        <v>67.77</v>
      </c>
      <c r="AJ114" s="450">
        <v>67.849999999999994</v>
      </c>
      <c r="AK114" s="450">
        <v>67.900000000000006</v>
      </c>
      <c r="AL114" s="450">
        <v>67.930000000000007</v>
      </c>
      <c r="AM114" s="133"/>
      <c r="AN114" s="134">
        <v>35</v>
      </c>
      <c r="AO114" s="450">
        <v>67.739999999999995</v>
      </c>
      <c r="AP114" s="450">
        <v>67.78</v>
      </c>
      <c r="AQ114" s="450">
        <v>67.819999999999993</v>
      </c>
      <c r="AR114" s="450">
        <v>67.86</v>
      </c>
      <c r="AS114" s="450">
        <v>67.900000000000006</v>
      </c>
      <c r="AT114" s="450">
        <v>67.94</v>
      </c>
      <c r="AU114" s="450">
        <v>67.98</v>
      </c>
      <c r="AV114" s="450">
        <v>68.02</v>
      </c>
      <c r="AW114" s="450">
        <v>68.05</v>
      </c>
      <c r="AX114" s="450">
        <v>68.09</v>
      </c>
      <c r="AY114" s="450">
        <v>68.12</v>
      </c>
      <c r="AZ114" s="450">
        <v>68.150000000000006</v>
      </c>
      <c r="BA114" s="450">
        <v>68.290000000000006</v>
      </c>
      <c r="BB114" s="450">
        <v>68.400000000000006</v>
      </c>
      <c r="BC114" s="450">
        <v>68.48</v>
      </c>
      <c r="BD114" s="450">
        <v>68.53</v>
      </c>
      <c r="BE114" s="450">
        <v>68.56</v>
      </c>
    </row>
    <row r="115" spans="2:57" x14ac:dyDescent="0.25">
      <c r="B115" s="134">
        <v>36</v>
      </c>
      <c r="C115" s="450">
        <v>66.86</v>
      </c>
      <c r="D115" s="450">
        <v>66.900000000000006</v>
      </c>
      <c r="E115" s="450">
        <v>66.94</v>
      </c>
      <c r="F115" s="450">
        <v>66.98</v>
      </c>
      <c r="G115" s="450">
        <v>67.02</v>
      </c>
      <c r="H115" s="450">
        <v>67.06</v>
      </c>
      <c r="I115" s="450">
        <v>67.09</v>
      </c>
      <c r="J115" s="450">
        <v>67.13</v>
      </c>
      <c r="K115" s="450">
        <v>67.16</v>
      </c>
      <c r="L115" s="450">
        <v>67.2</v>
      </c>
      <c r="M115" s="450">
        <v>67.23</v>
      </c>
      <c r="N115" s="450">
        <v>67.260000000000005</v>
      </c>
      <c r="O115" s="450">
        <v>67.400000000000006</v>
      </c>
      <c r="P115" s="450">
        <v>67.5</v>
      </c>
      <c r="Q115" s="450">
        <v>67.569999999999993</v>
      </c>
      <c r="R115" s="450">
        <v>67.62</v>
      </c>
      <c r="S115" s="450">
        <v>67.650000000000006</v>
      </c>
      <c r="T115" s="133"/>
      <c r="U115" s="134">
        <v>36</v>
      </c>
      <c r="V115" s="450">
        <v>67.22</v>
      </c>
      <c r="W115" s="450">
        <v>67.260000000000005</v>
      </c>
      <c r="X115" s="450">
        <v>67.3</v>
      </c>
      <c r="Y115" s="450">
        <v>67.34</v>
      </c>
      <c r="Z115" s="450">
        <v>67.38</v>
      </c>
      <c r="AA115" s="450">
        <v>67.42</v>
      </c>
      <c r="AB115" s="450">
        <v>67.45</v>
      </c>
      <c r="AC115" s="450">
        <v>67.489999999999995</v>
      </c>
      <c r="AD115" s="450">
        <v>67.53</v>
      </c>
      <c r="AE115" s="450">
        <v>67.56</v>
      </c>
      <c r="AF115" s="450">
        <v>67.59</v>
      </c>
      <c r="AG115" s="450">
        <v>67.63</v>
      </c>
      <c r="AH115" s="450">
        <v>67.77</v>
      </c>
      <c r="AI115" s="450">
        <v>67.87</v>
      </c>
      <c r="AJ115" s="450">
        <v>67.95</v>
      </c>
      <c r="AK115" s="450">
        <v>68</v>
      </c>
      <c r="AL115" s="450">
        <v>68.03</v>
      </c>
      <c r="AM115" s="133"/>
      <c r="AN115" s="134">
        <v>36</v>
      </c>
      <c r="AO115" s="450">
        <v>67.83</v>
      </c>
      <c r="AP115" s="450">
        <v>67.87</v>
      </c>
      <c r="AQ115" s="450">
        <v>67.91</v>
      </c>
      <c r="AR115" s="450">
        <v>67.95</v>
      </c>
      <c r="AS115" s="450">
        <v>67.989999999999995</v>
      </c>
      <c r="AT115" s="450">
        <v>68.03</v>
      </c>
      <c r="AU115" s="450">
        <v>68.069999999999993</v>
      </c>
      <c r="AV115" s="450">
        <v>68.11</v>
      </c>
      <c r="AW115" s="450">
        <v>68.150000000000006</v>
      </c>
      <c r="AX115" s="450">
        <v>68.180000000000007</v>
      </c>
      <c r="AY115" s="450">
        <v>68.22</v>
      </c>
      <c r="AZ115" s="450">
        <v>68.25</v>
      </c>
      <c r="BA115" s="450">
        <v>68.400000000000006</v>
      </c>
      <c r="BB115" s="450">
        <v>68.5</v>
      </c>
      <c r="BC115" s="450">
        <v>68.58</v>
      </c>
      <c r="BD115" s="450">
        <v>68.63</v>
      </c>
      <c r="BE115" s="450">
        <v>68.67</v>
      </c>
    </row>
    <row r="116" spans="2:57" x14ac:dyDescent="0.25">
      <c r="B116" s="134">
        <v>37</v>
      </c>
      <c r="C116" s="450">
        <v>66.94</v>
      </c>
      <c r="D116" s="450">
        <v>66.989999999999995</v>
      </c>
      <c r="E116" s="450">
        <v>67.03</v>
      </c>
      <c r="F116" s="450">
        <v>67.069999999999993</v>
      </c>
      <c r="G116" s="450">
        <v>67.11</v>
      </c>
      <c r="H116" s="450">
        <v>67.150000000000006</v>
      </c>
      <c r="I116" s="450">
        <v>67.180000000000007</v>
      </c>
      <c r="J116" s="450">
        <v>67.22</v>
      </c>
      <c r="K116" s="450">
        <v>67.260000000000005</v>
      </c>
      <c r="L116" s="450">
        <v>67.290000000000006</v>
      </c>
      <c r="M116" s="450">
        <v>67.33</v>
      </c>
      <c r="N116" s="450">
        <v>67.36</v>
      </c>
      <c r="O116" s="450">
        <v>67.5</v>
      </c>
      <c r="P116" s="450">
        <v>67.599999999999994</v>
      </c>
      <c r="Q116" s="450">
        <v>67.67</v>
      </c>
      <c r="R116" s="450">
        <v>67.72</v>
      </c>
      <c r="S116" s="450">
        <v>67.75</v>
      </c>
      <c r="T116" s="133"/>
      <c r="U116" s="134">
        <v>37</v>
      </c>
      <c r="V116" s="450">
        <v>67.3</v>
      </c>
      <c r="W116" s="450">
        <v>67.349999999999994</v>
      </c>
      <c r="X116" s="450">
        <v>67.39</v>
      </c>
      <c r="Y116" s="450">
        <v>67.430000000000007</v>
      </c>
      <c r="Z116" s="450">
        <v>67.47</v>
      </c>
      <c r="AA116" s="450">
        <v>67.510000000000005</v>
      </c>
      <c r="AB116" s="450">
        <v>67.55</v>
      </c>
      <c r="AC116" s="450">
        <v>67.59</v>
      </c>
      <c r="AD116" s="450">
        <v>67.62</v>
      </c>
      <c r="AE116" s="450">
        <v>67.66</v>
      </c>
      <c r="AF116" s="450">
        <v>67.69</v>
      </c>
      <c r="AG116" s="450">
        <v>67.73</v>
      </c>
      <c r="AH116" s="450">
        <v>67.87</v>
      </c>
      <c r="AI116" s="450">
        <v>67.97</v>
      </c>
      <c r="AJ116" s="450">
        <v>68.05</v>
      </c>
      <c r="AK116" s="450">
        <v>68.099999999999994</v>
      </c>
      <c r="AL116" s="450">
        <v>68.13</v>
      </c>
      <c r="AM116" s="133"/>
      <c r="AN116" s="134">
        <v>37</v>
      </c>
      <c r="AO116" s="450">
        <v>67.92</v>
      </c>
      <c r="AP116" s="450">
        <v>67.959999999999994</v>
      </c>
      <c r="AQ116" s="450">
        <v>68</v>
      </c>
      <c r="AR116" s="450">
        <v>68.05</v>
      </c>
      <c r="AS116" s="450">
        <v>68.09</v>
      </c>
      <c r="AT116" s="450">
        <v>68.13</v>
      </c>
      <c r="AU116" s="450">
        <v>68.17</v>
      </c>
      <c r="AV116" s="450">
        <v>68.209999999999994</v>
      </c>
      <c r="AW116" s="450">
        <v>68.25</v>
      </c>
      <c r="AX116" s="450">
        <v>68.28</v>
      </c>
      <c r="AY116" s="450">
        <v>68.319999999999993</v>
      </c>
      <c r="AZ116" s="450">
        <v>68.349999999999994</v>
      </c>
      <c r="BA116" s="450">
        <v>68.5</v>
      </c>
      <c r="BB116" s="450">
        <v>68.61</v>
      </c>
      <c r="BC116" s="450">
        <v>68.69</v>
      </c>
      <c r="BD116" s="450">
        <v>68.739999999999995</v>
      </c>
      <c r="BE116" s="450">
        <v>68.77</v>
      </c>
    </row>
    <row r="117" spans="2:57" x14ac:dyDescent="0.25">
      <c r="B117" s="134">
        <v>38</v>
      </c>
      <c r="C117" s="450">
        <v>67.03</v>
      </c>
      <c r="D117" s="450">
        <v>67.069999999999993</v>
      </c>
      <c r="E117" s="450">
        <v>67.12</v>
      </c>
      <c r="F117" s="450">
        <v>67.16</v>
      </c>
      <c r="G117" s="450">
        <v>67.2</v>
      </c>
      <c r="H117" s="450">
        <v>67.239999999999995</v>
      </c>
      <c r="I117" s="450">
        <v>67.28</v>
      </c>
      <c r="J117" s="450">
        <v>67.319999999999993</v>
      </c>
      <c r="K117" s="450">
        <v>67.36</v>
      </c>
      <c r="L117" s="450">
        <v>67.39</v>
      </c>
      <c r="M117" s="450">
        <v>67.430000000000007</v>
      </c>
      <c r="N117" s="450">
        <v>67.459999999999994</v>
      </c>
      <c r="O117" s="450">
        <v>67.599999999999994</v>
      </c>
      <c r="P117" s="450">
        <v>67.7</v>
      </c>
      <c r="Q117" s="450">
        <v>67.78</v>
      </c>
      <c r="R117" s="450">
        <v>67.819999999999993</v>
      </c>
      <c r="S117" s="450">
        <v>67.849999999999994</v>
      </c>
      <c r="T117" s="133"/>
      <c r="U117" s="134">
        <v>38</v>
      </c>
      <c r="V117" s="450">
        <v>67.39</v>
      </c>
      <c r="W117" s="450">
        <v>67.44</v>
      </c>
      <c r="X117" s="450">
        <v>67.48</v>
      </c>
      <c r="Y117" s="450">
        <v>67.52</v>
      </c>
      <c r="Z117" s="450">
        <v>67.569999999999993</v>
      </c>
      <c r="AA117" s="450">
        <v>67.61</v>
      </c>
      <c r="AB117" s="450">
        <v>67.650000000000006</v>
      </c>
      <c r="AC117" s="450">
        <v>67.69</v>
      </c>
      <c r="AD117" s="450">
        <v>67.72</v>
      </c>
      <c r="AE117" s="450">
        <v>67.760000000000005</v>
      </c>
      <c r="AF117" s="450">
        <v>67.790000000000006</v>
      </c>
      <c r="AG117" s="450">
        <v>67.83</v>
      </c>
      <c r="AH117" s="450">
        <v>67.97</v>
      </c>
      <c r="AI117" s="450">
        <v>68.08</v>
      </c>
      <c r="AJ117" s="450">
        <v>68.150000000000006</v>
      </c>
      <c r="AK117" s="450">
        <v>68.2</v>
      </c>
      <c r="AL117" s="450">
        <v>68.23</v>
      </c>
      <c r="AM117" s="133"/>
      <c r="AN117" s="134">
        <v>38</v>
      </c>
      <c r="AO117" s="450">
        <v>68.010000000000005</v>
      </c>
      <c r="AP117" s="450">
        <v>68.05</v>
      </c>
      <c r="AQ117" s="450">
        <v>68.099999999999994</v>
      </c>
      <c r="AR117" s="450">
        <v>68.14</v>
      </c>
      <c r="AS117" s="450">
        <v>68.19</v>
      </c>
      <c r="AT117" s="450">
        <v>68.23</v>
      </c>
      <c r="AU117" s="450">
        <v>68.27</v>
      </c>
      <c r="AV117" s="450">
        <v>68.31</v>
      </c>
      <c r="AW117" s="450">
        <v>68.349999999999994</v>
      </c>
      <c r="AX117" s="450">
        <v>68.39</v>
      </c>
      <c r="AY117" s="450">
        <v>68.42</v>
      </c>
      <c r="AZ117" s="450">
        <v>68.459999999999994</v>
      </c>
      <c r="BA117" s="450">
        <v>68.61</v>
      </c>
      <c r="BB117" s="450">
        <v>68.72</v>
      </c>
      <c r="BC117" s="450">
        <v>68.8</v>
      </c>
      <c r="BD117" s="450">
        <v>68.849999999999994</v>
      </c>
      <c r="BE117" s="450">
        <v>68.88</v>
      </c>
    </row>
    <row r="118" spans="2:57" x14ac:dyDescent="0.25">
      <c r="B118" s="134">
        <v>39</v>
      </c>
      <c r="C118" s="450">
        <v>67.12</v>
      </c>
      <c r="D118" s="450">
        <v>67.17</v>
      </c>
      <c r="E118" s="450">
        <v>67.209999999999994</v>
      </c>
      <c r="F118" s="450">
        <v>67.25</v>
      </c>
      <c r="G118" s="450">
        <v>67.3</v>
      </c>
      <c r="H118" s="450">
        <v>67.34</v>
      </c>
      <c r="I118" s="450">
        <v>67.38</v>
      </c>
      <c r="J118" s="450">
        <v>67.42</v>
      </c>
      <c r="K118" s="450">
        <v>67.459999999999994</v>
      </c>
      <c r="L118" s="450">
        <v>67.489999999999995</v>
      </c>
      <c r="M118" s="450">
        <v>67.53</v>
      </c>
      <c r="N118" s="450">
        <v>67.56</v>
      </c>
      <c r="O118" s="450">
        <v>67.7</v>
      </c>
      <c r="P118" s="450">
        <v>67.81</v>
      </c>
      <c r="Q118" s="450">
        <v>67.88</v>
      </c>
      <c r="R118" s="450">
        <v>67.930000000000007</v>
      </c>
      <c r="S118" s="450">
        <v>67.95</v>
      </c>
      <c r="T118" s="133"/>
      <c r="U118" s="134">
        <v>39</v>
      </c>
      <c r="V118" s="450">
        <v>67.48</v>
      </c>
      <c r="W118" s="450">
        <v>67.53</v>
      </c>
      <c r="X118" s="450">
        <v>67.58</v>
      </c>
      <c r="Y118" s="450">
        <v>67.62</v>
      </c>
      <c r="Z118" s="450">
        <v>67.66</v>
      </c>
      <c r="AA118" s="450">
        <v>67.709999999999994</v>
      </c>
      <c r="AB118" s="450">
        <v>67.75</v>
      </c>
      <c r="AC118" s="450">
        <v>67.790000000000006</v>
      </c>
      <c r="AD118" s="450">
        <v>67.819999999999993</v>
      </c>
      <c r="AE118" s="450">
        <v>67.86</v>
      </c>
      <c r="AF118" s="450">
        <v>67.900000000000006</v>
      </c>
      <c r="AG118" s="450">
        <v>67.930000000000007</v>
      </c>
      <c r="AH118" s="450">
        <v>68.08</v>
      </c>
      <c r="AI118" s="450">
        <v>68.180000000000007</v>
      </c>
      <c r="AJ118" s="450">
        <v>68.260000000000005</v>
      </c>
      <c r="AK118" s="450">
        <v>68.31</v>
      </c>
      <c r="AL118" s="450">
        <v>68.33</v>
      </c>
      <c r="AM118" s="133"/>
      <c r="AN118" s="134">
        <v>39</v>
      </c>
      <c r="AO118" s="450">
        <v>68.099999999999994</v>
      </c>
      <c r="AP118" s="450">
        <v>68.150000000000006</v>
      </c>
      <c r="AQ118" s="450">
        <v>68.2</v>
      </c>
      <c r="AR118" s="450">
        <v>68.239999999999995</v>
      </c>
      <c r="AS118" s="450">
        <v>68.290000000000006</v>
      </c>
      <c r="AT118" s="450">
        <v>68.33</v>
      </c>
      <c r="AU118" s="450">
        <v>68.37</v>
      </c>
      <c r="AV118" s="450">
        <v>68.42</v>
      </c>
      <c r="AW118" s="450">
        <v>68.45</v>
      </c>
      <c r="AX118" s="450">
        <v>68.489999999999995</v>
      </c>
      <c r="AY118" s="450">
        <v>68.53</v>
      </c>
      <c r="AZ118" s="450">
        <v>68.569999999999993</v>
      </c>
      <c r="BA118" s="450">
        <v>68.72</v>
      </c>
      <c r="BB118" s="450">
        <v>68.83</v>
      </c>
      <c r="BC118" s="450">
        <v>68.91</v>
      </c>
      <c r="BD118" s="450">
        <v>68.959999999999994</v>
      </c>
      <c r="BE118" s="450">
        <v>68.989999999999995</v>
      </c>
    </row>
    <row r="119" spans="2:57" x14ac:dyDescent="0.25">
      <c r="B119" s="134">
        <v>40</v>
      </c>
      <c r="C119" s="450">
        <v>67.22</v>
      </c>
      <c r="D119" s="450">
        <v>67.260000000000005</v>
      </c>
      <c r="E119" s="450">
        <v>67.31</v>
      </c>
      <c r="F119" s="450">
        <v>67.349999999999994</v>
      </c>
      <c r="G119" s="450">
        <v>67.400000000000006</v>
      </c>
      <c r="H119" s="450">
        <v>67.44</v>
      </c>
      <c r="I119" s="450">
        <v>67.48</v>
      </c>
      <c r="J119" s="450">
        <v>67.52</v>
      </c>
      <c r="K119" s="450">
        <v>67.56</v>
      </c>
      <c r="L119" s="450">
        <v>67.599999999999994</v>
      </c>
      <c r="M119" s="450">
        <v>67.63</v>
      </c>
      <c r="N119" s="450">
        <v>67.67</v>
      </c>
      <c r="O119" s="450">
        <v>67.81</v>
      </c>
      <c r="P119" s="450">
        <v>67.91</v>
      </c>
      <c r="Q119" s="450">
        <v>67.989999999999995</v>
      </c>
      <c r="R119" s="450">
        <v>68.03</v>
      </c>
      <c r="S119" s="450">
        <v>68.05</v>
      </c>
      <c r="T119" s="133"/>
      <c r="U119" s="134">
        <v>40</v>
      </c>
      <c r="V119" s="450">
        <v>67.58</v>
      </c>
      <c r="W119" s="450">
        <v>67.63</v>
      </c>
      <c r="X119" s="450">
        <v>67.67</v>
      </c>
      <c r="Y119" s="450">
        <v>67.72</v>
      </c>
      <c r="Z119" s="450">
        <v>67.760000000000005</v>
      </c>
      <c r="AA119" s="450">
        <v>67.81</v>
      </c>
      <c r="AB119" s="450">
        <v>67.849999999999994</v>
      </c>
      <c r="AC119" s="450">
        <v>67.89</v>
      </c>
      <c r="AD119" s="450">
        <v>67.930000000000007</v>
      </c>
      <c r="AE119" s="450">
        <v>67.97</v>
      </c>
      <c r="AF119" s="450">
        <v>68</v>
      </c>
      <c r="AG119" s="450">
        <v>68.040000000000006</v>
      </c>
      <c r="AH119" s="450">
        <v>68.19</v>
      </c>
      <c r="AI119" s="450">
        <v>68.290000000000006</v>
      </c>
      <c r="AJ119" s="450">
        <v>68.37</v>
      </c>
      <c r="AK119" s="450">
        <v>68.42</v>
      </c>
      <c r="AL119" s="450">
        <v>68.44</v>
      </c>
      <c r="AM119" s="133"/>
      <c r="AN119" s="134">
        <v>40</v>
      </c>
      <c r="AO119" s="450">
        <v>68.2</v>
      </c>
      <c r="AP119" s="450">
        <v>68.25</v>
      </c>
      <c r="AQ119" s="450">
        <v>68.3</v>
      </c>
      <c r="AR119" s="450">
        <v>68.349999999999994</v>
      </c>
      <c r="AS119" s="450">
        <v>68.39</v>
      </c>
      <c r="AT119" s="450">
        <v>68.44</v>
      </c>
      <c r="AU119" s="450">
        <v>68.48</v>
      </c>
      <c r="AV119" s="450">
        <v>68.52</v>
      </c>
      <c r="AW119" s="450">
        <v>68.56</v>
      </c>
      <c r="AX119" s="450">
        <v>68.599999999999994</v>
      </c>
      <c r="AY119" s="450">
        <v>68.64</v>
      </c>
      <c r="AZ119" s="450">
        <v>68.680000000000007</v>
      </c>
      <c r="BA119" s="450">
        <v>68.83</v>
      </c>
      <c r="BB119" s="450">
        <v>68.94</v>
      </c>
      <c r="BC119" s="450">
        <v>69.02</v>
      </c>
      <c r="BD119" s="450">
        <v>69.069999999999993</v>
      </c>
      <c r="BE119" s="450">
        <v>69.099999999999994</v>
      </c>
    </row>
    <row r="120" spans="2:57" x14ac:dyDescent="0.25">
      <c r="B120" s="134">
        <v>41</v>
      </c>
      <c r="C120" s="450">
        <v>67.31</v>
      </c>
      <c r="D120" s="450">
        <v>67.36</v>
      </c>
      <c r="E120" s="450">
        <v>67.41</v>
      </c>
      <c r="F120" s="450">
        <v>67.45</v>
      </c>
      <c r="G120" s="450">
        <v>67.5</v>
      </c>
      <c r="H120" s="450">
        <v>67.540000000000006</v>
      </c>
      <c r="I120" s="450">
        <v>67.58</v>
      </c>
      <c r="J120" s="450">
        <v>67.63</v>
      </c>
      <c r="K120" s="450">
        <v>67.66</v>
      </c>
      <c r="L120" s="450">
        <v>67.7</v>
      </c>
      <c r="M120" s="450">
        <v>67.739999999999995</v>
      </c>
      <c r="N120" s="450">
        <v>67.77</v>
      </c>
      <c r="O120" s="450">
        <v>67.92</v>
      </c>
      <c r="P120" s="450">
        <v>68.02</v>
      </c>
      <c r="Q120" s="450">
        <v>68.09</v>
      </c>
      <c r="R120" s="450">
        <v>68.14</v>
      </c>
      <c r="S120" s="450">
        <v>68.16</v>
      </c>
      <c r="T120" s="133"/>
      <c r="U120" s="134">
        <v>41</v>
      </c>
      <c r="V120" s="450">
        <v>67.680000000000007</v>
      </c>
      <c r="W120" s="450">
        <v>67.73</v>
      </c>
      <c r="X120" s="450">
        <v>67.78</v>
      </c>
      <c r="Y120" s="450">
        <v>67.819999999999993</v>
      </c>
      <c r="Z120" s="450">
        <v>67.87</v>
      </c>
      <c r="AA120" s="450">
        <v>67.91</v>
      </c>
      <c r="AB120" s="450">
        <v>67.959999999999994</v>
      </c>
      <c r="AC120" s="450">
        <v>68</v>
      </c>
      <c r="AD120" s="450">
        <v>68.040000000000006</v>
      </c>
      <c r="AE120" s="450">
        <v>68.08</v>
      </c>
      <c r="AF120" s="450">
        <v>68.11</v>
      </c>
      <c r="AG120" s="450">
        <v>68.150000000000006</v>
      </c>
      <c r="AH120" s="450">
        <v>68.3</v>
      </c>
      <c r="AI120" s="450">
        <v>68.400000000000006</v>
      </c>
      <c r="AJ120" s="450">
        <v>68.48</v>
      </c>
      <c r="AK120" s="450">
        <v>68.53</v>
      </c>
      <c r="AL120" s="450">
        <v>68.55</v>
      </c>
      <c r="AM120" s="133"/>
      <c r="AN120" s="134">
        <v>41</v>
      </c>
      <c r="AO120" s="450">
        <v>68.3</v>
      </c>
      <c r="AP120" s="450">
        <v>68.349999999999994</v>
      </c>
      <c r="AQ120" s="450">
        <v>68.400000000000006</v>
      </c>
      <c r="AR120" s="450">
        <v>68.45</v>
      </c>
      <c r="AS120" s="450">
        <v>68.5</v>
      </c>
      <c r="AT120" s="450">
        <v>68.55</v>
      </c>
      <c r="AU120" s="450">
        <v>68.59</v>
      </c>
      <c r="AV120" s="450">
        <v>68.63</v>
      </c>
      <c r="AW120" s="450">
        <v>68.67</v>
      </c>
      <c r="AX120" s="450">
        <v>68.709999999999994</v>
      </c>
      <c r="AY120" s="450">
        <v>68.75</v>
      </c>
      <c r="AZ120" s="450">
        <v>68.790000000000006</v>
      </c>
      <c r="BA120" s="450">
        <v>68.94</v>
      </c>
      <c r="BB120" s="450">
        <v>69.06</v>
      </c>
      <c r="BC120" s="450">
        <v>69.13</v>
      </c>
      <c r="BD120" s="450">
        <v>69.180000000000007</v>
      </c>
      <c r="BE120" s="450">
        <v>69.209999999999994</v>
      </c>
    </row>
    <row r="121" spans="2:57" x14ac:dyDescent="0.25">
      <c r="B121" s="134">
        <v>42</v>
      </c>
      <c r="C121" s="450">
        <v>67.41</v>
      </c>
      <c r="D121" s="450">
        <v>67.459999999999994</v>
      </c>
      <c r="E121" s="450">
        <v>67.510000000000005</v>
      </c>
      <c r="F121" s="450">
        <v>67.56</v>
      </c>
      <c r="G121" s="450">
        <v>67.599999999999994</v>
      </c>
      <c r="H121" s="450">
        <v>67.650000000000006</v>
      </c>
      <c r="I121" s="450">
        <v>67.69</v>
      </c>
      <c r="J121" s="450">
        <v>67.73</v>
      </c>
      <c r="K121" s="450">
        <v>67.77</v>
      </c>
      <c r="L121" s="450">
        <v>67.81</v>
      </c>
      <c r="M121" s="450">
        <v>67.849999999999994</v>
      </c>
      <c r="N121" s="450">
        <v>67.88</v>
      </c>
      <c r="O121" s="450">
        <v>68.03</v>
      </c>
      <c r="P121" s="450">
        <v>68.13</v>
      </c>
      <c r="Q121" s="450">
        <v>68.2</v>
      </c>
      <c r="R121" s="450">
        <v>68.239999999999995</v>
      </c>
      <c r="S121" s="450">
        <v>68.27</v>
      </c>
      <c r="T121" s="133"/>
      <c r="U121" s="134">
        <v>42</v>
      </c>
      <c r="V121" s="450">
        <v>67.78</v>
      </c>
      <c r="W121" s="450">
        <v>67.83</v>
      </c>
      <c r="X121" s="450">
        <v>67.88</v>
      </c>
      <c r="Y121" s="450">
        <v>67.930000000000007</v>
      </c>
      <c r="Z121" s="450">
        <v>67.97</v>
      </c>
      <c r="AA121" s="450">
        <v>68.02</v>
      </c>
      <c r="AB121" s="450">
        <v>68.06</v>
      </c>
      <c r="AC121" s="450">
        <v>68.11</v>
      </c>
      <c r="AD121" s="450">
        <v>68.150000000000006</v>
      </c>
      <c r="AE121" s="450">
        <v>68.19</v>
      </c>
      <c r="AF121" s="450">
        <v>68.22</v>
      </c>
      <c r="AG121" s="450">
        <v>68.260000000000005</v>
      </c>
      <c r="AH121" s="450">
        <v>68.41</v>
      </c>
      <c r="AI121" s="450">
        <v>68.52</v>
      </c>
      <c r="AJ121" s="450">
        <v>68.59</v>
      </c>
      <c r="AK121" s="450">
        <v>68.63</v>
      </c>
      <c r="AL121" s="450">
        <v>68.66</v>
      </c>
      <c r="AM121" s="133"/>
      <c r="AN121" s="134">
        <v>42</v>
      </c>
      <c r="AO121" s="450">
        <v>68.41</v>
      </c>
      <c r="AP121" s="450">
        <v>68.459999999999994</v>
      </c>
      <c r="AQ121" s="450">
        <v>68.510000000000005</v>
      </c>
      <c r="AR121" s="450">
        <v>68.56</v>
      </c>
      <c r="AS121" s="450">
        <v>68.61</v>
      </c>
      <c r="AT121" s="450">
        <v>68.66</v>
      </c>
      <c r="AU121" s="450">
        <v>68.7</v>
      </c>
      <c r="AV121" s="450">
        <v>68.75</v>
      </c>
      <c r="AW121" s="450">
        <v>68.790000000000006</v>
      </c>
      <c r="AX121" s="450">
        <v>68.83</v>
      </c>
      <c r="AY121" s="450">
        <v>68.87</v>
      </c>
      <c r="AZ121" s="450">
        <v>68.900000000000006</v>
      </c>
      <c r="BA121" s="450">
        <v>69.06</v>
      </c>
      <c r="BB121" s="450">
        <v>69.17</v>
      </c>
      <c r="BC121" s="450">
        <v>69.25</v>
      </c>
      <c r="BD121" s="450">
        <v>69.3</v>
      </c>
      <c r="BE121" s="450">
        <v>69.33</v>
      </c>
    </row>
    <row r="122" spans="2:57" x14ac:dyDescent="0.25">
      <c r="B122" s="134">
        <v>43</v>
      </c>
      <c r="C122" s="450">
        <v>67.52</v>
      </c>
      <c r="D122" s="450">
        <v>67.569999999999993</v>
      </c>
      <c r="E122" s="450">
        <v>67.62</v>
      </c>
      <c r="F122" s="450">
        <v>67.66</v>
      </c>
      <c r="G122" s="450">
        <v>67.709999999999994</v>
      </c>
      <c r="H122" s="450">
        <v>67.760000000000005</v>
      </c>
      <c r="I122" s="450">
        <v>67.8</v>
      </c>
      <c r="J122" s="450">
        <v>67.84</v>
      </c>
      <c r="K122" s="450">
        <v>67.88</v>
      </c>
      <c r="L122" s="450">
        <v>67.92</v>
      </c>
      <c r="M122" s="450">
        <v>67.959999999999994</v>
      </c>
      <c r="N122" s="450">
        <v>67.989999999999995</v>
      </c>
      <c r="O122" s="450">
        <v>68.14</v>
      </c>
      <c r="P122" s="450">
        <v>68.239999999999995</v>
      </c>
      <c r="Q122" s="450">
        <v>68.31</v>
      </c>
      <c r="R122" s="450">
        <v>68.349999999999994</v>
      </c>
      <c r="S122" s="450">
        <v>68.38</v>
      </c>
      <c r="T122" s="133"/>
      <c r="U122" s="134">
        <v>43</v>
      </c>
      <c r="V122" s="450">
        <v>67.89</v>
      </c>
      <c r="W122" s="450">
        <v>67.94</v>
      </c>
      <c r="X122" s="450">
        <v>67.989999999999995</v>
      </c>
      <c r="Y122" s="450">
        <v>68.040000000000006</v>
      </c>
      <c r="Z122" s="450">
        <v>68.08</v>
      </c>
      <c r="AA122" s="450">
        <v>68.13</v>
      </c>
      <c r="AB122" s="450">
        <v>68.17</v>
      </c>
      <c r="AC122" s="450">
        <v>68.22</v>
      </c>
      <c r="AD122" s="450">
        <v>68.260000000000005</v>
      </c>
      <c r="AE122" s="450">
        <v>68.3</v>
      </c>
      <c r="AF122" s="450">
        <v>68.34</v>
      </c>
      <c r="AG122" s="450">
        <v>68.37</v>
      </c>
      <c r="AH122" s="450">
        <v>68.52</v>
      </c>
      <c r="AI122" s="450">
        <v>68.63</v>
      </c>
      <c r="AJ122" s="450">
        <v>68.7</v>
      </c>
      <c r="AK122" s="450">
        <v>68.739999999999995</v>
      </c>
      <c r="AL122" s="450">
        <v>68.77</v>
      </c>
      <c r="AM122" s="133"/>
      <c r="AN122" s="134">
        <v>43</v>
      </c>
      <c r="AO122" s="450">
        <v>68.52</v>
      </c>
      <c r="AP122" s="450">
        <v>68.569999999999993</v>
      </c>
      <c r="AQ122" s="450">
        <v>68.62</v>
      </c>
      <c r="AR122" s="450">
        <v>68.67</v>
      </c>
      <c r="AS122" s="450">
        <v>68.72</v>
      </c>
      <c r="AT122" s="450">
        <v>68.77</v>
      </c>
      <c r="AU122" s="450">
        <v>68.819999999999993</v>
      </c>
      <c r="AV122" s="450">
        <v>68.86</v>
      </c>
      <c r="AW122" s="450">
        <v>68.900000000000006</v>
      </c>
      <c r="AX122" s="450">
        <v>68.94</v>
      </c>
      <c r="AY122" s="450">
        <v>68.98</v>
      </c>
      <c r="AZ122" s="450">
        <v>69.02</v>
      </c>
      <c r="BA122" s="450">
        <v>69.180000000000007</v>
      </c>
      <c r="BB122" s="450">
        <v>69.290000000000006</v>
      </c>
      <c r="BC122" s="450">
        <v>69.37</v>
      </c>
      <c r="BD122" s="450">
        <v>69.41</v>
      </c>
      <c r="BE122" s="450">
        <v>69.44</v>
      </c>
    </row>
    <row r="123" spans="2:57" x14ac:dyDescent="0.25">
      <c r="B123" s="134">
        <v>44</v>
      </c>
      <c r="C123" s="450">
        <v>67.62</v>
      </c>
      <c r="D123" s="450">
        <v>67.67</v>
      </c>
      <c r="E123" s="450">
        <v>67.72</v>
      </c>
      <c r="F123" s="450">
        <v>67.77</v>
      </c>
      <c r="G123" s="450">
        <v>67.819999999999993</v>
      </c>
      <c r="H123" s="450">
        <v>67.87</v>
      </c>
      <c r="I123" s="450">
        <v>67.91</v>
      </c>
      <c r="J123" s="450">
        <v>67.95</v>
      </c>
      <c r="K123" s="450">
        <v>67.989999999999995</v>
      </c>
      <c r="L123" s="450">
        <v>68.03</v>
      </c>
      <c r="M123" s="450">
        <v>68.069999999999993</v>
      </c>
      <c r="N123" s="450">
        <v>68.099999999999994</v>
      </c>
      <c r="O123" s="450">
        <v>68.25</v>
      </c>
      <c r="P123" s="450">
        <v>68.349999999999994</v>
      </c>
      <c r="Q123" s="450">
        <v>68.42</v>
      </c>
      <c r="R123" s="450">
        <v>68.459999999999994</v>
      </c>
      <c r="S123" s="450">
        <v>68.48</v>
      </c>
      <c r="T123" s="133"/>
      <c r="U123" s="134">
        <v>44</v>
      </c>
      <c r="V123" s="450">
        <v>67.989999999999995</v>
      </c>
      <c r="W123" s="450">
        <v>68.05</v>
      </c>
      <c r="X123" s="450">
        <v>68.099999999999994</v>
      </c>
      <c r="Y123" s="450">
        <v>68.150000000000006</v>
      </c>
      <c r="Z123" s="450">
        <v>68.2</v>
      </c>
      <c r="AA123" s="450">
        <v>68.239999999999995</v>
      </c>
      <c r="AB123" s="450">
        <v>68.290000000000006</v>
      </c>
      <c r="AC123" s="450">
        <v>68.33</v>
      </c>
      <c r="AD123" s="450">
        <v>68.37</v>
      </c>
      <c r="AE123" s="450">
        <v>68.41</v>
      </c>
      <c r="AF123" s="450">
        <v>68.45</v>
      </c>
      <c r="AG123" s="450">
        <v>68.489999999999995</v>
      </c>
      <c r="AH123" s="450">
        <v>68.64</v>
      </c>
      <c r="AI123" s="450">
        <v>68.739999999999995</v>
      </c>
      <c r="AJ123" s="450">
        <v>68.819999999999993</v>
      </c>
      <c r="AK123" s="450">
        <v>68.86</v>
      </c>
      <c r="AL123" s="450">
        <v>68.88</v>
      </c>
      <c r="AM123" s="133"/>
      <c r="AN123" s="134">
        <v>44</v>
      </c>
      <c r="AO123" s="450">
        <v>68.63</v>
      </c>
      <c r="AP123" s="450">
        <v>68.680000000000007</v>
      </c>
      <c r="AQ123" s="450">
        <v>68.739999999999995</v>
      </c>
      <c r="AR123" s="450">
        <v>68.790000000000006</v>
      </c>
      <c r="AS123" s="450">
        <v>68.84</v>
      </c>
      <c r="AT123" s="450">
        <v>68.89</v>
      </c>
      <c r="AU123" s="450">
        <v>68.930000000000007</v>
      </c>
      <c r="AV123" s="450">
        <v>68.98</v>
      </c>
      <c r="AW123" s="450">
        <v>69.02</v>
      </c>
      <c r="AX123" s="450">
        <v>69.06</v>
      </c>
      <c r="AY123" s="450">
        <v>69.099999999999994</v>
      </c>
      <c r="AZ123" s="450">
        <v>69.14</v>
      </c>
      <c r="BA123" s="450">
        <v>69.3</v>
      </c>
      <c r="BB123" s="450">
        <v>69.41</v>
      </c>
      <c r="BC123" s="450">
        <v>69.489999999999995</v>
      </c>
      <c r="BD123" s="450">
        <v>69.53</v>
      </c>
      <c r="BE123" s="450">
        <v>69.56</v>
      </c>
    </row>
    <row r="124" spans="2:57" x14ac:dyDescent="0.25">
      <c r="B124" s="134">
        <v>45</v>
      </c>
      <c r="C124" s="450">
        <v>67.73</v>
      </c>
      <c r="D124" s="450">
        <v>67.78</v>
      </c>
      <c r="E124" s="450">
        <v>67.83</v>
      </c>
      <c r="F124" s="450">
        <v>67.88</v>
      </c>
      <c r="G124" s="450">
        <v>67.930000000000007</v>
      </c>
      <c r="H124" s="450">
        <v>67.98</v>
      </c>
      <c r="I124" s="450">
        <v>68.02</v>
      </c>
      <c r="J124" s="450">
        <v>68.06</v>
      </c>
      <c r="K124" s="450">
        <v>68.11</v>
      </c>
      <c r="L124" s="450">
        <v>68.14</v>
      </c>
      <c r="M124" s="450">
        <v>68.180000000000007</v>
      </c>
      <c r="N124" s="450">
        <v>68.22</v>
      </c>
      <c r="O124" s="450">
        <v>68.36</v>
      </c>
      <c r="P124" s="450">
        <v>68.459999999999994</v>
      </c>
      <c r="Q124" s="450">
        <v>68.53</v>
      </c>
      <c r="R124" s="450">
        <v>68.569999999999993</v>
      </c>
      <c r="S124" s="450">
        <v>68.59</v>
      </c>
      <c r="T124" s="133"/>
      <c r="U124" s="134">
        <v>45</v>
      </c>
      <c r="V124" s="450">
        <v>68.099999999999994</v>
      </c>
      <c r="W124" s="450">
        <v>68.16</v>
      </c>
      <c r="X124" s="450">
        <v>68.209999999999994</v>
      </c>
      <c r="Y124" s="450">
        <v>68.260000000000005</v>
      </c>
      <c r="Z124" s="450">
        <v>68.31</v>
      </c>
      <c r="AA124" s="450">
        <v>68.36</v>
      </c>
      <c r="AB124" s="450">
        <v>68.400000000000006</v>
      </c>
      <c r="AC124" s="450">
        <v>68.45</v>
      </c>
      <c r="AD124" s="450">
        <v>68.489999999999995</v>
      </c>
      <c r="AE124" s="450">
        <v>68.53</v>
      </c>
      <c r="AF124" s="450">
        <v>68.569999999999993</v>
      </c>
      <c r="AG124" s="450">
        <v>68.599999999999994</v>
      </c>
      <c r="AH124" s="450">
        <v>68.75</v>
      </c>
      <c r="AI124" s="450">
        <v>68.86</v>
      </c>
      <c r="AJ124" s="450">
        <v>68.930000000000007</v>
      </c>
      <c r="AK124" s="450">
        <v>68.97</v>
      </c>
      <c r="AL124" s="450">
        <v>69</v>
      </c>
      <c r="AM124" s="133"/>
      <c r="AN124" s="134">
        <v>45</v>
      </c>
      <c r="AO124" s="450">
        <v>68.739999999999995</v>
      </c>
      <c r="AP124" s="450">
        <v>68.8</v>
      </c>
      <c r="AQ124" s="450">
        <v>68.849999999999994</v>
      </c>
      <c r="AR124" s="450">
        <v>68.900000000000006</v>
      </c>
      <c r="AS124" s="450">
        <v>68.959999999999994</v>
      </c>
      <c r="AT124" s="450">
        <v>69</v>
      </c>
      <c r="AU124" s="450">
        <v>69.05</v>
      </c>
      <c r="AV124" s="450">
        <v>69.099999999999994</v>
      </c>
      <c r="AW124" s="450">
        <v>69.14</v>
      </c>
      <c r="AX124" s="450">
        <v>69.180000000000007</v>
      </c>
      <c r="AY124" s="450">
        <v>69.22</v>
      </c>
      <c r="AZ124" s="450">
        <v>69.260000000000005</v>
      </c>
      <c r="BA124" s="450">
        <v>69.42</v>
      </c>
      <c r="BB124" s="450">
        <v>69.53</v>
      </c>
      <c r="BC124" s="450">
        <v>69.61</v>
      </c>
      <c r="BD124" s="450">
        <v>69.650000000000006</v>
      </c>
      <c r="BE124" s="450">
        <v>69.680000000000007</v>
      </c>
    </row>
    <row r="125" spans="2:57" x14ac:dyDescent="0.25">
      <c r="B125" s="134">
        <v>46</v>
      </c>
      <c r="C125" s="450">
        <v>67.84</v>
      </c>
      <c r="D125" s="450">
        <v>67.89</v>
      </c>
      <c r="E125" s="450">
        <v>67.94</v>
      </c>
      <c r="F125" s="450">
        <v>67.989999999999995</v>
      </c>
      <c r="G125" s="450">
        <v>68.040000000000006</v>
      </c>
      <c r="H125" s="450">
        <v>68.09</v>
      </c>
      <c r="I125" s="450">
        <v>68.14</v>
      </c>
      <c r="J125" s="450">
        <v>68.180000000000007</v>
      </c>
      <c r="K125" s="450">
        <v>68.22</v>
      </c>
      <c r="L125" s="450">
        <v>68.260000000000005</v>
      </c>
      <c r="M125" s="450">
        <v>68.290000000000006</v>
      </c>
      <c r="N125" s="450">
        <v>68.33</v>
      </c>
      <c r="O125" s="450">
        <v>68.47</v>
      </c>
      <c r="P125" s="450">
        <v>68.58</v>
      </c>
      <c r="Q125" s="450">
        <v>68.64</v>
      </c>
      <c r="R125" s="450">
        <v>68.680000000000007</v>
      </c>
      <c r="S125" s="450">
        <v>68.709999999999994</v>
      </c>
      <c r="T125" s="133"/>
      <c r="U125" s="134">
        <v>46</v>
      </c>
      <c r="V125" s="450">
        <v>68.209999999999994</v>
      </c>
      <c r="W125" s="450">
        <v>68.27</v>
      </c>
      <c r="X125" s="450">
        <v>68.319999999999993</v>
      </c>
      <c r="Y125" s="450">
        <v>68.37</v>
      </c>
      <c r="Z125" s="450">
        <v>68.42</v>
      </c>
      <c r="AA125" s="450">
        <v>68.47</v>
      </c>
      <c r="AB125" s="450">
        <v>68.52</v>
      </c>
      <c r="AC125" s="450">
        <v>68.56</v>
      </c>
      <c r="AD125" s="450">
        <v>68.599999999999994</v>
      </c>
      <c r="AE125" s="450">
        <v>68.64</v>
      </c>
      <c r="AF125" s="450">
        <v>68.680000000000007</v>
      </c>
      <c r="AG125" s="450">
        <v>68.72</v>
      </c>
      <c r="AH125" s="450">
        <v>68.87</v>
      </c>
      <c r="AI125" s="450">
        <v>68.97</v>
      </c>
      <c r="AJ125" s="450">
        <v>69.05</v>
      </c>
      <c r="AK125" s="450">
        <v>69.08</v>
      </c>
      <c r="AL125" s="450">
        <v>69.11</v>
      </c>
      <c r="AM125" s="133"/>
      <c r="AN125" s="134">
        <v>46</v>
      </c>
      <c r="AO125" s="450">
        <v>68.86</v>
      </c>
      <c r="AP125" s="450">
        <v>68.91</v>
      </c>
      <c r="AQ125" s="450">
        <v>68.97</v>
      </c>
      <c r="AR125" s="450">
        <v>69.02</v>
      </c>
      <c r="AS125" s="450">
        <v>69.069999999999993</v>
      </c>
      <c r="AT125" s="450">
        <v>69.12</v>
      </c>
      <c r="AU125" s="450">
        <v>69.17</v>
      </c>
      <c r="AV125" s="450">
        <v>69.22</v>
      </c>
      <c r="AW125" s="450">
        <v>69.260000000000005</v>
      </c>
      <c r="AX125" s="450">
        <v>69.3</v>
      </c>
      <c r="AY125" s="450">
        <v>69.34</v>
      </c>
      <c r="AZ125" s="450">
        <v>69.38</v>
      </c>
      <c r="BA125" s="450">
        <v>69.540000000000006</v>
      </c>
      <c r="BB125" s="450">
        <v>69.650000000000006</v>
      </c>
      <c r="BC125" s="450">
        <v>69.73</v>
      </c>
      <c r="BD125" s="450">
        <v>69.77</v>
      </c>
      <c r="BE125" s="450">
        <v>69.8</v>
      </c>
    </row>
    <row r="126" spans="2:57" x14ac:dyDescent="0.25">
      <c r="B126" s="134">
        <v>47</v>
      </c>
      <c r="C126" s="450">
        <v>67.95</v>
      </c>
      <c r="D126" s="450">
        <v>68</v>
      </c>
      <c r="E126" s="450">
        <v>68.06</v>
      </c>
      <c r="F126" s="450">
        <v>68.11</v>
      </c>
      <c r="G126" s="450">
        <v>68.16</v>
      </c>
      <c r="H126" s="450">
        <v>68.2</v>
      </c>
      <c r="I126" s="450">
        <v>68.25</v>
      </c>
      <c r="J126" s="450">
        <v>68.290000000000006</v>
      </c>
      <c r="K126" s="450">
        <v>68.33</v>
      </c>
      <c r="L126" s="450">
        <v>68.37</v>
      </c>
      <c r="M126" s="450">
        <v>68.41</v>
      </c>
      <c r="N126" s="450">
        <v>68.44</v>
      </c>
      <c r="O126" s="450">
        <v>68.59</v>
      </c>
      <c r="P126" s="450">
        <v>68.69</v>
      </c>
      <c r="Q126" s="450">
        <v>68.75</v>
      </c>
      <c r="R126" s="450">
        <v>68.790000000000006</v>
      </c>
      <c r="S126" s="450">
        <v>68.819999999999993</v>
      </c>
      <c r="T126" s="133"/>
      <c r="U126" s="134">
        <v>47</v>
      </c>
      <c r="V126" s="450">
        <v>68.33</v>
      </c>
      <c r="W126" s="450">
        <v>68.38</v>
      </c>
      <c r="X126" s="450">
        <v>68.44</v>
      </c>
      <c r="Y126" s="450">
        <v>68.489999999999995</v>
      </c>
      <c r="Z126" s="450">
        <v>68.540000000000006</v>
      </c>
      <c r="AA126" s="450">
        <v>68.59</v>
      </c>
      <c r="AB126" s="450">
        <v>68.64</v>
      </c>
      <c r="AC126" s="450">
        <v>68.680000000000007</v>
      </c>
      <c r="AD126" s="450">
        <v>68.72</v>
      </c>
      <c r="AE126" s="450">
        <v>68.760000000000005</v>
      </c>
      <c r="AF126" s="450">
        <v>68.8</v>
      </c>
      <c r="AG126" s="450">
        <v>68.83</v>
      </c>
      <c r="AH126" s="450">
        <v>68.98</v>
      </c>
      <c r="AI126" s="450">
        <v>69.09</v>
      </c>
      <c r="AJ126" s="450">
        <v>69.16</v>
      </c>
      <c r="AK126" s="450">
        <v>69.2</v>
      </c>
      <c r="AL126" s="450">
        <v>69.23</v>
      </c>
      <c r="AM126" s="133"/>
      <c r="AN126" s="134">
        <v>47</v>
      </c>
      <c r="AO126" s="450">
        <v>68.98</v>
      </c>
      <c r="AP126" s="450">
        <v>69.03</v>
      </c>
      <c r="AQ126" s="450">
        <v>69.09</v>
      </c>
      <c r="AR126" s="450">
        <v>69.14</v>
      </c>
      <c r="AS126" s="450">
        <v>69.2</v>
      </c>
      <c r="AT126" s="450">
        <v>69.25</v>
      </c>
      <c r="AU126" s="450">
        <v>69.290000000000006</v>
      </c>
      <c r="AV126" s="450">
        <v>69.34</v>
      </c>
      <c r="AW126" s="450">
        <v>69.38</v>
      </c>
      <c r="AX126" s="450">
        <v>69.430000000000007</v>
      </c>
      <c r="AY126" s="450">
        <v>69.459999999999994</v>
      </c>
      <c r="AZ126" s="450">
        <v>69.5</v>
      </c>
      <c r="BA126" s="450">
        <v>69.66</v>
      </c>
      <c r="BB126" s="450">
        <v>69.77</v>
      </c>
      <c r="BC126" s="450">
        <v>69.84</v>
      </c>
      <c r="BD126" s="450">
        <v>69.89</v>
      </c>
      <c r="BE126" s="450">
        <v>69.92</v>
      </c>
    </row>
    <row r="127" spans="2:57" x14ac:dyDescent="0.25">
      <c r="B127" s="134">
        <v>48</v>
      </c>
      <c r="C127" s="450">
        <v>68.06</v>
      </c>
      <c r="D127" s="450">
        <v>68.12</v>
      </c>
      <c r="E127" s="450">
        <v>68.17</v>
      </c>
      <c r="F127" s="450">
        <v>68.22</v>
      </c>
      <c r="G127" s="450">
        <v>68.27</v>
      </c>
      <c r="H127" s="450">
        <v>68.319999999999993</v>
      </c>
      <c r="I127" s="450">
        <v>68.36</v>
      </c>
      <c r="J127" s="450">
        <v>68.41</v>
      </c>
      <c r="K127" s="450">
        <v>68.45</v>
      </c>
      <c r="L127" s="450">
        <v>68.489999999999995</v>
      </c>
      <c r="M127" s="450">
        <v>68.52</v>
      </c>
      <c r="N127" s="450">
        <v>68.56</v>
      </c>
      <c r="O127" s="450">
        <v>68.7</v>
      </c>
      <c r="P127" s="450">
        <v>68.8</v>
      </c>
      <c r="Q127" s="450">
        <v>68.86</v>
      </c>
      <c r="R127" s="450">
        <v>68.900000000000006</v>
      </c>
      <c r="S127" s="450">
        <v>68.930000000000007</v>
      </c>
      <c r="T127" s="133"/>
      <c r="U127" s="134">
        <v>48</v>
      </c>
      <c r="V127" s="450">
        <v>68.44</v>
      </c>
      <c r="W127" s="450">
        <v>68.5</v>
      </c>
      <c r="X127" s="450">
        <v>68.55</v>
      </c>
      <c r="Y127" s="450">
        <v>68.61</v>
      </c>
      <c r="Z127" s="450">
        <v>68.66</v>
      </c>
      <c r="AA127" s="450">
        <v>68.709999999999994</v>
      </c>
      <c r="AB127" s="450">
        <v>68.75</v>
      </c>
      <c r="AC127" s="450">
        <v>68.8</v>
      </c>
      <c r="AD127" s="450">
        <v>68.84</v>
      </c>
      <c r="AE127" s="450">
        <v>68.88</v>
      </c>
      <c r="AF127" s="450">
        <v>68.92</v>
      </c>
      <c r="AG127" s="450">
        <v>68.95</v>
      </c>
      <c r="AH127" s="450">
        <v>69.099999999999994</v>
      </c>
      <c r="AI127" s="450">
        <v>69.209999999999994</v>
      </c>
      <c r="AJ127" s="450">
        <v>69.27</v>
      </c>
      <c r="AK127" s="450">
        <v>69.31</v>
      </c>
      <c r="AL127" s="450">
        <v>69.34</v>
      </c>
      <c r="AM127" s="133"/>
      <c r="AN127" s="134">
        <v>48</v>
      </c>
      <c r="AO127" s="450">
        <v>69.09</v>
      </c>
      <c r="AP127" s="450">
        <v>69.150000000000006</v>
      </c>
      <c r="AQ127" s="450">
        <v>69.209999999999994</v>
      </c>
      <c r="AR127" s="450">
        <v>69.260000000000005</v>
      </c>
      <c r="AS127" s="450">
        <v>69.319999999999993</v>
      </c>
      <c r="AT127" s="450">
        <v>69.37</v>
      </c>
      <c r="AU127" s="450">
        <v>69.42</v>
      </c>
      <c r="AV127" s="450">
        <v>69.459999999999994</v>
      </c>
      <c r="AW127" s="450">
        <v>69.510000000000005</v>
      </c>
      <c r="AX127" s="450">
        <v>69.55</v>
      </c>
      <c r="AY127" s="450">
        <v>69.59</v>
      </c>
      <c r="AZ127" s="450">
        <v>69.62</v>
      </c>
      <c r="BA127" s="450">
        <v>69.78</v>
      </c>
      <c r="BB127" s="450">
        <v>69.900000000000006</v>
      </c>
      <c r="BC127" s="450">
        <v>69.959999999999994</v>
      </c>
      <c r="BD127" s="450">
        <v>70.010000000000005</v>
      </c>
      <c r="BE127" s="450">
        <v>70.040000000000006</v>
      </c>
    </row>
    <row r="128" spans="2:57" x14ac:dyDescent="0.25">
      <c r="B128" s="134">
        <v>49</v>
      </c>
      <c r="C128" s="450">
        <v>68.180000000000007</v>
      </c>
      <c r="D128" s="450">
        <v>68.23</v>
      </c>
      <c r="E128" s="450">
        <v>68.290000000000006</v>
      </c>
      <c r="F128" s="450">
        <v>68.34</v>
      </c>
      <c r="G128" s="450">
        <v>68.39</v>
      </c>
      <c r="H128" s="450">
        <v>68.430000000000007</v>
      </c>
      <c r="I128" s="450">
        <v>68.48</v>
      </c>
      <c r="J128" s="450">
        <v>68.52</v>
      </c>
      <c r="K128" s="450">
        <v>68.56</v>
      </c>
      <c r="L128" s="450">
        <v>68.599999999999994</v>
      </c>
      <c r="M128" s="450">
        <v>68.64</v>
      </c>
      <c r="N128" s="450">
        <v>68.67</v>
      </c>
      <c r="O128" s="450">
        <v>68.819999999999993</v>
      </c>
      <c r="P128" s="450">
        <v>68.92</v>
      </c>
      <c r="Q128" s="450">
        <v>68.97</v>
      </c>
      <c r="R128" s="450">
        <v>69.010000000000005</v>
      </c>
      <c r="S128" s="450">
        <v>69.040000000000006</v>
      </c>
      <c r="T128" s="133"/>
      <c r="U128" s="134">
        <v>49</v>
      </c>
      <c r="V128" s="450">
        <v>68.56</v>
      </c>
      <c r="W128" s="450">
        <v>68.62</v>
      </c>
      <c r="X128" s="450">
        <v>68.67</v>
      </c>
      <c r="Y128" s="450">
        <v>68.73</v>
      </c>
      <c r="Z128" s="450">
        <v>68.78</v>
      </c>
      <c r="AA128" s="450">
        <v>68.819999999999993</v>
      </c>
      <c r="AB128" s="450">
        <v>68.87</v>
      </c>
      <c r="AC128" s="450">
        <v>68.92</v>
      </c>
      <c r="AD128" s="450">
        <v>68.959999999999994</v>
      </c>
      <c r="AE128" s="450">
        <v>69</v>
      </c>
      <c r="AF128" s="450">
        <v>69.03</v>
      </c>
      <c r="AG128" s="450">
        <v>69.069999999999993</v>
      </c>
      <c r="AH128" s="450">
        <v>69.22</v>
      </c>
      <c r="AI128" s="450">
        <v>69.33</v>
      </c>
      <c r="AJ128" s="450">
        <v>69.39</v>
      </c>
      <c r="AK128" s="450">
        <v>69.430000000000007</v>
      </c>
      <c r="AL128" s="450">
        <v>69.459999999999994</v>
      </c>
      <c r="AM128" s="133"/>
      <c r="AN128" s="134">
        <v>49</v>
      </c>
      <c r="AO128" s="450">
        <v>69.22</v>
      </c>
      <c r="AP128" s="450">
        <v>69.28</v>
      </c>
      <c r="AQ128" s="450">
        <v>69.33</v>
      </c>
      <c r="AR128" s="450">
        <v>69.39</v>
      </c>
      <c r="AS128" s="450">
        <v>69.44</v>
      </c>
      <c r="AT128" s="450">
        <v>69.489999999999995</v>
      </c>
      <c r="AU128" s="450">
        <v>69.540000000000006</v>
      </c>
      <c r="AV128" s="450">
        <v>69.59</v>
      </c>
      <c r="AW128" s="450">
        <v>69.63</v>
      </c>
      <c r="AX128" s="450">
        <v>69.67</v>
      </c>
      <c r="AY128" s="450">
        <v>69.709999999999994</v>
      </c>
      <c r="AZ128" s="450">
        <v>69.75</v>
      </c>
      <c r="BA128" s="450">
        <v>69.91</v>
      </c>
      <c r="BB128" s="450">
        <v>70.02</v>
      </c>
      <c r="BC128" s="450">
        <v>70.08</v>
      </c>
      <c r="BD128" s="450">
        <v>70.13</v>
      </c>
      <c r="BE128" s="450">
        <v>70.16</v>
      </c>
    </row>
    <row r="129" spans="2:57" x14ac:dyDescent="0.25">
      <c r="B129" s="134">
        <v>50</v>
      </c>
      <c r="C129" s="450">
        <v>68.290000000000006</v>
      </c>
      <c r="D129" s="450">
        <v>68.349999999999994</v>
      </c>
      <c r="E129" s="450">
        <v>68.400000000000006</v>
      </c>
      <c r="F129" s="450">
        <v>68.45</v>
      </c>
      <c r="G129" s="450">
        <v>68.5</v>
      </c>
      <c r="H129" s="450">
        <v>68.55</v>
      </c>
      <c r="I129" s="450">
        <v>68.599999999999994</v>
      </c>
      <c r="J129" s="450">
        <v>68.64</v>
      </c>
      <c r="K129" s="450">
        <v>68.680000000000007</v>
      </c>
      <c r="L129" s="450">
        <v>68.72</v>
      </c>
      <c r="M129" s="450">
        <v>68.75</v>
      </c>
      <c r="N129" s="450">
        <v>68.790000000000006</v>
      </c>
      <c r="O129" s="450">
        <v>68.930000000000007</v>
      </c>
      <c r="P129" s="450">
        <v>69.03</v>
      </c>
      <c r="Q129" s="450">
        <v>69.08</v>
      </c>
      <c r="R129" s="450">
        <v>69.12</v>
      </c>
      <c r="S129" s="450">
        <v>69.150000000000006</v>
      </c>
      <c r="T129" s="133"/>
      <c r="U129" s="134">
        <v>50</v>
      </c>
      <c r="V129" s="450">
        <v>68.680000000000007</v>
      </c>
      <c r="W129" s="450">
        <v>68.739999999999995</v>
      </c>
      <c r="X129" s="450">
        <v>68.790000000000006</v>
      </c>
      <c r="Y129" s="450">
        <v>68.84</v>
      </c>
      <c r="Z129" s="450">
        <v>68.900000000000006</v>
      </c>
      <c r="AA129" s="450">
        <v>68.94</v>
      </c>
      <c r="AB129" s="450">
        <v>68.989999999999995</v>
      </c>
      <c r="AC129" s="450">
        <v>69.03</v>
      </c>
      <c r="AD129" s="450">
        <v>69.08</v>
      </c>
      <c r="AE129" s="450">
        <v>69.12</v>
      </c>
      <c r="AF129" s="450">
        <v>69.150000000000006</v>
      </c>
      <c r="AG129" s="450">
        <v>69.19</v>
      </c>
      <c r="AH129" s="450">
        <v>69.34</v>
      </c>
      <c r="AI129" s="450">
        <v>69.44</v>
      </c>
      <c r="AJ129" s="450">
        <v>69.5</v>
      </c>
      <c r="AK129" s="450">
        <v>69.540000000000006</v>
      </c>
      <c r="AL129" s="450">
        <v>69.569999999999993</v>
      </c>
      <c r="AM129" s="133"/>
      <c r="AN129" s="134">
        <v>50</v>
      </c>
      <c r="AO129" s="450">
        <v>69.34</v>
      </c>
      <c r="AP129" s="450">
        <v>69.400000000000006</v>
      </c>
      <c r="AQ129" s="450">
        <v>69.459999999999994</v>
      </c>
      <c r="AR129" s="450">
        <v>69.510000000000005</v>
      </c>
      <c r="AS129" s="450">
        <v>69.56</v>
      </c>
      <c r="AT129" s="450">
        <v>69.61</v>
      </c>
      <c r="AU129" s="450">
        <v>69.66</v>
      </c>
      <c r="AV129" s="450">
        <v>69.709999999999994</v>
      </c>
      <c r="AW129" s="450">
        <v>69.75</v>
      </c>
      <c r="AX129" s="450">
        <v>69.8</v>
      </c>
      <c r="AY129" s="450">
        <v>69.83</v>
      </c>
      <c r="AZ129" s="450">
        <v>69.87</v>
      </c>
      <c r="BA129" s="450">
        <v>70.03</v>
      </c>
      <c r="BB129" s="450">
        <v>70.14</v>
      </c>
      <c r="BC129" s="450">
        <v>70.209999999999994</v>
      </c>
      <c r="BD129" s="450">
        <v>70.25</v>
      </c>
      <c r="BE129" s="450">
        <v>70.28</v>
      </c>
    </row>
    <row r="130" spans="2:57" x14ac:dyDescent="0.25">
      <c r="B130" s="134">
        <v>51</v>
      </c>
      <c r="C130" s="450">
        <v>68.41</v>
      </c>
      <c r="D130" s="450">
        <v>68.459999999999994</v>
      </c>
      <c r="E130" s="450">
        <v>68.52</v>
      </c>
      <c r="F130" s="450">
        <v>68.569999999999993</v>
      </c>
      <c r="G130" s="450">
        <v>68.62</v>
      </c>
      <c r="H130" s="450">
        <v>68.67</v>
      </c>
      <c r="I130" s="450">
        <v>68.709999999999994</v>
      </c>
      <c r="J130" s="450">
        <v>68.75</v>
      </c>
      <c r="K130" s="450">
        <v>68.790000000000006</v>
      </c>
      <c r="L130" s="450">
        <v>68.83</v>
      </c>
      <c r="M130" s="450">
        <v>68.87</v>
      </c>
      <c r="N130" s="450">
        <v>68.900000000000006</v>
      </c>
      <c r="O130" s="450">
        <v>69.040000000000006</v>
      </c>
      <c r="P130" s="450">
        <v>69.14</v>
      </c>
      <c r="Q130" s="450">
        <v>69.19</v>
      </c>
      <c r="R130" s="450">
        <v>69.23</v>
      </c>
      <c r="S130" s="450">
        <v>69.260000000000005</v>
      </c>
      <c r="T130" s="133"/>
      <c r="U130" s="134">
        <v>51</v>
      </c>
      <c r="V130" s="450">
        <v>68.8</v>
      </c>
      <c r="W130" s="450">
        <v>68.849999999999994</v>
      </c>
      <c r="X130" s="450">
        <v>68.91</v>
      </c>
      <c r="Y130" s="450">
        <v>68.959999999999994</v>
      </c>
      <c r="Z130" s="450">
        <v>69.010000000000005</v>
      </c>
      <c r="AA130" s="450">
        <v>69.06</v>
      </c>
      <c r="AB130" s="450">
        <v>69.11</v>
      </c>
      <c r="AC130" s="450">
        <v>69.150000000000006</v>
      </c>
      <c r="AD130" s="450">
        <v>69.19</v>
      </c>
      <c r="AE130" s="450">
        <v>69.23</v>
      </c>
      <c r="AF130" s="450">
        <v>69.27</v>
      </c>
      <c r="AG130" s="450">
        <v>69.31</v>
      </c>
      <c r="AH130" s="450">
        <v>69.459999999999994</v>
      </c>
      <c r="AI130" s="450">
        <v>69.56</v>
      </c>
      <c r="AJ130" s="450">
        <v>69.62</v>
      </c>
      <c r="AK130" s="450">
        <v>69.66</v>
      </c>
      <c r="AL130" s="450">
        <v>69.69</v>
      </c>
      <c r="AM130" s="133"/>
      <c r="AN130" s="134">
        <v>51</v>
      </c>
      <c r="AO130" s="450">
        <v>69.459999999999994</v>
      </c>
      <c r="AP130" s="450">
        <v>69.52</v>
      </c>
      <c r="AQ130" s="450">
        <v>69.58</v>
      </c>
      <c r="AR130" s="450">
        <v>69.64</v>
      </c>
      <c r="AS130" s="450">
        <v>69.69</v>
      </c>
      <c r="AT130" s="450">
        <v>69.739999999999995</v>
      </c>
      <c r="AU130" s="450">
        <v>69.790000000000006</v>
      </c>
      <c r="AV130" s="450">
        <v>69.83</v>
      </c>
      <c r="AW130" s="450">
        <v>69.88</v>
      </c>
      <c r="AX130" s="450">
        <v>69.92</v>
      </c>
      <c r="AY130" s="450">
        <v>69.959999999999994</v>
      </c>
      <c r="AZ130" s="450">
        <v>70</v>
      </c>
      <c r="BA130" s="450">
        <v>70.150000000000006</v>
      </c>
      <c r="BB130" s="450">
        <v>70.260000000000005</v>
      </c>
      <c r="BC130" s="450">
        <v>70.33</v>
      </c>
      <c r="BD130" s="450">
        <v>70.37</v>
      </c>
      <c r="BE130" s="450">
        <v>70.400000000000006</v>
      </c>
    </row>
    <row r="131" spans="2:57" x14ac:dyDescent="0.25">
      <c r="B131" s="134">
        <v>52</v>
      </c>
      <c r="C131" s="450">
        <v>68.52</v>
      </c>
      <c r="D131" s="450">
        <v>68.58</v>
      </c>
      <c r="E131" s="450">
        <v>68.63</v>
      </c>
      <c r="F131" s="450">
        <v>68.69</v>
      </c>
      <c r="G131" s="450">
        <v>68.73</v>
      </c>
      <c r="H131" s="450">
        <v>68.78</v>
      </c>
      <c r="I131" s="450">
        <v>68.83</v>
      </c>
      <c r="J131" s="450">
        <v>68.87</v>
      </c>
      <c r="K131" s="450">
        <v>68.91</v>
      </c>
      <c r="L131" s="450">
        <v>68.95</v>
      </c>
      <c r="M131" s="450">
        <v>68.98</v>
      </c>
      <c r="N131" s="450">
        <v>69.02</v>
      </c>
      <c r="O131" s="450">
        <v>69.16</v>
      </c>
      <c r="P131" s="450">
        <v>69.25</v>
      </c>
      <c r="Q131" s="450">
        <v>69.3</v>
      </c>
      <c r="R131" s="450">
        <v>69.34</v>
      </c>
      <c r="S131" s="450">
        <v>69.37</v>
      </c>
      <c r="T131" s="133"/>
      <c r="U131" s="134">
        <v>52</v>
      </c>
      <c r="V131" s="450">
        <v>68.92</v>
      </c>
      <c r="W131" s="450">
        <v>68.97</v>
      </c>
      <c r="X131" s="450">
        <v>69.03</v>
      </c>
      <c r="Y131" s="450">
        <v>69.08</v>
      </c>
      <c r="Z131" s="450">
        <v>69.13</v>
      </c>
      <c r="AA131" s="450">
        <v>69.180000000000007</v>
      </c>
      <c r="AB131" s="450">
        <v>69.23</v>
      </c>
      <c r="AC131" s="450">
        <v>69.27</v>
      </c>
      <c r="AD131" s="450">
        <v>69.31</v>
      </c>
      <c r="AE131" s="450">
        <v>69.349999999999994</v>
      </c>
      <c r="AF131" s="450">
        <v>69.39</v>
      </c>
      <c r="AG131" s="450">
        <v>69.42</v>
      </c>
      <c r="AH131" s="450">
        <v>69.569999999999993</v>
      </c>
      <c r="AI131" s="450">
        <v>69.67</v>
      </c>
      <c r="AJ131" s="450">
        <v>69.73</v>
      </c>
      <c r="AK131" s="450">
        <v>69.78</v>
      </c>
      <c r="AL131" s="450">
        <v>69.81</v>
      </c>
      <c r="AM131" s="133"/>
      <c r="AN131" s="134">
        <v>52</v>
      </c>
      <c r="AO131" s="450">
        <v>69.59</v>
      </c>
      <c r="AP131" s="450">
        <v>69.650000000000006</v>
      </c>
      <c r="AQ131" s="450">
        <v>69.7</v>
      </c>
      <c r="AR131" s="450">
        <v>69.760000000000005</v>
      </c>
      <c r="AS131" s="450">
        <v>69.81</v>
      </c>
      <c r="AT131" s="450">
        <v>69.86</v>
      </c>
      <c r="AU131" s="450">
        <v>69.91</v>
      </c>
      <c r="AV131" s="450">
        <v>69.959999999999994</v>
      </c>
      <c r="AW131" s="450">
        <v>70</v>
      </c>
      <c r="AX131" s="450">
        <v>70.040000000000006</v>
      </c>
      <c r="AY131" s="450">
        <v>70.08</v>
      </c>
      <c r="AZ131" s="450">
        <v>70.12</v>
      </c>
      <c r="BA131" s="450">
        <v>70.28</v>
      </c>
      <c r="BB131" s="450">
        <v>70.38</v>
      </c>
      <c r="BC131" s="450">
        <v>70.45</v>
      </c>
      <c r="BD131" s="450">
        <v>70.5</v>
      </c>
      <c r="BE131" s="450">
        <v>70.53</v>
      </c>
    </row>
    <row r="132" spans="2:57" x14ac:dyDescent="0.25">
      <c r="B132" s="134">
        <v>53</v>
      </c>
      <c r="C132" s="450">
        <v>68.64</v>
      </c>
      <c r="D132" s="450">
        <v>68.7</v>
      </c>
      <c r="E132" s="450">
        <v>68.75</v>
      </c>
      <c r="F132" s="450">
        <v>68.8</v>
      </c>
      <c r="G132" s="450">
        <v>68.849999999999994</v>
      </c>
      <c r="H132" s="450">
        <v>68.900000000000006</v>
      </c>
      <c r="I132" s="450">
        <v>68.94</v>
      </c>
      <c r="J132" s="450">
        <v>68.98</v>
      </c>
      <c r="K132" s="450">
        <v>69.02</v>
      </c>
      <c r="L132" s="450">
        <v>69.06</v>
      </c>
      <c r="M132" s="450">
        <v>69.099999999999994</v>
      </c>
      <c r="N132" s="450">
        <v>69.13</v>
      </c>
      <c r="O132" s="450">
        <v>69.27</v>
      </c>
      <c r="P132" s="450">
        <v>69.36</v>
      </c>
      <c r="Q132" s="450">
        <v>69.41</v>
      </c>
      <c r="R132" s="450">
        <v>69.45</v>
      </c>
      <c r="S132" s="450">
        <v>69.48</v>
      </c>
      <c r="T132" s="133"/>
      <c r="U132" s="134">
        <v>53</v>
      </c>
      <c r="V132" s="450">
        <v>69.040000000000006</v>
      </c>
      <c r="W132" s="450">
        <v>69.09</v>
      </c>
      <c r="X132" s="450">
        <v>69.150000000000006</v>
      </c>
      <c r="Y132" s="450">
        <v>69.2</v>
      </c>
      <c r="Z132" s="450">
        <v>69.25</v>
      </c>
      <c r="AA132" s="450">
        <v>69.3</v>
      </c>
      <c r="AB132" s="450">
        <v>69.349999999999994</v>
      </c>
      <c r="AC132" s="450">
        <v>69.39</v>
      </c>
      <c r="AD132" s="450">
        <v>69.430000000000007</v>
      </c>
      <c r="AE132" s="450">
        <v>69.47</v>
      </c>
      <c r="AF132" s="450">
        <v>69.510000000000005</v>
      </c>
      <c r="AG132" s="450">
        <v>69.540000000000006</v>
      </c>
      <c r="AH132" s="450">
        <v>69.69</v>
      </c>
      <c r="AI132" s="450">
        <v>69.78</v>
      </c>
      <c r="AJ132" s="450">
        <v>69.849999999999994</v>
      </c>
      <c r="AK132" s="450">
        <v>69.89</v>
      </c>
      <c r="AL132" s="450">
        <v>69.92</v>
      </c>
      <c r="AM132" s="133"/>
      <c r="AN132" s="134">
        <v>53</v>
      </c>
      <c r="AO132" s="450">
        <v>69.709999999999994</v>
      </c>
      <c r="AP132" s="450">
        <v>69.77</v>
      </c>
      <c r="AQ132" s="450">
        <v>69.83</v>
      </c>
      <c r="AR132" s="450">
        <v>69.88</v>
      </c>
      <c r="AS132" s="450">
        <v>69.94</v>
      </c>
      <c r="AT132" s="450">
        <v>69.989999999999995</v>
      </c>
      <c r="AU132" s="450">
        <v>70.040000000000006</v>
      </c>
      <c r="AV132" s="450">
        <v>70.08</v>
      </c>
      <c r="AW132" s="450">
        <v>70.13</v>
      </c>
      <c r="AX132" s="450">
        <v>70.17</v>
      </c>
      <c r="AY132" s="450">
        <v>70.209999999999994</v>
      </c>
      <c r="AZ132" s="450">
        <v>70.239999999999995</v>
      </c>
      <c r="BA132" s="450">
        <v>70.400000000000006</v>
      </c>
      <c r="BB132" s="450">
        <v>70.5</v>
      </c>
      <c r="BC132" s="450">
        <v>70.569999999999993</v>
      </c>
      <c r="BD132" s="450">
        <v>70.62</v>
      </c>
      <c r="BE132" s="450">
        <v>70.650000000000006</v>
      </c>
    </row>
    <row r="133" spans="2:57" x14ac:dyDescent="0.25">
      <c r="B133" s="134">
        <v>54</v>
      </c>
      <c r="C133" s="450">
        <v>68.760000000000005</v>
      </c>
      <c r="D133" s="450">
        <v>68.81</v>
      </c>
      <c r="E133" s="450">
        <v>68.86</v>
      </c>
      <c r="F133" s="450">
        <v>68.92</v>
      </c>
      <c r="G133" s="450">
        <v>68.959999999999994</v>
      </c>
      <c r="H133" s="450">
        <v>69.010000000000005</v>
      </c>
      <c r="I133" s="450">
        <v>69.05</v>
      </c>
      <c r="J133" s="450">
        <v>69.099999999999994</v>
      </c>
      <c r="K133" s="450">
        <v>69.14</v>
      </c>
      <c r="L133" s="450">
        <v>69.17</v>
      </c>
      <c r="M133" s="450">
        <v>69.209999999999994</v>
      </c>
      <c r="N133" s="450">
        <v>69.239999999999995</v>
      </c>
      <c r="O133" s="450">
        <v>69.38</v>
      </c>
      <c r="P133" s="450">
        <v>69.459999999999994</v>
      </c>
      <c r="Q133" s="450">
        <v>69.52</v>
      </c>
      <c r="R133" s="450">
        <v>69.56</v>
      </c>
      <c r="S133" s="450">
        <v>69.59</v>
      </c>
      <c r="T133" s="133"/>
      <c r="U133" s="134">
        <v>54</v>
      </c>
      <c r="V133" s="450">
        <v>69.16</v>
      </c>
      <c r="W133" s="450">
        <v>69.209999999999994</v>
      </c>
      <c r="X133" s="450">
        <v>69.27</v>
      </c>
      <c r="Y133" s="450">
        <v>69.319999999999993</v>
      </c>
      <c r="Z133" s="450">
        <v>69.37</v>
      </c>
      <c r="AA133" s="450">
        <v>69.42</v>
      </c>
      <c r="AB133" s="450">
        <v>69.459999999999994</v>
      </c>
      <c r="AC133" s="450">
        <v>69.510000000000005</v>
      </c>
      <c r="AD133" s="450">
        <v>69.55</v>
      </c>
      <c r="AE133" s="450">
        <v>69.59</v>
      </c>
      <c r="AF133" s="450">
        <v>69.63</v>
      </c>
      <c r="AG133" s="450">
        <v>69.66</v>
      </c>
      <c r="AH133" s="450">
        <v>69.81</v>
      </c>
      <c r="AI133" s="450">
        <v>69.900000000000006</v>
      </c>
      <c r="AJ133" s="450">
        <v>69.959999999999994</v>
      </c>
      <c r="AK133" s="450">
        <v>70.010000000000005</v>
      </c>
      <c r="AL133" s="450">
        <v>70.040000000000006</v>
      </c>
      <c r="AM133" s="133"/>
      <c r="AN133" s="134">
        <v>54</v>
      </c>
      <c r="AO133" s="450">
        <v>69.84</v>
      </c>
      <c r="AP133" s="450">
        <v>69.900000000000006</v>
      </c>
      <c r="AQ133" s="450">
        <v>69.95</v>
      </c>
      <c r="AR133" s="450">
        <v>70.010000000000005</v>
      </c>
      <c r="AS133" s="450">
        <v>70.06</v>
      </c>
      <c r="AT133" s="450">
        <v>70.11</v>
      </c>
      <c r="AU133" s="450">
        <v>70.16</v>
      </c>
      <c r="AV133" s="450">
        <v>70.209999999999994</v>
      </c>
      <c r="AW133" s="450">
        <v>70.25</v>
      </c>
      <c r="AX133" s="450">
        <v>70.290000000000006</v>
      </c>
      <c r="AY133" s="450">
        <v>70.33</v>
      </c>
      <c r="AZ133" s="450">
        <v>70.37</v>
      </c>
      <c r="BA133" s="450">
        <v>70.53</v>
      </c>
      <c r="BB133" s="450">
        <v>70.62</v>
      </c>
      <c r="BC133" s="450">
        <v>70.69</v>
      </c>
      <c r="BD133" s="450">
        <v>70.739999999999995</v>
      </c>
      <c r="BE133" s="450">
        <v>70.77</v>
      </c>
    </row>
    <row r="134" spans="2:57" x14ac:dyDescent="0.25">
      <c r="B134" s="134">
        <v>55</v>
      </c>
      <c r="C134" s="450">
        <v>68.87</v>
      </c>
      <c r="D134" s="450">
        <v>68.930000000000007</v>
      </c>
      <c r="E134" s="450">
        <v>68.98</v>
      </c>
      <c r="F134" s="450">
        <v>69.03</v>
      </c>
      <c r="G134" s="450">
        <v>69.08</v>
      </c>
      <c r="H134" s="450">
        <v>69.12</v>
      </c>
      <c r="I134" s="450">
        <v>69.17</v>
      </c>
      <c r="J134" s="450">
        <v>69.209999999999994</v>
      </c>
      <c r="K134" s="450">
        <v>69.25</v>
      </c>
      <c r="L134" s="450">
        <v>69.290000000000006</v>
      </c>
      <c r="M134" s="450">
        <v>69.319999999999993</v>
      </c>
      <c r="N134" s="450">
        <v>69.36</v>
      </c>
      <c r="O134" s="450">
        <v>69.489999999999995</v>
      </c>
      <c r="P134" s="450">
        <v>69.569999999999993</v>
      </c>
      <c r="Q134" s="450">
        <v>69.63</v>
      </c>
      <c r="R134" s="450">
        <v>69.67</v>
      </c>
      <c r="S134" s="450">
        <v>69.7</v>
      </c>
      <c r="T134" s="133"/>
      <c r="U134" s="134">
        <v>55</v>
      </c>
      <c r="V134" s="450">
        <v>69.27</v>
      </c>
      <c r="W134" s="450">
        <v>69.33</v>
      </c>
      <c r="X134" s="450">
        <v>69.39</v>
      </c>
      <c r="Y134" s="450">
        <v>69.44</v>
      </c>
      <c r="Z134" s="450">
        <v>69.489999999999995</v>
      </c>
      <c r="AA134" s="450">
        <v>69.540000000000006</v>
      </c>
      <c r="AB134" s="450">
        <v>69.58</v>
      </c>
      <c r="AC134" s="450">
        <v>69.62</v>
      </c>
      <c r="AD134" s="450">
        <v>69.67</v>
      </c>
      <c r="AE134" s="450">
        <v>69.709999999999994</v>
      </c>
      <c r="AF134" s="450">
        <v>69.739999999999995</v>
      </c>
      <c r="AG134" s="450">
        <v>69.78</v>
      </c>
      <c r="AH134" s="450">
        <v>69.930000000000007</v>
      </c>
      <c r="AI134" s="450">
        <v>70.010000000000005</v>
      </c>
      <c r="AJ134" s="450">
        <v>70.08</v>
      </c>
      <c r="AK134" s="450">
        <v>70.12</v>
      </c>
      <c r="AL134" s="450">
        <v>70.150000000000006</v>
      </c>
      <c r="AM134" s="133"/>
      <c r="AN134" s="134">
        <v>55</v>
      </c>
      <c r="AO134" s="450">
        <v>69.959999999999994</v>
      </c>
      <c r="AP134" s="450">
        <v>70.02</v>
      </c>
      <c r="AQ134" s="450">
        <v>70.08</v>
      </c>
      <c r="AR134" s="450">
        <v>70.13</v>
      </c>
      <c r="AS134" s="450">
        <v>70.19</v>
      </c>
      <c r="AT134" s="450">
        <v>70.239999999999995</v>
      </c>
      <c r="AU134" s="450">
        <v>70.28</v>
      </c>
      <c r="AV134" s="450">
        <v>70.33</v>
      </c>
      <c r="AW134" s="450">
        <v>70.37</v>
      </c>
      <c r="AX134" s="450">
        <v>70.42</v>
      </c>
      <c r="AY134" s="450">
        <v>70.459999999999994</v>
      </c>
      <c r="AZ134" s="450">
        <v>70.489999999999995</v>
      </c>
      <c r="BA134" s="450">
        <v>70.650000000000006</v>
      </c>
      <c r="BB134" s="450">
        <v>70.75</v>
      </c>
      <c r="BC134" s="450">
        <v>70.819999999999993</v>
      </c>
      <c r="BD134" s="450">
        <v>70.86</v>
      </c>
      <c r="BE134" s="450">
        <v>70.89</v>
      </c>
    </row>
    <row r="135" spans="2:57" x14ac:dyDescent="0.25">
      <c r="B135" s="134">
        <v>56</v>
      </c>
      <c r="C135" s="450">
        <v>68.989999999999995</v>
      </c>
      <c r="D135" s="450">
        <v>69.040000000000006</v>
      </c>
      <c r="E135" s="450">
        <v>69.09</v>
      </c>
      <c r="F135" s="450">
        <v>69.14</v>
      </c>
      <c r="G135" s="450">
        <v>69.19</v>
      </c>
      <c r="H135" s="450">
        <v>69.239999999999995</v>
      </c>
      <c r="I135" s="450">
        <v>69.28</v>
      </c>
      <c r="J135" s="450">
        <v>69.319999999999993</v>
      </c>
      <c r="K135" s="450">
        <v>69.36</v>
      </c>
      <c r="L135" s="450">
        <v>69.400000000000006</v>
      </c>
      <c r="M135" s="450">
        <v>69.430000000000007</v>
      </c>
      <c r="N135" s="450">
        <v>69.47</v>
      </c>
      <c r="O135" s="450">
        <v>69.599999999999994</v>
      </c>
      <c r="P135" s="450">
        <v>69.680000000000007</v>
      </c>
      <c r="Q135" s="450">
        <v>69.739999999999995</v>
      </c>
      <c r="R135" s="450">
        <v>69.790000000000006</v>
      </c>
      <c r="S135" s="450">
        <v>69.81</v>
      </c>
      <c r="T135" s="133"/>
      <c r="U135" s="134">
        <v>56</v>
      </c>
      <c r="V135" s="450">
        <v>69.39</v>
      </c>
      <c r="W135" s="450">
        <v>69.45</v>
      </c>
      <c r="X135" s="450">
        <v>69.5</v>
      </c>
      <c r="Y135" s="450">
        <v>69.56</v>
      </c>
      <c r="Z135" s="450">
        <v>69.61</v>
      </c>
      <c r="AA135" s="450">
        <v>69.650000000000006</v>
      </c>
      <c r="AB135" s="450">
        <v>69.7</v>
      </c>
      <c r="AC135" s="450">
        <v>69.739999999999995</v>
      </c>
      <c r="AD135" s="450">
        <v>69.78</v>
      </c>
      <c r="AE135" s="450">
        <v>69.819999999999993</v>
      </c>
      <c r="AF135" s="450">
        <v>69.86</v>
      </c>
      <c r="AG135" s="450">
        <v>69.900000000000006</v>
      </c>
      <c r="AH135" s="450">
        <v>70.040000000000006</v>
      </c>
      <c r="AI135" s="450">
        <v>70.13</v>
      </c>
      <c r="AJ135" s="450">
        <v>70.19</v>
      </c>
      <c r="AK135" s="450">
        <v>70.239999999999995</v>
      </c>
      <c r="AL135" s="450">
        <v>70.27</v>
      </c>
      <c r="AM135" s="133"/>
      <c r="AN135" s="134">
        <v>56</v>
      </c>
      <c r="AO135" s="450">
        <v>70.08</v>
      </c>
      <c r="AP135" s="450">
        <v>70.14</v>
      </c>
      <c r="AQ135" s="450">
        <v>70.2</v>
      </c>
      <c r="AR135" s="450">
        <v>70.260000000000005</v>
      </c>
      <c r="AS135" s="450">
        <v>70.31</v>
      </c>
      <c r="AT135" s="450">
        <v>70.36</v>
      </c>
      <c r="AU135" s="450">
        <v>70.41</v>
      </c>
      <c r="AV135" s="450">
        <v>70.459999999999994</v>
      </c>
      <c r="AW135" s="450">
        <v>70.5</v>
      </c>
      <c r="AX135" s="450">
        <v>70.540000000000006</v>
      </c>
      <c r="AY135" s="450">
        <v>70.58</v>
      </c>
      <c r="AZ135" s="450">
        <v>70.62</v>
      </c>
      <c r="BA135" s="450">
        <v>70.77</v>
      </c>
      <c r="BB135" s="450">
        <v>70.87</v>
      </c>
      <c r="BC135" s="450">
        <v>70.94</v>
      </c>
      <c r="BD135" s="450">
        <v>70.989999999999995</v>
      </c>
      <c r="BE135" s="450">
        <v>71.02</v>
      </c>
    </row>
    <row r="136" spans="2:57" x14ac:dyDescent="0.25">
      <c r="B136" s="134">
        <v>57</v>
      </c>
      <c r="C136" s="450">
        <v>69.099999999999994</v>
      </c>
      <c r="D136" s="450">
        <v>69.150000000000006</v>
      </c>
      <c r="E136" s="450">
        <v>69.209999999999994</v>
      </c>
      <c r="F136" s="450">
        <v>69.260000000000005</v>
      </c>
      <c r="G136" s="450">
        <v>69.3</v>
      </c>
      <c r="H136" s="450">
        <v>69.349999999999994</v>
      </c>
      <c r="I136" s="450">
        <v>69.39</v>
      </c>
      <c r="J136" s="450">
        <v>69.430000000000007</v>
      </c>
      <c r="K136" s="450">
        <v>69.47</v>
      </c>
      <c r="L136" s="450">
        <v>69.510000000000005</v>
      </c>
      <c r="M136" s="450">
        <v>69.55</v>
      </c>
      <c r="N136" s="450">
        <v>69.58</v>
      </c>
      <c r="O136" s="450">
        <v>69.709999999999994</v>
      </c>
      <c r="P136" s="450">
        <v>69.790000000000006</v>
      </c>
      <c r="Q136" s="450">
        <v>69.849999999999994</v>
      </c>
      <c r="R136" s="450">
        <v>69.900000000000006</v>
      </c>
      <c r="S136" s="450">
        <v>69.92</v>
      </c>
      <c r="T136" s="133"/>
      <c r="U136" s="134">
        <v>57</v>
      </c>
      <c r="V136" s="450">
        <v>69.510000000000005</v>
      </c>
      <c r="W136" s="450">
        <v>69.569999999999993</v>
      </c>
      <c r="X136" s="450">
        <v>69.62</v>
      </c>
      <c r="Y136" s="450">
        <v>69.67</v>
      </c>
      <c r="Z136" s="450">
        <v>69.72</v>
      </c>
      <c r="AA136" s="450">
        <v>69.77</v>
      </c>
      <c r="AB136" s="450">
        <v>69.819999999999993</v>
      </c>
      <c r="AC136" s="450">
        <v>69.86</v>
      </c>
      <c r="AD136" s="450">
        <v>69.900000000000006</v>
      </c>
      <c r="AE136" s="450">
        <v>69.94</v>
      </c>
      <c r="AF136" s="450">
        <v>69.98</v>
      </c>
      <c r="AG136" s="450">
        <v>70.010000000000005</v>
      </c>
      <c r="AH136" s="450">
        <v>70.150000000000006</v>
      </c>
      <c r="AI136" s="450">
        <v>70.239999999999995</v>
      </c>
      <c r="AJ136" s="450">
        <v>70.31</v>
      </c>
      <c r="AK136" s="450">
        <v>70.36</v>
      </c>
      <c r="AL136" s="450">
        <v>70.39</v>
      </c>
      <c r="AM136" s="133"/>
      <c r="AN136" s="134">
        <v>57</v>
      </c>
      <c r="AO136" s="450">
        <v>70.209999999999994</v>
      </c>
      <c r="AP136" s="450">
        <v>70.27</v>
      </c>
      <c r="AQ136" s="450">
        <v>70.33</v>
      </c>
      <c r="AR136" s="450">
        <v>70.38</v>
      </c>
      <c r="AS136" s="450">
        <v>70.430000000000007</v>
      </c>
      <c r="AT136" s="450">
        <v>70.48</v>
      </c>
      <c r="AU136" s="450">
        <v>70.53</v>
      </c>
      <c r="AV136" s="450">
        <v>70.58</v>
      </c>
      <c r="AW136" s="450">
        <v>70.62</v>
      </c>
      <c r="AX136" s="450">
        <v>70.67</v>
      </c>
      <c r="AY136" s="450">
        <v>70.709999999999994</v>
      </c>
      <c r="AZ136" s="450">
        <v>70.75</v>
      </c>
      <c r="BA136" s="450">
        <v>70.900000000000006</v>
      </c>
      <c r="BB136" s="450">
        <v>70.989999999999995</v>
      </c>
      <c r="BC136" s="450">
        <v>71.069999999999993</v>
      </c>
      <c r="BD136" s="450">
        <v>71.12</v>
      </c>
      <c r="BE136" s="450">
        <v>71.14</v>
      </c>
    </row>
    <row r="137" spans="2:57" x14ac:dyDescent="0.25">
      <c r="B137" s="134">
        <v>58</v>
      </c>
      <c r="C137" s="450">
        <v>69.209999999999994</v>
      </c>
      <c r="D137" s="450">
        <v>69.27</v>
      </c>
      <c r="E137" s="450">
        <v>69.319999999999993</v>
      </c>
      <c r="F137" s="450">
        <v>69.37</v>
      </c>
      <c r="G137" s="450">
        <v>69.42</v>
      </c>
      <c r="H137" s="450">
        <v>69.459999999999994</v>
      </c>
      <c r="I137" s="450">
        <v>69.510000000000005</v>
      </c>
      <c r="J137" s="450">
        <v>69.55</v>
      </c>
      <c r="K137" s="450">
        <v>69.59</v>
      </c>
      <c r="L137" s="450">
        <v>69.62</v>
      </c>
      <c r="M137" s="450">
        <v>69.66</v>
      </c>
      <c r="N137" s="450">
        <v>69.69</v>
      </c>
      <c r="O137" s="450">
        <v>69.819999999999993</v>
      </c>
      <c r="P137" s="450">
        <v>69.900000000000006</v>
      </c>
      <c r="Q137" s="450">
        <v>69.97</v>
      </c>
      <c r="R137" s="450">
        <v>70.010000000000005</v>
      </c>
      <c r="S137" s="450">
        <v>70.040000000000006</v>
      </c>
      <c r="T137" s="133"/>
      <c r="U137" s="134">
        <v>58</v>
      </c>
      <c r="V137" s="450">
        <v>69.63</v>
      </c>
      <c r="W137" s="450">
        <v>69.680000000000007</v>
      </c>
      <c r="X137" s="450">
        <v>69.739999999999995</v>
      </c>
      <c r="Y137" s="450">
        <v>69.790000000000006</v>
      </c>
      <c r="Z137" s="450">
        <v>69.84</v>
      </c>
      <c r="AA137" s="450">
        <v>69.89</v>
      </c>
      <c r="AB137" s="450">
        <v>69.930000000000007</v>
      </c>
      <c r="AC137" s="450">
        <v>69.98</v>
      </c>
      <c r="AD137" s="450">
        <v>70.02</v>
      </c>
      <c r="AE137" s="450">
        <v>70.06</v>
      </c>
      <c r="AF137" s="450">
        <v>70.099999999999994</v>
      </c>
      <c r="AG137" s="450">
        <v>70.13</v>
      </c>
      <c r="AH137" s="450">
        <v>70.27</v>
      </c>
      <c r="AI137" s="450">
        <v>70.36</v>
      </c>
      <c r="AJ137" s="450">
        <v>70.430000000000007</v>
      </c>
      <c r="AK137" s="450">
        <v>70.48</v>
      </c>
      <c r="AL137" s="450">
        <v>70.510000000000005</v>
      </c>
      <c r="AM137" s="133"/>
      <c r="AN137" s="134">
        <v>58</v>
      </c>
      <c r="AO137" s="450">
        <v>70.33</v>
      </c>
      <c r="AP137" s="450">
        <v>70.39</v>
      </c>
      <c r="AQ137" s="450">
        <v>70.45</v>
      </c>
      <c r="AR137" s="450">
        <v>70.510000000000005</v>
      </c>
      <c r="AS137" s="450">
        <v>70.56</v>
      </c>
      <c r="AT137" s="450">
        <v>70.61</v>
      </c>
      <c r="AU137" s="450">
        <v>70.66</v>
      </c>
      <c r="AV137" s="450">
        <v>70.709999999999994</v>
      </c>
      <c r="AW137" s="450">
        <v>70.75</v>
      </c>
      <c r="AX137" s="450">
        <v>70.790000000000006</v>
      </c>
      <c r="AY137" s="450">
        <v>70.83</v>
      </c>
      <c r="AZ137" s="450">
        <v>70.87</v>
      </c>
      <c r="BA137" s="450">
        <v>71.02</v>
      </c>
      <c r="BB137" s="450">
        <v>71.12</v>
      </c>
      <c r="BC137" s="450">
        <v>71.2</v>
      </c>
      <c r="BD137" s="450">
        <v>71.239999999999995</v>
      </c>
      <c r="BE137" s="450">
        <v>71.27</v>
      </c>
    </row>
    <row r="138" spans="2:57" x14ac:dyDescent="0.25">
      <c r="B138" s="134">
        <v>59</v>
      </c>
      <c r="C138" s="450">
        <v>69.33</v>
      </c>
      <c r="D138" s="450">
        <v>69.38</v>
      </c>
      <c r="E138" s="450">
        <v>69.430000000000007</v>
      </c>
      <c r="F138" s="450">
        <v>69.48</v>
      </c>
      <c r="G138" s="450">
        <v>69.53</v>
      </c>
      <c r="H138" s="450">
        <v>69.569999999999993</v>
      </c>
      <c r="I138" s="450">
        <v>69.62</v>
      </c>
      <c r="J138" s="450">
        <v>69.66</v>
      </c>
      <c r="K138" s="450">
        <v>69.7</v>
      </c>
      <c r="L138" s="450">
        <v>69.739999999999995</v>
      </c>
      <c r="M138" s="450">
        <v>69.77</v>
      </c>
      <c r="N138" s="450">
        <v>69.81</v>
      </c>
      <c r="O138" s="450">
        <v>69.930000000000007</v>
      </c>
      <c r="P138" s="450">
        <v>70.02</v>
      </c>
      <c r="Q138" s="450">
        <v>70.08</v>
      </c>
      <c r="R138" s="450">
        <v>70.13</v>
      </c>
      <c r="S138" s="450">
        <v>70.150000000000006</v>
      </c>
      <c r="T138" s="133"/>
      <c r="U138" s="134">
        <v>59</v>
      </c>
      <c r="V138" s="450">
        <v>69.75</v>
      </c>
      <c r="W138" s="450">
        <v>69.8</v>
      </c>
      <c r="X138" s="450">
        <v>69.86</v>
      </c>
      <c r="Y138" s="450">
        <v>69.91</v>
      </c>
      <c r="Z138" s="450">
        <v>69.959999999999994</v>
      </c>
      <c r="AA138" s="450">
        <v>70.010000000000005</v>
      </c>
      <c r="AB138" s="450">
        <v>70.05</v>
      </c>
      <c r="AC138" s="450">
        <v>70.099999999999994</v>
      </c>
      <c r="AD138" s="450">
        <v>70.14</v>
      </c>
      <c r="AE138" s="450">
        <v>70.180000000000007</v>
      </c>
      <c r="AF138" s="450">
        <v>70.22</v>
      </c>
      <c r="AG138" s="450">
        <v>70.25</v>
      </c>
      <c r="AH138" s="450">
        <v>70.39</v>
      </c>
      <c r="AI138" s="450">
        <v>70.48</v>
      </c>
      <c r="AJ138" s="450">
        <v>70.56</v>
      </c>
      <c r="AK138" s="450">
        <v>70.61</v>
      </c>
      <c r="AL138" s="450">
        <v>70.63</v>
      </c>
      <c r="AM138" s="133"/>
      <c r="AN138" s="134">
        <v>59</v>
      </c>
      <c r="AO138" s="450">
        <v>70.459999999999994</v>
      </c>
      <c r="AP138" s="450">
        <v>70.52</v>
      </c>
      <c r="AQ138" s="450">
        <v>70.569999999999993</v>
      </c>
      <c r="AR138" s="450">
        <v>70.63</v>
      </c>
      <c r="AS138" s="450">
        <v>70.680000000000007</v>
      </c>
      <c r="AT138" s="450">
        <v>70.739999999999995</v>
      </c>
      <c r="AU138" s="450">
        <v>70.790000000000006</v>
      </c>
      <c r="AV138" s="450">
        <v>70.83</v>
      </c>
      <c r="AW138" s="450">
        <v>70.88</v>
      </c>
      <c r="AX138" s="450">
        <v>70.92</v>
      </c>
      <c r="AY138" s="450">
        <v>70.959999999999994</v>
      </c>
      <c r="AZ138" s="450">
        <v>71</v>
      </c>
      <c r="BA138" s="450">
        <v>71.150000000000006</v>
      </c>
      <c r="BB138" s="450">
        <v>71.25</v>
      </c>
      <c r="BC138" s="450">
        <v>71.33</v>
      </c>
      <c r="BD138" s="450">
        <v>71.38</v>
      </c>
      <c r="BE138" s="450">
        <v>71.400000000000006</v>
      </c>
    </row>
    <row r="139" spans="2:57" x14ac:dyDescent="0.25">
      <c r="B139" s="134">
        <v>60</v>
      </c>
      <c r="C139" s="450">
        <v>69.44</v>
      </c>
      <c r="D139" s="450">
        <v>69.489999999999995</v>
      </c>
      <c r="E139" s="450">
        <v>69.540000000000006</v>
      </c>
      <c r="F139" s="450">
        <v>69.59</v>
      </c>
      <c r="G139" s="450">
        <v>69.64</v>
      </c>
      <c r="H139" s="450">
        <v>69.69</v>
      </c>
      <c r="I139" s="450">
        <v>69.73</v>
      </c>
      <c r="J139" s="450">
        <v>69.77</v>
      </c>
      <c r="K139" s="450">
        <v>69.81</v>
      </c>
      <c r="L139" s="450">
        <v>69.849999999999994</v>
      </c>
      <c r="M139" s="450">
        <v>69.89</v>
      </c>
      <c r="N139" s="450">
        <v>69.92</v>
      </c>
      <c r="O139" s="450">
        <v>70.040000000000006</v>
      </c>
      <c r="P139" s="450">
        <v>70.13</v>
      </c>
      <c r="Q139" s="450">
        <v>70.2</v>
      </c>
      <c r="R139" s="450">
        <v>70.25</v>
      </c>
      <c r="S139" s="450">
        <v>70.27</v>
      </c>
      <c r="T139" s="133"/>
      <c r="U139" s="134">
        <v>60</v>
      </c>
      <c r="V139" s="450">
        <v>69.86</v>
      </c>
      <c r="W139" s="450">
        <v>69.92</v>
      </c>
      <c r="X139" s="450">
        <v>69.97</v>
      </c>
      <c r="Y139" s="450">
        <v>70.03</v>
      </c>
      <c r="Z139" s="450">
        <v>70.08</v>
      </c>
      <c r="AA139" s="450">
        <v>70.13</v>
      </c>
      <c r="AB139" s="450">
        <v>70.17</v>
      </c>
      <c r="AC139" s="450">
        <v>70.22</v>
      </c>
      <c r="AD139" s="450">
        <v>70.260000000000005</v>
      </c>
      <c r="AE139" s="450">
        <v>70.3</v>
      </c>
      <c r="AF139" s="450">
        <v>70.34</v>
      </c>
      <c r="AG139" s="450">
        <v>70.38</v>
      </c>
      <c r="AH139" s="450">
        <v>70.510000000000005</v>
      </c>
      <c r="AI139" s="450">
        <v>70.61</v>
      </c>
      <c r="AJ139" s="450">
        <v>70.680000000000007</v>
      </c>
      <c r="AK139" s="450">
        <v>70.73</v>
      </c>
      <c r="AL139" s="450">
        <v>70.760000000000005</v>
      </c>
      <c r="AM139" s="133"/>
      <c r="AN139" s="134">
        <v>60</v>
      </c>
      <c r="AO139" s="450">
        <v>70.58</v>
      </c>
      <c r="AP139" s="450">
        <v>70.64</v>
      </c>
      <c r="AQ139" s="450">
        <v>70.7</v>
      </c>
      <c r="AR139" s="450">
        <v>70.760000000000005</v>
      </c>
      <c r="AS139" s="450">
        <v>70.81</v>
      </c>
      <c r="AT139" s="450">
        <v>70.86</v>
      </c>
      <c r="AU139" s="450">
        <v>70.91</v>
      </c>
      <c r="AV139" s="450">
        <v>70.959999999999994</v>
      </c>
      <c r="AW139" s="450">
        <v>71.010000000000005</v>
      </c>
      <c r="AX139" s="450">
        <v>71.05</v>
      </c>
      <c r="AY139" s="450">
        <v>71.09</v>
      </c>
      <c r="AZ139" s="450">
        <v>71.13</v>
      </c>
      <c r="BA139" s="450">
        <v>71.28</v>
      </c>
      <c r="BB139" s="450">
        <v>71.39</v>
      </c>
      <c r="BC139" s="450">
        <v>71.459999999999994</v>
      </c>
      <c r="BD139" s="450">
        <v>71.510000000000005</v>
      </c>
      <c r="BE139" s="450">
        <v>71.540000000000006</v>
      </c>
    </row>
    <row r="140" spans="2:57" x14ac:dyDescent="0.25">
      <c r="B140" s="134">
        <v>61</v>
      </c>
      <c r="C140" s="450">
        <v>69.55</v>
      </c>
      <c r="D140" s="450">
        <v>69.61</v>
      </c>
      <c r="E140" s="450">
        <v>69.66</v>
      </c>
      <c r="F140" s="450">
        <v>69.709999999999994</v>
      </c>
      <c r="G140" s="450">
        <v>69.760000000000005</v>
      </c>
      <c r="H140" s="450">
        <v>69.8</v>
      </c>
      <c r="I140" s="450">
        <v>69.849999999999994</v>
      </c>
      <c r="J140" s="450">
        <v>69.89</v>
      </c>
      <c r="K140" s="450">
        <v>69.930000000000007</v>
      </c>
      <c r="L140" s="450">
        <v>69.97</v>
      </c>
      <c r="M140" s="450">
        <v>70</v>
      </c>
      <c r="N140" s="450">
        <v>70.03</v>
      </c>
      <c r="O140" s="450">
        <v>70.16</v>
      </c>
      <c r="P140" s="450">
        <v>70.25</v>
      </c>
      <c r="Q140" s="450">
        <v>70.319999999999993</v>
      </c>
      <c r="R140" s="450">
        <v>70.37</v>
      </c>
      <c r="S140" s="450">
        <v>70.400000000000006</v>
      </c>
      <c r="T140" s="133"/>
      <c r="U140" s="134">
        <v>61</v>
      </c>
      <c r="V140" s="450">
        <v>69.98</v>
      </c>
      <c r="W140" s="450">
        <v>70.040000000000006</v>
      </c>
      <c r="X140" s="450">
        <v>70.09</v>
      </c>
      <c r="Y140" s="450">
        <v>70.150000000000006</v>
      </c>
      <c r="Z140" s="450">
        <v>70.2</v>
      </c>
      <c r="AA140" s="450">
        <v>70.25</v>
      </c>
      <c r="AB140" s="450">
        <v>70.290000000000006</v>
      </c>
      <c r="AC140" s="450">
        <v>70.34</v>
      </c>
      <c r="AD140" s="450">
        <v>70.38</v>
      </c>
      <c r="AE140" s="450">
        <v>70.42</v>
      </c>
      <c r="AF140" s="450">
        <v>70.459999999999994</v>
      </c>
      <c r="AG140" s="450">
        <v>70.489999999999995</v>
      </c>
      <c r="AH140" s="450">
        <v>70.63</v>
      </c>
      <c r="AI140" s="450">
        <v>70.739999999999995</v>
      </c>
      <c r="AJ140" s="450">
        <v>70.819999999999993</v>
      </c>
      <c r="AK140" s="450">
        <v>70.87</v>
      </c>
      <c r="AL140" s="450">
        <v>70.900000000000006</v>
      </c>
      <c r="AM140" s="133"/>
      <c r="AN140" s="134">
        <v>61</v>
      </c>
      <c r="AO140" s="450">
        <v>70.709999999999994</v>
      </c>
      <c r="AP140" s="450">
        <v>70.77</v>
      </c>
      <c r="AQ140" s="450">
        <v>70.83</v>
      </c>
      <c r="AR140" s="450">
        <v>70.89</v>
      </c>
      <c r="AS140" s="450">
        <v>70.94</v>
      </c>
      <c r="AT140" s="450">
        <v>70.989999999999995</v>
      </c>
      <c r="AU140" s="450">
        <v>71.040000000000006</v>
      </c>
      <c r="AV140" s="450">
        <v>71.09</v>
      </c>
      <c r="AW140" s="450">
        <v>71.14</v>
      </c>
      <c r="AX140" s="450">
        <v>71.180000000000007</v>
      </c>
      <c r="AY140" s="450">
        <v>71.23</v>
      </c>
      <c r="AZ140" s="450">
        <v>71.260000000000005</v>
      </c>
      <c r="BA140" s="450">
        <v>71.41</v>
      </c>
      <c r="BB140" s="450">
        <v>71.52</v>
      </c>
      <c r="BC140" s="450">
        <v>71.599999999999994</v>
      </c>
      <c r="BD140" s="450">
        <v>71.650000000000006</v>
      </c>
      <c r="BE140" s="450">
        <v>71.680000000000007</v>
      </c>
    </row>
    <row r="141" spans="2:57" x14ac:dyDescent="0.25">
      <c r="B141" s="134">
        <v>62</v>
      </c>
      <c r="C141" s="450">
        <v>69.66</v>
      </c>
      <c r="D141" s="450">
        <v>69.72</v>
      </c>
      <c r="E141" s="450">
        <v>69.77</v>
      </c>
      <c r="F141" s="450">
        <v>69.819999999999993</v>
      </c>
      <c r="G141" s="450">
        <v>69.87</v>
      </c>
      <c r="H141" s="450">
        <v>69.92</v>
      </c>
      <c r="I141" s="450">
        <v>69.959999999999994</v>
      </c>
      <c r="J141" s="450">
        <v>70.010000000000005</v>
      </c>
      <c r="K141" s="450">
        <v>70.05</v>
      </c>
      <c r="L141" s="450">
        <v>70.09</v>
      </c>
      <c r="M141" s="450">
        <v>70.12</v>
      </c>
      <c r="N141" s="450">
        <v>70.150000000000006</v>
      </c>
      <c r="O141" s="450">
        <v>70.28</v>
      </c>
      <c r="P141" s="450">
        <v>70.38</v>
      </c>
      <c r="Q141" s="450">
        <v>70.45</v>
      </c>
      <c r="R141" s="450">
        <v>70.5</v>
      </c>
      <c r="S141" s="450">
        <v>70.52</v>
      </c>
      <c r="T141" s="133"/>
      <c r="U141" s="134">
        <v>62</v>
      </c>
      <c r="V141" s="450">
        <v>70.099999999999994</v>
      </c>
      <c r="W141" s="450">
        <v>70.16</v>
      </c>
      <c r="X141" s="450">
        <v>70.209999999999994</v>
      </c>
      <c r="Y141" s="450">
        <v>70.27</v>
      </c>
      <c r="Z141" s="450">
        <v>70.319999999999993</v>
      </c>
      <c r="AA141" s="450">
        <v>70.37</v>
      </c>
      <c r="AB141" s="450">
        <v>70.42</v>
      </c>
      <c r="AC141" s="450">
        <v>70.459999999999994</v>
      </c>
      <c r="AD141" s="450">
        <v>70.510000000000005</v>
      </c>
      <c r="AE141" s="450">
        <v>70.55</v>
      </c>
      <c r="AF141" s="450">
        <v>70.58</v>
      </c>
      <c r="AG141" s="450">
        <v>70.62</v>
      </c>
      <c r="AH141" s="450">
        <v>70.760000000000005</v>
      </c>
      <c r="AI141" s="450">
        <v>70.87</v>
      </c>
      <c r="AJ141" s="450">
        <v>70.95</v>
      </c>
      <c r="AK141" s="450">
        <v>71.010000000000005</v>
      </c>
      <c r="AL141" s="450">
        <v>71.040000000000006</v>
      </c>
      <c r="AM141" s="133"/>
      <c r="AN141" s="134">
        <v>62</v>
      </c>
      <c r="AO141" s="450">
        <v>70.84</v>
      </c>
      <c r="AP141" s="450">
        <v>70.900000000000006</v>
      </c>
      <c r="AQ141" s="450">
        <v>70.959999999999994</v>
      </c>
      <c r="AR141" s="450">
        <v>71.010000000000005</v>
      </c>
      <c r="AS141" s="450">
        <v>71.069999999999993</v>
      </c>
      <c r="AT141" s="450">
        <v>71.12</v>
      </c>
      <c r="AU141" s="450">
        <v>71.180000000000007</v>
      </c>
      <c r="AV141" s="450">
        <v>71.23</v>
      </c>
      <c r="AW141" s="450">
        <v>71.27</v>
      </c>
      <c r="AX141" s="450">
        <v>71.319999999999993</v>
      </c>
      <c r="AY141" s="450">
        <v>71.36</v>
      </c>
      <c r="AZ141" s="450">
        <v>71.39</v>
      </c>
      <c r="BA141" s="450">
        <v>71.55</v>
      </c>
      <c r="BB141" s="450">
        <v>71.67</v>
      </c>
      <c r="BC141" s="450">
        <v>71.75</v>
      </c>
      <c r="BD141" s="450">
        <v>71.8</v>
      </c>
      <c r="BE141" s="450">
        <v>71.83</v>
      </c>
    </row>
    <row r="142" spans="2:57" x14ac:dyDescent="0.25">
      <c r="B142" s="134">
        <v>63</v>
      </c>
      <c r="C142" s="450">
        <v>69.78</v>
      </c>
      <c r="D142" s="450">
        <v>69.83</v>
      </c>
      <c r="E142" s="450">
        <v>69.89</v>
      </c>
      <c r="F142" s="450">
        <v>69.94</v>
      </c>
      <c r="G142" s="450">
        <v>69.989999999999995</v>
      </c>
      <c r="H142" s="450">
        <v>70.03</v>
      </c>
      <c r="I142" s="450">
        <v>70.08</v>
      </c>
      <c r="J142" s="450">
        <v>70.12</v>
      </c>
      <c r="K142" s="450">
        <v>70.17</v>
      </c>
      <c r="L142" s="450">
        <v>70.2</v>
      </c>
      <c r="M142" s="450">
        <v>70.23</v>
      </c>
      <c r="N142" s="450">
        <v>70.260000000000005</v>
      </c>
      <c r="O142" s="450">
        <v>70.400000000000006</v>
      </c>
      <c r="P142" s="450">
        <v>70.5</v>
      </c>
      <c r="Q142" s="450">
        <v>70.58</v>
      </c>
      <c r="R142" s="450">
        <v>70.63</v>
      </c>
      <c r="S142" s="450">
        <v>70.650000000000006</v>
      </c>
      <c r="T142" s="133"/>
      <c r="U142" s="134">
        <v>63</v>
      </c>
      <c r="V142" s="450">
        <v>70.22</v>
      </c>
      <c r="W142" s="450">
        <v>70.28</v>
      </c>
      <c r="X142" s="450">
        <v>70.34</v>
      </c>
      <c r="Y142" s="450">
        <v>70.39</v>
      </c>
      <c r="Z142" s="450">
        <v>70.44</v>
      </c>
      <c r="AA142" s="450">
        <v>70.489999999999995</v>
      </c>
      <c r="AB142" s="450">
        <v>70.540000000000006</v>
      </c>
      <c r="AC142" s="450">
        <v>70.59</v>
      </c>
      <c r="AD142" s="450">
        <v>70.64</v>
      </c>
      <c r="AE142" s="450">
        <v>70.67</v>
      </c>
      <c r="AF142" s="450">
        <v>70.709999999999994</v>
      </c>
      <c r="AG142" s="450">
        <v>70.739999999999995</v>
      </c>
      <c r="AH142" s="450">
        <v>70.89</v>
      </c>
      <c r="AI142" s="450">
        <v>71.010000000000005</v>
      </c>
      <c r="AJ142" s="450">
        <v>71.09</v>
      </c>
      <c r="AK142" s="450">
        <v>71.150000000000006</v>
      </c>
      <c r="AL142" s="450">
        <v>71.180000000000007</v>
      </c>
      <c r="AM142" s="133"/>
      <c r="AN142" s="134">
        <v>63</v>
      </c>
      <c r="AO142" s="450">
        <v>70.959999999999994</v>
      </c>
      <c r="AP142" s="450">
        <v>71.03</v>
      </c>
      <c r="AQ142" s="450">
        <v>71.09</v>
      </c>
      <c r="AR142" s="450">
        <v>71.150000000000006</v>
      </c>
      <c r="AS142" s="450">
        <v>71.2</v>
      </c>
      <c r="AT142" s="450">
        <v>71.260000000000005</v>
      </c>
      <c r="AU142" s="450">
        <v>71.31</v>
      </c>
      <c r="AV142" s="450">
        <v>71.36</v>
      </c>
      <c r="AW142" s="450">
        <v>71.41</v>
      </c>
      <c r="AX142" s="450">
        <v>71.45</v>
      </c>
      <c r="AY142" s="450">
        <v>71.489999999999995</v>
      </c>
      <c r="AZ142" s="450">
        <v>71.53</v>
      </c>
      <c r="BA142" s="450">
        <v>71.69</v>
      </c>
      <c r="BB142" s="450">
        <v>71.819999999999993</v>
      </c>
      <c r="BC142" s="450">
        <v>71.900000000000006</v>
      </c>
      <c r="BD142" s="450">
        <v>71.95</v>
      </c>
      <c r="BE142" s="450">
        <v>71.98</v>
      </c>
    </row>
    <row r="143" spans="2:57" x14ac:dyDescent="0.25">
      <c r="B143" s="134">
        <v>64</v>
      </c>
      <c r="C143" s="450">
        <v>69.89</v>
      </c>
      <c r="D143" s="450">
        <v>69.95</v>
      </c>
      <c r="E143" s="450">
        <v>70</v>
      </c>
      <c r="F143" s="450">
        <v>70.06</v>
      </c>
      <c r="G143" s="450">
        <v>70.11</v>
      </c>
      <c r="H143" s="450">
        <v>70.150000000000006</v>
      </c>
      <c r="I143" s="450">
        <v>70.2</v>
      </c>
      <c r="J143" s="450">
        <v>70.25</v>
      </c>
      <c r="K143" s="450">
        <v>70.28</v>
      </c>
      <c r="L143" s="450">
        <v>70.319999999999993</v>
      </c>
      <c r="M143" s="450">
        <v>70.349999999999994</v>
      </c>
      <c r="N143" s="450">
        <v>70.38</v>
      </c>
      <c r="O143" s="450">
        <v>70.53</v>
      </c>
      <c r="P143" s="450">
        <v>70.64</v>
      </c>
      <c r="Q143" s="450">
        <v>70.709999999999994</v>
      </c>
      <c r="R143" s="450">
        <v>70.760000000000005</v>
      </c>
      <c r="S143" s="450">
        <v>70.790000000000006</v>
      </c>
      <c r="T143" s="133"/>
      <c r="U143" s="134">
        <v>64</v>
      </c>
      <c r="V143" s="450">
        <v>70.34</v>
      </c>
      <c r="W143" s="450">
        <v>70.400000000000006</v>
      </c>
      <c r="X143" s="450">
        <v>70.459999999999994</v>
      </c>
      <c r="Y143" s="450">
        <v>70.52</v>
      </c>
      <c r="Z143" s="450">
        <v>70.569999999999993</v>
      </c>
      <c r="AA143" s="450">
        <v>70.62</v>
      </c>
      <c r="AB143" s="450">
        <v>70.67</v>
      </c>
      <c r="AC143" s="450">
        <v>70.72</v>
      </c>
      <c r="AD143" s="450">
        <v>70.760000000000005</v>
      </c>
      <c r="AE143" s="450">
        <v>70.8</v>
      </c>
      <c r="AF143" s="450">
        <v>70.84</v>
      </c>
      <c r="AG143" s="450">
        <v>70.87</v>
      </c>
      <c r="AH143" s="450">
        <v>71.03</v>
      </c>
      <c r="AI143" s="450">
        <v>71.150000000000006</v>
      </c>
      <c r="AJ143" s="450">
        <v>71.239999999999995</v>
      </c>
      <c r="AK143" s="450">
        <v>71.3</v>
      </c>
      <c r="AL143" s="450">
        <v>71.33</v>
      </c>
      <c r="AM143" s="133"/>
      <c r="AN143" s="134">
        <v>64</v>
      </c>
      <c r="AO143" s="450">
        <v>71.099999999999994</v>
      </c>
      <c r="AP143" s="450">
        <v>71.16</v>
      </c>
      <c r="AQ143" s="450">
        <v>71.22</v>
      </c>
      <c r="AR143" s="450">
        <v>71.28</v>
      </c>
      <c r="AS143" s="450">
        <v>71.34</v>
      </c>
      <c r="AT143" s="450">
        <v>71.400000000000006</v>
      </c>
      <c r="AU143" s="450">
        <v>71.45</v>
      </c>
      <c r="AV143" s="450">
        <v>71.5</v>
      </c>
      <c r="AW143" s="450">
        <v>71.55</v>
      </c>
      <c r="AX143" s="450">
        <v>71.59</v>
      </c>
      <c r="AY143" s="450">
        <v>71.63</v>
      </c>
      <c r="AZ143" s="450">
        <v>71.67</v>
      </c>
      <c r="BA143" s="450">
        <v>71.84</v>
      </c>
      <c r="BB143" s="450">
        <v>71.97</v>
      </c>
      <c r="BC143" s="450">
        <v>72.06</v>
      </c>
      <c r="BD143" s="450">
        <v>72.11</v>
      </c>
      <c r="BE143" s="450">
        <v>72.13</v>
      </c>
    </row>
    <row r="144" spans="2:57" x14ac:dyDescent="0.25">
      <c r="B144" s="134">
        <v>65</v>
      </c>
      <c r="C144" s="450">
        <v>70.010000000000005</v>
      </c>
      <c r="D144" s="450">
        <v>70.069999999999993</v>
      </c>
      <c r="E144" s="450">
        <v>70.12</v>
      </c>
      <c r="F144" s="450">
        <v>70.180000000000007</v>
      </c>
      <c r="G144" s="450">
        <v>70.23</v>
      </c>
      <c r="H144" s="450">
        <v>70.28</v>
      </c>
      <c r="I144" s="450">
        <v>70.319999999999993</v>
      </c>
      <c r="J144" s="450">
        <v>70.36</v>
      </c>
      <c r="K144" s="450">
        <v>70.400000000000006</v>
      </c>
      <c r="L144" s="450">
        <v>70.44</v>
      </c>
      <c r="M144" s="450">
        <v>70.47</v>
      </c>
      <c r="N144" s="450">
        <v>70.510000000000005</v>
      </c>
      <c r="O144" s="450">
        <v>70.66</v>
      </c>
      <c r="P144" s="450">
        <v>70.77</v>
      </c>
      <c r="Q144" s="450">
        <v>70.849999999999994</v>
      </c>
      <c r="R144" s="450">
        <v>70.900000000000006</v>
      </c>
      <c r="S144" s="450" t="s">
        <v>556</v>
      </c>
      <c r="T144" s="133"/>
      <c r="U144" s="134">
        <v>65</v>
      </c>
      <c r="V144" s="450">
        <v>70.47</v>
      </c>
      <c r="W144" s="450">
        <v>70.53</v>
      </c>
      <c r="X144" s="450">
        <v>70.59</v>
      </c>
      <c r="Y144" s="450">
        <v>70.64</v>
      </c>
      <c r="Z144" s="450">
        <v>70.7</v>
      </c>
      <c r="AA144" s="450">
        <v>70.75</v>
      </c>
      <c r="AB144" s="450">
        <v>70.81</v>
      </c>
      <c r="AC144" s="450">
        <v>70.849999999999994</v>
      </c>
      <c r="AD144" s="450">
        <v>70.89</v>
      </c>
      <c r="AE144" s="450">
        <v>70.930000000000007</v>
      </c>
      <c r="AF144" s="450">
        <v>70.97</v>
      </c>
      <c r="AG144" s="450">
        <v>71.010000000000005</v>
      </c>
      <c r="AH144" s="450">
        <v>71.17</v>
      </c>
      <c r="AI144" s="450">
        <v>71.3</v>
      </c>
      <c r="AJ144" s="450">
        <v>71.39</v>
      </c>
      <c r="AK144" s="450">
        <v>71.44</v>
      </c>
      <c r="AL144" s="450" t="s">
        <v>556</v>
      </c>
      <c r="AM144" s="133"/>
      <c r="AN144" s="134">
        <v>65</v>
      </c>
      <c r="AO144" s="450">
        <v>71.23</v>
      </c>
      <c r="AP144" s="450">
        <v>71.3</v>
      </c>
      <c r="AQ144" s="450">
        <v>71.36</v>
      </c>
      <c r="AR144" s="450">
        <v>71.42</v>
      </c>
      <c r="AS144" s="450">
        <v>71.48</v>
      </c>
      <c r="AT144" s="450">
        <v>71.540000000000006</v>
      </c>
      <c r="AU144" s="450">
        <v>71.599999999999994</v>
      </c>
      <c r="AV144" s="450">
        <v>71.64</v>
      </c>
      <c r="AW144" s="450">
        <v>71.69</v>
      </c>
      <c r="AX144" s="450">
        <v>71.73</v>
      </c>
      <c r="AY144" s="450">
        <v>71.78</v>
      </c>
      <c r="AZ144" s="450">
        <v>71.819999999999993</v>
      </c>
      <c r="BA144" s="450">
        <v>72</v>
      </c>
      <c r="BB144" s="450">
        <v>72.13</v>
      </c>
      <c r="BC144" s="450">
        <v>72.22</v>
      </c>
      <c r="BD144" s="450">
        <v>72.27</v>
      </c>
      <c r="BE144" s="450" t="s">
        <v>556</v>
      </c>
    </row>
    <row r="145" spans="2:57" x14ac:dyDescent="0.25">
      <c r="B145" s="134">
        <v>66</v>
      </c>
      <c r="C145" s="450">
        <v>70.13</v>
      </c>
      <c r="D145" s="450">
        <v>70.19</v>
      </c>
      <c r="E145" s="450">
        <v>70.239999999999995</v>
      </c>
      <c r="F145" s="450">
        <v>70.3</v>
      </c>
      <c r="G145" s="450">
        <v>70.349999999999994</v>
      </c>
      <c r="H145" s="450">
        <v>70.400000000000006</v>
      </c>
      <c r="I145" s="450">
        <v>70.44</v>
      </c>
      <c r="J145" s="450">
        <v>70.48</v>
      </c>
      <c r="K145" s="450">
        <v>70.52</v>
      </c>
      <c r="L145" s="450">
        <v>70.56</v>
      </c>
      <c r="M145" s="450">
        <v>70.599999999999994</v>
      </c>
      <c r="N145" s="450">
        <v>70.64</v>
      </c>
      <c r="O145" s="450">
        <v>70.790000000000006</v>
      </c>
      <c r="P145" s="450">
        <v>70.91</v>
      </c>
      <c r="Q145" s="450">
        <v>70.989999999999995</v>
      </c>
      <c r="R145" s="450">
        <v>71.03</v>
      </c>
      <c r="S145" s="450" t="s">
        <v>556</v>
      </c>
      <c r="T145" s="133"/>
      <c r="U145" s="134">
        <v>66</v>
      </c>
      <c r="V145" s="450">
        <v>70.599999999999994</v>
      </c>
      <c r="W145" s="450">
        <v>70.66</v>
      </c>
      <c r="X145" s="450">
        <v>70.72</v>
      </c>
      <c r="Y145" s="450">
        <v>70.78</v>
      </c>
      <c r="Z145" s="450">
        <v>70.83</v>
      </c>
      <c r="AA145" s="450">
        <v>70.89</v>
      </c>
      <c r="AB145" s="450">
        <v>70.94</v>
      </c>
      <c r="AC145" s="450">
        <v>70.98</v>
      </c>
      <c r="AD145" s="450">
        <v>71.02</v>
      </c>
      <c r="AE145" s="450">
        <v>71.069999999999993</v>
      </c>
      <c r="AF145" s="450">
        <v>71.11</v>
      </c>
      <c r="AG145" s="450">
        <v>71.150000000000006</v>
      </c>
      <c r="AH145" s="450">
        <v>71.319999999999993</v>
      </c>
      <c r="AI145" s="450">
        <v>71.45</v>
      </c>
      <c r="AJ145" s="450">
        <v>71.540000000000006</v>
      </c>
      <c r="AK145" s="450">
        <v>71.599999999999994</v>
      </c>
      <c r="AL145" s="450" t="s">
        <v>556</v>
      </c>
      <c r="AM145" s="133"/>
      <c r="AN145" s="134">
        <v>66</v>
      </c>
      <c r="AO145" s="450">
        <v>71.37</v>
      </c>
      <c r="AP145" s="450">
        <v>71.44</v>
      </c>
      <c r="AQ145" s="450">
        <v>71.5</v>
      </c>
      <c r="AR145" s="450">
        <v>71.56</v>
      </c>
      <c r="AS145" s="450">
        <v>71.63</v>
      </c>
      <c r="AT145" s="450">
        <v>71.69</v>
      </c>
      <c r="AU145" s="450">
        <v>71.739999999999995</v>
      </c>
      <c r="AV145" s="450">
        <v>71.790000000000006</v>
      </c>
      <c r="AW145" s="450">
        <v>71.83</v>
      </c>
      <c r="AX145" s="450">
        <v>71.88</v>
      </c>
      <c r="AY145" s="450">
        <v>71.930000000000007</v>
      </c>
      <c r="AZ145" s="450">
        <v>71.97</v>
      </c>
      <c r="BA145" s="450">
        <v>72.16</v>
      </c>
      <c r="BB145" s="450">
        <v>72.290000000000006</v>
      </c>
      <c r="BC145" s="450">
        <v>72.38</v>
      </c>
      <c r="BD145" s="450">
        <v>72.430000000000007</v>
      </c>
      <c r="BE145" s="450" t="s">
        <v>556</v>
      </c>
    </row>
    <row r="146" spans="2:57" x14ac:dyDescent="0.25">
      <c r="B146" s="134">
        <v>67</v>
      </c>
      <c r="C146" s="450">
        <v>70.25</v>
      </c>
      <c r="D146" s="450">
        <v>70.31</v>
      </c>
      <c r="E146" s="450">
        <v>70.37</v>
      </c>
      <c r="F146" s="450">
        <v>70.42</v>
      </c>
      <c r="G146" s="450">
        <v>70.48</v>
      </c>
      <c r="H146" s="450">
        <v>70.52</v>
      </c>
      <c r="I146" s="450">
        <v>70.569999999999993</v>
      </c>
      <c r="J146" s="450">
        <v>70.61</v>
      </c>
      <c r="K146" s="450">
        <v>70.650000000000006</v>
      </c>
      <c r="L146" s="450">
        <v>70.69</v>
      </c>
      <c r="M146" s="450">
        <v>70.73</v>
      </c>
      <c r="N146" s="450">
        <v>70.77</v>
      </c>
      <c r="O146" s="450">
        <v>70.930000000000007</v>
      </c>
      <c r="P146" s="450">
        <v>71.05</v>
      </c>
      <c r="Q146" s="450">
        <v>71.13</v>
      </c>
      <c r="R146" s="450">
        <v>71.17</v>
      </c>
      <c r="S146" s="450" t="s">
        <v>556</v>
      </c>
      <c r="T146" s="133"/>
      <c r="U146" s="134">
        <v>67</v>
      </c>
      <c r="V146" s="450">
        <v>70.73</v>
      </c>
      <c r="W146" s="450">
        <v>70.790000000000006</v>
      </c>
      <c r="X146" s="450">
        <v>70.849999999999994</v>
      </c>
      <c r="Y146" s="450">
        <v>70.91</v>
      </c>
      <c r="Z146" s="450">
        <v>70.97</v>
      </c>
      <c r="AA146" s="450">
        <v>71.02</v>
      </c>
      <c r="AB146" s="450">
        <v>71.069999999999993</v>
      </c>
      <c r="AC146" s="450">
        <v>71.12</v>
      </c>
      <c r="AD146" s="450">
        <v>71.16</v>
      </c>
      <c r="AE146" s="450">
        <v>71.209999999999994</v>
      </c>
      <c r="AF146" s="450">
        <v>71.25</v>
      </c>
      <c r="AG146" s="450">
        <v>71.290000000000006</v>
      </c>
      <c r="AH146" s="450">
        <v>71.47</v>
      </c>
      <c r="AI146" s="450">
        <v>71.61</v>
      </c>
      <c r="AJ146" s="450">
        <v>71.7</v>
      </c>
      <c r="AK146" s="450">
        <v>71.75</v>
      </c>
      <c r="AL146" s="450" t="s">
        <v>556</v>
      </c>
      <c r="AM146" s="133"/>
      <c r="AN146" s="134">
        <v>67</v>
      </c>
      <c r="AO146" s="450">
        <v>71.510000000000005</v>
      </c>
      <c r="AP146" s="450">
        <v>71.58</v>
      </c>
      <c r="AQ146" s="450">
        <v>71.650000000000006</v>
      </c>
      <c r="AR146" s="450">
        <v>71.709999999999994</v>
      </c>
      <c r="AS146" s="450">
        <v>71.77</v>
      </c>
      <c r="AT146" s="450">
        <v>71.83</v>
      </c>
      <c r="AU146" s="450">
        <v>71.88</v>
      </c>
      <c r="AV146" s="450">
        <v>71.94</v>
      </c>
      <c r="AW146" s="450">
        <v>71.989999999999995</v>
      </c>
      <c r="AX146" s="450">
        <v>72.040000000000006</v>
      </c>
      <c r="AY146" s="450">
        <v>72.08</v>
      </c>
      <c r="AZ146" s="450">
        <v>72.13</v>
      </c>
      <c r="BA146" s="450">
        <v>72.319999999999993</v>
      </c>
      <c r="BB146" s="450">
        <v>72.459999999999994</v>
      </c>
      <c r="BC146" s="450">
        <v>72.55</v>
      </c>
      <c r="BD146" s="450">
        <v>72.59</v>
      </c>
      <c r="BE146" s="450" t="s">
        <v>556</v>
      </c>
    </row>
    <row r="147" spans="2:57" x14ac:dyDescent="0.25">
      <c r="B147" s="134">
        <v>68</v>
      </c>
      <c r="C147" s="450">
        <v>70.38</v>
      </c>
      <c r="D147" s="450">
        <v>70.44</v>
      </c>
      <c r="E147" s="450">
        <v>70.489999999999995</v>
      </c>
      <c r="F147" s="450">
        <v>70.55</v>
      </c>
      <c r="G147" s="450">
        <v>70.599999999999994</v>
      </c>
      <c r="H147" s="450">
        <v>70.650000000000006</v>
      </c>
      <c r="I147" s="450">
        <v>70.7</v>
      </c>
      <c r="J147" s="450">
        <v>70.739999999999995</v>
      </c>
      <c r="K147" s="450">
        <v>70.78</v>
      </c>
      <c r="L147" s="450">
        <v>70.83</v>
      </c>
      <c r="M147" s="450">
        <v>70.87</v>
      </c>
      <c r="N147" s="450">
        <v>70.91</v>
      </c>
      <c r="O147" s="450">
        <v>71.069999999999993</v>
      </c>
      <c r="P147" s="450">
        <v>71.19</v>
      </c>
      <c r="Q147" s="450">
        <v>71.27</v>
      </c>
      <c r="R147" s="450">
        <v>71.31</v>
      </c>
      <c r="S147" s="450" t="s">
        <v>556</v>
      </c>
      <c r="T147" s="133"/>
      <c r="U147" s="134">
        <v>68</v>
      </c>
      <c r="V147" s="450">
        <v>70.86</v>
      </c>
      <c r="W147" s="450">
        <v>70.930000000000007</v>
      </c>
      <c r="X147" s="450">
        <v>70.989999999999995</v>
      </c>
      <c r="Y147" s="450">
        <v>71.05</v>
      </c>
      <c r="Z147" s="450">
        <v>71.11</v>
      </c>
      <c r="AA147" s="450">
        <v>71.16</v>
      </c>
      <c r="AB147" s="450">
        <v>71.209999999999994</v>
      </c>
      <c r="AC147" s="450">
        <v>71.260000000000005</v>
      </c>
      <c r="AD147" s="450">
        <v>71.31</v>
      </c>
      <c r="AE147" s="450">
        <v>71.36</v>
      </c>
      <c r="AF147" s="450">
        <v>71.400000000000006</v>
      </c>
      <c r="AG147" s="450">
        <v>71.44</v>
      </c>
      <c r="AH147" s="450">
        <v>71.63</v>
      </c>
      <c r="AI147" s="450">
        <v>71.77</v>
      </c>
      <c r="AJ147" s="450">
        <v>71.849999999999994</v>
      </c>
      <c r="AK147" s="450">
        <v>71.91</v>
      </c>
      <c r="AL147" s="450" t="s">
        <v>556</v>
      </c>
      <c r="AM147" s="133"/>
      <c r="AN147" s="134">
        <v>68</v>
      </c>
      <c r="AO147" s="450">
        <v>71.650000000000006</v>
      </c>
      <c r="AP147" s="450">
        <v>71.73</v>
      </c>
      <c r="AQ147" s="450">
        <v>71.790000000000006</v>
      </c>
      <c r="AR147" s="450">
        <v>71.86</v>
      </c>
      <c r="AS147" s="450">
        <v>71.92</v>
      </c>
      <c r="AT147" s="450">
        <v>71.98</v>
      </c>
      <c r="AU147" s="450">
        <v>72.040000000000006</v>
      </c>
      <c r="AV147" s="450">
        <v>72.09</v>
      </c>
      <c r="AW147" s="450">
        <v>72.14</v>
      </c>
      <c r="AX147" s="450">
        <v>72.19</v>
      </c>
      <c r="AY147" s="450">
        <v>72.239999999999995</v>
      </c>
      <c r="AZ147" s="450">
        <v>72.290000000000006</v>
      </c>
      <c r="BA147" s="450">
        <v>72.489999999999995</v>
      </c>
      <c r="BB147" s="450">
        <v>72.63</v>
      </c>
      <c r="BC147" s="450">
        <v>72.72</v>
      </c>
      <c r="BD147" s="450">
        <v>72.760000000000005</v>
      </c>
      <c r="BE147" s="450" t="s">
        <v>556</v>
      </c>
    </row>
    <row r="148" spans="2:57" x14ac:dyDescent="0.25">
      <c r="B148" s="134">
        <v>69</v>
      </c>
      <c r="C148" s="450">
        <v>70.5</v>
      </c>
      <c r="D148" s="450">
        <v>70.56</v>
      </c>
      <c r="E148" s="450">
        <v>70.63</v>
      </c>
      <c r="F148" s="450">
        <v>70.680000000000007</v>
      </c>
      <c r="G148" s="450">
        <v>70.73</v>
      </c>
      <c r="H148" s="450">
        <v>70.78</v>
      </c>
      <c r="I148" s="450">
        <v>70.83</v>
      </c>
      <c r="J148" s="450">
        <v>70.87</v>
      </c>
      <c r="K148" s="450">
        <v>70.92</v>
      </c>
      <c r="L148" s="450">
        <v>70.959999999999994</v>
      </c>
      <c r="M148" s="450">
        <v>71.010000000000005</v>
      </c>
      <c r="N148" s="450">
        <v>71.05</v>
      </c>
      <c r="O148" s="450">
        <v>71.22</v>
      </c>
      <c r="P148" s="450">
        <v>71.34</v>
      </c>
      <c r="Q148" s="450">
        <v>71.41</v>
      </c>
      <c r="R148" s="450">
        <v>71.45</v>
      </c>
      <c r="S148" s="450" t="s">
        <v>556</v>
      </c>
      <c r="T148" s="133"/>
      <c r="U148" s="134">
        <v>69</v>
      </c>
      <c r="V148" s="450">
        <v>71</v>
      </c>
      <c r="W148" s="450">
        <v>71.069999999999993</v>
      </c>
      <c r="X148" s="450">
        <v>71.13</v>
      </c>
      <c r="Y148" s="450">
        <v>71.19</v>
      </c>
      <c r="Z148" s="450">
        <v>71.25</v>
      </c>
      <c r="AA148" s="450">
        <v>71.3</v>
      </c>
      <c r="AB148" s="450">
        <v>71.36</v>
      </c>
      <c r="AC148" s="450">
        <v>71.41</v>
      </c>
      <c r="AD148" s="450">
        <v>71.459999999999994</v>
      </c>
      <c r="AE148" s="450">
        <v>71.510000000000005</v>
      </c>
      <c r="AF148" s="450">
        <v>71.55</v>
      </c>
      <c r="AG148" s="450">
        <v>71.599999999999994</v>
      </c>
      <c r="AH148" s="450">
        <v>71.790000000000006</v>
      </c>
      <c r="AI148" s="450">
        <v>71.930000000000007</v>
      </c>
      <c r="AJ148" s="450">
        <v>72.010000000000005</v>
      </c>
      <c r="AK148" s="450">
        <v>72.06</v>
      </c>
      <c r="AL148" s="450" t="s">
        <v>556</v>
      </c>
      <c r="AM148" s="133"/>
      <c r="AN148" s="134">
        <v>69</v>
      </c>
      <c r="AO148" s="450">
        <v>71.8</v>
      </c>
      <c r="AP148" s="450">
        <v>71.88</v>
      </c>
      <c r="AQ148" s="450">
        <v>71.95</v>
      </c>
      <c r="AR148" s="450">
        <v>72.010000000000005</v>
      </c>
      <c r="AS148" s="450">
        <v>72.069999999999993</v>
      </c>
      <c r="AT148" s="450">
        <v>72.14</v>
      </c>
      <c r="AU148" s="450">
        <v>72.19</v>
      </c>
      <c r="AV148" s="450">
        <v>72.25</v>
      </c>
      <c r="AW148" s="450">
        <v>72.31</v>
      </c>
      <c r="AX148" s="450">
        <v>72.36</v>
      </c>
      <c r="AY148" s="450">
        <v>72.41</v>
      </c>
      <c r="AZ148" s="450">
        <v>72.459999999999994</v>
      </c>
      <c r="BA148" s="450">
        <v>72.66</v>
      </c>
      <c r="BB148" s="450">
        <v>72.8</v>
      </c>
      <c r="BC148" s="450">
        <v>72.89</v>
      </c>
      <c r="BD148" s="450">
        <v>72.92</v>
      </c>
      <c r="BE148" s="450" t="s">
        <v>556</v>
      </c>
    </row>
    <row r="149" spans="2:57" x14ac:dyDescent="0.25">
      <c r="B149" s="134">
        <v>70</v>
      </c>
      <c r="C149" s="450">
        <v>70.63</v>
      </c>
      <c r="D149" s="450">
        <v>70.7</v>
      </c>
      <c r="E149" s="450">
        <v>70.75</v>
      </c>
      <c r="F149" s="450">
        <v>70.81</v>
      </c>
      <c r="G149" s="450">
        <v>70.86</v>
      </c>
      <c r="H149" s="450">
        <v>70.91</v>
      </c>
      <c r="I149" s="450">
        <v>70.959999999999994</v>
      </c>
      <c r="J149" s="450">
        <v>71.010000000000005</v>
      </c>
      <c r="K149" s="450">
        <v>71.06</v>
      </c>
      <c r="L149" s="450">
        <v>71.11</v>
      </c>
      <c r="M149" s="450">
        <v>71.150000000000006</v>
      </c>
      <c r="N149" s="450">
        <v>71.19</v>
      </c>
      <c r="O149" s="450">
        <v>71.36</v>
      </c>
      <c r="P149" s="450">
        <v>71.48</v>
      </c>
      <c r="Q149" s="450">
        <v>71.55</v>
      </c>
      <c r="R149" s="450" t="s">
        <v>556</v>
      </c>
      <c r="S149" s="450" t="s">
        <v>556</v>
      </c>
      <c r="T149" s="133"/>
      <c r="U149" s="134">
        <v>70</v>
      </c>
      <c r="V149" s="450">
        <v>71.14</v>
      </c>
      <c r="W149" s="450">
        <v>71.209999999999994</v>
      </c>
      <c r="X149" s="450">
        <v>71.27</v>
      </c>
      <c r="Y149" s="450">
        <v>71.33</v>
      </c>
      <c r="Z149" s="450">
        <v>71.39</v>
      </c>
      <c r="AA149" s="450">
        <v>71.45</v>
      </c>
      <c r="AB149" s="450">
        <v>71.510000000000005</v>
      </c>
      <c r="AC149" s="450">
        <v>71.56</v>
      </c>
      <c r="AD149" s="450">
        <v>71.61</v>
      </c>
      <c r="AE149" s="450">
        <v>71.66</v>
      </c>
      <c r="AF149" s="450">
        <v>71.709999999999994</v>
      </c>
      <c r="AG149" s="450">
        <v>71.760000000000005</v>
      </c>
      <c r="AH149" s="450">
        <v>71.959999999999994</v>
      </c>
      <c r="AI149" s="450">
        <v>72.09</v>
      </c>
      <c r="AJ149" s="450">
        <v>72.180000000000007</v>
      </c>
      <c r="AK149" s="450" t="s">
        <v>556</v>
      </c>
      <c r="AL149" s="450" t="s">
        <v>556</v>
      </c>
      <c r="AM149" s="133"/>
      <c r="AN149" s="134">
        <v>70</v>
      </c>
      <c r="AO149" s="450">
        <v>71.959999999999994</v>
      </c>
      <c r="AP149" s="450">
        <v>72.03</v>
      </c>
      <c r="AQ149" s="450">
        <v>72.099999999999994</v>
      </c>
      <c r="AR149" s="450">
        <v>72.17</v>
      </c>
      <c r="AS149" s="450">
        <v>72.23</v>
      </c>
      <c r="AT149" s="450">
        <v>72.3</v>
      </c>
      <c r="AU149" s="450">
        <v>72.36</v>
      </c>
      <c r="AV149" s="450">
        <v>72.42</v>
      </c>
      <c r="AW149" s="450">
        <v>72.48</v>
      </c>
      <c r="AX149" s="450">
        <v>72.53</v>
      </c>
      <c r="AY149" s="450">
        <v>72.58</v>
      </c>
      <c r="AZ149" s="450">
        <v>72.63</v>
      </c>
      <c r="BA149" s="450">
        <v>72.84</v>
      </c>
      <c r="BB149" s="450">
        <v>72.98</v>
      </c>
      <c r="BC149" s="450">
        <v>73.06</v>
      </c>
      <c r="BD149" s="450" t="s">
        <v>556</v>
      </c>
      <c r="BE149" s="450" t="s">
        <v>556</v>
      </c>
    </row>
    <row r="150" spans="2:57" x14ac:dyDescent="0.25">
      <c r="B150" s="134">
        <v>71</v>
      </c>
      <c r="C150" s="450">
        <v>70.77</v>
      </c>
      <c r="D150" s="450">
        <v>70.83</v>
      </c>
      <c r="E150" s="450">
        <v>70.89</v>
      </c>
      <c r="F150" s="450">
        <v>70.94</v>
      </c>
      <c r="G150" s="450">
        <v>71</v>
      </c>
      <c r="H150" s="450">
        <v>71.05</v>
      </c>
      <c r="I150" s="450">
        <v>71.099999999999994</v>
      </c>
      <c r="J150" s="450">
        <v>71.16</v>
      </c>
      <c r="K150" s="450">
        <v>71.2</v>
      </c>
      <c r="L150" s="450">
        <v>71.25</v>
      </c>
      <c r="M150" s="450">
        <v>71.3</v>
      </c>
      <c r="N150" s="450">
        <v>71.34</v>
      </c>
      <c r="O150" s="450">
        <v>71.510000000000005</v>
      </c>
      <c r="P150" s="450">
        <v>71.63</v>
      </c>
      <c r="Q150" s="450">
        <v>71.69</v>
      </c>
      <c r="R150" s="450" t="s">
        <v>556</v>
      </c>
      <c r="S150" s="450" t="s">
        <v>556</v>
      </c>
      <c r="T150" s="133"/>
      <c r="U150" s="134">
        <v>71</v>
      </c>
      <c r="V150" s="450">
        <v>71.290000000000006</v>
      </c>
      <c r="W150" s="450">
        <v>71.349999999999994</v>
      </c>
      <c r="X150" s="450">
        <v>71.42</v>
      </c>
      <c r="Y150" s="450">
        <v>71.48</v>
      </c>
      <c r="Z150" s="450">
        <v>71.540000000000006</v>
      </c>
      <c r="AA150" s="450">
        <v>71.599999999999994</v>
      </c>
      <c r="AB150" s="450">
        <v>71.66</v>
      </c>
      <c r="AC150" s="450">
        <v>71.72</v>
      </c>
      <c r="AD150" s="450">
        <v>71.77</v>
      </c>
      <c r="AE150" s="450">
        <v>71.83</v>
      </c>
      <c r="AF150" s="450">
        <v>71.88</v>
      </c>
      <c r="AG150" s="450">
        <v>71.92</v>
      </c>
      <c r="AH150" s="450">
        <v>72.12</v>
      </c>
      <c r="AI150" s="450">
        <v>72.260000000000005</v>
      </c>
      <c r="AJ150" s="450">
        <v>72.34</v>
      </c>
      <c r="AK150" s="450" t="s">
        <v>556</v>
      </c>
      <c r="AL150" s="450" t="s">
        <v>556</v>
      </c>
      <c r="AM150" s="133"/>
      <c r="AN150" s="134">
        <v>71</v>
      </c>
      <c r="AO150" s="450">
        <v>72.12</v>
      </c>
      <c r="AP150" s="450">
        <v>72.19</v>
      </c>
      <c r="AQ150" s="450">
        <v>72.260000000000005</v>
      </c>
      <c r="AR150" s="450">
        <v>72.33</v>
      </c>
      <c r="AS150" s="450">
        <v>72.400000000000006</v>
      </c>
      <c r="AT150" s="450">
        <v>72.459999999999994</v>
      </c>
      <c r="AU150" s="450">
        <v>72.53</v>
      </c>
      <c r="AV150" s="450">
        <v>72.59</v>
      </c>
      <c r="AW150" s="450">
        <v>72.650000000000006</v>
      </c>
      <c r="AX150" s="450">
        <v>72.709999999999994</v>
      </c>
      <c r="AY150" s="450">
        <v>72.760000000000005</v>
      </c>
      <c r="AZ150" s="450">
        <v>72.81</v>
      </c>
      <c r="BA150" s="450">
        <v>73.02</v>
      </c>
      <c r="BB150" s="450">
        <v>73.16</v>
      </c>
      <c r="BC150" s="450">
        <v>73.23</v>
      </c>
      <c r="BD150" s="450" t="s">
        <v>556</v>
      </c>
      <c r="BE150" s="450" t="s">
        <v>556</v>
      </c>
    </row>
    <row r="151" spans="2:57" x14ac:dyDescent="0.25">
      <c r="B151" s="134">
        <v>72</v>
      </c>
      <c r="C151" s="450">
        <v>70.89</v>
      </c>
      <c r="D151" s="450">
        <v>70.95</v>
      </c>
      <c r="E151" s="450">
        <v>71.010000000000005</v>
      </c>
      <c r="F151" s="450">
        <v>71.069999999999993</v>
      </c>
      <c r="G151" s="450">
        <v>71.13</v>
      </c>
      <c r="H151" s="450">
        <v>71.19</v>
      </c>
      <c r="I151" s="450">
        <v>71.239999999999995</v>
      </c>
      <c r="J151" s="450">
        <v>71.3</v>
      </c>
      <c r="K151" s="450">
        <v>71.349999999999994</v>
      </c>
      <c r="L151" s="450">
        <v>71.39</v>
      </c>
      <c r="M151" s="450">
        <v>71.44</v>
      </c>
      <c r="N151" s="450">
        <v>71.48</v>
      </c>
      <c r="O151" s="450">
        <v>71.66</v>
      </c>
      <c r="P151" s="450">
        <v>71.77</v>
      </c>
      <c r="Q151" s="450">
        <v>71.819999999999993</v>
      </c>
      <c r="R151" s="450" t="s">
        <v>556</v>
      </c>
      <c r="S151" s="450" t="s">
        <v>556</v>
      </c>
      <c r="T151" s="133"/>
      <c r="U151" s="134">
        <v>72</v>
      </c>
      <c r="V151" s="450">
        <v>71.430000000000007</v>
      </c>
      <c r="W151" s="450">
        <v>71.489999999999995</v>
      </c>
      <c r="X151" s="450">
        <v>71.56</v>
      </c>
      <c r="Y151" s="450">
        <v>71.63</v>
      </c>
      <c r="Z151" s="450">
        <v>71.69</v>
      </c>
      <c r="AA151" s="450">
        <v>71.760000000000005</v>
      </c>
      <c r="AB151" s="450">
        <v>71.819999999999993</v>
      </c>
      <c r="AC151" s="450">
        <v>71.88</v>
      </c>
      <c r="AD151" s="450">
        <v>71.930000000000007</v>
      </c>
      <c r="AE151" s="450">
        <v>71.989999999999995</v>
      </c>
      <c r="AF151" s="450">
        <v>72.040000000000006</v>
      </c>
      <c r="AG151" s="450">
        <v>72.09</v>
      </c>
      <c r="AH151" s="450">
        <v>72.290000000000006</v>
      </c>
      <c r="AI151" s="450">
        <v>72.42</v>
      </c>
      <c r="AJ151" s="450">
        <v>72.489999999999995</v>
      </c>
      <c r="AK151" s="450" t="s">
        <v>556</v>
      </c>
      <c r="AL151" s="450" t="s">
        <v>556</v>
      </c>
      <c r="AM151" s="133"/>
      <c r="AN151" s="134">
        <v>72</v>
      </c>
      <c r="AO151" s="450">
        <v>72.27</v>
      </c>
      <c r="AP151" s="450">
        <v>72.34</v>
      </c>
      <c r="AQ151" s="450">
        <v>72.42</v>
      </c>
      <c r="AR151" s="450">
        <v>72.489999999999995</v>
      </c>
      <c r="AS151" s="450">
        <v>72.56</v>
      </c>
      <c r="AT151" s="450">
        <v>72.63</v>
      </c>
      <c r="AU151" s="450">
        <v>72.7</v>
      </c>
      <c r="AV151" s="450">
        <v>72.760000000000005</v>
      </c>
      <c r="AW151" s="450">
        <v>72.819999999999993</v>
      </c>
      <c r="AX151" s="450">
        <v>72.88</v>
      </c>
      <c r="AY151" s="450">
        <v>72.94</v>
      </c>
      <c r="AZ151" s="450">
        <v>72.989999999999995</v>
      </c>
      <c r="BA151" s="450">
        <v>73.2</v>
      </c>
      <c r="BB151" s="450">
        <v>73.33</v>
      </c>
      <c r="BC151" s="450">
        <v>73.400000000000006</v>
      </c>
      <c r="BD151" s="450" t="s">
        <v>556</v>
      </c>
      <c r="BE151" s="450" t="s">
        <v>556</v>
      </c>
    </row>
    <row r="152" spans="2:57" x14ac:dyDescent="0.25">
      <c r="B152" s="134">
        <v>73</v>
      </c>
      <c r="C152" s="450">
        <v>71.02</v>
      </c>
      <c r="D152" s="450">
        <v>71.09</v>
      </c>
      <c r="E152" s="450">
        <v>71.150000000000006</v>
      </c>
      <c r="F152" s="450">
        <v>71.209999999999994</v>
      </c>
      <c r="G152" s="450">
        <v>71.27</v>
      </c>
      <c r="H152" s="450">
        <v>71.33</v>
      </c>
      <c r="I152" s="450">
        <v>71.39</v>
      </c>
      <c r="J152" s="450">
        <v>71.44</v>
      </c>
      <c r="K152" s="450">
        <v>71.489999999999995</v>
      </c>
      <c r="L152" s="450">
        <v>71.540000000000006</v>
      </c>
      <c r="M152" s="450">
        <v>71.58</v>
      </c>
      <c r="N152" s="450">
        <v>71.63</v>
      </c>
      <c r="O152" s="450">
        <v>71.8</v>
      </c>
      <c r="P152" s="450">
        <v>71.900000000000006</v>
      </c>
      <c r="Q152" s="450">
        <v>71.95</v>
      </c>
      <c r="R152" s="450" t="s">
        <v>556</v>
      </c>
      <c r="S152" s="450" t="s">
        <v>556</v>
      </c>
      <c r="T152" s="133"/>
      <c r="U152" s="134">
        <v>73</v>
      </c>
      <c r="V152" s="450">
        <v>71.569999999999993</v>
      </c>
      <c r="W152" s="450">
        <v>71.64</v>
      </c>
      <c r="X152" s="450">
        <v>71.709999999999994</v>
      </c>
      <c r="Y152" s="450">
        <v>71.78</v>
      </c>
      <c r="Z152" s="450">
        <v>71.849999999999994</v>
      </c>
      <c r="AA152" s="450">
        <v>71.91</v>
      </c>
      <c r="AB152" s="450">
        <v>71.98</v>
      </c>
      <c r="AC152" s="450">
        <v>72.040000000000006</v>
      </c>
      <c r="AD152" s="450">
        <v>72.09</v>
      </c>
      <c r="AE152" s="450">
        <v>72.150000000000006</v>
      </c>
      <c r="AF152" s="450">
        <v>72.2</v>
      </c>
      <c r="AG152" s="450">
        <v>72.25</v>
      </c>
      <c r="AH152" s="450">
        <v>72.45</v>
      </c>
      <c r="AI152" s="450">
        <v>72.58</v>
      </c>
      <c r="AJ152" s="450">
        <v>72.64</v>
      </c>
      <c r="AK152" s="450" t="s">
        <v>556</v>
      </c>
      <c r="AL152" s="450" t="s">
        <v>556</v>
      </c>
      <c r="AM152" s="133"/>
      <c r="AN152" s="134">
        <v>73</v>
      </c>
      <c r="AO152" s="450">
        <v>72.430000000000007</v>
      </c>
      <c r="AP152" s="450">
        <v>72.510000000000005</v>
      </c>
      <c r="AQ152" s="450">
        <v>72.58</v>
      </c>
      <c r="AR152" s="450">
        <v>72.66</v>
      </c>
      <c r="AS152" s="450">
        <v>72.73</v>
      </c>
      <c r="AT152" s="450">
        <v>72.8</v>
      </c>
      <c r="AU152" s="450">
        <v>72.87</v>
      </c>
      <c r="AV152" s="450">
        <v>72.94</v>
      </c>
      <c r="AW152" s="450">
        <v>73</v>
      </c>
      <c r="AX152" s="450">
        <v>73.06</v>
      </c>
      <c r="AY152" s="450">
        <v>73.12</v>
      </c>
      <c r="AZ152" s="450">
        <v>73.17</v>
      </c>
      <c r="BA152" s="450">
        <v>73.38</v>
      </c>
      <c r="BB152" s="450">
        <v>73.510000000000005</v>
      </c>
      <c r="BC152" s="450">
        <v>73.56</v>
      </c>
      <c r="BD152" s="450" t="s">
        <v>556</v>
      </c>
      <c r="BE152" s="450" t="s">
        <v>556</v>
      </c>
    </row>
    <row r="153" spans="2:57" x14ac:dyDescent="0.25">
      <c r="B153" s="134">
        <v>74</v>
      </c>
      <c r="C153" s="450">
        <v>71.16</v>
      </c>
      <c r="D153" s="450">
        <v>71.22</v>
      </c>
      <c r="E153" s="450">
        <v>71.290000000000006</v>
      </c>
      <c r="F153" s="450">
        <v>71.349999999999994</v>
      </c>
      <c r="G153" s="450">
        <v>71.42</v>
      </c>
      <c r="H153" s="450">
        <v>71.47</v>
      </c>
      <c r="I153" s="450">
        <v>71.53</v>
      </c>
      <c r="J153" s="450">
        <v>71.59</v>
      </c>
      <c r="K153" s="450">
        <v>71.64</v>
      </c>
      <c r="L153" s="450">
        <v>71.69</v>
      </c>
      <c r="M153" s="450">
        <v>71.73</v>
      </c>
      <c r="N153" s="450">
        <v>71.78</v>
      </c>
      <c r="O153" s="450">
        <v>71.94</v>
      </c>
      <c r="P153" s="450">
        <v>72.040000000000006</v>
      </c>
      <c r="Q153" s="450">
        <v>72.069999999999993</v>
      </c>
      <c r="R153" s="450" t="s">
        <v>556</v>
      </c>
      <c r="S153" s="450" t="s">
        <v>556</v>
      </c>
      <c r="T153" s="133"/>
      <c r="U153" s="134">
        <v>74</v>
      </c>
      <c r="V153" s="450">
        <v>71.72</v>
      </c>
      <c r="W153" s="450">
        <v>71.8</v>
      </c>
      <c r="X153" s="450">
        <v>71.87</v>
      </c>
      <c r="Y153" s="450">
        <v>71.94</v>
      </c>
      <c r="Z153" s="450">
        <v>72.010000000000005</v>
      </c>
      <c r="AA153" s="450">
        <v>72.08</v>
      </c>
      <c r="AB153" s="450">
        <v>72.14</v>
      </c>
      <c r="AC153" s="450">
        <v>72.2</v>
      </c>
      <c r="AD153" s="450">
        <v>72.260000000000005</v>
      </c>
      <c r="AE153" s="450">
        <v>72.319999999999993</v>
      </c>
      <c r="AF153" s="450">
        <v>72.37</v>
      </c>
      <c r="AG153" s="450">
        <v>72.42</v>
      </c>
      <c r="AH153" s="450">
        <v>72.62</v>
      </c>
      <c r="AI153" s="450">
        <v>72.739999999999995</v>
      </c>
      <c r="AJ153" s="450">
        <v>72.790000000000006</v>
      </c>
      <c r="AK153" s="450" t="s">
        <v>556</v>
      </c>
      <c r="AL153" s="450" t="s">
        <v>556</v>
      </c>
      <c r="AM153" s="133"/>
      <c r="AN153" s="134">
        <v>74</v>
      </c>
      <c r="AO153" s="450">
        <v>72.59</v>
      </c>
      <c r="AP153" s="450">
        <v>72.67</v>
      </c>
      <c r="AQ153" s="450">
        <v>72.75</v>
      </c>
      <c r="AR153" s="450">
        <v>72.83</v>
      </c>
      <c r="AS153" s="450">
        <v>72.91</v>
      </c>
      <c r="AT153" s="450">
        <v>72.98</v>
      </c>
      <c r="AU153" s="450">
        <v>73.05</v>
      </c>
      <c r="AV153" s="450">
        <v>73.12</v>
      </c>
      <c r="AW153" s="450">
        <v>73.180000000000007</v>
      </c>
      <c r="AX153" s="450">
        <v>73.239999999999995</v>
      </c>
      <c r="AY153" s="450">
        <v>73.3</v>
      </c>
      <c r="AZ153" s="450">
        <v>73.349999999999994</v>
      </c>
      <c r="BA153" s="450">
        <v>73.56</v>
      </c>
      <c r="BB153" s="450">
        <v>73.680000000000007</v>
      </c>
      <c r="BC153" s="450">
        <v>73.72</v>
      </c>
      <c r="BD153" s="450" t="s">
        <v>556</v>
      </c>
      <c r="BE153" s="450" t="s">
        <v>556</v>
      </c>
    </row>
    <row r="154" spans="2:57" x14ac:dyDescent="0.25">
      <c r="B154" s="134">
        <v>75</v>
      </c>
      <c r="C154" s="450">
        <v>71.3</v>
      </c>
      <c r="D154" s="450">
        <v>71.37</v>
      </c>
      <c r="E154" s="450">
        <v>71.430000000000007</v>
      </c>
      <c r="F154" s="450">
        <v>71.5</v>
      </c>
      <c r="G154" s="450">
        <v>71.56</v>
      </c>
      <c r="H154" s="450">
        <v>71.62</v>
      </c>
      <c r="I154" s="450">
        <v>71.680000000000007</v>
      </c>
      <c r="J154" s="450">
        <v>71.739999999999995</v>
      </c>
      <c r="K154" s="450">
        <v>71.790000000000006</v>
      </c>
      <c r="L154" s="450">
        <v>71.84</v>
      </c>
      <c r="M154" s="450">
        <v>71.88</v>
      </c>
      <c r="N154" s="450">
        <v>71.930000000000007</v>
      </c>
      <c r="O154" s="450">
        <v>72.09</v>
      </c>
      <c r="P154" s="450">
        <v>72.17</v>
      </c>
      <c r="Q154" s="450" t="s">
        <v>556</v>
      </c>
      <c r="R154" s="450" t="s">
        <v>556</v>
      </c>
      <c r="S154" s="450" t="s">
        <v>556</v>
      </c>
      <c r="T154" s="133"/>
      <c r="U154" s="134">
        <v>75</v>
      </c>
      <c r="V154" s="450">
        <v>71.88</v>
      </c>
      <c r="W154" s="450">
        <v>71.95</v>
      </c>
      <c r="X154" s="450">
        <v>72.03</v>
      </c>
      <c r="Y154" s="450">
        <v>72.099999999999994</v>
      </c>
      <c r="Z154" s="450">
        <v>72.180000000000007</v>
      </c>
      <c r="AA154" s="450">
        <v>72.239999999999995</v>
      </c>
      <c r="AB154" s="450">
        <v>72.31</v>
      </c>
      <c r="AC154" s="450">
        <v>72.37</v>
      </c>
      <c r="AD154" s="450">
        <v>72.430000000000007</v>
      </c>
      <c r="AE154" s="450">
        <v>72.489999999999995</v>
      </c>
      <c r="AF154" s="450">
        <v>72.540000000000006</v>
      </c>
      <c r="AG154" s="450">
        <v>72.59</v>
      </c>
      <c r="AH154" s="450">
        <v>72.790000000000006</v>
      </c>
      <c r="AI154" s="450">
        <v>72.89</v>
      </c>
      <c r="AJ154" s="450" t="s">
        <v>556</v>
      </c>
      <c r="AK154" s="450" t="s">
        <v>556</v>
      </c>
      <c r="AL154" s="450" t="s">
        <v>556</v>
      </c>
      <c r="AM154" s="133"/>
      <c r="AN154" s="134">
        <v>75</v>
      </c>
      <c r="AO154" s="450">
        <v>72.760000000000005</v>
      </c>
      <c r="AP154" s="450">
        <v>72.849999999999994</v>
      </c>
      <c r="AQ154" s="450">
        <v>72.930000000000007</v>
      </c>
      <c r="AR154" s="450">
        <v>73.010000000000005</v>
      </c>
      <c r="AS154" s="450">
        <v>73.09</v>
      </c>
      <c r="AT154" s="450">
        <v>73.17</v>
      </c>
      <c r="AU154" s="450">
        <v>73.239999999999995</v>
      </c>
      <c r="AV154" s="450">
        <v>73.31</v>
      </c>
      <c r="AW154" s="450">
        <v>73.37</v>
      </c>
      <c r="AX154" s="450">
        <v>73.430000000000007</v>
      </c>
      <c r="AY154" s="450">
        <v>73.489999999999995</v>
      </c>
      <c r="AZ154" s="450">
        <v>73.540000000000006</v>
      </c>
      <c r="BA154" s="450">
        <v>73.739999999999995</v>
      </c>
      <c r="BB154" s="450">
        <v>73.849999999999994</v>
      </c>
      <c r="BC154" s="450" t="s">
        <v>556</v>
      </c>
      <c r="BD154" s="450" t="s">
        <v>556</v>
      </c>
      <c r="BE154" s="450" t="s">
        <v>556</v>
      </c>
    </row>
    <row r="155" spans="2:57" x14ac:dyDescent="0.25">
      <c r="B155" s="134">
        <v>76</v>
      </c>
      <c r="C155" s="450">
        <v>71.44</v>
      </c>
      <c r="D155" s="450">
        <v>71.510000000000005</v>
      </c>
      <c r="E155" s="450">
        <v>71.58</v>
      </c>
      <c r="F155" s="450">
        <v>71.650000000000006</v>
      </c>
      <c r="G155" s="450">
        <v>71.709999999999994</v>
      </c>
      <c r="H155" s="450">
        <v>71.78</v>
      </c>
      <c r="I155" s="450">
        <v>71.83</v>
      </c>
      <c r="J155" s="450">
        <v>71.89</v>
      </c>
      <c r="K155" s="450">
        <v>71.94</v>
      </c>
      <c r="L155" s="450">
        <v>71.989999999999995</v>
      </c>
      <c r="M155" s="450">
        <v>72.03</v>
      </c>
      <c r="N155" s="450">
        <v>72.069999999999993</v>
      </c>
      <c r="O155" s="450">
        <v>72.23</v>
      </c>
      <c r="P155" s="450">
        <v>72.290000000000006</v>
      </c>
      <c r="Q155" s="450" t="s">
        <v>556</v>
      </c>
      <c r="R155" s="450" t="s">
        <v>556</v>
      </c>
      <c r="S155" s="450" t="s">
        <v>556</v>
      </c>
      <c r="T155" s="133"/>
      <c r="U155" s="134">
        <v>76</v>
      </c>
      <c r="V155" s="450">
        <v>72.040000000000006</v>
      </c>
      <c r="W155" s="450">
        <v>72.12</v>
      </c>
      <c r="X155" s="450">
        <v>72.2</v>
      </c>
      <c r="Y155" s="450">
        <v>72.27</v>
      </c>
      <c r="Z155" s="450">
        <v>72.349999999999994</v>
      </c>
      <c r="AA155" s="450">
        <v>72.42</v>
      </c>
      <c r="AB155" s="450">
        <v>72.48</v>
      </c>
      <c r="AC155" s="450">
        <v>72.55</v>
      </c>
      <c r="AD155" s="450">
        <v>72.61</v>
      </c>
      <c r="AE155" s="450">
        <v>72.66</v>
      </c>
      <c r="AF155" s="450">
        <v>72.72</v>
      </c>
      <c r="AG155" s="450">
        <v>72.77</v>
      </c>
      <c r="AH155" s="450">
        <v>72.95</v>
      </c>
      <c r="AI155" s="450">
        <v>73.05</v>
      </c>
      <c r="AJ155" s="450" t="s">
        <v>556</v>
      </c>
      <c r="AK155" s="450" t="s">
        <v>556</v>
      </c>
      <c r="AL155" s="450" t="s">
        <v>556</v>
      </c>
      <c r="AM155" s="133"/>
      <c r="AN155" s="134">
        <v>76</v>
      </c>
      <c r="AO155" s="450">
        <v>72.94</v>
      </c>
      <c r="AP155" s="450">
        <v>73.03</v>
      </c>
      <c r="AQ155" s="450">
        <v>73.12</v>
      </c>
      <c r="AR155" s="450">
        <v>73.2</v>
      </c>
      <c r="AS155" s="450">
        <v>73.28</v>
      </c>
      <c r="AT155" s="450">
        <v>73.349999999999994</v>
      </c>
      <c r="AU155" s="450">
        <v>73.430000000000007</v>
      </c>
      <c r="AV155" s="450">
        <v>73.5</v>
      </c>
      <c r="AW155" s="450">
        <v>73.56</v>
      </c>
      <c r="AX155" s="450">
        <v>73.62</v>
      </c>
      <c r="AY155" s="450">
        <v>73.680000000000007</v>
      </c>
      <c r="AZ155" s="450">
        <v>73.73</v>
      </c>
      <c r="BA155" s="450">
        <v>73.92</v>
      </c>
      <c r="BB155" s="450">
        <v>74.02</v>
      </c>
      <c r="BC155" s="450" t="s">
        <v>556</v>
      </c>
      <c r="BD155" s="450" t="s">
        <v>556</v>
      </c>
      <c r="BE155" s="450" t="s">
        <v>556</v>
      </c>
    </row>
    <row r="156" spans="2:57" x14ac:dyDescent="0.25">
      <c r="B156" s="134">
        <v>77</v>
      </c>
      <c r="C156" s="450">
        <v>71.59</v>
      </c>
      <c r="D156" s="450">
        <v>71.66</v>
      </c>
      <c r="E156" s="450">
        <v>71.73</v>
      </c>
      <c r="F156" s="450">
        <v>71.8</v>
      </c>
      <c r="G156" s="450">
        <v>71.87</v>
      </c>
      <c r="H156" s="450">
        <v>71.930000000000007</v>
      </c>
      <c r="I156" s="450">
        <v>71.989999999999995</v>
      </c>
      <c r="J156" s="450">
        <v>72.040000000000006</v>
      </c>
      <c r="K156" s="450">
        <v>72.09</v>
      </c>
      <c r="L156" s="450">
        <v>72.14</v>
      </c>
      <c r="M156" s="450">
        <v>72.180000000000007</v>
      </c>
      <c r="N156" s="450">
        <v>72.22</v>
      </c>
      <c r="O156" s="450">
        <v>72.36</v>
      </c>
      <c r="P156" s="450">
        <v>72.41</v>
      </c>
      <c r="Q156" s="450" t="s">
        <v>556</v>
      </c>
      <c r="R156" s="450" t="s">
        <v>556</v>
      </c>
      <c r="S156" s="450" t="s">
        <v>556</v>
      </c>
      <c r="T156" s="133"/>
      <c r="U156" s="134">
        <v>77</v>
      </c>
      <c r="V156" s="450">
        <v>72.209999999999994</v>
      </c>
      <c r="W156" s="450">
        <v>72.290000000000006</v>
      </c>
      <c r="X156" s="450">
        <v>72.37</v>
      </c>
      <c r="Y156" s="450">
        <v>72.45</v>
      </c>
      <c r="Z156" s="450">
        <v>72.52</v>
      </c>
      <c r="AA156" s="450">
        <v>72.59</v>
      </c>
      <c r="AB156" s="450">
        <v>72.66</v>
      </c>
      <c r="AC156" s="450">
        <v>72.72</v>
      </c>
      <c r="AD156" s="450">
        <v>72.78</v>
      </c>
      <c r="AE156" s="450">
        <v>72.84</v>
      </c>
      <c r="AF156" s="450">
        <v>72.89</v>
      </c>
      <c r="AG156" s="450">
        <v>72.94</v>
      </c>
      <c r="AH156" s="450">
        <v>73.11</v>
      </c>
      <c r="AI156" s="450">
        <v>73.19</v>
      </c>
      <c r="AJ156" s="450" t="s">
        <v>556</v>
      </c>
      <c r="AK156" s="450" t="s">
        <v>556</v>
      </c>
      <c r="AL156" s="450" t="s">
        <v>556</v>
      </c>
      <c r="AM156" s="133"/>
      <c r="AN156" s="134">
        <v>77</v>
      </c>
      <c r="AO156" s="450">
        <v>73.13</v>
      </c>
      <c r="AP156" s="450">
        <v>73.22</v>
      </c>
      <c r="AQ156" s="450">
        <v>73.3</v>
      </c>
      <c r="AR156" s="450">
        <v>73.39</v>
      </c>
      <c r="AS156" s="450">
        <v>73.47</v>
      </c>
      <c r="AT156" s="450">
        <v>73.55</v>
      </c>
      <c r="AU156" s="450">
        <v>73.62</v>
      </c>
      <c r="AV156" s="450">
        <v>73.69</v>
      </c>
      <c r="AW156" s="450">
        <v>73.75</v>
      </c>
      <c r="AX156" s="450">
        <v>73.81</v>
      </c>
      <c r="AY156" s="450">
        <v>73.87</v>
      </c>
      <c r="AZ156" s="450">
        <v>73.92</v>
      </c>
      <c r="BA156" s="450">
        <v>74.099999999999994</v>
      </c>
      <c r="BB156" s="450">
        <v>74.180000000000007</v>
      </c>
      <c r="BC156" s="450" t="s">
        <v>556</v>
      </c>
      <c r="BD156" s="450" t="s">
        <v>556</v>
      </c>
      <c r="BE156" s="450" t="s">
        <v>556</v>
      </c>
    </row>
    <row r="157" spans="2:57" x14ac:dyDescent="0.25">
      <c r="B157" s="134">
        <v>78</v>
      </c>
      <c r="C157" s="450">
        <v>71.739999999999995</v>
      </c>
      <c r="D157" s="450">
        <v>71.819999999999993</v>
      </c>
      <c r="E157" s="450">
        <v>71.89</v>
      </c>
      <c r="F157" s="450">
        <v>71.959999999999994</v>
      </c>
      <c r="G157" s="450">
        <v>72.02</v>
      </c>
      <c r="H157" s="450">
        <v>72.08</v>
      </c>
      <c r="I157" s="450">
        <v>72.14</v>
      </c>
      <c r="J157" s="450">
        <v>72.19</v>
      </c>
      <c r="K157" s="450">
        <v>72.239999999999995</v>
      </c>
      <c r="L157" s="450">
        <v>72.290000000000006</v>
      </c>
      <c r="M157" s="450">
        <v>72.33</v>
      </c>
      <c r="N157" s="450">
        <v>72.37</v>
      </c>
      <c r="O157" s="450">
        <v>72.489999999999995</v>
      </c>
      <c r="P157" s="450">
        <v>72.510000000000005</v>
      </c>
      <c r="Q157" s="450" t="s">
        <v>556</v>
      </c>
      <c r="R157" s="450" t="s">
        <v>556</v>
      </c>
      <c r="S157" s="450" t="s">
        <v>556</v>
      </c>
      <c r="T157" s="133"/>
      <c r="U157" s="134">
        <v>78</v>
      </c>
      <c r="V157" s="450">
        <v>72.38</v>
      </c>
      <c r="W157" s="450">
        <v>72.459999999999994</v>
      </c>
      <c r="X157" s="450">
        <v>72.55</v>
      </c>
      <c r="Y157" s="450">
        <v>72.62</v>
      </c>
      <c r="Z157" s="450">
        <v>72.7</v>
      </c>
      <c r="AA157" s="450">
        <v>72.77</v>
      </c>
      <c r="AB157" s="450">
        <v>72.84</v>
      </c>
      <c r="AC157" s="450">
        <v>72.900000000000006</v>
      </c>
      <c r="AD157" s="450">
        <v>72.959999999999994</v>
      </c>
      <c r="AE157" s="450">
        <v>73.010000000000005</v>
      </c>
      <c r="AF157" s="450">
        <v>73.06</v>
      </c>
      <c r="AG157" s="450">
        <v>73.11</v>
      </c>
      <c r="AH157" s="450">
        <v>73.27</v>
      </c>
      <c r="AI157" s="450">
        <v>73.33</v>
      </c>
      <c r="AJ157" s="450" t="s">
        <v>556</v>
      </c>
      <c r="AK157" s="450" t="s">
        <v>556</v>
      </c>
      <c r="AL157" s="450" t="s">
        <v>556</v>
      </c>
      <c r="AM157" s="133"/>
      <c r="AN157" s="134">
        <v>78</v>
      </c>
      <c r="AO157" s="450">
        <v>73.31</v>
      </c>
      <c r="AP157" s="450">
        <v>73.41</v>
      </c>
      <c r="AQ157" s="450">
        <v>73.5</v>
      </c>
      <c r="AR157" s="450">
        <v>73.58</v>
      </c>
      <c r="AS157" s="450">
        <v>73.66</v>
      </c>
      <c r="AT157" s="450">
        <v>73.739999999999995</v>
      </c>
      <c r="AU157" s="450">
        <v>73.81</v>
      </c>
      <c r="AV157" s="450">
        <v>73.88</v>
      </c>
      <c r="AW157" s="450">
        <v>73.95</v>
      </c>
      <c r="AX157" s="450">
        <v>74</v>
      </c>
      <c r="AY157" s="450">
        <v>74.06</v>
      </c>
      <c r="AZ157" s="450">
        <v>74.11</v>
      </c>
      <c r="BA157" s="450">
        <v>74.27</v>
      </c>
      <c r="BB157" s="450">
        <v>74.33</v>
      </c>
      <c r="BC157" s="450" t="s">
        <v>556</v>
      </c>
      <c r="BD157" s="450" t="s">
        <v>556</v>
      </c>
      <c r="BE157" s="450" t="s">
        <v>556</v>
      </c>
    </row>
    <row r="158" spans="2:57" x14ac:dyDescent="0.25">
      <c r="B158" s="134">
        <v>79</v>
      </c>
      <c r="C158" s="450">
        <v>71.900000000000006</v>
      </c>
      <c r="D158" s="450">
        <v>71.97</v>
      </c>
      <c r="E158" s="450">
        <v>72.040000000000006</v>
      </c>
      <c r="F158" s="450">
        <v>72.11</v>
      </c>
      <c r="G158" s="450">
        <v>72.17</v>
      </c>
      <c r="H158" s="450">
        <v>72.23</v>
      </c>
      <c r="I158" s="450">
        <v>72.290000000000006</v>
      </c>
      <c r="J158" s="450">
        <v>72.34</v>
      </c>
      <c r="K158" s="450">
        <v>72.39</v>
      </c>
      <c r="L158" s="450">
        <v>72.430000000000007</v>
      </c>
      <c r="M158" s="450">
        <v>72.47</v>
      </c>
      <c r="N158" s="450">
        <v>72.5</v>
      </c>
      <c r="O158" s="450">
        <v>72.599999999999994</v>
      </c>
      <c r="P158" s="450">
        <v>72.599999999999994</v>
      </c>
      <c r="Q158" s="450" t="s">
        <v>556</v>
      </c>
      <c r="R158" s="450" t="s">
        <v>556</v>
      </c>
      <c r="S158" s="450" t="s">
        <v>556</v>
      </c>
      <c r="T158" s="133"/>
      <c r="U158" s="134">
        <v>79</v>
      </c>
      <c r="V158" s="450">
        <v>72.56</v>
      </c>
      <c r="W158" s="450">
        <v>72.64</v>
      </c>
      <c r="X158" s="450">
        <v>72.72</v>
      </c>
      <c r="Y158" s="450">
        <v>72.8</v>
      </c>
      <c r="Z158" s="450">
        <v>72.88</v>
      </c>
      <c r="AA158" s="450">
        <v>72.95</v>
      </c>
      <c r="AB158" s="450">
        <v>73.010000000000005</v>
      </c>
      <c r="AC158" s="450">
        <v>73.08</v>
      </c>
      <c r="AD158" s="450">
        <v>73.13</v>
      </c>
      <c r="AE158" s="450">
        <v>73.180000000000007</v>
      </c>
      <c r="AF158" s="450">
        <v>73.23</v>
      </c>
      <c r="AG158" s="450">
        <v>73.27</v>
      </c>
      <c r="AH158" s="450">
        <v>73.42</v>
      </c>
      <c r="AI158" s="450">
        <v>73.45</v>
      </c>
      <c r="AJ158" s="450" t="s">
        <v>556</v>
      </c>
      <c r="AK158" s="450" t="s">
        <v>556</v>
      </c>
      <c r="AL158" s="450" t="s">
        <v>556</v>
      </c>
      <c r="AM158" s="133"/>
      <c r="AN158" s="134">
        <v>79</v>
      </c>
      <c r="AO158" s="450">
        <v>73.510000000000005</v>
      </c>
      <c r="AP158" s="450">
        <v>73.599999999999994</v>
      </c>
      <c r="AQ158" s="450">
        <v>73.69</v>
      </c>
      <c r="AR158" s="450">
        <v>73.78</v>
      </c>
      <c r="AS158" s="450">
        <v>73.86</v>
      </c>
      <c r="AT158" s="450">
        <v>73.94</v>
      </c>
      <c r="AU158" s="450">
        <v>74.010000000000005</v>
      </c>
      <c r="AV158" s="450">
        <v>74.069999999999993</v>
      </c>
      <c r="AW158" s="450">
        <v>74.14</v>
      </c>
      <c r="AX158" s="450">
        <v>74.19</v>
      </c>
      <c r="AY158" s="450">
        <v>74.239999999999995</v>
      </c>
      <c r="AZ158" s="450">
        <v>74.290000000000006</v>
      </c>
      <c r="BA158" s="450">
        <v>74.44</v>
      </c>
      <c r="BB158" s="450">
        <v>74.459999999999994</v>
      </c>
      <c r="BC158" s="450" t="s">
        <v>556</v>
      </c>
      <c r="BD158" s="450" t="s">
        <v>556</v>
      </c>
      <c r="BE158" s="450" t="s">
        <v>556</v>
      </c>
    </row>
    <row r="159" spans="2:57" x14ac:dyDescent="0.25">
      <c r="B159" s="134">
        <v>80</v>
      </c>
      <c r="C159" s="450">
        <v>72.05</v>
      </c>
      <c r="D159" s="450">
        <v>72.13</v>
      </c>
      <c r="E159" s="450">
        <v>72.2</v>
      </c>
      <c r="F159" s="450">
        <v>72.260000000000005</v>
      </c>
      <c r="G159" s="450">
        <v>72.33</v>
      </c>
      <c r="H159" s="450">
        <v>72.38</v>
      </c>
      <c r="I159" s="450">
        <v>72.44</v>
      </c>
      <c r="J159" s="450">
        <v>72.489999999999995</v>
      </c>
      <c r="K159" s="450">
        <v>72.53</v>
      </c>
      <c r="L159" s="450">
        <v>72.569999999999993</v>
      </c>
      <c r="M159" s="450">
        <v>72.599999999999994</v>
      </c>
      <c r="N159" s="450">
        <v>72.63</v>
      </c>
      <c r="O159" s="450">
        <v>72.709999999999994</v>
      </c>
      <c r="P159" s="450" t="s">
        <v>556</v>
      </c>
      <c r="Q159" s="450" t="s">
        <v>556</v>
      </c>
      <c r="R159" s="450" t="s">
        <v>556</v>
      </c>
      <c r="S159" s="450" t="s">
        <v>556</v>
      </c>
      <c r="T159" s="133"/>
      <c r="U159" s="134">
        <v>80</v>
      </c>
      <c r="V159" s="450">
        <v>72.739999999999995</v>
      </c>
      <c r="W159" s="450">
        <v>72.819999999999993</v>
      </c>
      <c r="X159" s="450">
        <v>72.900000000000006</v>
      </c>
      <c r="Y159" s="450">
        <v>72.98</v>
      </c>
      <c r="Z159" s="450">
        <v>73.05</v>
      </c>
      <c r="AA159" s="450">
        <v>73.12</v>
      </c>
      <c r="AB159" s="450">
        <v>73.19</v>
      </c>
      <c r="AC159" s="450">
        <v>73.25</v>
      </c>
      <c r="AD159" s="450">
        <v>73.3</v>
      </c>
      <c r="AE159" s="450">
        <v>73.349999999999994</v>
      </c>
      <c r="AF159" s="450">
        <v>73.400000000000006</v>
      </c>
      <c r="AG159" s="450">
        <v>73.430000000000007</v>
      </c>
      <c r="AH159" s="450">
        <v>73.55</v>
      </c>
      <c r="AI159" s="450" t="s">
        <v>556</v>
      </c>
      <c r="AJ159" s="450" t="s">
        <v>556</v>
      </c>
      <c r="AK159" s="450" t="s">
        <v>556</v>
      </c>
      <c r="AL159" s="450" t="s">
        <v>556</v>
      </c>
      <c r="AM159" s="133"/>
      <c r="AN159" s="134">
        <v>80</v>
      </c>
      <c r="AO159" s="450">
        <v>73.7</v>
      </c>
      <c r="AP159" s="450">
        <v>73.8</v>
      </c>
      <c r="AQ159" s="450">
        <v>73.89</v>
      </c>
      <c r="AR159" s="450">
        <v>73.97</v>
      </c>
      <c r="AS159" s="450">
        <v>74.05</v>
      </c>
      <c r="AT159" s="450">
        <v>74.13</v>
      </c>
      <c r="AU159" s="450">
        <v>74.2</v>
      </c>
      <c r="AV159" s="450">
        <v>74.27</v>
      </c>
      <c r="AW159" s="450">
        <v>74.319999999999993</v>
      </c>
      <c r="AX159" s="450">
        <v>74.38</v>
      </c>
      <c r="AY159" s="450">
        <v>74.430000000000007</v>
      </c>
      <c r="AZ159" s="450">
        <v>74.47</v>
      </c>
      <c r="BA159" s="450">
        <v>74.59</v>
      </c>
      <c r="BB159" s="450" t="s">
        <v>556</v>
      </c>
      <c r="BC159" s="450" t="s">
        <v>556</v>
      </c>
      <c r="BD159" s="450" t="s">
        <v>556</v>
      </c>
      <c r="BE159" s="450" t="s">
        <v>556</v>
      </c>
    </row>
    <row r="160" spans="2:57" x14ac:dyDescent="0.25">
      <c r="B160" s="134">
        <v>81</v>
      </c>
      <c r="C160" s="450">
        <v>72.209999999999994</v>
      </c>
      <c r="D160" s="450">
        <v>72.28</v>
      </c>
      <c r="E160" s="450">
        <v>72.349999999999994</v>
      </c>
      <c r="F160" s="450">
        <v>72.41</v>
      </c>
      <c r="G160" s="450">
        <v>72.47</v>
      </c>
      <c r="H160" s="450">
        <v>72.53</v>
      </c>
      <c r="I160" s="450">
        <v>72.58</v>
      </c>
      <c r="J160" s="450">
        <v>72.62</v>
      </c>
      <c r="K160" s="450">
        <v>72.66</v>
      </c>
      <c r="L160" s="450">
        <v>72.7</v>
      </c>
      <c r="M160" s="450">
        <v>72.73</v>
      </c>
      <c r="N160" s="450">
        <v>72.75</v>
      </c>
      <c r="O160" s="450">
        <v>72.8</v>
      </c>
      <c r="P160" s="450" t="s">
        <v>556</v>
      </c>
      <c r="Q160" s="450" t="s">
        <v>556</v>
      </c>
      <c r="R160" s="450" t="s">
        <v>556</v>
      </c>
      <c r="S160" s="450" t="s">
        <v>556</v>
      </c>
      <c r="T160" s="133"/>
      <c r="U160" s="134">
        <v>81</v>
      </c>
      <c r="V160" s="450">
        <v>72.91</v>
      </c>
      <c r="W160" s="450">
        <v>73</v>
      </c>
      <c r="X160" s="450">
        <v>73.08</v>
      </c>
      <c r="Y160" s="450">
        <v>73.16</v>
      </c>
      <c r="Z160" s="450">
        <v>73.23</v>
      </c>
      <c r="AA160" s="450">
        <v>73.3</v>
      </c>
      <c r="AB160" s="450">
        <v>73.36</v>
      </c>
      <c r="AC160" s="450">
        <v>73.42</v>
      </c>
      <c r="AD160" s="450">
        <v>73.47</v>
      </c>
      <c r="AE160" s="450">
        <v>73.510000000000005</v>
      </c>
      <c r="AF160" s="450">
        <v>73.55</v>
      </c>
      <c r="AG160" s="450">
        <v>73.59</v>
      </c>
      <c r="AH160" s="450">
        <v>73.680000000000007</v>
      </c>
      <c r="AI160" s="450" t="s">
        <v>556</v>
      </c>
      <c r="AJ160" s="450" t="s">
        <v>556</v>
      </c>
      <c r="AK160" s="450" t="s">
        <v>556</v>
      </c>
      <c r="AL160" s="450" t="s">
        <v>556</v>
      </c>
      <c r="AM160" s="133"/>
      <c r="AN160" s="134">
        <v>81</v>
      </c>
      <c r="AO160" s="450">
        <v>73.900000000000006</v>
      </c>
      <c r="AP160" s="450">
        <v>73.989999999999995</v>
      </c>
      <c r="AQ160" s="450">
        <v>74.08</v>
      </c>
      <c r="AR160" s="450">
        <v>74.17</v>
      </c>
      <c r="AS160" s="450">
        <v>74.25</v>
      </c>
      <c r="AT160" s="450">
        <v>74.319999999999993</v>
      </c>
      <c r="AU160" s="450">
        <v>74.39</v>
      </c>
      <c r="AV160" s="450">
        <v>74.45</v>
      </c>
      <c r="AW160" s="450">
        <v>74.510000000000005</v>
      </c>
      <c r="AX160" s="450">
        <v>74.56</v>
      </c>
      <c r="AY160" s="450">
        <v>74.599999999999994</v>
      </c>
      <c r="AZ160" s="450">
        <v>74.64</v>
      </c>
      <c r="BA160" s="450">
        <v>74.73</v>
      </c>
      <c r="BB160" s="450" t="s">
        <v>556</v>
      </c>
      <c r="BC160" s="450" t="s">
        <v>556</v>
      </c>
      <c r="BD160" s="450" t="s">
        <v>556</v>
      </c>
      <c r="BE160" s="450" t="s">
        <v>556</v>
      </c>
    </row>
    <row r="161" spans="2:57" x14ac:dyDescent="0.25">
      <c r="B161" s="134">
        <v>82</v>
      </c>
      <c r="C161" s="450">
        <v>72.36</v>
      </c>
      <c r="D161" s="450">
        <v>72.430000000000007</v>
      </c>
      <c r="E161" s="450">
        <v>72.5</v>
      </c>
      <c r="F161" s="450">
        <v>72.56</v>
      </c>
      <c r="G161" s="450">
        <v>72.62</v>
      </c>
      <c r="H161" s="450">
        <v>72.67</v>
      </c>
      <c r="I161" s="450">
        <v>72.709999999999994</v>
      </c>
      <c r="J161" s="450">
        <v>72.75</v>
      </c>
      <c r="K161" s="450">
        <v>72.790000000000006</v>
      </c>
      <c r="L161" s="450">
        <v>72.819999999999993</v>
      </c>
      <c r="M161" s="450">
        <v>72.84</v>
      </c>
      <c r="N161" s="450">
        <v>72.86</v>
      </c>
      <c r="O161" s="450">
        <v>72.87</v>
      </c>
      <c r="P161" s="450" t="s">
        <v>556</v>
      </c>
      <c r="Q161" s="450" t="s">
        <v>556</v>
      </c>
      <c r="R161" s="450" t="s">
        <v>556</v>
      </c>
      <c r="S161" s="450" t="s">
        <v>556</v>
      </c>
      <c r="T161" s="133"/>
      <c r="U161" s="134">
        <v>82</v>
      </c>
      <c r="V161" s="450">
        <v>73.09</v>
      </c>
      <c r="W161" s="450">
        <v>73.180000000000007</v>
      </c>
      <c r="X161" s="450">
        <v>73.260000000000005</v>
      </c>
      <c r="Y161" s="450">
        <v>73.33</v>
      </c>
      <c r="Z161" s="450">
        <v>73.400000000000006</v>
      </c>
      <c r="AA161" s="450">
        <v>73.459999999999994</v>
      </c>
      <c r="AB161" s="450">
        <v>73.52</v>
      </c>
      <c r="AC161" s="450">
        <v>73.58</v>
      </c>
      <c r="AD161" s="450">
        <v>73.62</v>
      </c>
      <c r="AE161" s="450">
        <v>73.66</v>
      </c>
      <c r="AF161" s="450">
        <v>73.7</v>
      </c>
      <c r="AG161" s="450">
        <v>73.73</v>
      </c>
      <c r="AH161" s="450">
        <v>73.78</v>
      </c>
      <c r="AI161" s="450" t="s">
        <v>556</v>
      </c>
      <c r="AJ161" s="450" t="s">
        <v>556</v>
      </c>
      <c r="AK161" s="450" t="s">
        <v>556</v>
      </c>
      <c r="AL161" s="450" t="s">
        <v>556</v>
      </c>
      <c r="AM161" s="133"/>
      <c r="AN161" s="134">
        <v>82</v>
      </c>
      <c r="AO161" s="450">
        <v>74.09</v>
      </c>
      <c r="AP161" s="450">
        <v>74.19</v>
      </c>
      <c r="AQ161" s="450">
        <v>74.28</v>
      </c>
      <c r="AR161" s="450">
        <v>74.36</v>
      </c>
      <c r="AS161" s="450">
        <v>74.44</v>
      </c>
      <c r="AT161" s="450">
        <v>74.510000000000005</v>
      </c>
      <c r="AU161" s="450">
        <v>74.569999999999993</v>
      </c>
      <c r="AV161" s="450">
        <v>74.63</v>
      </c>
      <c r="AW161" s="450">
        <v>74.680000000000007</v>
      </c>
      <c r="AX161" s="450">
        <v>74.72</v>
      </c>
      <c r="AY161" s="450">
        <v>74.760000000000005</v>
      </c>
      <c r="AZ161" s="450">
        <v>74.790000000000006</v>
      </c>
      <c r="BA161" s="450">
        <v>74.849999999999994</v>
      </c>
      <c r="BB161" s="450" t="s">
        <v>556</v>
      </c>
      <c r="BC161" s="450" t="s">
        <v>556</v>
      </c>
      <c r="BD161" s="450" t="s">
        <v>556</v>
      </c>
      <c r="BE161" s="450" t="s">
        <v>556</v>
      </c>
    </row>
    <row r="162" spans="2:57" x14ac:dyDescent="0.25">
      <c r="B162" s="134">
        <v>83</v>
      </c>
      <c r="C162" s="450">
        <v>72.510000000000005</v>
      </c>
      <c r="D162" s="450">
        <v>72.58</v>
      </c>
      <c r="E162" s="450">
        <v>72.64</v>
      </c>
      <c r="F162" s="450">
        <v>72.7</v>
      </c>
      <c r="G162" s="450">
        <v>72.75</v>
      </c>
      <c r="H162" s="450">
        <v>72.8</v>
      </c>
      <c r="I162" s="450">
        <v>72.84</v>
      </c>
      <c r="J162" s="450">
        <v>72.87</v>
      </c>
      <c r="K162" s="450">
        <v>72.900000000000006</v>
      </c>
      <c r="L162" s="450">
        <v>72.92</v>
      </c>
      <c r="M162" s="450">
        <v>72.94</v>
      </c>
      <c r="N162" s="450">
        <v>72.95</v>
      </c>
      <c r="O162" s="450">
        <v>72.91</v>
      </c>
      <c r="P162" s="450" t="s">
        <v>556</v>
      </c>
      <c r="Q162" s="450" t="s">
        <v>556</v>
      </c>
      <c r="R162" s="450" t="s">
        <v>556</v>
      </c>
      <c r="S162" s="450" t="s">
        <v>556</v>
      </c>
      <c r="T162" s="133"/>
      <c r="U162" s="134">
        <v>83</v>
      </c>
      <c r="V162" s="450">
        <v>73.27</v>
      </c>
      <c r="W162" s="450">
        <v>73.349999999999994</v>
      </c>
      <c r="X162" s="450">
        <v>73.430000000000007</v>
      </c>
      <c r="Y162" s="450">
        <v>73.5</v>
      </c>
      <c r="Z162" s="450">
        <v>73.56</v>
      </c>
      <c r="AA162" s="450">
        <v>73.62</v>
      </c>
      <c r="AB162" s="450">
        <v>73.680000000000007</v>
      </c>
      <c r="AC162" s="450">
        <v>73.73</v>
      </c>
      <c r="AD162" s="450">
        <v>73.77</v>
      </c>
      <c r="AE162" s="450">
        <v>73.8</v>
      </c>
      <c r="AF162" s="450">
        <v>73.83</v>
      </c>
      <c r="AG162" s="450">
        <v>73.849999999999994</v>
      </c>
      <c r="AH162" s="450">
        <v>73.87</v>
      </c>
      <c r="AI162" s="450" t="s">
        <v>556</v>
      </c>
      <c r="AJ162" s="450" t="s">
        <v>556</v>
      </c>
      <c r="AK162" s="450" t="s">
        <v>556</v>
      </c>
      <c r="AL162" s="450" t="s">
        <v>556</v>
      </c>
      <c r="AM162" s="133"/>
      <c r="AN162" s="134">
        <v>83</v>
      </c>
      <c r="AO162" s="450">
        <v>74.290000000000006</v>
      </c>
      <c r="AP162" s="450">
        <v>74.38</v>
      </c>
      <c r="AQ162" s="450">
        <v>74.47</v>
      </c>
      <c r="AR162" s="450">
        <v>74.55</v>
      </c>
      <c r="AS162" s="450">
        <v>74.62</v>
      </c>
      <c r="AT162" s="450">
        <v>74.69</v>
      </c>
      <c r="AU162" s="450">
        <v>74.75</v>
      </c>
      <c r="AV162" s="450">
        <v>74.8</v>
      </c>
      <c r="AW162" s="450">
        <v>74.84</v>
      </c>
      <c r="AX162" s="450">
        <v>74.88</v>
      </c>
      <c r="AY162" s="450">
        <v>74.91</v>
      </c>
      <c r="AZ162" s="450">
        <v>74.94</v>
      </c>
      <c r="BA162" s="450">
        <v>74.95</v>
      </c>
      <c r="BB162" s="450" t="s">
        <v>556</v>
      </c>
      <c r="BC162" s="450" t="s">
        <v>556</v>
      </c>
      <c r="BD162" s="450" t="s">
        <v>556</v>
      </c>
      <c r="BE162" s="450" t="s">
        <v>556</v>
      </c>
    </row>
    <row r="163" spans="2:57" x14ac:dyDescent="0.25">
      <c r="B163" s="134">
        <v>84</v>
      </c>
      <c r="C163" s="450">
        <v>72.650000000000006</v>
      </c>
      <c r="D163" s="450">
        <v>72.709999999999994</v>
      </c>
      <c r="E163" s="450">
        <v>72.77</v>
      </c>
      <c r="F163" s="450">
        <v>72.83</v>
      </c>
      <c r="G163" s="450">
        <v>72.87</v>
      </c>
      <c r="H163" s="450">
        <v>72.91</v>
      </c>
      <c r="I163" s="450">
        <v>72.95</v>
      </c>
      <c r="J163" s="450">
        <v>72.97</v>
      </c>
      <c r="K163" s="450">
        <v>72.989999999999995</v>
      </c>
      <c r="L163" s="450">
        <v>73.010000000000005</v>
      </c>
      <c r="M163" s="450">
        <v>73.02</v>
      </c>
      <c r="N163" s="450">
        <v>73.02</v>
      </c>
      <c r="O163" s="450">
        <v>72.930000000000007</v>
      </c>
      <c r="P163" s="450" t="s">
        <v>556</v>
      </c>
      <c r="Q163" s="450" t="s">
        <v>556</v>
      </c>
      <c r="R163" s="450" t="s">
        <v>556</v>
      </c>
      <c r="S163" s="450" t="s">
        <v>556</v>
      </c>
      <c r="T163" s="133"/>
      <c r="U163" s="134">
        <v>84</v>
      </c>
      <c r="V163" s="450">
        <v>73.44</v>
      </c>
      <c r="W163" s="450">
        <v>73.52</v>
      </c>
      <c r="X163" s="450">
        <v>73.59</v>
      </c>
      <c r="Y163" s="450">
        <v>73.66</v>
      </c>
      <c r="Z163" s="450">
        <v>73.72</v>
      </c>
      <c r="AA163" s="450">
        <v>73.77</v>
      </c>
      <c r="AB163" s="450">
        <v>73.819999999999993</v>
      </c>
      <c r="AC163" s="450">
        <v>73.86</v>
      </c>
      <c r="AD163" s="450">
        <v>73.900000000000006</v>
      </c>
      <c r="AE163" s="450">
        <v>73.92</v>
      </c>
      <c r="AF163" s="450">
        <v>73.94</v>
      </c>
      <c r="AG163" s="450">
        <v>73.959999999999994</v>
      </c>
      <c r="AH163" s="450">
        <v>73.930000000000007</v>
      </c>
      <c r="AI163" s="450" t="s">
        <v>556</v>
      </c>
      <c r="AJ163" s="450" t="s">
        <v>556</v>
      </c>
      <c r="AK163" s="450" t="s">
        <v>556</v>
      </c>
      <c r="AL163" s="450" t="s">
        <v>556</v>
      </c>
      <c r="AM163" s="133"/>
      <c r="AN163" s="134">
        <v>84</v>
      </c>
      <c r="AO163" s="450">
        <v>74.48</v>
      </c>
      <c r="AP163" s="450">
        <v>74.569999999999993</v>
      </c>
      <c r="AQ163" s="450">
        <v>74.650000000000006</v>
      </c>
      <c r="AR163" s="450">
        <v>74.72</v>
      </c>
      <c r="AS163" s="450">
        <v>74.790000000000006</v>
      </c>
      <c r="AT163" s="450">
        <v>74.849999999999994</v>
      </c>
      <c r="AU163" s="450">
        <v>74.91</v>
      </c>
      <c r="AV163" s="450">
        <v>74.95</v>
      </c>
      <c r="AW163" s="450">
        <v>74.989999999999995</v>
      </c>
      <c r="AX163" s="450">
        <v>75.02</v>
      </c>
      <c r="AY163" s="450">
        <v>75.040000000000006</v>
      </c>
      <c r="AZ163" s="450">
        <v>75.06</v>
      </c>
      <c r="BA163" s="450">
        <v>75.03</v>
      </c>
      <c r="BB163" s="450" t="s">
        <v>556</v>
      </c>
      <c r="BC163" s="450" t="s">
        <v>556</v>
      </c>
      <c r="BD163" s="450" t="s">
        <v>556</v>
      </c>
      <c r="BE163" s="450" t="s">
        <v>556</v>
      </c>
    </row>
    <row r="164" spans="2:57" x14ac:dyDescent="0.25">
      <c r="B164" s="134">
        <v>85</v>
      </c>
      <c r="C164" s="450">
        <v>72.790000000000006</v>
      </c>
      <c r="D164" s="450">
        <v>72.84</v>
      </c>
      <c r="E164" s="450">
        <v>72.900000000000006</v>
      </c>
      <c r="F164" s="450">
        <v>72.94</v>
      </c>
      <c r="G164" s="450">
        <v>72.98</v>
      </c>
      <c r="H164" s="450">
        <v>73.010000000000005</v>
      </c>
      <c r="I164" s="450">
        <v>73.040000000000006</v>
      </c>
      <c r="J164" s="450">
        <v>73.06</v>
      </c>
      <c r="K164" s="450">
        <v>73.069999999999993</v>
      </c>
      <c r="L164" s="450">
        <v>73.069999999999993</v>
      </c>
      <c r="M164" s="450">
        <v>73.069999999999993</v>
      </c>
      <c r="N164" s="450">
        <v>73.06</v>
      </c>
      <c r="O164" s="450" t="s">
        <v>556</v>
      </c>
      <c r="P164" s="450" t="s">
        <v>556</v>
      </c>
      <c r="Q164" s="450" t="s">
        <v>556</v>
      </c>
      <c r="R164" s="450" t="s">
        <v>556</v>
      </c>
      <c r="S164" s="450" t="s">
        <v>556</v>
      </c>
      <c r="T164" s="133"/>
      <c r="U164" s="134">
        <v>85</v>
      </c>
      <c r="V164" s="450">
        <v>73.61</v>
      </c>
      <c r="W164" s="450">
        <v>73.680000000000007</v>
      </c>
      <c r="X164" s="450">
        <v>73.75</v>
      </c>
      <c r="Y164" s="450">
        <v>73.81</v>
      </c>
      <c r="Z164" s="450">
        <v>73.86</v>
      </c>
      <c r="AA164" s="450">
        <v>73.91</v>
      </c>
      <c r="AB164" s="450">
        <v>73.95</v>
      </c>
      <c r="AC164" s="450">
        <v>73.98</v>
      </c>
      <c r="AD164" s="450">
        <v>74.010000000000005</v>
      </c>
      <c r="AE164" s="450">
        <v>74.03</v>
      </c>
      <c r="AF164" s="450">
        <v>74.040000000000006</v>
      </c>
      <c r="AG164" s="450">
        <v>74.040000000000006</v>
      </c>
      <c r="AH164" s="450" t="s">
        <v>556</v>
      </c>
      <c r="AI164" s="450" t="s">
        <v>556</v>
      </c>
      <c r="AJ164" s="450" t="s">
        <v>556</v>
      </c>
      <c r="AK164" s="450" t="s">
        <v>556</v>
      </c>
      <c r="AL164" s="450" t="s">
        <v>556</v>
      </c>
      <c r="AM164" s="133"/>
      <c r="AN164" s="134">
        <v>85</v>
      </c>
      <c r="AO164" s="450">
        <v>74.66</v>
      </c>
      <c r="AP164" s="450">
        <v>74.75</v>
      </c>
      <c r="AQ164" s="450">
        <v>74.819999999999993</v>
      </c>
      <c r="AR164" s="450">
        <v>74.89</v>
      </c>
      <c r="AS164" s="450">
        <v>74.959999999999994</v>
      </c>
      <c r="AT164" s="450">
        <v>75.010000000000005</v>
      </c>
      <c r="AU164" s="450">
        <v>75.06</v>
      </c>
      <c r="AV164" s="450">
        <v>75.09</v>
      </c>
      <c r="AW164" s="450">
        <v>75.12</v>
      </c>
      <c r="AX164" s="450">
        <v>75.14</v>
      </c>
      <c r="AY164" s="450">
        <v>75.16</v>
      </c>
      <c r="AZ164" s="450">
        <v>75.16</v>
      </c>
      <c r="BA164" s="450" t="s">
        <v>556</v>
      </c>
      <c r="BB164" s="450" t="s">
        <v>556</v>
      </c>
      <c r="BC164" s="450" t="s">
        <v>556</v>
      </c>
      <c r="BD164" s="450" t="s">
        <v>556</v>
      </c>
      <c r="BE164" s="450" t="s">
        <v>556</v>
      </c>
    </row>
    <row r="165" spans="2:57" x14ac:dyDescent="0.25">
      <c r="B165" s="134">
        <v>86</v>
      </c>
      <c r="C165" s="450">
        <v>72.91</v>
      </c>
      <c r="D165" s="450">
        <v>72.959999999999994</v>
      </c>
      <c r="E165" s="450">
        <v>73</v>
      </c>
      <c r="F165" s="450">
        <v>73.040000000000006</v>
      </c>
      <c r="G165" s="450">
        <v>73.069999999999993</v>
      </c>
      <c r="H165" s="450">
        <v>73.099999999999994</v>
      </c>
      <c r="I165" s="450">
        <v>73.11</v>
      </c>
      <c r="J165" s="450">
        <v>73.12</v>
      </c>
      <c r="K165" s="450">
        <v>73.12</v>
      </c>
      <c r="L165" s="450">
        <v>73.11</v>
      </c>
      <c r="M165" s="450">
        <v>73.099999999999994</v>
      </c>
      <c r="N165" s="450">
        <v>73.08</v>
      </c>
      <c r="O165" s="450" t="s">
        <v>556</v>
      </c>
      <c r="P165" s="450" t="s">
        <v>556</v>
      </c>
      <c r="Q165" s="450" t="s">
        <v>556</v>
      </c>
      <c r="R165" s="450" t="s">
        <v>556</v>
      </c>
      <c r="S165" s="450" t="s">
        <v>556</v>
      </c>
      <c r="T165" s="133"/>
      <c r="U165" s="134">
        <v>86</v>
      </c>
      <c r="V165" s="450">
        <v>73.760000000000005</v>
      </c>
      <c r="W165" s="450">
        <v>73.83</v>
      </c>
      <c r="X165" s="450">
        <v>73.89</v>
      </c>
      <c r="Y165" s="450">
        <v>73.95</v>
      </c>
      <c r="Z165" s="450">
        <v>73.989999999999995</v>
      </c>
      <c r="AA165" s="450">
        <v>74.03</v>
      </c>
      <c r="AB165" s="450">
        <v>74.06</v>
      </c>
      <c r="AC165" s="450">
        <v>74.09</v>
      </c>
      <c r="AD165" s="450">
        <v>74.099999999999994</v>
      </c>
      <c r="AE165" s="450">
        <v>74.11</v>
      </c>
      <c r="AF165" s="450">
        <v>74.11</v>
      </c>
      <c r="AG165" s="450">
        <v>74.099999999999994</v>
      </c>
      <c r="AH165" s="450" t="s">
        <v>556</v>
      </c>
      <c r="AI165" s="450" t="s">
        <v>556</v>
      </c>
      <c r="AJ165" s="450" t="s">
        <v>556</v>
      </c>
      <c r="AK165" s="450" t="s">
        <v>556</v>
      </c>
      <c r="AL165" s="450" t="s">
        <v>556</v>
      </c>
      <c r="AM165" s="133"/>
      <c r="AN165" s="134">
        <v>86</v>
      </c>
      <c r="AO165" s="450">
        <v>74.84</v>
      </c>
      <c r="AP165" s="450">
        <v>74.91</v>
      </c>
      <c r="AQ165" s="450">
        <v>74.98</v>
      </c>
      <c r="AR165" s="450">
        <v>75.05</v>
      </c>
      <c r="AS165" s="450">
        <v>75.099999999999994</v>
      </c>
      <c r="AT165" s="450">
        <v>75.150000000000006</v>
      </c>
      <c r="AU165" s="450">
        <v>75.19</v>
      </c>
      <c r="AV165" s="450">
        <v>75.209999999999994</v>
      </c>
      <c r="AW165" s="450">
        <v>75.23</v>
      </c>
      <c r="AX165" s="450">
        <v>75.239999999999995</v>
      </c>
      <c r="AY165" s="450">
        <v>75.239999999999995</v>
      </c>
      <c r="AZ165" s="450">
        <v>75.239999999999995</v>
      </c>
      <c r="BA165" s="450" t="s">
        <v>556</v>
      </c>
      <c r="BB165" s="450" t="s">
        <v>556</v>
      </c>
      <c r="BC165" s="450" t="s">
        <v>556</v>
      </c>
      <c r="BD165" s="450" t="s">
        <v>556</v>
      </c>
      <c r="BE165" s="450" t="s">
        <v>556</v>
      </c>
    </row>
    <row r="166" spans="2:57" x14ac:dyDescent="0.25">
      <c r="B166" s="134">
        <v>87</v>
      </c>
      <c r="C166" s="450">
        <v>73.02</v>
      </c>
      <c r="D166" s="450">
        <v>73.06</v>
      </c>
      <c r="E166" s="450">
        <v>73.09</v>
      </c>
      <c r="F166" s="450">
        <v>73.12</v>
      </c>
      <c r="G166" s="450">
        <v>73.14</v>
      </c>
      <c r="H166" s="450">
        <v>73.150000000000006</v>
      </c>
      <c r="I166" s="450">
        <v>73.16</v>
      </c>
      <c r="J166" s="450">
        <v>73.16</v>
      </c>
      <c r="K166" s="450">
        <v>73.14</v>
      </c>
      <c r="L166" s="450">
        <v>73.12</v>
      </c>
      <c r="M166" s="450">
        <v>73.09</v>
      </c>
      <c r="N166" s="450">
        <v>73.06</v>
      </c>
      <c r="O166" s="450" t="s">
        <v>556</v>
      </c>
      <c r="P166" s="450" t="s">
        <v>556</v>
      </c>
      <c r="Q166" s="450" t="s">
        <v>556</v>
      </c>
      <c r="R166" s="450" t="s">
        <v>556</v>
      </c>
      <c r="S166" s="450" t="s">
        <v>556</v>
      </c>
      <c r="T166" s="133"/>
      <c r="U166" s="134">
        <v>87</v>
      </c>
      <c r="V166" s="450">
        <v>73.91</v>
      </c>
      <c r="W166" s="450">
        <v>73.97</v>
      </c>
      <c r="X166" s="450">
        <v>74.02</v>
      </c>
      <c r="Y166" s="450">
        <v>74.06</v>
      </c>
      <c r="Z166" s="450">
        <v>74.099999999999994</v>
      </c>
      <c r="AA166" s="450">
        <v>74.13</v>
      </c>
      <c r="AB166" s="450">
        <v>74.150000000000006</v>
      </c>
      <c r="AC166" s="450">
        <v>74.16</v>
      </c>
      <c r="AD166" s="450">
        <v>74.17</v>
      </c>
      <c r="AE166" s="450">
        <v>74.16</v>
      </c>
      <c r="AF166" s="450">
        <v>74.150000000000006</v>
      </c>
      <c r="AG166" s="450">
        <v>74.13</v>
      </c>
      <c r="AH166" s="450" t="s">
        <v>556</v>
      </c>
      <c r="AI166" s="450" t="s">
        <v>556</v>
      </c>
      <c r="AJ166" s="450" t="s">
        <v>556</v>
      </c>
      <c r="AK166" s="450" t="s">
        <v>556</v>
      </c>
      <c r="AL166" s="450" t="s">
        <v>556</v>
      </c>
      <c r="AM166" s="133"/>
      <c r="AN166" s="134">
        <v>87</v>
      </c>
      <c r="AO166" s="450">
        <v>75</v>
      </c>
      <c r="AP166" s="450">
        <v>75.069999999999993</v>
      </c>
      <c r="AQ166" s="450">
        <v>75.13</v>
      </c>
      <c r="AR166" s="450">
        <v>75.19</v>
      </c>
      <c r="AS166" s="450">
        <v>75.23</v>
      </c>
      <c r="AT166" s="450">
        <v>75.27</v>
      </c>
      <c r="AU166" s="450">
        <v>75.290000000000006</v>
      </c>
      <c r="AV166" s="450">
        <v>75.31</v>
      </c>
      <c r="AW166" s="450">
        <v>75.319999999999993</v>
      </c>
      <c r="AX166" s="450">
        <v>75.31</v>
      </c>
      <c r="AY166" s="450">
        <v>75.3</v>
      </c>
      <c r="AZ166" s="450">
        <v>75.28</v>
      </c>
      <c r="BA166" s="450" t="s">
        <v>556</v>
      </c>
      <c r="BB166" s="450" t="s">
        <v>556</v>
      </c>
      <c r="BC166" s="450" t="s">
        <v>556</v>
      </c>
      <c r="BD166" s="450" t="s">
        <v>556</v>
      </c>
      <c r="BE166" s="450" t="s">
        <v>556</v>
      </c>
    </row>
    <row r="167" spans="2:57" x14ac:dyDescent="0.25">
      <c r="B167" s="134">
        <v>88</v>
      </c>
      <c r="C167" s="450">
        <v>73.11</v>
      </c>
      <c r="D167" s="450">
        <v>73.14</v>
      </c>
      <c r="E167" s="450">
        <v>73.16</v>
      </c>
      <c r="F167" s="450">
        <v>73.180000000000007</v>
      </c>
      <c r="G167" s="450">
        <v>73.19</v>
      </c>
      <c r="H167" s="450">
        <v>73.19</v>
      </c>
      <c r="I167" s="450">
        <v>73.180000000000007</v>
      </c>
      <c r="J167" s="450">
        <v>73.16</v>
      </c>
      <c r="K167" s="450">
        <v>73.13</v>
      </c>
      <c r="L167" s="450">
        <v>73.099999999999994</v>
      </c>
      <c r="M167" s="450">
        <v>73.05</v>
      </c>
      <c r="N167" s="450">
        <v>73</v>
      </c>
      <c r="O167" s="450" t="s">
        <v>556</v>
      </c>
      <c r="P167" s="450" t="s">
        <v>556</v>
      </c>
      <c r="Q167" s="450" t="s">
        <v>556</v>
      </c>
      <c r="R167" s="450" t="s">
        <v>556</v>
      </c>
      <c r="S167" s="450" t="s">
        <v>556</v>
      </c>
      <c r="T167" s="133"/>
      <c r="U167" s="134">
        <v>88</v>
      </c>
      <c r="V167" s="450">
        <v>74.03</v>
      </c>
      <c r="W167" s="450">
        <v>74.08</v>
      </c>
      <c r="X167" s="450">
        <v>74.13</v>
      </c>
      <c r="Y167" s="450">
        <v>74.16</v>
      </c>
      <c r="Z167" s="450">
        <v>74.19</v>
      </c>
      <c r="AA167" s="450">
        <v>74.2</v>
      </c>
      <c r="AB167" s="450">
        <v>74.209999999999994</v>
      </c>
      <c r="AC167" s="450">
        <v>74.209999999999994</v>
      </c>
      <c r="AD167" s="450">
        <v>74.2</v>
      </c>
      <c r="AE167" s="450">
        <v>74.180000000000007</v>
      </c>
      <c r="AF167" s="450">
        <v>74.150000000000006</v>
      </c>
      <c r="AG167" s="450">
        <v>74.12</v>
      </c>
      <c r="AH167" s="450" t="s">
        <v>556</v>
      </c>
      <c r="AI167" s="450" t="s">
        <v>556</v>
      </c>
      <c r="AJ167" s="450" t="s">
        <v>556</v>
      </c>
      <c r="AK167" s="450" t="s">
        <v>556</v>
      </c>
      <c r="AL167" s="450" t="s">
        <v>556</v>
      </c>
      <c r="AM167" s="133"/>
      <c r="AN167" s="134">
        <v>88</v>
      </c>
      <c r="AO167" s="450">
        <v>75.14</v>
      </c>
      <c r="AP167" s="450">
        <v>75.209999999999994</v>
      </c>
      <c r="AQ167" s="450">
        <v>75.260000000000005</v>
      </c>
      <c r="AR167" s="450">
        <v>75.3</v>
      </c>
      <c r="AS167" s="450">
        <v>75.34</v>
      </c>
      <c r="AT167" s="450">
        <v>75.36</v>
      </c>
      <c r="AU167" s="450">
        <v>75.37</v>
      </c>
      <c r="AV167" s="450">
        <v>75.38</v>
      </c>
      <c r="AW167" s="450">
        <v>75.37</v>
      </c>
      <c r="AX167" s="450">
        <v>75.349999999999994</v>
      </c>
      <c r="AY167" s="450">
        <v>75.33</v>
      </c>
      <c r="AZ167" s="450">
        <v>75.290000000000006</v>
      </c>
      <c r="BA167" s="450" t="s">
        <v>556</v>
      </c>
      <c r="BB167" s="450" t="s">
        <v>556</v>
      </c>
      <c r="BC167" s="450" t="s">
        <v>556</v>
      </c>
      <c r="BD167" s="450" t="s">
        <v>556</v>
      </c>
      <c r="BE167" s="450" t="s">
        <v>556</v>
      </c>
    </row>
    <row r="168" spans="2:57" x14ac:dyDescent="0.25">
      <c r="B168" s="134">
        <v>89</v>
      </c>
      <c r="C168" s="450">
        <v>73.180000000000007</v>
      </c>
      <c r="D168" s="450">
        <v>73.2</v>
      </c>
      <c r="E168" s="450">
        <v>73.209999999999994</v>
      </c>
      <c r="F168" s="450">
        <v>73.209999999999994</v>
      </c>
      <c r="G168" s="450">
        <v>73.2</v>
      </c>
      <c r="H168" s="450">
        <v>73.19</v>
      </c>
      <c r="I168" s="450">
        <v>73.16</v>
      </c>
      <c r="J168" s="450">
        <v>73.13</v>
      </c>
      <c r="K168" s="450">
        <v>73.08</v>
      </c>
      <c r="L168" s="450">
        <v>73.03</v>
      </c>
      <c r="M168" s="450">
        <v>72.97</v>
      </c>
      <c r="N168" s="450">
        <v>72.900000000000006</v>
      </c>
      <c r="O168" s="450" t="s">
        <v>556</v>
      </c>
      <c r="P168" s="450" t="s">
        <v>556</v>
      </c>
      <c r="Q168" s="450" t="s">
        <v>556</v>
      </c>
      <c r="R168" s="450" t="s">
        <v>556</v>
      </c>
      <c r="S168" s="450" t="s">
        <v>556</v>
      </c>
      <c r="T168" s="133"/>
      <c r="U168" s="134">
        <v>89</v>
      </c>
      <c r="V168" s="450">
        <v>74.14</v>
      </c>
      <c r="W168" s="450">
        <v>74.180000000000007</v>
      </c>
      <c r="X168" s="450">
        <v>74.209999999999994</v>
      </c>
      <c r="Y168" s="450">
        <v>74.23</v>
      </c>
      <c r="Z168" s="450">
        <v>74.25</v>
      </c>
      <c r="AA168" s="450">
        <v>74.25</v>
      </c>
      <c r="AB168" s="450">
        <v>74.239999999999995</v>
      </c>
      <c r="AC168" s="450">
        <v>74.23</v>
      </c>
      <c r="AD168" s="450">
        <v>74.2</v>
      </c>
      <c r="AE168" s="450">
        <v>74.16</v>
      </c>
      <c r="AF168" s="450">
        <v>74.12</v>
      </c>
      <c r="AG168" s="450">
        <v>74.069999999999993</v>
      </c>
      <c r="AH168" s="450" t="s">
        <v>556</v>
      </c>
      <c r="AI168" s="450" t="s">
        <v>556</v>
      </c>
      <c r="AJ168" s="450" t="s">
        <v>556</v>
      </c>
      <c r="AK168" s="450" t="s">
        <v>556</v>
      </c>
      <c r="AL168" s="450" t="s">
        <v>556</v>
      </c>
      <c r="AM168" s="133"/>
      <c r="AN168" s="134">
        <v>89</v>
      </c>
      <c r="AO168" s="450">
        <v>75.27</v>
      </c>
      <c r="AP168" s="450">
        <v>75.319999999999993</v>
      </c>
      <c r="AQ168" s="450">
        <v>75.36</v>
      </c>
      <c r="AR168" s="450">
        <v>75.39</v>
      </c>
      <c r="AS168" s="450">
        <v>75.41</v>
      </c>
      <c r="AT168" s="450">
        <v>75.42</v>
      </c>
      <c r="AU168" s="450">
        <v>75.42</v>
      </c>
      <c r="AV168" s="450">
        <v>75.41</v>
      </c>
      <c r="AW168" s="450">
        <v>75.39</v>
      </c>
      <c r="AX168" s="450">
        <v>75.349999999999994</v>
      </c>
      <c r="AY168" s="450">
        <v>75.31</v>
      </c>
      <c r="AZ168" s="450">
        <v>75.260000000000005</v>
      </c>
      <c r="BA168" s="450" t="s">
        <v>556</v>
      </c>
      <c r="BB168" s="450" t="s">
        <v>556</v>
      </c>
      <c r="BC168" s="450" t="s">
        <v>556</v>
      </c>
      <c r="BD168" s="450" t="s">
        <v>556</v>
      </c>
      <c r="BE168" s="450" t="s">
        <v>556</v>
      </c>
    </row>
    <row r="169" spans="2:57" x14ac:dyDescent="0.25">
      <c r="B169" s="134">
        <v>90</v>
      </c>
      <c r="C169" s="450">
        <v>73.22</v>
      </c>
      <c r="D169" s="450">
        <v>73.23</v>
      </c>
      <c r="E169" s="450">
        <v>73.22</v>
      </c>
      <c r="F169" s="450">
        <v>73.209999999999994</v>
      </c>
      <c r="G169" s="450">
        <v>73.19</v>
      </c>
      <c r="H169" s="450">
        <v>73.150000000000006</v>
      </c>
      <c r="I169" s="450">
        <v>73.11</v>
      </c>
      <c r="J169" s="450">
        <v>73.06</v>
      </c>
      <c r="K169" s="450">
        <v>72.989999999999995</v>
      </c>
      <c r="L169" s="450">
        <v>72.92</v>
      </c>
      <c r="M169" s="450">
        <v>72.83</v>
      </c>
      <c r="N169" s="450" t="s">
        <v>556</v>
      </c>
      <c r="O169" s="450" t="s">
        <v>556</v>
      </c>
      <c r="P169" s="450" t="s">
        <v>556</v>
      </c>
      <c r="Q169" s="450" t="s">
        <v>556</v>
      </c>
      <c r="R169" s="450" t="s">
        <v>556</v>
      </c>
      <c r="S169" s="450" t="s">
        <v>556</v>
      </c>
      <c r="T169" s="133"/>
      <c r="U169" s="134">
        <v>90</v>
      </c>
      <c r="V169" s="450">
        <v>74.23</v>
      </c>
      <c r="W169" s="450">
        <v>74.25</v>
      </c>
      <c r="X169" s="450">
        <v>74.27</v>
      </c>
      <c r="Y169" s="450">
        <v>74.28</v>
      </c>
      <c r="Z169" s="450">
        <v>74.27</v>
      </c>
      <c r="AA169" s="450">
        <v>74.260000000000005</v>
      </c>
      <c r="AB169" s="450">
        <v>74.239999999999995</v>
      </c>
      <c r="AC169" s="450">
        <v>74.2</v>
      </c>
      <c r="AD169" s="450">
        <v>74.16</v>
      </c>
      <c r="AE169" s="450">
        <v>74.099999999999994</v>
      </c>
      <c r="AF169" s="450">
        <v>74.040000000000006</v>
      </c>
      <c r="AG169" s="450" t="s">
        <v>556</v>
      </c>
      <c r="AH169" s="450" t="s">
        <v>556</v>
      </c>
      <c r="AI169" s="450" t="s">
        <v>556</v>
      </c>
      <c r="AJ169" s="450" t="s">
        <v>556</v>
      </c>
      <c r="AK169" s="450" t="s">
        <v>556</v>
      </c>
      <c r="AL169" s="450" t="s">
        <v>556</v>
      </c>
      <c r="AM169" s="133"/>
      <c r="AN169" s="134">
        <v>90</v>
      </c>
      <c r="AO169" s="450">
        <v>75.37</v>
      </c>
      <c r="AP169" s="450">
        <v>75.41</v>
      </c>
      <c r="AQ169" s="450">
        <v>75.44</v>
      </c>
      <c r="AR169" s="450">
        <v>75.459999999999994</v>
      </c>
      <c r="AS169" s="450">
        <v>75.459999999999994</v>
      </c>
      <c r="AT169" s="450">
        <v>75.45</v>
      </c>
      <c r="AU169" s="450">
        <v>75.430000000000007</v>
      </c>
      <c r="AV169" s="450">
        <v>75.400000000000006</v>
      </c>
      <c r="AW169" s="450">
        <v>75.36</v>
      </c>
      <c r="AX169" s="450">
        <v>75.31</v>
      </c>
      <c r="AY169" s="450">
        <v>75.25</v>
      </c>
      <c r="AZ169" s="450" t="s">
        <v>556</v>
      </c>
      <c r="BA169" s="450" t="s">
        <v>556</v>
      </c>
      <c r="BB169" s="450" t="s">
        <v>556</v>
      </c>
      <c r="BC169" s="450" t="s">
        <v>556</v>
      </c>
      <c r="BD169" s="450" t="s">
        <v>556</v>
      </c>
      <c r="BE169" s="450" t="s">
        <v>556</v>
      </c>
    </row>
    <row r="170" spans="2:57" x14ac:dyDescent="0.25">
      <c r="B170" s="134">
        <v>91</v>
      </c>
      <c r="C170" s="450">
        <v>73.23</v>
      </c>
      <c r="D170" s="450">
        <v>73.22</v>
      </c>
      <c r="E170" s="450">
        <v>73.2</v>
      </c>
      <c r="F170" s="450">
        <v>73.17</v>
      </c>
      <c r="G170" s="450">
        <v>73.13</v>
      </c>
      <c r="H170" s="450">
        <v>73.069999999999993</v>
      </c>
      <c r="I170" s="450">
        <v>73.010000000000005</v>
      </c>
      <c r="J170" s="450">
        <v>72.930000000000007</v>
      </c>
      <c r="K170" s="450">
        <v>72.849999999999994</v>
      </c>
      <c r="L170" s="450">
        <v>72.75</v>
      </c>
      <c r="M170" s="450" t="s">
        <v>556</v>
      </c>
      <c r="N170" s="450" t="s">
        <v>556</v>
      </c>
      <c r="O170" s="450" t="s">
        <v>556</v>
      </c>
      <c r="P170" s="450" t="s">
        <v>556</v>
      </c>
      <c r="Q170" s="450" t="s">
        <v>556</v>
      </c>
      <c r="R170" s="450" t="s">
        <v>556</v>
      </c>
      <c r="S170" s="450" t="s">
        <v>556</v>
      </c>
      <c r="T170" s="133"/>
      <c r="U170" s="134">
        <v>91</v>
      </c>
      <c r="V170" s="450">
        <v>74.28</v>
      </c>
      <c r="W170" s="450">
        <v>74.290000000000006</v>
      </c>
      <c r="X170" s="450">
        <v>74.290000000000006</v>
      </c>
      <c r="Y170" s="450">
        <v>74.28</v>
      </c>
      <c r="Z170" s="450">
        <v>74.260000000000005</v>
      </c>
      <c r="AA170" s="450">
        <v>74.23</v>
      </c>
      <c r="AB170" s="450">
        <v>74.180000000000007</v>
      </c>
      <c r="AC170" s="450">
        <v>74.13</v>
      </c>
      <c r="AD170" s="450">
        <v>74.06</v>
      </c>
      <c r="AE170" s="450">
        <v>73.989999999999995</v>
      </c>
      <c r="AF170" s="450" t="s">
        <v>556</v>
      </c>
      <c r="AG170" s="450" t="s">
        <v>556</v>
      </c>
      <c r="AH170" s="450" t="s">
        <v>556</v>
      </c>
      <c r="AI170" s="450" t="s">
        <v>556</v>
      </c>
      <c r="AJ170" s="450" t="s">
        <v>556</v>
      </c>
      <c r="AK170" s="450" t="s">
        <v>556</v>
      </c>
      <c r="AL170" s="450" t="s">
        <v>556</v>
      </c>
      <c r="AM170" s="133"/>
      <c r="AN170" s="134">
        <v>91</v>
      </c>
      <c r="AO170" s="450">
        <v>75.45</v>
      </c>
      <c r="AP170" s="450">
        <v>75.47</v>
      </c>
      <c r="AQ170" s="450">
        <v>75.48</v>
      </c>
      <c r="AR170" s="450">
        <v>75.48</v>
      </c>
      <c r="AS170" s="450">
        <v>75.47</v>
      </c>
      <c r="AT170" s="450">
        <v>75.44</v>
      </c>
      <c r="AU170" s="450">
        <v>75.400000000000006</v>
      </c>
      <c r="AV170" s="450">
        <v>75.349999999999994</v>
      </c>
      <c r="AW170" s="450">
        <v>75.290000000000006</v>
      </c>
      <c r="AX170" s="450">
        <v>75.209999999999994</v>
      </c>
      <c r="AY170" s="450" t="s">
        <v>556</v>
      </c>
      <c r="AZ170" s="450" t="s">
        <v>556</v>
      </c>
      <c r="BA170" s="450" t="s">
        <v>556</v>
      </c>
      <c r="BB170" s="450" t="s">
        <v>556</v>
      </c>
      <c r="BC170" s="450" t="s">
        <v>556</v>
      </c>
      <c r="BD170" s="450" t="s">
        <v>556</v>
      </c>
      <c r="BE170" s="450" t="s">
        <v>556</v>
      </c>
    </row>
    <row r="171" spans="2:57" x14ac:dyDescent="0.25">
      <c r="B171" s="134">
        <v>92</v>
      </c>
      <c r="C171" s="450">
        <v>73.209999999999994</v>
      </c>
      <c r="D171" s="450">
        <v>73.180000000000007</v>
      </c>
      <c r="E171" s="450">
        <v>73.14</v>
      </c>
      <c r="F171" s="450">
        <v>73.09</v>
      </c>
      <c r="G171" s="450">
        <v>73.02</v>
      </c>
      <c r="H171" s="450">
        <v>72.95</v>
      </c>
      <c r="I171" s="450">
        <v>72.86</v>
      </c>
      <c r="J171" s="450">
        <v>72.760000000000005</v>
      </c>
      <c r="K171" s="450">
        <v>72.64</v>
      </c>
      <c r="L171" s="450" t="s">
        <v>556</v>
      </c>
      <c r="M171" s="450" t="s">
        <v>556</v>
      </c>
      <c r="N171" s="450" t="s">
        <v>556</v>
      </c>
      <c r="O171" s="450" t="s">
        <v>556</v>
      </c>
      <c r="P171" s="450" t="s">
        <v>556</v>
      </c>
      <c r="Q171" s="450" t="s">
        <v>556</v>
      </c>
      <c r="R171" s="450" t="s">
        <v>556</v>
      </c>
      <c r="S171" s="450" t="s">
        <v>556</v>
      </c>
      <c r="T171" s="133"/>
      <c r="U171" s="134">
        <v>92</v>
      </c>
      <c r="V171" s="450">
        <v>74.31</v>
      </c>
      <c r="W171" s="450">
        <v>74.3</v>
      </c>
      <c r="X171" s="450">
        <v>74.28</v>
      </c>
      <c r="Y171" s="450">
        <v>74.25</v>
      </c>
      <c r="Z171" s="450">
        <v>74.209999999999994</v>
      </c>
      <c r="AA171" s="450">
        <v>74.150000000000006</v>
      </c>
      <c r="AB171" s="450">
        <v>74.09</v>
      </c>
      <c r="AC171" s="450">
        <v>74.010000000000005</v>
      </c>
      <c r="AD171" s="450">
        <v>73.92</v>
      </c>
      <c r="AE171" s="450" t="s">
        <v>556</v>
      </c>
      <c r="AF171" s="450" t="s">
        <v>556</v>
      </c>
      <c r="AG171" s="450" t="s">
        <v>556</v>
      </c>
      <c r="AH171" s="450" t="s">
        <v>556</v>
      </c>
      <c r="AI171" s="450" t="s">
        <v>556</v>
      </c>
      <c r="AJ171" s="450" t="s">
        <v>556</v>
      </c>
      <c r="AK171" s="450" t="s">
        <v>556</v>
      </c>
      <c r="AL171" s="450" t="s">
        <v>556</v>
      </c>
      <c r="AM171" s="133"/>
      <c r="AN171" s="134">
        <v>92</v>
      </c>
      <c r="AO171" s="450">
        <v>75.489999999999995</v>
      </c>
      <c r="AP171" s="450">
        <v>75.5</v>
      </c>
      <c r="AQ171" s="450">
        <v>75.489999999999995</v>
      </c>
      <c r="AR171" s="450">
        <v>75.47</v>
      </c>
      <c r="AS171" s="450">
        <v>75.430000000000007</v>
      </c>
      <c r="AT171" s="450">
        <v>75.38</v>
      </c>
      <c r="AU171" s="450">
        <v>75.319999999999993</v>
      </c>
      <c r="AV171" s="450">
        <v>75.25</v>
      </c>
      <c r="AW171" s="450">
        <v>75.16</v>
      </c>
      <c r="AX171" s="450" t="s">
        <v>556</v>
      </c>
      <c r="AY171" s="450" t="s">
        <v>556</v>
      </c>
      <c r="AZ171" s="450" t="s">
        <v>556</v>
      </c>
      <c r="BA171" s="450" t="s">
        <v>556</v>
      </c>
      <c r="BB171" s="450" t="s">
        <v>556</v>
      </c>
      <c r="BC171" s="450" t="s">
        <v>556</v>
      </c>
      <c r="BD171" s="450" t="s">
        <v>556</v>
      </c>
      <c r="BE171" s="450" t="s">
        <v>556</v>
      </c>
    </row>
    <row r="172" spans="2:57" x14ac:dyDescent="0.25">
      <c r="B172" s="134">
        <v>93</v>
      </c>
      <c r="C172" s="450">
        <v>73.150000000000006</v>
      </c>
      <c r="D172" s="450">
        <v>73.099999999999994</v>
      </c>
      <c r="E172" s="450">
        <v>73.03</v>
      </c>
      <c r="F172" s="450">
        <v>72.95</v>
      </c>
      <c r="G172" s="450">
        <v>72.86</v>
      </c>
      <c r="H172" s="450">
        <v>72.760000000000005</v>
      </c>
      <c r="I172" s="450">
        <v>72.64</v>
      </c>
      <c r="J172" s="450">
        <v>72.510000000000005</v>
      </c>
      <c r="K172" s="450" t="s">
        <v>556</v>
      </c>
      <c r="L172" s="450" t="s">
        <v>556</v>
      </c>
      <c r="M172" s="450" t="s">
        <v>556</v>
      </c>
      <c r="N172" s="450" t="s">
        <v>556</v>
      </c>
      <c r="O172" s="450" t="s">
        <v>556</v>
      </c>
      <c r="P172" s="450" t="s">
        <v>556</v>
      </c>
      <c r="Q172" s="450" t="s">
        <v>556</v>
      </c>
      <c r="R172" s="450" t="s">
        <v>556</v>
      </c>
      <c r="S172" s="450" t="s">
        <v>556</v>
      </c>
      <c r="T172" s="133"/>
      <c r="U172" s="134">
        <v>93</v>
      </c>
      <c r="V172" s="450">
        <v>74.290000000000006</v>
      </c>
      <c r="W172" s="450">
        <v>74.260000000000005</v>
      </c>
      <c r="X172" s="450">
        <v>74.22</v>
      </c>
      <c r="Y172" s="450">
        <v>74.17</v>
      </c>
      <c r="Z172" s="450">
        <v>74.099999999999994</v>
      </c>
      <c r="AA172" s="450">
        <v>74.02</v>
      </c>
      <c r="AB172" s="450">
        <v>73.930000000000007</v>
      </c>
      <c r="AC172" s="450">
        <v>73.819999999999993</v>
      </c>
      <c r="AD172" s="450" t="s">
        <v>556</v>
      </c>
      <c r="AE172" s="450" t="s">
        <v>556</v>
      </c>
      <c r="AF172" s="450" t="s">
        <v>556</v>
      </c>
      <c r="AG172" s="450" t="s">
        <v>556</v>
      </c>
      <c r="AH172" s="450" t="s">
        <v>556</v>
      </c>
      <c r="AI172" s="450" t="s">
        <v>556</v>
      </c>
      <c r="AJ172" s="450" t="s">
        <v>556</v>
      </c>
      <c r="AK172" s="450" t="s">
        <v>556</v>
      </c>
      <c r="AL172" s="450" t="s">
        <v>556</v>
      </c>
      <c r="AM172" s="133"/>
      <c r="AN172" s="134">
        <v>93</v>
      </c>
      <c r="AO172" s="450">
        <v>75.5</v>
      </c>
      <c r="AP172" s="450">
        <v>75.48</v>
      </c>
      <c r="AQ172" s="450">
        <v>75.45</v>
      </c>
      <c r="AR172" s="450">
        <v>75.400000000000006</v>
      </c>
      <c r="AS172" s="450">
        <v>75.349999999999994</v>
      </c>
      <c r="AT172" s="450">
        <v>75.27</v>
      </c>
      <c r="AU172" s="450">
        <v>75.180000000000007</v>
      </c>
      <c r="AV172" s="450">
        <v>75.08</v>
      </c>
      <c r="AW172" s="450" t="s">
        <v>556</v>
      </c>
      <c r="AX172" s="450" t="s">
        <v>556</v>
      </c>
      <c r="AY172" s="450" t="s">
        <v>556</v>
      </c>
      <c r="AZ172" s="450" t="s">
        <v>556</v>
      </c>
      <c r="BA172" s="450" t="s">
        <v>556</v>
      </c>
      <c r="BB172" s="450" t="s">
        <v>556</v>
      </c>
      <c r="BC172" s="450" t="s">
        <v>556</v>
      </c>
      <c r="BD172" s="450" t="s">
        <v>556</v>
      </c>
      <c r="BE172" s="450" t="s">
        <v>556</v>
      </c>
    </row>
    <row r="173" spans="2:57" x14ac:dyDescent="0.25">
      <c r="B173" s="134">
        <v>94</v>
      </c>
      <c r="C173" s="450">
        <v>73.040000000000006</v>
      </c>
      <c r="D173" s="450">
        <v>72.959999999999994</v>
      </c>
      <c r="E173" s="450">
        <v>72.87</v>
      </c>
      <c r="F173" s="450">
        <v>72.760000000000005</v>
      </c>
      <c r="G173" s="450">
        <v>72.64</v>
      </c>
      <c r="H173" s="450">
        <v>72.510000000000005</v>
      </c>
      <c r="I173" s="450">
        <v>72.36</v>
      </c>
      <c r="J173" s="450" t="s">
        <v>556</v>
      </c>
      <c r="K173" s="450" t="s">
        <v>556</v>
      </c>
      <c r="L173" s="450" t="s">
        <v>556</v>
      </c>
      <c r="M173" s="450" t="s">
        <v>556</v>
      </c>
      <c r="N173" s="450" t="s">
        <v>556</v>
      </c>
      <c r="O173" s="450" t="s">
        <v>556</v>
      </c>
      <c r="P173" s="450" t="s">
        <v>556</v>
      </c>
      <c r="Q173" s="450" t="s">
        <v>556</v>
      </c>
      <c r="R173" s="450" t="s">
        <v>556</v>
      </c>
      <c r="S173" s="450" t="s">
        <v>556</v>
      </c>
      <c r="T173" s="133"/>
      <c r="U173" s="134">
        <v>94</v>
      </c>
      <c r="V173" s="450">
        <v>74.23</v>
      </c>
      <c r="W173" s="450">
        <v>74.180000000000007</v>
      </c>
      <c r="X173" s="450">
        <v>74.11</v>
      </c>
      <c r="Y173" s="450">
        <v>74.03</v>
      </c>
      <c r="Z173" s="450">
        <v>73.94</v>
      </c>
      <c r="AA173" s="450">
        <v>73.83</v>
      </c>
      <c r="AB173" s="450">
        <v>73.709999999999994</v>
      </c>
      <c r="AC173" s="450" t="s">
        <v>556</v>
      </c>
      <c r="AD173" s="450" t="s">
        <v>556</v>
      </c>
      <c r="AE173" s="450" t="s">
        <v>556</v>
      </c>
      <c r="AF173" s="450" t="s">
        <v>556</v>
      </c>
      <c r="AG173" s="450" t="s">
        <v>556</v>
      </c>
      <c r="AH173" s="450" t="s">
        <v>556</v>
      </c>
      <c r="AI173" s="450" t="s">
        <v>556</v>
      </c>
      <c r="AJ173" s="450" t="s">
        <v>556</v>
      </c>
      <c r="AK173" s="450" t="s">
        <v>556</v>
      </c>
      <c r="AL173" s="450" t="s">
        <v>556</v>
      </c>
      <c r="AM173" s="133"/>
      <c r="AN173" s="134">
        <v>94</v>
      </c>
      <c r="AO173" s="450">
        <v>75.459999999999994</v>
      </c>
      <c r="AP173" s="450">
        <v>75.42</v>
      </c>
      <c r="AQ173" s="450">
        <v>75.36</v>
      </c>
      <c r="AR173" s="450">
        <v>75.290000000000006</v>
      </c>
      <c r="AS173" s="450">
        <v>75.2</v>
      </c>
      <c r="AT173" s="450">
        <v>75.099999999999994</v>
      </c>
      <c r="AU173" s="450">
        <v>74.98</v>
      </c>
      <c r="AV173" s="450" t="s">
        <v>556</v>
      </c>
      <c r="AW173" s="450" t="s">
        <v>556</v>
      </c>
      <c r="AX173" s="450" t="s">
        <v>556</v>
      </c>
      <c r="AY173" s="450" t="s">
        <v>556</v>
      </c>
      <c r="AZ173" s="450" t="s">
        <v>556</v>
      </c>
      <c r="BA173" s="450" t="s">
        <v>556</v>
      </c>
      <c r="BB173" s="450" t="s">
        <v>556</v>
      </c>
      <c r="BC173" s="450" t="s">
        <v>556</v>
      </c>
      <c r="BD173" s="450" t="s">
        <v>556</v>
      </c>
      <c r="BE173" s="450" t="s">
        <v>556</v>
      </c>
    </row>
    <row r="174" spans="2:57" x14ac:dyDescent="0.25">
      <c r="B174" s="134">
        <v>95</v>
      </c>
      <c r="C174" s="450">
        <v>72.88</v>
      </c>
      <c r="D174" s="450">
        <v>72.77</v>
      </c>
      <c r="E174" s="450">
        <v>72.64</v>
      </c>
      <c r="F174" s="450">
        <v>72.510000000000005</v>
      </c>
      <c r="G174" s="450">
        <v>72.349999999999994</v>
      </c>
      <c r="H174" s="450">
        <v>72.19</v>
      </c>
      <c r="I174" s="450" t="s">
        <v>556</v>
      </c>
      <c r="J174" s="450" t="s">
        <v>556</v>
      </c>
      <c r="K174" s="450" t="s">
        <v>556</v>
      </c>
      <c r="L174" s="450" t="s">
        <v>556</v>
      </c>
      <c r="M174" s="450" t="s">
        <v>556</v>
      </c>
      <c r="N174" s="450" t="s">
        <v>556</v>
      </c>
      <c r="O174" s="450" t="s">
        <v>556</v>
      </c>
      <c r="P174" s="450" t="s">
        <v>556</v>
      </c>
      <c r="Q174" s="450" t="s">
        <v>556</v>
      </c>
      <c r="R174" s="450" t="s">
        <v>556</v>
      </c>
      <c r="S174" s="450" t="s">
        <v>556</v>
      </c>
      <c r="T174" s="133"/>
      <c r="U174" s="134">
        <v>95</v>
      </c>
      <c r="V174" s="450">
        <v>74.12</v>
      </c>
      <c r="W174" s="450">
        <v>74.040000000000006</v>
      </c>
      <c r="X174" s="450">
        <v>73.94</v>
      </c>
      <c r="Y174" s="450">
        <v>73.83</v>
      </c>
      <c r="Z174" s="450">
        <v>73.709999999999994</v>
      </c>
      <c r="AA174" s="450">
        <v>73.56</v>
      </c>
      <c r="AB174" s="450" t="s">
        <v>556</v>
      </c>
      <c r="AC174" s="450" t="s">
        <v>556</v>
      </c>
      <c r="AD174" s="450" t="s">
        <v>556</v>
      </c>
      <c r="AE174" s="450" t="s">
        <v>556</v>
      </c>
      <c r="AF174" s="450" t="s">
        <v>556</v>
      </c>
      <c r="AG174" s="450" t="s">
        <v>556</v>
      </c>
      <c r="AH174" s="450" t="s">
        <v>556</v>
      </c>
      <c r="AI174" s="450" t="s">
        <v>556</v>
      </c>
      <c r="AJ174" s="450" t="s">
        <v>556</v>
      </c>
      <c r="AK174" s="450" t="s">
        <v>556</v>
      </c>
      <c r="AL174" s="450" t="s">
        <v>556</v>
      </c>
      <c r="AM174" s="133"/>
      <c r="AN174" s="134">
        <v>95</v>
      </c>
      <c r="AO174" s="450">
        <v>75.36</v>
      </c>
      <c r="AP174" s="450">
        <v>75.3</v>
      </c>
      <c r="AQ174" s="450">
        <v>75.209999999999994</v>
      </c>
      <c r="AR174" s="450">
        <v>75.11</v>
      </c>
      <c r="AS174" s="450">
        <v>74.989999999999995</v>
      </c>
      <c r="AT174" s="450">
        <v>74.86</v>
      </c>
      <c r="AU174" s="450" t="s">
        <v>556</v>
      </c>
      <c r="AV174" s="450" t="s">
        <v>556</v>
      </c>
      <c r="AW174" s="450" t="s">
        <v>556</v>
      </c>
      <c r="AX174" s="450" t="s">
        <v>556</v>
      </c>
      <c r="AY174" s="450" t="s">
        <v>556</v>
      </c>
      <c r="AZ174" s="450" t="s">
        <v>556</v>
      </c>
      <c r="BA174" s="450" t="s">
        <v>556</v>
      </c>
      <c r="BB174" s="450" t="s">
        <v>556</v>
      </c>
      <c r="BC174" s="450" t="s">
        <v>556</v>
      </c>
      <c r="BD174" s="450" t="s">
        <v>556</v>
      </c>
      <c r="BE174" s="450" t="s">
        <v>556</v>
      </c>
    </row>
    <row r="175" spans="2:57" x14ac:dyDescent="0.25">
      <c r="B175" s="134">
        <v>96</v>
      </c>
      <c r="C175" s="450">
        <v>72.650000000000006</v>
      </c>
      <c r="D175" s="450">
        <v>72.510000000000005</v>
      </c>
      <c r="E175" s="450">
        <v>72.349999999999994</v>
      </c>
      <c r="F175" s="450">
        <v>72.180000000000007</v>
      </c>
      <c r="G175" s="450">
        <v>71.98</v>
      </c>
      <c r="H175" s="450" t="s">
        <v>556</v>
      </c>
      <c r="I175" s="450" t="s">
        <v>556</v>
      </c>
      <c r="J175" s="450" t="s">
        <v>556</v>
      </c>
      <c r="K175" s="450" t="s">
        <v>556</v>
      </c>
      <c r="L175" s="450" t="s">
        <v>556</v>
      </c>
      <c r="M175" s="450" t="s">
        <v>556</v>
      </c>
      <c r="N175" s="450" t="s">
        <v>556</v>
      </c>
      <c r="O175" s="450" t="s">
        <v>556</v>
      </c>
      <c r="P175" s="450" t="s">
        <v>556</v>
      </c>
      <c r="Q175" s="450" t="s">
        <v>556</v>
      </c>
      <c r="R175" s="450" t="s">
        <v>556</v>
      </c>
      <c r="S175" s="450" t="s">
        <v>556</v>
      </c>
      <c r="T175" s="133"/>
      <c r="U175" s="134">
        <v>96</v>
      </c>
      <c r="V175" s="450">
        <v>73.95</v>
      </c>
      <c r="W175" s="450">
        <v>73.84</v>
      </c>
      <c r="X175" s="450">
        <v>73.709999999999994</v>
      </c>
      <c r="Y175" s="450">
        <v>73.56</v>
      </c>
      <c r="Z175" s="450">
        <v>73.400000000000006</v>
      </c>
      <c r="AA175" s="450" t="s">
        <v>556</v>
      </c>
      <c r="AB175" s="450" t="s">
        <v>556</v>
      </c>
      <c r="AC175" s="450" t="s">
        <v>556</v>
      </c>
      <c r="AD175" s="450" t="s">
        <v>556</v>
      </c>
      <c r="AE175" s="450" t="s">
        <v>556</v>
      </c>
      <c r="AF175" s="450" t="s">
        <v>556</v>
      </c>
      <c r="AG175" s="450" t="s">
        <v>556</v>
      </c>
      <c r="AH175" s="450" t="s">
        <v>556</v>
      </c>
      <c r="AI175" s="450" t="s">
        <v>556</v>
      </c>
      <c r="AJ175" s="450" t="s">
        <v>556</v>
      </c>
      <c r="AK175" s="450" t="s">
        <v>556</v>
      </c>
      <c r="AL175" s="450" t="s">
        <v>556</v>
      </c>
      <c r="AM175" s="133"/>
      <c r="AN175" s="134">
        <v>96</v>
      </c>
      <c r="AO175" s="450">
        <v>75.209999999999994</v>
      </c>
      <c r="AP175" s="450">
        <v>75.11</v>
      </c>
      <c r="AQ175" s="450">
        <v>74.989999999999995</v>
      </c>
      <c r="AR175" s="450">
        <v>74.86</v>
      </c>
      <c r="AS175" s="450">
        <v>74.7</v>
      </c>
      <c r="AT175" s="450" t="s">
        <v>556</v>
      </c>
      <c r="AU175" s="450" t="s">
        <v>556</v>
      </c>
      <c r="AV175" s="450" t="s">
        <v>556</v>
      </c>
      <c r="AW175" s="450" t="s">
        <v>556</v>
      </c>
      <c r="AX175" s="450" t="s">
        <v>556</v>
      </c>
      <c r="AY175" s="450" t="s">
        <v>556</v>
      </c>
      <c r="AZ175" s="450" t="s">
        <v>556</v>
      </c>
      <c r="BA175" s="450" t="s">
        <v>556</v>
      </c>
      <c r="BB175" s="450" t="s">
        <v>556</v>
      </c>
      <c r="BC175" s="450" t="s">
        <v>556</v>
      </c>
      <c r="BD175" s="450" t="s">
        <v>556</v>
      </c>
      <c r="BE175" s="450" t="s">
        <v>556</v>
      </c>
    </row>
    <row r="176" spans="2:57" x14ac:dyDescent="0.25">
      <c r="B176" s="134">
        <v>97</v>
      </c>
      <c r="C176" s="450">
        <v>72.349999999999994</v>
      </c>
      <c r="D176" s="450">
        <v>72.17</v>
      </c>
      <c r="E176" s="450">
        <v>71.97</v>
      </c>
      <c r="F176" s="450">
        <v>71.760000000000005</v>
      </c>
      <c r="G176" s="450" t="s">
        <v>556</v>
      </c>
      <c r="H176" s="450" t="s">
        <v>556</v>
      </c>
      <c r="I176" s="450" t="s">
        <v>556</v>
      </c>
      <c r="J176" s="450" t="s">
        <v>556</v>
      </c>
      <c r="K176" s="450" t="s">
        <v>556</v>
      </c>
      <c r="L176" s="450" t="s">
        <v>556</v>
      </c>
      <c r="M176" s="450" t="s">
        <v>556</v>
      </c>
      <c r="N176" s="450" t="s">
        <v>556</v>
      </c>
      <c r="O176" s="450" t="s">
        <v>556</v>
      </c>
      <c r="P176" s="450" t="s">
        <v>556</v>
      </c>
      <c r="Q176" s="450" t="s">
        <v>556</v>
      </c>
      <c r="R176" s="450" t="s">
        <v>556</v>
      </c>
      <c r="S176" s="450" t="s">
        <v>556</v>
      </c>
      <c r="T176" s="133"/>
      <c r="U176" s="134">
        <v>97</v>
      </c>
      <c r="V176" s="450">
        <v>73.709999999999994</v>
      </c>
      <c r="W176" s="450">
        <v>73.56</v>
      </c>
      <c r="X176" s="450">
        <v>73.39</v>
      </c>
      <c r="Y176" s="450">
        <v>73.209999999999994</v>
      </c>
      <c r="Z176" s="450" t="s">
        <v>556</v>
      </c>
      <c r="AA176" s="450" t="s">
        <v>556</v>
      </c>
      <c r="AB176" s="450" t="s">
        <v>556</v>
      </c>
      <c r="AC176" s="450" t="s">
        <v>556</v>
      </c>
      <c r="AD176" s="450" t="s">
        <v>556</v>
      </c>
      <c r="AE176" s="450" t="s">
        <v>556</v>
      </c>
      <c r="AF176" s="450" t="s">
        <v>556</v>
      </c>
      <c r="AG176" s="450" t="s">
        <v>556</v>
      </c>
      <c r="AH176" s="450" t="s">
        <v>556</v>
      </c>
      <c r="AI176" s="450" t="s">
        <v>556</v>
      </c>
      <c r="AJ176" s="450" t="s">
        <v>556</v>
      </c>
      <c r="AK176" s="450" t="s">
        <v>556</v>
      </c>
      <c r="AL176" s="450" t="s">
        <v>556</v>
      </c>
      <c r="AM176" s="133"/>
      <c r="AN176" s="134">
        <v>97</v>
      </c>
      <c r="AO176" s="450">
        <v>74.989999999999995</v>
      </c>
      <c r="AP176" s="450">
        <v>74.86</v>
      </c>
      <c r="AQ176" s="450">
        <v>74.7</v>
      </c>
      <c r="AR176" s="450">
        <v>74.53</v>
      </c>
      <c r="AS176" s="450" t="s">
        <v>556</v>
      </c>
      <c r="AT176" s="450" t="s">
        <v>556</v>
      </c>
      <c r="AU176" s="450" t="s">
        <v>556</v>
      </c>
      <c r="AV176" s="450" t="s">
        <v>556</v>
      </c>
      <c r="AW176" s="450" t="s">
        <v>556</v>
      </c>
      <c r="AX176" s="450" t="s">
        <v>556</v>
      </c>
      <c r="AY176" s="450" t="s">
        <v>556</v>
      </c>
      <c r="AZ176" s="450" t="s">
        <v>556</v>
      </c>
      <c r="BA176" s="450" t="s">
        <v>556</v>
      </c>
      <c r="BB176" s="450" t="s">
        <v>556</v>
      </c>
      <c r="BC176" s="450" t="s">
        <v>556</v>
      </c>
      <c r="BD176" s="450" t="s">
        <v>556</v>
      </c>
      <c r="BE176" s="450" t="s">
        <v>556</v>
      </c>
    </row>
    <row r="177" spans="2:57" x14ac:dyDescent="0.25">
      <c r="B177" s="134">
        <v>98</v>
      </c>
      <c r="C177" s="450">
        <v>71.97</v>
      </c>
      <c r="D177" s="450">
        <v>71.75</v>
      </c>
      <c r="E177" s="450">
        <v>71.5</v>
      </c>
      <c r="F177" s="450" t="s">
        <v>556</v>
      </c>
      <c r="G177" s="450" t="s">
        <v>556</v>
      </c>
      <c r="H177" s="450" t="s">
        <v>556</v>
      </c>
      <c r="I177" s="450" t="s">
        <v>556</v>
      </c>
      <c r="J177" s="450" t="s">
        <v>556</v>
      </c>
      <c r="K177" s="450" t="s">
        <v>556</v>
      </c>
      <c r="L177" s="450" t="s">
        <v>556</v>
      </c>
      <c r="M177" s="450" t="s">
        <v>556</v>
      </c>
      <c r="N177" s="450" t="s">
        <v>556</v>
      </c>
      <c r="O177" s="450" t="s">
        <v>556</v>
      </c>
      <c r="P177" s="450" t="s">
        <v>556</v>
      </c>
      <c r="Q177" s="450" t="s">
        <v>556</v>
      </c>
      <c r="R177" s="450" t="s">
        <v>556</v>
      </c>
      <c r="S177" s="450" t="s">
        <v>556</v>
      </c>
      <c r="T177" s="133"/>
      <c r="U177" s="134">
        <v>98</v>
      </c>
      <c r="V177" s="450">
        <v>73.39</v>
      </c>
      <c r="W177" s="450">
        <v>73.2</v>
      </c>
      <c r="X177" s="450">
        <v>72.989999999999995</v>
      </c>
      <c r="Y177" s="450" t="s">
        <v>556</v>
      </c>
      <c r="Z177" s="450" t="s">
        <v>556</v>
      </c>
      <c r="AA177" s="450" t="s">
        <v>556</v>
      </c>
      <c r="AB177" s="450" t="s">
        <v>556</v>
      </c>
      <c r="AC177" s="450" t="s">
        <v>556</v>
      </c>
      <c r="AD177" s="450" t="s">
        <v>556</v>
      </c>
      <c r="AE177" s="450" t="s">
        <v>556</v>
      </c>
      <c r="AF177" s="450" t="s">
        <v>556</v>
      </c>
      <c r="AG177" s="450" t="s">
        <v>556</v>
      </c>
      <c r="AH177" s="450" t="s">
        <v>556</v>
      </c>
      <c r="AI177" s="450" t="s">
        <v>556</v>
      </c>
      <c r="AJ177" s="450" t="s">
        <v>556</v>
      </c>
      <c r="AK177" s="450" t="s">
        <v>556</v>
      </c>
      <c r="AL177" s="450" t="s">
        <v>556</v>
      </c>
      <c r="AM177" s="133"/>
      <c r="AN177" s="134">
        <v>98</v>
      </c>
      <c r="AO177" s="450">
        <v>74.7</v>
      </c>
      <c r="AP177" s="450">
        <v>74.52</v>
      </c>
      <c r="AQ177" s="450">
        <v>74.319999999999993</v>
      </c>
      <c r="AR177" s="450" t="s">
        <v>556</v>
      </c>
      <c r="AS177" s="450" t="s">
        <v>556</v>
      </c>
      <c r="AT177" s="450" t="s">
        <v>556</v>
      </c>
      <c r="AU177" s="450" t="s">
        <v>556</v>
      </c>
      <c r="AV177" s="450" t="s">
        <v>556</v>
      </c>
      <c r="AW177" s="450" t="s">
        <v>556</v>
      </c>
      <c r="AX177" s="450" t="s">
        <v>556</v>
      </c>
      <c r="AY177" s="450" t="s">
        <v>556</v>
      </c>
      <c r="AZ177" s="450" t="s">
        <v>556</v>
      </c>
      <c r="BA177" s="450" t="s">
        <v>556</v>
      </c>
      <c r="BB177" s="450" t="s">
        <v>556</v>
      </c>
      <c r="BC177" s="450" t="s">
        <v>556</v>
      </c>
      <c r="BD177" s="450" t="s">
        <v>556</v>
      </c>
      <c r="BE177" s="450" t="s">
        <v>556</v>
      </c>
    </row>
    <row r="178" spans="2:57" x14ac:dyDescent="0.25">
      <c r="B178" s="134">
        <v>99</v>
      </c>
      <c r="C178" s="450">
        <v>71.489999999999995</v>
      </c>
      <c r="D178" s="450">
        <v>71.22</v>
      </c>
      <c r="E178" s="450" t="s">
        <v>556</v>
      </c>
      <c r="F178" s="450" t="s">
        <v>556</v>
      </c>
      <c r="G178" s="450" t="s">
        <v>556</v>
      </c>
      <c r="H178" s="450" t="s">
        <v>556</v>
      </c>
      <c r="I178" s="450" t="s">
        <v>556</v>
      </c>
      <c r="J178" s="450" t="s">
        <v>556</v>
      </c>
      <c r="K178" s="450" t="s">
        <v>556</v>
      </c>
      <c r="L178" s="450" t="s">
        <v>556</v>
      </c>
      <c r="M178" s="450" t="s">
        <v>556</v>
      </c>
      <c r="N178" s="450" t="s">
        <v>556</v>
      </c>
      <c r="O178" s="450" t="s">
        <v>556</v>
      </c>
      <c r="P178" s="450" t="s">
        <v>556</v>
      </c>
      <c r="Q178" s="450" t="s">
        <v>556</v>
      </c>
      <c r="R178" s="450" t="s">
        <v>556</v>
      </c>
      <c r="S178" s="450" t="s">
        <v>556</v>
      </c>
      <c r="T178" s="133"/>
      <c r="U178" s="134">
        <v>99</v>
      </c>
      <c r="V178" s="450">
        <v>72.989999999999995</v>
      </c>
      <c r="W178" s="450">
        <v>72.739999999999995</v>
      </c>
      <c r="X178" s="450" t="s">
        <v>556</v>
      </c>
      <c r="Y178" s="450" t="s">
        <v>556</v>
      </c>
      <c r="Z178" s="450" t="s">
        <v>556</v>
      </c>
      <c r="AA178" s="450" t="s">
        <v>556</v>
      </c>
      <c r="AB178" s="450" t="s">
        <v>556</v>
      </c>
      <c r="AC178" s="450" t="s">
        <v>556</v>
      </c>
      <c r="AD178" s="450" t="s">
        <v>556</v>
      </c>
      <c r="AE178" s="450" t="s">
        <v>556</v>
      </c>
      <c r="AF178" s="450" t="s">
        <v>556</v>
      </c>
      <c r="AG178" s="450" t="s">
        <v>556</v>
      </c>
      <c r="AH178" s="450" t="s">
        <v>556</v>
      </c>
      <c r="AI178" s="450" t="s">
        <v>556</v>
      </c>
      <c r="AJ178" s="450" t="s">
        <v>556</v>
      </c>
      <c r="AK178" s="450" t="s">
        <v>556</v>
      </c>
      <c r="AL178" s="450" t="s">
        <v>556</v>
      </c>
      <c r="AM178" s="133"/>
      <c r="AN178" s="134">
        <v>99</v>
      </c>
      <c r="AO178" s="450">
        <v>74.31</v>
      </c>
      <c r="AP178" s="450">
        <v>74.08</v>
      </c>
      <c r="AQ178" s="450" t="s">
        <v>556</v>
      </c>
      <c r="AR178" s="450" t="s">
        <v>556</v>
      </c>
      <c r="AS178" s="450" t="s">
        <v>556</v>
      </c>
      <c r="AT178" s="450" t="s">
        <v>556</v>
      </c>
      <c r="AU178" s="450" t="s">
        <v>556</v>
      </c>
      <c r="AV178" s="450" t="s">
        <v>556</v>
      </c>
      <c r="AW178" s="450" t="s">
        <v>556</v>
      </c>
      <c r="AX178" s="450" t="s">
        <v>556</v>
      </c>
      <c r="AY178" s="450" t="s">
        <v>556</v>
      </c>
      <c r="AZ178" s="450" t="s">
        <v>556</v>
      </c>
      <c r="BA178" s="450" t="s">
        <v>556</v>
      </c>
      <c r="BB178" s="450" t="s">
        <v>556</v>
      </c>
      <c r="BC178" s="450" t="s">
        <v>556</v>
      </c>
      <c r="BD178" s="450" t="s">
        <v>556</v>
      </c>
      <c r="BE178" s="450" t="s">
        <v>556</v>
      </c>
    </row>
    <row r="179" spans="2:57" x14ac:dyDescent="0.25">
      <c r="B179" s="134">
        <v>100</v>
      </c>
      <c r="C179" s="450">
        <v>70.900000000000006</v>
      </c>
      <c r="D179" s="450" t="s">
        <v>556</v>
      </c>
      <c r="E179" s="450" t="s">
        <v>556</v>
      </c>
      <c r="F179" s="450" t="s">
        <v>556</v>
      </c>
      <c r="G179" s="450" t="s">
        <v>556</v>
      </c>
      <c r="H179" s="450" t="s">
        <v>556</v>
      </c>
      <c r="I179" s="450" t="s">
        <v>556</v>
      </c>
      <c r="J179" s="450" t="s">
        <v>556</v>
      </c>
      <c r="K179" s="450" t="s">
        <v>556</v>
      </c>
      <c r="L179" s="450" t="s">
        <v>556</v>
      </c>
      <c r="M179" s="450" t="s">
        <v>556</v>
      </c>
      <c r="N179" s="450" t="s">
        <v>556</v>
      </c>
      <c r="O179" s="450" t="s">
        <v>556</v>
      </c>
      <c r="P179" s="450" t="s">
        <v>556</v>
      </c>
      <c r="Q179" s="450" t="s">
        <v>556</v>
      </c>
      <c r="R179" s="450" t="s">
        <v>556</v>
      </c>
      <c r="S179" s="450" t="s">
        <v>556</v>
      </c>
      <c r="T179" s="133"/>
      <c r="U179" s="134">
        <v>100</v>
      </c>
      <c r="V179" s="450">
        <v>72.47</v>
      </c>
      <c r="W179" s="450" t="s">
        <v>556</v>
      </c>
      <c r="X179" s="450" t="s">
        <v>556</v>
      </c>
      <c r="Y179" s="450" t="s">
        <v>556</v>
      </c>
      <c r="Z179" s="450" t="s">
        <v>556</v>
      </c>
      <c r="AA179" s="450" t="s">
        <v>556</v>
      </c>
      <c r="AB179" s="450" t="s">
        <v>556</v>
      </c>
      <c r="AC179" s="450" t="s">
        <v>556</v>
      </c>
      <c r="AD179" s="450" t="s">
        <v>556</v>
      </c>
      <c r="AE179" s="450" t="s">
        <v>556</v>
      </c>
      <c r="AF179" s="450" t="s">
        <v>556</v>
      </c>
      <c r="AG179" s="450" t="s">
        <v>556</v>
      </c>
      <c r="AH179" s="450" t="s">
        <v>556</v>
      </c>
      <c r="AI179" s="450" t="s">
        <v>556</v>
      </c>
      <c r="AJ179" s="450" t="s">
        <v>556</v>
      </c>
      <c r="AK179" s="450" t="s">
        <v>556</v>
      </c>
      <c r="AL179" s="450" t="s">
        <v>556</v>
      </c>
      <c r="AM179" s="133"/>
      <c r="AN179" s="134">
        <v>100</v>
      </c>
      <c r="AO179" s="450">
        <v>73.81</v>
      </c>
      <c r="AP179" s="450" t="s">
        <v>556</v>
      </c>
      <c r="AQ179" s="450" t="s">
        <v>556</v>
      </c>
      <c r="AR179" s="450" t="s">
        <v>556</v>
      </c>
      <c r="AS179" s="450" t="s">
        <v>556</v>
      </c>
      <c r="AT179" s="450" t="s">
        <v>556</v>
      </c>
      <c r="AU179" s="450" t="s">
        <v>556</v>
      </c>
      <c r="AV179" s="450" t="s">
        <v>556</v>
      </c>
      <c r="AW179" s="450" t="s">
        <v>556</v>
      </c>
      <c r="AX179" s="450" t="s">
        <v>556</v>
      </c>
      <c r="AY179" s="450" t="s">
        <v>556</v>
      </c>
      <c r="AZ179" s="450" t="s">
        <v>556</v>
      </c>
      <c r="BA179" s="450" t="s">
        <v>556</v>
      </c>
      <c r="BB179" s="450" t="s">
        <v>556</v>
      </c>
      <c r="BC179" s="450" t="s">
        <v>556</v>
      </c>
      <c r="BD179" s="450" t="s">
        <v>556</v>
      </c>
      <c r="BE179" s="450" t="s">
        <v>556</v>
      </c>
    </row>
    <row r="182" spans="2:57" ht="20.45" customHeight="1" x14ac:dyDescent="0.25">
      <c r="B182" s="444" t="s">
        <v>185</v>
      </c>
      <c r="C182" s="526" t="s">
        <v>227</v>
      </c>
      <c r="D182" s="527"/>
      <c r="E182" s="527"/>
      <c r="F182" s="527"/>
      <c r="G182" s="527"/>
      <c r="H182" s="527"/>
      <c r="I182" s="527"/>
      <c r="J182" s="527"/>
      <c r="K182" s="527"/>
      <c r="L182" s="527"/>
      <c r="M182" s="527"/>
      <c r="N182" s="527"/>
      <c r="O182" s="527"/>
      <c r="P182" s="527"/>
      <c r="Q182" s="527"/>
      <c r="R182" s="527"/>
      <c r="S182" s="527"/>
      <c r="V182" s="526" t="s">
        <v>227</v>
      </c>
      <c r="W182" s="527"/>
      <c r="X182" s="527"/>
      <c r="Y182" s="527"/>
      <c r="Z182" s="527"/>
      <c r="AA182" s="527"/>
      <c r="AB182" s="527"/>
      <c r="AC182" s="527"/>
      <c r="AD182" s="527"/>
      <c r="AE182" s="527"/>
      <c r="AF182" s="527"/>
      <c r="AG182" s="527"/>
      <c r="AH182" s="527"/>
      <c r="AI182" s="527"/>
      <c r="AJ182" s="527"/>
      <c r="AK182" s="527"/>
      <c r="AL182" s="527"/>
      <c r="AO182" s="526" t="s">
        <v>227</v>
      </c>
      <c r="AP182" s="527"/>
      <c r="AQ182" s="527"/>
      <c r="AR182" s="527"/>
      <c r="AS182" s="527"/>
      <c r="AT182" s="527"/>
      <c r="AU182" s="527"/>
      <c r="AV182" s="527"/>
      <c r="AW182" s="527"/>
      <c r="AX182" s="527"/>
      <c r="AY182" s="527"/>
      <c r="AZ182" s="527"/>
      <c r="BA182" s="527"/>
      <c r="BB182" s="527"/>
      <c r="BC182" s="527"/>
      <c r="BD182" s="527"/>
      <c r="BE182" s="527"/>
    </row>
    <row r="183" spans="2:57" x14ac:dyDescent="0.25">
      <c r="B183" s="444"/>
      <c r="V183" s="444"/>
      <c r="AO183" s="444"/>
    </row>
    <row r="184" spans="2:57" x14ac:dyDescent="0.25">
      <c r="C184" s="528" t="s">
        <v>173</v>
      </c>
      <c r="D184" s="528"/>
      <c r="E184" s="528"/>
      <c r="F184" s="528"/>
      <c r="G184" s="528"/>
      <c r="H184" s="528"/>
      <c r="I184" s="528"/>
      <c r="J184" s="528"/>
      <c r="K184" s="528"/>
      <c r="L184" s="528"/>
      <c r="M184" s="528"/>
      <c r="N184" s="528"/>
      <c r="O184" s="528"/>
      <c r="P184" s="528"/>
      <c r="Q184" s="528"/>
      <c r="R184" s="528"/>
      <c r="S184" s="528"/>
      <c r="V184" s="528" t="s">
        <v>165</v>
      </c>
      <c r="W184" s="528"/>
      <c r="X184" s="528"/>
      <c r="Y184" s="528"/>
      <c r="Z184" s="528"/>
      <c r="AA184" s="528"/>
      <c r="AB184" s="528"/>
      <c r="AC184" s="528"/>
      <c r="AD184" s="528"/>
      <c r="AE184" s="528"/>
      <c r="AF184" s="528"/>
      <c r="AG184" s="528"/>
      <c r="AH184" s="528"/>
      <c r="AI184" s="528"/>
      <c r="AJ184" s="528"/>
      <c r="AK184" s="528"/>
      <c r="AL184" s="528"/>
      <c r="AO184" s="528" t="s">
        <v>166</v>
      </c>
      <c r="AP184" s="528"/>
      <c r="AQ184" s="528"/>
      <c r="AR184" s="528"/>
      <c r="AS184" s="528"/>
      <c r="AT184" s="528"/>
      <c r="AU184" s="528"/>
      <c r="AV184" s="528"/>
      <c r="AW184" s="528"/>
      <c r="AX184" s="528"/>
      <c r="AY184" s="528"/>
      <c r="AZ184" s="528"/>
      <c r="BA184" s="528"/>
      <c r="BB184" s="528"/>
      <c r="BC184" s="528"/>
      <c r="BD184" s="528"/>
      <c r="BE184" s="528"/>
    </row>
    <row r="185" spans="2:57" ht="195" x14ac:dyDescent="0.25">
      <c r="B185" s="445" t="s">
        <v>14</v>
      </c>
      <c r="C185" s="446">
        <v>0</v>
      </c>
      <c r="D185" s="447">
        <v>1</v>
      </c>
      <c r="E185" s="447">
        <v>2</v>
      </c>
      <c r="F185" s="447">
        <v>3</v>
      </c>
      <c r="G185" s="447">
        <v>4</v>
      </c>
      <c r="H185" s="447">
        <v>5</v>
      </c>
      <c r="I185" s="447">
        <v>6</v>
      </c>
      <c r="J185" s="447">
        <v>7</v>
      </c>
      <c r="K185" s="447">
        <v>8</v>
      </c>
      <c r="L185" s="447">
        <v>9</v>
      </c>
      <c r="M185" s="447">
        <v>10</v>
      </c>
      <c r="N185" s="448" t="s">
        <v>15</v>
      </c>
      <c r="O185" s="447" t="s">
        <v>16</v>
      </c>
      <c r="P185" s="447" t="s">
        <v>17</v>
      </c>
      <c r="Q185" s="447" t="s">
        <v>18</v>
      </c>
      <c r="R185" s="447" t="s">
        <v>19</v>
      </c>
      <c r="S185" s="447" t="s">
        <v>20</v>
      </c>
      <c r="T185" s="449"/>
      <c r="U185" s="445" t="s">
        <v>14</v>
      </c>
      <c r="V185" s="446">
        <v>0</v>
      </c>
      <c r="W185" s="447">
        <v>1</v>
      </c>
      <c r="X185" s="447">
        <v>2</v>
      </c>
      <c r="Y185" s="447">
        <v>3</v>
      </c>
      <c r="Z185" s="447">
        <v>4</v>
      </c>
      <c r="AA185" s="447">
        <v>5</v>
      </c>
      <c r="AB185" s="447">
        <v>6</v>
      </c>
      <c r="AC185" s="447">
        <v>7</v>
      </c>
      <c r="AD185" s="447">
        <v>8</v>
      </c>
      <c r="AE185" s="447">
        <v>9</v>
      </c>
      <c r="AF185" s="447">
        <v>10</v>
      </c>
      <c r="AG185" s="448" t="s">
        <v>15</v>
      </c>
      <c r="AH185" s="447" t="s">
        <v>16</v>
      </c>
      <c r="AI185" s="447" t="s">
        <v>17</v>
      </c>
      <c r="AJ185" s="447" t="s">
        <v>18</v>
      </c>
      <c r="AK185" s="447" t="s">
        <v>19</v>
      </c>
      <c r="AL185" s="447" t="s">
        <v>20</v>
      </c>
      <c r="AM185" s="449"/>
      <c r="AN185" s="445" t="s">
        <v>14</v>
      </c>
      <c r="AO185" s="446">
        <v>0</v>
      </c>
      <c r="AP185" s="447">
        <v>1</v>
      </c>
      <c r="AQ185" s="447">
        <v>2</v>
      </c>
      <c r="AR185" s="447">
        <v>3</v>
      </c>
      <c r="AS185" s="447">
        <v>4</v>
      </c>
      <c r="AT185" s="447">
        <v>5</v>
      </c>
      <c r="AU185" s="447">
        <v>6</v>
      </c>
      <c r="AV185" s="447">
        <v>7</v>
      </c>
      <c r="AW185" s="447">
        <v>8</v>
      </c>
      <c r="AX185" s="447">
        <v>9</v>
      </c>
      <c r="AY185" s="447">
        <v>10</v>
      </c>
      <c r="AZ185" s="448" t="s">
        <v>15</v>
      </c>
      <c r="BA185" s="447" t="s">
        <v>16</v>
      </c>
      <c r="BB185" s="447" t="s">
        <v>17</v>
      </c>
      <c r="BC185" s="447" t="s">
        <v>18</v>
      </c>
      <c r="BD185" s="447" t="s">
        <v>19</v>
      </c>
      <c r="BE185" s="447" t="s">
        <v>225</v>
      </c>
    </row>
    <row r="186" spans="2:57" x14ac:dyDescent="0.25">
      <c r="B186" s="134">
        <v>18</v>
      </c>
      <c r="C186" s="450">
        <v>70.05</v>
      </c>
      <c r="D186" s="450">
        <v>70.08</v>
      </c>
      <c r="E186" s="450">
        <v>70.099999999999994</v>
      </c>
      <c r="F186" s="450">
        <v>70.12</v>
      </c>
      <c r="G186" s="450">
        <v>70.14</v>
      </c>
      <c r="H186" s="450">
        <v>70.16</v>
      </c>
      <c r="I186" s="450">
        <v>70.19</v>
      </c>
      <c r="J186" s="450">
        <v>70.209999999999994</v>
      </c>
      <c r="K186" s="450">
        <v>70.23</v>
      </c>
      <c r="L186" s="450">
        <v>70.25</v>
      </c>
      <c r="M186" s="450">
        <v>70.27</v>
      </c>
      <c r="N186" s="450">
        <v>70.290000000000006</v>
      </c>
      <c r="O186" s="450">
        <v>70.38</v>
      </c>
      <c r="P186" s="450">
        <v>70.459999999999994</v>
      </c>
      <c r="Q186" s="450">
        <v>70.53</v>
      </c>
      <c r="R186" s="450">
        <v>70.58</v>
      </c>
      <c r="S186" s="450">
        <v>70.62</v>
      </c>
      <c r="T186" s="133"/>
      <c r="U186" s="134">
        <v>18</v>
      </c>
      <c r="V186" s="450">
        <v>70.48</v>
      </c>
      <c r="W186" s="450">
        <v>70.5</v>
      </c>
      <c r="X186" s="450">
        <v>70.52</v>
      </c>
      <c r="Y186" s="450">
        <v>70.540000000000006</v>
      </c>
      <c r="Z186" s="450">
        <v>70.569999999999993</v>
      </c>
      <c r="AA186" s="450">
        <v>70.59</v>
      </c>
      <c r="AB186" s="450">
        <v>70.61</v>
      </c>
      <c r="AC186" s="450">
        <v>70.63</v>
      </c>
      <c r="AD186" s="450">
        <v>70.650000000000006</v>
      </c>
      <c r="AE186" s="450">
        <v>70.67</v>
      </c>
      <c r="AF186" s="450">
        <v>70.7</v>
      </c>
      <c r="AG186" s="450">
        <v>70.72</v>
      </c>
      <c r="AH186" s="450">
        <v>70.81</v>
      </c>
      <c r="AI186" s="450">
        <v>70.89</v>
      </c>
      <c r="AJ186" s="450">
        <v>70.959999999999994</v>
      </c>
      <c r="AK186" s="450">
        <v>71.010000000000005</v>
      </c>
      <c r="AL186" s="450">
        <v>71.05</v>
      </c>
      <c r="AM186" s="133"/>
      <c r="AN186" s="134">
        <v>18</v>
      </c>
      <c r="AO186" s="450">
        <v>71.13</v>
      </c>
      <c r="AP186" s="450">
        <v>71.150000000000006</v>
      </c>
      <c r="AQ186" s="450">
        <v>71.17</v>
      </c>
      <c r="AR186" s="450">
        <v>71.2</v>
      </c>
      <c r="AS186" s="450">
        <v>71.22</v>
      </c>
      <c r="AT186" s="450">
        <v>71.239999999999995</v>
      </c>
      <c r="AU186" s="450">
        <v>71.27</v>
      </c>
      <c r="AV186" s="450">
        <v>71.290000000000006</v>
      </c>
      <c r="AW186" s="450">
        <v>71.31</v>
      </c>
      <c r="AX186" s="450">
        <v>71.33</v>
      </c>
      <c r="AY186" s="450">
        <v>71.349999999999994</v>
      </c>
      <c r="AZ186" s="450">
        <v>71.37</v>
      </c>
      <c r="BA186" s="450">
        <v>71.47</v>
      </c>
      <c r="BB186" s="450">
        <v>71.55</v>
      </c>
      <c r="BC186" s="450">
        <v>71.62</v>
      </c>
      <c r="BD186" s="450">
        <v>71.680000000000007</v>
      </c>
      <c r="BE186" s="450">
        <v>71.72</v>
      </c>
    </row>
    <row r="187" spans="2:57" x14ac:dyDescent="0.25">
      <c r="B187" s="134">
        <v>19</v>
      </c>
      <c r="C187" s="450">
        <v>70.099999999999994</v>
      </c>
      <c r="D187" s="450">
        <v>70.12</v>
      </c>
      <c r="E187" s="450">
        <v>70.150000000000006</v>
      </c>
      <c r="F187" s="450">
        <v>70.17</v>
      </c>
      <c r="G187" s="450">
        <v>70.19</v>
      </c>
      <c r="H187" s="450">
        <v>70.22</v>
      </c>
      <c r="I187" s="450">
        <v>70.239999999999995</v>
      </c>
      <c r="J187" s="450">
        <v>70.260000000000005</v>
      </c>
      <c r="K187" s="450">
        <v>70.28</v>
      </c>
      <c r="L187" s="450">
        <v>70.3</v>
      </c>
      <c r="M187" s="450">
        <v>70.33</v>
      </c>
      <c r="N187" s="450">
        <v>70.349999999999994</v>
      </c>
      <c r="O187" s="450">
        <v>70.44</v>
      </c>
      <c r="P187" s="450">
        <v>70.53</v>
      </c>
      <c r="Q187" s="450">
        <v>70.59</v>
      </c>
      <c r="R187" s="450">
        <v>70.650000000000006</v>
      </c>
      <c r="S187" s="450">
        <v>70.69</v>
      </c>
      <c r="T187" s="133"/>
      <c r="U187" s="134">
        <v>19</v>
      </c>
      <c r="V187" s="450">
        <v>70.52</v>
      </c>
      <c r="W187" s="450">
        <v>70.55</v>
      </c>
      <c r="X187" s="450">
        <v>70.569999999999993</v>
      </c>
      <c r="Y187" s="450">
        <v>70.599999999999994</v>
      </c>
      <c r="Z187" s="450">
        <v>70.62</v>
      </c>
      <c r="AA187" s="450">
        <v>70.64</v>
      </c>
      <c r="AB187" s="450">
        <v>70.67</v>
      </c>
      <c r="AC187" s="450">
        <v>70.69</v>
      </c>
      <c r="AD187" s="450">
        <v>70.709999999999994</v>
      </c>
      <c r="AE187" s="450">
        <v>70.73</v>
      </c>
      <c r="AF187" s="450">
        <v>70.75</v>
      </c>
      <c r="AG187" s="450">
        <v>70.77</v>
      </c>
      <c r="AH187" s="450">
        <v>70.87</v>
      </c>
      <c r="AI187" s="450">
        <v>70.959999999999994</v>
      </c>
      <c r="AJ187" s="450">
        <v>71.03</v>
      </c>
      <c r="AK187" s="450">
        <v>71.08</v>
      </c>
      <c r="AL187" s="450">
        <v>71.12</v>
      </c>
      <c r="AM187" s="133"/>
      <c r="AN187" s="134">
        <v>19</v>
      </c>
      <c r="AO187" s="450">
        <v>71.180000000000007</v>
      </c>
      <c r="AP187" s="450">
        <v>71.2</v>
      </c>
      <c r="AQ187" s="450">
        <v>71.23</v>
      </c>
      <c r="AR187" s="450">
        <v>71.25</v>
      </c>
      <c r="AS187" s="450">
        <v>71.27</v>
      </c>
      <c r="AT187" s="450">
        <v>71.3</v>
      </c>
      <c r="AU187" s="450">
        <v>71.319999999999993</v>
      </c>
      <c r="AV187" s="450">
        <v>71.34</v>
      </c>
      <c r="AW187" s="450">
        <v>71.37</v>
      </c>
      <c r="AX187" s="450">
        <v>71.39</v>
      </c>
      <c r="AY187" s="450">
        <v>71.41</v>
      </c>
      <c r="AZ187" s="450">
        <v>71.430000000000007</v>
      </c>
      <c r="BA187" s="450">
        <v>71.53</v>
      </c>
      <c r="BB187" s="450">
        <v>71.62</v>
      </c>
      <c r="BC187" s="450">
        <v>71.69</v>
      </c>
      <c r="BD187" s="450">
        <v>71.75</v>
      </c>
      <c r="BE187" s="450">
        <v>71.790000000000006</v>
      </c>
    </row>
    <row r="188" spans="2:57" x14ac:dyDescent="0.25">
      <c r="B188" s="134">
        <v>20</v>
      </c>
      <c r="C188" s="450">
        <v>70.150000000000006</v>
      </c>
      <c r="D188" s="450">
        <v>70.17</v>
      </c>
      <c r="E188" s="450">
        <v>70.2</v>
      </c>
      <c r="F188" s="450">
        <v>70.22</v>
      </c>
      <c r="G188" s="450">
        <v>70.25</v>
      </c>
      <c r="H188" s="450">
        <v>70.27</v>
      </c>
      <c r="I188" s="450">
        <v>70.290000000000006</v>
      </c>
      <c r="J188" s="450">
        <v>70.319999999999993</v>
      </c>
      <c r="K188" s="450">
        <v>70.34</v>
      </c>
      <c r="L188" s="450">
        <v>70.36</v>
      </c>
      <c r="M188" s="450">
        <v>70.39</v>
      </c>
      <c r="N188" s="450">
        <v>70.41</v>
      </c>
      <c r="O188" s="450">
        <v>70.510000000000005</v>
      </c>
      <c r="P188" s="450">
        <v>70.59</v>
      </c>
      <c r="Q188" s="450">
        <v>70.67</v>
      </c>
      <c r="R188" s="450">
        <v>70.72</v>
      </c>
      <c r="S188" s="450">
        <v>70.760000000000005</v>
      </c>
      <c r="T188" s="133"/>
      <c r="U188" s="134">
        <v>20</v>
      </c>
      <c r="V188" s="450">
        <v>70.569999999999993</v>
      </c>
      <c r="W188" s="450">
        <v>70.599999999999994</v>
      </c>
      <c r="X188" s="450">
        <v>70.62</v>
      </c>
      <c r="Y188" s="450">
        <v>70.650000000000006</v>
      </c>
      <c r="Z188" s="450">
        <v>70.67</v>
      </c>
      <c r="AA188" s="450">
        <v>70.7</v>
      </c>
      <c r="AB188" s="450">
        <v>70.72</v>
      </c>
      <c r="AC188" s="450">
        <v>70.75</v>
      </c>
      <c r="AD188" s="450">
        <v>70.77</v>
      </c>
      <c r="AE188" s="450">
        <v>70.790000000000006</v>
      </c>
      <c r="AF188" s="450">
        <v>70.81</v>
      </c>
      <c r="AG188" s="450">
        <v>70.84</v>
      </c>
      <c r="AH188" s="450">
        <v>70.94</v>
      </c>
      <c r="AI188" s="450">
        <v>71.03</v>
      </c>
      <c r="AJ188" s="450">
        <v>71.099999999999994</v>
      </c>
      <c r="AK188" s="450">
        <v>71.16</v>
      </c>
      <c r="AL188" s="450">
        <v>71.2</v>
      </c>
      <c r="AM188" s="133"/>
      <c r="AN188" s="134">
        <v>20</v>
      </c>
      <c r="AO188" s="450">
        <v>71.23</v>
      </c>
      <c r="AP188" s="450">
        <v>71.25</v>
      </c>
      <c r="AQ188" s="450">
        <v>71.28</v>
      </c>
      <c r="AR188" s="450">
        <v>71.31</v>
      </c>
      <c r="AS188" s="450">
        <v>71.33</v>
      </c>
      <c r="AT188" s="450">
        <v>71.36</v>
      </c>
      <c r="AU188" s="450">
        <v>71.38</v>
      </c>
      <c r="AV188" s="450">
        <v>71.400000000000006</v>
      </c>
      <c r="AW188" s="450">
        <v>71.430000000000007</v>
      </c>
      <c r="AX188" s="450">
        <v>71.45</v>
      </c>
      <c r="AY188" s="450">
        <v>71.47</v>
      </c>
      <c r="AZ188" s="450">
        <v>71.5</v>
      </c>
      <c r="BA188" s="450">
        <v>71.599999999999994</v>
      </c>
      <c r="BB188" s="450">
        <v>71.69</v>
      </c>
      <c r="BC188" s="450">
        <v>71.77</v>
      </c>
      <c r="BD188" s="450">
        <v>71.83</v>
      </c>
      <c r="BE188" s="450">
        <v>71.87</v>
      </c>
    </row>
    <row r="189" spans="2:57" x14ac:dyDescent="0.25">
      <c r="B189" s="134">
        <v>21</v>
      </c>
      <c r="C189" s="450">
        <v>70.2</v>
      </c>
      <c r="D189" s="450">
        <v>70.23</v>
      </c>
      <c r="E189" s="450">
        <v>70.25</v>
      </c>
      <c r="F189" s="450">
        <v>70.28</v>
      </c>
      <c r="G189" s="450">
        <v>70.3</v>
      </c>
      <c r="H189" s="450">
        <v>70.33</v>
      </c>
      <c r="I189" s="450">
        <v>70.349999999999994</v>
      </c>
      <c r="J189" s="450">
        <v>70.38</v>
      </c>
      <c r="K189" s="450">
        <v>70.400000000000006</v>
      </c>
      <c r="L189" s="450">
        <v>70.430000000000007</v>
      </c>
      <c r="M189" s="450">
        <v>70.45</v>
      </c>
      <c r="N189" s="450">
        <v>70.47</v>
      </c>
      <c r="O189" s="450">
        <v>70.58</v>
      </c>
      <c r="P189" s="450">
        <v>70.67</v>
      </c>
      <c r="Q189" s="450">
        <v>70.739999999999995</v>
      </c>
      <c r="R189" s="450">
        <v>70.8</v>
      </c>
      <c r="S189" s="450">
        <v>70.84</v>
      </c>
      <c r="T189" s="133"/>
      <c r="U189" s="134">
        <v>21</v>
      </c>
      <c r="V189" s="450">
        <v>70.63</v>
      </c>
      <c r="W189" s="450">
        <v>70.650000000000006</v>
      </c>
      <c r="X189" s="450">
        <v>70.680000000000007</v>
      </c>
      <c r="Y189" s="450">
        <v>70.709999999999994</v>
      </c>
      <c r="Z189" s="450">
        <v>70.73</v>
      </c>
      <c r="AA189" s="450">
        <v>70.760000000000005</v>
      </c>
      <c r="AB189" s="450">
        <v>70.78</v>
      </c>
      <c r="AC189" s="450">
        <v>70.81</v>
      </c>
      <c r="AD189" s="450">
        <v>70.83</v>
      </c>
      <c r="AE189" s="450">
        <v>70.86</v>
      </c>
      <c r="AF189" s="450">
        <v>70.88</v>
      </c>
      <c r="AG189" s="450">
        <v>70.900000000000006</v>
      </c>
      <c r="AH189" s="450">
        <v>71.010000000000005</v>
      </c>
      <c r="AI189" s="450">
        <v>71.099999999999994</v>
      </c>
      <c r="AJ189" s="450">
        <v>71.17</v>
      </c>
      <c r="AK189" s="450">
        <v>71.23</v>
      </c>
      <c r="AL189" s="450">
        <v>71.27</v>
      </c>
      <c r="AM189" s="133"/>
      <c r="AN189" s="134">
        <v>21</v>
      </c>
      <c r="AO189" s="450">
        <v>71.28</v>
      </c>
      <c r="AP189" s="450">
        <v>71.31</v>
      </c>
      <c r="AQ189" s="450">
        <v>71.34</v>
      </c>
      <c r="AR189" s="450">
        <v>71.36</v>
      </c>
      <c r="AS189" s="450">
        <v>71.39</v>
      </c>
      <c r="AT189" s="450">
        <v>71.42</v>
      </c>
      <c r="AU189" s="450">
        <v>71.44</v>
      </c>
      <c r="AV189" s="450">
        <v>71.47</v>
      </c>
      <c r="AW189" s="450">
        <v>71.489999999999995</v>
      </c>
      <c r="AX189" s="450">
        <v>71.52</v>
      </c>
      <c r="AY189" s="450">
        <v>71.540000000000006</v>
      </c>
      <c r="AZ189" s="450">
        <v>71.56</v>
      </c>
      <c r="BA189" s="450">
        <v>71.67</v>
      </c>
      <c r="BB189" s="450">
        <v>71.77</v>
      </c>
      <c r="BC189" s="450">
        <v>71.84</v>
      </c>
      <c r="BD189" s="450">
        <v>71.900000000000006</v>
      </c>
      <c r="BE189" s="450">
        <v>71.95</v>
      </c>
    </row>
    <row r="190" spans="2:57" x14ac:dyDescent="0.25">
      <c r="B190" s="134">
        <v>22</v>
      </c>
      <c r="C190" s="450">
        <v>70.260000000000005</v>
      </c>
      <c r="D190" s="450">
        <v>70.28</v>
      </c>
      <c r="E190" s="450">
        <v>70.31</v>
      </c>
      <c r="F190" s="450">
        <v>70.34</v>
      </c>
      <c r="G190" s="450">
        <v>70.36</v>
      </c>
      <c r="H190" s="450">
        <v>70.39</v>
      </c>
      <c r="I190" s="450">
        <v>70.41</v>
      </c>
      <c r="J190" s="450">
        <v>70.44</v>
      </c>
      <c r="K190" s="450">
        <v>70.47</v>
      </c>
      <c r="L190" s="450">
        <v>70.489999999999995</v>
      </c>
      <c r="M190" s="450">
        <v>70.510000000000005</v>
      </c>
      <c r="N190" s="450">
        <v>70.540000000000006</v>
      </c>
      <c r="O190" s="450">
        <v>70.650000000000006</v>
      </c>
      <c r="P190" s="450">
        <v>70.739999999999995</v>
      </c>
      <c r="Q190" s="450">
        <v>70.819999999999993</v>
      </c>
      <c r="R190" s="450">
        <v>70.87</v>
      </c>
      <c r="S190" s="450">
        <v>70.92</v>
      </c>
      <c r="T190" s="133"/>
      <c r="U190" s="134">
        <v>22</v>
      </c>
      <c r="V190" s="450">
        <v>70.680000000000007</v>
      </c>
      <c r="W190" s="450">
        <v>70.709999999999994</v>
      </c>
      <c r="X190" s="450">
        <v>70.739999999999995</v>
      </c>
      <c r="Y190" s="450">
        <v>70.760000000000005</v>
      </c>
      <c r="Z190" s="450">
        <v>70.790000000000006</v>
      </c>
      <c r="AA190" s="450">
        <v>70.819999999999993</v>
      </c>
      <c r="AB190" s="450">
        <v>70.84</v>
      </c>
      <c r="AC190" s="450">
        <v>70.87</v>
      </c>
      <c r="AD190" s="450">
        <v>70.900000000000006</v>
      </c>
      <c r="AE190" s="450">
        <v>70.92</v>
      </c>
      <c r="AF190" s="450">
        <v>70.95</v>
      </c>
      <c r="AG190" s="450">
        <v>70.97</v>
      </c>
      <c r="AH190" s="450">
        <v>71.08</v>
      </c>
      <c r="AI190" s="450">
        <v>71.180000000000007</v>
      </c>
      <c r="AJ190" s="450">
        <v>71.25</v>
      </c>
      <c r="AK190" s="450">
        <v>71.31</v>
      </c>
      <c r="AL190" s="450">
        <v>71.349999999999994</v>
      </c>
      <c r="AM190" s="133"/>
      <c r="AN190" s="134">
        <v>22</v>
      </c>
      <c r="AO190" s="450">
        <v>71.34</v>
      </c>
      <c r="AP190" s="450">
        <v>71.37</v>
      </c>
      <c r="AQ190" s="450">
        <v>71.400000000000006</v>
      </c>
      <c r="AR190" s="450">
        <v>71.42</v>
      </c>
      <c r="AS190" s="450">
        <v>71.45</v>
      </c>
      <c r="AT190" s="450">
        <v>71.48</v>
      </c>
      <c r="AU190" s="450">
        <v>71.510000000000005</v>
      </c>
      <c r="AV190" s="450">
        <v>71.53</v>
      </c>
      <c r="AW190" s="450">
        <v>71.56</v>
      </c>
      <c r="AX190" s="450">
        <v>71.58</v>
      </c>
      <c r="AY190" s="450">
        <v>71.61</v>
      </c>
      <c r="AZ190" s="450">
        <v>71.63</v>
      </c>
      <c r="BA190" s="450">
        <v>71.75</v>
      </c>
      <c r="BB190" s="450">
        <v>71.849999999999994</v>
      </c>
      <c r="BC190" s="450">
        <v>71.92</v>
      </c>
      <c r="BD190" s="450">
        <v>71.989999999999995</v>
      </c>
      <c r="BE190" s="450">
        <v>72.03</v>
      </c>
    </row>
    <row r="191" spans="2:57" x14ac:dyDescent="0.25">
      <c r="B191" s="134">
        <v>23</v>
      </c>
      <c r="C191" s="450">
        <v>70.31</v>
      </c>
      <c r="D191" s="450">
        <v>70.34</v>
      </c>
      <c r="E191" s="450">
        <v>70.37</v>
      </c>
      <c r="F191" s="450">
        <v>70.400000000000006</v>
      </c>
      <c r="G191" s="450">
        <v>70.42</v>
      </c>
      <c r="H191" s="450">
        <v>70.45</v>
      </c>
      <c r="I191" s="450">
        <v>70.48</v>
      </c>
      <c r="J191" s="450">
        <v>70.510000000000005</v>
      </c>
      <c r="K191" s="450">
        <v>70.53</v>
      </c>
      <c r="L191" s="450">
        <v>70.56</v>
      </c>
      <c r="M191" s="450">
        <v>70.58</v>
      </c>
      <c r="N191" s="450">
        <v>70.61</v>
      </c>
      <c r="O191" s="450">
        <v>70.72</v>
      </c>
      <c r="P191" s="450">
        <v>70.819999999999993</v>
      </c>
      <c r="Q191" s="450">
        <v>70.900000000000006</v>
      </c>
      <c r="R191" s="450">
        <v>70.95</v>
      </c>
      <c r="S191" s="450">
        <v>71</v>
      </c>
      <c r="T191" s="133"/>
      <c r="U191" s="134">
        <v>23</v>
      </c>
      <c r="V191" s="450">
        <v>70.739999999999995</v>
      </c>
      <c r="W191" s="450">
        <v>70.77</v>
      </c>
      <c r="X191" s="450">
        <v>70.8</v>
      </c>
      <c r="Y191" s="450">
        <v>70.83</v>
      </c>
      <c r="Z191" s="450">
        <v>70.849999999999994</v>
      </c>
      <c r="AA191" s="450">
        <v>70.88</v>
      </c>
      <c r="AB191" s="450">
        <v>70.91</v>
      </c>
      <c r="AC191" s="450">
        <v>70.94</v>
      </c>
      <c r="AD191" s="450">
        <v>70.959999999999994</v>
      </c>
      <c r="AE191" s="450">
        <v>70.989999999999995</v>
      </c>
      <c r="AF191" s="450">
        <v>71.02</v>
      </c>
      <c r="AG191" s="450">
        <v>71.040000000000006</v>
      </c>
      <c r="AH191" s="450">
        <v>71.16</v>
      </c>
      <c r="AI191" s="450">
        <v>71.25</v>
      </c>
      <c r="AJ191" s="450">
        <v>71.33</v>
      </c>
      <c r="AK191" s="450">
        <v>71.39</v>
      </c>
      <c r="AL191" s="450">
        <v>71.44</v>
      </c>
      <c r="AM191" s="133"/>
      <c r="AN191" s="134">
        <v>23</v>
      </c>
      <c r="AO191" s="450">
        <v>71.400000000000006</v>
      </c>
      <c r="AP191" s="450">
        <v>71.430000000000007</v>
      </c>
      <c r="AQ191" s="450">
        <v>71.459999999999994</v>
      </c>
      <c r="AR191" s="450">
        <v>71.489999999999995</v>
      </c>
      <c r="AS191" s="450">
        <v>71.52</v>
      </c>
      <c r="AT191" s="450">
        <v>71.540000000000006</v>
      </c>
      <c r="AU191" s="450">
        <v>71.569999999999993</v>
      </c>
      <c r="AV191" s="450">
        <v>71.599999999999994</v>
      </c>
      <c r="AW191" s="450">
        <v>71.63</v>
      </c>
      <c r="AX191" s="450">
        <v>71.650000000000006</v>
      </c>
      <c r="AY191" s="450">
        <v>71.680000000000007</v>
      </c>
      <c r="AZ191" s="450">
        <v>71.709999999999994</v>
      </c>
      <c r="BA191" s="450">
        <v>71.83</v>
      </c>
      <c r="BB191" s="450">
        <v>71.930000000000007</v>
      </c>
      <c r="BC191" s="450">
        <v>72.010000000000005</v>
      </c>
      <c r="BD191" s="450">
        <v>72.069999999999993</v>
      </c>
      <c r="BE191" s="450">
        <v>72.12</v>
      </c>
    </row>
    <row r="192" spans="2:57" x14ac:dyDescent="0.25">
      <c r="B192" s="134">
        <v>24</v>
      </c>
      <c r="C192" s="450">
        <v>70.37</v>
      </c>
      <c r="D192" s="450">
        <v>70.400000000000006</v>
      </c>
      <c r="E192" s="450">
        <v>70.430000000000007</v>
      </c>
      <c r="F192" s="450">
        <v>70.459999999999994</v>
      </c>
      <c r="G192" s="450">
        <v>70.489999999999995</v>
      </c>
      <c r="H192" s="450">
        <v>70.52</v>
      </c>
      <c r="I192" s="450">
        <v>70.55</v>
      </c>
      <c r="J192" s="450">
        <v>70.569999999999993</v>
      </c>
      <c r="K192" s="450">
        <v>70.599999999999994</v>
      </c>
      <c r="L192" s="450">
        <v>70.63</v>
      </c>
      <c r="M192" s="450">
        <v>70.650000000000006</v>
      </c>
      <c r="N192" s="450">
        <v>70.680000000000007</v>
      </c>
      <c r="O192" s="450">
        <v>70.8</v>
      </c>
      <c r="P192" s="450">
        <v>70.900000000000006</v>
      </c>
      <c r="Q192" s="450">
        <v>70.98</v>
      </c>
      <c r="R192" s="450">
        <v>71.040000000000006</v>
      </c>
      <c r="S192" s="450">
        <v>71.08</v>
      </c>
      <c r="T192" s="133"/>
      <c r="U192" s="134">
        <v>24</v>
      </c>
      <c r="V192" s="450">
        <v>70.8</v>
      </c>
      <c r="W192" s="450">
        <v>70.83</v>
      </c>
      <c r="X192" s="450">
        <v>70.86</v>
      </c>
      <c r="Y192" s="450">
        <v>70.89</v>
      </c>
      <c r="Z192" s="450">
        <v>70.92</v>
      </c>
      <c r="AA192" s="450">
        <v>70.95</v>
      </c>
      <c r="AB192" s="450">
        <v>70.98</v>
      </c>
      <c r="AC192" s="450">
        <v>71.010000000000005</v>
      </c>
      <c r="AD192" s="450">
        <v>71.03</v>
      </c>
      <c r="AE192" s="450">
        <v>71.06</v>
      </c>
      <c r="AF192" s="450">
        <v>71.09</v>
      </c>
      <c r="AG192" s="450">
        <v>71.11</v>
      </c>
      <c r="AH192" s="450">
        <v>71.239999999999995</v>
      </c>
      <c r="AI192" s="450">
        <v>71.34</v>
      </c>
      <c r="AJ192" s="450">
        <v>71.42</v>
      </c>
      <c r="AK192" s="450">
        <v>71.48</v>
      </c>
      <c r="AL192" s="450">
        <v>71.52</v>
      </c>
      <c r="AM192" s="133"/>
      <c r="AN192" s="134">
        <v>24</v>
      </c>
      <c r="AO192" s="450">
        <v>71.459999999999994</v>
      </c>
      <c r="AP192" s="450">
        <v>71.489999999999995</v>
      </c>
      <c r="AQ192" s="450">
        <v>71.52</v>
      </c>
      <c r="AR192" s="450">
        <v>71.55</v>
      </c>
      <c r="AS192" s="450">
        <v>71.58</v>
      </c>
      <c r="AT192" s="450">
        <v>71.61</v>
      </c>
      <c r="AU192" s="450">
        <v>71.64</v>
      </c>
      <c r="AV192" s="450">
        <v>71.67</v>
      </c>
      <c r="AW192" s="450">
        <v>71.7</v>
      </c>
      <c r="AX192" s="450">
        <v>71.73</v>
      </c>
      <c r="AY192" s="450">
        <v>71.760000000000005</v>
      </c>
      <c r="AZ192" s="450">
        <v>71.78</v>
      </c>
      <c r="BA192" s="450">
        <v>71.91</v>
      </c>
      <c r="BB192" s="450">
        <v>72.010000000000005</v>
      </c>
      <c r="BC192" s="450">
        <v>72.099999999999994</v>
      </c>
      <c r="BD192" s="450">
        <v>72.16</v>
      </c>
      <c r="BE192" s="450">
        <v>72.2</v>
      </c>
    </row>
    <row r="193" spans="2:57" x14ac:dyDescent="0.25">
      <c r="B193" s="134">
        <v>25</v>
      </c>
      <c r="C193" s="450">
        <v>70.430000000000007</v>
      </c>
      <c r="D193" s="450">
        <v>70.47</v>
      </c>
      <c r="E193" s="450">
        <v>70.5</v>
      </c>
      <c r="F193" s="450">
        <v>70.53</v>
      </c>
      <c r="G193" s="450">
        <v>70.56</v>
      </c>
      <c r="H193" s="450">
        <v>70.59</v>
      </c>
      <c r="I193" s="450">
        <v>70.62</v>
      </c>
      <c r="J193" s="450">
        <v>70.650000000000006</v>
      </c>
      <c r="K193" s="450">
        <v>70.67</v>
      </c>
      <c r="L193" s="450">
        <v>70.7</v>
      </c>
      <c r="M193" s="450">
        <v>70.73</v>
      </c>
      <c r="N193" s="450">
        <v>70.760000000000005</v>
      </c>
      <c r="O193" s="450">
        <v>70.88</v>
      </c>
      <c r="P193" s="450">
        <v>70.98</v>
      </c>
      <c r="Q193" s="450">
        <v>71.069999999999993</v>
      </c>
      <c r="R193" s="450">
        <v>71.13</v>
      </c>
      <c r="S193" s="450">
        <v>71.17</v>
      </c>
      <c r="T193" s="133"/>
      <c r="U193" s="134">
        <v>25</v>
      </c>
      <c r="V193" s="450">
        <v>70.86</v>
      </c>
      <c r="W193" s="450">
        <v>70.900000000000006</v>
      </c>
      <c r="X193" s="450">
        <v>70.930000000000007</v>
      </c>
      <c r="Y193" s="450">
        <v>70.959999999999994</v>
      </c>
      <c r="Z193" s="450">
        <v>70.989999999999995</v>
      </c>
      <c r="AA193" s="450">
        <v>71.02</v>
      </c>
      <c r="AB193" s="450">
        <v>71.05</v>
      </c>
      <c r="AC193" s="450">
        <v>71.08</v>
      </c>
      <c r="AD193" s="450">
        <v>71.11</v>
      </c>
      <c r="AE193" s="450">
        <v>71.14</v>
      </c>
      <c r="AF193" s="450">
        <v>71.16</v>
      </c>
      <c r="AG193" s="450">
        <v>71.19</v>
      </c>
      <c r="AH193" s="450">
        <v>71.319999999999993</v>
      </c>
      <c r="AI193" s="450">
        <v>71.42</v>
      </c>
      <c r="AJ193" s="450">
        <v>71.510000000000005</v>
      </c>
      <c r="AK193" s="450">
        <v>71.569999999999993</v>
      </c>
      <c r="AL193" s="450">
        <v>71.61</v>
      </c>
      <c r="AM193" s="133"/>
      <c r="AN193" s="134">
        <v>25</v>
      </c>
      <c r="AO193" s="450">
        <v>71.53</v>
      </c>
      <c r="AP193" s="450">
        <v>71.56</v>
      </c>
      <c r="AQ193" s="450">
        <v>71.59</v>
      </c>
      <c r="AR193" s="450">
        <v>71.62</v>
      </c>
      <c r="AS193" s="450">
        <v>71.650000000000006</v>
      </c>
      <c r="AT193" s="450">
        <v>71.680000000000007</v>
      </c>
      <c r="AU193" s="450">
        <v>71.72</v>
      </c>
      <c r="AV193" s="450">
        <v>71.75</v>
      </c>
      <c r="AW193" s="450">
        <v>71.78</v>
      </c>
      <c r="AX193" s="450">
        <v>71.81</v>
      </c>
      <c r="AY193" s="450">
        <v>71.83</v>
      </c>
      <c r="AZ193" s="450">
        <v>71.86</v>
      </c>
      <c r="BA193" s="450">
        <v>71.989999999999995</v>
      </c>
      <c r="BB193" s="450">
        <v>72.099999999999994</v>
      </c>
      <c r="BC193" s="450">
        <v>72.19</v>
      </c>
      <c r="BD193" s="450">
        <v>72.25</v>
      </c>
      <c r="BE193" s="450">
        <v>72.3</v>
      </c>
    </row>
    <row r="194" spans="2:57" x14ac:dyDescent="0.25">
      <c r="B194" s="134">
        <v>26</v>
      </c>
      <c r="C194" s="450">
        <v>70.5</v>
      </c>
      <c r="D194" s="450">
        <v>70.53</v>
      </c>
      <c r="E194" s="450">
        <v>70.56</v>
      </c>
      <c r="F194" s="450">
        <v>70.599999999999994</v>
      </c>
      <c r="G194" s="450">
        <v>70.63</v>
      </c>
      <c r="H194" s="450">
        <v>70.66</v>
      </c>
      <c r="I194" s="450">
        <v>70.69</v>
      </c>
      <c r="J194" s="450">
        <v>70.72</v>
      </c>
      <c r="K194" s="450">
        <v>70.75</v>
      </c>
      <c r="L194" s="450">
        <v>70.78</v>
      </c>
      <c r="M194" s="450">
        <v>70.81</v>
      </c>
      <c r="N194" s="450">
        <v>70.84</v>
      </c>
      <c r="O194" s="450">
        <v>70.97</v>
      </c>
      <c r="P194" s="450">
        <v>71.069999999999993</v>
      </c>
      <c r="Q194" s="450">
        <v>71.16</v>
      </c>
      <c r="R194" s="450">
        <v>71.22</v>
      </c>
      <c r="S194" s="450">
        <v>71.260000000000005</v>
      </c>
      <c r="T194" s="133"/>
      <c r="U194" s="134">
        <v>26</v>
      </c>
      <c r="V194" s="450">
        <v>70.930000000000007</v>
      </c>
      <c r="W194" s="450">
        <v>70.959999999999994</v>
      </c>
      <c r="X194" s="450">
        <v>71</v>
      </c>
      <c r="Y194" s="450">
        <v>71.03</v>
      </c>
      <c r="Z194" s="450">
        <v>71.06</v>
      </c>
      <c r="AA194" s="450">
        <v>71.09</v>
      </c>
      <c r="AB194" s="450">
        <v>71.12</v>
      </c>
      <c r="AC194" s="450">
        <v>71.150000000000006</v>
      </c>
      <c r="AD194" s="450">
        <v>71.19</v>
      </c>
      <c r="AE194" s="450">
        <v>71.22</v>
      </c>
      <c r="AF194" s="450">
        <v>71.239999999999995</v>
      </c>
      <c r="AG194" s="450">
        <v>71.27</v>
      </c>
      <c r="AH194" s="450">
        <v>71.400000000000006</v>
      </c>
      <c r="AI194" s="450">
        <v>71.510000000000005</v>
      </c>
      <c r="AJ194" s="450">
        <v>71.599999999999994</v>
      </c>
      <c r="AK194" s="450">
        <v>71.66</v>
      </c>
      <c r="AL194" s="450">
        <v>71.709999999999994</v>
      </c>
      <c r="AM194" s="133"/>
      <c r="AN194" s="134">
        <v>26</v>
      </c>
      <c r="AO194" s="450">
        <v>71.59</v>
      </c>
      <c r="AP194" s="450">
        <v>71.63</v>
      </c>
      <c r="AQ194" s="450">
        <v>71.66</v>
      </c>
      <c r="AR194" s="450">
        <v>71.69</v>
      </c>
      <c r="AS194" s="450">
        <v>71.73</v>
      </c>
      <c r="AT194" s="450">
        <v>71.760000000000005</v>
      </c>
      <c r="AU194" s="450">
        <v>71.790000000000006</v>
      </c>
      <c r="AV194" s="450">
        <v>71.819999999999993</v>
      </c>
      <c r="AW194" s="450">
        <v>71.86</v>
      </c>
      <c r="AX194" s="450">
        <v>71.89</v>
      </c>
      <c r="AY194" s="450">
        <v>71.92</v>
      </c>
      <c r="AZ194" s="450">
        <v>71.95</v>
      </c>
      <c r="BA194" s="450">
        <v>72.08</v>
      </c>
      <c r="BB194" s="450">
        <v>72.19</v>
      </c>
      <c r="BC194" s="450">
        <v>72.28</v>
      </c>
      <c r="BD194" s="450">
        <v>72.349999999999994</v>
      </c>
      <c r="BE194" s="450">
        <v>72.39</v>
      </c>
    </row>
    <row r="195" spans="2:57" x14ac:dyDescent="0.25">
      <c r="B195" s="134">
        <v>27</v>
      </c>
      <c r="C195" s="450">
        <v>70.569999999999993</v>
      </c>
      <c r="D195" s="450">
        <v>70.599999999999994</v>
      </c>
      <c r="E195" s="450">
        <v>70.64</v>
      </c>
      <c r="F195" s="450">
        <v>70.67</v>
      </c>
      <c r="G195" s="450">
        <v>70.7</v>
      </c>
      <c r="H195" s="450">
        <v>70.73</v>
      </c>
      <c r="I195" s="450">
        <v>70.77</v>
      </c>
      <c r="J195" s="450">
        <v>70.8</v>
      </c>
      <c r="K195" s="450">
        <v>70.83</v>
      </c>
      <c r="L195" s="450">
        <v>70.86</v>
      </c>
      <c r="M195" s="450">
        <v>70.89</v>
      </c>
      <c r="N195" s="450">
        <v>70.92</v>
      </c>
      <c r="O195" s="450">
        <v>71.05</v>
      </c>
      <c r="P195" s="450">
        <v>71.16</v>
      </c>
      <c r="Q195" s="450">
        <v>71.25</v>
      </c>
      <c r="R195" s="450">
        <v>71.31</v>
      </c>
      <c r="S195" s="450">
        <v>71.36</v>
      </c>
      <c r="T195" s="133"/>
      <c r="U195" s="134">
        <v>27</v>
      </c>
      <c r="V195" s="450">
        <v>71</v>
      </c>
      <c r="W195" s="450">
        <v>71.03</v>
      </c>
      <c r="X195" s="450">
        <v>71.069999999999993</v>
      </c>
      <c r="Y195" s="450">
        <v>71.099999999999994</v>
      </c>
      <c r="Z195" s="450">
        <v>71.14</v>
      </c>
      <c r="AA195" s="450">
        <v>71.17</v>
      </c>
      <c r="AB195" s="450">
        <v>71.2</v>
      </c>
      <c r="AC195" s="450">
        <v>71.23</v>
      </c>
      <c r="AD195" s="450">
        <v>71.27</v>
      </c>
      <c r="AE195" s="450">
        <v>71.3</v>
      </c>
      <c r="AF195" s="450">
        <v>71.33</v>
      </c>
      <c r="AG195" s="450">
        <v>71.36</v>
      </c>
      <c r="AH195" s="450">
        <v>71.489999999999995</v>
      </c>
      <c r="AI195" s="450">
        <v>71.61</v>
      </c>
      <c r="AJ195" s="450">
        <v>71.69</v>
      </c>
      <c r="AK195" s="450">
        <v>71.760000000000005</v>
      </c>
      <c r="AL195" s="450">
        <v>71.8</v>
      </c>
      <c r="AM195" s="133"/>
      <c r="AN195" s="134">
        <v>27</v>
      </c>
      <c r="AO195" s="450">
        <v>71.66</v>
      </c>
      <c r="AP195" s="450">
        <v>71.7</v>
      </c>
      <c r="AQ195" s="450">
        <v>71.73</v>
      </c>
      <c r="AR195" s="450">
        <v>71.77</v>
      </c>
      <c r="AS195" s="450">
        <v>71.8</v>
      </c>
      <c r="AT195" s="450">
        <v>71.84</v>
      </c>
      <c r="AU195" s="450">
        <v>71.87</v>
      </c>
      <c r="AV195" s="450">
        <v>71.91</v>
      </c>
      <c r="AW195" s="450">
        <v>71.94</v>
      </c>
      <c r="AX195" s="450">
        <v>71.97</v>
      </c>
      <c r="AY195" s="450">
        <v>72</v>
      </c>
      <c r="AZ195" s="450">
        <v>72.03</v>
      </c>
      <c r="BA195" s="450">
        <v>72.17</v>
      </c>
      <c r="BB195" s="450">
        <v>72.290000000000006</v>
      </c>
      <c r="BC195" s="450">
        <v>72.38</v>
      </c>
      <c r="BD195" s="450">
        <v>72.45</v>
      </c>
      <c r="BE195" s="450">
        <v>72.489999999999995</v>
      </c>
    </row>
    <row r="196" spans="2:57" x14ac:dyDescent="0.25">
      <c r="B196" s="134">
        <v>28</v>
      </c>
      <c r="C196" s="450">
        <v>70.64</v>
      </c>
      <c r="D196" s="450">
        <v>70.67</v>
      </c>
      <c r="E196" s="450">
        <v>70.709999999999994</v>
      </c>
      <c r="F196" s="450">
        <v>70.739999999999995</v>
      </c>
      <c r="G196" s="450">
        <v>70.78</v>
      </c>
      <c r="H196" s="450">
        <v>70.81</v>
      </c>
      <c r="I196" s="450">
        <v>70.849999999999994</v>
      </c>
      <c r="J196" s="450">
        <v>70.88</v>
      </c>
      <c r="K196" s="450">
        <v>70.91</v>
      </c>
      <c r="L196" s="450">
        <v>70.95</v>
      </c>
      <c r="M196" s="450">
        <v>70.98</v>
      </c>
      <c r="N196" s="450">
        <v>71.010000000000005</v>
      </c>
      <c r="O196" s="450">
        <v>71.150000000000006</v>
      </c>
      <c r="P196" s="450">
        <v>71.260000000000005</v>
      </c>
      <c r="Q196" s="450">
        <v>71.349999999999994</v>
      </c>
      <c r="R196" s="450">
        <v>71.41</v>
      </c>
      <c r="S196" s="450">
        <v>71.459999999999994</v>
      </c>
      <c r="T196" s="133"/>
      <c r="U196" s="134">
        <v>28</v>
      </c>
      <c r="V196" s="450">
        <v>71.069999999999993</v>
      </c>
      <c r="W196" s="450">
        <v>71.11</v>
      </c>
      <c r="X196" s="450">
        <v>71.14</v>
      </c>
      <c r="Y196" s="450">
        <v>71.180000000000007</v>
      </c>
      <c r="Z196" s="450">
        <v>71.209999999999994</v>
      </c>
      <c r="AA196" s="450">
        <v>71.25</v>
      </c>
      <c r="AB196" s="450">
        <v>71.28</v>
      </c>
      <c r="AC196" s="450">
        <v>71.319999999999993</v>
      </c>
      <c r="AD196" s="450">
        <v>71.349999999999994</v>
      </c>
      <c r="AE196" s="450">
        <v>71.38</v>
      </c>
      <c r="AF196" s="450">
        <v>71.42</v>
      </c>
      <c r="AG196" s="450">
        <v>71.45</v>
      </c>
      <c r="AH196" s="450">
        <v>71.59</v>
      </c>
      <c r="AI196" s="450">
        <v>71.7</v>
      </c>
      <c r="AJ196" s="450">
        <v>71.790000000000006</v>
      </c>
      <c r="AK196" s="450">
        <v>71.86</v>
      </c>
      <c r="AL196" s="450">
        <v>71.91</v>
      </c>
      <c r="AM196" s="133"/>
      <c r="AN196" s="134">
        <v>28</v>
      </c>
      <c r="AO196" s="450">
        <v>71.739999999999995</v>
      </c>
      <c r="AP196" s="450">
        <v>71.78</v>
      </c>
      <c r="AQ196" s="450">
        <v>71.81</v>
      </c>
      <c r="AR196" s="450">
        <v>71.849999999999994</v>
      </c>
      <c r="AS196" s="450">
        <v>71.89</v>
      </c>
      <c r="AT196" s="450">
        <v>71.92</v>
      </c>
      <c r="AU196" s="450">
        <v>71.959999999999994</v>
      </c>
      <c r="AV196" s="450">
        <v>71.989999999999995</v>
      </c>
      <c r="AW196" s="450">
        <v>72.03</v>
      </c>
      <c r="AX196" s="450">
        <v>72.06</v>
      </c>
      <c r="AY196" s="450">
        <v>72.09</v>
      </c>
      <c r="AZ196" s="450">
        <v>72.12</v>
      </c>
      <c r="BA196" s="450">
        <v>72.27</v>
      </c>
      <c r="BB196" s="450">
        <v>72.39</v>
      </c>
      <c r="BC196" s="450">
        <v>72.48</v>
      </c>
      <c r="BD196" s="450">
        <v>72.55</v>
      </c>
      <c r="BE196" s="450">
        <v>72.599999999999994</v>
      </c>
    </row>
    <row r="197" spans="2:57" x14ac:dyDescent="0.25">
      <c r="B197" s="134">
        <v>29</v>
      </c>
      <c r="C197" s="450">
        <v>70.709999999999994</v>
      </c>
      <c r="D197" s="450">
        <v>70.75</v>
      </c>
      <c r="E197" s="450">
        <v>70.790000000000006</v>
      </c>
      <c r="F197" s="450">
        <v>70.819999999999993</v>
      </c>
      <c r="G197" s="450">
        <v>70.86</v>
      </c>
      <c r="H197" s="450">
        <v>70.900000000000006</v>
      </c>
      <c r="I197" s="450">
        <v>70.930000000000007</v>
      </c>
      <c r="J197" s="450">
        <v>70.97</v>
      </c>
      <c r="K197" s="450">
        <v>71</v>
      </c>
      <c r="L197" s="450">
        <v>71.03</v>
      </c>
      <c r="M197" s="450">
        <v>71.069999999999993</v>
      </c>
      <c r="N197" s="450">
        <v>71.099999999999994</v>
      </c>
      <c r="O197" s="450">
        <v>71.239999999999995</v>
      </c>
      <c r="P197" s="450">
        <v>71.36</v>
      </c>
      <c r="Q197" s="450">
        <v>71.45</v>
      </c>
      <c r="R197" s="450">
        <v>71.510000000000005</v>
      </c>
      <c r="S197" s="450">
        <v>71.56</v>
      </c>
      <c r="T197" s="133"/>
      <c r="U197" s="134">
        <v>29</v>
      </c>
      <c r="V197" s="450">
        <v>71.150000000000006</v>
      </c>
      <c r="W197" s="450">
        <v>71.19</v>
      </c>
      <c r="X197" s="450">
        <v>71.22</v>
      </c>
      <c r="Y197" s="450">
        <v>71.260000000000005</v>
      </c>
      <c r="Z197" s="450">
        <v>71.3</v>
      </c>
      <c r="AA197" s="450">
        <v>71.33</v>
      </c>
      <c r="AB197" s="450">
        <v>71.37</v>
      </c>
      <c r="AC197" s="450">
        <v>71.400000000000006</v>
      </c>
      <c r="AD197" s="450">
        <v>71.44</v>
      </c>
      <c r="AE197" s="450">
        <v>71.47</v>
      </c>
      <c r="AF197" s="450">
        <v>71.510000000000005</v>
      </c>
      <c r="AG197" s="450">
        <v>71.540000000000006</v>
      </c>
      <c r="AH197" s="450">
        <v>71.680000000000007</v>
      </c>
      <c r="AI197" s="450">
        <v>71.8</v>
      </c>
      <c r="AJ197" s="450">
        <v>71.900000000000006</v>
      </c>
      <c r="AK197" s="450">
        <v>71.959999999999994</v>
      </c>
      <c r="AL197" s="450">
        <v>72.010000000000005</v>
      </c>
      <c r="AM197" s="133"/>
      <c r="AN197" s="134">
        <v>29</v>
      </c>
      <c r="AO197" s="450">
        <v>71.819999999999993</v>
      </c>
      <c r="AP197" s="450">
        <v>71.86</v>
      </c>
      <c r="AQ197" s="450">
        <v>71.89</v>
      </c>
      <c r="AR197" s="450">
        <v>71.930000000000007</v>
      </c>
      <c r="AS197" s="450">
        <v>71.97</v>
      </c>
      <c r="AT197" s="450">
        <v>72.010000000000005</v>
      </c>
      <c r="AU197" s="450">
        <v>72.040000000000006</v>
      </c>
      <c r="AV197" s="450">
        <v>72.08</v>
      </c>
      <c r="AW197" s="450">
        <v>72.12</v>
      </c>
      <c r="AX197" s="450">
        <v>72.150000000000006</v>
      </c>
      <c r="AY197" s="450">
        <v>72.180000000000007</v>
      </c>
      <c r="AZ197" s="450">
        <v>72.22</v>
      </c>
      <c r="BA197" s="450">
        <v>72.37</v>
      </c>
      <c r="BB197" s="450">
        <v>72.489999999999995</v>
      </c>
      <c r="BC197" s="450">
        <v>72.59</v>
      </c>
      <c r="BD197" s="450">
        <v>72.66</v>
      </c>
      <c r="BE197" s="450">
        <v>72.709999999999994</v>
      </c>
    </row>
    <row r="198" spans="2:57" x14ac:dyDescent="0.25">
      <c r="B198" s="134">
        <v>30</v>
      </c>
      <c r="C198" s="450">
        <v>70.790000000000006</v>
      </c>
      <c r="D198" s="450">
        <v>70.83</v>
      </c>
      <c r="E198" s="450">
        <v>70.87</v>
      </c>
      <c r="F198" s="450">
        <v>70.91</v>
      </c>
      <c r="G198" s="450">
        <v>70.94</v>
      </c>
      <c r="H198" s="450">
        <v>70.98</v>
      </c>
      <c r="I198" s="450">
        <v>71.02</v>
      </c>
      <c r="J198" s="450">
        <v>71.06</v>
      </c>
      <c r="K198" s="450">
        <v>71.09</v>
      </c>
      <c r="L198" s="450">
        <v>71.13</v>
      </c>
      <c r="M198" s="450">
        <v>71.16</v>
      </c>
      <c r="N198" s="450">
        <v>71.19</v>
      </c>
      <c r="O198" s="450">
        <v>71.34</v>
      </c>
      <c r="P198" s="450">
        <v>71.459999999999994</v>
      </c>
      <c r="Q198" s="450">
        <v>71.55</v>
      </c>
      <c r="R198" s="450">
        <v>71.62</v>
      </c>
      <c r="S198" s="450">
        <v>71.67</v>
      </c>
      <c r="T198" s="133"/>
      <c r="U198" s="134">
        <v>30</v>
      </c>
      <c r="V198" s="450">
        <v>71.23</v>
      </c>
      <c r="W198" s="450">
        <v>71.27</v>
      </c>
      <c r="X198" s="450">
        <v>71.31</v>
      </c>
      <c r="Y198" s="450">
        <v>71.34</v>
      </c>
      <c r="Z198" s="450">
        <v>71.38</v>
      </c>
      <c r="AA198" s="450">
        <v>71.42</v>
      </c>
      <c r="AB198" s="450">
        <v>71.459999999999994</v>
      </c>
      <c r="AC198" s="450">
        <v>71.5</v>
      </c>
      <c r="AD198" s="450">
        <v>71.53</v>
      </c>
      <c r="AE198" s="450">
        <v>71.569999999999993</v>
      </c>
      <c r="AF198" s="450">
        <v>71.599999999999994</v>
      </c>
      <c r="AG198" s="450">
        <v>71.63</v>
      </c>
      <c r="AH198" s="450">
        <v>71.790000000000006</v>
      </c>
      <c r="AI198" s="450">
        <v>71.91</v>
      </c>
      <c r="AJ198" s="450">
        <v>72</v>
      </c>
      <c r="AK198" s="450">
        <v>72.069999999999993</v>
      </c>
      <c r="AL198" s="450">
        <v>72.12</v>
      </c>
      <c r="AM198" s="133"/>
      <c r="AN198" s="134">
        <v>30</v>
      </c>
      <c r="AO198" s="450">
        <v>71.900000000000006</v>
      </c>
      <c r="AP198" s="450">
        <v>71.94</v>
      </c>
      <c r="AQ198" s="450">
        <v>71.98</v>
      </c>
      <c r="AR198" s="450">
        <v>72.02</v>
      </c>
      <c r="AS198" s="450">
        <v>72.06</v>
      </c>
      <c r="AT198" s="450">
        <v>72.099999999999994</v>
      </c>
      <c r="AU198" s="450">
        <v>72.14</v>
      </c>
      <c r="AV198" s="450">
        <v>72.17</v>
      </c>
      <c r="AW198" s="450">
        <v>72.209999999999994</v>
      </c>
      <c r="AX198" s="450">
        <v>72.25</v>
      </c>
      <c r="AY198" s="450">
        <v>72.28</v>
      </c>
      <c r="AZ198" s="450">
        <v>72.319999999999993</v>
      </c>
      <c r="BA198" s="450">
        <v>72.47</v>
      </c>
      <c r="BB198" s="450">
        <v>72.599999999999994</v>
      </c>
      <c r="BC198" s="450">
        <v>72.7</v>
      </c>
      <c r="BD198" s="450">
        <v>72.77</v>
      </c>
      <c r="BE198" s="450">
        <v>72.819999999999993</v>
      </c>
    </row>
    <row r="199" spans="2:57" x14ac:dyDescent="0.25">
      <c r="B199" s="134">
        <v>31</v>
      </c>
      <c r="C199" s="450">
        <v>70.87</v>
      </c>
      <c r="D199" s="450">
        <v>70.91</v>
      </c>
      <c r="E199" s="450">
        <v>70.95</v>
      </c>
      <c r="F199" s="450">
        <v>70.989999999999995</v>
      </c>
      <c r="G199" s="450">
        <v>71.03</v>
      </c>
      <c r="H199" s="450">
        <v>71.069999999999993</v>
      </c>
      <c r="I199" s="450">
        <v>71.11</v>
      </c>
      <c r="J199" s="450">
        <v>71.150000000000006</v>
      </c>
      <c r="K199" s="450">
        <v>71.19</v>
      </c>
      <c r="L199" s="450">
        <v>71.22</v>
      </c>
      <c r="M199" s="450">
        <v>71.260000000000005</v>
      </c>
      <c r="N199" s="450">
        <v>71.290000000000006</v>
      </c>
      <c r="O199" s="450">
        <v>71.44</v>
      </c>
      <c r="P199" s="450">
        <v>71.569999999999993</v>
      </c>
      <c r="Q199" s="450">
        <v>71.66</v>
      </c>
      <c r="R199" s="450">
        <v>71.73</v>
      </c>
      <c r="S199" s="450">
        <v>71.78</v>
      </c>
      <c r="T199" s="133"/>
      <c r="U199" s="134">
        <v>31</v>
      </c>
      <c r="V199" s="450">
        <v>71.31</v>
      </c>
      <c r="W199" s="450">
        <v>71.349999999999994</v>
      </c>
      <c r="X199" s="450">
        <v>71.39</v>
      </c>
      <c r="Y199" s="450">
        <v>71.430000000000007</v>
      </c>
      <c r="Z199" s="450">
        <v>71.47</v>
      </c>
      <c r="AA199" s="450">
        <v>71.510000000000005</v>
      </c>
      <c r="AB199" s="450">
        <v>71.55</v>
      </c>
      <c r="AC199" s="450">
        <v>71.59</v>
      </c>
      <c r="AD199" s="450">
        <v>71.63</v>
      </c>
      <c r="AE199" s="450">
        <v>71.66</v>
      </c>
      <c r="AF199" s="450">
        <v>71.7</v>
      </c>
      <c r="AG199" s="450">
        <v>71.73</v>
      </c>
      <c r="AH199" s="450">
        <v>71.89</v>
      </c>
      <c r="AI199" s="450">
        <v>72.02</v>
      </c>
      <c r="AJ199" s="450">
        <v>72.11</v>
      </c>
      <c r="AK199" s="450">
        <v>72.180000000000007</v>
      </c>
      <c r="AL199" s="450">
        <v>72.23</v>
      </c>
      <c r="AM199" s="133"/>
      <c r="AN199" s="134">
        <v>31</v>
      </c>
      <c r="AO199" s="450">
        <v>71.98</v>
      </c>
      <c r="AP199" s="450">
        <v>72.03</v>
      </c>
      <c r="AQ199" s="450">
        <v>72.069999999999993</v>
      </c>
      <c r="AR199" s="450">
        <v>72.11</v>
      </c>
      <c r="AS199" s="450">
        <v>72.150000000000006</v>
      </c>
      <c r="AT199" s="450">
        <v>72.19</v>
      </c>
      <c r="AU199" s="450">
        <v>72.23</v>
      </c>
      <c r="AV199" s="450">
        <v>72.27</v>
      </c>
      <c r="AW199" s="450">
        <v>72.31</v>
      </c>
      <c r="AX199" s="450">
        <v>72.349999999999994</v>
      </c>
      <c r="AY199" s="450">
        <v>72.38</v>
      </c>
      <c r="AZ199" s="450">
        <v>72.42</v>
      </c>
      <c r="BA199" s="450">
        <v>72.58</v>
      </c>
      <c r="BB199" s="450">
        <v>72.709999999999994</v>
      </c>
      <c r="BC199" s="450">
        <v>72.81</v>
      </c>
      <c r="BD199" s="450">
        <v>72.88</v>
      </c>
      <c r="BE199" s="450">
        <v>72.930000000000007</v>
      </c>
    </row>
    <row r="200" spans="2:57" x14ac:dyDescent="0.25">
      <c r="B200" s="134">
        <v>32</v>
      </c>
      <c r="C200" s="450">
        <v>70.959999999999994</v>
      </c>
      <c r="D200" s="450">
        <v>71</v>
      </c>
      <c r="E200" s="450">
        <v>71.040000000000006</v>
      </c>
      <c r="F200" s="450">
        <v>71.08</v>
      </c>
      <c r="G200" s="450">
        <v>71.13</v>
      </c>
      <c r="H200" s="450">
        <v>71.17</v>
      </c>
      <c r="I200" s="450">
        <v>71.209999999999994</v>
      </c>
      <c r="J200" s="450">
        <v>71.25</v>
      </c>
      <c r="K200" s="450">
        <v>71.28</v>
      </c>
      <c r="L200" s="450">
        <v>71.319999999999993</v>
      </c>
      <c r="M200" s="450">
        <v>71.36</v>
      </c>
      <c r="N200" s="450">
        <v>71.39</v>
      </c>
      <c r="O200" s="450">
        <v>71.55</v>
      </c>
      <c r="P200" s="450">
        <v>71.680000000000007</v>
      </c>
      <c r="Q200" s="450">
        <v>71.77</v>
      </c>
      <c r="R200" s="450">
        <v>71.84</v>
      </c>
      <c r="S200" s="450">
        <v>71.89</v>
      </c>
      <c r="T200" s="133"/>
      <c r="U200" s="134">
        <v>32</v>
      </c>
      <c r="V200" s="450">
        <v>71.400000000000006</v>
      </c>
      <c r="W200" s="450">
        <v>71.44</v>
      </c>
      <c r="X200" s="450">
        <v>71.48</v>
      </c>
      <c r="Y200" s="450">
        <v>71.52</v>
      </c>
      <c r="Z200" s="450">
        <v>71.569999999999993</v>
      </c>
      <c r="AA200" s="450">
        <v>71.61</v>
      </c>
      <c r="AB200" s="450">
        <v>71.650000000000006</v>
      </c>
      <c r="AC200" s="450">
        <v>71.69</v>
      </c>
      <c r="AD200" s="450">
        <v>71.73</v>
      </c>
      <c r="AE200" s="450">
        <v>71.77</v>
      </c>
      <c r="AF200" s="450">
        <v>71.8</v>
      </c>
      <c r="AG200" s="450">
        <v>71.84</v>
      </c>
      <c r="AH200" s="450">
        <v>72</v>
      </c>
      <c r="AI200" s="450">
        <v>72.13</v>
      </c>
      <c r="AJ200" s="450">
        <v>72.23</v>
      </c>
      <c r="AK200" s="450">
        <v>72.3</v>
      </c>
      <c r="AL200" s="450">
        <v>72.349999999999994</v>
      </c>
      <c r="AM200" s="133"/>
      <c r="AN200" s="134">
        <v>32</v>
      </c>
      <c r="AO200" s="450">
        <v>72.069999999999993</v>
      </c>
      <c r="AP200" s="450">
        <v>72.12</v>
      </c>
      <c r="AQ200" s="450">
        <v>72.16</v>
      </c>
      <c r="AR200" s="450">
        <v>72.2</v>
      </c>
      <c r="AS200" s="450">
        <v>72.25</v>
      </c>
      <c r="AT200" s="450">
        <v>72.290000000000006</v>
      </c>
      <c r="AU200" s="450">
        <v>72.33</v>
      </c>
      <c r="AV200" s="450">
        <v>72.37</v>
      </c>
      <c r="AW200" s="450">
        <v>72.41</v>
      </c>
      <c r="AX200" s="450">
        <v>72.45</v>
      </c>
      <c r="AY200" s="450">
        <v>72.489999999999995</v>
      </c>
      <c r="AZ200" s="450">
        <v>72.53</v>
      </c>
      <c r="BA200" s="450">
        <v>72.69</v>
      </c>
      <c r="BB200" s="450">
        <v>72.83</v>
      </c>
      <c r="BC200" s="450">
        <v>72.930000000000007</v>
      </c>
      <c r="BD200" s="450">
        <v>73</v>
      </c>
      <c r="BE200" s="450">
        <v>73.05</v>
      </c>
    </row>
    <row r="201" spans="2:57" x14ac:dyDescent="0.25">
      <c r="B201" s="134">
        <v>33</v>
      </c>
      <c r="C201" s="450">
        <v>71.05</v>
      </c>
      <c r="D201" s="450">
        <v>71.09</v>
      </c>
      <c r="E201" s="450">
        <v>71.14</v>
      </c>
      <c r="F201" s="450">
        <v>71.180000000000007</v>
      </c>
      <c r="G201" s="450">
        <v>71.22</v>
      </c>
      <c r="H201" s="450">
        <v>71.260000000000005</v>
      </c>
      <c r="I201" s="450">
        <v>71.31</v>
      </c>
      <c r="J201" s="450">
        <v>71.349999999999994</v>
      </c>
      <c r="K201" s="450">
        <v>71.39</v>
      </c>
      <c r="L201" s="450">
        <v>71.430000000000007</v>
      </c>
      <c r="M201" s="450">
        <v>71.459999999999994</v>
      </c>
      <c r="N201" s="450">
        <v>71.5</v>
      </c>
      <c r="O201" s="450">
        <v>71.66</v>
      </c>
      <c r="P201" s="450">
        <v>71.790000000000006</v>
      </c>
      <c r="Q201" s="450">
        <v>71.89</v>
      </c>
      <c r="R201" s="450">
        <v>71.959999999999994</v>
      </c>
      <c r="S201" s="450">
        <v>72.010000000000005</v>
      </c>
      <c r="T201" s="133"/>
      <c r="U201" s="134">
        <v>33</v>
      </c>
      <c r="V201" s="450">
        <v>71.489999999999995</v>
      </c>
      <c r="W201" s="450">
        <v>71.53</v>
      </c>
      <c r="X201" s="450">
        <v>71.58</v>
      </c>
      <c r="Y201" s="450">
        <v>71.62</v>
      </c>
      <c r="Z201" s="450">
        <v>71.66</v>
      </c>
      <c r="AA201" s="450">
        <v>71.709999999999994</v>
      </c>
      <c r="AB201" s="450">
        <v>71.75</v>
      </c>
      <c r="AC201" s="450">
        <v>71.790000000000006</v>
      </c>
      <c r="AD201" s="450">
        <v>71.83</v>
      </c>
      <c r="AE201" s="450">
        <v>71.87</v>
      </c>
      <c r="AF201" s="450">
        <v>71.91</v>
      </c>
      <c r="AG201" s="450">
        <v>71.95</v>
      </c>
      <c r="AH201" s="450">
        <v>72.11</v>
      </c>
      <c r="AI201" s="450">
        <v>72.25</v>
      </c>
      <c r="AJ201" s="450">
        <v>72.349999999999994</v>
      </c>
      <c r="AK201" s="450">
        <v>72.42</v>
      </c>
      <c r="AL201" s="450">
        <v>72.47</v>
      </c>
      <c r="AM201" s="133"/>
      <c r="AN201" s="134">
        <v>33</v>
      </c>
      <c r="AO201" s="450">
        <v>72.16</v>
      </c>
      <c r="AP201" s="450">
        <v>72.209999999999994</v>
      </c>
      <c r="AQ201" s="450">
        <v>72.260000000000005</v>
      </c>
      <c r="AR201" s="450">
        <v>72.3</v>
      </c>
      <c r="AS201" s="450">
        <v>72.349999999999994</v>
      </c>
      <c r="AT201" s="450">
        <v>72.39</v>
      </c>
      <c r="AU201" s="450">
        <v>72.44</v>
      </c>
      <c r="AV201" s="450">
        <v>72.48</v>
      </c>
      <c r="AW201" s="450">
        <v>72.52</v>
      </c>
      <c r="AX201" s="450">
        <v>72.56</v>
      </c>
      <c r="AY201" s="450">
        <v>72.599999999999994</v>
      </c>
      <c r="AZ201" s="450">
        <v>72.64</v>
      </c>
      <c r="BA201" s="450">
        <v>72.81</v>
      </c>
      <c r="BB201" s="450">
        <v>72.95</v>
      </c>
      <c r="BC201" s="450">
        <v>73.05</v>
      </c>
      <c r="BD201" s="450">
        <v>73.13</v>
      </c>
      <c r="BE201" s="450">
        <v>73.180000000000007</v>
      </c>
    </row>
    <row r="202" spans="2:57" x14ac:dyDescent="0.25">
      <c r="B202" s="134">
        <v>34</v>
      </c>
      <c r="C202" s="450">
        <v>71.14</v>
      </c>
      <c r="D202" s="450">
        <v>71.19</v>
      </c>
      <c r="E202" s="450">
        <v>71.23</v>
      </c>
      <c r="F202" s="450">
        <v>71.28</v>
      </c>
      <c r="G202" s="450">
        <v>71.319999999999993</v>
      </c>
      <c r="H202" s="450">
        <v>71.37</v>
      </c>
      <c r="I202" s="450">
        <v>71.41</v>
      </c>
      <c r="J202" s="450">
        <v>71.45</v>
      </c>
      <c r="K202" s="450">
        <v>71.489999999999995</v>
      </c>
      <c r="L202" s="450">
        <v>71.53</v>
      </c>
      <c r="M202" s="450">
        <v>71.569999999999993</v>
      </c>
      <c r="N202" s="450">
        <v>71.61</v>
      </c>
      <c r="O202" s="450">
        <v>71.78</v>
      </c>
      <c r="P202" s="450">
        <v>71.91</v>
      </c>
      <c r="Q202" s="450">
        <v>72.010000000000005</v>
      </c>
      <c r="R202" s="450">
        <v>72.08</v>
      </c>
      <c r="S202" s="450">
        <v>72.13</v>
      </c>
      <c r="T202" s="133"/>
      <c r="U202" s="134">
        <v>34</v>
      </c>
      <c r="V202" s="450">
        <v>71.58</v>
      </c>
      <c r="W202" s="450">
        <v>71.63</v>
      </c>
      <c r="X202" s="450">
        <v>71.680000000000007</v>
      </c>
      <c r="Y202" s="450">
        <v>71.72</v>
      </c>
      <c r="Z202" s="450">
        <v>71.77</v>
      </c>
      <c r="AA202" s="450">
        <v>71.81</v>
      </c>
      <c r="AB202" s="450">
        <v>71.86</v>
      </c>
      <c r="AC202" s="450">
        <v>71.900000000000006</v>
      </c>
      <c r="AD202" s="450">
        <v>71.94</v>
      </c>
      <c r="AE202" s="450">
        <v>71.98</v>
      </c>
      <c r="AF202" s="450">
        <v>72.02</v>
      </c>
      <c r="AG202" s="450">
        <v>72.06</v>
      </c>
      <c r="AH202" s="450">
        <v>72.23</v>
      </c>
      <c r="AI202" s="450">
        <v>72.37</v>
      </c>
      <c r="AJ202" s="450">
        <v>72.47</v>
      </c>
      <c r="AK202" s="450">
        <v>72.540000000000006</v>
      </c>
      <c r="AL202" s="450">
        <v>72.59</v>
      </c>
      <c r="AM202" s="133"/>
      <c r="AN202" s="134">
        <v>34</v>
      </c>
      <c r="AO202" s="450">
        <v>72.260000000000005</v>
      </c>
      <c r="AP202" s="450">
        <v>72.31</v>
      </c>
      <c r="AQ202" s="450">
        <v>72.36</v>
      </c>
      <c r="AR202" s="450">
        <v>72.41</v>
      </c>
      <c r="AS202" s="450">
        <v>72.45</v>
      </c>
      <c r="AT202" s="450">
        <v>72.5</v>
      </c>
      <c r="AU202" s="450">
        <v>72.540000000000006</v>
      </c>
      <c r="AV202" s="450">
        <v>72.59</v>
      </c>
      <c r="AW202" s="450">
        <v>72.63</v>
      </c>
      <c r="AX202" s="450">
        <v>72.67</v>
      </c>
      <c r="AY202" s="450">
        <v>72.72</v>
      </c>
      <c r="AZ202" s="450">
        <v>72.75</v>
      </c>
      <c r="BA202" s="450">
        <v>72.930000000000007</v>
      </c>
      <c r="BB202" s="450">
        <v>73.069999999999993</v>
      </c>
      <c r="BC202" s="450">
        <v>73.180000000000007</v>
      </c>
      <c r="BD202" s="450">
        <v>73.25</v>
      </c>
      <c r="BE202" s="450">
        <v>73.31</v>
      </c>
    </row>
    <row r="203" spans="2:57" x14ac:dyDescent="0.25">
      <c r="B203" s="134">
        <v>35</v>
      </c>
      <c r="C203" s="450">
        <v>71.239999999999995</v>
      </c>
      <c r="D203" s="450">
        <v>71.290000000000006</v>
      </c>
      <c r="E203" s="450">
        <v>71.33</v>
      </c>
      <c r="F203" s="450">
        <v>71.38</v>
      </c>
      <c r="G203" s="450">
        <v>71.430000000000007</v>
      </c>
      <c r="H203" s="450">
        <v>71.47</v>
      </c>
      <c r="I203" s="450">
        <v>71.52</v>
      </c>
      <c r="J203" s="450">
        <v>71.56</v>
      </c>
      <c r="K203" s="450">
        <v>71.599999999999994</v>
      </c>
      <c r="L203" s="450">
        <v>71.650000000000006</v>
      </c>
      <c r="M203" s="450">
        <v>71.69</v>
      </c>
      <c r="N203" s="450">
        <v>71.73</v>
      </c>
      <c r="O203" s="450">
        <v>71.900000000000006</v>
      </c>
      <c r="P203" s="450">
        <v>72.03</v>
      </c>
      <c r="Q203" s="450">
        <v>72.14</v>
      </c>
      <c r="R203" s="450">
        <v>72.209999999999994</v>
      </c>
      <c r="S203" s="450">
        <v>72.260000000000005</v>
      </c>
      <c r="T203" s="133"/>
      <c r="U203" s="134">
        <v>35</v>
      </c>
      <c r="V203" s="450">
        <v>71.680000000000007</v>
      </c>
      <c r="W203" s="450">
        <v>71.73</v>
      </c>
      <c r="X203" s="450">
        <v>71.78</v>
      </c>
      <c r="Y203" s="450">
        <v>71.83</v>
      </c>
      <c r="Z203" s="450">
        <v>71.87</v>
      </c>
      <c r="AA203" s="450">
        <v>71.92</v>
      </c>
      <c r="AB203" s="450">
        <v>71.97</v>
      </c>
      <c r="AC203" s="450">
        <v>72.010000000000005</v>
      </c>
      <c r="AD203" s="450">
        <v>72.05</v>
      </c>
      <c r="AE203" s="450">
        <v>72.099999999999994</v>
      </c>
      <c r="AF203" s="450">
        <v>72.14</v>
      </c>
      <c r="AG203" s="450">
        <v>72.180000000000007</v>
      </c>
      <c r="AH203" s="450">
        <v>72.349999999999994</v>
      </c>
      <c r="AI203" s="450">
        <v>72.489999999999995</v>
      </c>
      <c r="AJ203" s="450">
        <v>72.599999999999994</v>
      </c>
      <c r="AK203" s="450">
        <v>72.67</v>
      </c>
      <c r="AL203" s="450">
        <v>72.72</v>
      </c>
      <c r="AM203" s="133"/>
      <c r="AN203" s="134">
        <v>35</v>
      </c>
      <c r="AO203" s="450">
        <v>72.36</v>
      </c>
      <c r="AP203" s="450">
        <v>72.41</v>
      </c>
      <c r="AQ203" s="450">
        <v>72.459999999999994</v>
      </c>
      <c r="AR203" s="450">
        <v>72.510000000000005</v>
      </c>
      <c r="AS203" s="450">
        <v>72.56</v>
      </c>
      <c r="AT203" s="450">
        <v>72.61</v>
      </c>
      <c r="AU203" s="450">
        <v>72.66</v>
      </c>
      <c r="AV203" s="450">
        <v>72.7</v>
      </c>
      <c r="AW203" s="450">
        <v>72.75</v>
      </c>
      <c r="AX203" s="450">
        <v>72.790000000000006</v>
      </c>
      <c r="AY203" s="450">
        <v>72.83</v>
      </c>
      <c r="AZ203" s="450">
        <v>72.88</v>
      </c>
      <c r="BA203" s="450">
        <v>73.06</v>
      </c>
      <c r="BB203" s="450">
        <v>73.2</v>
      </c>
      <c r="BC203" s="450">
        <v>73.31</v>
      </c>
      <c r="BD203" s="450">
        <v>73.39</v>
      </c>
      <c r="BE203" s="450">
        <v>73.44</v>
      </c>
    </row>
    <row r="204" spans="2:57" x14ac:dyDescent="0.25">
      <c r="B204" s="134">
        <v>36</v>
      </c>
      <c r="C204" s="450">
        <v>71.34</v>
      </c>
      <c r="D204" s="450">
        <v>71.39</v>
      </c>
      <c r="E204" s="450">
        <v>71.44</v>
      </c>
      <c r="F204" s="450">
        <v>71.489999999999995</v>
      </c>
      <c r="G204" s="450">
        <v>71.540000000000006</v>
      </c>
      <c r="H204" s="450">
        <v>71.58</v>
      </c>
      <c r="I204" s="450">
        <v>71.63</v>
      </c>
      <c r="J204" s="450">
        <v>71.680000000000007</v>
      </c>
      <c r="K204" s="450">
        <v>71.72</v>
      </c>
      <c r="L204" s="450">
        <v>71.760000000000005</v>
      </c>
      <c r="M204" s="450">
        <v>71.8</v>
      </c>
      <c r="N204" s="450">
        <v>71.84</v>
      </c>
      <c r="O204" s="450">
        <v>72.02</v>
      </c>
      <c r="P204" s="450">
        <v>72.16</v>
      </c>
      <c r="Q204" s="450">
        <v>72.260000000000005</v>
      </c>
      <c r="R204" s="450">
        <v>72.34</v>
      </c>
      <c r="S204" s="450">
        <v>72.38</v>
      </c>
      <c r="T204" s="133"/>
      <c r="U204" s="134">
        <v>36</v>
      </c>
      <c r="V204" s="450">
        <v>71.78</v>
      </c>
      <c r="W204" s="450">
        <v>71.83</v>
      </c>
      <c r="X204" s="450">
        <v>71.88</v>
      </c>
      <c r="Y204" s="450">
        <v>71.94</v>
      </c>
      <c r="Z204" s="450">
        <v>71.98</v>
      </c>
      <c r="AA204" s="450">
        <v>72.03</v>
      </c>
      <c r="AB204" s="450">
        <v>72.08</v>
      </c>
      <c r="AC204" s="450">
        <v>72.13</v>
      </c>
      <c r="AD204" s="450">
        <v>72.17</v>
      </c>
      <c r="AE204" s="450">
        <v>72.22</v>
      </c>
      <c r="AF204" s="450">
        <v>72.260000000000005</v>
      </c>
      <c r="AG204" s="450">
        <v>72.3</v>
      </c>
      <c r="AH204" s="450">
        <v>72.48</v>
      </c>
      <c r="AI204" s="450">
        <v>72.62</v>
      </c>
      <c r="AJ204" s="450">
        <v>72.73</v>
      </c>
      <c r="AK204" s="450">
        <v>72.8</v>
      </c>
      <c r="AL204" s="450">
        <v>72.849999999999994</v>
      </c>
      <c r="AM204" s="133"/>
      <c r="AN204" s="134">
        <v>36</v>
      </c>
      <c r="AO204" s="450">
        <v>72.47</v>
      </c>
      <c r="AP204" s="450">
        <v>72.52</v>
      </c>
      <c r="AQ204" s="450">
        <v>72.569999999999993</v>
      </c>
      <c r="AR204" s="450">
        <v>72.63</v>
      </c>
      <c r="AS204" s="450">
        <v>72.680000000000007</v>
      </c>
      <c r="AT204" s="450">
        <v>72.73</v>
      </c>
      <c r="AU204" s="450">
        <v>72.78</v>
      </c>
      <c r="AV204" s="450">
        <v>72.819999999999993</v>
      </c>
      <c r="AW204" s="450">
        <v>72.87</v>
      </c>
      <c r="AX204" s="450">
        <v>72.91</v>
      </c>
      <c r="AY204" s="450">
        <v>72.959999999999994</v>
      </c>
      <c r="AZ204" s="450">
        <v>73</v>
      </c>
      <c r="BA204" s="450">
        <v>73.19</v>
      </c>
      <c r="BB204" s="450">
        <v>73.33</v>
      </c>
      <c r="BC204" s="450">
        <v>73.44</v>
      </c>
      <c r="BD204" s="450">
        <v>73.52</v>
      </c>
      <c r="BE204" s="450">
        <v>73.569999999999993</v>
      </c>
    </row>
    <row r="205" spans="2:57" x14ac:dyDescent="0.25">
      <c r="B205" s="134">
        <v>37</v>
      </c>
      <c r="C205" s="450">
        <v>71.44</v>
      </c>
      <c r="D205" s="450">
        <v>71.5</v>
      </c>
      <c r="E205" s="450">
        <v>71.55</v>
      </c>
      <c r="F205" s="450">
        <v>71.599999999999994</v>
      </c>
      <c r="G205" s="450">
        <v>71.650000000000006</v>
      </c>
      <c r="H205" s="450">
        <v>71.7</v>
      </c>
      <c r="I205" s="450">
        <v>71.75</v>
      </c>
      <c r="J205" s="450">
        <v>71.790000000000006</v>
      </c>
      <c r="K205" s="450">
        <v>71.84</v>
      </c>
      <c r="L205" s="450">
        <v>71.88</v>
      </c>
      <c r="M205" s="450">
        <v>71.930000000000007</v>
      </c>
      <c r="N205" s="450">
        <v>71.97</v>
      </c>
      <c r="O205" s="450">
        <v>72.150000000000006</v>
      </c>
      <c r="P205" s="450">
        <v>72.290000000000006</v>
      </c>
      <c r="Q205" s="450">
        <v>72.400000000000006</v>
      </c>
      <c r="R205" s="450">
        <v>72.47</v>
      </c>
      <c r="S205" s="450">
        <v>72.52</v>
      </c>
      <c r="T205" s="133"/>
      <c r="U205" s="134">
        <v>37</v>
      </c>
      <c r="V205" s="450">
        <v>71.89</v>
      </c>
      <c r="W205" s="450">
        <v>71.94</v>
      </c>
      <c r="X205" s="450">
        <v>72</v>
      </c>
      <c r="Y205" s="450">
        <v>72.05</v>
      </c>
      <c r="Z205" s="450">
        <v>72.099999999999994</v>
      </c>
      <c r="AA205" s="450">
        <v>72.150000000000006</v>
      </c>
      <c r="AB205" s="450">
        <v>72.2</v>
      </c>
      <c r="AC205" s="450">
        <v>72.25</v>
      </c>
      <c r="AD205" s="450">
        <v>72.290000000000006</v>
      </c>
      <c r="AE205" s="450">
        <v>72.34</v>
      </c>
      <c r="AF205" s="450">
        <v>72.38</v>
      </c>
      <c r="AG205" s="450">
        <v>72.42</v>
      </c>
      <c r="AH205" s="450">
        <v>72.61</v>
      </c>
      <c r="AI205" s="450">
        <v>72.75</v>
      </c>
      <c r="AJ205" s="450">
        <v>72.86</v>
      </c>
      <c r="AK205" s="450">
        <v>72.94</v>
      </c>
      <c r="AL205" s="450">
        <v>72.989999999999995</v>
      </c>
      <c r="AM205" s="133"/>
      <c r="AN205" s="134">
        <v>37</v>
      </c>
      <c r="AO205" s="450">
        <v>72.58</v>
      </c>
      <c r="AP205" s="450">
        <v>72.63</v>
      </c>
      <c r="AQ205" s="450">
        <v>72.69</v>
      </c>
      <c r="AR205" s="450">
        <v>72.739999999999995</v>
      </c>
      <c r="AS205" s="450">
        <v>72.8</v>
      </c>
      <c r="AT205" s="450">
        <v>72.849999999999994</v>
      </c>
      <c r="AU205" s="450">
        <v>72.900000000000006</v>
      </c>
      <c r="AV205" s="450">
        <v>72.95</v>
      </c>
      <c r="AW205" s="450">
        <v>72.989999999999995</v>
      </c>
      <c r="AX205" s="450">
        <v>73.040000000000006</v>
      </c>
      <c r="AY205" s="450">
        <v>73.09</v>
      </c>
      <c r="AZ205" s="450">
        <v>73.13</v>
      </c>
      <c r="BA205" s="450">
        <v>73.319999999999993</v>
      </c>
      <c r="BB205" s="450">
        <v>73.47</v>
      </c>
      <c r="BC205" s="450">
        <v>73.58</v>
      </c>
      <c r="BD205" s="450">
        <v>73.66</v>
      </c>
      <c r="BE205" s="450">
        <v>73.709999999999994</v>
      </c>
    </row>
    <row r="206" spans="2:57" x14ac:dyDescent="0.25">
      <c r="B206" s="134">
        <v>38</v>
      </c>
      <c r="C206" s="450">
        <v>71.55</v>
      </c>
      <c r="D206" s="450">
        <v>71.61</v>
      </c>
      <c r="E206" s="450">
        <v>71.66</v>
      </c>
      <c r="F206" s="450">
        <v>71.709999999999994</v>
      </c>
      <c r="G206" s="450">
        <v>71.77</v>
      </c>
      <c r="H206" s="450">
        <v>71.819999999999993</v>
      </c>
      <c r="I206" s="450">
        <v>71.87</v>
      </c>
      <c r="J206" s="450">
        <v>71.92</v>
      </c>
      <c r="K206" s="450">
        <v>71.959999999999994</v>
      </c>
      <c r="L206" s="450">
        <v>72.010000000000005</v>
      </c>
      <c r="M206" s="450">
        <v>72.05</v>
      </c>
      <c r="N206" s="450">
        <v>72.099999999999994</v>
      </c>
      <c r="O206" s="450">
        <v>72.28</v>
      </c>
      <c r="P206" s="450">
        <v>72.430000000000007</v>
      </c>
      <c r="Q206" s="450">
        <v>72.53</v>
      </c>
      <c r="R206" s="450">
        <v>72.61</v>
      </c>
      <c r="S206" s="450">
        <v>72.650000000000006</v>
      </c>
      <c r="T206" s="133"/>
      <c r="U206" s="134">
        <v>38</v>
      </c>
      <c r="V206" s="450">
        <v>72</v>
      </c>
      <c r="W206" s="450">
        <v>72.06</v>
      </c>
      <c r="X206" s="450">
        <v>72.11</v>
      </c>
      <c r="Y206" s="450">
        <v>72.17</v>
      </c>
      <c r="Z206" s="450">
        <v>72.22</v>
      </c>
      <c r="AA206" s="450">
        <v>72.27</v>
      </c>
      <c r="AB206" s="450">
        <v>72.319999999999993</v>
      </c>
      <c r="AC206" s="450">
        <v>72.37</v>
      </c>
      <c r="AD206" s="450">
        <v>72.42</v>
      </c>
      <c r="AE206" s="450">
        <v>72.47</v>
      </c>
      <c r="AF206" s="450">
        <v>72.510000000000005</v>
      </c>
      <c r="AG206" s="450">
        <v>72.55</v>
      </c>
      <c r="AH206" s="450">
        <v>72.739999999999995</v>
      </c>
      <c r="AI206" s="450">
        <v>72.89</v>
      </c>
      <c r="AJ206" s="450">
        <v>73</v>
      </c>
      <c r="AK206" s="450">
        <v>73.08</v>
      </c>
      <c r="AL206" s="450">
        <v>73.12</v>
      </c>
      <c r="AM206" s="133"/>
      <c r="AN206" s="134">
        <v>38</v>
      </c>
      <c r="AO206" s="450">
        <v>72.69</v>
      </c>
      <c r="AP206" s="450">
        <v>72.75</v>
      </c>
      <c r="AQ206" s="450">
        <v>72.81</v>
      </c>
      <c r="AR206" s="450">
        <v>72.86</v>
      </c>
      <c r="AS206" s="450">
        <v>72.92</v>
      </c>
      <c r="AT206" s="450">
        <v>72.97</v>
      </c>
      <c r="AU206" s="450">
        <v>73.02</v>
      </c>
      <c r="AV206" s="450">
        <v>73.069999999999993</v>
      </c>
      <c r="AW206" s="450">
        <v>73.12</v>
      </c>
      <c r="AX206" s="450">
        <v>73.17</v>
      </c>
      <c r="AY206" s="450">
        <v>73.22</v>
      </c>
      <c r="AZ206" s="450">
        <v>73.260000000000005</v>
      </c>
      <c r="BA206" s="450">
        <v>73.459999999999994</v>
      </c>
      <c r="BB206" s="450">
        <v>73.61</v>
      </c>
      <c r="BC206" s="450">
        <v>73.73</v>
      </c>
      <c r="BD206" s="450">
        <v>73.81</v>
      </c>
      <c r="BE206" s="450">
        <v>73.86</v>
      </c>
    </row>
    <row r="207" spans="2:57" x14ac:dyDescent="0.25">
      <c r="B207" s="134">
        <v>39</v>
      </c>
      <c r="C207" s="450">
        <v>71.67</v>
      </c>
      <c r="D207" s="450">
        <v>71.72</v>
      </c>
      <c r="E207" s="450">
        <v>71.78</v>
      </c>
      <c r="F207" s="450">
        <v>71.83</v>
      </c>
      <c r="G207" s="450">
        <v>71.89</v>
      </c>
      <c r="H207" s="450">
        <v>71.94</v>
      </c>
      <c r="I207" s="450">
        <v>71.989999999999995</v>
      </c>
      <c r="J207" s="450">
        <v>72.040000000000006</v>
      </c>
      <c r="K207" s="450">
        <v>72.09</v>
      </c>
      <c r="L207" s="450">
        <v>72.14</v>
      </c>
      <c r="M207" s="450">
        <v>72.180000000000007</v>
      </c>
      <c r="N207" s="450">
        <v>72.23</v>
      </c>
      <c r="O207" s="450">
        <v>72.42</v>
      </c>
      <c r="P207" s="450">
        <v>72.56</v>
      </c>
      <c r="Q207" s="450">
        <v>72.67</v>
      </c>
      <c r="R207" s="450">
        <v>72.75</v>
      </c>
      <c r="S207" s="450">
        <v>72.790000000000006</v>
      </c>
      <c r="T207" s="133"/>
      <c r="U207" s="134">
        <v>39</v>
      </c>
      <c r="V207" s="450">
        <v>72.12</v>
      </c>
      <c r="W207" s="450">
        <v>72.180000000000007</v>
      </c>
      <c r="X207" s="450">
        <v>72.23</v>
      </c>
      <c r="Y207" s="450">
        <v>72.290000000000006</v>
      </c>
      <c r="Z207" s="450">
        <v>72.34</v>
      </c>
      <c r="AA207" s="450">
        <v>72.400000000000006</v>
      </c>
      <c r="AB207" s="450">
        <v>72.45</v>
      </c>
      <c r="AC207" s="450">
        <v>72.5</v>
      </c>
      <c r="AD207" s="450">
        <v>72.55</v>
      </c>
      <c r="AE207" s="450">
        <v>72.599999999999994</v>
      </c>
      <c r="AF207" s="450">
        <v>72.64</v>
      </c>
      <c r="AG207" s="450">
        <v>72.69</v>
      </c>
      <c r="AH207" s="450">
        <v>72.88</v>
      </c>
      <c r="AI207" s="450">
        <v>73.03</v>
      </c>
      <c r="AJ207" s="450">
        <v>73.14</v>
      </c>
      <c r="AK207" s="450">
        <v>73.22</v>
      </c>
      <c r="AL207" s="450">
        <v>73.27</v>
      </c>
      <c r="AM207" s="133"/>
      <c r="AN207" s="134">
        <v>39</v>
      </c>
      <c r="AO207" s="450">
        <v>72.81</v>
      </c>
      <c r="AP207" s="450">
        <v>72.87</v>
      </c>
      <c r="AQ207" s="450">
        <v>72.930000000000007</v>
      </c>
      <c r="AR207" s="450">
        <v>72.989999999999995</v>
      </c>
      <c r="AS207" s="450">
        <v>73.05</v>
      </c>
      <c r="AT207" s="450">
        <v>73.099999999999994</v>
      </c>
      <c r="AU207" s="450">
        <v>73.16</v>
      </c>
      <c r="AV207" s="450">
        <v>73.209999999999994</v>
      </c>
      <c r="AW207" s="450">
        <v>73.260000000000005</v>
      </c>
      <c r="AX207" s="450">
        <v>73.31</v>
      </c>
      <c r="AY207" s="450">
        <v>73.36</v>
      </c>
      <c r="AZ207" s="450">
        <v>73.400000000000006</v>
      </c>
      <c r="BA207" s="450">
        <v>73.599999999999994</v>
      </c>
      <c r="BB207" s="450">
        <v>73.760000000000005</v>
      </c>
      <c r="BC207" s="450">
        <v>73.87</v>
      </c>
      <c r="BD207" s="450">
        <v>73.959999999999994</v>
      </c>
      <c r="BE207" s="450">
        <v>74</v>
      </c>
    </row>
    <row r="208" spans="2:57" x14ac:dyDescent="0.25">
      <c r="B208" s="134">
        <v>40</v>
      </c>
      <c r="C208" s="450">
        <v>71.790000000000006</v>
      </c>
      <c r="D208" s="450">
        <v>71.84</v>
      </c>
      <c r="E208" s="450">
        <v>71.900000000000006</v>
      </c>
      <c r="F208" s="450">
        <v>71.959999999999994</v>
      </c>
      <c r="G208" s="450">
        <v>72.010000000000005</v>
      </c>
      <c r="H208" s="450">
        <v>72.069999999999993</v>
      </c>
      <c r="I208" s="450">
        <v>72.12</v>
      </c>
      <c r="J208" s="450">
        <v>72.17</v>
      </c>
      <c r="K208" s="450">
        <v>72.22</v>
      </c>
      <c r="L208" s="450">
        <v>72.27</v>
      </c>
      <c r="M208" s="450">
        <v>72.319999999999993</v>
      </c>
      <c r="N208" s="450">
        <v>72.36</v>
      </c>
      <c r="O208" s="450">
        <v>72.56</v>
      </c>
      <c r="P208" s="450">
        <v>72.7</v>
      </c>
      <c r="Q208" s="450">
        <v>72.81</v>
      </c>
      <c r="R208" s="450">
        <v>72.89</v>
      </c>
      <c r="S208" s="450">
        <v>72.930000000000007</v>
      </c>
      <c r="T208" s="133"/>
      <c r="U208" s="134">
        <v>40</v>
      </c>
      <c r="V208" s="450">
        <v>72.239999999999995</v>
      </c>
      <c r="W208" s="450">
        <v>72.3</v>
      </c>
      <c r="X208" s="450">
        <v>72.36</v>
      </c>
      <c r="Y208" s="450">
        <v>72.41</v>
      </c>
      <c r="Z208" s="450">
        <v>72.47</v>
      </c>
      <c r="AA208" s="450">
        <v>72.53</v>
      </c>
      <c r="AB208" s="450">
        <v>72.58</v>
      </c>
      <c r="AC208" s="450">
        <v>72.63</v>
      </c>
      <c r="AD208" s="450">
        <v>72.680000000000007</v>
      </c>
      <c r="AE208" s="450">
        <v>72.73</v>
      </c>
      <c r="AF208" s="450">
        <v>72.78</v>
      </c>
      <c r="AG208" s="450">
        <v>72.83</v>
      </c>
      <c r="AH208" s="450">
        <v>73.02</v>
      </c>
      <c r="AI208" s="450">
        <v>73.180000000000007</v>
      </c>
      <c r="AJ208" s="450">
        <v>73.290000000000006</v>
      </c>
      <c r="AK208" s="450">
        <v>73.37</v>
      </c>
      <c r="AL208" s="450">
        <v>73.41</v>
      </c>
      <c r="AM208" s="133"/>
      <c r="AN208" s="134">
        <v>40</v>
      </c>
      <c r="AO208" s="450">
        <v>72.94</v>
      </c>
      <c r="AP208" s="450">
        <v>73</v>
      </c>
      <c r="AQ208" s="450">
        <v>73.06</v>
      </c>
      <c r="AR208" s="450">
        <v>73.12</v>
      </c>
      <c r="AS208" s="450">
        <v>73.180000000000007</v>
      </c>
      <c r="AT208" s="450">
        <v>73.23</v>
      </c>
      <c r="AU208" s="450">
        <v>73.290000000000006</v>
      </c>
      <c r="AV208" s="450">
        <v>73.34</v>
      </c>
      <c r="AW208" s="450">
        <v>73.400000000000006</v>
      </c>
      <c r="AX208" s="450">
        <v>73.45</v>
      </c>
      <c r="AY208" s="450">
        <v>73.5</v>
      </c>
      <c r="AZ208" s="450">
        <v>73.540000000000006</v>
      </c>
      <c r="BA208" s="450">
        <v>73.75</v>
      </c>
      <c r="BB208" s="450">
        <v>73.91</v>
      </c>
      <c r="BC208" s="450">
        <v>74.03</v>
      </c>
      <c r="BD208" s="450">
        <v>74.11</v>
      </c>
      <c r="BE208" s="450">
        <v>74.150000000000006</v>
      </c>
    </row>
    <row r="209" spans="2:57" x14ac:dyDescent="0.25">
      <c r="B209" s="134">
        <v>41</v>
      </c>
      <c r="C209" s="450">
        <v>71.91</v>
      </c>
      <c r="D209" s="450">
        <v>71.97</v>
      </c>
      <c r="E209" s="450">
        <v>72.03</v>
      </c>
      <c r="F209" s="450">
        <v>72.09</v>
      </c>
      <c r="G209" s="450">
        <v>72.14</v>
      </c>
      <c r="H209" s="450">
        <v>72.2</v>
      </c>
      <c r="I209" s="450">
        <v>72.25</v>
      </c>
      <c r="J209" s="450">
        <v>72.31</v>
      </c>
      <c r="K209" s="450">
        <v>72.36</v>
      </c>
      <c r="L209" s="450">
        <v>72.41</v>
      </c>
      <c r="M209" s="450">
        <v>72.459999999999994</v>
      </c>
      <c r="N209" s="450">
        <v>72.5</v>
      </c>
      <c r="O209" s="450">
        <v>72.7</v>
      </c>
      <c r="P209" s="450">
        <v>72.849999999999994</v>
      </c>
      <c r="Q209" s="450">
        <v>72.959999999999994</v>
      </c>
      <c r="R209" s="450">
        <v>73.03</v>
      </c>
      <c r="S209" s="450">
        <v>73.08</v>
      </c>
      <c r="T209" s="133"/>
      <c r="U209" s="134">
        <v>41</v>
      </c>
      <c r="V209" s="450">
        <v>72.36</v>
      </c>
      <c r="W209" s="450">
        <v>72.42</v>
      </c>
      <c r="X209" s="450">
        <v>72.489999999999995</v>
      </c>
      <c r="Y209" s="450">
        <v>72.55</v>
      </c>
      <c r="Z209" s="450">
        <v>72.599999999999994</v>
      </c>
      <c r="AA209" s="450">
        <v>72.66</v>
      </c>
      <c r="AB209" s="450">
        <v>72.72</v>
      </c>
      <c r="AC209" s="450">
        <v>72.77</v>
      </c>
      <c r="AD209" s="450">
        <v>72.819999999999993</v>
      </c>
      <c r="AE209" s="450">
        <v>72.87</v>
      </c>
      <c r="AF209" s="450">
        <v>72.92</v>
      </c>
      <c r="AG209" s="450">
        <v>72.97</v>
      </c>
      <c r="AH209" s="450">
        <v>73.17</v>
      </c>
      <c r="AI209" s="450">
        <v>73.319999999999993</v>
      </c>
      <c r="AJ209" s="450">
        <v>73.44</v>
      </c>
      <c r="AK209" s="450">
        <v>73.52</v>
      </c>
      <c r="AL209" s="450">
        <v>73.56</v>
      </c>
      <c r="AM209" s="133"/>
      <c r="AN209" s="134">
        <v>41</v>
      </c>
      <c r="AO209" s="450">
        <v>73.069999999999993</v>
      </c>
      <c r="AP209" s="450">
        <v>73.13</v>
      </c>
      <c r="AQ209" s="450">
        <v>73.19</v>
      </c>
      <c r="AR209" s="450">
        <v>73.25</v>
      </c>
      <c r="AS209" s="450">
        <v>73.31</v>
      </c>
      <c r="AT209" s="450">
        <v>73.37</v>
      </c>
      <c r="AU209" s="450">
        <v>73.430000000000007</v>
      </c>
      <c r="AV209" s="450">
        <v>73.489999999999995</v>
      </c>
      <c r="AW209" s="450">
        <v>73.540000000000006</v>
      </c>
      <c r="AX209" s="450">
        <v>73.59</v>
      </c>
      <c r="AY209" s="450">
        <v>73.64</v>
      </c>
      <c r="AZ209" s="450">
        <v>73.69</v>
      </c>
      <c r="BA209" s="450">
        <v>73.900000000000006</v>
      </c>
      <c r="BB209" s="450">
        <v>74.06</v>
      </c>
      <c r="BC209" s="450">
        <v>74.180000000000007</v>
      </c>
      <c r="BD209" s="450">
        <v>74.260000000000005</v>
      </c>
      <c r="BE209" s="450">
        <v>74.31</v>
      </c>
    </row>
    <row r="210" spans="2:57" x14ac:dyDescent="0.25">
      <c r="B210" s="134">
        <v>42</v>
      </c>
      <c r="C210" s="450">
        <v>72.03</v>
      </c>
      <c r="D210" s="450">
        <v>72.099999999999994</v>
      </c>
      <c r="E210" s="450">
        <v>72.16</v>
      </c>
      <c r="F210" s="450">
        <v>72.22</v>
      </c>
      <c r="G210" s="450">
        <v>72.28</v>
      </c>
      <c r="H210" s="450">
        <v>72.34</v>
      </c>
      <c r="I210" s="450">
        <v>72.39</v>
      </c>
      <c r="J210" s="450">
        <v>72.45</v>
      </c>
      <c r="K210" s="450">
        <v>72.5</v>
      </c>
      <c r="L210" s="450">
        <v>72.55</v>
      </c>
      <c r="M210" s="450">
        <v>72.599999999999994</v>
      </c>
      <c r="N210" s="450">
        <v>72.64</v>
      </c>
      <c r="O210" s="450">
        <v>72.84</v>
      </c>
      <c r="P210" s="450">
        <v>73</v>
      </c>
      <c r="Q210" s="450">
        <v>73.11</v>
      </c>
      <c r="R210" s="450">
        <v>73.180000000000007</v>
      </c>
      <c r="S210" s="450">
        <v>73.23</v>
      </c>
      <c r="T210" s="133"/>
      <c r="U210" s="134">
        <v>42</v>
      </c>
      <c r="V210" s="450">
        <v>72.489999999999995</v>
      </c>
      <c r="W210" s="450">
        <v>72.56</v>
      </c>
      <c r="X210" s="450">
        <v>72.62</v>
      </c>
      <c r="Y210" s="450">
        <v>72.680000000000007</v>
      </c>
      <c r="Z210" s="450">
        <v>72.739999999999995</v>
      </c>
      <c r="AA210" s="450">
        <v>72.8</v>
      </c>
      <c r="AB210" s="450">
        <v>72.86</v>
      </c>
      <c r="AC210" s="450">
        <v>72.91</v>
      </c>
      <c r="AD210" s="450">
        <v>72.959999999999994</v>
      </c>
      <c r="AE210" s="450">
        <v>73.02</v>
      </c>
      <c r="AF210" s="450">
        <v>73.069999999999993</v>
      </c>
      <c r="AG210" s="450">
        <v>73.11</v>
      </c>
      <c r="AH210" s="450">
        <v>73.319999999999993</v>
      </c>
      <c r="AI210" s="450">
        <v>73.48</v>
      </c>
      <c r="AJ210" s="450">
        <v>73.59</v>
      </c>
      <c r="AK210" s="450">
        <v>73.67</v>
      </c>
      <c r="AL210" s="450">
        <v>73.72</v>
      </c>
      <c r="AM210" s="133"/>
      <c r="AN210" s="134">
        <v>42</v>
      </c>
      <c r="AO210" s="450">
        <v>73.2</v>
      </c>
      <c r="AP210" s="450">
        <v>73.260000000000005</v>
      </c>
      <c r="AQ210" s="450">
        <v>73.33</v>
      </c>
      <c r="AR210" s="450">
        <v>73.39</v>
      </c>
      <c r="AS210" s="450">
        <v>73.45</v>
      </c>
      <c r="AT210" s="450">
        <v>73.52</v>
      </c>
      <c r="AU210" s="450">
        <v>73.569999999999993</v>
      </c>
      <c r="AV210" s="450">
        <v>73.63</v>
      </c>
      <c r="AW210" s="450">
        <v>73.69</v>
      </c>
      <c r="AX210" s="450">
        <v>73.739999999999995</v>
      </c>
      <c r="AY210" s="450">
        <v>73.790000000000006</v>
      </c>
      <c r="AZ210" s="450">
        <v>73.84</v>
      </c>
      <c r="BA210" s="450">
        <v>74.05</v>
      </c>
      <c r="BB210" s="450">
        <v>74.22</v>
      </c>
      <c r="BC210" s="450">
        <v>74.34</v>
      </c>
      <c r="BD210" s="450">
        <v>74.42</v>
      </c>
      <c r="BE210" s="450">
        <v>74.47</v>
      </c>
    </row>
    <row r="211" spans="2:57" x14ac:dyDescent="0.25">
      <c r="B211" s="134">
        <v>43</v>
      </c>
      <c r="C211" s="450">
        <v>72.17</v>
      </c>
      <c r="D211" s="450">
        <v>72.23</v>
      </c>
      <c r="E211" s="450">
        <v>72.290000000000006</v>
      </c>
      <c r="F211" s="450">
        <v>72.36</v>
      </c>
      <c r="G211" s="450">
        <v>72.42</v>
      </c>
      <c r="H211" s="450">
        <v>72.48</v>
      </c>
      <c r="I211" s="450">
        <v>72.53</v>
      </c>
      <c r="J211" s="450">
        <v>72.59</v>
      </c>
      <c r="K211" s="450">
        <v>72.64</v>
      </c>
      <c r="L211" s="450">
        <v>72.69</v>
      </c>
      <c r="M211" s="450">
        <v>72.739999999999995</v>
      </c>
      <c r="N211" s="450">
        <v>72.790000000000006</v>
      </c>
      <c r="O211" s="450">
        <v>72.989999999999995</v>
      </c>
      <c r="P211" s="450">
        <v>73.150000000000006</v>
      </c>
      <c r="Q211" s="450">
        <v>73.260000000000005</v>
      </c>
      <c r="R211" s="450">
        <v>73.33</v>
      </c>
      <c r="S211" s="450">
        <v>73.38</v>
      </c>
      <c r="T211" s="133"/>
      <c r="U211" s="134">
        <v>43</v>
      </c>
      <c r="V211" s="450">
        <v>72.62</v>
      </c>
      <c r="W211" s="450">
        <v>72.69</v>
      </c>
      <c r="X211" s="450">
        <v>72.760000000000005</v>
      </c>
      <c r="Y211" s="450">
        <v>72.819999999999993</v>
      </c>
      <c r="Z211" s="450">
        <v>72.88</v>
      </c>
      <c r="AA211" s="450">
        <v>72.94</v>
      </c>
      <c r="AB211" s="450">
        <v>73</v>
      </c>
      <c r="AC211" s="450">
        <v>73.06</v>
      </c>
      <c r="AD211" s="450">
        <v>73.11</v>
      </c>
      <c r="AE211" s="450">
        <v>73.16</v>
      </c>
      <c r="AF211" s="450">
        <v>73.209999999999994</v>
      </c>
      <c r="AG211" s="450">
        <v>73.260000000000005</v>
      </c>
      <c r="AH211" s="450">
        <v>73.47</v>
      </c>
      <c r="AI211" s="450">
        <v>73.63</v>
      </c>
      <c r="AJ211" s="450">
        <v>73.75</v>
      </c>
      <c r="AK211" s="450">
        <v>73.819999999999993</v>
      </c>
      <c r="AL211" s="450">
        <v>73.87</v>
      </c>
      <c r="AM211" s="133"/>
      <c r="AN211" s="134">
        <v>43</v>
      </c>
      <c r="AO211" s="450">
        <v>73.34</v>
      </c>
      <c r="AP211" s="450">
        <v>73.400000000000006</v>
      </c>
      <c r="AQ211" s="450">
        <v>73.47</v>
      </c>
      <c r="AR211" s="450">
        <v>73.540000000000006</v>
      </c>
      <c r="AS211" s="450">
        <v>73.599999999999994</v>
      </c>
      <c r="AT211" s="450">
        <v>73.66</v>
      </c>
      <c r="AU211" s="450">
        <v>73.72</v>
      </c>
      <c r="AV211" s="450">
        <v>73.78</v>
      </c>
      <c r="AW211" s="450">
        <v>73.84</v>
      </c>
      <c r="AX211" s="450">
        <v>73.89</v>
      </c>
      <c r="AY211" s="450">
        <v>73.94</v>
      </c>
      <c r="AZ211" s="450">
        <v>73.989999999999995</v>
      </c>
      <c r="BA211" s="450">
        <v>74.209999999999994</v>
      </c>
      <c r="BB211" s="450">
        <v>74.38</v>
      </c>
      <c r="BC211" s="450">
        <v>74.5</v>
      </c>
      <c r="BD211" s="450">
        <v>74.58</v>
      </c>
      <c r="BE211" s="450">
        <v>74.63</v>
      </c>
    </row>
    <row r="212" spans="2:57" x14ac:dyDescent="0.25">
      <c r="B212" s="134">
        <v>44</v>
      </c>
      <c r="C212" s="450">
        <v>72.3</v>
      </c>
      <c r="D212" s="450">
        <v>72.37</v>
      </c>
      <c r="E212" s="450">
        <v>72.430000000000007</v>
      </c>
      <c r="F212" s="450">
        <v>72.5</v>
      </c>
      <c r="G212" s="450">
        <v>72.56</v>
      </c>
      <c r="H212" s="450">
        <v>72.62</v>
      </c>
      <c r="I212" s="450">
        <v>72.680000000000007</v>
      </c>
      <c r="J212" s="450">
        <v>72.73</v>
      </c>
      <c r="K212" s="450">
        <v>72.790000000000006</v>
      </c>
      <c r="L212" s="450">
        <v>72.84</v>
      </c>
      <c r="M212" s="450">
        <v>72.89</v>
      </c>
      <c r="N212" s="450">
        <v>72.94</v>
      </c>
      <c r="O212" s="450">
        <v>73.14</v>
      </c>
      <c r="P212" s="450">
        <v>73.3</v>
      </c>
      <c r="Q212" s="450">
        <v>73.42</v>
      </c>
      <c r="R212" s="450">
        <v>73.489999999999995</v>
      </c>
      <c r="S212" s="450">
        <v>73.53</v>
      </c>
      <c r="T212" s="133"/>
      <c r="U212" s="134">
        <v>44</v>
      </c>
      <c r="V212" s="450">
        <v>72.760000000000005</v>
      </c>
      <c r="W212" s="450">
        <v>72.83</v>
      </c>
      <c r="X212" s="450">
        <v>72.900000000000006</v>
      </c>
      <c r="Y212" s="450">
        <v>72.959999999999994</v>
      </c>
      <c r="Z212" s="450">
        <v>73.03</v>
      </c>
      <c r="AA212" s="450">
        <v>73.09</v>
      </c>
      <c r="AB212" s="450">
        <v>73.150000000000006</v>
      </c>
      <c r="AC212" s="450">
        <v>73.2</v>
      </c>
      <c r="AD212" s="450">
        <v>73.260000000000005</v>
      </c>
      <c r="AE212" s="450">
        <v>73.31</v>
      </c>
      <c r="AF212" s="450">
        <v>73.36</v>
      </c>
      <c r="AG212" s="450">
        <v>73.41</v>
      </c>
      <c r="AH212" s="450">
        <v>73.63</v>
      </c>
      <c r="AI212" s="450">
        <v>73.790000000000006</v>
      </c>
      <c r="AJ212" s="450">
        <v>73.91</v>
      </c>
      <c r="AK212" s="450">
        <v>73.98</v>
      </c>
      <c r="AL212" s="450">
        <v>74.03</v>
      </c>
      <c r="AM212" s="133"/>
      <c r="AN212" s="134">
        <v>44</v>
      </c>
      <c r="AO212" s="450">
        <v>73.48</v>
      </c>
      <c r="AP212" s="450">
        <v>73.55</v>
      </c>
      <c r="AQ212" s="450">
        <v>73.62</v>
      </c>
      <c r="AR212" s="450">
        <v>73.680000000000007</v>
      </c>
      <c r="AS212" s="450">
        <v>73.75</v>
      </c>
      <c r="AT212" s="450">
        <v>73.81</v>
      </c>
      <c r="AU212" s="450">
        <v>73.87</v>
      </c>
      <c r="AV212" s="450">
        <v>73.930000000000007</v>
      </c>
      <c r="AW212" s="450">
        <v>73.989999999999995</v>
      </c>
      <c r="AX212" s="450">
        <v>74.05</v>
      </c>
      <c r="AY212" s="450">
        <v>74.099999999999994</v>
      </c>
      <c r="AZ212" s="450">
        <v>74.150000000000006</v>
      </c>
      <c r="BA212" s="450">
        <v>74.37</v>
      </c>
      <c r="BB212" s="450">
        <v>74.540000000000006</v>
      </c>
      <c r="BC212" s="450">
        <v>74.67</v>
      </c>
      <c r="BD212" s="450">
        <v>74.75</v>
      </c>
      <c r="BE212" s="450">
        <v>74.8</v>
      </c>
    </row>
    <row r="213" spans="2:57" x14ac:dyDescent="0.25">
      <c r="B213" s="134">
        <v>45</v>
      </c>
      <c r="C213" s="450">
        <v>72.44</v>
      </c>
      <c r="D213" s="450">
        <v>72.510000000000005</v>
      </c>
      <c r="E213" s="450">
        <v>72.569999999999993</v>
      </c>
      <c r="F213" s="450">
        <v>72.64</v>
      </c>
      <c r="G213" s="450">
        <v>72.7</v>
      </c>
      <c r="H213" s="450">
        <v>72.760000000000005</v>
      </c>
      <c r="I213" s="450">
        <v>72.819999999999993</v>
      </c>
      <c r="J213" s="450">
        <v>72.88</v>
      </c>
      <c r="K213" s="450">
        <v>72.94</v>
      </c>
      <c r="L213" s="450">
        <v>72.989999999999995</v>
      </c>
      <c r="M213" s="450">
        <v>73.040000000000006</v>
      </c>
      <c r="N213" s="450">
        <v>73.09</v>
      </c>
      <c r="O213" s="450">
        <v>73.3</v>
      </c>
      <c r="P213" s="450">
        <v>73.459999999999994</v>
      </c>
      <c r="Q213" s="450">
        <v>73.58</v>
      </c>
      <c r="R213" s="450">
        <v>73.64</v>
      </c>
      <c r="S213" s="450">
        <v>73.69</v>
      </c>
      <c r="T213" s="133"/>
      <c r="U213" s="134">
        <v>45</v>
      </c>
      <c r="V213" s="450">
        <v>72.900000000000006</v>
      </c>
      <c r="W213" s="450">
        <v>72.97</v>
      </c>
      <c r="X213" s="450">
        <v>73.040000000000006</v>
      </c>
      <c r="Y213" s="450">
        <v>73.11</v>
      </c>
      <c r="Z213" s="450">
        <v>73.17</v>
      </c>
      <c r="AA213" s="450">
        <v>73.239999999999995</v>
      </c>
      <c r="AB213" s="450">
        <v>73.3</v>
      </c>
      <c r="AC213" s="450">
        <v>73.36</v>
      </c>
      <c r="AD213" s="450">
        <v>73.41</v>
      </c>
      <c r="AE213" s="450">
        <v>73.47</v>
      </c>
      <c r="AF213" s="450">
        <v>73.52</v>
      </c>
      <c r="AG213" s="450">
        <v>73.569999999999993</v>
      </c>
      <c r="AH213" s="450">
        <v>73.790000000000006</v>
      </c>
      <c r="AI213" s="450">
        <v>73.95</v>
      </c>
      <c r="AJ213" s="450">
        <v>74.069999999999993</v>
      </c>
      <c r="AK213" s="450">
        <v>74.14</v>
      </c>
      <c r="AL213" s="450">
        <v>74.2</v>
      </c>
      <c r="AM213" s="133"/>
      <c r="AN213" s="134">
        <v>45</v>
      </c>
      <c r="AO213" s="450">
        <v>73.62</v>
      </c>
      <c r="AP213" s="450">
        <v>73.7</v>
      </c>
      <c r="AQ213" s="450">
        <v>73.77</v>
      </c>
      <c r="AR213" s="450">
        <v>73.84</v>
      </c>
      <c r="AS213" s="450">
        <v>73.900000000000006</v>
      </c>
      <c r="AT213" s="450">
        <v>73.97</v>
      </c>
      <c r="AU213" s="450">
        <v>74.03</v>
      </c>
      <c r="AV213" s="450">
        <v>74.09</v>
      </c>
      <c r="AW213" s="450">
        <v>74.150000000000006</v>
      </c>
      <c r="AX213" s="450">
        <v>74.209999999999994</v>
      </c>
      <c r="AY213" s="450">
        <v>74.260000000000005</v>
      </c>
      <c r="AZ213" s="450">
        <v>74.31</v>
      </c>
      <c r="BA213" s="450">
        <v>74.540000000000006</v>
      </c>
      <c r="BB213" s="450">
        <v>74.709999999999994</v>
      </c>
      <c r="BC213" s="450">
        <v>74.84</v>
      </c>
      <c r="BD213" s="450">
        <v>74.91</v>
      </c>
      <c r="BE213" s="450">
        <v>74.97</v>
      </c>
    </row>
    <row r="214" spans="2:57" x14ac:dyDescent="0.25">
      <c r="B214" s="134">
        <v>46</v>
      </c>
      <c r="C214" s="450">
        <v>72.58</v>
      </c>
      <c r="D214" s="450">
        <v>72.650000000000006</v>
      </c>
      <c r="E214" s="450">
        <v>72.72</v>
      </c>
      <c r="F214" s="450">
        <v>72.790000000000006</v>
      </c>
      <c r="G214" s="450">
        <v>72.849999999999994</v>
      </c>
      <c r="H214" s="450">
        <v>72.91</v>
      </c>
      <c r="I214" s="450">
        <v>72.97</v>
      </c>
      <c r="J214" s="450">
        <v>73.03</v>
      </c>
      <c r="K214" s="450">
        <v>73.09</v>
      </c>
      <c r="L214" s="450">
        <v>73.14</v>
      </c>
      <c r="M214" s="450">
        <v>73.2</v>
      </c>
      <c r="N214" s="450">
        <v>73.239999999999995</v>
      </c>
      <c r="O214" s="450">
        <v>73.459999999999994</v>
      </c>
      <c r="P214" s="450">
        <v>73.62</v>
      </c>
      <c r="Q214" s="450">
        <v>73.739999999999995</v>
      </c>
      <c r="R214" s="450">
        <v>73.8</v>
      </c>
      <c r="S214" s="450">
        <v>73.849999999999994</v>
      </c>
      <c r="T214" s="133"/>
      <c r="U214" s="134">
        <v>46</v>
      </c>
      <c r="V214" s="450">
        <v>73.05</v>
      </c>
      <c r="W214" s="450">
        <v>73.12</v>
      </c>
      <c r="X214" s="450">
        <v>73.19</v>
      </c>
      <c r="Y214" s="450">
        <v>73.260000000000005</v>
      </c>
      <c r="Z214" s="450">
        <v>73.33</v>
      </c>
      <c r="AA214" s="450">
        <v>73.39</v>
      </c>
      <c r="AB214" s="450">
        <v>73.45</v>
      </c>
      <c r="AC214" s="450">
        <v>73.510000000000005</v>
      </c>
      <c r="AD214" s="450">
        <v>73.569999999999993</v>
      </c>
      <c r="AE214" s="450">
        <v>73.62</v>
      </c>
      <c r="AF214" s="450">
        <v>73.680000000000007</v>
      </c>
      <c r="AG214" s="450">
        <v>73.73</v>
      </c>
      <c r="AH214" s="450">
        <v>73.95</v>
      </c>
      <c r="AI214" s="450">
        <v>74.12</v>
      </c>
      <c r="AJ214" s="450">
        <v>74.239999999999995</v>
      </c>
      <c r="AK214" s="450">
        <v>74.31</v>
      </c>
      <c r="AL214" s="450">
        <v>74.36</v>
      </c>
      <c r="AM214" s="133"/>
      <c r="AN214" s="134">
        <v>46</v>
      </c>
      <c r="AO214" s="450">
        <v>73.77</v>
      </c>
      <c r="AP214" s="450">
        <v>73.849999999999994</v>
      </c>
      <c r="AQ214" s="450">
        <v>73.92</v>
      </c>
      <c r="AR214" s="450">
        <v>73.989999999999995</v>
      </c>
      <c r="AS214" s="450">
        <v>74.06</v>
      </c>
      <c r="AT214" s="450">
        <v>74.13</v>
      </c>
      <c r="AU214" s="450">
        <v>74.19</v>
      </c>
      <c r="AV214" s="450">
        <v>74.25</v>
      </c>
      <c r="AW214" s="450">
        <v>74.31</v>
      </c>
      <c r="AX214" s="450">
        <v>74.37</v>
      </c>
      <c r="AY214" s="450">
        <v>74.42</v>
      </c>
      <c r="AZ214" s="450">
        <v>74.48</v>
      </c>
      <c r="BA214" s="450">
        <v>74.709999999999994</v>
      </c>
      <c r="BB214" s="450">
        <v>74.88</v>
      </c>
      <c r="BC214" s="450">
        <v>75.010000000000005</v>
      </c>
      <c r="BD214" s="450">
        <v>75.09</v>
      </c>
      <c r="BE214" s="450">
        <v>75.14</v>
      </c>
    </row>
    <row r="215" spans="2:57" x14ac:dyDescent="0.25">
      <c r="B215" s="134">
        <v>47</v>
      </c>
      <c r="C215" s="450">
        <v>72.73</v>
      </c>
      <c r="D215" s="450">
        <v>72.8</v>
      </c>
      <c r="E215" s="450">
        <v>72.87</v>
      </c>
      <c r="F215" s="450">
        <v>72.94</v>
      </c>
      <c r="G215" s="450">
        <v>73</v>
      </c>
      <c r="H215" s="450">
        <v>73.069999999999993</v>
      </c>
      <c r="I215" s="450">
        <v>73.13</v>
      </c>
      <c r="J215" s="450">
        <v>73.19</v>
      </c>
      <c r="K215" s="450">
        <v>73.25</v>
      </c>
      <c r="L215" s="450">
        <v>73.3</v>
      </c>
      <c r="M215" s="450">
        <v>73.349999999999994</v>
      </c>
      <c r="N215" s="450">
        <v>73.400000000000006</v>
      </c>
      <c r="O215" s="450">
        <v>73.62</v>
      </c>
      <c r="P215" s="450">
        <v>73.790000000000006</v>
      </c>
      <c r="Q215" s="450">
        <v>73.900000000000006</v>
      </c>
      <c r="R215" s="450">
        <v>73.97</v>
      </c>
      <c r="S215" s="450">
        <v>74.02</v>
      </c>
      <c r="T215" s="133"/>
      <c r="U215" s="134">
        <v>47</v>
      </c>
      <c r="V215" s="450">
        <v>73.2</v>
      </c>
      <c r="W215" s="450">
        <v>73.27</v>
      </c>
      <c r="X215" s="450">
        <v>73.34</v>
      </c>
      <c r="Y215" s="450">
        <v>73.41</v>
      </c>
      <c r="Z215" s="450">
        <v>73.48</v>
      </c>
      <c r="AA215" s="450">
        <v>73.55</v>
      </c>
      <c r="AB215" s="450">
        <v>73.61</v>
      </c>
      <c r="AC215" s="450">
        <v>73.67</v>
      </c>
      <c r="AD215" s="450">
        <v>73.73</v>
      </c>
      <c r="AE215" s="450">
        <v>73.78</v>
      </c>
      <c r="AF215" s="450">
        <v>73.84</v>
      </c>
      <c r="AG215" s="450">
        <v>73.89</v>
      </c>
      <c r="AH215" s="450">
        <v>74.11</v>
      </c>
      <c r="AI215" s="450">
        <v>74.290000000000006</v>
      </c>
      <c r="AJ215" s="450">
        <v>74.400000000000006</v>
      </c>
      <c r="AK215" s="450">
        <v>74.48</v>
      </c>
      <c r="AL215" s="450">
        <v>74.53</v>
      </c>
      <c r="AM215" s="133"/>
      <c r="AN215" s="134">
        <v>47</v>
      </c>
      <c r="AO215" s="450">
        <v>73.930000000000007</v>
      </c>
      <c r="AP215" s="450">
        <v>74</v>
      </c>
      <c r="AQ215" s="450">
        <v>74.08</v>
      </c>
      <c r="AR215" s="450">
        <v>74.150000000000006</v>
      </c>
      <c r="AS215" s="450">
        <v>74.22</v>
      </c>
      <c r="AT215" s="450">
        <v>74.290000000000006</v>
      </c>
      <c r="AU215" s="450">
        <v>74.349999999999994</v>
      </c>
      <c r="AV215" s="450">
        <v>74.42</v>
      </c>
      <c r="AW215" s="450">
        <v>74.48</v>
      </c>
      <c r="AX215" s="450">
        <v>74.540000000000006</v>
      </c>
      <c r="AY215" s="450">
        <v>74.59</v>
      </c>
      <c r="AZ215" s="450">
        <v>74.64</v>
      </c>
      <c r="BA215" s="450">
        <v>74.88</v>
      </c>
      <c r="BB215" s="450">
        <v>75.06</v>
      </c>
      <c r="BC215" s="450">
        <v>75.180000000000007</v>
      </c>
      <c r="BD215" s="450">
        <v>75.260000000000005</v>
      </c>
      <c r="BE215" s="450">
        <v>75.31</v>
      </c>
    </row>
    <row r="216" spans="2:57" x14ac:dyDescent="0.25">
      <c r="B216" s="134">
        <v>48</v>
      </c>
      <c r="C216" s="450">
        <v>72.88</v>
      </c>
      <c r="D216" s="450">
        <v>72.95</v>
      </c>
      <c r="E216" s="450">
        <v>73.02</v>
      </c>
      <c r="F216" s="450">
        <v>73.09</v>
      </c>
      <c r="G216" s="450">
        <v>73.16</v>
      </c>
      <c r="H216" s="450">
        <v>73.22</v>
      </c>
      <c r="I216" s="450">
        <v>73.28</v>
      </c>
      <c r="J216" s="450">
        <v>73.349999999999994</v>
      </c>
      <c r="K216" s="450">
        <v>73.400000000000006</v>
      </c>
      <c r="L216" s="450">
        <v>73.459999999999994</v>
      </c>
      <c r="M216" s="450">
        <v>73.510000000000005</v>
      </c>
      <c r="N216" s="450">
        <v>73.56</v>
      </c>
      <c r="O216" s="450">
        <v>73.78</v>
      </c>
      <c r="P216" s="450">
        <v>73.95</v>
      </c>
      <c r="Q216" s="450">
        <v>74.06</v>
      </c>
      <c r="R216" s="450">
        <v>74.13</v>
      </c>
      <c r="S216" s="450">
        <v>74.180000000000007</v>
      </c>
      <c r="T216" s="133"/>
      <c r="U216" s="134">
        <v>48</v>
      </c>
      <c r="V216" s="450">
        <v>73.349999999999994</v>
      </c>
      <c r="W216" s="450">
        <v>73.430000000000007</v>
      </c>
      <c r="X216" s="450">
        <v>73.5</v>
      </c>
      <c r="Y216" s="450">
        <v>73.569999999999993</v>
      </c>
      <c r="Z216" s="450">
        <v>73.64</v>
      </c>
      <c r="AA216" s="450">
        <v>73.7</v>
      </c>
      <c r="AB216" s="450">
        <v>73.77</v>
      </c>
      <c r="AC216" s="450">
        <v>73.83</v>
      </c>
      <c r="AD216" s="450">
        <v>73.89</v>
      </c>
      <c r="AE216" s="450">
        <v>73.95</v>
      </c>
      <c r="AF216" s="450">
        <v>74</v>
      </c>
      <c r="AG216" s="450">
        <v>74.06</v>
      </c>
      <c r="AH216" s="450">
        <v>74.28</v>
      </c>
      <c r="AI216" s="450">
        <v>74.459999999999994</v>
      </c>
      <c r="AJ216" s="450">
        <v>74.569999999999993</v>
      </c>
      <c r="AK216" s="450">
        <v>74.650000000000006</v>
      </c>
      <c r="AL216" s="450">
        <v>74.7</v>
      </c>
      <c r="AM216" s="133"/>
      <c r="AN216" s="134">
        <v>48</v>
      </c>
      <c r="AO216" s="450">
        <v>74.08</v>
      </c>
      <c r="AP216" s="450">
        <v>74.16</v>
      </c>
      <c r="AQ216" s="450">
        <v>74.239999999999995</v>
      </c>
      <c r="AR216" s="450">
        <v>74.31</v>
      </c>
      <c r="AS216" s="450">
        <v>74.38</v>
      </c>
      <c r="AT216" s="450">
        <v>74.45</v>
      </c>
      <c r="AU216" s="450">
        <v>74.52</v>
      </c>
      <c r="AV216" s="450">
        <v>74.58</v>
      </c>
      <c r="AW216" s="450">
        <v>74.64</v>
      </c>
      <c r="AX216" s="450">
        <v>74.7</v>
      </c>
      <c r="AY216" s="450">
        <v>74.760000000000005</v>
      </c>
      <c r="AZ216" s="450">
        <v>74.819999999999993</v>
      </c>
      <c r="BA216" s="450">
        <v>75.05</v>
      </c>
      <c r="BB216" s="450">
        <v>75.239999999999995</v>
      </c>
      <c r="BC216" s="450">
        <v>75.36</v>
      </c>
      <c r="BD216" s="450">
        <v>75.44</v>
      </c>
      <c r="BE216" s="450">
        <v>75.489999999999995</v>
      </c>
    </row>
    <row r="217" spans="2:57" x14ac:dyDescent="0.25">
      <c r="B217" s="134">
        <v>49</v>
      </c>
      <c r="C217" s="450">
        <v>73.03</v>
      </c>
      <c r="D217" s="450">
        <v>73.099999999999994</v>
      </c>
      <c r="E217" s="450">
        <v>73.180000000000007</v>
      </c>
      <c r="F217" s="450">
        <v>73.25</v>
      </c>
      <c r="G217" s="450">
        <v>73.31</v>
      </c>
      <c r="H217" s="450">
        <v>73.38</v>
      </c>
      <c r="I217" s="450">
        <v>73.44</v>
      </c>
      <c r="J217" s="450">
        <v>73.510000000000005</v>
      </c>
      <c r="K217" s="450">
        <v>73.56</v>
      </c>
      <c r="L217" s="450">
        <v>73.62</v>
      </c>
      <c r="M217" s="450">
        <v>73.67</v>
      </c>
      <c r="N217" s="450">
        <v>73.73</v>
      </c>
      <c r="O217" s="450">
        <v>73.95</v>
      </c>
      <c r="P217" s="450">
        <v>74.12</v>
      </c>
      <c r="Q217" s="450">
        <v>74.23</v>
      </c>
      <c r="R217" s="450">
        <v>74.3</v>
      </c>
      <c r="S217" s="450">
        <v>74.349999999999994</v>
      </c>
      <c r="T217" s="133"/>
      <c r="U217" s="134">
        <v>49</v>
      </c>
      <c r="V217" s="450">
        <v>73.510000000000005</v>
      </c>
      <c r="W217" s="450">
        <v>73.58</v>
      </c>
      <c r="X217" s="450">
        <v>73.66</v>
      </c>
      <c r="Y217" s="450">
        <v>73.73</v>
      </c>
      <c r="Z217" s="450">
        <v>73.8</v>
      </c>
      <c r="AA217" s="450">
        <v>73.87</v>
      </c>
      <c r="AB217" s="450">
        <v>73.930000000000007</v>
      </c>
      <c r="AC217" s="450">
        <v>74</v>
      </c>
      <c r="AD217" s="450">
        <v>74.06</v>
      </c>
      <c r="AE217" s="450">
        <v>74.11</v>
      </c>
      <c r="AF217" s="450">
        <v>74.17</v>
      </c>
      <c r="AG217" s="450">
        <v>74.22</v>
      </c>
      <c r="AH217" s="450">
        <v>74.459999999999994</v>
      </c>
      <c r="AI217" s="450">
        <v>74.63</v>
      </c>
      <c r="AJ217" s="450">
        <v>74.739999999999995</v>
      </c>
      <c r="AK217" s="450">
        <v>74.819999999999993</v>
      </c>
      <c r="AL217" s="450">
        <v>74.87</v>
      </c>
      <c r="AM217" s="133"/>
      <c r="AN217" s="134">
        <v>49</v>
      </c>
      <c r="AO217" s="450">
        <v>74.25</v>
      </c>
      <c r="AP217" s="450">
        <v>74.33</v>
      </c>
      <c r="AQ217" s="450">
        <v>74.400000000000006</v>
      </c>
      <c r="AR217" s="450">
        <v>74.48</v>
      </c>
      <c r="AS217" s="450">
        <v>74.55</v>
      </c>
      <c r="AT217" s="450">
        <v>74.62</v>
      </c>
      <c r="AU217" s="450">
        <v>74.69</v>
      </c>
      <c r="AV217" s="450">
        <v>74.75</v>
      </c>
      <c r="AW217" s="450">
        <v>74.819999999999993</v>
      </c>
      <c r="AX217" s="450">
        <v>74.88</v>
      </c>
      <c r="AY217" s="450">
        <v>74.930000000000007</v>
      </c>
      <c r="AZ217" s="450">
        <v>74.989999999999995</v>
      </c>
      <c r="BA217" s="450">
        <v>75.23</v>
      </c>
      <c r="BB217" s="450">
        <v>75.42</v>
      </c>
      <c r="BC217" s="450">
        <v>75.540000000000006</v>
      </c>
      <c r="BD217" s="450">
        <v>75.62</v>
      </c>
      <c r="BE217" s="450">
        <v>75.67</v>
      </c>
    </row>
    <row r="218" spans="2:57" x14ac:dyDescent="0.25">
      <c r="B218" s="134">
        <v>50</v>
      </c>
      <c r="C218" s="450">
        <v>73.180000000000007</v>
      </c>
      <c r="D218" s="450">
        <v>73.260000000000005</v>
      </c>
      <c r="E218" s="450">
        <v>73.33</v>
      </c>
      <c r="F218" s="450">
        <v>73.400000000000006</v>
      </c>
      <c r="G218" s="450">
        <v>73.47</v>
      </c>
      <c r="H218" s="450">
        <v>73.540000000000006</v>
      </c>
      <c r="I218" s="450">
        <v>73.61</v>
      </c>
      <c r="J218" s="450">
        <v>73.67</v>
      </c>
      <c r="K218" s="450">
        <v>73.73</v>
      </c>
      <c r="L218" s="450">
        <v>73.78</v>
      </c>
      <c r="M218" s="450">
        <v>73.84</v>
      </c>
      <c r="N218" s="450">
        <v>73.89</v>
      </c>
      <c r="O218" s="450">
        <v>74.12</v>
      </c>
      <c r="P218" s="450">
        <v>74.290000000000006</v>
      </c>
      <c r="Q218" s="450">
        <v>74.400000000000006</v>
      </c>
      <c r="R218" s="450">
        <v>74.47</v>
      </c>
      <c r="S218" s="450">
        <v>74.52</v>
      </c>
      <c r="T218" s="133"/>
      <c r="U218" s="134">
        <v>50</v>
      </c>
      <c r="V218" s="450">
        <v>73.66</v>
      </c>
      <c r="W218" s="450">
        <v>73.739999999999995</v>
      </c>
      <c r="X218" s="450">
        <v>73.819999999999993</v>
      </c>
      <c r="Y218" s="450">
        <v>73.89</v>
      </c>
      <c r="Z218" s="450">
        <v>73.959999999999994</v>
      </c>
      <c r="AA218" s="450">
        <v>74.03</v>
      </c>
      <c r="AB218" s="450">
        <v>74.099999999999994</v>
      </c>
      <c r="AC218" s="450">
        <v>74.16</v>
      </c>
      <c r="AD218" s="450">
        <v>74.22</v>
      </c>
      <c r="AE218" s="450">
        <v>74.28</v>
      </c>
      <c r="AF218" s="450">
        <v>74.34</v>
      </c>
      <c r="AG218" s="450">
        <v>74.39</v>
      </c>
      <c r="AH218" s="450">
        <v>74.63</v>
      </c>
      <c r="AI218" s="450">
        <v>74.81</v>
      </c>
      <c r="AJ218" s="450">
        <v>74.92</v>
      </c>
      <c r="AK218" s="450">
        <v>75</v>
      </c>
      <c r="AL218" s="450">
        <v>75.05</v>
      </c>
      <c r="AM218" s="133"/>
      <c r="AN218" s="134">
        <v>50</v>
      </c>
      <c r="AO218" s="450">
        <v>74.41</v>
      </c>
      <c r="AP218" s="450">
        <v>74.489999999999995</v>
      </c>
      <c r="AQ218" s="450">
        <v>74.569999999999993</v>
      </c>
      <c r="AR218" s="450">
        <v>74.650000000000006</v>
      </c>
      <c r="AS218" s="450">
        <v>74.72</v>
      </c>
      <c r="AT218" s="450">
        <v>74.790000000000006</v>
      </c>
      <c r="AU218" s="450">
        <v>74.86</v>
      </c>
      <c r="AV218" s="450">
        <v>74.930000000000007</v>
      </c>
      <c r="AW218" s="450">
        <v>74.989999999999995</v>
      </c>
      <c r="AX218" s="450">
        <v>75.05</v>
      </c>
      <c r="AY218" s="450">
        <v>75.11</v>
      </c>
      <c r="AZ218" s="450">
        <v>75.17</v>
      </c>
      <c r="BA218" s="450">
        <v>75.42</v>
      </c>
      <c r="BB218" s="450">
        <v>75.599999999999994</v>
      </c>
      <c r="BC218" s="450">
        <v>75.72</v>
      </c>
      <c r="BD218" s="450">
        <v>75.8</v>
      </c>
      <c r="BE218" s="450">
        <v>75.849999999999994</v>
      </c>
    </row>
    <row r="219" spans="2:57" x14ac:dyDescent="0.25">
      <c r="B219" s="134">
        <v>51</v>
      </c>
      <c r="C219" s="450">
        <v>73.34</v>
      </c>
      <c r="D219" s="450">
        <v>73.42</v>
      </c>
      <c r="E219" s="450">
        <v>73.489999999999995</v>
      </c>
      <c r="F219" s="450">
        <v>73.569999999999993</v>
      </c>
      <c r="G219" s="450">
        <v>73.64</v>
      </c>
      <c r="H219" s="450">
        <v>73.7</v>
      </c>
      <c r="I219" s="450">
        <v>73.77</v>
      </c>
      <c r="J219" s="450">
        <v>73.83</v>
      </c>
      <c r="K219" s="450">
        <v>73.89</v>
      </c>
      <c r="L219" s="450">
        <v>73.95</v>
      </c>
      <c r="M219" s="450">
        <v>74.010000000000005</v>
      </c>
      <c r="N219" s="450">
        <v>74.06</v>
      </c>
      <c r="O219" s="450">
        <v>74.290000000000006</v>
      </c>
      <c r="P219" s="450">
        <v>74.459999999999994</v>
      </c>
      <c r="Q219" s="450">
        <v>74.569999999999993</v>
      </c>
      <c r="R219" s="450">
        <v>74.64</v>
      </c>
      <c r="S219" s="450">
        <v>74.69</v>
      </c>
      <c r="T219" s="133"/>
      <c r="U219" s="134">
        <v>51</v>
      </c>
      <c r="V219" s="450">
        <v>73.83</v>
      </c>
      <c r="W219" s="450">
        <v>73.91</v>
      </c>
      <c r="X219" s="450">
        <v>73.98</v>
      </c>
      <c r="Y219" s="450">
        <v>74.06</v>
      </c>
      <c r="Z219" s="450">
        <v>74.13</v>
      </c>
      <c r="AA219" s="450">
        <v>74.2</v>
      </c>
      <c r="AB219" s="450">
        <v>74.27</v>
      </c>
      <c r="AC219" s="450">
        <v>74.33</v>
      </c>
      <c r="AD219" s="450">
        <v>74.39</v>
      </c>
      <c r="AE219" s="450">
        <v>74.45</v>
      </c>
      <c r="AF219" s="450">
        <v>74.510000000000005</v>
      </c>
      <c r="AG219" s="450">
        <v>74.569999999999993</v>
      </c>
      <c r="AH219" s="450">
        <v>74.81</v>
      </c>
      <c r="AI219" s="450">
        <v>74.989999999999995</v>
      </c>
      <c r="AJ219" s="450">
        <v>75.099999999999994</v>
      </c>
      <c r="AK219" s="450">
        <v>75.180000000000007</v>
      </c>
      <c r="AL219" s="450">
        <v>75.23</v>
      </c>
      <c r="AM219" s="133"/>
      <c r="AN219" s="134">
        <v>51</v>
      </c>
      <c r="AO219" s="450">
        <v>74.58</v>
      </c>
      <c r="AP219" s="450">
        <v>74.66</v>
      </c>
      <c r="AQ219" s="450">
        <v>74.739999999999995</v>
      </c>
      <c r="AR219" s="450">
        <v>74.819999999999993</v>
      </c>
      <c r="AS219" s="450">
        <v>74.89</v>
      </c>
      <c r="AT219" s="450">
        <v>74.97</v>
      </c>
      <c r="AU219" s="450">
        <v>75.040000000000006</v>
      </c>
      <c r="AV219" s="450">
        <v>75.099999999999994</v>
      </c>
      <c r="AW219" s="450">
        <v>75.17</v>
      </c>
      <c r="AX219" s="450">
        <v>75.23</v>
      </c>
      <c r="AY219" s="450">
        <v>75.290000000000006</v>
      </c>
      <c r="AZ219" s="450">
        <v>75.349999999999994</v>
      </c>
      <c r="BA219" s="450">
        <v>75.599999999999994</v>
      </c>
      <c r="BB219" s="450">
        <v>75.790000000000006</v>
      </c>
      <c r="BC219" s="450">
        <v>75.91</v>
      </c>
      <c r="BD219" s="450">
        <v>75.989999999999995</v>
      </c>
      <c r="BE219" s="450">
        <v>76.040000000000006</v>
      </c>
    </row>
    <row r="220" spans="2:57" x14ac:dyDescent="0.25">
      <c r="B220" s="134">
        <v>52</v>
      </c>
      <c r="C220" s="450">
        <v>73.5</v>
      </c>
      <c r="D220" s="450">
        <v>73.58</v>
      </c>
      <c r="E220" s="450">
        <v>73.66</v>
      </c>
      <c r="F220" s="450">
        <v>73.73</v>
      </c>
      <c r="G220" s="450">
        <v>73.8</v>
      </c>
      <c r="H220" s="450">
        <v>73.87</v>
      </c>
      <c r="I220" s="450">
        <v>73.94</v>
      </c>
      <c r="J220" s="450">
        <v>74</v>
      </c>
      <c r="K220" s="450">
        <v>74.06</v>
      </c>
      <c r="L220" s="450">
        <v>74.12</v>
      </c>
      <c r="M220" s="450">
        <v>74.180000000000007</v>
      </c>
      <c r="N220" s="450">
        <v>74.23</v>
      </c>
      <c r="O220" s="450">
        <v>74.47</v>
      </c>
      <c r="P220" s="450">
        <v>74.63</v>
      </c>
      <c r="Q220" s="450">
        <v>74.739999999999995</v>
      </c>
      <c r="R220" s="450">
        <v>74.81</v>
      </c>
      <c r="S220" s="450">
        <v>74.86</v>
      </c>
      <c r="T220" s="133"/>
      <c r="U220" s="134">
        <v>52</v>
      </c>
      <c r="V220" s="450">
        <v>73.989999999999995</v>
      </c>
      <c r="W220" s="450">
        <v>74.069999999999993</v>
      </c>
      <c r="X220" s="450">
        <v>74.150000000000006</v>
      </c>
      <c r="Y220" s="450">
        <v>74.22</v>
      </c>
      <c r="Z220" s="450">
        <v>74.3</v>
      </c>
      <c r="AA220" s="450">
        <v>74.37</v>
      </c>
      <c r="AB220" s="450">
        <v>74.44</v>
      </c>
      <c r="AC220" s="450">
        <v>74.5</v>
      </c>
      <c r="AD220" s="450">
        <v>74.569999999999993</v>
      </c>
      <c r="AE220" s="450">
        <v>74.63</v>
      </c>
      <c r="AF220" s="450">
        <v>74.69</v>
      </c>
      <c r="AG220" s="450">
        <v>74.75</v>
      </c>
      <c r="AH220" s="450">
        <v>74.989999999999995</v>
      </c>
      <c r="AI220" s="450">
        <v>75.16</v>
      </c>
      <c r="AJ220" s="450">
        <v>75.28</v>
      </c>
      <c r="AK220" s="450">
        <v>75.36</v>
      </c>
      <c r="AL220" s="450">
        <v>75.41</v>
      </c>
      <c r="AM220" s="133"/>
      <c r="AN220" s="134">
        <v>52</v>
      </c>
      <c r="AO220" s="450">
        <v>74.75</v>
      </c>
      <c r="AP220" s="450">
        <v>74.83</v>
      </c>
      <c r="AQ220" s="450">
        <v>74.91</v>
      </c>
      <c r="AR220" s="450">
        <v>74.989999999999995</v>
      </c>
      <c r="AS220" s="450">
        <v>75.069999999999993</v>
      </c>
      <c r="AT220" s="450">
        <v>75.14</v>
      </c>
      <c r="AU220" s="450">
        <v>75.209999999999994</v>
      </c>
      <c r="AV220" s="450">
        <v>75.28</v>
      </c>
      <c r="AW220" s="450">
        <v>75.349999999999994</v>
      </c>
      <c r="AX220" s="450">
        <v>75.41</v>
      </c>
      <c r="AY220" s="450">
        <v>75.48</v>
      </c>
      <c r="AZ220" s="450">
        <v>75.53</v>
      </c>
      <c r="BA220" s="450">
        <v>75.790000000000006</v>
      </c>
      <c r="BB220" s="450">
        <v>75.98</v>
      </c>
      <c r="BC220" s="450">
        <v>76.099999999999994</v>
      </c>
      <c r="BD220" s="450">
        <v>76.180000000000007</v>
      </c>
      <c r="BE220" s="450">
        <v>76.23</v>
      </c>
    </row>
    <row r="221" spans="2:57" x14ac:dyDescent="0.25">
      <c r="B221" s="134">
        <v>53</v>
      </c>
      <c r="C221" s="450">
        <v>73.66</v>
      </c>
      <c r="D221" s="450">
        <v>73.739999999999995</v>
      </c>
      <c r="E221" s="450">
        <v>73.819999999999993</v>
      </c>
      <c r="F221" s="450">
        <v>73.89</v>
      </c>
      <c r="G221" s="450">
        <v>73.97</v>
      </c>
      <c r="H221" s="450">
        <v>74.040000000000006</v>
      </c>
      <c r="I221" s="450">
        <v>74.11</v>
      </c>
      <c r="J221" s="450">
        <v>74.17</v>
      </c>
      <c r="K221" s="450">
        <v>74.23</v>
      </c>
      <c r="L221" s="450">
        <v>74.290000000000006</v>
      </c>
      <c r="M221" s="450">
        <v>74.349999999999994</v>
      </c>
      <c r="N221" s="450">
        <v>74.41</v>
      </c>
      <c r="O221" s="450">
        <v>74.650000000000006</v>
      </c>
      <c r="P221" s="450">
        <v>74.81</v>
      </c>
      <c r="Q221" s="450">
        <v>74.92</v>
      </c>
      <c r="R221" s="450">
        <v>74.989999999999995</v>
      </c>
      <c r="S221" s="450">
        <v>75.03</v>
      </c>
      <c r="T221" s="133"/>
      <c r="U221" s="134">
        <v>53</v>
      </c>
      <c r="V221" s="450">
        <v>74.16</v>
      </c>
      <c r="W221" s="450">
        <v>74.239999999999995</v>
      </c>
      <c r="X221" s="450">
        <v>74.319999999999993</v>
      </c>
      <c r="Y221" s="450">
        <v>74.400000000000006</v>
      </c>
      <c r="Z221" s="450">
        <v>74.47</v>
      </c>
      <c r="AA221" s="450">
        <v>74.540000000000006</v>
      </c>
      <c r="AB221" s="450">
        <v>74.61</v>
      </c>
      <c r="AC221" s="450">
        <v>74.680000000000007</v>
      </c>
      <c r="AD221" s="450">
        <v>74.75</v>
      </c>
      <c r="AE221" s="450">
        <v>74.81</v>
      </c>
      <c r="AF221" s="450">
        <v>74.87</v>
      </c>
      <c r="AG221" s="450">
        <v>74.930000000000007</v>
      </c>
      <c r="AH221" s="450">
        <v>75.180000000000007</v>
      </c>
      <c r="AI221" s="450">
        <v>75.349999999999994</v>
      </c>
      <c r="AJ221" s="450">
        <v>75.459999999999994</v>
      </c>
      <c r="AK221" s="450">
        <v>75.540000000000006</v>
      </c>
      <c r="AL221" s="450">
        <v>75.59</v>
      </c>
      <c r="AM221" s="133"/>
      <c r="AN221" s="134">
        <v>53</v>
      </c>
      <c r="AO221" s="450">
        <v>74.92</v>
      </c>
      <c r="AP221" s="450">
        <v>75.010000000000005</v>
      </c>
      <c r="AQ221" s="450">
        <v>75.09</v>
      </c>
      <c r="AR221" s="450">
        <v>75.17</v>
      </c>
      <c r="AS221" s="450">
        <v>75.25</v>
      </c>
      <c r="AT221" s="450">
        <v>75.319999999999993</v>
      </c>
      <c r="AU221" s="450">
        <v>75.400000000000006</v>
      </c>
      <c r="AV221" s="450">
        <v>75.47</v>
      </c>
      <c r="AW221" s="450">
        <v>75.53</v>
      </c>
      <c r="AX221" s="450">
        <v>75.599999999999994</v>
      </c>
      <c r="AY221" s="450">
        <v>75.66</v>
      </c>
      <c r="AZ221" s="450">
        <v>75.72</v>
      </c>
      <c r="BA221" s="450">
        <v>75.989999999999995</v>
      </c>
      <c r="BB221" s="450">
        <v>76.17</v>
      </c>
      <c r="BC221" s="450">
        <v>76.290000000000006</v>
      </c>
      <c r="BD221" s="450">
        <v>76.37</v>
      </c>
      <c r="BE221" s="450">
        <v>76.42</v>
      </c>
    </row>
    <row r="222" spans="2:57" x14ac:dyDescent="0.25">
      <c r="B222" s="134">
        <v>54</v>
      </c>
      <c r="C222" s="450">
        <v>73.83</v>
      </c>
      <c r="D222" s="450">
        <v>73.91</v>
      </c>
      <c r="E222" s="450">
        <v>73.989999999999995</v>
      </c>
      <c r="F222" s="450">
        <v>74.06</v>
      </c>
      <c r="G222" s="450">
        <v>74.14</v>
      </c>
      <c r="H222" s="450">
        <v>74.209999999999994</v>
      </c>
      <c r="I222" s="450">
        <v>74.28</v>
      </c>
      <c r="J222" s="450">
        <v>74.34</v>
      </c>
      <c r="K222" s="450">
        <v>74.41</v>
      </c>
      <c r="L222" s="450">
        <v>74.47</v>
      </c>
      <c r="M222" s="450">
        <v>74.53</v>
      </c>
      <c r="N222" s="450">
        <v>74.58</v>
      </c>
      <c r="O222" s="450">
        <v>74.83</v>
      </c>
      <c r="P222" s="450">
        <v>74.989999999999995</v>
      </c>
      <c r="Q222" s="450">
        <v>75.099999999999994</v>
      </c>
      <c r="R222" s="450">
        <v>75.17</v>
      </c>
      <c r="S222" s="450">
        <v>75.209999999999994</v>
      </c>
      <c r="T222" s="133"/>
      <c r="U222" s="134">
        <v>54</v>
      </c>
      <c r="V222" s="450">
        <v>74.33</v>
      </c>
      <c r="W222" s="450">
        <v>74.41</v>
      </c>
      <c r="X222" s="450">
        <v>74.489999999999995</v>
      </c>
      <c r="Y222" s="450">
        <v>74.569999999999993</v>
      </c>
      <c r="Z222" s="450">
        <v>74.650000000000006</v>
      </c>
      <c r="AA222" s="450">
        <v>74.72</v>
      </c>
      <c r="AB222" s="450">
        <v>74.790000000000006</v>
      </c>
      <c r="AC222" s="450">
        <v>74.86</v>
      </c>
      <c r="AD222" s="450">
        <v>74.930000000000007</v>
      </c>
      <c r="AE222" s="450">
        <v>74.989999999999995</v>
      </c>
      <c r="AF222" s="450">
        <v>75.05</v>
      </c>
      <c r="AG222" s="450">
        <v>75.11</v>
      </c>
      <c r="AH222" s="450">
        <v>75.36</v>
      </c>
      <c r="AI222" s="450">
        <v>75.53</v>
      </c>
      <c r="AJ222" s="450">
        <v>75.650000000000006</v>
      </c>
      <c r="AK222" s="450">
        <v>75.73</v>
      </c>
      <c r="AL222" s="450">
        <v>75.78</v>
      </c>
      <c r="AM222" s="133"/>
      <c r="AN222" s="134">
        <v>54</v>
      </c>
      <c r="AO222" s="450">
        <v>75.099999999999994</v>
      </c>
      <c r="AP222" s="450">
        <v>75.180000000000007</v>
      </c>
      <c r="AQ222" s="450">
        <v>75.27</v>
      </c>
      <c r="AR222" s="450">
        <v>75.349999999999994</v>
      </c>
      <c r="AS222" s="450">
        <v>75.430000000000007</v>
      </c>
      <c r="AT222" s="450">
        <v>75.510000000000005</v>
      </c>
      <c r="AU222" s="450">
        <v>75.58</v>
      </c>
      <c r="AV222" s="450">
        <v>75.650000000000006</v>
      </c>
      <c r="AW222" s="450">
        <v>75.72</v>
      </c>
      <c r="AX222" s="450">
        <v>75.790000000000006</v>
      </c>
      <c r="AY222" s="450">
        <v>75.849999999999994</v>
      </c>
      <c r="AZ222" s="450">
        <v>75.92</v>
      </c>
      <c r="BA222" s="450">
        <v>76.180000000000007</v>
      </c>
      <c r="BB222" s="450">
        <v>76.36</v>
      </c>
      <c r="BC222" s="450">
        <v>76.489999999999995</v>
      </c>
      <c r="BD222" s="450">
        <v>76.569999999999993</v>
      </c>
      <c r="BE222" s="450">
        <v>76.61</v>
      </c>
    </row>
    <row r="223" spans="2:57" x14ac:dyDescent="0.25">
      <c r="B223" s="134">
        <v>55</v>
      </c>
      <c r="C223" s="450">
        <v>74</v>
      </c>
      <c r="D223" s="450">
        <v>74.08</v>
      </c>
      <c r="E223" s="450">
        <v>74.16</v>
      </c>
      <c r="F223" s="450">
        <v>74.23</v>
      </c>
      <c r="G223" s="450">
        <v>74.31</v>
      </c>
      <c r="H223" s="450">
        <v>74.38</v>
      </c>
      <c r="I223" s="450">
        <v>74.45</v>
      </c>
      <c r="J223" s="450">
        <v>74.52</v>
      </c>
      <c r="K223" s="450">
        <v>74.59</v>
      </c>
      <c r="L223" s="450">
        <v>74.650000000000006</v>
      </c>
      <c r="M223" s="450">
        <v>74.709999999999994</v>
      </c>
      <c r="N223" s="450">
        <v>74.77</v>
      </c>
      <c r="O223" s="450">
        <v>75.010000000000005</v>
      </c>
      <c r="P223" s="450">
        <v>75.17</v>
      </c>
      <c r="Q223" s="450">
        <v>75.28</v>
      </c>
      <c r="R223" s="450">
        <v>75.36</v>
      </c>
      <c r="S223" s="450">
        <v>75.39</v>
      </c>
      <c r="T223" s="133"/>
      <c r="U223" s="134">
        <v>55</v>
      </c>
      <c r="V223" s="450">
        <v>74.5</v>
      </c>
      <c r="W223" s="450">
        <v>74.58</v>
      </c>
      <c r="X223" s="450">
        <v>74.67</v>
      </c>
      <c r="Y223" s="450">
        <v>74.75</v>
      </c>
      <c r="Z223" s="450">
        <v>74.819999999999993</v>
      </c>
      <c r="AA223" s="450">
        <v>74.900000000000006</v>
      </c>
      <c r="AB223" s="450">
        <v>74.97</v>
      </c>
      <c r="AC223" s="450">
        <v>75.040000000000006</v>
      </c>
      <c r="AD223" s="450">
        <v>75.11</v>
      </c>
      <c r="AE223" s="450">
        <v>75.180000000000007</v>
      </c>
      <c r="AF223" s="450">
        <v>75.239999999999995</v>
      </c>
      <c r="AG223" s="450">
        <v>75.3</v>
      </c>
      <c r="AH223" s="450">
        <v>75.56</v>
      </c>
      <c r="AI223" s="450">
        <v>75.72</v>
      </c>
      <c r="AJ223" s="450">
        <v>75.849999999999994</v>
      </c>
      <c r="AK223" s="450">
        <v>75.92</v>
      </c>
      <c r="AL223" s="450">
        <v>75.97</v>
      </c>
      <c r="AM223" s="133"/>
      <c r="AN223" s="134">
        <v>55</v>
      </c>
      <c r="AO223" s="450">
        <v>75.28</v>
      </c>
      <c r="AP223" s="450">
        <v>75.37</v>
      </c>
      <c r="AQ223" s="450">
        <v>75.45</v>
      </c>
      <c r="AR223" s="450">
        <v>75.53</v>
      </c>
      <c r="AS223" s="450">
        <v>75.62</v>
      </c>
      <c r="AT223" s="450">
        <v>75.69</v>
      </c>
      <c r="AU223" s="450">
        <v>75.77</v>
      </c>
      <c r="AV223" s="450">
        <v>75.84</v>
      </c>
      <c r="AW223" s="450">
        <v>75.92</v>
      </c>
      <c r="AX223" s="450">
        <v>75.98</v>
      </c>
      <c r="AY223" s="450">
        <v>76.05</v>
      </c>
      <c r="AZ223" s="450">
        <v>76.11</v>
      </c>
      <c r="BA223" s="450">
        <v>76.38</v>
      </c>
      <c r="BB223" s="450">
        <v>76.56</v>
      </c>
      <c r="BC223" s="450">
        <v>76.69</v>
      </c>
      <c r="BD223" s="450">
        <v>76.77</v>
      </c>
      <c r="BE223" s="450">
        <v>76.81</v>
      </c>
    </row>
    <row r="224" spans="2:57" x14ac:dyDescent="0.25">
      <c r="B224" s="134">
        <v>56</v>
      </c>
      <c r="C224" s="450">
        <v>74.17</v>
      </c>
      <c r="D224" s="450">
        <v>74.25</v>
      </c>
      <c r="E224" s="450">
        <v>74.33</v>
      </c>
      <c r="F224" s="450">
        <v>74.41</v>
      </c>
      <c r="G224" s="450">
        <v>74.48</v>
      </c>
      <c r="H224" s="450">
        <v>74.56</v>
      </c>
      <c r="I224" s="450">
        <v>74.63</v>
      </c>
      <c r="J224" s="450">
        <v>74.7</v>
      </c>
      <c r="K224" s="450">
        <v>74.77</v>
      </c>
      <c r="L224" s="450">
        <v>74.83</v>
      </c>
      <c r="M224" s="450">
        <v>74.89</v>
      </c>
      <c r="N224" s="450">
        <v>74.95</v>
      </c>
      <c r="O224" s="450">
        <v>75.2</v>
      </c>
      <c r="P224" s="450">
        <v>75.36</v>
      </c>
      <c r="Q224" s="450">
        <v>75.47</v>
      </c>
      <c r="R224" s="450">
        <v>75.540000000000006</v>
      </c>
      <c r="S224" s="450">
        <v>75.58</v>
      </c>
      <c r="T224" s="133"/>
      <c r="U224" s="134">
        <v>56</v>
      </c>
      <c r="V224" s="450">
        <v>74.67</v>
      </c>
      <c r="W224" s="450">
        <v>74.760000000000005</v>
      </c>
      <c r="X224" s="450">
        <v>74.84</v>
      </c>
      <c r="Y224" s="450">
        <v>74.930000000000007</v>
      </c>
      <c r="Z224" s="450">
        <v>75</v>
      </c>
      <c r="AA224" s="450">
        <v>75.08</v>
      </c>
      <c r="AB224" s="450">
        <v>75.16</v>
      </c>
      <c r="AC224" s="450">
        <v>75.23</v>
      </c>
      <c r="AD224" s="450">
        <v>75.3</v>
      </c>
      <c r="AE224" s="450">
        <v>75.37</v>
      </c>
      <c r="AF224" s="450">
        <v>75.430000000000007</v>
      </c>
      <c r="AG224" s="450">
        <v>75.489999999999995</v>
      </c>
      <c r="AH224" s="450">
        <v>75.75</v>
      </c>
      <c r="AI224" s="450">
        <v>75.92</v>
      </c>
      <c r="AJ224" s="450">
        <v>76.040000000000006</v>
      </c>
      <c r="AK224" s="450">
        <v>76.12</v>
      </c>
      <c r="AL224" s="450">
        <v>76.16</v>
      </c>
      <c r="AM224" s="133"/>
      <c r="AN224" s="134">
        <v>56</v>
      </c>
      <c r="AO224" s="450">
        <v>75.459999999999994</v>
      </c>
      <c r="AP224" s="450">
        <v>75.55</v>
      </c>
      <c r="AQ224" s="450">
        <v>75.64</v>
      </c>
      <c r="AR224" s="450">
        <v>75.72</v>
      </c>
      <c r="AS224" s="450">
        <v>75.81</v>
      </c>
      <c r="AT224" s="450">
        <v>75.89</v>
      </c>
      <c r="AU224" s="450">
        <v>75.959999999999994</v>
      </c>
      <c r="AV224" s="450">
        <v>76.040000000000006</v>
      </c>
      <c r="AW224" s="450">
        <v>76.11</v>
      </c>
      <c r="AX224" s="450">
        <v>76.180000000000007</v>
      </c>
      <c r="AY224" s="450">
        <v>76.25</v>
      </c>
      <c r="AZ224" s="450">
        <v>76.319999999999993</v>
      </c>
      <c r="BA224" s="450">
        <v>76.59</v>
      </c>
      <c r="BB224" s="450">
        <v>76.77</v>
      </c>
      <c r="BC224" s="450">
        <v>76.900000000000006</v>
      </c>
      <c r="BD224" s="450">
        <v>76.98</v>
      </c>
      <c r="BE224" s="450">
        <v>77.010000000000005</v>
      </c>
    </row>
    <row r="225" spans="2:57" x14ac:dyDescent="0.25">
      <c r="B225" s="134">
        <v>57</v>
      </c>
      <c r="C225" s="450">
        <v>74.34</v>
      </c>
      <c r="D225" s="450">
        <v>74.42</v>
      </c>
      <c r="E225" s="450">
        <v>74.510000000000005</v>
      </c>
      <c r="F225" s="450">
        <v>74.59</v>
      </c>
      <c r="G225" s="450">
        <v>74.66</v>
      </c>
      <c r="H225" s="450">
        <v>74.739999999999995</v>
      </c>
      <c r="I225" s="450">
        <v>74.81</v>
      </c>
      <c r="J225" s="450">
        <v>74.88</v>
      </c>
      <c r="K225" s="450">
        <v>74.95</v>
      </c>
      <c r="L225" s="450">
        <v>75.02</v>
      </c>
      <c r="M225" s="450">
        <v>75.08</v>
      </c>
      <c r="N225" s="450">
        <v>75.14</v>
      </c>
      <c r="O225" s="450">
        <v>75.38</v>
      </c>
      <c r="P225" s="450">
        <v>75.55</v>
      </c>
      <c r="Q225" s="450">
        <v>75.67</v>
      </c>
      <c r="R225" s="450">
        <v>75.739999999999995</v>
      </c>
      <c r="S225" s="450">
        <v>75.77</v>
      </c>
      <c r="T225" s="133"/>
      <c r="U225" s="134">
        <v>57</v>
      </c>
      <c r="V225" s="450">
        <v>74.849999999999994</v>
      </c>
      <c r="W225" s="450">
        <v>74.94</v>
      </c>
      <c r="X225" s="450">
        <v>75.03</v>
      </c>
      <c r="Y225" s="450">
        <v>75.11</v>
      </c>
      <c r="Z225" s="450">
        <v>75.19</v>
      </c>
      <c r="AA225" s="450">
        <v>75.27</v>
      </c>
      <c r="AB225" s="450">
        <v>75.349999999999994</v>
      </c>
      <c r="AC225" s="450">
        <v>75.42</v>
      </c>
      <c r="AD225" s="450">
        <v>75.489999999999995</v>
      </c>
      <c r="AE225" s="450">
        <v>75.56</v>
      </c>
      <c r="AF225" s="450">
        <v>75.63</v>
      </c>
      <c r="AG225" s="450">
        <v>75.69</v>
      </c>
      <c r="AH225" s="450">
        <v>75.95</v>
      </c>
      <c r="AI225" s="450">
        <v>76.12</v>
      </c>
      <c r="AJ225" s="450">
        <v>76.25</v>
      </c>
      <c r="AK225" s="450">
        <v>76.33</v>
      </c>
      <c r="AL225" s="450">
        <v>76.37</v>
      </c>
      <c r="AM225" s="133"/>
      <c r="AN225" s="134">
        <v>57</v>
      </c>
      <c r="AO225" s="450">
        <v>75.650000000000006</v>
      </c>
      <c r="AP225" s="450">
        <v>75.739999999999995</v>
      </c>
      <c r="AQ225" s="450">
        <v>75.83</v>
      </c>
      <c r="AR225" s="450">
        <v>75.91</v>
      </c>
      <c r="AS225" s="450">
        <v>76</v>
      </c>
      <c r="AT225" s="450">
        <v>76.08</v>
      </c>
      <c r="AU225" s="450">
        <v>76.16</v>
      </c>
      <c r="AV225" s="450">
        <v>76.239999999999995</v>
      </c>
      <c r="AW225" s="450">
        <v>76.319999999999993</v>
      </c>
      <c r="AX225" s="450">
        <v>76.39</v>
      </c>
      <c r="AY225" s="450">
        <v>76.459999999999994</v>
      </c>
      <c r="AZ225" s="450">
        <v>76.52</v>
      </c>
      <c r="BA225" s="450">
        <v>76.790000000000006</v>
      </c>
      <c r="BB225" s="450">
        <v>76.98</v>
      </c>
      <c r="BC225" s="450">
        <v>77.11</v>
      </c>
      <c r="BD225" s="450">
        <v>77.19</v>
      </c>
      <c r="BE225" s="450">
        <v>77.23</v>
      </c>
    </row>
    <row r="226" spans="2:57" x14ac:dyDescent="0.25">
      <c r="B226" s="134">
        <v>58</v>
      </c>
      <c r="C226" s="450">
        <v>74.510000000000005</v>
      </c>
      <c r="D226" s="450">
        <v>74.599999999999994</v>
      </c>
      <c r="E226" s="450">
        <v>74.69</v>
      </c>
      <c r="F226" s="450">
        <v>74.77</v>
      </c>
      <c r="G226" s="450">
        <v>74.849999999999994</v>
      </c>
      <c r="H226" s="450">
        <v>74.930000000000007</v>
      </c>
      <c r="I226" s="450">
        <v>75</v>
      </c>
      <c r="J226" s="450">
        <v>75.069999999999993</v>
      </c>
      <c r="K226" s="450">
        <v>75.14</v>
      </c>
      <c r="L226" s="450">
        <v>75.209999999999994</v>
      </c>
      <c r="M226" s="450">
        <v>75.28</v>
      </c>
      <c r="N226" s="450">
        <v>75.34</v>
      </c>
      <c r="O226" s="450">
        <v>75.58</v>
      </c>
      <c r="P226" s="450">
        <v>75.75</v>
      </c>
      <c r="Q226" s="450">
        <v>75.87</v>
      </c>
      <c r="R226" s="450">
        <v>75.94</v>
      </c>
      <c r="S226" s="450">
        <v>75.98</v>
      </c>
      <c r="T226" s="133"/>
      <c r="U226" s="134">
        <v>58</v>
      </c>
      <c r="V226" s="450">
        <v>75.040000000000006</v>
      </c>
      <c r="W226" s="450">
        <v>75.13</v>
      </c>
      <c r="X226" s="450">
        <v>75.209999999999994</v>
      </c>
      <c r="Y226" s="450">
        <v>75.3</v>
      </c>
      <c r="Z226" s="450">
        <v>75.38</v>
      </c>
      <c r="AA226" s="450">
        <v>75.459999999999994</v>
      </c>
      <c r="AB226" s="450">
        <v>75.540000000000006</v>
      </c>
      <c r="AC226" s="450">
        <v>75.62</v>
      </c>
      <c r="AD226" s="450">
        <v>75.69</v>
      </c>
      <c r="AE226" s="450">
        <v>75.760000000000005</v>
      </c>
      <c r="AF226" s="450">
        <v>75.83</v>
      </c>
      <c r="AG226" s="450">
        <v>75.89</v>
      </c>
      <c r="AH226" s="450">
        <v>76.150000000000006</v>
      </c>
      <c r="AI226" s="450">
        <v>76.34</v>
      </c>
      <c r="AJ226" s="450">
        <v>76.459999999999994</v>
      </c>
      <c r="AK226" s="450">
        <v>76.540000000000006</v>
      </c>
      <c r="AL226" s="450">
        <v>76.58</v>
      </c>
      <c r="AM226" s="133"/>
      <c r="AN226" s="134">
        <v>58</v>
      </c>
      <c r="AO226" s="450">
        <v>75.84</v>
      </c>
      <c r="AP226" s="450">
        <v>75.930000000000007</v>
      </c>
      <c r="AQ226" s="450">
        <v>76.02</v>
      </c>
      <c r="AR226" s="450">
        <v>76.11</v>
      </c>
      <c r="AS226" s="450">
        <v>76.2</v>
      </c>
      <c r="AT226" s="450">
        <v>76.290000000000006</v>
      </c>
      <c r="AU226" s="450">
        <v>76.37</v>
      </c>
      <c r="AV226" s="450">
        <v>76.45</v>
      </c>
      <c r="AW226" s="450">
        <v>76.53</v>
      </c>
      <c r="AX226" s="450">
        <v>76.599999999999994</v>
      </c>
      <c r="AY226" s="450">
        <v>76.67</v>
      </c>
      <c r="AZ226" s="450">
        <v>76.739999999999995</v>
      </c>
      <c r="BA226" s="450">
        <v>77.010000000000005</v>
      </c>
      <c r="BB226" s="450">
        <v>77.2</v>
      </c>
      <c r="BC226" s="450">
        <v>77.34</v>
      </c>
      <c r="BD226" s="450">
        <v>77.41</v>
      </c>
      <c r="BE226" s="450">
        <v>77.45</v>
      </c>
    </row>
    <row r="227" spans="2:57" x14ac:dyDescent="0.25">
      <c r="B227" s="134">
        <v>59</v>
      </c>
      <c r="C227" s="450">
        <v>74.69</v>
      </c>
      <c r="D227" s="450">
        <v>74.78</v>
      </c>
      <c r="E227" s="450">
        <v>74.87</v>
      </c>
      <c r="F227" s="450">
        <v>74.95</v>
      </c>
      <c r="G227" s="450">
        <v>75.040000000000006</v>
      </c>
      <c r="H227" s="450">
        <v>75.12</v>
      </c>
      <c r="I227" s="450">
        <v>75.19</v>
      </c>
      <c r="J227" s="450">
        <v>75.27</v>
      </c>
      <c r="K227" s="450">
        <v>75.34</v>
      </c>
      <c r="L227" s="450">
        <v>75.41</v>
      </c>
      <c r="M227" s="450">
        <v>75.48</v>
      </c>
      <c r="N227" s="450">
        <v>75.540000000000006</v>
      </c>
      <c r="O227" s="450">
        <v>75.790000000000006</v>
      </c>
      <c r="P227" s="450">
        <v>75.959999999999994</v>
      </c>
      <c r="Q227" s="450">
        <v>76.09</v>
      </c>
      <c r="R227" s="450">
        <v>76.16</v>
      </c>
      <c r="S227" s="450">
        <v>76.19</v>
      </c>
      <c r="T227" s="133"/>
      <c r="U227" s="134">
        <v>59</v>
      </c>
      <c r="V227" s="450">
        <v>75.22</v>
      </c>
      <c r="W227" s="450">
        <v>75.31</v>
      </c>
      <c r="X227" s="450">
        <v>75.400000000000006</v>
      </c>
      <c r="Y227" s="450">
        <v>75.489999999999995</v>
      </c>
      <c r="Z227" s="450">
        <v>75.58</v>
      </c>
      <c r="AA227" s="450">
        <v>75.66</v>
      </c>
      <c r="AB227" s="450">
        <v>75.739999999999995</v>
      </c>
      <c r="AC227" s="450">
        <v>75.819999999999993</v>
      </c>
      <c r="AD227" s="450">
        <v>75.900000000000006</v>
      </c>
      <c r="AE227" s="450">
        <v>75.97</v>
      </c>
      <c r="AF227" s="450">
        <v>76.040000000000006</v>
      </c>
      <c r="AG227" s="450">
        <v>76.11</v>
      </c>
      <c r="AH227" s="450">
        <v>76.37</v>
      </c>
      <c r="AI227" s="450">
        <v>76.56</v>
      </c>
      <c r="AJ227" s="450">
        <v>76.69</v>
      </c>
      <c r="AK227" s="450">
        <v>76.77</v>
      </c>
      <c r="AL227" s="450">
        <v>76.8</v>
      </c>
      <c r="AM227" s="133"/>
      <c r="AN227" s="134">
        <v>59</v>
      </c>
      <c r="AO227" s="450">
        <v>76.03</v>
      </c>
      <c r="AP227" s="450">
        <v>76.13</v>
      </c>
      <c r="AQ227" s="450">
        <v>76.22</v>
      </c>
      <c r="AR227" s="450">
        <v>76.319999999999993</v>
      </c>
      <c r="AS227" s="450">
        <v>76.41</v>
      </c>
      <c r="AT227" s="450">
        <v>76.489999999999995</v>
      </c>
      <c r="AU227" s="450">
        <v>76.58</v>
      </c>
      <c r="AV227" s="450">
        <v>76.66</v>
      </c>
      <c r="AW227" s="450">
        <v>76.739999999999995</v>
      </c>
      <c r="AX227" s="450">
        <v>76.819999999999993</v>
      </c>
      <c r="AY227" s="450">
        <v>76.89</v>
      </c>
      <c r="AZ227" s="450">
        <v>76.959999999999994</v>
      </c>
      <c r="BA227" s="450">
        <v>77.239999999999995</v>
      </c>
      <c r="BB227" s="450">
        <v>77.44</v>
      </c>
      <c r="BC227" s="450">
        <v>77.569999999999993</v>
      </c>
      <c r="BD227" s="450">
        <v>77.650000000000006</v>
      </c>
      <c r="BE227" s="450">
        <v>77.680000000000007</v>
      </c>
    </row>
    <row r="228" spans="2:57" x14ac:dyDescent="0.25">
      <c r="B228" s="134">
        <v>60</v>
      </c>
      <c r="C228" s="450">
        <v>74.88</v>
      </c>
      <c r="D228" s="450">
        <v>74.97</v>
      </c>
      <c r="E228" s="450">
        <v>75.06</v>
      </c>
      <c r="F228" s="450">
        <v>75.150000000000006</v>
      </c>
      <c r="G228" s="450">
        <v>75.23</v>
      </c>
      <c r="H228" s="450">
        <v>75.31</v>
      </c>
      <c r="I228" s="450">
        <v>75.39</v>
      </c>
      <c r="J228" s="450">
        <v>75.47</v>
      </c>
      <c r="K228" s="450">
        <v>75.55</v>
      </c>
      <c r="L228" s="450">
        <v>75.62</v>
      </c>
      <c r="M228" s="450">
        <v>75.680000000000007</v>
      </c>
      <c r="N228" s="450">
        <v>75.75</v>
      </c>
      <c r="O228" s="450">
        <v>76</v>
      </c>
      <c r="P228" s="450">
        <v>76.180000000000007</v>
      </c>
      <c r="Q228" s="450">
        <v>76.31</v>
      </c>
      <c r="R228" s="450">
        <v>76.38</v>
      </c>
      <c r="S228" s="450">
        <v>76.41</v>
      </c>
      <c r="T228" s="133"/>
      <c r="U228" s="134">
        <v>60</v>
      </c>
      <c r="V228" s="450">
        <v>75.41</v>
      </c>
      <c r="W228" s="450">
        <v>75.510000000000005</v>
      </c>
      <c r="X228" s="450">
        <v>75.599999999999994</v>
      </c>
      <c r="Y228" s="450">
        <v>75.69</v>
      </c>
      <c r="Z228" s="450">
        <v>75.78</v>
      </c>
      <c r="AA228" s="450">
        <v>75.87</v>
      </c>
      <c r="AB228" s="450">
        <v>75.95</v>
      </c>
      <c r="AC228" s="450">
        <v>76.03</v>
      </c>
      <c r="AD228" s="450">
        <v>76.11</v>
      </c>
      <c r="AE228" s="450">
        <v>76.19</v>
      </c>
      <c r="AF228" s="450">
        <v>76.260000000000005</v>
      </c>
      <c r="AG228" s="450">
        <v>76.319999999999993</v>
      </c>
      <c r="AH228" s="450">
        <v>76.59</v>
      </c>
      <c r="AI228" s="450">
        <v>76.790000000000006</v>
      </c>
      <c r="AJ228" s="450">
        <v>76.92</v>
      </c>
      <c r="AK228" s="450">
        <v>77</v>
      </c>
      <c r="AL228" s="450">
        <v>77.040000000000006</v>
      </c>
      <c r="AM228" s="133"/>
      <c r="AN228" s="134">
        <v>60</v>
      </c>
      <c r="AO228" s="450">
        <v>76.23</v>
      </c>
      <c r="AP228" s="450">
        <v>76.33</v>
      </c>
      <c r="AQ228" s="450">
        <v>76.430000000000007</v>
      </c>
      <c r="AR228" s="450">
        <v>76.53</v>
      </c>
      <c r="AS228" s="450">
        <v>76.62</v>
      </c>
      <c r="AT228" s="450">
        <v>76.709999999999994</v>
      </c>
      <c r="AU228" s="450">
        <v>76.8</v>
      </c>
      <c r="AV228" s="450">
        <v>76.88</v>
      </c>
      <c r="AW228" s="450">
        <v>76.97</v>
      </c>
      <c r="AX228" s="450">
        <v>77.040000000000006</v>
      </c>
      <c r="AY228" s="450">
        <v>77.12</v>
      </c>
      <c r="AZ228" s="450">
        <v>77.19</v>
      </c>
      <c r="BA228" s="450">
        <v>77.47</v>
      </c>
      <c r="BB228" s="450">
        <v>77.680000000000007</v>
      </c>
      <c r="BC228" s="450">
        <v>77.819999999999993</v>
      </c>
      <c r="BD228" s="450">
        <v>77.900000000000006</v>
      </c>
      <c r="BE228" s="450">
        <v>77.930000000000007</v>
      </c>
    </row>
    <row r="229" spans="2:57" x14ac:dyDescent="0.25">
      <c r="B229" s="134">
        <v>61</v>
      </c>
      <c r="C229" s="450">
        <v>75.069999999999993</v>
      </c>
      <c r="D229" s="450">
        <v>75.16</v>
      </c>
      <c r="E229" s="450">
        <v>75.260000000000005</v>
      </c>
      <c r="F229" s="450">
        <v>75.349999999999994</v>
      </c>
      <c r="G229" s="450">
        <v>75.430000000000007</v>
      </c>
      <c r="H229" s="450">
        <v>75.52</v>
      </c>
      <c r="I229" s="450">
        <v>75.599999999999994</v>
      </c>
      <c r="J229" s="450">
        <v>75.680000000000007</v>
      </c>
      <c r="K229" s="450">
        <v>75.760000000000005</v>
      </c>
      <c r="L229" s="450">
        <v>75.83</v>
      </c>
      <c r="M229" s="450">
        <v>75.900000000000006</v>
      </c>
      <c r="N229" s="450">
        <v>75.959999999999994</v>
      </c>
      <c r="O229" s="450">
        <v>76.22</v>
      </c>
      <c r="P229" s="450">
        <v>76.41</v>
      </c>
      <c r="Q229" s="450">
        <v>76.540000000000006</v>
      </c>
      <c r="R229" s="450">
        <v>76.62</v>
      </c>
      <c r="S229" s="450">
        <v>76.650000000000006</v>
      </c>
      <c r="T229" s="133"/>
      <c r="U229" s="134">
        <v>61</v>
      </c>
      <c r="V229" s="450">
        <v>75.61</v>
      </c>
      <c r="W229" s="450">
        <v>75.709999999999994</v>
      </c>
      <c r="X229" s="450">
        <v>75.81</v>
      </c>
      <c r="Y229" s="450">
        <v>75.900000000000006</v>
      </c>
      <c r="Z229" s="450">
        <v>75.989999999999995</v>
      </c>
      <c r="AA229" s="450">
        <v>76.08</v>
      </c>
      <c r="AB229" s="450">
        <v>76.17</v>
      </c>
      <c r="AC229" s="450">
        <v>76.25</v>
      </c>
      <c r="AD229" s="450">
        <v>76.33</v>
      </c>
      <c r="AE229" s="450">
        <v>76.41</v>
      </c>
      <c r="AF229" s="450">
        <v>76.48</v>
      </c>
      <c r="AG229" s="450">
        <v>76.55</v>
      </c>
      <c r="AH229" s="450">
        <v>76.819999999999993</v>
      </c>
      <c r="AI229" s="450">
        <v>77.03</v>
      </c>
      <c r="AJ229" s="450">
        <v>77.17</v>
      </c>
      <c r="AK229" s="450">
        <v>77.25</v>
      </c>
      <c r="AL229" s="450">
        <v>77.290000000000006</v>
      </c>
      <c r="AM229" s="133"/>
      <c r="AN229" s="134">
        <v>61</v>
      </c>
      <c r="AO229" s="450">
        <v>76.44</v>
      </c>
      <c r="AP229" s="450">
        <v>76.540000000000006</v>
      </c>
      <c r="AQ229" s="450">
        <v>76.650000000000006</v>
      </c>
      <c r="AR229" s="450">
        <v>76.739999999999995</v>
      </c>
      <c r="AS229" s="450">
        <v>76.84</v>
      </c>
      <c r="AT229" s="450">
        <v>76.930000000000007</v>
      </c>
      <c r="AU229" s="450">
        <v>77.03</v>
      </c>
      <c r="AV229" s="450">
        <v>77.11</v>
      </c>
      <c r="AW229" s="450">
        <v>77.2</v>
      </c>
      <c r="AX229" s="450">
        <v>77.28</v>
      </c>
      <c r="AY229" s="450">
        <v>77.36</v>
      </c>
      <c r="AZ229" s="450">
        <v>77.430000000000007</v>
      </c>
      <c r="BA229" s="450">
        <v>77.72</v>
      </c>
      <c r="BB229" s="450">
        <v>77.930000000000007</v>
      </c>
      <c r="BC229" s="450">
        <v>78.08</v>
      </c>
      <c r="BD229" s="450">
        <v>78.150000000000006</v>
      </c>
      <c r="BE229" s="450">
        <v>78.180000000000007</v>
      </c>
    </row>
    <row r="230" spans="2:57" x14ac:dyDescent="0.25">
      <c r="B230" s="134">
        <v>62</v>
      </c>
      <c r="C230" s="450">
        <v>75.27</v>
      </c>
      <c r="D230" s="450">
        <v>75.36</v>
      </c>
      <c r="E230" s="450">
        <v>75.459999999999994</v>
      </c>
      <c r="F230" s="450">
        <v>75.55</v>
      </c>
      <c r="G230" s="450">
        <v>75.64</v>
      </c>
      <c r="H230" s="450">
        <v>75.73</v>
      </c>
      <c r="I230" s="450">
        <v>75.819999999999993</v>
      </c>
      <c r="J230" s="450">
        <v>75.900000000000006</v>
      </c>
      <c r="K230" s="450">
        <v>75.98</v>
      </c>
      <c r="L230" s="450">
        <v>76.05</v>
      </c>
      <c r="M230" s="450">
        <v>76.12</v>
      </c>
      <c r="N230" s="450">
        <v>76.180000000000007</v>
      </c>
      <c r="O230" s="450">
        <v>76.45</v>
      </c>
      <c r="P230" s="450">
        <v>76.650000000000006</v>
      </c>
      <c r="Q230" s="450">
        <v>76.78</v>
      </c>
      <c r="R230" s="450">
        <v>76.86</v>
      </c>
      <c r="S230" s="450">
        <v>76.89</v>
      </c>
      <c r="T230" s="133"/>
      <c r="U230" s="134">
        <v>62</v>
      </c>
      <c r="V230" s="450">
        <v>75.819999999999993</v>
      </c>
      <c r="W230" s="450">
        <v>75.92</v>
      </c>
      <c r="X230" s="450">
        <v>76.02</v>
      </c>
      <c r="Y230" s="450">
        <v>76.12</v>
      </c>
      <c r="Z230" s="450">
        <v>76.209999999999994</v>
      </c>
      <c r="AA230" s="450">
        <v>76.3</v>
      </c>
      <c r="AB230" s="450">
        <v>76.39</v>
      </c>
      <c r="AC230" s="450">
        <v>76.48</v>
      </c>
      <c r="AD230" s="450">
        <v>76.56</v>
      </c>
      <c r="AE230" s="450">
        <v>76.64</v>
      </c>
      <c r="AF230" s="450">
        <v>76.709999999999994</v>
      </c>
      <c r="AG230" s="450">
        <v>76.78</v>
      </c>
      <c r="AH230" s="450">
        <v>77.069999999999993</v>
      </c>
      <c r="AI230" s="450">
        <v>77.28</v>
      </c>
      <c r="AJ230" s="450">
        <v>77.430000000000007</v>
      </c>
      <c r="AK230" s="450">
        <v>77.510000000000005</v>
      </c>
      <c r="AL230" s="450">
        <v>77.55</v>
      </c>
      <c r="AM230" s="133"/>
      <c r="AN230" s="134">
        <v>62</v>
      </c>
      <c r="AO230" s="450">
        <v>76.66</v>
      </c>
      <c r="AP230" s="450">
        <v>76.760000000000005</v>
      </c>
      <c r="AQ230" s="450">
        <v>76.87</v>
      </c>
      <c r="AR230" s="450">
        <v>76.97</v>
      </c>
      <c r="AS230" s="450">
        <v>77.069999999999993</v>
      </c>
      <c r="AT230" s="450">
        <v>77.17</v>
      </c>
      <c r="AU230" s="450">
        <v>77.260000000000005</v>
      </c>
      <c r="AV230" s="450">
        <v>77.349999999999994</v>
      </c>
      <c r="AW230" s="450">
        <v>77.44</v>
      </c>
      <c r="AX230" s="450">
        <v>77.53</v>
      </c>
      <c r="AY230" s="450">
        <v>77.599999999999994</v>
      </c>
      <c r="AZ230" s="450">
        <v>77.67</v>
      </c>
      <c r="BA230" s="450">
        <v>77.98</v>
      </c>
      <c r="BB230" s="450">
        <v>78.2</v>
      </c>
      <c r="BC230" s="450">
        <v>78.34</v>
      </c>
      <c r="BD230" s="450">
        <v>78.42</v>
      </c>
      <c r="BE230" s="450">
        <v>78.45</v>
      </c>
    </row>
    <row r="231" spans="2:57" x14ac:dyDescent="0.25">
      <c r="B231" s="134">
        <v>63</v>
      </c>
      <c r="C231" s="450">
        <v>75.47</v>
      </c>
      <c r="D231" s="450">
        <v>75.569999999999993</v>
      </c>
      <c r="E231" s="450">
        <v>75.67</v>
      </c>
      <c r="F231" s="450">
        <v>75.77</v>
      </c>
      <c r="G231" s="450">
        <v>75.86</v>
      </c>
      <c r="H231" s="450">
        <v>75.95</v>
      </c>
      <c r="I231" s="450">
        <v>76.040000000000006</v>
      </c>
      <c r="J231" s="450">
        <v>76.12</v>
      </c>
      <c r="K231" s="450">
        <v>76.209999999999994</v>
      </c>
      <c r="L231" s="450">
        <v>76.28</v>
      </c>
      <c r="M231" s="450">
        <v>76.349999999999994</v>
      </c>
      <c r="N231" s="450">
        <v>76.41</v>
      </c>
      <c r="O231" s="450">
        <v>76.7</v>
      </c>
      <c r="P231" s="450">
        <v>76.900000000000006</v>
      </c>
      <c r="Q231" s="450">
        <v>77.03</v>
      </c>
      <c r="R231" s="450">
        <v>77.11</v>
      </c>
      <c r="S231" s="450">
        <v>77.14</v>
      </c>
      <c r="T231" s="133"/>
      <c r="U231" s="134">
        <v>63</v>
      </c>
      <c r="V231" s="450">
        <v>76.03</v>
      </c>
      <c r="W231" s="450">
        <v>76.13</v>
      </c>
      <c r="X231" s="450">
        <v>76.239999999999995</v>
      </c>
      <c r="Y231" s="450">
        <v>76.34</v>
      </c>
      <c r="Z231" s="450">
        <v>76.44</v>
      </c>
      <c r="AA231" s="450">
        <v>76.53</v>
      </c>
      <c r="AB231" s="450">
        <v>76.63</v>
      </c>
      <c r="AC231" s="450">
        <v>76.72</v>
      </c>
      <c r="AD231" s="450">
        <v>76.8</v>
      </c>
      <c r="AE231" s="450">
        <v>76.88</v>
      </c>
      <c r="AF231" s="450">
        <v>76.95</v>
      </c>
      <c r="AG231" s="450">
        <v>77.02</v>
      </c>
      <c r="AH231" s="450">
        <v>77.33</v>
      </c>
      <c r="AI231" s="450">
        <v>77.55</v>
      </c>
      <c r="AJ231" s="450">
        <v>77.69</v>
      </c>
      <c r="AK231" s="450">
        <v>77.78</v>
      </c>
      <c r="AL231" s="450">
        <v>77.81</v>
      </c>
      <c r="AM231" s="133"/>
      <c r="AN231" s="134">
        <v>63</v>
      </c>
      <c r="AO231" s="450">
        <v>76.88</v>
      </c>
      <c r="AP231" s="450">
        <v>76.989999999999995</v>
      </c>
      <c r="AQ231" s="450">
        <v>77.099999999999994</v>
      </c>
      <c r="AR231" s="450">
        <v>77.209999999999994</v>
      </c>
      <c r="AS231" s="450">
        <v>77.31</v>
      </c>
      <c r="AT231" s="450">
        <v>77.41</v>
      </c>
      <c r="AU231" s="450">
        <v>77.510000000000005</v>
      </c>
      <c r="AV231" s="450">
        <v>77.599999999999994</v>
      </c>
      <c r="AW231" s="450">
        <v>77.7</v>
      </c>
      <c r="AX231" s="450">
        <v>77.78</v>
      </c>
      <c r="AY231" s="450">
        <v>77.849999999999994</v>
      </c>
      <c r="AZ231" s="450">
        <v>77.930000000000007</v>
      </c>
      <c r="BA231" s="450">
        <v>78.25</v>
      </c>
      <c r="BB231" s="450">
        <v>78.48</v>
      </c>
      <c r="BC231" s="450">
        <v>78.62</v>
      </c>
      <c r="BD231" s="450">
        <v>78.7</v>
      </c>
      <c r="BE231" s="450">
        <v>78.73</v>
      </c>
    </row>
    <row r="232" spans="2:57" x14ac:dyDescent="0.25">
      <c r="B232" s="134">
        <v>64</v>
      </c>
      <c r="C232" s="450">
        <v>75.680000000000007</v>
      </c>
      <c r="D232" s="450">
        <v>75.78</v>
      </c>
      <c r="E232" s="450">
        <v>75.89</v>
      </c>
      <c r="F232" s="450">
        <v>75.989999999999995</v>
      </c>
      <c r="G232" s="450">
        <v>76.08</v>
      </c>
      <c r="H232" s="450">
        <v>76.180000000000007</v>
      </c>
      <c r="I232" s="450">
        <v>76.27</v>
      </c>
      <c r="J232" s="450">
        <v>76.36</v>
      </c>
      <c r="K232" s="450">
        <v>76.44</v>
      </c>
      <c r="L232" s="450">
        <v>76.510000000000005</v>
      </c>
      <c r="M232" s="450">
        <v>76.58</v>
      </c>
      <c r="N232" s="450">
        <v>76.650000000000006</v>
      </c>
      <c r="O232" s="450">
        <v>76.95</v>
      </c>
      <c r="P232" s="450">
        <v>77.16</v>
      </c>
      <c r="Q232" s="450">
        <v>77.290000000000006</v>
      </c>
      <c r="R232" s="450">
        <v>77.36</v>
      </c>
      <c r="S232" s="450">
        <v>77.39</v>
      </c>
      <c r="T232" s="133"/>
      <c r="U232" s="134">
        <v>64</v>
      </c>
      <c r="V232" s="450">
        <v>76.25</v>
      </c>
      <c r="W232" s="450">
        <v>76.36</v>
      </c>
      <c r="X232" s="450">
        <v>76.47</v>
      </c>
      <c r="Y232" s="450">
        <v>76.569999999999993</v>
      </c>
      <c r="Z232" s="450">
        <v>76.67</v>
      </c>
      <c r="AA232" s="450">
        <v>76.77</v>
      </c>
      <c r="AB232" s="450">
        <v>76.87</v>
      </c>
      <c r="AC232" s="450">
        <v>76.959999999999994</v>
      </c>
      <c r="AD232" s="450">
        <v>77.05</v>
      </c>
      <c r="AE232" s="450">
        <v>77.13</v>
      </c>
      <c r="AF232" s="450">
        <v>77.2</v>
      </c>
      <c r="AG232" s="450">
        <v>77.28</v>
      </c>
      <c r="AH232" s="450">
        <v>77.59</v>
      </c>
      <c r="AI232" s="450">
        <v>77.819999999999993</v>
      </c>
      <c r="AJ232" s="450">
        <v>77.97</v>
      </c>
      <c r="AK232" s="450">
        <v>78.05</v>
      </c>
      <c r="AL232" s="450">
        <v>78.08</v>
      </c>
      <c r="AM232" s="133"/>
      <c r="AN232" s="134">
        <v>64</v>
      </c>
      <c r="AO232" s="450">
        <v>77.11</v>
      </c>
      <c r="AP232" s="450">
        <v>77.23</v>
      </c>
      <c r="AQ232" s="450">
        <v>77.34</v>
      </c>
      <c r="AR232" s="450">
        <v>77.45</v>
      </c>
      <c r="AS232" s="450">
        <v>77.56</v>
      </c>
      <c r="AT232" s="450">
        <v>77.67</v>
      </c>
      <c r="AU232" s="450">
        <v>77.77</v>
      </c>
      <c r="AV232" s="450">
        <v>77.87</v>
      </c>
      <c r="AW232" s="450">
        <v>77.95</v>
      </c>
      <c r="AX232" s="450">
        <v>78.040000000000006</v>
      </c>
      <c r="AY232" s="450">
        <v>78.12</v>
      </c>
      <c r="AZ232" s="450">
        <v>78.2</v>
      </c>
      <c r="BA232" s="450">
        <v>78.53</v>
      </c>
      <c r="BB232" s="450">
        <v>78.760000000000005</v>
      </c>
      <c r="BC232" s="450">
        <v>78.91</v>
      </c>
      <c r="BD232" s="450">
        <v>78.98</v>
      </c>
      <c r="BE232" s="450">
        <v>79.010000000000005</v>
      </c>
    </row>
    <row r="233" spans="2:57" x14ac:dyDescent="0.25">
      <c r="B233" s="134">
        <v>65</v>
      </c>
      <c r="C233" s="450">
        <v>75.900000000000006</v>
      </c>
      <c r="D233" s="450">
        <v>76.010000000000005</v>
      </c>
      <c r="E233" s="450">
        <v>76.11</v>
      </c>
      <c r="F233" s="450">
        <v>76.22</v>
      </c>
      <c r="G233" s="450">
        <v>76.319999999999993</v>
      </c>
      <c r="H233" s="450">
        <v>76.42</v>
      </c>
      <c r="I233" s="450">
        <v>76.510000000000005</v>
      </c>
      <c r="J233" s="450">
        <v>76.599999999999994</v>
      </c>
      <c r="K233" s="450">
        <v>76.680000000000007</v>
      </c>
      <c r="L233" s="450">
        <v>76.760000000000005</v>
      </c>
      <c r="M233" s="450">
        <v>76.83</v>
      </c>
      <c r="N233" s="450">
        <v>76.900000000000006</v>
      </c>
      <c r="O233" s="450">
        <v>77.209999999999994</v>
      </c>
      <c r="P233" s="450">
        <v>77.42</v>
      </c>
      <c r="Q233" s="450">
        <v>77.56</v>
      </c>
      <c r="R233" s="450">
        <v>77.62</v>
      </c>
      <c r="S233" s="450" t="s">
        <v>556</v>
      </c>
      <c r="T233" s="133"/>
      <c r="U233" s="134">
        <v>65</v>
      </c>
      <c r="V233" s="450">
        <v>76.48</v>
      </c>
      <c r="W233" s="450">
        <v>76.59</v>
      </c>
      <c r="X233" s="450">
        <v>76.709999999999994</v>
      </c>
      <c r="Y233" s="450">
        <v>76.819999999999993</v>
      </c>
      <c r="Z233" s="450">
        <v>76.92</v>
      </c>
      <c r="AA233" s="450">
        <v>77.03</v>
      </c>
      <c r="AB233" s="450">
        <v>77.13</v>
      </c>
      <c r="AC233" s="450">
        <v>77.22</v>
      </c>
      <c r="AD233" s="450">
        <v>77.3</v>
      </c>
      <c r="AE233" s="450">
        <v>77.39</v>
      </c>
      <c r="AF233" s="450">
        <v>77.47</v>
      </c>
      <c r="AG233" s="450">
        <v>77.540000000000006</v>
      </c>
      <c r="AH233" s="450">
        <v>77.87</v>
      </c>
      <c r="AI233" s="450">
        <v>78.099999999999994</v>
      </c>
      <c r="AJ233" s="450">
        <v>78.25</v>
      </c>
      <c r="AK233" s="450">
        <v>78.33</v>
      </c>
      <c r="AL233" s="450" t="s">
        <v>556</v>
      </c>
      <c r="AM233" s="133"/>
      <c r="AN233" s="134">
        <v>65</v>
      </c>
      <c r="AO233" s="450">
        <v>77.349999999999994</v>
      </c>
      <c r="AP233" s="450">
        <v>77.47</v>
      </c>
      <c r="AQ233" s="450">
        <v>77.59</v>
      </c>
      <c r="AR233" s="450">
        <v>77.709999999999994</v>
      </c>
      <c r="AS233" s="450">
        <v>77.819999999999993</v>
      </c>
      <c r="AT233" s="450">
        <v>77.930000000000007</v>
      </c>
      <c r="AU233" s="450">
        <v>78.040000000000006</v>
      </c>
      <c r="AV233" s="450">
        <v>78.13</v>
      </c>
      <c r="AW233" s="450">
        <v>78.22</v>
      </c>
      <c r="AX233" s="450">
        <v>78.31</v>
      </c>
      <c r="AY233" s="450">
        <v>78.400000000000006</v>
      </c>
      <c r="AZ233" s="450">
        <v>78.48</v>
      </c>
      <c r="BA233" s="450">
        <v>78.819999999999993</v>
      </c>
      <c r="BB233" s="450">
        <v>79.06</v>
      </c>
      <c r="BC233" s="450">
        <v>79.2</v>
      </c>
      <c r="BD233" s="450">
        <v>79.27</v>
      </c>
      <c r="BE233" s="450" t="s">
        <v>556</v>
      </c>
    </row>
    <row r="234" spans="2:57" x14ac:dyDescent="0.25">
      <c r="B234" s="134">
        <v>66</v>
      </c>
      <c r="C234" s="450">
        <v>76.13</v>
      </c>
      <c r="D234" s="450">
        <v>76.239999999999995</v>
      </c>
      <c r="E234" s="450">
        <v>76.349999999999994</v>
      </c>
      <c r="F234" s="450">
        <v>76.459999999999994</v>
      </c>
      <c r="G234" s="450">
        <v>76.56</v>
      </c>
      <c r="H234" s="450">
        <v>76.66</v>
      </c>
      <c r="I234" s="450">
        <v>76.760000000000005</v>
      </c>
      <c r="J234" s="450">
        <v>76.84</v>
      </c>
      <c r="K234" s="450">
        <v>76.930000000000007</v>
      </c>
      <c r="L234" s="450">
        <v>77.010000000000005</v>
      </c>
      <c r="M234" s="450">
        <v>77.09</v>
      </c>
      <c r="N234" s="450">
        <v>77.16</v>
      </c>
      <c r="O234" s="450">
        <v>77.48</v>
      </c>
      <c r="P234" s="450">
        <v>77.69</v>
      </c>
      <c r="Q234" s="450">
        <v>77.819999999999993</v>
      </c>
      <c r="R234" s="450">
        <v>77.88</v>
      </c>
      <c r="S234" s="450" t="s">
        <v>556</v>
      </c>
      <c r="T234" s="133"/>
      <c r="U234" s="134">
        <v>66</v>
      </c>
      <c r="V234" s="450">
        <v>76.72</v>
      </c>
      <c r="W234" s="450">
        <v>76.84</v>
      </c>
      <c r="X234" s="450">
        <v>76.95</v>
      </c>
      <c r="Y234" s="450">
        <v>77.069999999999993</v>
      </c>
      <c r="Z234" s="450">
        <v>77.180000000000007</v>
      </c>
      <c r="AA234" s="450">
        <v>77.290000000000006</v>
      </c>
      <c r="AB234" s="450">
        <v>77.38</v>
      </c>
      <c r="AC234" s="450">
        <v>77.48</v>
      </c>
      <c r="AD234" s="450">
        <v>77.569999999999993</v>
      </c>
      <c r="AE234" s="450">
        <v>77.66</v>
      </c>
      <c r="AF234" s="450">
        <v>77.739999999999995</v>
      </c>
      <c r="AG234" s="450">
        <v>77.819999999999993</v>
      </c>
      <c r="AH234" s="450">
        <v>78.16</v>
      </c>
      <c r="AI234" s="450">
        <v>78.39</v>
      </c>
      <c r="AJ234" s="450">
        <v>78.540000000000006</v>
      </c>
      <c r="AK234" s="450">
        <v>78.61</v>
      </c>
      <c r="AL234" s="450" t="s">
        <v>556</v>
      </c>
      <c r="AM234" s="133"/>
      <c r="AN234" s="134">
        <v>66</v>
      </c>
      <c r="AO234" s="450">
        <v>77.61</v>
      </c>
      <c r="AP234" s="450">
        <v>77.73</v>
      </c>
      <c r="AQ234" s="450">
        <v>77.849999999999994</v>
      </c>
      <c r="AR234" s="450">
        <v>77.97</v>
      </c>
      <c r="AS234" s="450">
        <v>78.09</v>
      </c>
      <c r="AT234" s="450">
        <v>78.209999999999994</v>
      </c>
      <c r="AU234" s="450">
        <v>78.31</v>
      </c>
      <c r="AV234" s="450">
        <v>78.41</v>
      </c>
      <c r="AW234" s="450">
        <v>78.5</v>
      </c>
      <c r="AX234" s="450">
        <v>78.599999999999994</v>
      </c>
      <c r="AY234" s="450">
        <v>78.69</v>
      </c>
      <c r="AZ234" s="450">
        <v>78.77</v>
      </c>
      <c r="BA234" s="450">
        <v>79.12</v>
      </c>
      <c r="BB234" s="450">
        <v>79.36</v>
      </c>
      <c r="BC234" s="450">
        <v>79.5</v>
      </c>
      <c r="BD234" s="450">
        <v>79.569999999999993</v>
      </c>
      <c r="BE234" s="450" t="s">
        <v>556</v>
      </c>
    </row>
    <row r="235" spans="2:57" x14ac:dyDescent="0.25">
      <c r="B235" s="134">
        <v>67</v>
      </c>
      <c r="C235" s="450">
        <v>76.36</v>
      </c>
      <c r="D235" s="450">
        <v>76.48</v>
      </c>
      <c r="E235" s="450">
        <v>76.59</v>
      </c>
      <c r="F235" s="450">
        <v>76.709999999999994</v>
      </c>
      <c r="G235" s="450">
        <v>76.819999999999993</v>
      </c>
      <c r="H235" s="450">
        <v>76.91</v>
      </c>
      <c r="I235" s="450">
        <v>77.010000000000005</v>
      </c>
      <c r="J235" s="450">
        <v>77.099999999999994</v>
      </c>
      <c r="K235" s="450">
        <v>77.19</v>
      </c>
      <c r="L235" s="450">
        <v>77.28</v>
      </c>
      <c r="M235" s="450">
        <v>77.36</v>
      </c>
      <c r="N235" s="450">
        <v>77.430000000000007</v>
      </c>
      <c r="O235" s="450">
        <v>77.75</v>
      </c>
      <c r="P235" s="450">
        <v>77.97</v>
      </c>
      <c r="Q235" s="450">
        <v>78.09</v>
      </c>
      <c r="R235" s="450">
        <v>78.150000000000006</v>
      </c>
      <c r="S235" s="450" t="s">
        <v>556</v>
      </c>
      <c r="T235" s="133"/>
      <c r="U235" s="134">
        <v>67</v>
      </c>
      <c r="V235" s="450">
        <v>76.97</v>
      </c>
      <c r="W235" s="450">
        <v>77.09</v>
      </c>
      <c r="X235" s="450">
        <v>77.209999999999994</v>
      </c>
      <c r="Y235" s="450">
        <v>77.33</v>
      </c>
      <c r="Z235" s="450">
        <v>77.45</v>
      </c>
      <c r="AA235" s="450">
        <v>77.55</v>
      </c>
      <c r="AB235" s="450">
        <v>77.650000000000006</v>
      </c>
      <c r="AC235" s="450">
        <v>77.75</v>
      </c>
      <c r="AD235" s="450">
        <v>77.849999999999994</v>
      </c>
      <c r="AE235" s="450">
        <v>77.94</v>
      </c>
      <c r="AF235" s="450">
        <v>78.03</v>
      </c>
      <c r="AG235" s="450">
        <v>78.11</v>
      </c>
      <c r="AH235" s="450">
        <v>78.459999999999994</v>
      </c>
      <c r="AI235" s="450">
        <v>78.69</v>
      </c>
      <c r="AJ235" s="450">
        <v>78.83</v>
      </c>
      <c r="AK235" s="450">
        <v>78.89</v>
      </c>
      <c r="AL235" s="450" t="s">
        <v>556</v>
      </c>
      <c r="AM235" s="133"/>
      <c r="AN235" s="134">
        <v>67</v>
      </c>
      <c r="AO235" s="450">
        <v>77.87</v>
      </c>
      <c r="AP235" s="450">
        <v>78</v>
      </c>
      <c r="AQ235" s="450">
        <v>78.13</v>
      </c>
      <c r="AR235" s="450">
        <v>78.25</v>
      </c>
      <c r="AS235" s="450">
        <v>78.37</v>
      </c>
      <c r="AT235" s="450">
        <v>78.489999999999995</v>
      </c>
      <c r="AU235" s="450">
        <v>78.59</v>
      </c>
      <c r="AV235" s="450">
        <v>78.7</v>
      </c>
      <c r="AW235" s="450">
        <v>78.8</v>
      </c>
      <c r="AX235" s="450">
        <v>78.89</v>
      </c>
      <c r="AY235" s="450">
        <v>78.989999999999995</v>
      </c>
      <c r="AZ235" s="450">
        <v>79.069999999999993</v>
      </c>
      <c r="BA235" s="450">
        <v>79.44</v>
      </c>
      <c r="BB235" s="450">
        <v>79.680000000000007</v>
      </c>
      <c r="BC235" s="450">
        <v>79.81</v>
      </c>
      <c r="BD235" s="450">
        <v>79.86</v>
      </c>
      <c r="BE235" s="450" t="s">
        <v>556</v>
      </c>
    </row>
    <row r="236" spans="2:57" x14ac:dyDescent="0.25">
      <c r="B236" s="134">
        <v>68</v>
      </c>
      <c r="C236" s="450">
        <v>76.61</v>
      </c>
      <c r="D236" s="450">
        <v>76.73</v>
      </c>
      <c r="E236" s="450">
        <v>76.849999999999994</v>
      </c>
      <c r="F236" s="450">
        <v>76.97</v>
      </c>
      <c r="G236" s="450">
        <v>77.069999999999993</v>
      </c>
      <c r="H236" s="450">
        <v>77.17</v>
      </c>
      <c r="I236" s="450">
        <v>77.27</v>
      </c>
      <c r="J236" s="450">
        <v>77.37</v>
      </c>
      <c r="K236" s="450">
        <v>77.459999999999994</v>
      </c>
      <c r="L236" s="450">
        <v>77.55</v>
      </c>
      <c r="M236" s="450">
        <v>77.63</v>
      </c>
      <c r="N236" s="450">
        <v>77.709999999999994</v>
      </c>
      <c r="O236" s="450">
        <v>78.040000000000006</v>
      </c>
      <c r="P236" s="450">
        <v>78.25</v>
      </c>
      <c r="Q236" s="450">
        <v>78.36</v>
      </c>
      <c r="R236" s="450">
        <v>78.41</v>
      </c>
      <c r="S236" s="450" t="s">
        <v>556</v>
      </c>
      <c r="T236" s="133"/>
      <c r="U236" s="134">
        <v>68</v>
      </c>
      <c r="V236" s="450">
        <v>77.23</v>
      </c>
      <c r="W236" s="450">
        <v>77.36</v>
      </c>
      <c r="X236" s="450">
        <v>77.48</v>
      </c>
      <c r="Y236" s="450">
        <v>77.61</v>
      </c>
      <c r="Z236" s="450">
        <v>77.72</v>
      </c>
      <c r="AA236" s="450">
        <v>77.83</v>
      </c>
      <c r="AB236" s="450">
        <v>77.930000000000007</v>
      </c>
      <c r="AC236" s="450">
        <v>78.040000000000006</v>
      </c>
      <c r="AD236" s="450">
        <v>78.14</v>
      </c>
      <c r="AE236" s="450">
        <v>78.23</v>
      </c>
      <c r="AF236" s="450">
        <v>78.319999999999993</v>
      </c>
      <c r="AG236" s="450">
        <v>78.41</v>
      </c>
      <c r="AH236" s="450">
        <v>78.760000000000005</v>
      </c>
      <c r="AI236" s="450">
        <v>78.989999999999995</v>
      </c>
      <c r="AJ236" s="450">
        <v>79.12</v>
      </c>
      <c r="AK236" s="450">
        <v>79.180000000000007</v>
      </c>
      <c r="AL236" s="450" t="s">
        <v>556</v>
      </c>
      <c r="AM236" s="133"/>
      <c r="AN236" s="134">
        <v>68</v>
      </c>
      <c r="AO236" s="450">
        <v>78.14</v>
      </c>
      <c r="AP236" s="450">
        <v>78.28</v>
      </c>
      <c r="AQ236" s="450">
        <v>78.41</v>
      </c>
      <c r="AR236" s="450">
        <v>78.540000000000006</v>
      </c>
      <c r="AS236" s="450">
        <v>78.66</v>
      </c>
      <c r="AT236" s="450">
        <v>78.78</v>
      </c>
      <c r="AU236" s="450">
        <v>78.89</v>
      </c>
      <c r="AV236" s="450">
        <v>79</v>
      </c>
      <c r="AW236" s="450">
        <v>79.099999999999994</v>
      </c>
      <c r="AX236" s="450">
        <v>79.2</v>
      </c>
      <c r="AY236" s="450">
        <v>79.3</v>
      </c>
      <c r="AZ236" s="450">
        <v>79.39</v>
      </c>
      <c r="BA236" s="450">
        <v>79.760000000000005</v>
      </c>
      <c r="BB236" s="450">
        <v>79.989999999999995</v>
      </c>
      <c r="BC236" s="450">
        <v>80.12</v>
      </c>
      <c r="BD236" s="450">
        <v>80.16</v>
      </c>
      <c r="BE236" s="450" t="s">
        <v>556</v>
      </c>
    </row>
    <row r="237" spans="2:57" x14ac:dyDescent="0.25">
      <c r="B237" s="134">
        <v>69</v>
      </c>
      <c r="C237" s="450">
        <v>76.86</v>
      </c>
      <c r="D237" s="450">
        <v>76.989999999999995</v>
      </c>
      <c r="E237" s="450">
        <v>77.11</v>
      </c>
      <c r="F237" s="450">
        <v>77.23</v>
      </c>
      <c r="G237" s="450">
        <v>77.34</v>
      </c>
      <c r="H237" s="450">
        <v>77.44</v>
      </c>
      <c r="I237" s="450">
        <v>77.55</v>
      </c>
      <c r="J237" s="450">
        <v>77.650000000000006</v>
      </c>
      <c r="K237" s="450">
        <v>77.739999999999995</v>
      </c>
      <c r="L237" s="450">
        <v>77.83</v>
      </c>
      <c r="M237" s="450">
        <v>77.92</v>
      </c>
      <c r="N237" s="450">
        <v>78</v>
      </c>
      <c r="O237" s="450">
        <v>78.319999999999993</v>
      </c>
      <c r="P237" s="450">
        <v>78.53</v>
      </c>
      <c r="Q237" s="450">
        <v>78.63</v>
      </c>
      <c r="R237" s="450">
        <v>78.67</v>
      </c>
      <c r="S237" s="450" t="s">
        <v>556</v>
      </c>
      <c r="T237" s="133"/>
      <c r="U237" s="134">
        <v>69</v>
      </c>
      <c r="V237" s="450">
        <v>77.5</v>
      </c>
      <c r="W237" s="450">
        <v>77.63</v>
      </c>
      <c r="X237" s="450">
        <v>77.760000000000005</v>
      </c>
      <c r="Y237" s="450">
        <v>77.88</v>
      </c>
      <c r="Z237" s="450">
        <v>78</v>
      </c>
      <c r="AA237" s="450">
        <v>78.12</v>
      </c>
      <c r="AB237" s="450">
        <v>78.23</v>
      </c>
      <c r="AC237" s="450">
        <v>78.33</v>
      </c>
      <c r="AD237" s="450">
        <v>78.44</v>
      </c>
      <c r="AE237" s="450">
        <v>78.53</v>
      </c>
      <c r="AF237" s="450">
        <v>78.63</v>
      </c>
      <c r="AG237" s="450">
        <v>78.709999999999994</v>
      </c>
      <c r="AH237" s="450">
        <v>79.069999999999993</v>
      </c>
      <c r="AI237" s="450">
        <v>79.3</v>
      </c>
      <c r="AJ237" s="450">
        <v>79.42</v>
      </c>
      <c r="AK237" s="450">
        <v>79.459999999999994</v>
      </c>
      <c r="AL237" s="450" t="s">
        <v>556</v>
      </c>
      <c r="AM237" s="133"/>
      <c r="AN237" s="134">
        <v>69</v>
      </c>
      <c r="AO237" s="450">
        <v>78.430000000000007</v>
      </c>
      <c r="AP237" s="450">
        <v>78.569999999999993</v>
      </c>
      <c r="AQ237" s="450">
        <v>78.709999999999994</v>
      </c>
      <c r="AR237" s="450">
        <v>78.84</v>
      </c>
      <c r="AS237" s="450">
        <v>78.959999999999994</v>
      </c>
      <c r="AT237" s="450">
        <v>79.08</v>
      </c>
      <c r="AU237" s="450">
        <v>79.2</v>
      </c>
      <c r="AV237" s="450">
        <v>79.31</v>
      </c>
      <c r="AW237" s="450">
        <v>79.42</v>
      </c>
      <c r="AX237" s="450">
        <v>79.52</v>
      </c>
      <c r="AY237" s="450">
        <v>79.62</v>
      </c>
      <c r="AZ237" s="450">
        <v>79.709999999999994</v>
      </c>
      <c r="BA237" s="450">
        <v>80.08</v>
      </c>
      <c r="BB237" s="450">
        <v>80.31</v>
      </c>
      <c r="BC237" s="450">
        <v>80.430000000000007</v>
      </c>
      <c r="BD237" s="450">
        <v>80.459999999999994</v>
      </c>
      <c r="BE237" s="450" t="s">
        <v>556</v>
      </c>
    </row>
    <row r="238" spans="2:57" x14ac:dyDescent="0.25">
      <c r="B238" s="134">
        <v>70</v>
      </c>
      <c r="C238" s="450">
        <v>77.13</v>
      </c>
      <c r="D238" s="450">
        <v>77.260000000000005</v>
      </c>
      <c r="E238" s="450">
        <v>77.38</v>
      </c>
      <c r="F238" s="450">
        <v>77.5</v>
      </c>
      <c r="G238" s="450">
        <v>77.61</v>
      </c>
      <c r="H238" s="450">
        <v>77.72</v>
      </c>
      <c r="I238" s="450">
        <v>77.83</v>
      </c>
      <c r="J238" s="450">
        <v>77.930000000000007</v>
      </c>
      <c r="K238" s="450">
        <v>78.03</v>
      </c>
      <c r="L238" s="450">
        <v>78.12</v>
      </c>
      <c r="M238" s="450">
        <v>78.209999999999994</v>
      </c>
      <c r="N238" s="450">
        <v>78.290000000000006</v>
      </c>
      <c r="O238" s="450">
        <v>78.61</v>
      </c>
      <c r="P238" s="450">
        <v>78.81</v>
      </c>
      <c r="Q238" s="450">
        <v>78.900000000000006</v>
      </c>
      <c r="R238" s="450" t="s">
        <v>556</v>
      </c>
      <c r="S238" s="450" t="s">
        <v>556</v>
      </c>
      <c r="T238" s="133"/>
      <c r="U238" s="134">
        <v>70</v>
      </c>
      <c r="V238" s="450">
        <v>77.78</v>
      </c>
      <c r="W238" s="450">
        <v>77.92</v>
      </c>
      <c r="X238" s="450">
        <v>78.05</v>
      </c>
      <c r="Y238" s="450">
        <v>78.17</v>
      </c>
      <c r="Z238" s="450">
        <v>78.3</v>
      </c>
      <c r="AA238" s="450">
        <v>78.41</v>
      </c>
      <c r="AB238" s="450">
        <v>78.53</v>
      </c>
      <c r="AC238" s="450">
        <v>78.64</v>
      </c>
      <c r="AD238" s="450">
        <v>78.739999999999995</v>
      </c>
      <c r="AE238" s="450">
        <v>78.84</v>
      </c>
      <c r="AF238" s="450">
        <v>78.94</v>
      </c>
      <c r="AG238" s="450">
        <v>79.03</v>
      </c>
      <c r="AH238" s="450">
        <v>79.38</v>
      </c>
      <c r="AI238" s="450">
        <v>79.599999999999994</v>
      </c>
      <c r="AJ238" s="450">
        <v>79.709999999999994</v>
      </c>
      <c r="AK238" s="450" t="s">
        <v>556</v>
      </c>
      <c r="AL238" s="450" t="s">
        <v>556</v>
      </c>
      <c r="AM238" s="133"/>
      <c r="AN238" s="134">
        <v>70</v>
      </c>
      <c r="AO238" s="450">
        <v>78.72</v>
      </c>
      <c r="AP238" s="450">
        <v>78.87</v>
      </c>
      <c r="AQ238" s="450">
        <v>79.010000000000005</v>
      </c>
      <c r="AR238" s="450">
        <v>79.14</v>
      </c>
      <c r="AS238" s="450">
        <v>79.27</v>
      </c>
      <c r="AT238" s="450">
        <v>79.400000000000006</v>
      </c>
      <c r="AU238" s="450">
        <v>79.52</v>
      </c>
      <c r="AV238" s="450">
        <v>79.63</v>
      </c>
      <c r="AW238" s="450">
        <v>79.739999999999995</v>
      </c>
      <c r="AX238" s="450">
        <v>79.849999999999994</v>
      </c>
      <c r="AY238" s="450">
        <v>79.95</v>
      </c>
      <c r="AZ238" s="450">
        <v>80.040000000000006</v>
      </c>
      <c r="BA238" s="450">
        <v>80.41</v>
      </c>
      <c r="BB238" s="450">
        <v>80.63</v>
      </c>
      <c r="BC238" s="450">
        <v>80.73</v>
      </c>
      <c r="BD238" s="450" t="s">
        <v>556</v>
      </c>
      <c r="BE238" s="450" t="s">
        <v>556</v>
      </c>
    </row>
    <row r="239" spans="2:57" x14ac:dyDescent="0.25">
      <c r="B239" s="134">
        <v>71</v>
      </c>
      <c r="C239" s="450">
        <v>77.400000000000006</v>
      </c>
      <c r="D239" s="450">
        <v>77.53</v>
      </c>
      <c r="E239" s="450">
        <v>77.66</v>
      </c>
      <c r="F239" s="450">
        <v>77.78</v>
      </c>
      <c r="G239" s="450">
        <v>77.900000000000006</v>
      </c>
      <c r="H239" s="450">
        <v>78.010000000000005</v>
      </c>
      <c r="I239" s="450">
        <v>78.12</v>
      </c>
      <c r="J239" s="450">
        <v>78.22</v>
      </c>
      <c r="K239" s="450">
        <v>78.319999999999993</v>
      </c>
      <c r="L239" s="450">
        <v>78.42</v>
      </c>
      <c r="M239" s="450">
        <v>78.5</v>
      </c>
      <c r="N239" s="450">
        <v>78.59</v>
      </c>
      <c r="O239" s="450">
        <v>78.91</v>
      </c>
      <c r="P239" s="450">
        <v>79.09</v>
      </c>
      <c r="Q239" s="450">
        <v>79.16</v>
      </c>
      <c r="R239" s="450" t="s">
        <v>556</v>
      </c>
      <c r="S239" s="450" t="s">
        <v>556</v>
      </c>
      <c r="T239" s="133"/>
      <c r="U239" s="134">
        <v>71</v>
      </c>
      <c r="V239" s="450">
        <v>78.069999999999993</v>
      </c>
      <c r="W239" s="450">
        <v>78.209999999999994</v>
      </c>
      <c r="X239" s="450">
        <v>78.34</v>
      </c>
      <c r="Y239" s="450">
        <v>78.47</v>
      </c>
      <c r="Z239" s="450">
        <v>78.599999999999994</v>
      </c>
      <c r="AA239" s="450">
        <v>78.72</v>
      </c>
      <c r="AB239" s="450">
        <v>78.84</v>
      </c>
      <c r="AC239" s="450">
        <v>78.95</v>
      </c>
      <c r="AD239" s="450">
        <v>79.06</v>
      </c>
      <c r="AE239" s="450">
        <v>79.16</v>
      </c>
      <c r="AF239" s="450">
        <v>79.260000000000005</v>
      </c>
      <c r="AG239" s="450">
        <v>79.349999999999994</v>
      </c>
      <c r="AH239" s="450">
        <v>79.7</v>
      </c>
      <c r="AI239" s="450">
        <v>79.91</v>
      </c>
      <c r="AJ239" s="450">
        <v>80</v>
      </c>
      <c r="AK239" s="450" t="s">
        <v>556</v>
      </c>
      <c r="AL239" s="450" t="s">
        <v>556</v>
      </c>
      <c r="AM239" s="133"/>
      <c r="AN239" s="134">
        <v>71</v>
      </c>
      <c r="AO239" s="450">
        <v>79.03</v>
      </c>
      <c r="AP239" s="450">
        <v>79.180000000000007</v>
      </c>
      <c r="AQ239" s="450">
        <v>79.319999999999993</v>
      </c>
      <c r="AR239" s="450">
        <v>79.459999999999994</v>
      </c>
      <c r="AS239" s="450">
        <v>79.59</v>
      </c>
      <c r="AT239" s="450">
        <v>79.72</v>
      </c>
      <c r="AU239" s="450">
        <v>79.849999999999994</v>
      </c>
      <c r="AV239" s="450">
        <v>79.97</v>
      </c>
      <c r="AW239" s="450">
        <v>80.08</v>
      </c>
      <c r="AX239" s="450">
        <v>80.19</v>
      </c>
      <c r="AY239" s="450">
        <v>80.290000000000006</v>
      </c>
      <c r="AZ239" s="450">
        <v>80.38</v>
      </c>
      <c r="BA239" s="450">
        <v>80.75</v>
      </c>
      <c r="BB239" s="450">
        <v>80.95</v>
      </c>
      <c r="BC239" s="450">
        <v>81.03</v>
      </c>
      <c r="BD239" s="450" t="s">
        <v>556</v>
      </c>
      <c r="BE239" s="450" t="s">
        <v>556</v>
      </c>
    </row>
    <row r="240" spans="2:57" x14ac:dyDescent="0.25">
      <c r="B240" s="134">
        <v>72</v>
      </c>
      <c r="C240" s="450">
        <v>77.67</v>
      </c>
      <c r="D240" s="450">
        <v>77.8</v>
      </c>
      <c r="E240" s="450">
        <v>77.930000000000007</v>
      </c>
      <c r="F240" s="450">
        <v>78.06</v>
      </c>
      <c r="G240" s="450">
        <v>78.180000000000007</v>
      </c>
      <c r="H240" s="450">
        <v>78.3</v>
      </c>
      <c r="I240" s="450">
        <v>78.41</v>
      </c>
      <c r="J240" s="450">
        <v>78.510000000000005</v>
      </c>
      <c r="K240" s="450">
        <v>78.61</v>
      </c>
      <c r="L240" s="450">
        <v>78.709999999999994</v>
      </c>
      <c r="M240" s="450">
        <v>78.8</v>
      </c>
      <c r="N240" s="450">
        <v>78.88</v>
      </c>
      <c r="O240" s="450">
        <v>79.19</v>
      </c>
      <c r="P240" s="450">
        <v>79.349999999999994</v>
      </c>
      <c r="Q240" s="450">
        <v>79.400000000000006</v>
      </c>
      <c r="R240" s="450" t="s">
        <v>556</v>
      </c>
      <c r="S240" s="450" t="s">
        <v>556</v>
      </c>
      <c r="T240" s="133"/>
      <c r="U240" s="134">
        <v>72</v>
      </c>
      <c r="V240" s="450">
        <v>78.36</v>
      </c>
      <c r="W240" s="450">
        <v>78.5</v>
      </c>
      <c r="X240" s="450">
        <v>78.64</v>
      </c>
      <c r="Y240" s="450">
        <v>78.77</v>
      </c>
      <c r="Z240" s="450">
        <v>78.91</v>
      </c>
      <c r="AA240" s="450">
        <v>79.03</v>
      </c>
      <c r="AB240" s="450">
        <v>79.150000000000006</v>
      </c>
      <c r="AC240" s="450">
        <v>79.27</v>
      </c>
      <c r="AD240" s="450">
        <v>79.38</v>
      </c>
      <c r="AE240" s="450">
        <v>79.48</v>
      </c>
      <c r="AF240" s="450">
        <v>79.569999999999993</v>
      </c>
      <c r="AG240" s="450">
        <v>79.66</v>
      </c>
      <c r="AH240" s="450">
        <v>80.010000000000005</v>
      </c>
      <c r="AI240" s="450">
        <v>80.2</v>
      </c>
      <c r="AJ240" s="450">
        <v>80.27</v>
      </c>
      <c r="AK240" s="450" t="s">
        <v>556</v>
      </c>
      <c r="AL240" s="450" t="s">
        <v>556</v>
      </c>
      <c r="AM240" s="133"/>
      <c r="AN240" s="134">
        <v>72</v>
      </c>
      <c r="AO240" s="450">
        <v>79.34</v>
      </c>
      <c r="AP240" s="450">
        <v>79.489999999999995</v>
      </c>
      <c r="AQ240" s="450">
        <v>79.63</v>
      </c>
      <c r="AR240" s="450">
        <v>79.78</v>
      </c>
      <c r="AS240" s="450">
        <v>79.92</v>
      </c>
      <c r="AT240" s="450">
        <v>80.05</v>
      </c>
      <c r="AU240" s="450">
        <v>80.180000000000007</v>
      </c>
      <c r="AV240" s="450">
        <v>80.3</v>
      </c>
      <c r="AW240" s="450">
        <v>80.41</v>
      </c>
      <c r="AX240" s="450">
        <v>80.52</v>
      </c>
      <c r="AY240" s="450">
        <v>80.62</v>
      </c>
      <c r="AZ240" s="450">
        <v>80.709999999999994</v>
      </c>
      <c r="BA240" s="450">
        <v>81.069999999999993</v>
      </c>
      <c r="BB240" s="450">
        <v>81.260000000000005</v>
      </c>
      <c r="BC240" s="450">
        <v>81.319999999999993</v>
      </c>
      <c r="BD240" s="450" t="s">
        <v>556</v>
      </c>
      <c r="BE240" s="450" t="s">
        <v>556</v>
      </c>
    </row>
    <row r="241" spans="2:57" x14ac:dyDescent="0.25">
      <c r="B241" s="134">
        <v>73</v>
      </c>
      <c r="C241" s="450">
        <v>77.95</v>
      </c>
      <c r="D241" s="450">
        <v>78.08</v>
      </c>
      <c r="E241" s="450">
        <v>78.22</v>
      </c>
      <c r="F241" s="450">
        <v>78.349999999999994</v>
      </c>
      <c r="G241" s="450">
        <v>78.47</v>
      </c>
      <c r="H241" s="450">
        <v>78.59</v>
      </c>
      <c r="I241" s="450">
        <v>78.7</v>
      </c>
      <c r="J241" s="450">
        <v>78.81</v>
      </c>
      <c r="K241" s="450">
        <v>78.91</v>
      </c>
      <c r="L241" s="450">
        <v>79</v>
      </c>
      <c r="M241" s="450">
        <v>79.09</v>
      </c>
      <c r="N241" s="450">
        <v>79.17</v>
      </c>
      <c r="O241" s="450">
        <v>79.459999999999994</v>
      </c>
      <c r="P241" s="450">
        <v>79.61</v>
      </c>
      <c r="Q241" s="450">
        <v>79.63</v>
      </c>
      <c r="R241" s="450" t="s">
        <v>556</v>
      </c>
      <c r="S241" s="450" t="s">
        <v>556</v>
      </c>
      <c r="T241" s="133"/>
      <c r="U241" s="134">
        <v>73</v>
      </c>
      <c r="V241" s="450">
        <v>78.650000000000006</v>
      </c>
      <c r="W241" s="450">
        <v>78.8</v>
      </c>
      <c r="X241" s="450">
        <v>78.95</v>
      </c>
      <c r="Y241" s="450">
        <v>79.09</v>
      </c>
      <c r="Z241" s="450">
        <v>79.22</v>
      </c>
      <c r="AA241" s="450">
        <v>79.349999999999994</v>
      </c>
      <c r="AB241" s="450">
        <v>79.47</v>
      </c>
      <c r="AC241" s="450">
        <v>79.59</v>
      </c>
      <c r="AD241" s="450">
        <v>79.7</v>
      </c>
      <c r="AE241" s="450">
        <v>79.8</v>
      </c>
      <c r="AF241" s="450">
        <v>79.89</v>
      </c>
      <c r="AG241" s="450">
        <v>79.98</v>
      </c>
      <c r="AH241" s="450">
        <v>80.31</v>
      </c>
      <c r="AI241" s="450">
        <v>80.489999999999995</v>
      </c>
      <c r="AJ241" s="450">
        <v>80.540000000000006</v>
      </c>
      <c r="AK241" s="450" t="s">
        <v>556</v>
      </c>
      <c r="AL241" s="450" t="s">
        <v>556</v>
      </c>
      <c r="AM241" s="133"/>
      <c r="AN241" s="134">
        <v>73</v>
      </c>
      <c r="AO241" s="450">
        <v>79.650000000000006</v>
      </c>
      <c r="AP241" s="450">
        <v>79.81</v>
      </c>
      <c r="AQ241" s="450">
        <v>79.959999999999994</v>
      </c>
      <c r="AR241" s="450">
        <v>80.11</v>
      </c>
      <c r="AS241" s="450">
        <v>80.25</v>
      </c>
      <c r="AT241" s="450">
        <v>80.39</v>
      </c>
      <c r="AU241" s="450">
        <v>80.52</v>
      </c>
      <c r="AV241" s="450">
        <v>80.64</v>
      </c>
      <c r="AW241" s="450">
        <v>80.75</v>
      </c>
      <c r="AX241" s="450">
        <v>80.86</v>
      </c>
      <c r="AY241" s="450">
        <v>80.959999999999994</v>
      </c>
      <c r="AZ241" s="450">
        <v>81.05</v>
      </c>
      <c r="BA241" s="450">
        <v>81.400000000000006</v>
      </c>
      <c r="BB241" s="450">
        <v>81.56</v>
      </c>
      <c r="BC241" s="450">
        <v>81.599999999999994</v>
      </c>
      <c r="BD241" s="450" t="s">
        <v>556</v>
      </c>
      <c r="BE241" s="450" t="s">
        <v>556</v>
      </c>
    </row>
    <row r="242" spans="2:57" x14ac:dyDescent="0.25">
      <c r="B242" s="134">
        <v>74</v>
      </c>
      <c r="C242" s="450">
        <v>78.23</v>
      </c>
      <c r="D242" s="450">
        <v>78.37</v>
      </c>
      <c r="E242" s="450">
        <v>78.510000000000005</v>
      </c>
      <c r="F242" s="450">
        <v>78.64</v>
      </c>
      <c r="G242" s="450">
        <v>78.77</v>
      </c>
      <c r="H242" s="450">
        <v>78.89</v>
      </c>
      <c r="I242" s="450">
        <v>79</v>
      </c>
      <c r="J242" s="450">
        <v>79.11</v>
      </c>
      <c r="K242" s="450">
        <v>79.209999999999994</v>
      </c>
      <c r="L242" s="450">
        <v>79.3</v>
      </c>
      <c r="M242" s="450">
        <v>79.38</v>
      </c>
      <c r="N242" s="450">
        <v>79.459999999999994</v>
      </c>
      <c r="O242" s="450">
        <v>79.73</v>
      </c>
      <c r="P242" s="450">
        <v>79.849999999999994</v>
      </c>
      <c r="Q242" s="450">
        <v>79.849999999999994</v>
      </c>
      <c r="R242" s="450" t="s">
        <v>556</v>
      </c>
      <c r="S242" s="450" t="s">
        <v>556</v>
      </c>
      <c r="T242" s="133"/>
      <c r="U242" s="134">
        <v>74</v>
      </c>
      <c r="V242" s="450">
        <v>78.959999999999994</v>
      </c>
      <c r="W242" s="450">
        <v>79.11</v>
      </c>
      <c r="X242" s="450">
        <v>79.260000000000005</v>
      </c>
      <c r="Y242" s="450">
        <v>79.41</v>
      </c>
      <c r="Z242" s="450">
        <v>79.540000000000006</v>
      </c>
      <c r="AA242" s="450">
        <v>79.67</v>
      </c>
      <c r="AB242" s="450">
        <v>79.8</v>
      </c>
      <c r="AC242" s="450">
        <v>79.91</v>
      </c>
      <c r="AD242" s="450">
        <v>80.02</v>
      </c>
      <c r="AE242" s="450">
        <v>80.12</v>
      </c>
      <c r="AF242" s="450">
        <v>80.22</v>
      </c>
      <c r="AG242" s="450">
        <v>80.3</v>
      </c>
      <c r="AH242" s="450">
        <v>80.62</v>
      </c>
      <c r="AI242" s="450">
        <v>80.760000000000005</v>
      </c>
      <c r="AJ242" s="450">
        <v>80.790000000000006</v>
      </c>
      <c r="AK242" s="450" t="s">
        <v>556</v>
      </c>
      <c r="AL242" s="450" t="s">
        <v>556</v>
      </c>
      <c r="AM242" s="133"/>
      <c r="AN242" s="134">
        <v>74</v>
      </c>
      <c r="AO242" s="450">
        <v>79.98</v>
      </c>
      <c r="AP242" s="450">
        <v>80.14</v>
      </c>
      <c r="AQ242" s="450">
        <v>80.290000000000006</v>
      </c>
      <c r="AR242" s="450">
        <v>80.45</v>
      </c>
      <c r="AS242" s="450">
        <v>80.59</v>
      </c>
      <c r="AT242" s="450">
        <v>80.73</v>
      </c>
      <c r="AU242" s="450">
        <v>80.86</v>
      </c>
      <c r="AV242" s="450">
        <v>80.98</v>
      </c>
      <c r="AW242" s="450">
        <v>81.099999999999994</v>
      </c>
      <c r="AX242" s="450">
        <v>81.2</v>
      </c>
      <c r="AY242" s="450">
        <v>81.3</v>
      </c>
      <c r="AZ242" s="450">
        <v>81.39</v>
      </c>
      <c r="BA242" s="450">
        <v>81.709999999999994</v>
      </c>
      <c r="BB242" s="450">
        <v>81.849999999999994</v>
      </c>
      <c r="BC242" s="450">
        <v>81.86</v>
      </c>
      <c r="BD242" s="450" t="s">
        <v>556</v>
      </c>
      <c r="BE242" s="450" t="s">
        <v>556</v>
      </c>
    </row>
    <row r="243" spans="2:57" x14ac:dyDescent="0.25">
      <c r="B243" s="134">
        <v>75</v>
      </c>
      <c r="C243" s="450">
        <v>78.53</v>
      </c>
      <c r="D243" s="450">
        <v>78.67</v>
      </c>
      <c r="E243" s="450">
        <v>78.81</v>
      </c>
      <c r="F243" s="450">
        <v>78.94</v>
      </c>
      <c r="G243" s="450">
        <v>79.069999999999993</v>
      </c>
      <c r="H243" s="450">
        <v>79.19</v>
      </c>
      <c r="I243" s="450">
        <v>79.3</v>
      </c>
      <c r="J243" s="450">
        <v>79.41</v>
      </c>
      <c r="K243" s="450">
        <v>79.5</v>
      </c>
      <c r="L243" s="450">
        <v>79.59</v>
      </c>
      <c r="M243" s="450">
        <v>79.67</v>
      </c>
      <c r="N243" s="450">
        <v>79.75</v>
      </c>
      <c r="O243" s="450">
        <v>79.989999999999995</v>
      </c>
      <c r="P243" s="450">
        <v>80.08</v>
      </c>
      <c r="Q243" s="450" t="s">
        <v>556</v>
      </c>
      <c r="R243" s="450" t="s">
        <v>556</v>
      </c>
      <c r="S243" s="450" t="s">
        <v>556</v>
      </c>
      <c r="T243" s="133"/>
      <c r="U243" s="134">
        <v>75</v>
      </c>
      <c r="V243" s="450">
        <v>79.28</v>
      </c>
      <c r="W243" s="450">
        <v>79.44</v>
      </c>
      <c r="X243" s="450">
        <v>79.59</v>
      </c>
      <c r="Y243" s="450">
        <v>79.73</v>
      </c>
      <c r="Z243" s="450">
        <v>79.87</v>
      </c>
      <c r="AA243" s="450">
        <v>80</v>
      </c>
      <c r="AB243" s="450">
        <v>80.12</v>
      </c>
      <c r="AC243" s="450">
        <v>80.239999999999995</v>
      </c>
      <c r="AD243" s="450">
        <v>80.349999999999994</v>
      </c>
      <c r="AE243" s="450">
        <v>80.45</v>
      </c>
      <c r="AF243" s="450">
        <v>80.540000000000006</v>
      </c>
      <c r="AG243" s="450">
        <v>80.62</v>
      </c>
      <c r="AH243" s="450">
        <v>80.91</v>
      </c>
      <c r="AI243" s="450">
        <v>81.02</v>
      </c>
      <c r="AJ243" s="450" t="s">
        <v>556</v>
      </c>
      <c r="AK243" s="450" t="s">
        <v>556</v>
      </c>
      <c r="AL243" s="450" t="s">
        <v>556</v>
      </c>
      <c r="AM243" s="133"/>
      <c r="AN243" s="134">
        <v>75</v>
      </c>
      <c r="AO243" s="450">
        <v>80.31</v>
      </c>
      <c r="AP243" s="450">
        <v>80.48</v>
      </c>
      <c r="AQ243" s="450">
        <v>80.64</v>
      </c>
      <c r="AR243" s="450">
        <v>80.790000000000006</v>
      </c>
      <c r="AS243" s="450">
        <v>80.94</v>
      </c>
      <c r="AT243" s="450">
        <v>81.08</v>
      </c>
      <c r="AU243" s="450">
        <v>81.209999999999994</v>
      </c>
      <c r="AV243" s="450">
        <v>81.33</v>
      </c>
      <c r="AW243" s="450">
        <v>81.44</v>
      </c>
      <c r="AX243" s="450">
        <v>81.55</v>
      </c>
      <c r="AY243" s="450">
        <v>81.64</v>
      </c>
      <c r="AZ243" s="450">
        <v>81.73</v>
      </c>
      <c r="BA243" s="450">
        <v>82.02</v>
      </c>
      <c r="BB243" s="450">
        <v>82.13</v>
      </c>
      <c r="BC243" s="450" t="s">
        <v>556</v>
      </c>
      <c r="BD243" s="450" t="s">
        <v>556</v>
      </c>
      <c r="BE243" s="450" t="s">
        <v>556</v>
      </c>
    </row>
    <row r="244" spans="2:57" x14ac:dyDescent="0.25">
      <c r="B244" s="134">
        <v>76</v>
      </c>
      <c r="C244" s="450">
        <v>78.83</v>
      </c>
      <c r="D244" s="450">
        <v>78.97</v>
      </c>
      <c r="E244" s="450">
        <v>79.11</v>
      </c>
      <c r="F244" s="450">
        <v>79.25</v>
      </c>
      <c r="G244" s="450">
        <v>79.37</v>
      </c>
      <c r="H244" s="450">
        <v>79.489999999999995</v>
      </c>
      <c r="I244" s="450">
        <v>79.599999999999994</v>
      </c>
      <c r="J244" s="450">
        <v>79.7</v>
      </c>
      <c r="K244" s="450">
        <v>79.8</v>
      </c>
      <c r="L244" s="450">
        <v>79.88</v>
      </c>
      <c r="M244" s="450">
        <v>79.959999999999994</v>
      </c>
      <c r="N244" s="450">
        <v>80.02</v>
      </c>
      <c r="O244" s="450">
        <v>80.239999999999995</v>
      </c>
      <c r="P244" s="450">
        <v>80.28</v>
      </c>
      <c r="Q244" s="450" t="s">
        <v>556</v>
      </c>
      <c r="R244" s="450" t="s">
        <v>556</v>
      </c>
      <c r="S244" s="450" t="s">
        <v>556</v>
      </c>
      <c r="T244" s="133"/>
      <c r="U244" s="134">
        <v>76</v>
      </c>
      <c r="V244" s="450">
        <v>79.61</v>
      </c>
      <c r="W244" s="450">
        <v>79.760000000000005</v>
      </c>
      <c r="X244" s="450">
        <v>79.92</v>
      </c>
      <c r="Y244" s="450">
        <v>80.06</v>
      </c>
      <c r="Z244" s="450">
        <v>80.2</v>
      </c>
      <c r="AA244" s="450">
        <v>80.33</v>
      </c>
      <c r="AB244" s="450">
        <v>80.45</v>
      </c>
      <c r="AC244" s="450">
        <v>80.569999999999993</v>
      </c>
      <c r="AD244" s="450">
        <v>80.67</v>
      </c>
      <c r="AE244" s="450">
        <v>80.77</v>
      </c>
      <c r="AF244" s="450">
        <v>80.849999999999994</v>
      </c>
      <c r="AG244" s="450">
        <v>80.930000000000007</v>
      </c>
      <c r="AH244" s="450">
        <v>81.19</v>
      </c>
      <c r="AI244" s="450">
        <v>81.27</v>
      </c>
      <c r="AJ244" s="450" t="s">
        <v>556</v>
      </c>
      <c r="AK244" s="450" t="s">
        <v>556</v>
      </c>
      <c r="AL244" s="450" t="s">
        <v>556</v>
      </c>
      <c r="AM244" s="133"/>
      <c r="AN244" s="134">
        <v>76</v>
      </c>
      <c r="AO244" s="450">
        <v>80.66</v>
      </c>
      <c r="AP244" s="450">
        <v>80.819999999999993</v>
      </c>
      <c r="AQ244" s="450">
        <v>80.989999999999995</v>
      </c>
      <c r="AR244" s="450">
        <v>81.14</v>
      </c>
      <c r="AS244" s="450">
        <v>81.290000000000006</v>
      </c>
      <c r="AT244" s="450">
        <v>81.42</v>
      </c>
      <c r="AU244" s="450">
        <v>81.55</v>
      </c>
      <c r="AV244" s="450">
        <v>81.67</v>
      </c>
      <c r="AW244" s="450">
        <v>81.78</v>
      </c>
      <c r="AX244" s="450">
        <v>81.88</v>
      </c>
      <c r="AY244" s="450">
        <v>81.97</v>
      </c>
      <c r="AZ244" s="450">
        <v>82.06</v>
      </c>
      <c r="BA244" s="450">
        <v>82.32</v>
      </c>
      <c r="BB244" s="450">
        <v>82.39</v>
      </c>
      <c r="BC244" s="450" t="s">
        <v>556</v>
      </c>
      <c r="BD244" s="450" t="s">
        <v>556</v>
      </c>
      <c r="BE244" s="450" t="s">
        <v>556</v>
      </c>
    </row>
    <row r="245" spans="2:57" x14ac:dyDescent="0.25">
      <c r="B245" s="134">
        <v>77</v>
      </c>
      <c r="C245" s="450">
        <v>79.13</v>
      </c>
      <c r="D245" s="450">
        <v>79.28</v>
      </c>
      <c r="E245" s="450">
        <v>79.42</v>
      </c>
      <c r="F245" s="450">
        <v>79.55</v>
      </c>
      <c r="G245" s="450">
        <v>79.67</v>
      </c>
      <c r="H245" s="450">
        <v>79.790000000000006</v>
      </c>
      <c r="I245" s="450">
        <v>79.89</v>
      </c>
      <c r="J245" s="450">
        <v>79.989999999999995</v>
      </c>
      <c r="K245" s="450">
        <v>80.08</v>
      </c>
      <c r="L245" s="450">
        <v>80.16</v>
      </c>
      <c r="M245" s="450">
        <v>80.23</v>
      </c>
      <c r="N245" s="450">
        <v>80.290000000000006</v>
      </c>
      <c r="O245" s="450">
        <v>80.459999999999994</v>
      </c>
      <c r="P245" s="450">
        <v>80.47</v>
      </c>
      <c r="Q245" s="450" t="s">
        <v>556</v>
      </c>
      <c r="R245" s="450" t="s">
        <v>556</v>
      </c>
      <c r="S245" s="450" t="s">
        <v>556</v>
      </c>
      <c r="T245" s="133"/>
      <c r="U245" s="134">
        <v>77</v>
      </c>
      <c r="V245" s="450">
        <v>79.94</v>
      </c>
      <c r="W245" s="450">
        <v>80.09</v>
      </c>
      <c r="X245" s="450">
        <v>80.25</v>
      </c>
      <c r="Y245" s="450">
        <v>80.39</v>
      </c>
      <c r="Z245" s="450">
        <v>80.53</v>
      </c>
      <c r="AA245" s="450">
        <v>80.66</v>
      </c>
      <c r="AB245" s="450">
        <v>80.78</v>
      </c>
      <c r="AC245" s="450">
        <v>80.89</v>
      </c>
      <c r="AD245" s="450">
        <v>80.989999999999995</v>
      </c>
      <c r="AE245" s="450">
        <v>81.08</v>
      </c>
      <c r="AF245" s="450">
        <v>81.16</v>
      </c>
      <c r="AG245" s="450">
        <v>81.23</v>
      </c>
      <c r="AH245" s="450">
        <v>81.45</v>
      </c>
      <c r="AI245" s="450">
        <v>81.489999999999995</v>
      </c>
      <c r="AJ245" s="450" t="s">
        <v>556</v>
      </c>
      <c r="AK245" s="450" t="s">
        <v>556</v>
      </c>
      <c r="AL245" s="450" t="s">
        <v>556</v>
      </c>
      <c r="AM245" s="133"/>
      <c r="AN245" s="134">
        <v>77</v>
      </c>
      <c r="AO245" s="450">
        <v>81</v>
      </c>
      <c r="AP245" s="450">
        <v>81.17</v>
      </c>
      <c r="AQ245" s="450">
        <v>81.34</v>
      </c>
      <c r="AR245" s="450">
        <v>81.489999999999995</v>
      </c>
      <c r="AS245" s="450">
        <v>81.64</v>
      </c>
      <c r="AT245" s="450">
        <v>81.77</v>
      </c>
      <c r="AU245" s="450">
        <v>81.900000000000006</v>
      </c>
      <c r="AV245" s="450">
        <v>82.02</v>
      </c>
      <c r="AW245" s="450">
        <v>82.12</v>
      </c>
      <c r="AX245" s="450">
        <v>82.22</v>
      </c>
      <c r="AY245" s="450">
        <v>82.3</v>
      </c>
      <c r="AZ245" s="450">
        <v>82.37</v>
      </c>
      <c r="BA245" s="450">
        <v>82.6</v>
      </c>
      <c r="BB245" s="450">
        <v>82.62</v>
      </c>
      <c r="BC245" s="450" t="s">
        <v>556</v>
      </c>
      <c r="BD245" s="450" t="s">
        <v>556</v>
      </c>
      <c r="BE245" s="450" t="s">
        <v>556</v>
      </c>
    </row>
    <row r="246" spans="2:57" x14ac:dyDescent="0.25">
      <c r="B246" s="134">
        <v>78</v>
      </c>
      <c r="C246" s="450">
        <v>79.44</v>
      </c>
      <c r="D246" s="450">
        <v>79.58</v>
      </c>
      <c r="E246" s="450">
        <v>79.72</v>
      </c>
      <c r="F246" s="450">
        <v>79.849999999999994</v>
      </c>
      <c r="G246" s="450">
        <v>79.97</v>
      </c>
      <c r="H246" s="450">
        <v>80.08</v>
      </c>
      <c r="I246" s="450">
        <v>80.180000000000007</v>
      </c>
      <c r="J246" s="450">
        <v>80.27</v>
      </c>
      <c r="K246" s="450">
        <v>80.349999999999994</v>
      </c>
      <c r="L246" s="450">
        <v>80.430000000000007</v>
      </c>
      <c r="M246" s="450">
        <v>80.489999999999995</v>
      </c>
      <c r="N246" s="450">
        <v>80.540000000000006</v>
      </c>
      <c r="O246" s="450">
        <v>80.67</v>
      </c>
      <c r="P246" s="450">
        <v>80.62</v>
      </c>
      <c r="Q246" s="450" t="s">
        <v>556</v>
      </c>
      <c r="R246" s="450" t="s">
        <v>556</v>
      </c>
      <c r="S246" s="450" t="s">
        <v>556</v>
      </c>
      <c r="T246" s="133"/>
      <c r="U246" s="134">
        <v>78</v>
      </c>
      <c r="V246" s="450">
        <v>80.27</v>
      </c>
      <c r="W246" s="450">
        <v>80.430000000000007</v>
      </c>
      <c r="X246" s="450">
        <v>80.58</v>
      </c>
      <c r="Y246" s="450">
        <v>80.72</v>
      </c>
      <c r="Z246" s="450">
        <v>80.86</v>
      </c>
      <c r="AA246" s="450">
        <v>80.98</v>
      </c>
      <c r="AB246" s="450">
        <v>81.099999999999994</v>
      </c>
      <c r="AC246" s="450">
        <v>81.2</v>
      </c>
      <c r="AD246" s="450">
        <v>81.290000000000006</v>
      </c>
      <c r="AE246" s="450">
        <v>81.38</v>
      </c>
      <c r="AF246" s="450">
        <v>81.45</v>
      </c>
      <c r="AG246" s="450">
        <v>81.510000000000005</v>
      </c>
      <c r="AH246" s="450">
        <v>81.69</v>
      </c>
      <c r="AI246" s="450">
        <v>81.680000000000007</v>
      </c>
      <c r="AJ246" s="450" t="s">
        <v>556</v>
      </c>
      <c r="AK246" s="450" t="s">
        <v>556</v>
      </c>
      <c r="AL246" s="450" t="s">
        <v>556</v>
      </c>
      <c r="AM246" s="133"/>
      <c r="AN246" s="134">
        <v>78</v>
      </c>
      <c r="AO246" s="450">
        <v>81.36</v>
      </c>
      <c r="AP246" s="450">
        <v>81.53</v>
      </c>
      <c r="AQ246" s="450">
        <v>81.69</v>
      </c>
      <c r="AR246" s="450">
        <v>81.84</v>
      </c>
      <c r="AS246" s="450">
        <v>81.98</v>
      </c>
      <c r="AT246" s="450">
        <v>82.12</v>
      </c>
      <c r="AU246" s="450">
        <v>82.24</v>
      </c>
      <c r="AV246" s="450">
        <v>82.35</v>
      </c>
      <c r="AW246" s="450">
        <v>82.45</v>
      </c>
      <c r="AX246" s="450">
        <v>82.54</v>
      </c>
      <c r="AY246" s="450">
        <v>82.61</v>
      </c>
      <c r="AZ246" s="450">
        <v>82.68</v>
      </c>
      <c r="BA246" s="450">
        <v>82.85</v>
      </c>
      <c r="BB246" s="450">
        <v>82.83</v>
      </c>
      <c r="BC246" s="450" t="s">
        <v>556</v>
      </c>
      <c r="BD246" s="450" t="s">
        <v>556</v>
      </c>
      <c r="BE246" s="450" t="s">
        <v>556</v>
      </c>
    </row>
    <row r="247" spans="2:57" x14ac:dyDescent="0.25">
      <c r="B247" s="134">
        <v>79</v>
      </c>
      <c r="C247" s="450">
        <v>79.739999999999995</v>
      </c>
      <c r="D247" s="450">
        <v>79.88</v>
      </c>
      <c r="E247" s="450">
        <v>80.010000000000005</v>
      </c>
      <c r="F247" s="450">
        <v>80.14</v>
      </c>
      <c r="G247" s="450">
        <v>80.25</v>
      </c>
      <c r="H247" s="450">
        <v>80.36</v>
      </c>
      <c r="I247" s="450">
        <v>80.45</v>
      </c>
      <c r="J247" s="450">
        <v>80.540000000000006</v>
      </c>
      <c r="K247" s="450">
        <v>80.61</v>
      </c>
      <c r="L247" s="450">
        <v>80.67</v>
      </c>
      <c r="M247" s="450">
        <v>80.72</v>
      </c>
      <c r="N247" s="450">
        <v>80.77</v>
      </c>
      <c r="O247" s="450">
        <v>80.84</v>
      </c>
      <c r="P247" s="450">
        <v>80.739999999999995</v>
      </c>
      <c r="Q247" s="450" t="s">
        <v>556</v>
      </c>
      <c r="R247" s="450" t="s">
        <v>556</v>
      </c>
      <c r="S247" s="450" t="s">
        <v>556</v>
      </c>
      <c r="T247" s="133"/>
      <c r="U247" s="134">
        <v>79</v>
      </c>
      <c r="V247" s="450">
        <v>80.599999999999994</v>
      </c>
      <c r="W247" s="450">
        <v>80.760000000000005</v>
      </c>
      <c r="X247" s="450">
        <v>80.91</v>
      </c>
      <c r="Y247" s="450">
        <v>81.05</v>
      </c>
      <c r="Z247" s="450">
        <v>81.180000000000007</v>
      </c>
      <c r="AA247" s="450">
        <v>81.290000000000006</v>
      </c>
      <c r="AB247" s="450">
        <v>81.400000000000006</v>
      </c>
      <c r="AC247" s="450">
        <v>81.5</v>
      </c>
      <c r="AD247" s="450">
        <v>81.59</v>
      </c>
      <c r="AE247" s="450">
        <v>81.66</v>
      </c>
      <c r="AF247" s="450">
        <v>81.73</v>
      </c>
      <c r="AG247" s="450">
        <v>81.78</v>
      </c>
      <c r="AH247" s="450">
        <v>81.900000000000006</v>
      </c>
      <c r="AI247" s="450">
        <v>81.84</v>
      </c>
      <c r="AJ247" s="450" t="s">
        <v>556</v>
      </c>
      <c r="AK247" s="450" t="s">
        <v>556</v>
      </c>
      <c r="AL247" s="450" t="s">
        <v>556</v>
      </c>
      <c r="AM247" s="133"/>
      <c r="AN247" s="134">
        <v>79</v>
      </c>
      <c r="AO247" s="450">
        <v>81.709999999999994</v>
      </c>
      <c r="AP247" s="450">
        <v>81.88</v>
      </c>
      <c r="AQ247" s="450">
        <v>82.04</v>
      </c>
      <c r="AR247" s="450">
        <v>82.19</v>
      </c>
      <c r="AS247" s="450">
        <v>82.32</v>
      </c>
      <c r="AT247" s="450">
        <v>82.45</v>
      </c>
      <c r="AU247" s="450">
        <v>82.57</v>
      </c>
      <c r="AV247" s="450">
        <v>82.67</v>
      </c>
      <c r="AW247" s="450">
        <v>82.76</v>
      </c>
      <c r="AX247" s="450">
        <v>82.84</v>
      </c>
      <c r="AY247" s="450">
        <v>82.91</v>
      </c>
      <c r="AZ247" s="450">
        <v>82.96</v>
      </c>
      <c r="BA247" s="450">
        <v>83.08</v>
      </c>
      <c r="BB247" s="450">
        <v>83.01</v>
      </c>
      <c r="BC247" s="450" t="s">
        <v>556</v>
      </c>
      <c r="BD247" s="450" t="s">
        <v>556</v>
      </c>
      <c r="BE247" s="450" t="s">
        <v>556</v>
      </c>
    </row>
    <row r="248" spans="2:57" x14ac:dyDescent="0.25">
      <c r="B248" s="134">
        <v>80</v>
      </c>
      <c r="C248" s="450">
        <v>80.03</v>
      </c>
      <c r="D248" s="450">
        <v>80.17</v>
      </c>
      <c r="E248" s="450">
        <v>80.3</v>
      </c>
      <c r="F248" s="450">
        <v>80.42</v>
      </c>
      <c r="G248" s="450">
        <v>80.53</v>
      </c>
      <c r="H248" s="450">
        <v>80.62</v>
      </c>
      <c r="I248" s="450">
        <v>80.709999999999994</v>
      </c>
      <c r="J248" s="450">
        <v>80.78</v>
      </c>
      <c r="K248" s="450">
        <v>80.84</v>
      </c>
      <c r="L248" s="450">
        <v>80.900000000000006</v>
      </c>
      <c r="M248" s="450">
        <v>80.94</v>
      </c>
      <c r="N248" s="450">
        <v>80.97</v>
      </c>
      <c r="O248" s="450">
        <v>80.97</v>
      </c>
      <c r="P248" s="450" t="s">
        <v>556</v>
      </c>
      <c r="Q248" s="450" t="s">
        <v>556</v>
      </c>
      <c r="R248" s="450" t="s">
        <v>556</v>
      </c>
      <c r="S248" s="450" t="s">
        <v>556</v>
      </c>
      <c r="T248" s="133"/>
      <c r="U248" s="134">
        <v>80</v>
      </c>
      <c r="V248" s="450">
        <v>80.930000000000007</v>
      </c>
      <c r="W248" s="450">
        <v>81.08</v>
      </c>
      <c r="X248" s="450">
        <v>81.23</v>
      </c>
      <c r="Y248" s="450">
        <v>81.36</v>
      </c>
      <c r="Z248" s="450">
        <v>81.48</v>
      </c>
      <c r="AA248" s="450">
        <v>81.599999999999994</v>
      </c>
      <c r="AB248" s="450">
        <v>81.7</v>
      </c>
      <c r="AC248" s="450">
        <v>81.78</v>
      </c>
      <c r="AD248" s="450">
        <v>81.86</v>
      </c>
      <c r="AE248" s="450">
        <v>81.92</v>
      </c>
      <c r="AF248" s="450">
        <v>81.98</v>
      </c>
      <c r="AG248" s="450">
        <v>82.02</v>
      </c>
      <c r="AH248" s="450">
        <v>82.08</v>
      </c>
      <c r="AI248" s="450" t="s">
        <v>556</v>
      </c>
      <c r="AJ248" s="450" t="s">
        <v>556</v>
      </c>
      <c r="AK248" s="450" t="s">
        <v>556</v>
      </c>
      <c r="AL248" s="450" t="s">
        <v>556</v>
      </c>
      <c r="AM248" s="133"/>
      <c r="AN248" s="134">
        <v>80</v>
      </c>
      <c r="AO248" s="450">
        <v>82.06</v>
      </c>
      <c r="AP248" s="450">
        <v>82.22</v>
      </c>
      <c r="AQ248" s="450">
        <v>82.38</v>
      </c>
      <c r="AR248" s="450">
        <v>82.52</v>
      </c>
      <c r="AS248" s="450">
        <v>82.65</v>
      </c>
      <c r="AT248" s="450">
        <v>82.77</v>
      </c>
      <c r="AU248" s="450">
        <v>82.88</v>
      </c>
      <c r="AV248" s="450">
        <v>82.97</v>
      </c>
      <c r="AW248" s="450">
        <v>83.05</v>
      </c>
      <c r="AX248" s="450">
        <v>83.12</v>
      </c>
      <c r="AY248" s="450">
        <v>83.18</v>
      </c>
      <c r="AZ248" s="450">
        <v>83.22</v>
      </c>
      <c r="BA248" s="450">
        <v>83.28</v>
      </c>
      <c r="BB248" s="450" t="s">
        <v>556</v>
      </c>
      <c r="BC248" s="450" t="s">
        <v>556</v>
      </c>
      <c r="BD248" s="450" t="s">
        <v>556</v>
      </c>
      <c r="BE248" s="450" t="s">
        <v>556</v>
      </c>
    </row>
    <row r="249" spans="2:57" x14ac:dyDescent="0.25">
      <c r="B249" s="134">
        <v>81</v>
      </c>
      <c r="C249" s="450">
        <v>80.319999999999993</v>
      </c>
      <c r="D249" s="450">
        <v>80.45</v>
      </c>
      <c r="E249" s="450">
        <v>80.569999999999993</v>
      </c>
      <c r="F249" s="450">
        <v>80.680000000000007</v>
      </c>
      <c r="G249" s="450">
        <v>80.78</v>
      </c>
      <c r="H249" s="450">
        <v>80.87</v>
      </c>
      <c r="I249" s="450">
        <v>80.94</v>
      </c>
      <c r="J249" s="450">
        <v>81</v>
      </c>
      <c r="K249" s="450">
        <v>81.05</v>
      </c>
      <c r="L249" s="450">
        <v>81.09</v>
      </c>
      <c r="M249" s="450">
        <v>81.12</v>
      </c>
      <c r="N249" s="450">
        <v>81.13</v>
      </c>
      <c r="O249" s="450">
        <v>81.069999999999993</v>
      </c>
      <c r="P249" s="450" t="s">
        <v>556</v>
      </c>
      <c r="Q249" s="450" t="s">
        <v>556</v>
      </c>
      <c r="R249" s="450" t="s">
        <v>556</v>
      </c>
      <c r="S249" s="450" t="s">
        <v>556</v>
      </c>
      <c r="T249" s="133"/>
      <c r="U249" s="134">
        <v>81</v>
      </c>
      <c r="V249" s="450">
        <v>81.25</v>
      </c>
      <c r="W249" s="450">
        <v>81.400000000000006</v>
      </c>
      <c r="X249" s="450">
        <v>81.53</v>
      </c>
      <c r="Y249" s="450">
        <v>81.66</v>
      </c>
      <c r="Z249" s="450">
        <v>81.78</v>
      </c>
      <c r="AA249" s="450">
        <v>81.88</v>
      </c>
      <c r="AB249" s="450">
        <v>81.97</v>
      </c>
      <c r="AC249" s="450">
        <v>82.04</v>
      </c>
      <c r="AD249" s="450">
        <v>82.11</v>
      </c>
      <c r="AE249" s="450">
        <v>82.16</v>
      </c>
      <c r="AF249" s="450">
        <v>82.2</v>
      </c>
      <c r="AG249" s="450">
        <v>82.23</v>
      </c>
      <c r="AH249" s="450">
        <v>82.22</v>
      </c>
      <c r="AI249" s="450" t="s">
        <v>556</v>
      </c>
      <c r="AJ249" s="450" t="s">
        <v>556</v>
      </c>
      <c r="AK249" s="450" t="s">
        <v>556</v>
      </c>
      <c r="AL249" s="450" t="s">
        <v>556</v>
      </c>
      <c r="AM249" s="133"/>
      <c r="AN249" s="134">
        <v>81</v>
      </c>
      <c r="AO249" s="450">
        <v>82.4</v>
      </c>
      <c r="AP249" s="450">
        <v>82.56</v>
      </c>
      <c r="AQ249" s="450">
        <v>82.71</v>
      </c>
      <c r="AR249" s="450">
        <v>82.84</v>
      </c>
      <c r="AS249" s="450">
        <v>82.96</v>
      </c>
      <c r="AT249" s="450">
        <v>83.07</v>
      </c>
      <c r="AU249" s="450">
        <v>83.17</v>
      </c>
      <c r="AV249" s="450">
        <v>83.25</v>
      </c>
      <c r="AW249" s="450">
        <v>83.32</v>
      </c>
      <c r="AX249" s="450">
        <v>83.37</v>
      </c>
      <c r="AY249" s="450">
        <v>83.42</v>
      </c>
      <c r="AZ249" s="450">
        <v>83.45</v>
      </c>
      <c r="BA249" s="450">
        <v>83.43</v>
      </c>
      <c r="BB249" s="450" t="s">
        <v>556</v>
      </c>
      <c r="BC249" s="450" t="s">
        <v>556</v>
      </c>
      <c r="BD249" s="450" t="s">
        <v>556</v>
      </c>
      <c r="BE249" s="450" t="s">
        <v>556</v>
      </c>
    </row>
    <row r="250" spans="2:57" x14ac:dyDescent="0.25">
      <c r="B250" s="134">
        <v>82</v>
      </c>
      <c r="C250" s="450">
        <v>80.59</v>
      </c>
      <c r="D250" s="450">
        <v>80.72</v>
      </c>
      <c r="E250" s="450">
        <v>80.83</v>
      </c>
      <c r="F250" s="450">
        <v>80.930000000000007</v>
      </c>
      <c r="G250" s="450">
        <v>81.010000000000005</v>
      </c>
      <c r="H250" s="450">
        <v>81.08</v>
      </c>
      <c r="I250" s="450">
        <v>81.150000000000006</v>
      </c>
      <c r="J250" s="450">
        <v>81.19</v>
      </c>
      <c r="K250" s="450">
        <v>81.23</v>
      </c>
      <c r="L250" s="450">
        <v>81.25</v>
      </c>
      <c r="M250" s="450">
        <v>81.260000000000005</v>
      </c>
      <c r="N250" s="450">
        <v>81.260000000000005</v>
      </c>
      <c r="O250" s="450">
        <v>81.11</v>
      </c>
      <c r="P250" s="450" t="s">
        <v>556</v>
      </c>
      <c r="Q250" s="450" t="s">
        <v>556</v>
      </c>
      <c r="R250" s="450" t="s">
        <v>556</v>
      </c>
      <c r="S250" s="450" t="s">
        <v>556</v>
      </c>
      <c r="T250" s="133"/>
      <c r="U250" s="134">
        <v>82</v>
      </c>
      <c r="V250" s="450">
        <v>81.56</v>
      </c>
      <c r="W250" s="450">
        <v>81.7</v>
      </c>
      <c r="X250" s="450">
        <v>81.83</v>
      </c>
      <c r="Y250" s="450">
        <v>81.94</v>
      </c>
      <c r="Z250" s="450">
        <v>82.05</v>
      </c>
      <c r="AA250" s="450">
        <v>82.13</v>
      </c>
      <c r="AB250" s="450">
        <v>82.21</v>
      </c>
      <c r="AC250" s="450">
        <v>82.27</v>
      </c>
      <c r="AD250" s="450">
        <v>82.32</v>
      </c>
      <c r="AE250" s="450">
        <v>82.36</v>
      </c>
      <c r="AF250" s="450">
        <v>82.38</v>
      </c>
      <c r="AG250" s="450">
        <v>82.4</v>
      </c>
      <c r="AH250" s="450">
        <v>82.31</v>
      </c>
      <c r="AI250" s="450" t="s">
        <v>556</v>
      </c>
      <c r="AJ250" s="450" t="s">
        <v>556</v>
      </c>
      <c r="AK250" s="450" t="s">
        <v>556</v>
      </c>
      <c r="AL250" s="450" t="s">
        <v>556</v>
      </c>
      <c r="AM250" s="133"/>
      <c r="AN250" s="134">
        <v>82</v>
      </c>
      <c r="AO250" s="450">
        <v>82.73</v>
      </c>
      <c r="AP250" s="450">
        <v>82.88</v>
      </c>
      <c r="AQ250" s="450">
        <v>83.02</v>
      </c>
      <c r="AR250" s="450">
        <v>83.14</v>
      </c>
      <c r="AS250" s="450">
        <v>83.25</v>
      </c>
      <c r="AT250" s="450">
        <v>83.35</v>
      </c>
      <c r="AU250" s="450">
        <v>83.43</v>
      </c>
      <c r="AV250" s="450">
        <v>83.5</v>
      </c>
      <c r="AW250" s="450">
        <v>83.55</v>
      </c>
      <c r="AX250" s="450">
        <v>83.59</v>
      </c>
      <c r="AY250" s="450">
        <v>83.62</v>
      </c>
      <c r="AZ250" s="450">
        <v>83.63</v>
      </c>
      <c r="BA250" s="450">
        <v>83.54</v>
      </c>
      <c r="BB250" s="450" t="s">
        <v>556</v>
      </c>
      <c r="BC250" s="450" t="s">
        <v>556</v>
      </c>
      <c r="BD250" s="450" t="s">
        <v>556</v>
      </c>
      <c r="BE250" s="450" t="s">
        <v>556</v>
      </c>
    </row>
    <row r="251" spans="2:57" x14ac:dyDescent="0.25">
      <c r="B251" s="134">
        <v>83</v>
      </c>
      <c r="C251" s="450">
        <v>80.849999999999994</v>
      </c>
      <c r="D251" s="450">
        <v>80.959999999999994</v>
      </c>
      <c r="E251" s="450">
        <v>81.06</v>
      </c>
      <c r="F251" s="450">
        <v>81.14</v>
      </c>
      <c r="G251" s="450">
        <v>81.209999999999994</v>
      </c>
      <c r="H251" s="450">
        <v>81.27</v>
      </c>
      <c r="I251" s="450">
        <v>81.319999999999993</v>
      </c>
      <c r="J251" s="450">
        <v>81.349999999999994</v>
      </c>
      <c r="K251" s="450">
        <v>81.36</v>
      </c>
      <c r="L251" s="450">
        <v>81.37</v>
      </c>
      <c r="M251" s="450">
        <v>81.36</v>
      </c>
      <c r="N251" s="450">
        <v>81.34</v>
      </c>
      <c r="O251" s="450">
        <v>81.11</v>
      </c>
      <c r="P251" s="450" t="s">
        <v>556</v>
      </c>
      <c r="Q251" s="450" t="s">
        <v>556</v>
      </c>
      <c r="R251" s="450" t="s">
        <v>556</v>
      </c>
      <c r="S251" s="450" t="s">
        <v>556</v>
      </c>
      <c r="T251" s="133"/>
      <c r="U251" s="134">
        <v>83</v>
      </c>
      <c r="V251" s="450">
        <v>81.849999999999994</v>
      </c>
      <c r="W251" s="450">
        <v>81.98</v>
      </c>
      <c r="X251" s="450">
        <v>82.1</v>
      </c>
      <c r="Y251" s="450">
        <v>82.2</v>
      </c>
      <c r="Z251" s="450">
        <v>82.29</v>
      </c>
      <c r="AA251" s="450">
        <v>82.36</v>
      </c>
      <c r="AB251" s="450">
        <v>82.42</v>
      </c>
      <c r="AC251" s="450">
        <v>82.47</v>
      </c>
      <c r="AD251" s="450">
        <v>82.5</v>
      </c>
      <c r="AE251" s="450">
        <v>82.52</v>
      </c>
      <c r="AF251" s="450">
        <v>82.53</v>
      </c>
      <c r="AG251" s="450">
        <v>82.52</v>
      </c>
      <c r="AH251" s="450">
        <v>82.35</v>
      </c>
      <c r="AI251" s="450" t="s">
        <v>556</v>
      </c>
      <c r="AJ251" s="450" t="s">
        <v>556</v>
      </c>
      <c r="AK251" s="450" t="s">
        <v>556</v>
      </c>
      <c r="AL251" s="450" t="s">
        <v>556</v>
      </c>
      <c r="AM251" s="133"/>
      <c r="AN251" s="134">
        <v>83</v>
      </c>
      <c r="AO251" s="450">
        <v>83.04</v>
      </c>
      <c r="AP251" s="450">
        <v>83.18</v>
      </c>
      <c r="AQ251" s="450">
        <v>83.31</v>
      </c>
      <c r="AR251" s="450">
        <v>83.42</v>
      </c>
      <c r="AS251" s="450">
        <v>83.52</v>
      </c>
      <c r="AT251" s="450">
        <v>83.6</v>
      </c>
      <c r="AU251" s="450">
        <v>83.67</v>
      </c>
      <c r="AV251" s="450">
        <v>83.72</v>
      </c>
      <c r="AW251" s="450">
        <v>83.75</v>
      </c>
      <c r="AX251" s="450">
        <v>83.77</v>
      </c>
      <c r="AY251" s="450">
        <v>83.78</v>
      </c>
      <c r="AZ251" s="450">
        <v>83.78</v>
      </c>
      <c r="BA251" s="450">
        <v>83.59</v>
      </c>
      <c r="BB251" s="450" t="s">
        <v>556</v>
      </c>
      <c r="BC251" s="450" t="s">
        <v>556</v>
      </c>
      <c r="BD251" s="450" t="s">
        <v>556</v>
      </c>
      <c r="BE251" s="450" t="s">
        <v>556</v>
      </c>
    </row>
    <row r="252" spans="2:57" x14ac:dyDescent="0.25">
      <c r="B252" s="134">
        <v>84</v>
      </c>
      <c r="C252" s="450">
        <v>81.08</v>
      </c>
      <c r="D252" s="450">
        <v>81.180000000000007</v>
      </c>
      <c r="E252" s="450">
        <v>81.260000000000005</v>
      </c>
      <c r="F252" s="450">
        <v>81.33</v>
      </c>
      <c r="G252" s="450">
        <v>81.38</v>
      </c>
      <c r="H252" s="450">
        <v>81.42</v>
      </c>
      <c r="I252" s="450">
        <v>81.45</v>
      </c>
      <c r="J252" s="450">
        <v>81.459999999999994</v>
      </c>
      <c r="K252" s="450">
        <v>81.45</v>
      </c>
      <c r="L252" s="450">
        <v>81.44</v>
      </c>
      <c r="M252" s="450">
        <v>81.41</v>
      </c>
      <c r="N252" s="450">
        <v>81.37</v>
      </c>
      <c r="O252" s="450">
        <v>81.040000000000006</v>
      </c>
      <c r="P252" s="450" t="s">
        <v>556</v>
      </c>
      <c r="Q252" s="450" t="s">
        <v>556</v>
      </c>
      <c r="R252" s="450" t="s">
        <v>556</v>
      </c>
      <c r="S252" s="450" t="s">
        <v>556</v>
      </c>
      <c r="T252" s="133"/>
      <c r="U252" s="134">
        <v>84</v>
      </c>
      <c r="V252" s="450">
        <v>82.12</v>
      </c>
      <c r="W252" s="450">
        <v>82.24</v>
      </c>
      <c r="X252" s="450">
        <v>82.34</v>
      </c>
      <c r="Y252" s="450">
        <v>82.42</v>
      </c>
      <c r="Z252" s="450">
        <v>82.5</v>
      </c>
      <c r="AA252" s="450">
        <v>82.55</v>
      </c>
      <c r="AB252" s="450">
        <v>82.6</v>
      </c>
      <c r="AC252" s="450">
        <v>82.62</v>
      </c>
      <c r="AD252" s="450">
        <v>82.64</v>
      </c>
      <c r="AE252" s="450">
        <v>82.64</v>
      </c>
      <c r="AF252" s="450">
        <v>82.62</v>
      </c>
      <c r="AG252" s="450">
        <v>82.6</v>
      </c>
      <c r="AH252" s="450">
        <v>82.34</v>
      </c>
      <c r="AI252" s="450" t="s">
        <v>556</v>
      </c>
      <c r="AJ252" s="450" t="s">
        <v>556</v>
      </c>
      <c r="AK252" s="450" t="s">
        <v>556</v>
      </c>
      <c r="AL252" s="450" t="s">
        <v>556</v>
      </c>
      <c r="AM252" s="133"/>
      <c r="AN252" s="134">
        <v>84</v>
      </c>
      <c r="AO252" s="450">
        <v>83.33</v>
      </c>
      <c r="AP252" s="450">
        <v>83.46</v>
      </c>
      <c r="AQ252" s="450">
        <v>83.57</v>
      </c>
      <c r="AR252" s="450">
        <v>83.67</v>
      </c>
      <c r="AS252" s="450">
        <v>83.75</v>
      </c>
      <c r="AT252" s="450">
        <v>83.81</v>
      </c>
      <c r="AU252" s="450">
        <v>83.86</v>
      </c>
      <c r="AV252" s="450">
        <v>83.89</v>
      </c>
      <c r="AW252" s="450">
        <v>83.91</v>
      </c>
      <c r="AX252" s="450">
        <v>83.91</v>
      </c>
      <c r="AY252" s="450">
        <v>83.89</v>
      </c>
      <c r="AZ252" s="450">
        <v>83.87</v>
      </c>
      <c r="BA252" s="450">
        <v>83.59</v>
      </c>
      <c r="BB252" s="450" t="s">
        <v>556</v>
      </c>
      <c r="BC252" s="450" t="s">
        <v>556</v>
      </c>
      <c r="BD252" s="450" t="s">
        <v>556</v>
      </c>
      <c r="BE252" s="450" t="s">
        <v>556</v>
      </c>
    </row>
    <row r="253" spans="2:57" x14ac:dyDescent="0.25">
      <c r="B253" s="134">
        <v>85</v>
      </c>
      <c r="C253" s="450">
        <v>81.28</v>
      </c>
      <c r="D253" s="450">
        <v>81.36</v>
      </c>
      <c r="E253" s="450">
        <v>81.42</v>
      </c>
      <c r="F253" s="450">
        <v>81.47</v>
      </c>
      <c r="G253" s="450">
        <v>81.510000000000005</v>
      </c>
      <c r="H253" s="450">
        <v>81.52</v>
      </c>
      <c r="I253" s="450">
        <v>81.53</v>
      </c>
      <c r="J253" s="450">
        <v>81.52</v>
      </c>
      <c r="K253" s="450">
        <v>81.489999999999995</v>
      </c>
      <c r="L253" s="450">
        <v>81.45</v>
      </c>
      <c r="M253" s="450">
        <v>81.400000000000006</v>
      </c>
      <c r="N253" s="450">
        <v>81.34</v>
      </c>
      <c r="O253" s="450" t="s">
        <v>556</v>
      </c>
      <c r="P253" s="450" t="s">
        <v>556</v>
      </c>
      <c r="Q253" s="450" t="s">
        <v>556</v>
      </c>
      <c r="R253" s="450" t="s">
        <v>556</v>
      </c>
      <c r="S253" s="450" t="s">
        <v>556</v>
      </c>
      <c r="T253" s="133"/>
      <c r="U253" s="134">
        <v>85</v>
      </c>
      <c r="V253" s="450">
        <v>82.36</v>
      </c>
      <c r="W253" s="450">
        <v>82.46</v>
      </c>
      <c r="X253" s="450">
        <v>82.55</v>
      </c>
      <c r="Y253" s="450">
        <v>82.61</v>
      </c>
      <c r="Z253" s="450">
        <v>82.67</v>
      </c>
      <c r="AA253" s="450">
        <v>82.7</v>
      </c>
      <c r="AB253" s="450">
        <v>82.73</v>
      </c>
      <c r="AC253" s="450">
        <v>82.73</v>
      </c>
      <c r="AD253" s="450">
        <v>82.72</v>
      </c>
      <c r="AE253" s="450">
        <v>82.7</v>
      </c>
      <c r="AF253" s="450">
        <v>82.66</v>
      </c>
      <c r="AG253" s="450">
        <v>82.62</v>
      </c>
      <c r="AH253" s="450" t="s">
        <v>556</v>
      </c>
      <c r="AI253" s="450" t="s">
        <v>556</v>
      </c>
      <c r="AJ253" s="450" t="s">
        <v>556</v>
      </c>
      <c r="AK253" s="450" t="s">
        <v>556</v>
      </c>
      <c r="AL253" s="450" t="s">
        <v>556</v>
      </c>
      <c r="AM253" s="133"/>
      <c r="AN253" s="134">
        <v>85</v>
      </c>
      <c r="AO253" s="450">
        <v>83.59</v>
      </c>
      <c r="AP253" s="450">
        <v>83.7</v>
      </c>
      <c r="AQ253" s="450">
        <v>83.8</v>
      </c>
      <c r="AR253" s="450">
        <v>83.87</v>
      </c>
      <c r="AS253" s="450">
        <v>83.93</v>
      </c>
      <c r="AT253" s="450">
        <v>83.98</v>
      </c>
      <c r="AU253" s="450">
        <v>84</v>
      </c>
      <c r="AV253" s="450">
        <v>84.01</v>
      </c>
      <c r="AW253" s="450">
        <v>84.01</v>
      </c>
      <c r="AX253" s="450">
        <v>83.99</v>
      </c>
      <c r="AY253" s="450">
        <v>83.95</v>
      </c>
      <c r="AZ253" s="450">
        <v>83.9</v>
      </c>
      <c r="BA253" s="450" t="s">
        <v>556</v>
      </c>
      <c r="BB253" s="450" t="s">
        <v>556</v>
      </c>
      <c r="BC253" s="450" t="s">
        <v>556</v>
      </c>
      <c r="BD253" s="450" t="s">
        <v>556</v>
      </c>
      <c r="BE253" s="450" t="s">
        <v>556</v>
      </c>
    </row>
    <row r="254" spans="2:57" x14ac:dyDescent="0.25">
      <c r="B254" s="134">
        <v>86</v>
      </c>
      <c r="C254" s="450">
        <v>81.44</v>
      </c>
      <c r="D254" s="450">
        <v>81.5</v>
      </c>
      <c r="E254" s="450">
        <v>81.55</v>
      </c>
      <c r="F254" s="450">
        <v>81.569999999999993</v>
      </c>
      <c r="G254" s="450">
        <v>81.58</v>
      </c>
      <c r="H254" s="450">
        <v>81.58</v>
      </c>
      <c r="I254" s="450">
        <v>81.56</v>
      </c>
      <c r="J254" s="450">
        <v>81.52</v>
      </c>
      <c r="K254" s="450">
        <v>81.47</v>
      </c>
      <c r="L254" s="450">
        <v>81.41</v>
      </c>
      <c r="M254" s="450">
        <v>81.33</v>
      </c>
      <c r="N254" s="450">
        <v>81.239999999999995</v>
      </c>
      <c r="O254" s="450" t="s">
        <v>556</v>
      </c>
      <c r="P254" s="450" t="s">
        <v>556</v>
      </c>
      <c r="Q254" s="450" t="s">
        <v>556</v>
      </c>
      <c r="R254" s="450" t="s">
        <v>556</v>
      </c>
      <c r="S254" s="450" t="s">
        <v>556</v>
      </c>
      <c r="T254" s="133"/>
      <c r="U254" s="134">
        <v>86</v>
      </c>
      <c r="V254" s="450">
        <v>82.57</v>
      </c>
      <c r="W254" s="450">
        <v>82.65</v>
      </c>
      <c r="X254" s="450">
        <v>82.71</v>
      </c>
      <c r="Y254" s="450">
        <v>82.76</v>
      </c>
      <c r="Z254" s="450">
        <v>82.79</v>
      </c>
      <c r="AA254" s="450">
        <v>82.8</v>
      </c>
      <c r="AB254" s="450">
        <v>82.8</v>
      </c>
      <c r="AC254" s="450">
        <v>82.78</v>
      </c>
      <c r="AD254" s="450">
        <v>82.75</v>
      </c>
      <c r="AE254" s="450">
        <v>82.7</v>
      </c>
      <c r="AF254" s="450">
        <v>82.64</v>
      </c>
      <c r="AG254" s="450">
        <v>82.57</v>
      </c>
      <c r="AH254" s="450" t="s">
        <v>556</v>
      </c>
      <c r="AI254" s="450" t="s">
        <v>556</v>
      </c>
      <c r="AJ254" s="450" t="s">
        <v>556</v>
      </c>
      <c r="AK254" s="450" t="s">
        <v>556</v>
      </c>
      <c r="AL254" s="450" t="s">
        <v>556</v>
      </c>
      <c r="AM254" s="133"/>
      <c r="AN254" s="134">
        <v>86</v>
      </c>
      <c r="AO254" s="450">
        <v>83.82</v>
      </c>
      <c r="AP254" s="450">
        <v>83.91</v>
      </c>
      <c r="AQ254" s="450">
        <v>83.98</v>
      </c>
      <c r="AR254" s="450">
        <v>84.04</v>
      </c>
      <c r="AS254" s="450">
        <v>84.08</v>
      </c>
      <c r="AT254" s="450">
        <v>84.1</v>
      </c>
      <c r="AU254" s="450">
        <v>84.1</v>
      </c>
      <c r="AV254" s="450">
        <v>84.08</v>
      </c>
      <c r="AW254" s="450">
        <v>84.05</v>
      </c>
      <c r="AX254" s="450">
        <v>84</v>
      </c>
      <c r="AY254" s="450">
        <v>83.94</v>
      </c>
      <c r="AZ254" s="450">
        <v>83.87</v>
      </c>
      <c r="BA254" s="450" t="s">
        <v>556</v>
      </c>
      <c r="BB254" s="450" t="s">
        <v>556</v>
      </c>
      <c r="BC254" s="450" t="s">
        <v>556</v>
      </c>
      <c r="BD254" s="450" t="s">
        <v>556</v>
      </c>
      <c r="BE254" s="450" t="s">
        <v>556</v>
      </c>
    </row>
    <row r="255" spans="2:57" x14ac:dyDescent="0.25">
      <c r="B255" s="134">
        <v>87</v>
      </c>
      <c r="C255" s="450">
        <v>81.569999999999993</v>
      </c>
      <c r="D255" s="450">
        <v>81.599999999999994</v>
      </c>
      <c r="E255" s="450">
        <v>81.62</v>
      </c>
      <c r="F255" s="450">
        <v>81.62</v>
      </c>
      <c r="G255" s="450">
        <v>81.599999999999994</v>
      </c>
      <c r="H255" s="450">
        <v>81.569999999999993</v>
      </c>
      <c r="I255" s="450">
        <v>81.52</v>
      </c>
      <c r="J255" s="450">
        <v>81.459999999999994</v>
      </c>
      <c r="K255" s="450">
        <v>81.38</v>
      </c>
      <c r="L255" s="450">
        <v>81.290000000000006</v>
      </c>
      <c r="M255" s="450">
        <v>81.180000000000007</v>
      </c>
      <c r="N255" s="450">
        <v>81.069999999999993</v>
      </c>
      <c r="O255" s="450" t="s">
        <v>556</v>
      </c>
      <c r="P255" s="450" t="s">
        <v>556</v>
      </c>
      <c r="Q255" s="450" t="s">
        <v>556</v>
      </c>
      <c r="R255" s="450" t="s">
        <v>556</v>
      </c>
      <c r="S255" s="450" t="s">
        <v>556</v>
      </c>
      <c r="T255" s="133"/>
      <c r="U255" s="134">
        <v>87</v>
      </c>
      <c r="V255" s="450">
        <v>82.74</v>
      </c>
      <c r="W255" s="450">
        <v>82.79</v>
      </c>
      <c r="X255" s="450">
        <v>82.83</v>
      </c>
      <c r="Y255" s="450">
        <v>82.85</v>
      </c>
      <c r="Z255" s="450">
        <v>82.86</v>
      </c>
      <c r="AA255" s="450">
        <v>82.84</v>
      </c>
      <c r="AB255" s="450">
        <v>82.81</v>
      </c>
      <c r="AC255" s="450">
        <v>82.77</v>
      </c>
      <c r="AD255" s="450">
        <v>82.71</v>
      </c>
      <c r="AE255" s="450">
        <v>82.63</v>
      </c>
      <c r="AF255" s="450">
        <v>82.55</v>
      </c>
      <c r="AG255" s="450">
        <v>82.45</v>
      </c>
      <c r="AH255" s="450" t="s">
        <v>556</v>
      </c>
      <c r="AI255" s="450" t="s">
        <v>556</v>
      </c>
      <c r="AJ255" s="450" t="s">
        <v>556</v>
      </c>
      <c r="AK255" s="450" t="s">
        <v>556</v>
      </c>
      <c r="AL255" s="450" t="s">
        <v>556</v>
      </c>
      <c r="AM255" s="133"/>
      <c r="AN255" s="134">
        <v>87</v>
      </c>
      <c r="AO255" s="450">
        <v>84</v>
      </c>
      <c r="AP255" s="450">
        <v>84.07</v>
      </c>
      <c r="AQ255" s="450">
        <v>84.12</v>
      </c>
      <c r="AR255" s="450">
        <v>84.15</v>
      </c>
      <c r="AS255" s="450">
        <v>84.16</v>
      </c>
      <c r="AT255" s="450">
        <v>84.15</v>
      </c>
      <c r="AU255" s="450">
        <v>84.13</v>
      </c>
      <c r="AV255" s="450">
        <v>84.09</v>
      </c>
      <c r="AW255" s="450">
        <v>84.03</v>
      </c>
      <c r="AX255" s="450">
        <v>83.95</v>
      </c>
      <c r="AY255" s="450">
        <v>83.86</v>
      </c>
      <c r="AZ255" s="450">
        <v>83.76</v>
      </c>
      <c r="BA255" s="450" t="s">
        <v>556</v>
      </c>
      <c r="BB255" s="450" t="s">
        <v>556</v>
      </c>
      <c r="BC255" s="450" t="s">
        <v>556</v>
      </c>
      <c r="BD255" s="450" t="s">
        <v>556</v>
      </c>
      <c r="BE255" s="450" t="s">
        <v>556</v>
      </c>
    </row>
    <row r="256" spans="2:57" x14ac:dyDescent="0.25">
      <c r="B256" s="134">
        <v>88</v>
      </c>
      <c r="C256" s="450">
        <v>81.64</v>
      </c>
      <c r="D256" s="450">
        <v>81.650000000000006</v>
      </c>
      <c r="E256" s="450">
        <v>81.64</v>
      </c>
      <c r="F256" s="450">
        <v>81.61</v>
      </c>
      <c r="G256" s="450">
        <v>81.56</v>
      </c>
      <c r="H256" s="450">
        <v>81.5</v>
      </c>
      <c r="I256" s="450">
        <v>81.42</v>
      </c>
      <c r="J256" s="450">
        <v>81.319999999999993</v>
      </c>
      <c r="K256" s="450">
        <v>81.209999999999994</v>
      </c>
      <c r="L256" s="450">
        <v>81.09</v>
      </c>
      <c r="M256" s="450">
        <v>80.959999999999994</v>
      </c>
      <c r="N256" s="450">
        <v>80.819999999999993</v>
      </c>
      <c r="O256" s="450" t="s">
        <v>556</v>
      </c>
      <c r="P256" s="450" t="s">
        <v>556</v>
      </c>
      <c r="Q256" s="450" t="s">
        <v>556</v>
      </c>
      <c r="R256" s="450" t="s">
        <v>556</v>
      </c>
      <c r="S256" s="450" t="s">
        <v>556</v>
      </c>
      <c r="T256" s="133"/>
      <c r="U256" s="134">
        <v>88</v>
      </c>
      <c r="V256" s="450">
        <v>82.85</v>
      </c>
      <c r="W256" s="450">
        <v>82.88</v>
      </c>
      <c r="X256" s="450">
        <v>82.89</v>
      </c>
      <c r="Y256" s="450">
        <v>82.89</v>
      </c>
      <c r="Z256" s="450">
        <v>82.86</v>
      </c>
      <c r="AA256" s="450">
        <v>82.82</v>
      </c>
      <c r="AB256" s="450">
        <v>82.76</v>
      </c>
      <c r="AC256" s="450">
        <v>82.68</v>
      </c>
      <c r="AD256" s="450">
        <v>82.59</v>
      </c>
      <c r="AE256" s="450">
        <v>82.49</v>
      </c>
      <c r="AF256" s="450">
        <v>82.38</v>
      </c>
      <c r="AG256" s="450">
        <v>82.25</v>
      </c>
      <c r="AH256" s="450" t="s">
        <v>556</v>
      </c>
      <c r="AI256" s="450" t="s">
        <v>556</v>
      </c>
      <c r="AJ256" s="450" t="s">
        <v>556</v>
      </c>
      <c r="AK256" s="450" t="s">
        <v>556</v>
      </c>
      <c r="AL256" s="450" t="s">
        <v>556</v>
      </c>
      <c r="AM256" s="133"/>
      <c r="AN256" s="134">
        <v>88</v>
      </c>
      <c r="AO256" s="450">
        <v>84.14</v>
      </c>
      <c r="AP256" s="450">
        <v>84.18</v>
      </c>
      <c r="AQ256" s="450">
        <v>84.2</v>
      </c>
      <c r="AR256" s="450">
        <v>84.2</v>
      </c>
      <c r="AS256" s="450">
        <v>84.19</v>
      </c>
      <c r="AT256" s="450">
        <v>84.15</v>
      </c>
      <c r="AU256" s="450">
        <v>84.09</v>
      </c>
      <c r="AV256" s="450">
        <v>84.02</v>
      </c>
      <c r="AW256" s="450">
        <v>83.93</v>
      </c>
      <c r="AX256" s="450">
        <v>83.82</v>
      </c>
      <c r="AY256" s="450">
        <v>83.71</v>
      </c>
      <c r="AZ256" s="450">
        <v>83.58</v>
      </c>
      <c r="BA256" s="450" t="s">
        <v>556</v>
      </c>
      <c r="BB256" s="450" t="s">
        <v>556</v>
      </c>
      <c r="BC256" s="450" t="s">
        <v>556</v>
      </c>
      <c r="BD256" s="450" t="s">
        <v>556</v>
      </c>
      <c r="BE256" s="450" t="s">
        <v>556</v>
      </c>
    </row>
    <row r="257" spans="2:57" x14ac:dyDescent="0.25">
      <c r="B257" s="134">
        <v>89</v>
      </c>
      <c r="C257" s="450">
        <v>81.650000000000006</v>
      </c>
      <c r="D257" s="450">
        <v>81.63</v>
      </c>
      <c r="E257" s="450">
        <v>81.59</v>
      </c>
      <c r="F257" s="450">
        <v>81.53</v>
      </c>
      <c r="G257" s="450">
        <v>81.45</v>
      </c>
      <c r="H257" s="450">
        <v>81.349999999999994</v>
      </c>
      <c r="I257" s="450">
        <v>81.239999999999995</v>
      </c>
      <c r="J257" s="450">
        <v>81.11</v>
      </c>
      <c r="K257" s="450">
        <v>80.97</v>
      </c>
      <c r="L257" s="450">
        <v>80.81</v>
      </c>
      <c r="M257" s="450">
        <v>80.650000000000006</v>
      </c>
      <c r="N257" s="450">
        <v>80.47</v>
      </c>
      <c r="O257" s="450" t="s">
        <v>556</v>
      </c>
      <c r="P257" s="450" t="s">
        <v>556</v>
      </c>
      <c r="Q257" s="450" t="s">
        <v>556</v>
      </c>
      <c r="R257" s="450" t="s">
        <v>556</v>
      </c>
      <c r="S257" s="450" t="s">
        <v>556</v>
      </c>
      <c r="T257" s="133"/>
      <c r="U257" s="134">
        <v>89</v>
      </c>
      <c r="V257" s="450">
        <v>82.92</v>
      </c>
      <c r="W257" s="450">
        <v>82.92</v>
      </c>
      <c r="X257" s="450">
        <v>82.9</v>
      </c>
      <c r="Y257" s="450">
        <v>82.86</v>
      </c>
      <c r="Z257" s="450">
        <v>82.8</v>
      </c>
      <c r="AA257" s="450">
        <v>82.72</v>
      </c>
      <c r="AB257" s="450">
        <v>82.63</v>
      </c>
      <c r="AC257" s="450">
        <v>82.52</v>
      </c>
      <c r="AD257" s="450">
        <v>82.4</v>
      </c>
      <c r="AE257" s="450">
        <v>82.26</v>
      </c>
      <c r="AF257" s="450">
        <v>82.12</v>
      </c>
      <c r="AG257" s="450">
        <v>81.96</v>
      </c>
      <c r="AH257" s="450" t="s">
        <v>556</v>
      </c>
      <c r="AI257" s="450" t="s">
        <v>556</v>
      </c>
      <c r="AJ257" s="450" t="s">
        <v>556</v>
      </c>
      <c r="AK257" s="450" t="s">
        <v>556</v>
      </c>
      <c r="AL257" s="450" t="s">
        <v>556</v>
      </c>
      <c r="AM257" s="133"/>
      <c r="AN257" s="134">
        <v>89</v>
      </c>
      <c r="AO257" s="450">
        <v>84.22</v>
      </c>
      <c r="AP257" s="450">
        <v>84.23</v>
      </c>
      <c r="AQ257" s="450">
        <v>84.22</v>
      </c>
      <c r="AR257" s="450">
        <v>84.19</v>
      </c>
      <c r="AS257" s="450">
        <v>84.14</v>
      </c>
      <c r="AT257" s="450">
        <v>84.07</v>
      </c>
      <c r="AU257" s="450">
        <v>83.98</v>
      </c>
      <c r="AV257" s="450">
        <v>83.87</v>
      </c>
      <c r="AW257" s="450">
        <v>83.75</v>
      </c>
      <c r="AX257" s="450">
        <v>83.61</v>
      </c>
      <c r="AY257" s="450">
        <v>83.46</v>
      </c>
      <c r="AZ257" s="450">
        <v>83.3</v>
      </c>
      <c r="BA257" s="450" t="s">
        <v>556</v>
      </c>
      <c r="BB257" s="450" t="s">
        <v>556</v>
      </c>
      <c r="BC257" s="450" t="s">
        <v>556</v>
      </c>
      <c r="BD257" s="450" t="s">
        <v>556</v>
      </c>
      <c r="BE257" s="450" t="s">
        <v>556</v>
      </c>
    </row>
    <row r="258" spans="2:57" x14ac:dyDescent="0.25">
      <c r="B258" s="134">
        <v>90</v>
      </c>
      <c r="C258" s="450">
        <v>81.61</v>
      </c>
      <c r="D258" s="450">
        <v>81.55</v>
      </c>
      <c r="E258" s="450">
        <v>81.47</v>
      </c>
      <c r="F258" s="450">
        <v>81.37</v>
      </c>
      <c r="G258" s="450">
        <v>81.25</v>
      </c>
      <c r="H258" s="450">
        <v>81.12</v>
      </c>
      <c r="I258" s="450">
        <v>80.97</v>
      </c>
      <c r="J258" s="450">
        <v>80.81</v>
      </c>
      <c r="K258" s="450">
        <v>80.63</v>
      </c>
      <c r="L258" s="450">
        <v>80.44</v>
      </c>
      <c r="M258" s="450">
        <v>80.239999999999995</v>
      </c>
      <c r="N258" s="450" t="s">
        <v>556</v>
      </c>
      <c r="O258" s="450" t="s">
        <v>556</v>
      </c>
      <c r="P258" s="450" t="s">
        <v>556</v>
      </c>
      <c r="Q258" s="450" t="s">
        <v>556</v>
      </c>
      <c r="R258" s="450" t="s">
        <v>556</v>
      </c>
      <c r="S258" s="450" t="s">
        <v>556</v>
      </c>
      <c r="T258" s="133"/>
      <c r="U258" s="134">
        <v>90</v>
      </c>
      <c r="V258" s="450">
        <v>82.92</v>
      </c>
      <c r="W258" s="450">
        <v>82.88</v>
      </c>
      <c r="X258" s="450">
        <v>82.83</v>
      </c>
      <c r="Y258" s="450">
        <v>82.75</v>
      </c>
      <c r="Z258" s="450">
        <v>82.66</v>
      </c>
      <c r="AA258" s="450">
        <v>82.55</v>
      </c>
      <c r="AB258" s="450">
        <v>82.42</v>
      </c>
      <c r="AC258" s="450">
        <v>82.27</v>
      </c>
      <c r="AD258" s="450">
        <v>82.11</v>
      </c>
      <c r="AE258" s="450">
        <v>81.95</v>
      </c>
      <c r="AF258" s="450">
        <v>81.77</v>
      </c>
      <c r="AG258" s="450" t="s">
        <v>556</v>
      </c>
      <c r="AH258" s="450" t="s">
        <v>556</v>
      </c>
      <c r="AI258" s="450" t="s">
        <v>556</v>
      </c>
      <c r="AJ258" s="450" t="s">
        <v>556</v>
      </c>
      <c r="AK258" s="450" t="s">
        <v>556</v>
      </c>
      <c r="AL258" s="450" t="s">
        <v>556</v>
      </c>
      <c r="AM258" s="133"/>
      <c r="AN258" s="134">
        <v>90</v>
      </c>
      <c r="AO258" s="450">
        <v>84.24</v>
      </c>
      <c r="AP258" s="450">
        <v>84.21</v>
      </c>
      <c r="AQ258" s="450">
        <v>84.17</v>
      </c>
      <c r="AR258" s="450">
        <v>84.1</v>
      </c>
      <c r="AS258" s="450">
        <v>84.01</v>
      </c>
      <c r="AT258" s="450">
        <v>83.9</v>
      </c>
      <c r="AU258" s="450">
        <v>83.78</v>
      </c>
      <c r="AV258" s="450">
        <v>83.63</v>
      </c>
      <c r="AW258" s="450">
        <v>83.48</v>
      </c>
      <c r="AX258" s="450">
        <v>83.3</v>
      </c>
      <c r="AY258" s="450">
        <v>83.12</v>
      </c>
      <c r="AZ258" s="450" t="s">
        <v>556</v>
      </c>
      <c r="BA258" s="450" t="s">
        <v>556</v>
      </c>
      <c r="BB258" s="450" t="s">
        <v>556</v>
      </c>
      <c r="BC258" s="450" t="s">
        <v>556</v>
      </c>
      <c r="BD258" s="450" t="s">
        <v>556</v>
      </c>
      <c r="BE258" s="450" t="s">
        <v>556</v>
      </c>
    </row>
    <row r="259" spans="2:57" x14ac:dyDescent="0.25">
      <c r="B259" s="134">
        <v>91</v>
      </c>
      <c r="C259" s="450">
        <v>81.48</v>
      </c>
      <c r="D259" s="450">
        <v>81.39</v>
      </c>
      <c r="E259" s="450">
        <v>81.27</v>
      </c>
      <c r="F259" s="450">
        <v>81.13</v>
      </c>
      <c r="G259" s="450">
        <v>80.97</v>
      </c>
      <c r="H259" s="450">
        <v>80.8</v>
      </c>
      <c r="I259" s="450">
        <v>80.61</v>
      </c>
      <c r="J259" s="450">
        <v>80.41</v>
      </c>
      <c r="K259" s="450">
        <v>80.19</v>
      </c>
      <c r="L259" s="450">
        <v>79.959999999999994</v>
      </c>
      <c r="M259" s="450" t="s">
        <v>556</v>
      </c>
      <c r="N259" s="450" t="s">
        <v>556</v>
      </c>
      <c r="O259" s="450" t="s">
        <v>556</v>
      </c>
      <c r="P259" s="450" t="s">
        <v>556</v>
      </c>
      <c r="Q259" s="450" t="s">
        <v>556</v>
      </c>
      <c r="R259" s="450" t="s">
        <v>556</v>
      </c>
      <c r="S259" s="450" t="s">
        <v>556</v>
      </c>
      <c r="T259" s="133"/>
      <c r="U259" s="134">
        <v>91</v>
      </c>
      <c r="V259" s="450">
        <v>82.84</v>
      </c>
      <c r="W259" s="450">
        <v>82.77</v>
      </c>
      <c r="X259" s="450">
        <v>82.68</v>
      </c>
      <c r="Y259" s="450">
        <v>82.56</v>
      </c>
      <c r="Z259" s="450">
        <v>82.43</v>
      </c>
      <c r="AA259" s="450">
        <v>82.28</v>
      </c>
      <c r="AB259" s="450">
        <v>82.11</v>
      </c>
      <c r="AC259" s="450">
        <v>81.93</v>
      </c>
      <c r="AD259" s="450">
        <v>81.73</v>
      </c>
      <c r="AE259" s="450">
        <v>81.53</v>
      </c>
      <c r="AF259" s="450" t="s">
        <v>556</v>
      </c>
      <c r="AG259" s="450" t="s">
        <v>556</v>
      </c>
      <c r="AH259" s="450" t="s">
        <v>556</v>
      </c>
      <c r="AI259" s="450" t="s">
        <v>556</v>
      </c>
      <c r="AJ259" s="450" t="s">
        <v>556</v>
      </c>
      <c r="AK259" s="450" t="s">
        <v>556</v>
      </c>
      <c r="AL259" s="450" t="s">
        <v>556</v>
      </c>
      <c r="AM259" s="133"/>
      <c r="AN259" s="134">
        <v>91</v>
      </c>
      <c r="AO259" s="450">
        <v>84.18</v>
      </c>
      <c r="AP259" s="450">
        <v>84.12</v>
      </c>
      <c r="AQ259" s="450">
        <v>84.03</v>
      </c>
      <c r="AR259" s="450">
        <v>83.93</v>
      </c>
      <c r="AS259" s="450">
        <v>83.8</v>
      </c>
      <c r="AT259" s="450">
        <v>83.65</v>
      </c>
      <c r="AU259" s="450">
        <v>83.48</v>
      </c>
      <c r="AV259" s="450">
        <v>83.3</v>
      </c>
      <c r="AW259" s="450">
        <v>83.11</v>
      </c>
      <c r="AX259" s="450">
        <v>82.9</v>
      </c>
      <c r="AY259" s="450" t="s">
        <v>556</v>
      </c>
      <c r="AZ259" s="450" t="s">
        <v>556</v>
      </c>
      <c r="BA259" s="450" t="s">
        <v>556</v>
      </c>
      <c r="BB259" s="450" t="s">
        <v>556</v>
      </c>
      <c r="BC259" s="450" t="s">
        <v>556</v>
      </c>
      <c r="BD259" s="450" t="s">
        <v>556</v>
      </c>
      <c r="BE259" s="450" t="s">
        <v>556</v>
      </c>
    </row>
    <row r="260" spans="2:57" x14ac:dyDescent="0.25">
      <c r="B260" s="134">
        <v>92</v>
      </c>
      <c r="C260" s="450">
        <v>81.28</v>
      </c>
      <c r="D260" s="450">
        <v>81.14</v>
      </c>
      <c r="E260" s="450">
        <v>80.98</v>
      </c>
      <c r="F260" s="450">
        <v>80.8</v>
      </c>
      <c r="G260" s="450">
        <v>80.599999999999994</v>
      </c>
      <c r="H260" s="450">
        <v>80.38</v>
      </c>
      <c r="I260" s="450">
        <v>80.150000000000006</v>
      </c>
      <c r="J260" s="450">
        <v>79.900000000000006</v>
      </c>
      <c r="K260" s="450">
        <v>79.64</v>
      </c>
      <c r="L260" s="450" t="s">
        <v>556</v>
      </c>
      <c r="M260" s="450" t="s">
        <v>556</v>
      </c>
      <c r="N260" s="450" t="s">
        <v>556</v>
      </c>
      <c r="O260" s="450" t="s">
        <v>556</v>
      </c>
      <c r="P260" s="450" t="s">
        <v>556</v>
      </c>
      <c r="Q260" s="450" t="s">
        <v>556</v>
      </c>
      <c r="R260" s="450" t="s">
        <v>556</v>
      </c>
      <c r="S260" s="450" t="s">
        <v>556</v>
      </c>
      <c r="T260" s="133"/>
      <c r="U260" s="134">
        <v>92</v>
      </c>
      <c r="V260" s="450">
        <v>82.69</v>
      </c>
      <c r="W260" s="450">
        <v>82.58</v>
      </c>
      <c r="X260" s="450">
        <v>82.44</v>
      </c>
      <c r="Y260" s="450">
        <v>82.28</v>
      </c>
      <c r="Z260" s="450">
        <v>82.11</v>
      </c>
      <c r="AA260" s="450">
        <v>81.91</v>
      </c>
      <c r="AB260" s="450">
        <v>81.7</v>
      </c>
      <c r="AC260" s="450">
        <v>81.48</v>
      </c>
      <c r="AD260" s="450">
        <v>81.25</v>
      </c>
      <c r="AE260" s="450" t="s">
        <v>556</v>
      </c>
      <c r="AF260" s="450" t="s">
        <v>556</v>
      </c>
      <c r="AG260" s="450" t="s">
        <v>556</v>
      </c>
      <c r="AH260" s="450" t="s">
        <v>556</v>
      </c>
      <c r="AI260" s="450" t="s">
        <v>556</v>
      </c>
      <c r="AJ260" s="450" t="s">
        <v>556</v>
      </c>
      <c r="AK260" s="450" t="s">
        <v>556</v>
      </c>
      <c r="AL260" s="450" t="s">
        <v>556</v>
      </c>
      <c r="AM260" s="133"/>
      <c r="AN260" s="134">
        <v>92</v>
      </c>
      <c r="AO260" s="450">
        <v>84.05</v>
      </c>
      <c r="AP260" s="450">
        <v>83.94</v>
      </c>
      <c r="AQ260" s="450">
        <v>83.81</v>
      </c>
      <c r="AR260" s="450">
        <v>83.66</v>
      </c>
      <c r="AS260" s="450">
        <v>83.49</v>
      </c>
      <c r="AT260" s="450">
        <v>83.3</v>
      </c>
      <c r="AU260" s="450">
        <v>83.09</v>
      </c>
      <c r="AV260" s="450">
        <v>82.87</v>
      </c>
      <c r="AW260" s="450">
        <v>82.63</v>
      </c>
      <c r="AX260" s="450" t="s">
        <v>556</v>
      </c>
      <c r="AY260" s="450" t="s">
        <v>556</v>
      </c>
      <c r="AZ260" s="450" t="s">
        <v>556</v>
      </c>
      <c r="BA260" s="450" t="s">
        <v>556</v>
      </c>
      <c r="BB260" s="450" t="s">
        <v>556</v>
      </c>
      <c r="BC260" s="450" t="s">
        <v>556</v>
      </c>
      <c r="BD260" s="450" t="s">
        <v>556</v>
      </c>
      <c r="BE260" s="450" t="s">
        <v>556</v>
      </c>
    </row>
    <row r="261" spans="2:57" x14ac:dyDescent="0.25">
      <c r="B261" s="134">
        <v>93</v>
      </c>
      <c r="C261" s="450">
        <v>80.989999999999995</v>
      </c>
      <c r="D261" s="450">
        <v>80.8</v>
      </c>
      <c r="E261" s="450">
        <v>80.59</v>
      </c>
      <c r="F261" s="450">
        <v>80.36</v>
      </c>
      <c r="G261" s="450">
        <v>80.12</v>
      </c>
      <c r="H261" s="450">
        <v>79.86</v>
      </c>
      <c r="I261" s="450">
        <v>79.58</v>
      </c>
      <c r="J261" s="450">
        <v>79.290000000000006</v>
      </c>
      <c r="K261" s="450" t="s">
        <v>556</v>
      </c>
      <c r="L261" s="450" t="s">
        <v>556</v>
      </c>
      <c r="M261" s="450" t="s">
        <v>556</v>
      </c>
      <c r="N261" s="450" t="s">
        <v>556</v>
      </c>
      <c r="O261" s="450" t="s">
        <v>556</v>
      </c>
      <c r="P261" s="450" t="s">
        <v>556</v>
      </c>
      <c r="Q261" s="450" t="s">
        <v>556</v>
      </c>
      <c r="R261" s="450" t="s">
        <v>556</v>
      </c>
      <c r="S261" s="450" t="s">
        <v>556</v>
      </c>
      <c r="T261" s="133"/>
      <c r="U261" s="134">
        <v>93</v>
      </c>
      <c r="V261" s="450">
        <v>82.46</v>
      </c>
      <c r="W261" s="450">
        <v>82.29</v>
      </c>
      <c r="X261" s="450">
        <v>82.11</v>
      </c>
      <c r="Y261" s="450">
        <v>81.91</v>
      </c>
      <c r="Z261" s="450">
        <v>81.680000000000007</v>
      </c>
      <c r="AA261" s="450">
        <v>81.44</v>
      </c>
      <c r="AB261" s="450">
        <v>81.19</v>
      </c>
      <c r="AC261" s="450">
        <v>80.92</v>
      </c>
      <c r="AD261" s="450" t="s">
        <v>556</v>
      </c>
      <c r="AE261" s="450" t="s">
        <v>556</v>
      </c>
      <c r="AF261" s="450" t="s">
        <v>556</v>
      </c>
      <c r="AG261" s="450" t="s">
        <v>556</v>
      </c>
      <c r="AH261" s="450" t="s">
        <v>556</v>
      </c>
      <c r="AI261" s="450" t="s">
        <v>556</v>
      </c>
      <c r="AJ261" s="450" t="s">
        <v>556</v>
      </c>
      <c r="AK261" s="450" t="s">
        <v>556</v>
      </c>
      <c r="AL261" s="450" t="s">
        <v>556</v>
      </c>
      <c r="AM261" s="133"/>
      <c r="AN261" s="134">
        <v>93</v>
      </c>
      <c r="AO261" s="450">
        <v>83.82</v>
      </c>
      <c r="AP261" s="450">
        <v>83.67</v>
      </c>
      <c r="AQ261" s="450">
        <v>83.5</v>
      </c>
      <c r="AR261" s="450">
        <v>83.3</v>
      </c>
      <c r="AS261" s="450">
        <v>83.08</v>
      </c>
      <c r="AT261" s="450">
        <v>82.84</v>
      </c>
      <c r="AU261" s="450">
        <v>82.59</v>
      </c>
      <c r="AV261" s="450">
        <v>82.32</v>
      </c>
      <c r="AW261" s="450" t="s">
        <v>556</v>
      </c>
      <c r="AX261" s="450" t="s">
        <v>556</v>
      </c>
      <c r="AY261" s="450" t="s">
        <v>556</v>
      </c>
      <c r="AZ261" s="450" t="s">
        <v>556</v>
      </c>
      <c r="BA261" s="450" t="s">
        <v>556</v>
      </c>
      <c r="BB261" s="450" t="s">
        <v>556</v>
      </c>
      <c r="BC261" s="450" t="s">
        <v>556</v>
      </c>
      <c r="BD261" s="450" t="s">
        <v>556</v>
      </c>
      <c r="BE261" s="450" t="s">
        <v>556</v>
      </c>
    </row>
    <row r="262" spans="2:57" x14ac:dyDescent="0.25">
      <c r="B262" s="134">
        <v>94</v>
      </c>
      <c r="C262" s="450">
        <v>80.599999999999994</v>
      </c>
      <c r="D262" s="450">
        <v>80.36</v>
      </c>
      <c r="E262" s="450">
        <v>80.099999999999994</v>
      </c>
      <c r="F262" s="450">
        <v>79.819999999999993</v>
      </c>
      <c r="G262" s="450">
        <v>79.53</v>
      </c>
      <c r="H262" s="450">
        <v>79.209999999999994</v>
      </c>
      <c r="I262" s="450">
        <v>78.89</v>
      </c>
      <c r="J262" s="450" t="s">
        <v>556</v>
      </c>
      <c r="K262" s="450" t="s">
        <v>556</v>
      </c>
      <c r="L262" s="450" t="s">
        <v>556</v>
      </c>
      <c r="M262" s="450" t="s">
        <v>556</v>
      </c>
      <c r="N262" s="450" t="s">
        <v>556</v>
      </c>
      <c r="O262" s="450" t="s">
        <v>556</v>
      </c>
      <c r="P262" s="450" t="s">
        <v>556</v>
      </c>
      <c r="Q262" s="450" t="s">
        <v>556</v>
      </c>
      <c r="R262" s="450" t="s">
        <v>556</v>
      </c>
      <c r="S262" s="450" t="s">
        <v>556</v>
      </c>
      <c r="T262" s="133"/>
      <c r="U262" s="134">
        <v>94</v>
      </c>
      <c r="V262" s="450">
        <v>82.12</v>
      </c>
      <c r="W262" s="450">
        <v>81.91</v>
      </c>
      <c r="X262" s="450">
        <v>81.67</v>
      </c>
      <c r="Y262" s="450">
        <v>81.42</v>
      </c>
      <c r="Z262" s="450">
        <v>81.150000000000006</v>
      </c>
      <c r="AA262" s="450">
        <v>80.86</v>
      </c>
      <c r="AB262" s="450">
        <v>80.56</v>
      </c>
      <c r="AC262" s="450" t="s">
        <v>556</v>
      </c>
      <c r="AD262" s="450" t="s">
        <v>556</v>
      </c>
      <c r="AE262" s="450" t="s">
        <v>556</v>
      </c>
      <c r="AF262" s="450" t="s">
        <v>556</v>
      </c>
      <c r="AG262" s="450" t="s">
        <v>556</v>
      </c>
      <c r="AH262" s="450" t="s">
        <v>556</v>
      </c>
      <c r="AI262" s="450" t="s">
        <v>556</v>
      </c>
      <c r="AJ262" s="450" t="s">
        <v>556</v>
      </c>
      <c r="AK262" s="450" t="s">
        <v>556</v>
      </c>
      <c r="AL262" s="450" t="s">
        <v>556</v>
      </c>
      <c r="AM262" s="133"/>
      <c r="AN262" s="134">
        <v>94</v>
      </c>
      <c r="AO262" s="450">
        <v>83.5</v>
      </c>
      <c r="AP262" s="450">
        <v>83.3</v>
      </c>
      <c r="AQ262" s="450">
        <v>83.07</v>
      </c>
      <c r="AR262" s="450">
        <v>82.83</v>
      </c>
      <c r="AS262" s="450">
        <v>82.56</v>
      </c>
      <c r="AT262" s="450">
        <v>82.27</v>
      </c>
      <c r="AU262" s="450">
        <v>81.97</v>
      </c>
      <c r="AV262" s="450" t="s">
        <v>556</v>
      </c>
      <c r="AW262" s="450" t="s">
        <v>556</v>
      </c>
      <c r="AX262" s="450" t="s">
        <v>556</v>
      </c>
      <c r="AY262" s="450" t="s">
        <v>556</v>
      </c>
      <c r="AZ262" s="450" t="s">
        <v>556</v>
      </c>
      <c r="BA262" s="450" t="s">
        <v>556</v>
      </c>
      <c r="BB262" s="450" t="s">
        <v>556</v>
      </c>
      <c r="BC262" s="450" t="s">
        <v>556</v>
      </c>
      <c r="BD262" s="450" t="s">
        <v>556</v>
      </c>
      <c r="BE262" s="450" t="s">
        <v>556</v>
      </c>
    </row>
    <row r="263" spans="2:57" x14ac:dyDescent="0.25">
      <c r="B263" s="134">
        <v>95</v>
      </c>
      <c r="C263" s="450">
        <v>80.11</v>
      </c>
      <c r="D263" s="450">
        <v>79.81</v>
      </c>
      <c r="E263" s="450">
        <v>79.5</v>
      </c>
      <c r="F263" s="450">
        <v>79.17</v>
      </c>
      <c r="G263" s="450">
        <v>78.819999999999993</v>
      </c>
      <c r="H263" s="450">
        <v>78.45</v>
      </c>
      <c r="I263" s="450" t="s">
        <v>556</v>
      </c>
      <c r="J263" s="450" t="s">
        <v>556</v>
      </c>
      <c r="K263" s="450" t="s">
        <v>556</v>
      </c>
      <c r="L263" s="450" t="s">
        <v>556</v>
      </c>
      <c r="M263" s="450" t="s">
        <v>556</v>
      </c>
      <c r="N263" s="450" t="s">
        <v>556</v>
      </c>
      <c r="O263" s="450" t="s">
        <v>556</v>
      </c>
      <c r="P263" s="450" t="s">
        <v>556</v>
      </c>
      <c r="Q263" s="450" t="s">
        <v>556</v>
      </c>
      <c r="R263" s="450" t="s">
        <v>556</v>
      </c>
      <c r="S263" s="450" t="s">
        <v>556</v>
      </c>
      <c r="T263" s="133"/>
      <c r="U263" s="134">
        <v>95</v>
      </c>
      <c r="V263" s="450">
        <v>81.680000000000007</v>
      </c>
      <c r="W263" s="450">
        <v>81.42</v>
      </c>
      <c r="X263" s="450">
        <v>81.13</v>
      </c>
      <c r="Y263" s="450">
        <v>80.819999999999993</v>
      </c>
      <c r="Z263" s="450">
        <v>80.5</v>
      </c>
      <c r="AA263" s="450">
        <v>80.16</v>
      </c>
      <c r="AB263" s="450" t="s">
        <v>556</v>
      </c>
      <c r="AC263" s="450" t="s">
        <v>556</v>
      </c>
      <c r="AD263" s="450" t="s">
        <v>556</v>
      </c>
      <c r="AE263" s="450" t="s">
        <v>556</v>
      </c>
      <c r="AF263" s="450" t="s">
        <v>556</v>
      </c>
      <c r="AG263" s="450" t="s">
        <v>556</v>
      </c>
      <c r="AH263" s="450" t="s">
        <v>556</v>
      </c>
      <c r="AI263" s="450" t="s">
        <v>556</v>
      </c>
      <c r="AJ263" s="450" t="s">
        <v>556</v>
      </c>
      <c r="AK263" s="450" t="s">
        <v>556</v>
      </c>
      <c r="AL263" s="450" t="s">
        <v>556</v>
      </c>
      <c r="AM263" s="133"/>
      <c r="AN263" s="134">
        <v>95</v>
      </c>
      <c r="AO263" s="450">
        <v>83.07</v>
      </c>
      <c r="AP263" s="450">
        <v>82.82</v>
      </c>
      <c r="AQ263" s="450">
        <v>82.54</v>
      </c>
      <c r="AR263" s="450">
        <v>82.24</v>
      </c>
      <c r="AS263" s="450">
        <v>81.92</v>
      </c>
      <c r="AT263" s="450">
        <v>81.58</v>
      </c>
      <c r="AU263" s="450" t="s">
        <v>556</v>
      </c>
      <c r="AV263" s="450" t="s">
        <v>556</v>
      </c>
      <c r="AW263" s="450" t="s">
        <v>556</v>
      </c>
      <c r="AX263" s="450" t="s">
        <v>556</v>
      </c>
      <c r="AY263" s="450" t="s">
        <v>556</v>
      </c>
      <c r="AZ263" s="450" t="s">
        <v>556</v>
      </c>
      <c r="BA263" s="450" t="s">
        <v>556</v>
      </c>
      <c r="BB263" s="450" t="s">
        <v>556</v>
      </c>
      <c r="BC263" s="450" t="s">
        <v>556</v>
      </c>
      <c r="BD263" s="450" t="s">
        <v>556</v>
      </c>
      <c r="BE263" s="450" t="s">
        <v>556</v>
      </c>
    </row>
    <row r="264" spans="2:57" x14ac:dyDescent="0.25">
      <c r="B264" s="134">
        <v>96</v>
      </c>
      <c r="C264" s="450">
        <v>79.5</v>
      </c>
      <c r="D264" s="450">
        <v>79.150000000000006</v>
      </c>
      <c r="E264" s="450">
        <v>78.78</v>
      </c>
      <c r="F264" s="450">
        <v>78.38</v>
      </c>
      <c r="G264" s="450">
        <v>77.98</v>
      </c>
      <c r="H264" s="450" t="s">
        <v>556</v>
      </c>
      <c r="I264" s="450" t="s">
        <v>556</v>
      </c>
      <c r="J264" s="450" t="s">
        <v>556</v>
      </c>
      <c r="K264" s="450" t="s">
        <v>556</v>
      </c>
      <c r="L264" s="450" t="s">
        <v>556</v>
      </c>
      <c r="M264" s="450" t="s">
        <v>556</v>
      </c>
      <c r="N264" s="450" t="s">
        <v>556</v>
      </c>
      <c r="O264" s="450" t="s">
        <v>556</v>
      </c>
      <c r="P264" s="450" t="s">
        <v>556</v>
      </c>
      <c r="Q264" s="450" t="s">
        <v>556</v>
      </c>
      <c r="R264" s="450" t="s">
        <v>556</v>
      </c>
      <c r="S264" s="450" t="s">
        <v>556</v>
      </c>
      <c r="T264" s="133"/>
      <c r="U264" s="134">
        <v>96</v>
      </c>
      <c r="V264" s="450">
        <v>81.13</v>
      </c>
      <c r="W264" s="450">
        <v>80.81</v>
      </c>
      <c r="X264" s="450">
        <v>80.459999999999994</v>
      </c>
      <c r="Y264" s="450">
        <v>80.099999999999994</v>
      </c>
      <c r="Z264" s="450">
        <v>79.72</v>
      </c>
      <c r="AA264" s="450" t="s">
        <v>556</v>
      </c>
      <c r="AB264" s="450" t="s">
        <v>556</v>
      </c>
      <c r="AC264" s="450" t="s">
        <v>556</v>
      </c>
      <c r="AD264" s="450" t="s">
        <v>556</v>
      </c>
      <c r="AE264" s="450" t="s">
        <v>556</v>
      </c>
      <c r="AF264" s="450" t="s">
        <v>556</v>
      </c>
      <c r="AG264" s="450" t="s">
        <v>556</v>
      </c>
      <c r="AH264" s="450" t="s">
        <v>556</v>
      </c>
      <c r="AI264" s="450" t="s">
        <v>556</v>
      </c>
      <c r="AJ264" s="450" t="s">
        <v>556</v>
      </c>
      <c r="AK264" s="450" t="s">
        <v>556</v>
      </c>
      <c r="AL264" s="450" t="s">
        <v>556</v>
      </c>
      <c r="AM264" s="133"/>
      <c r="AN264" s="134">
        <v>96</v>
      </c>
      <c r="AO264" s="450">
        <v>82.54</v>
      </c>
      <c r="AP264" s="450">
        <v>82.22</v>
      </c>
      <c r="AQ264" s="450">
        <v>81.89</v>
      </c>
      <c r="AR264" s="450">
        <v>81.53</v>
      </c>
      <c r="AS264" s="450">
        <v>81.150000000000006</v>
      </c>
      <c r="AT264" s="450" t="s">
        <v>556</v>
      </c>
      <c r="AU264" s="450" t="s">
        <v>556</v>
      </c>
      <c r="AV264" s="450" t="s">
        <v>556</v>
      </c>
      <c r="AW264" s="450" t="s">
        <v>556</v>
      </c>
      <c r="AX264" s="450" t="s">
        <v>556</v>
      </c>
      <c r="AY264" s="450" t="s">
        <v>556</v>
      </c>
      <c r="AZ264" s="450" t="s">
        <v>556</v>
      </c>
      <c r="BA264" s="450" t="s">
        <v>556</v>
      </c>
      <c r="BB264" s="450" t="s">
        <v>556</v>
      </c>
      <c r="BC264" s="450" t="s">
        <v>556</v>
      </c>
      <c r="BD264" s="450" t="s">
        <v>556</v>
      </c>
      <c r="BE264" s="450" t="s">
        <v>556</v>
      </c>
    </row>
    <row r="265" spans="2:57" x14ac:dyDescent="0.25">
      <c r="B265" s="134">
        <v>97</v>
      </c>
      <c r="C265" s="450">
        <v>78.77</v>
      </c>
      <c r="D265" s="450">
        <v>78.36</v>
      </c>
      <c r="E265" s="450">
        <v>77.92</v>
      </c>
      <c r="F265" s="450">
        <v>77.47</v>
      </c>
      <c r="G265" s="450" t="s">
        <v>556</v>
      </c>
      <c r="H265" s="450" t="s">
        <v>556</v>
      </c>
      <c r="I265" s="450" t="s">
        <v>556</v>
      </c>
      <c r="J265" s="450" t="s">
        <v>556</v>
      </c>
      <c r="K265" s="450" t="s">
        <v>556</v>
      </c>
      <c r="L265" s="450" t="s">
        <v>556</v>
      </c>
      <c r="M265" s="450" t="s">
        <v>556</v>
      </c>
      <c r="N265" s="450" t="s">
        <v>556</v>
      </c>
      <c r="O265" s="450" t="s">
        <v>556</v>
      </c>
      <c r="P265" s="450" t="s">
        <v>556</v>
      </c>
      <c r="Q265" s="450" t="s">
        <v>556</v>
      </c>
      <c r="R265" s="450" t="s">
        <v>556</v>
      </c>
      <c r="S265" s="450" t="s">
        <v>556</v>
      </c>
      <c r="T265" s="133"/>
      <c r="U265" s="134">
        <v>97</v>
      </c>
      <c r="V265" s="450">
        <v>80.459999999999994</v>
      </c>
      <c r="W265" s="450">
        <v>80.069999999999993</v>
      </c>
      <c r="X265" s="450">
        <v>79.67</v>
      </c>
      <c r="Y265" s="450">
        <v>79.239999999999995</v>
      </c>
      <c r="Z265" s="450" t="s">
        <v>556</v>
      </c>
      <c r="AA265" s="450" t="s">
        <v>556</v>
      </c>
      <c r="AB265" s="450" t="s">
        <v>556</v>
      </c>
      <c r="AC265" s="450" t="s">
        <v>556</v>
      </c>
      <c r="AD265" s="450" t="s">
        <v>556</v>
      </c>
      <c r="AE265" s="450" t="s">
        <v>556</v>
      </c>
      <c r="AF265" s="450" t="s">
        <v>556</v>
      </c>
      <c r="AG265" s="450" t="s">
        <v>556</v>
      </c>
      <c r="AH265" s="450" t="s">
        <v>556</v>
      </c>
      <c r="AI265" s="450" t="s">
        <v>556</v>
      </c>
      <c r="AJ265" s="450" t="s">
        <v>556</v>
      </c>
      <c r="AK265" s="450" t="s">
        <v>556</v>
      </c>
      <c r="AL265" s="450" t="s">
        <v>556</v>
      </c>
      <c r="AM265" s="133"/>
      <c r="AN265" s="134">
        <v>97</v>
      </c>
      <c r="AO265" s="450">
        <v>81.88</v>
      </c>
      <c r="AP265" s="450">
        <v>81.5</v>
      </c>
      <c r="AQ265" s="450">
        <v>81.099999999999994</v>
      </c>
      <c r="AR265" s="450">
        <v>80.680000000000007</v>
      </c>
      <c r="AS265" s="450" t="s">
        <v>556</v>
      </c>
      <c r="AT265" s="450" t="s">
        <v>556</v>
      </c>
      <c r="AU265" s="450" t="s">
        <v>556</v>
      </c>
      <c r="AV265" s="450" t="s">
        <v>556</v>
      </c>
      <c r="AW265" s="450" t="s">
        <v>556</v>
      </c>
      <c r="AX265" s="450" t="s">
        <v>556</v>
      </c>
      <c r="AY265" s="450" t="s">
        <v>556</v>
      </c>
      <c r="AZ265" s="450" t="s">
        <v>556</v>
      </c>
      <c r="BA265" s="450" t="s">
        <v>556</v>
      </c>
      <c r="BB265" s="450" t="s">
        <v>556</v>
      </c>
      <c r="BC265" s="450" t="s">
        <v>556</v>
      </c>
      <c r="BD265" s="450" t="s">
        <v>556</v>
      </c>
      <c r="BE265" s="450" t="s">
        <v>556</v>
      </c>
    </row>
    <row r="266" spans="2:57" x14ac:dyDescent="0.25">
      <c r="B266" s="134">
        <v>98</v>
      </c>
      <c r="C266" s="450">
        <v>77.91</v>
      </c>
      <c r="D266" s="450">
        <v>77.430000000000007</v>
      </c>
      <c r="E266" s="450">
        <v>76.92</v>
      </c>
      <c r="F266" s="450" t="s">
        <v>556</v>
      </c>
      <c r="G266" s="450" t="s">
        <v>556</v>
      </c>
      <c r="H266" s="450" t="s">
        <v>556</v>
      </c>
      <c r="I266" s="450" t="s">
        <v>556</v>
      </c>
      <c r="J266" s="450" t="s">
        <v>556</v>
      </c>
      <c r="K266" s="450" t="s">
        <v>556</v>
      </c>
      <c r="L266" s="450" t="s">
        <v>556</v>
      </c>
      <c r="M266" s="450" t="s">
        <v>556</v>
      </c>
      <c r="N266" s="450" t="s">
        <v>556</v>
      </c>
      <c r="O266" s="450" t="s">
        <v>556</v>
      </c>
      <c r="P266" s="450" t="s">
        <v>556</v>
      </c>
      <c r="Q266" s="450" t="s">
        <v>556</v>
      </c>
      <c r="R266" s="450" t="s">
        <v>556</v>
      </c>
      <c r="S266" s="450" t="s">
        <v>556</v>
      </c>
      <c r="T266" s="133"/>
      <c r="U266" s="134">
        <v>98</v>
      </c>
      <c r="V266" s="450">
        <v>79.66</v>
      </c>
      <c r="W266" s="450">
        <v>79.209999999999994</v>
      </c>
      <c r="X266" s="450">
        <v>78.739999999999995</v>
      </c>
      <c r="Y266" s="450" t="s">
        <v>556</v>
      </c>
      <c r="Z266" s="450" t="s">
        <v>556</v>
      </c>
      <c r="AA266" s="450" t="s">
        <v>556</v>
      </c>
      <c r="AB266" s="450" t="s">
        <v>556</v>
      </c>
      <c r="AC266" s="450" t="s">
        <v>556</v>
      </c>
      <c r="AD266" s="450" t="s">
        <v>556</v>
      </c>
      <c r="AE266" s="450" t="s">
        <v>556</v>
      </c>
      <c r="AF266" s="450" t="s">
        <v>556</v>
      </c>
      <c r="AG266" s="450" t="s">
        <v>556</v>
      </c>
      <c r="AH266" s="450" t="s">
        <v>556</v>
      </c>
      <c r="AI266" s="450" t="s">
        <v>556</v>
      </c>
      <c r="AJ266" s="450" t="s">
        <v>556</v>
      </c>
      <c r="AK266" s="450" t="s">
        <v>556</v>
      </c>
      <c r="AL266" s="450" t="s">
        <v>556</v>
      </c>
      <c r="AM266" s="133"/>
      <c r="AN266" s="134">
        <v>98</v>
      </c>
      <c r="AO266" s="450">
        <v>81.09</v>
      </c>
      <c r="AP266" s="450">
        <v>80.64</v>
      </c>
      <c r="AQ266" s="450">
        <v>80.180000000000007</v>
      </c>
      <c r="AR266" s="450" t="s">
        <v>556</v>
      </c>
      <c r="AS266" s="450" t="s">
        <v>556</v>
      </c>
      <c r="AT266" s="450" t="s">
        <v>556</v>
      </c>
      <c r="AU266" s="450" t="s">
        <v>556</v>
      </c>
      <c r="AV266" s="450" t="s">
        <v>556</v>
      </c>
      <c r="AW266" s="450" t="s">
        <v>556</v>
      </c>
      <c r="AX266" s="450" t="s">
        <v>556</v>
      </c>
      <c r="AY266" s="450" t="s">
        <v>556</v>
      </c>
      <c r="AZ266" s="450" t="s">
        <v>556</v>
      </c>
      <c r="BA266" s="450" t="s">
        <v>556</v>
      </c>
      <c r="BB266" s="450" t="s">
        <v>556</v>
      </c>
      <c r="BC266" s="450" t="s">
        <v>556</v>
      </c>
      <c r="BD266" s="450" t="s">
        <v>556</v>
      </c>
      <c r="BE266" s="450" t="s">
        <v>556</v>
      </c>
    </row>
    <row r="267" spans="2:57" x14ac:dyDescent="0.25">
      <c r="B267" s="134">
        <v>99</v>
      </c>
      <c r="C267" s="450">
        <v>76.91</v>
      </c>
      <c r="D267" s="450">
        <v>76.349999999999994</v>
      </c>
      <c r="E267" s="450" t="s">
        <v>556</v>
      </c>
      <c r="F267" s="450" t="s">
        <v>556</v>
      </c>
      <c r="G267" s="450" t="s">
        <v>556</v>
      </c>
      <c r="H267" s="450" t="s">
        <v>556</v>
      </c>
      <c r="I267" s="450" t="s">
        <v>556</v>
      </c>
      <c r="J267" s="450" t="s">
        <v>556</v>
      </c>
      <c r="K267" s="450" t="s">
        <v>556</v>
      </c>
      <c r="L267" s="450" t="s">
        <v>556</v>
      </c>
      <c r="M267" s="450" t="s">
        <v>556</v>
      </c>
      <c r="N267" s="450" t="s">
        <v>556</v>
      </c>
      <c r="O267" s="450" t="s">
        <v>556</v>
      </c>
      <c r="P267" s="450" t="s">
        <v>556</v>
      </c>
      <c r="Q267" s="450" t="s">
        <v>556</v>
      </c>
      <c r="R267" s="450" t="s">
        <v>556</v>
      </c>
      <c r="S267" s="450" t="s">
        <v>556</v>
      </c>
      <c r="T267" s="133"/>
      <c r="U267" s="134">
        <v>99</v>
      </c>
      <c r="V267" s="450">
        <v>78.72</v>
      </c>
      <c r="W267" s="450">
        <v>78.2</v>
      </c>
      <c r="X267" s="450" t="s">
        <v>556</v>
      </c>
      <c r="Y267" s="450" t="s">
        <v>556</v>
      </c>
      <c r="Z267" s="450" t="s">
        <v>556</v>
      </c>
      <c r="AA267" s="450" t="s">
        <v>556</v>
      </c>
      <c r="AB267" s="450" t="s">
        <v>556</v>
      </c>
      <c r="AC267" s="450" t="s">
        <v>556</v>
      </c>
      <c r="AD267" s="450" t="s">
        <v>556</v>
      </c>
      <c r="AE267" s="450" t="s">
        <v>556</v>
      </c>
      <c r="AF267" s="450" t="s">
        <v>556</v>
      </c>
      <c r="AG267" s="450" t="s">
        <v>556</v>
      </c>
      <c r="AH267" s="450" t="s">
        <v>556</v>
      </c>
      <c r="AI267" s="450" t="s">
        <v>556</v>
      </c>
      <c r="AJ267" s="450" t="s">
        <v>556</v>
      </c>
      <c r="AK267" s="450" t="s">
        <v>556</v>
      </c>
      <c r="AL267" s="450" t="s">
        <v>556</v>
      </c>
      <c r="AM267" s="133"/>
      <c r="AN267" s="134">
        <v>99</v>
      </c>
      <c r="AO267" s="450">
        <v>80.16</v>
      </c>
      <c r="AP267" s="450">
        <v>79.64</v>
      </c>
      <c r="AQ267" s="450" t="s">
        <v>556</v>
      </c>
      <c r="AR267" s="450" t="s">
        <v>556</v>
      </c>
      <c r="AS267" s="450" t="s">
        <v>556</v>
      </c>
      <c r="AT267" s="450" t="s">
        <v>556</v>
      </c>
      <c r="AU267" s="450" t="s">
        <v>556</v>
      </c>
      <c r="AV267" s="450" t="s">
        <v>556</v>
      </c>
      <c r="AW267" s="450" t="s">
        <v>556</v>
      </c>
      <c r="AX267" s="450" t="s">
        <v>556</v>
      </c>
      <c r="AY267" s="450" t="s">
        <v>556</v>
      </c>
      <c r="AZ267" s="450" t="s">
        <v>556</v>
      </c>
      <c r="BA267" s="450" t="s">
        <v>556</v>
      </c>
      <c r="BB267" s="450" t="s">
        <v>556</v>
      </c>
      <c r="BC267" s="450" t="s">
        <v>556</v>
      </c>
      <c r="BD267" s="450" t="s">
        <v>556</v>
      </c>
      <c r="BE267" s="450" t="s">
        <v>556</v>
      </c>
    </row>
    <row r="268" spans="2:57" x14ac:dyDescent="0.25">
      <c r="B268" s="134">
        <v>100</v>
      </c>
      <c r="C268" s="450">
        <v>75.739999999999995</v>
      </c>
      <c r="D268" s="450" t="s">
        <v>556</v>
      </c>
      <c r="E268" s="450" t="s">
        <v>556</v>
      </c>
      <c r="F268" s="450" t="s">
        <v>556</v>
      </c>
      <c r="G268" s="450" t="s">
        <v>556</v>
      </c>
      <c r="H268" s="450" t="s">
        <v>556</v>
      </c>
      <c r="I268" s="450" t="s">
        <v>556</v>
      </c>
      <c r="J268" s="450" t="s">
        <v>556</v>
      </c>
      <c r="K268" s="450" t="s">
        <v>556</v>
      </c>
      <c r="L268" s="450" t="s">
        <v>556</v>
      </c>
      <c r="M268" s="450" t="s">
        <v>556</v>
      </c>
      <c r="N268" s="450" t="s">
        <v>556</v>
      </c>
      <c r="O268" s="450" t="s">
        <v>556</v>
      </c>
      <c r="P268" s="450" t="s">
        <v>556</v>
      </c>
      <c r="Q268" s="450" t="s">
        <v>556</v>
      </c>
      <c r="R268" s="450" t="s">
        <v>556</v>
      </c>
      <c r="S268" s="450" t="s">
        <v>556</v>
      </c>
      <c r="T268" s="133"/>
      <c r="U268" s="134">
        <v>100</v>
      </c>
      <c r="V268" s="450">
        <v>77.63</v>
      </c>
      <c r="W268" s="450" t="s">
        <v>556</v>
      </c>
      <c r="X268" s="450" t="s">
        <v>556</v>
      </c>
      <c r="Y268" s="450" t="s">
        <v>556</v>
      </c>
      <c r="Z268" s="450" t="s">
        <v>556</v>
      </c>
      <c r="AA268" s="450" t="s">
        <v>556</v>
      </c>
      <c r="AB268" s="450" t="s">
        <v>556</v>
      </c>
      <c r="AC268" s="450" t="s">
        <v>556</v>
      </c>
      <c r="AD268" s="450" t="s">
        <v>556</v>
      </c>
      <c r="AE268" s="450" t="s">
        <v>556</v>
      </c>
      <c r="AF268" s="450" t="s">
        <v>556</v>
      </c>
      <c r="AG268" s="450" t="s">
        <v>556</v>
      </c>
      <c r="AH268" s="450" t="s">
        <v>556</v>
      </c>
      <c r="AI268" s="450" t="s">
        <v>556</v>
      </c>
      <c r="AJ268" s="450" t="s">
        <v>556</v>
      </c>
      <c r="AK268" s="450" t="s">
        <v>556</v>
      </c>
      <c r="AL268" s="450" t="s">
        <v>556</v>
      </c>
      <c r="AM268" s="133"/>
      <c r="AN268" s="134">
        <v>100</v>
      </c>
      <c r="AO268" s="450">
        <v>79.069999999999993</v>
      </c>
      <c r="AP268" s="450" t="s">
        <v>556</v>
      </c>
      <c r="AQ268" s="450" t="s">
        <v>556</v>
      </c>
      <c r="AR268" s="450" t="s">
        <v>556</v>
      </c>
      <c r="AS268" s="450" t="s">
        <v>556</v>
      </c>
      <c r="AT268" s="450" t="s">
        <v>556</v>
      </c>
      <c r="AU268" s="450" t="s">
        <v>556</v>
      </c>
      <c r="AV268" s="450" t="s">
        <v>556</v>
      </c>
      <c r="AW268" s="450" t="s">
        <v>556</v>
      </c>
      <c r="AX268" s="450" t="s">
        <v>556</v>
      </c>
      <c r="AY268" s="450" t="s">
        <v>556</v>
      </c>
      <c r="AZ268" s="450" t="s">
        <v>556</v>
      </c>
      <c r="BA268" s="450" t="s">
        <v>556</v>
      </c>
      <c r="BB268" s="450" t="s">
        <v>556</v>
      </c>
      <c r="BC268" s="450" t="s">
        <v>556</v>
      </c>
      <c r="BD268" s="450" t="s">
        <v>556</v>
      </c>
      <c r="BE268" s="450" t="s">
        <v>556</v>
      </c>
    </row>
    <row r="271" spans="2:57" ht="20.45" customHeight="1" x14ac:dyDescent="0.25">
      <c r="B271" s="444" t="s">
        <v>187</v>
      </c>
      <c r="C271" s="526" t="s">
        <v>228</v>
      </c>
      <c r="D271" s="527"/>
      <c r="E271" s="527"/>
      <c r="F271" s="527"/>
      <c r="G271" s="527"/>
      <c r="H271" s="527"/>
      <c r="I271" s="527"/>
      <c r="J271" s="527"/>
      <c r="K271" s="527"/>
      <c r="L271" s="527"/>
      <c r="M271" s="527"/>
      <c r="N271" s="527"/>
      <c r="O271" s="527"/>
      <c r="P271" s="527"/>
      <c r="Q271" s="527"/>
      <c r="R271" s="527"/>
      <c r="S271" s="527"/>
      <c r="V271" s="526" t="s">
        <v>228</v>
      </c>
      <c r="W271" s="527"/>
      <c r="X271" s="527"/>
      <c r="Y271" s="527"/>
      <c r="Z271" s="527"/>
      <c r="AA271" s="527"/>
      <c r="AB271" s="527"/>
      <c r="AC271" s="527"/>
      <c r="AD271" s="527"/>
      <c r="AE271" s="527"/>
      <c r="AF271" s="527"/>
      <c r="AG271" s="527"/>
      <c r="AH271" s="527"/>
      <c r="AI271" s="527"/>
      <c r="AJ271" s="527"/>
      <c r="AK271" s="527"/>
      <c r="AL271" s="527"/>
      <c r="AO271" s="526" t="s">
        <v>228</v>
      </c>
      <c r="AP271" s="527"/>
      <c r="AQ271" s="527"/>
      <c r="AR271" s="527"/>
      <c r="AS271" s="527"/>
      <c r="AT271" s="527"/>
      <c r="AU271" s="527"/>
      <c r="AV271" s="527"/>
      <c r="AW271" s="527"/>
      <c r="AX271" s="527"/>
      <c r="AY271" s="527"/>
      <c r="AZ271" s="527"/>
      <c r="BA271" s="527"/>
      <c r="BB271" s="527"/>
      <c r="BC271" s="527"/>
      <c r="BD271" s="527"/>
      <c r="BE271" s="527"/>
    </row>
    <row r="272" spans="2:57" x14ac:dyDescent="0.25">
      <c r="B272" s="444"/>
      <c r="V272" s="444"/>
      <c r="AO272" s="444"/>
    </row>
    <row r="273" spans="2:57" x14ac:dyDescent="0.25">
      <c r="C273" s="528" t="s">
        <v>173</v>
      </c>
      <c r="D273" s="528"/>
      <c r="E273" s="528"/>
      <c r="F273" s="528"/>
      <c r="G273" s="528"/>
      <c r="H273" s="528"/>
      <c r="I273" s="528"/>
      <c r="J273" s="528"/>
      <c r="K273" s="528"/>
      <c r="L273" s="528"/>
      <c r="M273" s="528"/>
      <c r="N273" s="528"/>
      <c r="O273" s="528"/>
      <c r="P273" s="528"/>
      <c r="Q273" s="528"/>
      <c r="R273" s="528"/>
      <c r="S273" s="528"/>
      <c r="V273" s="528" t="s">
        <v>165</v>
      </c>
      <c r="W273" s="528"/>
      <c r="X273" s="528"/>
      <c r="Y273" s="528"/>
      <c r="Z273" s="528"/>
      <c r="AA273" s="528"/>
      <c r="AB273" s="528"/>
      <c r="AC273" s="528"/>
      <c r="AD273" s="528"/>
      <c r="AE273" s="528"/>
      <c r="AF273" s="528"/>
      <c r="AG273" s="528"/>
      <c r="AH273" s="528"/>
      <c r="AI273" s="528"/>
      <c r="AJ273" s="528"/>
      <c r="AK273" s="528"/>
      <c r="AL273" s="528"/>
      <c r="AO273" s="528" t="s">
        <v>166</v>
      </c>
      <c r="AP273" s="528"/>
      <c r="AQ273" s="528"/>
      <c r="AR273" s="528"/>
      <c r="AS273" s="528"/>
      <c r="AT273" s="528"/>
      <c r="AU273" s="528"/>
      <c r="AV273" s="528"/>
      <c r="AW273" s="528"/>
      <c r="AX273" s="528"/>
      <c r="AY273" s="528"/>
      <c r="AZ273" s="528"/>
      <c r="BA273" s="528"/>
      <c r="BB273" s="528"/>
      <c r="BC273" s="528"/>
      <c r="BD273" s="528"/>
      <c r="BE273" s="528"/>
    </row>
    <row r="274" spans="2:57" ht="195" x14ac:dyDescent="0.25">
      <c r="B274" s="445" t="s">
        <v>14</v>
      </c>
      <c r="C274" s="446">
        <v>0</v>
      </c>
      <c r="D274" s="447">
        <v>1</v>
      </c>
      <c r="E274" s="447">
        <v>2</v>
      </c>
      <c r="F274" s="447">
        <v>3</v>
      </c>
      <c r="G274" s="447">
        <v>4</v>
      </c>
      <c r="H274" s="447">
        <v>5</v>
      </c>
      <c r="I274" s="447">
        <v>6</v>
      </c>
      <c r="J274" s="447">
        <v>7</v>
      </c>
      <c r="K274" s="447">
        <v>8</v>
      </c>
      <c r="L274" s="447">
        <v>9</v>
      </c>
      <c r="M274" s="447">
        <v>10</v>
      </c>
      <c r="N274" s="448" t="s">
        <v>15</v>
      </c>
      <c r="O274" s="447" t="s">
        <v>16</v>
      </c>
      <c r="P274" s="447" t="s">
        <v>17</v>
      </c>
      <c r="Q274" s="447" t="s">
        <v>18</v>
      </c>
      <c r="R274" s="447" t="s">
        <v>19</v>
      </c>
      <c r="S274" s="447" t="s">
        <v>20</v>
      </c>
      <c r="T274" s="449"/>
      <c r="U274" s="445" t="s">
        <v>14</v>
      </c>
      <c r="V274" s="446">
        <v>0</v>
      </c>
      <c r="W274" s="447">
        <v>1</v>
      </c>
      <c r="X274" s="447">
        <v>2</v>
      </c>
      <c r="Y274" s="447">
        <v>3</v>
      </c>
      <c r="Z274" s="447">
        <v>4</v>
      </c>
      <c r="AA274" s="447">
        <v>5</v>
      </c>
      <c r="AB274" s="447">
        <v>6</v>
      </c>
      <c r="AC274" s="447">
        <v>7</v>
      </c>
      <c r="AD274" s="447">
        <v>8</v>
      </c>
      <c r="AE274" s="447">
        <v>9</v>
      </c>
      <c r="AF274" s="447">
        <v>10</v>
      </c>
      <c r="AG274" s="448" t="s">
        <v>15</v>
      </c>
      <c r="AH274" s="447" t="s">
        <v>16</v>
      </c>
      <c r="AI274" s="447" t="s">
        <v>17</v>
      </c>
      <c r="AJ274" s="447" t="s">
        <v>18</v>
      </c>
      <c r="AK274" s="447" t="s">
        <v>19</v>
      </c>
      <c r="AL274" s="447" t="s">
        <v>20</v>
      </c>
      <c r="AM274" s="449"/>
      <c r="AN274" s="445" t="s">
        <v>14</v>
      </c>
      <c r="AO274" s="446">
        <v>0</v>
      </c>
      <c r="AP274" s="447">
        <v>1</v>
      </c>
      <c r="AQ274" s="447">
        <v>2</v>
      </c>
      <c r="AR274" s="447">
        <v>3</v>
      </c>
      <c r="AS274" s="447">
        <v>4</v>
      </c>
      <c r="AT274" s="447">
        <v>5</v>
      </c>
      <c r="AU274" s="447">
        <v>6</v>
      </c>
      <c r="AV274" s="447">
        <v>7</v>
      </c>
      <c r="AW274" s="447">
        <v>8</v>
      </c>
      <c r="AX274" s="447">
        <v>9</v>
      </c>
      <c r="AY274" s="447">
        <v>10</v>
      </c>
      <c r="AZ274" s="448" t="s">
        <v>15</v>
      </c>
      <c r="BA274" s="447" t="s">
        <v>16</v>
      </c>
      <c r="BB274" s="447" t="s">
        <v>17</v>
      </c>
      <c r="BC274" s="447" t="s">
        <v>18</v>
      </c>
      <c r="BD274" s="447" t="s">
        <v>19</v>
      </c>
      <c r="BE274" s="447" t="s">
        <v>225</v>
      </c>
    </row>
    <row r="275" spans="2:57" x14ac:dyDescent="0.25">
      <c r="B275" s="134">
        <v>18</v>
      </c>
      <c r="C275" s="450">
        <v>72.47</v>
      </c>
      <c r="D275" s="450">
        <v>72.5</v>
      </c>
      <c r="E275" s="450">
        <v>72.53</v>
      </c>
      <c r="F275" s="450">
        <v>72.55</v>
      </c>
      <c r="G275" s="450">
        <v>72.58</v>
      </c>
      <c r="H275" s="450">
        <v>72.599999999999994</v>
      </c>
      <c r="I275" s="450">
        <v>72.63</v>
      </c>
      <c r="J275" s="450">
        <v>72.66</v>
      </c>
      <c r="K275" s="450">
        <v>72.680000000000007</v>
      </c>
      <c r="L275" s="450">
        <v>72.7</v>
      </c>
      <c r="M275" s="450">
        <v>72.73</v>
      </c>
      <c r="N275" s="450">
        <v>72.75</v>
      </c>
      <c r="O275" s="450">
        <v>72.86</v>
      </c>
      <c r="P275" s="450">
        <v>72.959999999999994</v>
      </c>
      <c r="Q275" s="450">
        <v>73.040000000000006</v>
      </c>
      <c r="R275" s="450">
        <v>73.099999999999994</v>
      </c>
      <c r="S275" s="450">
        <v>73.150000000000006</v>
      </c>
      <c r="T275" s="133"/>
      <c r="U275" s="134">
        <v>18</v>
      </c>
      <c r="V275" s="450">
        <v>72.97</v>
      </c>
      <c r="W275" s="450">
        <v>73</v>
      </c>
      <c r="X275" s="450">
        <v>73.02</v>
      </c>
      <c r="Y275" s="450">
        <v>73.05</v>
      </c>
      <c r="Z275" s="450">
        <v>73.08</v>
      </c>
      <c r="AA275" s="450">
        <v>73.099999999999994</v>
      </c>
      <c r="AB275" s="450">
        <v>73.13</v>
      </c>
      <c r="AC275" s="450">
        <v>73.150000000000006</v>
      </c>
      <c r="AD275" s="450">
        <v>73.180000000000007</v>
      </c>
      <c r="AE275" s="450">
        <v>73.2</v>
      </c>
      <c r="AF275" s="450">
        <v>73.23</v>
      </c>
      <c r="AG275" s="450">
        <v>73.25</v>
      </c>
      <c r="AH275" s="450">
        <v>73.36</v>
      </c>
      <c r="AI275" s="450">
        <v>73.459999999999994</v>
      </c>
      <c r="AJ275" s="450">
        <v>73.540000000000006</v>
      </c>
      <c r="AK275" s="450">
        <v>73.599999999999994</v>
      </c>
      <c r="AL275" s="450">
        <v>73.650000000000006</v>
      </c>
      <c r="AM275" s="133"/>
      <c r="AN275" s="134">
        <v>18</v>
      </c>
      <c r="AO275" s="450">
        <v>73.67</v>
      </c>
      <c r="AP275" s="450">
        <v>73.7</v>
      </c>
      <c r="AQ275" s="450">
        <v>73.73</v>
      </c>
      <c r="AR275" s="450">
        <v>73.75</v>
      </c>
      <c r="AS275" s="450">
        <v>73.78</v>
      </c>
      <c r="AT275" s="450">
        <v>73.81</v>
      </c>
      <c r="AU275" s="450">
        <v>73.83</v>
      </c>
      <c r="AV275" s="450">
        <v>73.86</v>
      </c>
      <c r="AW275" s="450">
        <v>73.89</v>
      </c>
      <c r="AX275" s="450">
        <v>73.91</v>
      </c>
      <c r="AY275" s="450">
        <v>73.94</v>
      </c>
      <c r="AZ275" s="450">
        <v>73.959999999999994</v>
      </c>
      <c r="BA275" s="450">
        <v>74.08</v>
      </c>
      <c r="BB275" s="450">
        <v>74.17</v>
      </c>
      <c r="BC275" s="450">
        <v>74.260000000000005</v>
      </c>
      <c r="BD275" s="450">
        <v>74.319999999999993</v>
      </c>
      <c r="BE275" s="450">
        <v>74.37</v>
      </c>
    </row>
    <row r="276" spans="2:57" x14ac:dyDescent="0.25">
      <c r="B276" s="134">
        <v>19</v>
      </c>
      <c r="C276" s="450">
        <v>72.53</v>
      </c>
      <c r="D276" s="450">
        <v>72.56</v>
      </c>
      <c r="E276" s="450">
        <v>72.59</v>
      </c>
      <c r="F276" s="450">
        <v>72.61</v>
      </c>
      <c r="G276" s="450">
        <v>72.64</v>
      </c>
      <c r="H276" s="450">
        <v>72.67</v>
      </c>
      <c r="I276" s="450">
        <v>72.69</v>
      </c>
      <c r="J276" s="450">
        <v>72.72</v>
      </c>
      <c r="K276" s="450">
        <v>72.75</v>
      </c>
      <c r="L276" s="450">
        <v>72.77</v>
      </c>
      <c r="M276" s="450">
        <v>72.8</v>
      </c>
      <c r="N276" s="450">
        <v>72.819999999999993</v>
      </c>
      <c r="O276" s="450">
        <v>72.94</v>
      </c>
      <c r="P276" s="450">
        <v>73.03</v>
      </c>
      <c r="Q276" s="450">
        <v>73.12</v>
      </c>
      <c r="R276" s="450">
        <v>73.180000000000007</v>
      </c>
      <c r="S276" s="450">
        <v>73.23</v>
      </c>
      <c r="T276" s="133"/>
      <c r="U276" s="134">
        <v>19</v>
      </c>
      <c r="V276" s="450">
        <v>73.03</v>
      </c>
      <c r="W276" s="450">
        <v>73.05</v>
      </c>
      <c r="X276" s="450">
        <v>73.08</v>
      </c>
      <c r="Y276" s="450">
        <v>73.11</v>
      </c>
      <c r="Z276" s="450">
        <v>73.14</v>
      </c>
      <c r="AA276" s="450">
        <v>73.17</v>
      </c>
      <c r="AB276" s="450">
        <v>73.19</v>
      </c>
      <c r="AC276" s="450">
        <v>73.22</v>
      </c>
      <c r="AD276" s="450">
        <v>73.25</v>
      </c>
      <c r="AE276" s="450">
        <v>73.27</v>
      </c>
      <c r="AF276" s="450">
        <v>73.3</v>
      </c>
      <c r="AG276" s="450">
        <v>73.319999999999993</v>
      </c>
      <c r="AH276" s="450">
        <v>73.44</v>
      </c>
      <c r="AI276" s="450">
        <v>73.540000000000006</v>
      </c>
      <c r="AJ276" s="450">
        <v>73.62</v>
      </c>
      <c r="AK276" s="450">
        <v>73.69</v>
      </c>
      <c r="AL276" s="450">
        <v>73.739999999999995</v>
      </c>
      <c r="AM276" s="133"/>
      <c r="AN276" s="134">
        <v>19</v>
      </c>
      <c r="AO276" s="450">
        <v>73.73</v>
      </c>
      <c r="AP276" s="450">
        <v>73.760000000000005</v>
      </c>
      <c r="AQ276" s="450">
        <v>73.790000000000006</v>
      </c>
      <c r="AR276" s="450">
        <v>73.819999999999993</v>
      </c>
      <c r="AS276" s="450">
        <v>73.84</v>
      </c>
      <c r="AT276" s="450">
        <v>73.87</v>
      </c>
      <c r="AU276" s="450">
        <v>73.900000000000006</v>
      </c>
      <c r="AV276" s="450">
        <v>73.930000000000007</v>
      </c>
      <c r="AW276" s="450">
        <v>73.95</v>
      </c>
      <c r="AX276" s="450">
        <v>73.98</v>
      </c>
      <c r="AY276" s="450">
        <v>74.010000000000005</v>
      </c>
      <c r="AZ276" s="450">
        <v>74.03</v>
      </c>
      <c r="BA276" s="450">
        <v>74.150000000000006</v>
      </c>
      <c r="BB276" s="450">
        <v>74.260000000000005</v>
      </c>
      <c r="BC276" s="450">
        <v>74.34</v>
      </c>
      <c r="BD276" s="450">
        <v>74.41</v>
      </c>
      <c r="BE276" s="450">
        <v>74.459999999999994</v>
      </c>
    </row>
    <row r="277" spans="2:57" x14ac:dyDescent="0.25">
      <c r="B277" s="134">
        <v>20</v>
      </c>
      <c r="C277" s="450">
        <v>72.59</v>
      </c>
      <c r="D277" s="450">
        <v>72.62</v>
      </c>
      <c r="E277" s="450">
        <v>72.650000000000006</v>
      </c>
      <c r="F277" s="450">
        <v>72.680000000000007</v>
      </c>
      <c r="G277" s="450">
        <v>72.7</v>
      </c>
      <c r="H277" s="450">
        <v>72.73</v>
      </c>
      <c r="I277" s="450">
        <v>72.760000000000005</v>
      </c>
      <c r="J277" s="450">
        <v>72.790000000000006</v>
      </c>
      <c r="K277" s="450">
        <v>72.81</v>
      </c>
      <c r="L277" s="450">
        <v>72.84</v>
      </c>
      <c r="M277" s="450">
        <v>72.87</v>
      </c>
      <c r="N277" s="450">
        <v>72.89</v>
      </c>
      <c r="O277" s="450">
        <v>73.010000000000005</v>
      </c>
      <c r="P277" s="450">
        <v>73.12</v>
      </c>
      <c r="Q277" s="450">
        <v>73.2</v>
      </c>
      <c r="R277" s="450">
        <v>73.27</v>
      </c>
      <c r="S277" s="450">
        <v>73.319999999999993</v>
      </c>
      <c r="T277" s="133"/>
      <c r="U277" s="134">
        <v>20</v>
      </c>
      <c r="V277" s="450">
        <v>73.09</v>
      </c>
      <c r="W277" s="450">
        <v>73.11</v>
      </c>
      <c r="X277" s="450">
        <v>73.14</v>
      </c>
      <c r="Y277" s="450">
        <v>73.17</v>
      </c>
      <c r="Z277" s="450">
        <v>73.2</v>
      </c>
      <c r="AA277" s="450">
        <v>73.23</v>
      </c>
      <c r="AB277" s="450">
        <v>73.260000000000005</v>
      </c>
      <c r="AC277" s="450">
        <v>73.290000000000006</v>
      </c>
      <c r="AD277" s="450">
        <v>73.319999999999993</v>
      </c>
      <c r="AE277" s="450">
        <v>73.34</v>
      </c>
      <c r="AF277" s="450">
        <v>73.37</v>
      </c>
      <c r="AG277" s="450">
        <v>73.400000000000006</v>
      </c>
      <c r="AH277" s="450">
        <v>73.52</v>
      </c>
      <c r="AI277" s="450">
        <v>73.62</v>
      </c>
      <c r="AJ277" s="450">
        <v>73.709999999999994</v>
      </c>
      <c r="AK277" s="450">
        <v>73.78</v>
      </c>
      <c r="AL277" s="450">
        <v>73.83</v>
      </c>
      <c r="AM277" s="133"/>
      <c r="AN277" s="134">
        <v>20</v>
      </c>
      <c r="AO277" s="450">
        <v>73.790000000000006</v>
      </c>
      <c r="AP277" s="450">
        <v>73.819999999999993</v>
      </c>
      <c r="AQ277" s="450">
        <v>73.849999999999994</v>
      </c>
      <c r="AR277" s="450">
        <v>73.88</v>
      </c>
      <c r="AS277" s="450">
        <v>73.91</v>
      </c>
      <c r="AT277" s="450">
        <v>73.94</v>
      </c>
      <c r="AU277" s="450">
        <v>73.97</v>
      </c>
      <c r="AV277" s="450">
        <v>74</v>
      </c>
      <c r="AW277" s="450">
        <v>74.03</v>
      </c>
      <c r="AX277" s="450">
        <v>74.05</v>
      </c>
      <c r="AY277" s="450">
        <v>74.08</v>
      </c>
      <c r="AZ277" s="450">
        <v>74.11</v>
      </c>
      <c r="BA277" s="450">
        <v>74.23</v>
      </c>
      <c r="BB277" s="450">
        <v>74.34</v>
      </c>
      <c r="BC277" s="450">
        <v>74.430000000000007</v>
      </c>
      <c r="BD277" s="450">
        <v>74.5</v>
      </c>
      <c r="BE277" s="450">
        <v>74.55</v>
      </c>
    </row>
    <row r="278" spans="2:57" x14ac:dyDescent="0.25">
      <c r="B278" s="134">
        <v>21</v>
      </c>
      <c r="C278" s="450">
        <v>72.650000000000006</v>
      </c>
      <c r="D278" s="450">
        <v>72.680000000000007</v>
      </c>
      <c r="E278" s="450">
        <v>72.709999999999994</v>
      </c>
      <c r="F278" s="450">
        <v>72.739999999999995</v>
      </c>
      <c r="G278" s="450">
        <v>72.77</v>
      </c>
      <c r="H278" s="450">
        <v>72.8</v>
      </c>
      <c r="I278" s="450">
        <v>72.83</v>
      </c>
      <c r="J278" s="450">
        <v>72.86</v>
      </c>
      <c r="K278" s="450">
        <v>72.89</v>
      </c>
      <c r="L278" s="450">
        <v>72.91</v>
      </c>
      <c r="M278" s="450">
        <v>72.94</v>
      </c>
      <c r="N278" s="450">
        <v>72.97</v>
      </c>
      <c r="O278" s="450">
        <v>73.09</v>
      </c>
      <c r="P278" s="450">
        <v>73.2</v>
      </c>
      <c r="Q278" s="450">
        <v>73.290000000000006</v>
      </c>
      <c r="R278" s="450">
        <v>73.36</v>
      </c>
      <c r="S278" s="450">
        <v>73.41</v>
      </c>
      <c r="T278" s="133"/>
      <c r="U278" s="134">
        <v>21</v>
      </c>
      <c r="V278" s="450">
        <v>73.150000000000006</v>
      </c>
      <c r="W278" s="450">
        <v>73.180000000000007</v>
      </c>
      <c r="X278" s="450">
        <v>73.209999999999994</v>
      </c>
      <c r="Y278" s="450">
        <v>73.239999999999995</v>
      </c>
      <c r="Z278" s="450">
        <v>73.27</v>
      </c>
      <c r="AA278" s="450">
        <v>73.3</v>
      </c>
      <c r="AB278" s="450">
        <v>73.33</v>
      </c>
      <c r="AC278" s="450">
        <v>73.36</v>
      </c>
      <c r="AD278" s="450">
        <v>73.39</v>
      </c>
      <c r="AE278" s="450">
        <v>73.42</v>
      </c>
      <c r="AF278" s="450">
        <v>73.44</v>
      </c>
      <c r="AG278" s="450">
        <v>73.47</v>
      </c>
      <c r="AH278" s="450">
        <v>73.599999999999994</v>
      </c>
      <c r="AI278" s="450">
        <v>73.709999999999994</v>
      </c>
      <c r="AJ278" s="450">
        <v>73.8</v>
      </c>
      <c r="AK278" s="450">
        <v>73.87</v>
      </c>
      <c r="AL278" s="450">
        <v>73.92</v>
      </c>
      <c r="AM278" s="133"/>
      <c r="AN278" s="134">
        <v>21</v>
      </c>
      <c r="AO278" s="450">
        <v>73.849999999999994</v>
      </c>
      <c r="AP278" s="450">
        <v>73.89</v>
      </c>
      <c r="AQ278" s="450">
        <v>73.92</v>
      </c>
      <c r="AR278" s="450">
        <v>73.95</v>
      </c>
      <c r="AS278" s="450">
        <v>73.98</v>
      </c>
      <c r="AT278" s="450">
        <v>74.010000000000005</v>
      </c>
      <c r="AU278" s="450">
        <v>74.040000000000006</v>
      </c>
      <c r="AV278" s="450">
        <v>74.069999999999993</v>
      </c>
      <c r="AW278" s="450">
        <v>74.099999999999994</v>
      </c>
      <c r="AX278" s="450">
        <v>74.13</v>
      </c>
      <c r="AY278" s="450">
        <v>74.16</v>
      </c>
      <c r="AZ278" s="450">
        <v>74.19</v>
      </c>
      <c r="BA278" s="450">
        <v>74.319999999999993</v>
      </c>
      <c r="BB278" s="450">
        <v>74.430000000000007</v>
      </c>
      <c r="BC278" s="450">
        <v>74.52</v>
      </c>
      <c r="BD278" s="450">
        <v>74.59</v>
      </c>
      <c r="BE278" s="450">
        <v>74.650000000000006</v>
      </c>
    </row>
    <row r="279" spans="2:57" x14ac:dyDescent="0.25">
      <c r="B279" s="134">
        <v>22</v>
      </c>
      <c r="C279" s="450">
        <v>72.709999999999994</v>
      </c>
      <c r="D279" s="450">
        <v>72.75</v>
      </c>
      <c r="E279" s="450">
        <v>72.78</v>
      </c>
      <c r="F279" s="450">
        <v>72.81</v>
      </c>
      <c r="G279" s="450">
        <v>72.84</v>
      </c>
      <c r="H279" s="450">
        <v>72.87</v>
      </c>
      <c r="I279" s="450">
        <v>72.900000000000006</v>
      </c>
      <c r="J279" s="450">
        <v>72.930000000000007</v>
      </c>
      <c r="K279" s="450">
        <v>72.959999999999994</v>
      </c>
      <c r="L279" s="450">
        <v>72.989999999999995</v>
      </c>
      <c r="M279" s="450">
        <v>73.02</v>
      </c>
      <c r="N279" s="450">
        <v>73.05</v>
      </c>
      <c r="O279" s="450">
        <v>73.180000000000007</v>
      </c>
      <c r="P279" s="450">
        <v>73.290000000000006</v>
      </c>
      <c r="Q279" s="450">
        <v>73.38</v>
      </c>
      <c r="R279" s="450">
        <v>73.45</v>
      </c>
      <c r="S279" s="450">
        <v>73.5</v>
      </c>
      <c r="T279" s="133"/>
      <c r="U279" s="134">
        <v>22</v>
      </c>
      <c r="V279" s="450">
        <v>73.209999999999994</v>
      </c>
      <c r="W279" s="450">
        <v>73.25</v>
      </c>
      <c r="X279" s="450">
        <v>73.28</v>
      </c>
      <c r="Y279" s="450">
        <v>73.31</v>
      </c>
      <c r="Z279" s="450">
        <v>73.34</v>
      </c>
      <c r="AA279" s="450">
        <v>73.37</v>
      </c>
      <c r="AB279" s="450">
        <v>73.400000000000006</v>
      </c>
      <c r="AC279" s="450">
        <v>73.430000000000007</v>
      </c>
      <c r="AD279" s="450">
        <v>73.47</v>
      </c>
      <c r="AE279" s="450">
        <v>73.489999999999995</v>
      </c>
      <c r="AF279" s="450">
        <v>73.52</v>
      </c>
      <c r="AG279" s="450">
        <v>73.55</v>
      </c>
      <c r="AH279" s="450">
        <v>73.69</v>
      </c>
      <c r="AI279" s="450">
        <v>73.8</v>
      </c>
      <c r="AJ279" s="450">
        <v>73.89</v>
      </c>
      <c r="AK279" s="450">
        <v>73.959999999999994</v>
      </c>
      <c r="AL279" s="450">
        <v>74.02</v>
      </c>
      <c r="AM279" s="133"/>
      <c r="AN279" s="134">
        <v>22</v>
      </c>
      <c r="AO279" s="450">
        <v>73.92</v>
      </c>
      <c r="AP279" s="450">
        <v>73.95</v>
      </c>
      <c r="AQ279" s="450">
        <v>73.989999999999995</v>
      </c>
      <c r="AR279" s="450">
        <v>74.02</v>
      </c>
      <c r="AS279" s="450">
        <v>74.05</v>
      </c>
      <c r="AT279" s="450">
        <v>74.09</v>
      </c>
      <c r="AU279" s="450">
        <v>74.12</v>
      </c>
      <c r="AV279" s="450">
        <v>74.150000000000006</v>
      </c>
      <c r="AW279" s="450">
        <v>74.180000000000007</v>
      </c>
      <c r="AX279" s="450">
        <v>74.209999999999994</v>
      </c>
      <c r="AY279" s="450">
        <v>74.239999999999995</v>
      </c>
      <c r="AZ279" s="450">
        <v>74.27</v>
      </c>
      <c r="BA279" s="450">
        <v>74.41</v>
      </c>
      <c r="BB279" s="450">
        <v>74.52</v>
      </c>
      <c r="BC279" s="450">
        <v>74.62</v>
      </c>
      <c r="BD279" s="450">
        <v>74.69</v>
      </c>
      <c r="BE279" s="450">
        <v>74.75</v>
      </c>
    </row>
    <row r="280" spans="2:57" x14ac:dyDescent="0.25">
      <c r="B280" s="134">
        <v>23</v>
      </c>
      <c r="C280" s="450">
        <v>72.78</v>
      </c>
      <c r="D280" s="450">
        <v>72.81</v>
      </c>
      <c r="E280" s="450">
        <v>72.849999999999994</v>
      </c>
      <c r="F280" s="450">
        <v>72.88</v>
      </c>
      <c r="G280" s="450">
        <v>72.91</v>
      </c>
      <c r="H280" s="450">
        <v>72.95</v>
      </c>
      <c r="I280" s="450">
        <v>72.98</v>
      </c>
      <c r="J280" s="450">
        <v>73.010000000000005</v>
      </c>
      <c r="K280" s="450">
        <v>73.040000000000006</v>
      </c>
      <c r="L280" s="450">
        <v>73.069999999999993</v>
      </c>
      <c r="M280" s="450">
        <v>73.099999999999994</v>
      </c>
      <c r="N280" s="450">
        <v>73.13</v>
      </c>
      <c r="O280" s="450">
        <v>73.27</v>
      </c>
      <c r="P280" s="450">
        <v>73.38</v>
      </c>
      <c r="Q280" s="450">
        <v>73.48</v>
      </c>
      <c r="R280" s="450">
        <v>73.55</v>
      </c>
      <c r="S280" s="450">
        <v>73.599999999999994</v>
      </c>
      <c r="T280" s="133"/>
      <c r="U280" s="134">
        <v>23</v>
      </c>
      <c r="V280" s="450">
        <v>73.28</v>
      </c>
      <c r="W280" s="450">
        <v>73.319999999999993</v>
      </c>
      <c r="X280" s="450">
        <v>73.349999999999994</v>
      </c>
      <c r="Y280" s="450">
        <v>73.38</v>
      </c>
      <c r="Z280" s="450">
        <v>73.42</v>
      </c>
      <c r="AA280" s="450">
        <v>73.45</v>
      </c>
      <c r="AB280" s="450">
        <v>73.48</v>
      </c>
      <c r="AC280" s="450">
        <v>73.510000000000005</v>
      </c>
      <c r="AD280" s="450">
        <v>73.55</v>
      </c>
      <c r="AE280" s="450">
        <v>73.58</v>
      </c>
      <c r="AF280" s="450">
        <v>73.61</v>
      </c>
      <c r="AG280" s="450">
        <v>73.64</v>
      </c>
      <c r="AH280" s="450">
        <v>73.78</v>
      </c>
      <c r="AI280" s="450">
        <v>73.89</v>
      </c>
      <c r="AJ280" s="450">
        <v>73.989999999999995</v>
      </c>
      <c r="AK280" s="450">
        <v>74.06</v>
      </c>
      <c r="AL280" s="450">
        <v>74.12</v>
      </c>
      <c r="AM280" s="133"/>
      <c r="AN280" s="134">
        <v>23</v>
      </c>
      <c r="AO280" s="450">
        <v>73.989999999999995</v>
      </c>
      <c r="AP280" s="450">
        <v>74.03</v>
      </c>
      <c r="AQ280" s="450">
        <v>74.06</v>
      </c>
      <c r="AR280" s="450">
        <v>74.099999999999994</v>
      </c>
      <c r="AS280" s="450">
        <v>74.13</v>
      </c>
      <c r="AT280" s="450">
        <v>74.16</v>
      </c>
      <c r="AU280" s="450">
        <v>74.2</v>
      </c>
      <c r="AV280" s="450">
        <v>74.23</v>
      </c>
      <c r="AW280" s="450">
        <v>74.260000000000005</v>
      </c>
      <c r="AX280" s="450">
        <v>74.290000000000006</v>
      </c>
      <c r="AY280" s="450">
        <v>74.33</v>
      </c>
      <c r="AZ280" s="450">
        <v>74.36</v>
      </c>
      <c r="BA280" s="450">
        <v>74.5</v>
      </c>
      <c r="BB280" s="450">
        <v>74.62</v>
      </c>
      <c r="BC280" s="450">
        <v>74.72</v>
      </c>
      <c r="BD280" s="450">
        <v>74.790000000000006</v>
      </c>
      <c r="BE280" s="450">
        <v>74.849999999999994</v>
      </c>
    </row>
    <row r="281" spans="2:57" x14ac:dyDescent="0.25">
      <c r="B281" s="134">
        <v>24</v>
      </c>
      <c r="C281" s="450">
        <v>72.849999999999994</v>
      </c>
      <c r="D281" s="450">
        <v>72.89</v>
      </c>
      <c r="E281" s="450">
        <v>72.92</v>
      </c>
      <c r="F281" s="450">
        <v>72.959999999999994</v>
      </c>
      <c r="G281" s="450">
        <v>72.989999999999995</v>
      </c>
      <c r="H281" s="450">
        <v>73.02</v>
      </c>
      <c r="I281" s="450">
        <v>73.06</v>
      </c>
      <c r="J281" s="450">
        <v>73.09</v>
      </c>
      <c r="K281" s="450">
        <v>73.12</v>
      </c>
      <c r="L281" s="450">
        <v>73.16</v>
      </c>
      <c r="M281" s="450">
        <v>73.19</v>
      </c>
      <c r="N281" s="450">
        <v>73.22</v>
      </c>
      <c r="O281" s="450">
        <v>73.36</v>
      </c>
      <c r="P281" s="450">
        <v>73.48</v>
      </c>
      <c r="Q281" s="450">
        <v>73.58</v>
      </c>
      <c r="R281" s="450">
        <v>73.650000000000006</v>
      </c>
      <c r="S281" s="450">
        <v>73.7</v>
      </c>
      <c r="T281" s="133"/>
      <c r="U281" s="134">
        <v>24</v>
      </c>
      <c r="V281" s="450">
        <v>73.349999999999994</v>
      </c>
      <c r="W281" s="450">
        <v>73.39</v>
      </c>
      <c r="X281" s="450">
        <v>73.42</v>
      </c>
      <c r="Y281" s="450">
        <v>73.459999999999994</v>
      </c>
      <c r="Z281" s="450">
        <v>73.489999999999995</v>
      </c>
      <c r="AA281" s="450">
        <v>73.53</v>
      </c>
      <c r="AB281" s="450">
        <v>73.56</v>
      </c>
      <c r="AC281" s="450">
        <v>73.599999999999994</v>
      </c>
      <c r="AD281" s="450">
        <v>73.63</v>
      </c>
      <c r="AE281" s="450">
        <v>73.66</v>
      </c>
      <c r="AF281" s="450">
        <v>73.69</v>
      </c>
      <c r="AG281" s="450">
        <v>73.72</v>
      </c>
      <c r="AH281" s="450">
        <v>73.87</v>
      </c>
      <c r="AI281" s="450">
        <v>73.989999999999995</v>
      </c>
      <c r="AJ281" s="450">
        <v>74.09</v>
      </c>
      <c r="AK281" s="450">
        <v>74.16</v>
      </c>
      <c r="AL281" s="450">
        <v>74.22</v>
      </c>
      <c r="AM281" s="133"/>
      <c r="AN281" s="134">
        <v>24</v>
      </c>
      <c r="AO281" s="450">
        <v>74.06</v>
      </c>
      <c r="AP281" s="450">
        <v>74.099999999999994</v>
      </c>
      <c r="AQ281" s="450">
        <v>74.14</v>
      </c>
      <c r="AR281" s="450">
        <v>74.17</v>
      </c>
      <c r="AS281" s="450">
        <v>74.209999999999994</v>
      </c>
      <c r="AT281" s="450">
        <v>74.25</v>
      </c>
      <c r="AU281" s="450">
        <v>74.28</v>
      </c>
      <c r="AV281" s="450">
        <v>74.31</v>
      </c>
      <c r="AW281" s="450">
        <v>74.349999999999994</v>
      </c>
      <c r="AX281" s="450">
        <v>74.38</v>
      </c>
      <c r="AY281" s="450">
        <v>74.42</v>
      </c>
      <c r="AZ281" s="450">
        <v>74.45</v>
      </c>
      <c r="BA281" s="450">
        <v>74.599999999999994</v>
      </c>
      <c r="BB281" s="450">
        <v>74.72</v>
      </c>
      <c r="BC281" s="450">
        <v>74.819999999999993</v>
      </c>
      <c r="BD281" s="450">
        <v>74.900000000000006</v>
      </c>
      <c r="BE281" s="450">
        <v>74.959999999999994</v>
      </c>
    </row>
    <row r="282" spans="2:57" x14ac:dyDescent="0.25">
      <c r="B282" s="134">
        <v>25</v>
      </c>
      <c r="C282" s="450">
        <v>72.92</v>
      </c>
      <c r="D282" s="450">
        <v>72.959999999999994</v>
      </c>
      <c r="E282" s="450">
        <v>73</v>
      </c>
      <c r="F282" s="450">
        <v>73.03</v>
      </c>
      <c r="G282" s="450">
        <v>73.069999999999993</v>
      </c>
      <c r="H282" s="450">
        <v>73.11</v>
      </c>
      <c r="I282" s="450">
        <v>73.14</v>
      </c>
      <c r="J282" s="450">
        <v>73.180000000000007</v>
      </c>
      <c r="K282" s="450">
        <v>73.209999999999994</v>
      </c>
      <c r="L282" s="450">
        <v>73.239999999999995</v>
      </c>
      <c r="M282" s="450">
        <v>73.28</v>
      </c>
      <c r="N282" s="450">
        <v>73.31</v>
      </c>
      <c r="O282" s="450">
        <v>73.459999999999994</v>
      </c>
      <c r="P282" s="450">
        <v>73.58</v>
      </c>
      <c r="Q282" s="450">
        <v>73.680000000000007</v>
      </c>
      <c r="R282" s="450">
        <v>73.760000000000005</v>
      </c>
      <c r="S282" s="450">
        <v>73.81</v>
      </c>
      <c r="T282" s="133"/>
      <c r="U282" s="134">
        <v>25</v>
      </c>
      <c r="V282" s="450">
        <v>73.430000000000007</v>
      </c>
      <c r="W282" s="450">
        <v>73.459999999999994</v>
      </c>
      <c r="X282" s="450">
        <v>73.5</v>
      </c>
      <c r="Y282" s="450">
        <v>73.540000000000006</v>
      </c>
      <c r="Z282" s="450">
        <v>73.58</v>
      </c>
      <c r="AA282" s="450">
        <v>73.61</v>
      </c>
      <c r="AB282" s="450">
        <v>73.650000000000006</v>
      </c>
      <c r="AC282" s="450">
        <v>73.680000000000007</v>
      </c>
      <c r="AD282" s="450">
        <v>73.72</v>
      </c>
      <c r="AE282" s="450">
        <v>73.75</v>
      </c>
      <c r="AF282" s="450">
        <v>73.78</v>
      </c>
      <c r="AG282" s="450">
        <v>73.819999999999993</v>
      </c>
      <c r="AH282" s="450">
        <v>73.97</v>
      </c>
      <c r="AI282" s="450">
        <v>74.09</v>
      </c>
      <c r="AJ282" s="450">
        <v>74.2</v>
      </c>
      <c r="AK282" s="450">
        <v>74.27</v>
      </c>
      <c r="AL282" s="450">
        <v>74.33</v>
      </c>
      <c r="AM282" s="133"/>
      <c r="AN282" s="134">
        <v>25</v>
      </c>
      <c r="AO282" s="450">
        <v>74.14</v>
      </c>
      <c r="AP282" s="450">
        <v>74.180000000000007</v>
      </c>
      <c r="AQ282" s="450">
        <v>74.22</v>
      </c>
      <c r="AR282" s="450">
        <v>74.260000000000005</v>
      </c>
      <c r="AS282" s="450">
        <v>74.290000000000006</v>
      </c>
      <c r="AT282" s="450">
        <v>74.33</v>
      </c>
      <c r="AU282" s="450">
        <v>74.37</v>
      </c>
      <c r="AV282" s="450">
        <v>74.400000000000006</v>
      </c>
      <c r="AW282" s="450">
        <v>74.44</v>
      </c>
      <c r="AX282" s="450">
        <v>74.47</v>
      </c>
      <c r="AY282" s="450">
        <v>74.510000000000005</v>
      </c>
      <c r="AZ282" s="450">
        <v>74.540000000000006</v>
      </c>
      <c r="BA282" s="450">
        <v>74.7</v>
      </c>
      <c r="BB282" s="450">
        <v>74.83</v>
      </c>
      <c r="BC282" s="450">
        <v>74.930000000000007</v>
      </c>
      <c r="BD282" s="450">
        <v>75.010000000000005</v>
      </c>
      <c r="BE282" s="450">
        <v>75.069999999999993</v>
      </c>
    </row>
    <row r="283" spans="2:57" x14ac:dyDescent="0.25">
      <c r="B283" s="134">
        <v>26</v>
      </c>
      <c r="C283" s="450">
        <v>73</v>
      </c>
      <c r="D283" s="450">
        <v>73.040000000000006</v>
      </c>
      <c r="E283" s="450">
        <v>73.08</v>
      </c>
      <c r="F283" s="450">
        <v>73.12</v>
      </c>
      <c r="G283" s="450">
        <v>73.150000000000006</v>
      </c>
      <c r="H283" s="450">
        <v>73.19</v>
      </c>
      <c r="I283" s="450">
        <v>73.23</v>
      </c>
      <c r="J283" s="450">
        <v>73.260000000000005</v>
      </c>
      <c r="K283" s="450">
        <v>73.3</v>
      </c>
      <c r="L283" s="450">
        <v>73.34</v>
      </c>
      <c r="M283" s="450">
        <v>73.37</v>
      </c>
      <c r="N283" s="450">
        <v>73.400000000000006</v>
      </c>
      <c r="O283" s="450">
        <v>73.56</v>
      </c>
      <c r="P283" s="450">
        <v>73.69</v>
      </c>
      <c r="Q283" s="450">
        <v>73.790000000000006</v>
      </c>
      <c r="R283" s="450">
        <v>73.87</v>
      </c>
      <c r="S283" s="450">
        <v>73.92</v>
      </c>
      <c r="T283" s="133"/>
      <c r="U283" s="134">
        <v>26</v>
      </c>
      <c r="V283" s="450">
        <v>73.510000000000005</v>
      </c>
      <c r="W283" s="450">
        <v>73.540000000000006</v>
      </c>
      <c r="X283" s="450">
        <v>73.58</v>
      </c>
      <c r="Y283" s="450">
        <v>73.62</v>
      </c>
      <c r="Z283" s="450">
        <v>73.66</v>
      </c>
      <c r="AA283" s="450">
        <v>73.7</v>
      </c>
      <c r="AB283" s="450">
        <v>73.739999999999995</v>
      </c>
      <c r="AC283" s="450">
        <v>73.77</v>
      </c>
      <c r="AD283" s="450">
        <v>73.81</v>
      </c>
      <c r="AE283" s="450">
        <v>73.84</v>
      </c>
      <c r="AF283" s="450">
        <v>73.88</v>
      </c>
      <c r="AG283" s="450">
        <v>73.91</v>
      </c>
      <c r="AH283" s="450">
        <v>74.069999999999993</v>
      </c>
      <c r="AI283" s="450">
        <v>74.2</v>
      </c>
      <c r="AJ283" s="450">
        <v>74.31</v>
      </c>
      <c r="AK283" s="450">
        <v>74.38</v>
      </c>
      <c r="AL283" s="450">
        <v>74.44</v>
      </c>
      <c r="AM283" s="133"/>
      <c r="AN283" s="134">
        <v>26</v>
      </c>
      <c r="AO283" s="450">
        <v>74.22</v>
      </c>
      <c r="AP283" s="450">
        <v>74.260000000000005</v>
      </c>
      <c r="AQ283" s="450">
        <v>74.3</v>
      </c>
      <c r="AR283" s="450">
        <v>74.34</v>
      </c>
      <c r="AS283" s="450">
        <v>74.38</v>
      </c>
      <c r="AT283" s="450">
        <v>74.42</v>
      </c>
      <c r="AU283" s="450">
        <v>74.459999999999994</v>
      </c>
      <c r="AV283" s="450">
        <v>74.5</v>
      </c>
      <c r="AW283" s="450">
        <v>74.53</v>
      </c>
      <c r="AX283" s="450">
        <v>74.569999999999993</v>
      </c>
      <c r="AY283" s="450">
        <v>74.61</v>
      </c>
      <c r="AZ283" s="450">
        <v>74.64</v>
      </c>
      <c r="BA283" s="450">
        <v>74.8</v>
      </c>
      <c r="BB283" s="450">
        <v>74.94</v>
      </c>
      <c r="BC283" s="450">
        <v>75.040000000000006</v>
      </c>
      <c r="BD283" s="450">
        <v>75.13</v>
      </c>
      <c r="BE283" s="450">
        <v>75.19</v>
      </c>
    </row>
    <row r="284" spans="2:57" x14ac:dyDescent="0.25">
      <c r="B284" s="134">
        <v>27</v>
      </c>
      <c r="C284" s="450">
        <v>73.08</v>
      </c>
      <c r="D284" s="450">
        <v>73.12</v>
      </c>
      <c r="E284" s="450">
        <v>73.16</v>
      </c>
      <c r="F284" s="450">
        <v>73.2</v>
      </c>
      <c r="G284" s="450">
        <v>73.239999999999995</v>
      </c>
      <c r="H284" s="450">
        <v>73.28</v>
      </c>
      <c r="I284" s="450">
        <v>73.319999999999993</v>
      </c>
      <c r="J284" s="450">
        <v>73.36</v>
      </c>
      <c r="K284" s="450">
        <v>73.400000000000006</v>
      </c>
      <c r="L284" s="450">
        <v>73.430000000000007</v>
      </c>
      <c r="M284" s="450">
        <v>73.47</v>
      </c>
      <c r="N284" s="450">
        <v>73.5</v>
      </c>
      <c r="O284" s="450">
        <v>73.66</v>
      </c>
      <c r="P284" s="450">
        <v>73.8</v>
      </c>
      <c r="Q284" s="450">
        <v>73.900000000000006</v>
      </c>
      <c r="R284" s="450">
        <v>73.98</v>
      </c>
      <c r="S284" s="450">
        <v>74.040000000000006</v>
      </c>
      <c r="T284" s="133"/>
      <c r="U284" s="134">
        <v>27</v>
      </c>
      <c r="V284" s="450">
        <v>73.59</v>
      </c>
      <c r="W284" s="450">
        <v>73.63</v>
      </c>
      <c r="X284" s="450">
        <v>73.67</v>
      </c>
      <c r="Y284" s="450">
        <v>73.709999999999994</v>
      </c>
      <c r="Z284" s="450">
        <v>73.75</v>
      </c>
      <c r="AA284" s="450">
        <v>73.790000000000006</v>
      </c>
      <c r="AB284" s="450">
        <v>73.83</v>
      </c>
      <c r="AC284" s="450">
        <v>73.87</v>
      </c>
      <c r="AD284" s="450">
        <v>73.91</v>
      </c>
      <c r="AE284" s="450">
        <v>73.94</v>
      </c>
      <c r="AF284" s="450">
        <v>73.98</v>
      </c>
      <c r="AG284" s="450">
        <v>74.010000000000005</v>
      </c>
      <c r="AH284" s="450">
        <v>74.180000000000007</v>
      </c>
      <c r="AI284" s="450">
        <v>74.31</v>
      </c>
      <c r="AJ284" s="450">
        <v>74.42</v>
      </c>
      <c r="AK284" s="450">
        <v>74.5</v>
      </c>
      <c r="AL284" s="450">
        <v>74.56</v>
      </c>
      <c r="AM284" s="133"/>
      <c r="AN284" s="134">
        <v>27</v>
      </c>
      <c r="AO284" s="450">
        <v>74.31</v>
      </c>
      <c r="AP284" s="450">
        <v>74.349999999999994</v>
      </c>
      <c r="AQ284" s="450">
        <v>74.39</v>
      </c>
      <c r="AR284" s="450">
        <v>74.430000000000007</v>
      </c>
      <c r="AS284" s="450">
        <v>74.47</v>
      </c>
      <c r="AT284" s="450">
        <v>74.510000000000005</v>
      </c>
      <c r="AU284" s="450">
        <v>74.55</v>
      </c>
      <c r="AV284" s="450">
        <v>74.59</v>
      </c>
      <c r="AW284" s="450">
        <v>74.63</v>
      </c>
      <c r="AX284" s="450">
        <v>74.67</v>
      </c>
      <c r="AY284" s="450">
        <v>74.709999999999994</v>
      </c>
      <c r="AZ284" s="450">
        <v>74.739999999999995</v>
      </c>
      <c r="BA284" s="450">
        <v>74.91</v>
      </c>
      <c r="BB284" s="450">
        <v>75.05</v>
      </c>
      <c r="BC284" s="450">
        <v>75.16</v>
      </c>
      <c r="BD284" s="450">
        <v>75.25</v>
      </c>
      <c r="BE284" s="450">
        <v>75.31</v>
      </c>
    </row>
    <row r="285" spans="2:57" x14ac:dyDescent="0.25">
      <c r="B285" s="134">
        <v>28</v>
      </c>
      <c r="C285" s="450">
        <v>73.17</v>
      </c>
      <c r="D285" s="450">
        <v>73.209999999999994</v>
      </c>
      <c r="E285" s="450">
        <v>73.25</v>
      </c>
      <c r="F285" s="450">
        <v>73.290000000000006</v>
      </c>
      <c r="G285" s="450">
        <v>73.33</v>
      </c>
      <c r="H285" s="450">
        <v>73.38</v>
      </c>
      <c r="I285" s="450">
        <v>73.42</v>
      </c>
      <c r="J285" s="450">
        <v>73.459999999999994</v>
      </c>
      <c r="K285" s="450">
        <v>73.489999999999995</v>
      </c>
      <c r="L285" s="450">
        <v>73.53</v>
      </c>
      <c r="M285" s="450">
        <v>73.569999999999993</v>
      </c>
      <c r="N285" s="450">
        <v>73.61</v>
      </c>
      <c r="O285" s="450">
        <v>73.77</v>
      </c>
      <c r="P285" s="450">
        <v>73.91</v>
      </c>
      <c r="Q285" s="450">
        <v>74.02</v>
      </c>
      <c r="R285" s="450">
        <v>74.099999999999994</v>
      </c>
      <c r="S285" s="450">
        <v>74.16</v>
      </c>
      <c r="T285" s="133"/>
      <c r="U285" s="134">
        <v>28</v>
      </c>
      <c r="V285" s="450">
        <v>73.67</v>
      </c>
      <c r="W285" s="450">
        <v>73.72</v>
      </c>
      <c r="X285" s="450">
        <v>73.760000000000005</v>
      </c>
      <c r="Y285" s="450">
        <v>73.8</v>
      </c>
      <c r="Z285" s="450">
        <v>73.84</v>
      </c>
      <c r="AA285" s="450">
        <v>73.89</v>
      </c>
      <c r="AB285" s="450">
        <v>73.930000000000007</v>
      </c>
      <c r="AC285" s="450">
        <v>73.97</v>
      </c>
      <c r="AD285" s="450">
        <v>74.010000000000005</v>
      </c>
      <c r="AE285" s="450">
        <v>74.040000000000006</v>
      </c>
      <c r="AF285" s="450">
        <v>74.08</v>
      </c>
      <c r="AG285" s="450">
        <v>74.12</v>
      </c>
      <c r="AH285" s="450">
        <v>74.290000000000006</v>
      </c>
      <c r="AI285" s="450">
        <v>74.430000000000007</v>
      </c>
      <c r="AJ285" s="450">
        <v>74.540000000000006</v>
      </c>
      <c r="AK285" s="450">
        <v>74.62</v>
      </c>
      <c r="AL285" s="450">
        <v>74.680000000000007</v>
      </c>
      <c r="AM285" s="133"/>
      <c r="AN285" s="134">
        <v>28</v>
      </c>
      <c r="AO285" s="450">
        <v>74.39</v>
      </c>
      <c r="AP285" s="450">
        <v>74.44</v>
      </c>
      <c r="AQ285" s="450">
        <v>74.48</v>
      </c>
      <c r="AR285" s="450">
        <v>74.53</v>
      </c>
      <c r="AS285" s="450">
        <v>74.569999999999993</v>
      </c>
      <c r="AT285" s="450">
        <v>74.61</v>
      </c>
      <c r="AU285" s="450">
        <v>74.650000000000006</v>
      </c>
      <c r="AV285" s="450">
        <v>74.7</v>
      </c>
      <c r="AW285" s="450">
        <v>74.739999999999995</v>
      </c>
      <c r="AX285" s="450">
        <v>74.78</v>
      </c>
      <c r="AY285" s="450">
        <v>74.819999999999993</v>
      </c>
      <c r="AZ285" s="450">
        <v>74.849999999999994</v>
      </c>
      <c r="BA285" s="450">
        <v>75.03</v>
      </c>
      <c r="BB285" s="450">
        <v>75.17</v>
      </c>
      <c r="BC285" s="450">
        <v>75.290000000000006</v>
      </c>
      <c r="BD285" s="450">
        <v>75.37</v>
      </c>
      <c r="BE285" s="450">
        <v>75.44</v>
      </c>
    </row>
    <row r="286" spans="2:57" x14ac:dyDescent="0.25">
      <c r="B286" s="134">
        <v>29</v>
      </c>
      <c r="C286" s="450">
        <v>73.260000000000005</v>
      </c>
      <c r="D286" s="450">
        <v>73.3</v>
      </c>
      <c r="E286" s="450">
        <v>73.34</v>
      </c>
      <c r="F286" s="450">
        <v>73.39</v>
      </c>
      <c r="G286" s="450">
        <v>73.430000000000007</v>
      </c>
      <c r="H286" s="450">
        <v>73.47</v>
      </c>
      <c r="I286" s="450">
        <v>73.52</v>
      </c>
      <c r="J286" s="450">
        <v>73.56</v>
      </c>
      <c r="K286" s="450">
        <v>73.599999999999994</v>
      </c>
      <c r="L286" s="450">
        <v>73.64</v>
      </c>
      <c r="M286" s="450">
        <v>73.680000000000007</v>
      </c>
      <c r="N286" s="450">
        <v>73.709999999999994</v>
      </c>
      <c r="O286" s="450">
        <v>73.89</v>
      </c>
      <c r="P286" s="450">
        <v>74.03</v>
      </c>
      <c r="Q286" s="450">
        <v>74.14</v>
      </c>
      <c r="R286" s="450">
        <v>74.22</v>
      </c>
      <c r="S286" s="450">
        <v>74.28</v>
      </c>
      <c r="T286" s="133"/>
      <c r="U286" s="134">
        <v>29</v>
      </c>
      <c r="V286" s="450">
        <v>73.760000000000005</v>
      </c>
      <c r="W286" s="450">
        <v>73.81</v>
      </c>
      <c r="X286" s="450">
        <v>73.849999999999994</v>
      </c>
      <c r="Y286" s="450">
        <v>73.900000000000006</v>
      </c>
      <c r="Z286" s="450">
        <v>73.94</v>
      </c>
      <c r="AA286" s="450">
        <v>73.989999999999995</v>
      </c>
      <c r="AB286" s="450">
        <v>74.03</v>
      </c>
      <c r="AC286" s="450">
        <v>74.069999999999993</v>
      </c>
      <c r="AD286" s="450">
        <v>74.11</v>
      </c>
      <c r="AE286" s="450">
        <v>74.150000000000006</v>
      </c>
      <c r="AF286" s="450">
        <v>74.19</v>
      </c>
      <c r="AG286" s="450">
        <v>74.23</v>
      </c>
      <c r="AH286" s="450">
        <v>74.41</v>
      </c>
      <c r="AI286" s="450">
        <v>74.55</v>
      </c>
      <c r="AJ286" s="450">
        <v>74.66</v>
      </c>
      <c r="AK286" s="450">
        <v>74.75</v>
      </c>
      <c r="AL286" s="450">
        <v>74.81</v>
      </c>
      <c r="AM286" s="133"/>
      <c r="AN286" s="134">
        <v>29</v>
      </c>
      <c r="AO286" s="450">
        <v>74.489999999999995</v>
      </c>
      <c r="AP286" s="450">
        <v>74.53</v>
      </c>
      <c r="AQ286" s="450">
        <v>74.58</v>
      </c>
      <c r="AR286" s="450">
        <v>74.62</v>
      </c>
      <c r="AS286" s="450">
        <v>74.67</v>
      </c>
      <c r="AT286" s="450">
        <v>74.709999999999994</v>
      </c>
      <c r="AU286" s="450">
        <v>74.760000000000005</v>
      </c>
      <c r="AV286" s="450">
        <v>74.8</v>
      </c>
      <c r="AW286" s="450">
        <v>74.84</v>
      </c>
      <c r="AX286" s="450">
        <v>74.89</v>
      </c>
      <c r="AY286" s="450">
        <v>74.930000000000007</v>
      </c>
      <c r="AZ286" s="450">
        <v>74.97</v>
      </c>
      <c r="BA286" s="450">
        <v>75.150000000000006</v>
      </c>
      <c r="BB286" s="450">
        <v>75.3</v>
      </c>
      <c r="BC286" s="450">
        <v>75.41</v>
      </c>
      <c r="BD286" s="450">
        <v>75.5</v>
      </c>
      <c r="BE286" s="450">
        <v>75.569999999999993</v>
      </c>
    </row>
    <row r="287" spans="2:57" x14ac:dyDescent="0.25">
      <c r="B287" s="134">
        <v>30</v>
      </c>
      <c r="C287" s="450">
        <v>73.349999999999994</v>
      </c>
      <c r="D287" s="450">
        <v>73.39</v>
      </c>
      <c r="E287" s="450">
        <v>73.44</v>
      </c>
      <c r="F287" s="450">
        <v>73.489999999999995</v>
      </c>
      <c r="G287" s="450">
        <v>73.53</v>
      </c>
      <c r="H287" s="450">
        <v>73.58</v>
      </c>
      <c r="I287" s="450">
        <v>73.62</v>
      </c>
      <c r="J287" s="450">
        <v>73.66</v>
      </c>
      <c r="K287" s="450">
        <v>73.709999999999994</v>
      </c>
      <c r="L287" s="450">
        <v>73.75</v>
      </c>
      <c r="M287" s="450">
        <v>73.790000000000006</v>
      </c>
      <c r="N287" s="450">
        <v>73.83</v>
      </c>
      <c r="O287" s="450">
        <v>74.010000000000005</v>
      </c>
      <c r="P287" s="450">
        <v>74.150000000000006</v>
      </c>
      <c r="Q287" s="450">
        <v>74.27</v>
      </c>
      <c r="R287" s="450">
        <v>74.349999999999994</v>
      </c>
      <c r="S287" s="450">
        <v>74.41</v>
      </c>
      <c r="T287" s="133"/>
      <c r="U287" s="134">
        <v>30</v>
      </c>
      <c r="V287" s="450">
        <v>73.86</v>
      </c>
      <c r="W287" s="450">
        <v>73.91</v>
      </c>
      <c r="X287" s="450">
        <v>73.95</v>
      </c>
      <c r="Y287" s="450">
        <v>74</v>
      </c>
      <c r="Z287" s="450">
        <v>74.040000000000006</v>
      </c>
      <c r="AA287" s="450">
        <v>74.09</v>
      </c>
      <c r="AB287" s="450">
        <v>74.13</v>
      </c>
      <c r="AC287" s="450">
        <v>74.180000000000007</v>
      </c>
      <c r="AD287" s="450">
        <v>74.22</v>
      </c>
      <c r="AE287" s="450">
        <v>74.260000000000005</v>
      </c>
      <c r="AF287" s="450">
        <v>74.31</v>
      </c>
      <c r="AG287" s="450">
        <v>74.349999999999994</v>
      </c>
      <c r="AH287" s="450">
        <v>74.53</v>
      </c>
      <c r="AI287" s="450">
        <v>74.680000000000007</v>
      </c>
      <c r="AJ287" s="450">
        <v>74.790000000000006</v>
      </c>
      <c r="AK287" s="450">
        <v>74.88</v>
      </c>
      <c r="AL287" s="450">
        <v>74.95</v>
      </c>
      <c r="AM287" s="133"/>
      <c r="AN287" s="134">
        <v>30</v>
      </c>
      <c r="AO287" s="450">
        <v>74.58</v>
      </c>
      <c r="AP287" s="450">
        <v>74.63</v>
      </c>
      <c r="AQ287" s="450">
        <v>74.680000000000007</v>
      </c>
      <c r="AR287" s="450">
        <v>74.73</v>
      </c>
      <c r="AS287" s="450">
        <v>74.78</v>
      </c>
      <c r="AT287" s="450">
        <v>74.819999999999993</v>
      </c>
      <c r="AU287" s="450">
        <v>74.87</v>
      </c>
      <c r="AV287" s="450">
        <v>74.91</v>
      </c>
      <c r="AW287" s="450">
        <v>74.959999999999994</v>
      </c>
      <c r="AX287" s="450">
        <v>75</v>
      </c>
      <c r="AY287" s="450">
        <v>75.040000000000006</v>
      </c>
      <c r="AZ287" s="450">
        <v>75.08</v>
      </c>
      <c r="BA287" s="450">
        <v>75.27</v>
      </c>
      <c r="BB287" s="450">
        <v>75.430000000000007</v>
      </c>
      <c r="BC287" s="450">
        <v>75.55</v>
      </c>
      <c r="BD287" s="450">
        <v>75.64</v>
      </c>
      <c r="BE287" s="450">
        <v>75.7</v>
      </c>
    </row>
    <row r="288" spans="2:57" x14ac:dyDescent="0.25">
      <c r="B288" s="134">
        <v>31</v>
      </c>
      <c r="C288" s="450">
        <v>73.45</v>
      </c>
      <c r="D288" s="450">
        <v>73.489999999999995</v>
      </c>
      <c r="E288" s="450">
        <v>73.540000000000006</v>
      </c>
      <c r="F288" s="450">
        <v>73.59</v>
      </c>
      <c r="G288" s="450">
        <v>73.64</v>
      </c>
      <c r="H288" s="450">
        <v>73.680000000000007</v>
      </c>
      <c r="I288" s="450">
        <v>73.73</v>
      </c>
      <c r="J288" s="450">
        <v>73.77</v>
      </c>
      <c r="K288" s="450">
        <v>73.819999999999993</v>
      </c>
      <c r="L288" s="450">
        <v>73.86</v>
      </c>
      <c r="M288" s="450">
        <v>73.900000000000006</v>
      </c>
      <c r="N288" s="450">
        <v>73.95</v>
      </c>
      <c r="O288" s="450">
        <v>74.13</v>
      </c>
      <c r="P288" s="450">
        <v>74.28</v>
      </c>
      <c r="Q288" s="450">
        <v>74.400000000000006</v>
      </c>
      <c r="R288" s="450">
        <v>74.489999999999995</v>
      </c>
      <c r="S288" s="450">
        <v>74.55</v>
      </c>
      <c r="T288" s="133"/>
      <c r="U288" s="134">
        <v>31</v>
      </c>
      <c r="V288" s="450">
        <v>73.959999999999994</v>
      </c>
      <c r="W288" s="450">
        <v>74.010000000000005</v>
      </c>
      <c r="X288" s="450">
        <v>74.06</v>
      </c>
      <c r="Y288" s="450">
        <v>74.099999999999994</v>
      </c>
      <c r="Z288" s="450">
        <v>74.150000000000006</v>
      </c>
      <c r="AA288" s="450">
        <v>74.2</v>
      </c>
      <c r="AB288" s="450">
        <v>74.25</v>
      </c>
      <c r="AC288" s="450">
        <v>74.290000000000006</v>
      </c>
      <c r="AD288" s="450">
        <v>74.34</v>
      </c>
      <c r="AE288" s="450">
        <v>74.38</v>
      </c>
      <c r="AF288" s="450">
        <v>74.42</v>
      </c>
      <c r="AG288" s="450">
        <v>74.47</v>
      </c>
      <c r="AH288" s="450">
        <v>74.66</v>
      </c>
      <c r="AI288" s="450">
        <v>74.81</v>
      </c>
      <c r="AJ288" s="450">
        <v>74.930000000000007</v>
      </c>
      <c r="AK288" s="450">
        <v>75.02</v>
      </c>
      <c r="AL288" s="450">
        <v>75.08</v>
      </c>
      <c r="AM288" s="133"/>
      <c r="AN288" s="134">
        <v>31</v>
      </c>
      <c r="AO288" s="450">
        <v>74.69</v>
      </c>
      <c r="AP288" s="450">
        <v>74.739999999999995</v>
      </c>
      <c r="AQ288" s="450">
        <v>74.790000000000006</v>
      </c>
      <c r="AR288" s="450">
        <v>74.84</v>
      </c>
      <c r="AS288" s="450">
        <v>74.89</v>
      </c>
      <c r="AT288" s="450">
        <v>74.930000000000007</v>
      </c>
      <c r="AU288" s="450">
        <v>74.98</v>
      </c>
      <c r="AV288" s="450">
        <v>75.03</v>
      </c>
      <c r="AW288" s="450">
        <v>75.08</v>
      </c>
      <c r="AX288" s="450">
        <v>75.12</v>
      </c>
      <c r="AY288" s="450">
        <v>75.17</v>
      </c>
      <c r="AZ288" s="450">
        <v>75.209999999999994</v>
      </c>
      <c r="BA288" s="450">
        <v>75.400000000000006</v>
      </c>
      <c r="BB288" s="450">
        <v>75.56</v>
      </c>
      <c r="BC288" s="450">
        <v>75.69</v>
      </c>
      <c r="BD288" s="450">
        <v>75.78</v>
      </c>
      <c r="BE288" s="450">
        <v>75.849999999999994</v>
      </c>
    </row>
    <row r="289" spans="2:57" x14ac:dyDescent="0.25">
      <c r="B289" s="134">
        <v>32</v>
      </c>
      <c r="C289" s="450">
        <v>73.55</v>
      </c>
      <c r="D289" s="450">
        <v>73.599999999999994</v>
      </c>
      <c r="E289" s="450">
        <v>73.650000000000006</v>
      </c>
      <c r="F289" s="450">
        <v>73.7</v>
      </c>
      <c r="G289" s="450">
        <v>73.75</v>
      </c>
      <c r="H289" s="450">
        <v>73.8</v>
      </c>
      <c r="I289" s="450">
        <v>73.84</v>
      </c>
      <c r="J289" s="450">
        <v>73.89</v>
      </c>
      <c r="K289" s="450">
        <v>73.94</v>
      </c>
      <c r="L289" s="450">
        <v>73.98</v>
      </c>
      <c r="M289" s="450">
        <v>74.03</v>
      </c>
      <c r="N289" s="450">
        <v>74.069999999999993</v>
      </c>
      <c r="O289" s="450">
        <v>74.260000000000005</v>
      </c>
      <c r="P289" s="450">
        <v>74.42</v>
      </c>
      <c r="Q289" s="450">
        <v>74.540000000000006</v>
      </c>
      <c r="R289" s="450">
        <v>74.63</v>
      </c>
      <c r="S289" s="450">
        <v>74.69</v>
      </c>
      <c r="T289" s="133"/>
      <c r="U289" s="134">
        <v>32</v>
      </c>
      <c r="V289" s="450">
        <v>74.06</v>
      </c>
      <c r="W289" s="450">
        <v>74.11</v>
      </c>
      <c r="X289" s="450">
        <v>74.16</v>
      </c>
      <c r="Y289" s="450">
        <v>74.209999999999994</v>
      </c>
      <c r="Z289" s="450">
        <v>74.260000000000005</v>
      </c>
      <c r="AA289" s="450">
        <v>74.31</v>
      </c>
      <c r="AB289" s="450">
        <v>74.36</v>
      </c>
      <c r="AC289" s="450">
        <v>74.41</v>
      </c>
      <c r="AD289" s="450">
        <v>74.459999999999994</v>
      </c>
      <c r="AE289" s="450">
        <v>74.5</v>
      </c>
      <c r="AF289" s="450">
        <v>74.55</v>
      </c>
      <c r="AG289" s="450">
        <v>74.59</v>
      </c>
      <c r="AH289" s="450">
        <v>74.790000000000006</v>
      </c>
      <c r="AI289" s="450">
        <v>74.95</v>
      </c>
      <c r="AJ289" s="450">
        <v>75.069999999999993</v>
      </c>
      <c r="AK289" s="450">
        <v>75.16</v>
      </c>
      <c r="AL289" s="450">
        <v>75.23</v>
      </c>
      <c r="AM289" s="133"/>
      <c r="AN289" s="134">
        <v>32</v>
      </c>
      <c r="AO289" s="450">
        <v>74.790000000000006</v>
      </c>
      <c r="AP289" s="450">
        <v>74.84</v>
      </c>
      <c r="AQ289" s="450">
        <v>74.900000000000006</v>
      </c>
      <c r="AR289" s="450">
        <v>74.95</v>
      </c>
      <c r="AS289" s="450">
        <v>75</v>
      </c>
      <c r="AT289" s="450">
        <v>75.05</v>
      </c>
      <c r="AU289" s="450">
        <v>75.099999999999994</v>
      </c>
      <c r="AV289" s="450">
        <v>75.150000000000006</v>
      </c>
      <c r="AW289" s="450">
        <v>75.2</v>
      </c>
      <c r="AX289" s="450">
        <v>75.25</v>
      </c>
      <c r="AY289" s="450">
        <v>75.290000000000006</v>
      </c>
      <c r="AZ289" s="450">
        <v>75.34</v>
      </c>
      <c r="BA289" s="450">
        <v>75.540000000000006</v>
      </c>
      <c r="BB289" s="450">
        <v>75.7</v>
      </c>
      <c r="BC289" s="450">
        <v>75.83</v>
      </c>
      <c r="BD289" s="450">
        <v>75.930000000000007</v>
      </c>
      <c r="BE289" s="450">
        <v>75.989999999999995</v>
      </c>
    </row>
    <row r="290" spans="2:57" x14ac:dyDescent="0.25">
      <c r="B290" s="134">
        <v>33</v>
      </c>
      <c r="C290" s="450">
        <v>73.650000000000006</v>
      </c>
      <c r="D290" s="450">
        <v>73.709999999999994</v>
      </c>
      <c r="E290" s="450">
        <v>73.760000000000005</v>
      </c>
      <c r="F290" s="450">
        <v>73.81</v>
      </c>
      <c r="G290" s="450">
        <v>73.86</v>
      </c>
      <c r="H290" s="450">
        <v>73.91</v>
      </c>
      <c r="I290" s="450">
        <v>73.959999999999994</v>
      </c>
      <c r="J290" s="450">
        <v>74.010000000000005</v>
      </c>
      <c r="K290" s="450">
        <v>74.06</v>
      </c>
      <c r="L290" s="450">
        <v>74.11</v>
      </c>
      <c r="M290" s="450">
        <v>74.150000000000006</v>
      </c>
      <c r="N290" s="450">
        <v>74.2</v>
      </c>
      <c r="O290" s="450">
        <v>74.400000000000006</v>
      </c>
      <c r="P290" s="450">
        <v>74.56</v>
      </c>
      <c r="Q290" s="450">
        <v>74.680000000000007</v>
      </c>
      <c r="R290" s="450">
        <v>74.77</v>
      </c>
      <c r="S290" s="450">
        <v>74.84</v>
      </c>
      <c r="T290" s="133"/>
      <c r="U290" s="134">
        <v>33</v>
      </c>
      <c r="V290" s="450">
        <v>74.17</v>
      </c>
      <c r="W290" s="450">
        <v>74.22</v>
      </c>
      <c r="X290" s="450">
        <v>74.28</v>
      </c>
      <c r="Y290" s="450">
        <v>74.33</v>
      </c>
      <c r="Z290" s="450">
        <v>74.38</v>
      </c>
      <c r="AA290" s="450">
        <v>74.430000000000007</v>
      </c>
      <c r="AB290" s="450">
        <v>74.48</v>
      </c>
      <c r="AC290" s="450">
        <v>74.53</v>
      </c>
      <c r="AD290" s="450">
        <v>74.58</v>
      </c>
      <c r="AE290" s="450">
        <v>74.63</v>
      </c>
      <c r="AF290" s="450">
        <v>74.680000000000007</v>
      </c>
      <c r="AG290" s="450">
        <v>74.72</v>
      </c>
      <c r="AH290" s="450">
        <v>74.92</v>
      </c>
      <c r="AI290" s="450">
        <v>75.09</v>
      </c>
      <c r="AJ290" s="450">
        <v>75.22</v>
      </c>
      <c r="AK290" s="450">
        <v>75.31</v>
      </c>
      <c r="AL290" s="450">
        <v>75.38</v>
      </c>
      <c r="AM290" s="133"/>
      <c r="AN290" s="134">
        <v>33</v>
      </c>
      <c r="AO290" s="450">
        <v>74.900000000000006</v>
      </c>
      <c r="AP290" s="450">
        <v>74.959999999999994</v>
      </c>
      <c r="AQ290" s="450">
        <v>75.010000000000005</v>
      </c>
      <c r="AR290" s="450">
        <v>75.069999999999993</v>
      </c>
      <c r="AS290" s="450">
        <v>75.12</v>
      </c>
      <c r="AT290" s="450">
        <v>75.17</v>
      </c>
      <c r="AU290" s="450">
        <v>75.23</v>
      </c>
      <c r="AV290" s="450">
        <v>75.28</v>
      </c>
      <c r="AW290" s="450">
        <v>75.33</v>
      </c>
      <c r="AX290" s="450">
        <v>75.38</v>
      </c>
      <c r="AY290" s="450">
        <v>75.430000000000007</v>
      </c>
      <c r="AZ290" s="450">
        <v>75.47</v>
      </c>
      <c r="BA290" s="450">
        <v>75.680000000000007</v>
      </c>
      <c r="BB290" s="450">
        <v>75.849999999999994</v>
      </c>
      <c r="BC290" s="450">
        <v>75.98</v>
      </c>
      <c r="BD290" s="450">
        <v>76.08</v>
      </c>
      <c r="BE290" s="450">
        <v>76.150000000000006</v>
      </c>
    </row>
    <row r="291" spans="2:57" x14ac:dyDescent="0.25">
      <c r="B291" s="134">
        <v>34</v>
      </c>
      <c r="C291" s="450">
        <v>73.760000000000005</v>
      </c>
      <c r="D291" s="450">
        <v>73.819999999999993</v>
      </c>
      <c r="E291" s="450">
        <v>73.87</v>
      </c>
      <c r="F291" s="450">
        <v>73.930000000000007</v>
      </c>
      <c r="G291" s="450">
        <v>73.98</v>
      </c>
      <c r="H291" s="450">
        <v>74.040000000000006</v>
      </c>
      <c r="I291" s="450">
        <v>74.09</v>
      </c>
      <c r="J291" s="450">
        <v>74.14</v>
      </c>
      <c r="K291" s="450">
        <v>74.19</v>
      </c>
      <c r="L291" s="450">
        <v>74.239999999999995</v>
      </c>
      <c r="M291" s="450">
        <v>74.28</v>
      </c>
      <c r="N291" s="450">
        <v>74.33</v>
      </c>
      <c r="O291" s="450">
        <v>74.540000000000006</v>
      </c>
      <c r="P291" s="450">
        <v>74.7</v>
      </c>
      <c r="Q291" s="450">
        <v>74.83</v>
      </c>
      <c r="R291" s="450">
        <v>74.92</v>
      </c>
      <c r="S291" s="450">
        <v>74.989999999999995</v>
      </c>
      <c r="T291" s="133"/>
      <c r="U291" s="134">
        <v>34</v>
      </c>
      <c r="V291" s="450">
        <v>74.28</v>
      </c>
      <c r="W291" s="450">
        <v>74.34</v>
      </c>
      <c r="X291" s="450">
        <v>74.39</v>
      </c>
      <c r="Y291" s="450">
        <v>74.45</v>
      </c>
      <c r="Z291" s="450">
        <v>74.5</v>
      </c>
      <c r="AA291" s="450">
        <v>74.56</v>
      </c>
      <c r="AB291" s="450">
        <v>74.61</v>
      </c>
      <c r="AC291" s="450">
        <v>74.66</v>
      </c>
      <c r="AD291" s="450">
        <v>74.709999999999994</v>
      </c>
      <c r="AE291" s="450">
        <v>74.760000000000005</v>
      </c>
      <c r="AF291" s="450">
        <v>74.81</v>
      </c>
      <c r="AG291" s="450">
        <v>74.86</v>
      </c>
      <c r="AH291" s="450">
        <v>75.069999999999993</v>
      </c>
      <c r="AI291" s="450">
        <v>75.239999999999995</v>
      </c>
      <c r="AJ291" s="450">
        <v>75.37</v>
      </c>
      <c r="AK291" s="450">
        <v>75.459999999999994</v>
      </c>
      <c r="AL291" s="450">
        <v>75.53</v>
      </c>
      <c r="AM291" s="133"/>
      <c r="AN291" s="134">
        <v>34</v>
      </c>
      <c r="AO291" s="450">
        <v>75.02</v>
      </c>
      <c r="AP291" s="450">
        <v>75.08</v>
      </c>
      <c r="AQ291" s="450">
        <v>75.13</v>
      </c>
      <c r="AR291" s="450">
        <v>75.19</v>
      </c>
      <c r="AS291" s="450">
        <v>75.25</v>
      </c>
      <c r="AT291" s="450">
        <v>75.3</v>
      </c>
      <c r="AU291" s="450">
        <v>75.36</v>
      </c>
      <c r="AV291" s="450">
        <v>75.41</v>
      </c>
      <c r="AW291" s="450">
        <v>75.459999999999994</v>
      </c>
      <c r="AX291" s="450">
        <v>75.510000000000005</v>
      </c>
      <c r="AY291" s="450">
        <v>75.56</v>
      </c>
      <c r="AZ291" s="450">
        <v>75.61</v>
      </c>
      <c r="BA291" s="450">
        <v>75.83</v>
      </c>
      <c r="BB291" s="450">
        <v>76</v>
      </c>
      <c r="BC291" s="450">
        <v>76.14</v>
      </c>
      <c r="BD291" s="450">
        <v>76.239999999999995</v>
      </c>
      <c r="BE291" s="450">
        <v>76.31</v>
      </c>
    </row>
    <row r="292" spans="2:57" x14ac:dyDescent="0.25">
      <c r="B292" s="134">
        <v>35</v>
      </c>
      <c r="C292" s="450">
        <v>73.88</v>
      </c>
      <c r="D292" s="450">
        <v>73.94</v>
      </c>
      <c r="E292" s="450">
        <v>74</v>
      </c>
      <c r="F292" s="450">
        <v>74.05</v>
      </c>
      <c r="G292" s="450">
        <v>74.11</v>
      </c>
      <c r="H292" s="450">
        <v>74.16</v>
      </c>
      <c r="I292" s="450">
        <v>74.22</v>
      </c>
      <c r="J292" s="450">
        <v>74.27</v>
      </c>
      <c r="K292" s="450">
        <v>74.319999999999993</v>
      </c>
      <c r="L292" s="450">
        <v>74.37</v>
      </c>
      <c r="M292" s="450">
        <v>74.42</v>
      </c>
      <c r="N292" s="450">
        <v>74.47</v>
      </c>
      <c r="O292" s="450">
        <v>74.680000000000007</v>
      </c>
      <c r="P292" s="450">
        <v>74.849999999999994</v>
      </c>
      <c r="Q292" s="450">
        <v>74.98</v>
      </c>
      <c r="R292" s="450">
        <v>75.08</v>
      </c>
      <c r="S292" s="450">
        <v>75.14</v>
      </c>
      <c r="T292" s="133"/>
      <c r="U292" s="134">
        <v>35</v>
      </c>
      <c r="V292" s="450">
        <v>74.400000000000006</v>
      </c>
      <c r="W292" s="450">
        <v>74.459999999999994</v>
      </c>
      <c r="X292" s="450">
        <v>74.52</v>
      </c>
      <c r="Y292" s="450">
        <v>74.569999999999993</v>
      </c>
      <c r="Z292" s="450">
        <v>74.63</v>
      </c>
      <c r="AA292" s="450">
        <v>74.69</v>
      </c>
      <c r="AB292" s="450">
        <v>74.739999999999995</v>
      </c>
      <c r="AC292" s="450">
        <v>74.8</v>
      </c>
      <c r="AD292" s="450">
        <v>74.849999999999994</v>
      </c>
      <c r="AE292" s="450">
        <v>74.900000000000006</v>
      </c>
      <c r="AF292" s="450">
        <v>74.95</v>
      </c>
      <c r="AG292" s="450">
        <v>75</v>
      </c>
      <c r="AH292" s="450">
        <v>75.22</v>
      </c>
      <c r="AI292" s="450">
        <v>75.39</v>
      </c>
      <c r="AJ292" s="450">
        <v>75.52</v>
      </c>
      <c r="AK292" s="450">
        <v>75.62</v>
      </c>
      <c r="AL292" s="450">
        <v>75.69</v>
      </c>
      <c r="AM292" s="133"/>
      <c r="AN292" s="134">
        <v>35</v>
      </c>
      <c r="AO292" s="450">
        <v>75.14</v>
      </c>
      <c r="AP292" s="450">
        <v>75.2</v>
      </c>
      <c r="AQ292" s="450">
        <v>75.260000000000005</v>
      </c>
      <c r="AR292" s="450">
        <v>75.319999999999993</v>
      </c>
      <c r="AS292" s="450">
        <v>75.38</v>
      </c>
      <c r="AT292" s="450">
        <v>75.44</v>
      </c>
      <c r="AU292" s="450">
        <v>75.489999999999995</v>
      </c>
      <c r="AV292" s="450">
        <v>75.55</v>
      </c>
      <c r="AW292" s="450">
        <v>75.599999999999994</v>
      </c>
      <c r="AX292" s="450">
        <v>75.66</v>
      </c>
      <c r="AY292" s="450">
        <v>75.709999999999994</v>
      </c>
      <c r="AZ292" s="450">
        <v>75.760000000000005</v>
      </c>
      <c r="BA292" s="450">
        <v>75.98</v>
      </c>
      <c r="BB292" s="450">
        <v>76.16</v>
      </c>
      <c r="BC292" s="450">
        <v>76.3</v>
      </c>
      <c r="BD292" s="450">
        <v>76.400000000000006</v>
      </c>
      <c r="BE292" s="450">
        <v>76.47</v>
      </c>
    </row>
    <row r="293" spans="2:57" x14ac:dyDescent="0.25">
      <c r="B293" s="134">
        <v>36</v>
      </c>
      <c r="C293" s="450">
        <v>74</v>
      </c>
      <c r="D293" s="450">
        <v>74.06</v>
      </c>
      <c r="E293" s="450">
        <v>74.12</v>
      </c>
      <c r="F293" s="450">
        <v>74.180000000000007</v>
      </c>
      <c r="G293" s="450">
        <v>74.239999999999995</v>
      </c>
      <c r="H293" s="450">
        <v>74.3</v>
      </c>
      <c r="I293" s="450">
        <v>74.349999999999994</v>
      </c>
      <c r="J293" s="450">
        <v>74.41</v>
      </c>
      <c r="K293" s="450">
        <v>74.459999999999994</v>
      </c>
      <c r="L293" s="450">
        <v>74.510000000000005</v>
      </c>
      <c r="M293" s="450">
        <v>74.56</v>
      </c>
      <c r="N293" s="450">
        <v>74.61</v>
      </c>
      <c r="O293" s="450">
        <v>74.83</v>
      </c>
      <c r="P293" s="450">
        <v>75.010000000000005</v>
      </c>
      <c r="Q293" s="450">
        <v>75.14</v>
      </c>
      <c r="R293" s="450">
        <v>75.239999999999995</v>
      </c>
      <c r="S293" s="450">
        <v>75.3</v>
      </c>
      <c r="T293" s="133"/>
      <c r="U293" s="134">
        <v>36</v>
      </c>
      <c r="V293" s="450">
        <v>74.52</v>
      </c>
      <c r="W293" s="450">
        <v>74.58</v>
      </c>
      <c r="X293" s="450">
        <v>74.64</v>
      </c>
      <c r="Y293" s="450">
        <v>74.709999999999994</v>
      </c>
      <c r="Z293" s="450">
        <v>74.760000000000005</v>
      </c>
      <c r="AA293" s="450">
        <v>74.819999999999993</v>
      </c>
      <c r="AB293" s="450">
        <v>74.88</v>
      </c>
      <c r="AC293" s="450">
        <v>74.94</v>
      </c>
      <c r="AD293" s="450">
        <v>74.989999999999995</v>
      </c>
      <c r="AE293" s="450">
        <v>75.040000000000006</v>
      </c>
      <c r="AF293" s="450">
        <v>75.099999999999994</v>
      </c>
      <c r="AG293" s="450">
        <v>75.150000000000006</v>
      </c>
      <c r="AH293" s="450">
        <v>75.37</v>
      </c>
      <c r="AI293" s="450">
        <v>75.55</v>
      </c>
      <c r="AJ293" s="450">
        <v>75.69</v>
      </c>
      <c r="AK293" s="450">
        <v>75.790000000000006</v>
      </c>
      <c r="AL293" s="450">
        <v>75.849999999999994</v>
      </c>
      <c r="AM293" s="133"/>
      <c r="AN293" s="134">
        <v>36</v>
      </c>
      <c r="AO293" s="450">
        <v>75.27</v>
      </c>
      <c r="AP293" s="450">
        <v>75.33</v>
      </c>
      <c r="AQ293" s="450">
        <v>75.39</v>
      </c>
      <c r="AR293" s="450">
        <v>75.45</v>
      </c>
      <c r="AS293" s="450">
        <v>75.52</v>
      </c>
      <c r="AT293" s="450">
        <v>75.58</v>
      </c>
      <c r="AU293" s="450">
        <v>75.64</v>
      </c>
      <c r="AV293" s="450">
        <v>75.69</v>
      </c>
      <c r="AW293" s="450">
        <v>75.75</v>
      </c>
      <c r="AX293" s="450">
        <v>75.8</v>
      </c>
      <c r="AY293" s="450">
        <v>75.86</v>
      </c>
      <c r="AZ293" s="450">
        <v>75.91</v>
      </c>
      <c r="BA293" s="450">
        <v>76.14</v>
      </c>
      <c r="BB293" s="450">
        <v>76.319999999999993</v>
      </c>
      <c r="BC293" s="450">
        <v>76.47</v>
      </c>
      <c r="BD293" s="450">
        <v>76.569999999999993</v>
      </c>
      <c r="BE293" s="450">
        <v>76.64</v>
      </c>
    </row>
    <row r="294" spans="2:57" x14ac:dyDescent="0.25">
      <c r="B294" s="134">
        <v>37</v>
      </c>
      <c r="C294" s="450">
        <v>74.13</v>
      </c>
      <c r="D294" s="450">
        <v>74.19</v>
      </c>
      <c r="E294" s="450">
        <v>74.25</v>
      </c>
      <c r="F294" s="450">
        <v>74.31</v>
      </c>
      <c r="G294" s="450">
        <v>74.38</v>
      </c>
      <c r="H294" s="450">
        <v>74.44</v>
      </c>
      <c r="I294" s="450">
        <v>74.489999999999995</v>
      </c>
      <c r="J294" s="450">
        <v>74.55</v>
      </c>
      <c r="K294" s="450">
        <v>74.61</v>
      </c>
      <c r="L294" s="450">
        <v>74.66</v>
      </c>
      <c r="M294" s="450">
        <v>74.709999999999994</v>
      </c>
      <c r="N294" s="450">
        <v>74.760000000000005</v>
      </c>
      <c r="O294" s="450">
        <v>74.989999999999995</v>
      </c>
      <c r="P294" s="450">
        <v>75.17</v>
      </c>
      <c r="Q294" s="450">
        <v>75.31</v>
      </c>
      <c r="R294" s="450">
        <v>75.400000000000006</v>
      </c>
      <c r="S294" s="450">
        <v>75.47</v>
      </c>
      <c r="T294" s="133"/>
      <c r="U294" s="134">
        <v>37</v>
      </c>
      <c r="V294" s="450">
        <v>74.650000000000006</v>
      </c>
      <c r="W294" s="450">
        <v>74.72</v>
      </c>
      <c r="X294" s="450">
        <v>74.78</v>
      </c>
      <c r="Y294" s="450">
        <v>74.84</v>
      </c>
      <c r="Z294" s="450">
        <v>74.900000000000006</v>
      </c>
      <c r="AA294" s="450">
        <v>74.959999999999994</v>
      </c>
      <c r="AB294" s="450">
        <v>75.02</v>
      </c>
      <c r="AC294" s="450">
        <v>75.08</v>
      </c>
      <c r="AD294" s="450">
        <v>75.14</v>
      </c>
      <c r="AE294" s="450">
        <v>75.19</v>
      </c>
      <c r="AF294" s="450">
        <v>75.25</v>
      </c>
      <c r="AG294" s="450">
        <v>75.3</v>
      </c>
      <c r="AH294" s="450">
        <v>75.53</v>
      </c>
      <c r="AI294" s="450">
        <v>75.709999999999994</v>
      </c>
      <c r="AJ294" s="450">
        <v>75.849999999999994</v>
      </c>
      <c r="AK294" s="450">
        <v>75.959999999999994</v>
      </c>
      <c r="AL294" s="450">
        <v>76.02</v>
      </c>
      <c r="AM294" s="133"/>
      <c r="AN294" s="134">
        <v>37</v>
      </c>
      <c r="AO294" s="450">
        <v>75.400000000000006</v>
      </c>
      <c r="AP294" s="450">
        <v>75.47</v>
      </c>
      <c r="AQ294" s="450">
        <v>75.53</v>
      </c>
      <c r="AR294" s="450">
        <v>75.599999999999994</v>
      </c>
      <c r="AS294" s="450">
        <v>75.66</v>
      </c>
      <c r="AT294" s="450">
        <v>75.72</v>
      </c>
      <c r="AU294" s="450">
        <v>75.78</v>
      </c>
      <c r="AV294" s="450">
        <v>75.84</v>
      </c>
      <c r="AW294" s="450">
        <v>75.900000000000006</v>
      </c>
      <c r="AX294" s="450">
        <v>75.959999999999994</v>
      </c>
      <c r="AY294" s="450">
        <v>76.010000000000005</v>
      </c>
      <c r="AZ294" s="450">
        <v>76.069999999999993</v>
      </c>
      <c r="BA294" s="450">
        <v>76.3</v>
      </c>
      <c r="BB294" s="450">
        <v>76.489999999999995</v>
      </c>
      <c r="BC294" s="450">
        <v>76.64</v>
      </c>
      <c r="BD294" s="450">
        <v>76.75</v>
      </c>
      <c r="BE294" s="450">
        <v>76.819999999999993</v>
      </c>
    </row>
    <row r="295" spans="2:57" x14ac:dyDescent="0.25">
      <c r="B295" s="134">
        <v>38</v>
      </c>
      <c r="C295" s="450">
        <v>74.260000000000005</v>
      </c>
      <c r="D295" s="450">
        <v>74.33</v>
      </c>
      <c r="E295" s="450">
        <v>74.39</v>
      </c>
      <c r="F295" s="450">
        <v>74.45</v>
      </c>
      <c r="G295" s="450">
        <v>74.52</v>
      </c>
      <c r="H295" s="450">
        <v>74.58</v>
      </c>
      <c r="I295" s="450">
        <v>74.64</v>
      </c>
      <c r="J295" s="450">
        <v>74.7</v>
      </c>
      <c r="K295" s="450">
        <v>74.760000000000005</v>
      </c>
      <c r="L295" s="450">
        <v>74.81</v>
      </c>
      <c r="M295" s="450">
        <v>74.87</v>
      </c>
      <c r="N295" s="450">
        <v>74.92</v>
      </c>
      <c r="O295" s="450">
        <v>75.150000000000006</v>
      </c>
      <c r="P295" s="450">
        <v>75.34</v>
      </c>
      <c r="Q295" s="450">
        <v>75.48</v>
      </c>
      <c r="R295" s="450">
        <v>75.58</v>
      </c>
      <c r="S295" s="450">
        <v>75.64</v>
      </c>
      <c r="T295" s="133"/>
      <c r="U295" s="134">
        <v>38</v>
      </c>
      <c r="V295" s="450">
        <v>74.790000000000006</v>
      </c>
      <c r="W295" s="450">
        <v>74.849999999999994</v>
      </c>
      <c r="X295" s="450">
        <v>74.92</v>
      </c>
      <c r="Y295" s="450">
        <v>74.98</v>
      </c>
      <c r="Z295" s="450">
        <v>75.05</v>
      </c>
      <c r="AA295" s="450">
        <v>75.11</v>
      </c>
      <c r="AB295" s="450">
        <v>75.17</v>
      </c>
      <c r="AC295" s="450">
        <v>75.23</v>
      </c>
      <c r="AD295" s="450">
        <v>75.290000000000006</v>
      </c>
      <c r="AE295" s="450">
        <v>75.349999999999994</v>
      </c>
      <c r="AF295" s="450">
        <v>75.400000000000006</v>
      </c>
      <c r="AG295" s="450">
        <v>75.459999999999994</v>
      </c>
      <c r="AH295" s="450">
        <v>75.7</v>
      </c>
      <c r="AI295" s="450">
        <v>75.88</v>
      </c>
      <c r="AJ295" s="450">
        <v>76.03</v>
      </c>
      <c r="AK295" s="450">
        <v>76.13</v>
      </c>
      <c r="AL295" s="450">
        <v>76.2</v>
      </c>
      <c r="AM295" s="133"/>
      <c r="AN295" s="134">
        <v>38</v>
      </c>
      <c r="AO295" s="450">
        <v>75.540000000000006</v>
      </c>
      <c r="AP295" s="450">
        <v>75.61</v>
      </c>
      <c r="AQ295" s="450">
        <v>75.67</v>
      </c>
      <c r="AR295" s="450">
        <v>75.739999999999995</v>
      </c>
      <c r="AS295" s="450">
        <v>75.81</v>
      </c>
      <c r="AT295" s="450">
        <v>75.87</v>
      </c>
      <c r="AU295" s="450">
        <v>75.94</v>
      </c>
      <c r="AV295" s="450">
        <v>76</v>
      </c>
      <c r="AW295" s="450">
        <v>76.06</v>
      </c>
      <c r="AX295" s="450">
        <v>76.12</v>
      </c>
      <c r="AY295" s="450">
        <v>76.17</v>
      </c>
      <c r="AZ295" s="450">
        <v>76.23</v>
      </c>
      <c r="BA295" s="450">
        <v>76.48</v>
      </c>
      <c r="BB295" s="450">
        <v>76.67</v>
      </c>
      <c r="BC295" s="450">
        <v>76.819999999999993</v>
      </c>
      <c r="BD295" s="450">
        <v>76.930000000000007</v>
      </c>
      <c r="BE295" s="450">
        <v>77</v>
      </c>
    </row>
    <row r="296" spans="2:57" x14ac:dyDescent="0.25">
      <c r="B296" s="134">
        <v>39</v>
      </c>
      <c r="C296" s="450">
        <v>74.400000000000006</v>
      </c>
      <c r="D296" s="450">
        <v>74.47</v>
      </c>
      <c r="E296" s="450">
        <v>74.53</v>
      </c>
      <c r="F296" s="450">
        <v>74.599999999999994</v>
      </c>
      <c r="G296" s="450">
        <v>74.66</v>
      </c>
      <c r="H296" s="450">
        <v>74.73</v>
      </c>
      <c r="I296" s="450">
        <v>74.790000000000006</v>
      </c>
      <c r="J296" s="450">
        <v>74.849999999999994</v>
      </c>
      <c r="K296" s="450">
        <v>74.91</v>
      </c>
      <c r="L296" s="450">
        <v>74.97</v>
      </c>
      <c r="M296" s="450">
        <v>75.03</v>
      </c>
      <c r="N296" s="450">
        <v>75.08</v>
      </c>
      <c r="O296" s="450">
        <v>75.319999999999993</v>
      </c>
      <c r="P296" s="450">
        <v>75.510000000000005</v>
      </c>
      <c r="Q296" s="450">
        <v>75.650000000000006</v>
      </c>
      <c r="R296" s="450">
        <v>75.75</v>
      </c>
      <c r="S296" s="450">
        <v>75.81</v>
      </c>
      <c r="T296" s="133"/>
      <c r="U296" s="134">
        <v>39</v>
      </c>
      <c r="V296" s="450">
        <v>74.92</v>
      </c>
      <c r="W296" s="450">
        <v>74.989999999999995</v>
      </c>
      <c r="X296" s="450">
        <v>75.06</v>
      </c>
      <c r="Y296" s="450">
        <v>75.13</v>
      </c>
      <c r="Z296" s="450">
        <v>75.2</v>
      </c>
      <c r="AA296" s="450">
        <v>75.260000000000005</v>
      </c>
      <c r="AB296" s="450">
        <v>75.33</v>
      </c>
      <c r="AC296" s="450">
        <v>75.39</v>
      </c>
      <c r="AD296" s="450">
        <v>75.45</v>
      </c>
      <c r="AE296" s="450">
        <v>75.510000000000005</v>
      </c>
      <c r="AF296" s="450">
        <v>75.569999999999993</v>
      </c>
      <c r="AG296" s="450">
        <v>75.62</v>
      </c>
      <c r="AH296" s="450">
        <v>75.87</v>
      </c>
      <c r="AI296" s="450">
        <v>76.06</v>
      </c>
      <c r="AJ296" s="450">
        <v>76.209999999999994</v>
      </c>
      <c r="AK296" s="450">
        <v>76.31</v>
      </c>
      <c r="AL296" s="450">
        <v>76.38</v>
      </c>
      <c r="AM296" s="133"/>
      <c r="AN296" s="134">
        <v>39</v>
      </c>
      <c r="AO296" s="450">
        <v>75.680000000000007</v>
      </c>
      <c r="AP296" s="450">
        <v>75.75</v>
      </c>
      <c r="AQ296" s="450">
        <v>75.819999999999993</v>
      </c>
      <c r="AR296" s="450">
        <v>75.89</v>
      </c>
      <c r="AS296" s="450">
        <v>75.959999999999994</v>
      </c>
      <c r="AT296" s="450">
        <v>76.03</v>
      </c>
      <c r="AU296" s="450">
        <v>76.099999999999994</v>
      </c>
      <c r="AV296" s="450">
        <v>76.16</v>
      </c>
      <c r="AW296" s="450">
        <v>76.22</v>
      </c>
      <c r="AX296" s="450">
        <v>76.28</v>
      </c>
      <c r="AY296" s="450">
        <v>76.34</v>
      </c>
      <c r="AZ296" s="450">
        <v>76.400000000000006</v>
      </c>
      <c r="BA296" s="450">
        <v>76.650000000000006</v>
      </c>
      <c r="BB296" s="450">
        <v>76.849999999999994</v>
      </c>
      <c r="BC296" s="450">
        <v>77.010000000000005</v>
      </c>
      <c r="BD296" s="450">
        <v>77.12</v>
      </c>
      <c r="BE296" s="450">
        <v>77.180000000000007</v>
      </c>
    </row>
    <row r="297" spans="2:57" x14ac:dyDescent="0.25">
      <c r="B297" s="134">
        <v>40</v>
      </c>
      <c r="C297" s="450">
        <v>74.540000000000006</v>
      </c>
      <c r="D297" s="450">
        <v>74.61</v>
      </c>
      <c r="E297" s="450">
        <v>74.680000000000007</v>
      </c>
      <c r="F297" s="450">
        <v>74.75</v>
      </c>
      <c r="G297" s="450">
        <v>74.819999999999993</v>
      </c>
      <c r="H297" s="450">
        <v>74.88</v>
      </c>
      <c r="I297" s="450">
        <v>74.95</v>
      </c>
      <c r="J297" s="450">
        <v>75.010000000000005</v>
      </c>
      <c r="K297" s="450">
        <v>75.069999999999993</v>
      </c>
      <c r="L297" s="450">
        <v>75.13</v>
      </c>
      <c r="M297" s="450">
        <v>75.19</v>
      </c>
      <c r="N297" s="450">
        <v>75.25</v>
      </c>
      <c r="O297" s="450">
        <v>75.489999999999995</v>
      </c>
      <c r="P297" s="450">
        <v>75.69</v>
      </c>
      <c r="Q297" s="450">
        <v>75.83</v>
      </c>
      <c r="R297" s="450">
        <v>75.94</v>
      </c>
      <c r="S297" s="450">
        <v>75.989999999999995</v>
      </c>
      <c r="T297" s="133"/>
      <c r="U297" s="134">
        <v>40</v>
      </c>
      <c r="V297" s="450">
        <v>75.069999999999993</v>
      </c>
      <c r="W297" s="450">
        <v>75.14</v>
      </c>
      <c r="X297" s="450">
        <v>75.209999999999994</v>
      </c>
      <c r="Y297" s="450">
        <v>75.290000000000006</v>
      </c>
      <c r="Z297" s="450">
        <v>75.349999999999994</v>
      </c>
      <c r="AA297" s="450">
        <v>75.42</v>
      </c>
      <c r="AB297" s="450">
        <v>75.489999999999995</v>
      </c>
      <c r="AC297" s="450">
        <v>75.55</v>
      </c>
      <c r="AD297" s="450">
        <v>75.62</v>
      </c>
      <c r="AE297" s="450">
        <v>75.680000000000007</v>
      </c>
      <c r="AF297" s="450">
        <v>75.739999999999995</v>
      </c>
      <c r="AG297" s="450">
        <v>75.790000000000006</v>
      </c>
      <c r="AH297" s="450">
        <v>76.040000000000006</v>
      </c>
      <c r="AI297" s="450">
        <v>76.239999999999995</v>
      </c>
      <c r="AJ297" s="450">
        <v>76.39</v>
      </c>
      <c r="AK297" s="450">
        <v>76.5</v>
      </c>
      <c r="AL297" s="450">
        <v>76.56</v>
      </c>
      <c r="AM297" s="133"/>
      <c r="AN297" s="134">
        <v>40</v>
      </c>
      <c r="AO297" s="450">
        <v>75.83</v>
      </c>
      <c r="AP297" s="450">
        <v>75.91</v>
      </c>
      <c r="AQ297" s="450">
        <v>75.98</v>
      </c>
      <c r="AR297" s="450">
        <v>76.05</v>
      </c>
      <c r="AS297" s="450">
        <v>76.12</v>
      </c>
      <c r="AT297" s="450">
        <v>76.19</v>
      </c>
      <c r="AU297" s="450">
        <v>76.260000000000005</v>
      </c>
      <c r="AV297" s="450">
        <v>76.33</v>
      </c>
      <c r="AW297" s="450">
        <v>76.39</v>
      </c>
      <c r="AX297" s="450">
        <v>76.459999999999994</v>
      </c>
      <c r="AY297" s="450">
        <v>76.52</v>
      </c>
      <c r="AZ297" s="450">
        <v>76.569999999999993</v>
      </c>
      <c r="BA297" s="450">
        <v>76.83</v>
      </c>
      <c r="BB297" s="450">
        <v>77.040000000000006</v>
      </c>
      <c r="BC297" s="450">
        <v>77.2</v>
      </c>
      <c r="BD297" s="450">
        <v>77.31</v>
      </c>
      <c r="BE297" s="450">
        <v>77.37</v>
      </c>
    </row>
    <row r="298" spans="2:57" x14ac:dyDescent="0.25">
      <c r="B298" s="134">
        <v>41</v>
      </c>
      <c r="C298" s="450">
        <v>74.69</v>
      </c>
      <c r="D298" s="450">
        <v>74.760000000000005</v>
      </c>
      <c r="E298" s="450">
        <v>74.83</v>
      </c>
      <c r="F298" s="450">
        <v>74.91</v>
      </c>
      <c r="G298" s="450">
        <v>74.98</v>
      </c>
      <c r="H298" s="450">
        <v>75.05</v>
      </c>
      <c r="I298" s="450">
        <v>75.11</v>
      </c>
      <c r="J298" s="450">
        <v>75.180000000000007</v>
      </c>
      <c r="K298" s="450">
        <v>75.239999999999995</v>
      </c>
      <c r="L298" s="450">
        <v>75.3</v>
      </c>
      <c r="M298" s="450">
        <v>75.36</v>
      </c>
      <c r="N298" s="450">
        <v>75.42</v>
      </c>
      <c r="O298" s="450">
        <v>75.67</v>
      </c>
      <c r="P298" s="450">
        <v>75.87</v>
      </c>
      <c r="Q298" s="450">
        <v>76.02</v>
      </c>
      <c r="R298" s="450">
        <v>76.12</v>
      </c>
      <c r="S298" s="450">
        <v>76.180000000000007</v>
      </c>
      <c r="T298" s="133"/>
      <c r="U298" s="134">
        <v>41</v>
      </c>
      <c r="V298" s="450">
        <v>75.22</v>
      </c>
      <c r="W298" s="450">
        <v>75.3</v>
      </c>
      <c r="X298" s="450">
        <v>75.37</v>
      </c>
      <c r="Y298" s="450">
        <v>75.44</v>
      </c>
      <c r="Z298" s="450">
        <v>75.52</v>
      </c>
      <c r="AA298" s="450">
        <v>75.59</v>
      </c>
      <c r="AB298" s="450">
        <v>75.650000000000006</v>
      </c>
      <c r="AC298" s="450">
        <v>75.72</v>
      </c>
      <c r="AD298" s="450">
        <v>75.790000000000006</v>
      </c>
      <c r="AE298" s="450">
        <v>75.849999999999994</v>
      </c>
      <c r="AF298" s="450">
        <v>75.91</v>
      </c>
      <c r="AG298" s="450">
        <v>75.97</v>
      </c>
      <c r="AH298" s="450">
        <v>76.23</v>
      </c>
      <c r="AI298" s="450">
        <v>76.430000000000007</v>
      </c>
      <c r="AJ298" s="450">
        <v>76.58</v>
      </c>
      <c r="AK298" s="450">
        <v>76.69</v>
      </c>
      <c r="AL298" s="450">
        <v>76.75</v>
      </c>
      <c r="AM298" s="133"/>
      <c r="AN298" s="134">
        <v>41</v>
      </c>
      <c r="AO298" s="450">
        <v>75.989999999999995</v>
      </c>
      <c r="AP298" s="450">
        <v>76.06</v>
      </c>
      <c r="AQ298" s="450">
        <v>76.14</v>
      </c>
      <c r="AR298" s="450">
        <v>76.22</v>
      </c>
      <c r="AS298" s="450">
        <v>76.290000000000006</v>
      </c>
      <c r="AT298" s="450">
        <v>76.36</v>
      </c>
      <c r="AU298" s="450">
        <v>76.430000000000007</v>
      </c>
      <c r="AV298" s="450">
        <v>76.5</v>
      </c>
      <c r="AW298" s="450">
        <v>76.569999999999993</v>
      </c>
      <c r="AX298" s="450">
        <v>76.63</v>
      </c>
      <c r="AY298" s="450">
        <v>76.69</v>
      </c>
      <c r="AZ298" s="450">
        <v>76.760000000000005</v>
      </c>
      <c r="BA298" s="450">
        <v>77.02</v>
      </c>
      <c r="BB298" s="450">
        <v>77.23</v>
      </c>
      <c r="BC298" s="450">
        <v>77.39</v>
      </c>
      <c r="BD298" s="450">
        <v>77.510000000000005</v>
      </c>
      <c r="BE298" s="450">
        <v>77.569999999999993</v>
      </c>
    </row>
    <row r="299" spans="2:57" x14ac:dyDescent="0.25">
      <c r="B299" s="134">
        <v>42</v>
      </c>
      <c r="C299" s="450">
        <v>74.84</v>
      </c>
      <c r="D299" s="450">
        <v>74.92</v>
      </c>
      <c r="E299" s="450">
        <v>74.989999999999995</v>
      </c>
      <c r="F299" s="450">
        <v>75.069999999999993</v>
      </c>
      <c r="G299" s="450">
        <v>75.14</v>
      </c>
      <c r="H299" s="450">
        <v>75.209999999999994</v>
      </c>
      <c r="I299" s="450">
        <v>75.28</v>
      </c>
      <c r="J299" s="450">
        <v>75.349999999999994</v>
      </c>
      <c r="K299" s="450">
        <v>75.41</v>
      </c>
      <c r="L299" s="450">
        <v>75.48</v>
      </c>
      <c r="M299" s="450">
        <v>75.540000000000006</v>
      </c>
      <c r="N299" s="450">
        <v>75.599999999999994</v>
      </c>
      <c r="O299" s="450">
        <v>75.849999999999994</v>
      </c>
      <c r="P299" s="450">
        <v>76.06</v>
      </c>
      <c r="Q299" s="450">
        <v>76.209999999999994</v>
      </c>
      <c r="R299" s="450">
        <v>76.31</v>
      </c>
      <c r="S299" s="450">
        <v>76.37</v>
      </c>
      <c r="T299" s="133"/>
      <c r="U299" s="134">
        <v>42</v>
      </c>
      <c r="V299" s="450">
        <v>75.38</v>
      </c>
      <c r="W299" s="450">
        <v>75.459999999999994</v>
      </c>
      <c r="X299" s="450">
        <v>75.53</v>
      </c>
      <c r="Y299" s="450">
        <v>75.61</v>
      </c>
      <c r="Z299" s="450">
        <v>75.680000000000007</v>
      </c>
      <c r="AA299" s="450">
        <v>75.760000000000005</v>
      </c>
      <c r="AB299" s="450">
        <v>75.83</v>
      </c>
      <c r="AC299" s="450">
        <v>75.900000000000006</v>
      </c>
      <c r="AD299" s="450">
        <v>75.959999999999994</v>
      </c>
      <c r="AE299" s="450">
        <v>76.03</v>
      </c>
      <c r="AF299" s="450">
        <v>76.09</v>
      </c>
      <c r="AG299" s="450">
        <v>76.150000000000006</v>
      </c>
      <c r="AH299" s="450">
        <v>76.41</v>
      </c>
      <c r="AI299" s="450">
        <v>76.62</v>
      </c>
      <c r="AJ299" s="450">
        <v>76.78</v>
      </c>
      <c r="AK299" s="450">
        <v>76.89</v>
      </c>
      <c r="AL299" s="450">
        <v>76.95</v>
      </c>
      <c r="AM299" s="133"/>
      <c r="AN299" s="134">
        <v>42</v>
      </c>
      <c r="AO299" s="450">
        <v>76.150000000000006</v>
      </c>
      <c r="AP299" s="450">
        <v>76.23</v>
      </c>
      <c r="AQ299" s="450">
        <v>76.31</v>
      </c>
      <c r="AR299" s="450">
        <v>76.39</v>
      </c>
      <c r="AS299" s="450">
        <v>76.459999999999994</v>
      </c>
      <c r="AT299" s="450">
        <v>76.540000000000006</v>
      </c>
      <c r="AU299" s="450">
        <v>76.61</v>
      </c>
      <c r="AV299" s="450">
        <v>76.680000000000007</v>
      </c>
      <c r="AW299" s="450">
        <v>76.75</v>
      </c>
      <c r="AX299" s="450">
        <v>76.819999999999993</v>
      </c>
      <c r="AY299" s="450">
        <v>76.88</v>
      </c>
      <c r="AZ299" s="450">
        <v>76.94</v>
      </c>
      <c r="BA299" s="450">
        <v>77.22</v>
      </c>
      <c r="BB299" s="450">
        <v>77.430000000000007</v>
      </c>
      <c r="BC299" s="450">
        <v>77.599999999999994</v>
      </c>
      <c r="BD299" s="450">
        <v>77.709999999999994</v>
      </c>
      <c r="BE299" s="450">
        <v>77.77</v>
      </c>
    </row>
    <row r="300" spans="2:57" x14ac:dyDescent="0.25">
      <c r="B300" s="134">
        <v>43</v>
      </c>
      <c r="C300" s="450">
        <v>75</v>
      </c>
      <c r="D300" s="450">
        <v>75.08</v>
      </c>
      <c r="E300" s="450">
        <v>75.16</v>
      </c>
      <c r="F300" s="450">
        <v>75.239999999999995</v>
      </c>
      <c r="G300" s="450">
        <v>75.31</v>
      </c>
      <c r="H300" s="450">
        <v>75.38</v>
      </c>
      <c r="I300" s="450">
        <v>75.45</v>
      </c>
      <c r="J300" s="450">
        <v>75.52</v>
      </c>
      <c r="K300" s="450">
        <v>75.59</v>
      </c>
      <c r="L300" s="450">
        <v>75.66</v>
      </c>
      <c r="M300" s="450">
        <v>75.72</v>
      </c>
      <c r="N300" s="450">
        <v>75.78</v>
      </c>
      <c r="O300" s="450">
        <v>76.040000000000006</v>
      </c>
      <c r="P300" s="450">
        <v>76.25</v>
      </c>
      <c r="Q300" s="450">
        <v>76.41</v>
      </c>
      <c r="R300" s="450">
        <v>76.510000000000005</v>
      </c>
      <c r="S300" s="450">
        <v>76.569999999999993</v>
      </c>
      <c r="T300" s="133"/>
      <c r="U300" s="134">
        <v>43</v>
      </c>
      <c r="V300" s="450">
        <v>75.540000000000006</v>
      </c>
      <c r="W300" s="450">
        <v>75.62</v>
      </c>
      <c r="X300" s="450">
        <v>75.7</v>
      </c>
      <c r="Y300" s="450">
        <v>75.78</v>
      </c>
      <c r="Z300" s="450">
        <v>75.86</v>
      </c>
      <c r="AA300" s="450">
        <v>75.930000000000007</v>
      </c>
      <c r="AB300" s="450">
        <v>76</v>
      </c>
      <c r="AC300" s="450">
        <v>76.08</v>
      </c>
      <c r="AD300" s="450">
        <v>76.14</v>
      </c>
      <c r="AE300" s="450">
        <v>76.209999999999994</v>
      </c>
      <c r="AF300" s="450">
        <v>76.27</v>
      </c>
      <c r="AG300" s="450">
        <v>76.34</v>
      </c>
      <c r="AH300" s="450">
        <v>76.61</v>
      </c>
      <c r="AI300" s="450">
        <v>76.819999999999993</v>
      </c>
      <c r="AJ300" s="450">
        <v>76.98</v>
      </c>
      <c r="AK300" s="450">
        <v>77.09</v>
      </c>
      <c r="AL300" s="450">
        <v>77.150000000000006</v>
      </c>
      <c r="AM300" s="133"/>
      <c r="AN300" s="134">
        <v>43</v>
      </c>
      <c r="AO300" s="450">
        <v>76.319999999999993</v>
      </c>
      <c r="AP300" s="450">
        <v>76.400000000000006</v>
      </c>
      <c r="AQ300" s="450">
        <v>76.48</v>
      </c>
      <c r="AR300" s="450">
        <v>76.56</v>
      </c>
      <c r="AS300" s="450">
        <v>76.64</v>
      </c>
      <c r="AT300" s="450">
        <v>76.72</v>
      </c>
      <c r="AU300" s="450">
        <v>76.790000000000006</v>
      </c>
      <c r="AV300" s="450">
        <v>76.87</v>
      </c>
      <c r="AW300" s="450">
        <v>76.94</v>
      </c>
      <c r="AX300" s="450">
        <v>77</v>
      </c>
      <c r="AY300" s="450">
        <v>77.069999999999993</v>
      </c>
      <c r="AZ300" s="450">
        <v>77.13</v>
      </c>
      <c r="BA300" s="450">
        <v>77.42</v>
      </c>
      <c r="BB300" s="450">
        <v>77.64</v>
      </c>
      <c r="BC300" s="450">
        <v>77.81</v>
      </c>
      <c r="BD300" s="450">
        <v>77.92</v>
      </c>
      <c r="BE300" s="450">
        <v>77.98</v>
      </c>
    </row>
    <row r="301" spans="2:57" x14ac:dyDescent="0.25">
      <c r="B301" s="134">
        <v>44</v>
      </c>
      <c r="C301" s="450">
        <v>75.17</v>
      </c>
      <c r="D301" s="450">
        <v>75.25</v>
      </c>
      <c r="E301" s="450">
        <v>75.33</v>
      </c>
      <c r="F301" s="450">
        <v>75.41</v>
      </c>
      <c r="G301" s="450">
        <v>75.489999999999995</v>
      </c>
      <c r="H301" s="450">
        <v>75.56</v>
      </c>
      <c r="I301" s="450">
        <v>75.63</v>
      </c>
      <c r="J301" s="450">
        <v>75.709999999999994</v>
      </c>
      <c r="K301" s="450">
        <v>75.77</v>
      </c>
      <c r="L301" s="450">
        <v>75.84</v>
      </c>
      <c r="M301" s="450">
        <v>75.900000000000006</v>
      </c>
      <c r="N301" s="450">
        <v>75.97</v>
      </c>
      <c r="O301" s="450">
        <v>76.239999999999995</v>
      </c>
      <c r="P301" s="450">
        <v>76.45</v>
      </c>
      <c r="Q301" s="450">
        <v>76.61</v>
      </c>
      <c r="R301" s="450">
        <v>76.709999999999994</v>
      </c>
      <c r="S301" s="450">
        <v>76.77</v>
      </c>
      <c r="T301" s="133"/>
      <c r="U301" s="134">
        <v>44</v>
      </c>
      <c r="V301" s="450">
        <v>75.709999999999994</v>
      </c>
      <c r="W301" s="450">
        <v>75.790000000000006</v>
      </c>
      <c r="X301" s="450">
        <v>75.88</v>
      </c>
      <c r="Y301" s="450">
        <v>75.959999999999994</v>
      </c>
      <c r="Z301" s="450">
        <v>76.040000000000006</v>
      </c>
      <c r="AA301" s="450">
        <v>76.11</v>
      </c>
      <c r="AB301" s="450">
        <v>76.19</v>
      </c>
      <c r="AC301" s="450">
        <v>76.260000000000005</v>
      </c>
      <c r="AD301" s="450">
        <v>76.33</v>
      </c>
      <c r="AE301" s="450">
        <v>76.400000000000006</v>
      </c>
      <c r="AF301" s="450">
        <v>76.459999999999994</v>
      </c>
      <c r="AG301" s="450">
        <v>76.53</v>
      </c>
      <c r="AH301" s="450">
        <v>76.81</v>
      </c>
      <c r="AI301" s="450">
        <v>77.03</v>
      </c>
      <c r="AJ301" s="450">
        <v>77.19</v>
      </c>
      <c r="AK301" s="450">
        <v>77.290000000000006</v>
      </c>
      <c r="AL301" s="450">
        <v>77.36</v>
      </c>
      <c r="AM301" s="133"/>
      <c r="AN301" s="134">
        <v>44</v>
      </c>
      <c r="AO301" s="450">
        <v>76.489999999999995</v>
      </c>
      <c r="AP301" s="450">
        <v>76.58</v>
      </c>
      <c r="AQ301" s="450">
        <v>76.66</v>
      </c>
      <c r="AR301" s="450">
        <v>76.739999999999995</v>
      </c>
      <c r="AS301" s="450">
        <v>76.83</v>
      </c>
      <c r="AT301" s="450">
        <v>76.900000000000006</v>
      </c>
      <c r="AU301" s="450">
        <v>76.98</v>
      </c>
      <c r="AV301" s="450">
        <v>77.06</v>
      </c>
      <c r="AW301" s="450">
        <v>77.13</v>
      </c>
      <c r="AX301" s="450">
        <v>77.2</v>
      </c>
      <c r="AY301" s="450">
        <v>77.27</v>
      </c>
      <c r="AZ301" s="450">
        <v>77.33</v>
      </c>
      <c r="BA301" s="450">
        <v>77.62</v>
      </c>
      <c r="BB301" s="450">
        <v>77.849999999999994</v>
      </c>
      <c r="BC301" s="450">
        <v>78.02</v>
      </c>
      <c r="BD301" s="450">
        <v>78.13</v>
      </c>
      <c r="BE301" s="450">
        <v>78.2</v>
      </c>
    </row>
    <row r="302" spans="2:57" x14ac:dyDescent="0.25">
      <c r="B302" s="134">
        <v>45</v>
      </c>
      <c r="C302" s="450">
        <v>75.34</v>
      </c>
      <c r="D302" s="450">
        <v>75.42</v>
      </c>
      <c r="E302" s="450">
        <v>75.510000000000005</v>
      </c>
      <c r="F302" s="450">
        <v>75.59</v>
      </c>
      <c r="G302" s="450">
        <v>75.67</v>
      </c>
      <c r="H302" s="450">
        <v>75.739999999999995</v>
      </c>
      <c r="I302" s="450">
        <v>75.819999999999993</v>
      </c>
      <c r="J302" s="450">
        <v>75.89</v>
      </c>
      <c r="K302" s="450">
        <v>75.959999999999994</v>
      </c>
      <c r="L302" s="450">
        <v>76.03</v>
      </c>
      <c r="M302" s="450">
        <v>76.099999999999994</v>
      </c>
      <c r="N302" s="450">
        <v>76.16</v>
      </c>
      <c r="O302" s="450">
        <v>76.44</v>
      </c>
      <c r="P302" s="450">
        <v>76.66</v>
      </c>
      <c r="Q302" s="450">
        <v>76.819999999999993</v>
      </c>
      <c r="R302" s="450">
        <v>76.91</v>
      </c>
      <c r="S302" s="450">
        <v>76.97</v>
      </c>
      <c r="T302" s="133"/>
      <c r="U302" s="134">
        <v>45</v>
      </c>
      <c r="V302" s="450">
        <v>75.88</v>
      </c>
      <c r="W302" s="450">
        <v>75.97</v>
      </c>
      <c r="X302" s="450">
        <v>76.06</v>
      </c>
      <c r="Y302" s="450">
        <v>76.14</v>
      </c>
      <c r="Z302" s="450">
        <v>76.22</v>
      </c>
      <c r="AA302" s="450">
        <v>76.3</v>
      </c>
      <c r="AB302" s="450">
        <v>76.38</v>
      </c>
      <c r="AC302" s="450">
        <v>76.45</v>
      </c>
      <c r="AD302" s="450">
        <v>76.52</v>
      </c>
      <c r="AE302" s="450">
        <v>76.59</v>
      </c>
      <c r="AF302" s="450">
        <v>76.66</v>
      </c>
      <c r="AG302" s="450">
        <v>76.72</v>
      </c>
      <c r="AH302" s="450">
        <v>77.010000000000005</v>
      </c>
      <c r="AI302" s="450">
        <v>77.239999999999995</v>
      </c>
      <c r="AJ302" s="450">
        <v>77.400000000000006</v>
      </c>
      <c r="AK302" s="450">
        <v>77.5</v>
      </c>
      <c r="AL302" s="450">
        <v>77.569999999999993</v>
      </c>
      <c r="AM302" s="133"/>
      <c r="AN302" s="134">
        <v>45</v>
      </c>
      <c r="AO302" s="450">
        <v>76.67</v>
      </c>
      <c r="AP302" s="450">
        <v>76.760000000000005</v>
      </c>
      <c r="AQ302" s="450">
        <v>76.849999999999994</v>
      </c>
      <c r="AR302" s="450">
        <v>76.930000000000007</v>
      </c>
      <c r="AS302" s="450">
        <v>77.02</v>
      </c>
      <c r="AT302" s="450">
        <v>77.099999999999994</v>
      </c>
      <c r="AU302" s="450">
        <v>77.180000000000007</v>
      </c>
      <c r="AV302" s="450">
        <v>77.25</v>
      </c>
      <c r="AW302" s="450">
        <v>77.33</v>
      </c>
      <c r="AX302" s="450">
        <v>77.400000000000006</v>
      </c>
      <c r="AY302" s="450">
        <v>77.47</v>
      </c>
      <c r="AZ302" s="450">
        <v>77.540000000000006</v>
      </c>
      <c r="BA302" s="450">
        <v>77.84</v>
      </c>
      <c r="BB302" s="450">
        <v>78.069999999999993</v>
      </c>
      <c r="BC302" s="450">
        <v>78.239999999999995</v>
      </c>
      <c r="BD302" s="450">
        <v>78.349999999999994</v>
      </c>
      <c r="BE302" s="450">
        <v>78.42</v>
      </c>
    </row>
    <row r="303" spans="2:57" x14ac:dyDescent="0.25">
      <c r="B303" s="134">
        <v>46</v>
      </c>
      <c r="C303" s="450">
        <v>75.510000000000005</v>
      </c>
      <c r="D303" s="450">
        <v>75.599999999999994</v>
      </c>
      <c r="E303" s="450">
        <v>75.69</v>
      </c>
      <c r="F303" s="450">
        <v>75.77</v>
      </c>
      <c r="G303" s="450">
        <v>75.849999999999994</v>
      </c>
      <c r="H303" s="450">
        <v>75.930000000000007</v>
      </c>
      <c r="I303" s="450">
        <v>76.010000000000005</v>
      </c>
      <c r="J303" s="450">
        <v>76.08</v>
      </c>
      <c r="K303" s="450">
        <v>76.16</v>
      </c>
      <c r="L303" s="450">
        <v>76.23</v>
      </c>
      <c r="M303" s="450">
        <v>76.290000000000006</v>
      </c>
      <c r="N303" s="450">
        <v>76.36</v>
      </c>
      <c r="O303" s="450">
        <v>76.64</v>
      </c>
      <c r="P303" s="450">
        <v>76.87</v>
      </c>
      <c r="Q303" s="450">
        <v>77.02</v>
      </c>
      <c r="R303" s="450">
        <v>77.12</v>
      </c>
      <c r="S303" s="450">
        <v>77.180000000000007</v>
      </c>
      <c r="T303" s="133"/>
      <c r="U303" s="134">
        <v>46</v>
      </c>
      <c r="V303" s="450">
        <v>76.06</v>
      </c>
      <c r="W303" s="450">
        <v>76.150000000000006</v>
      </c>
      <c r="X303" s="450">
        <v>76.239999999999995</v>
      </c>
      <c r="Y303" s="450">
        <v>76.33</v>
      </c>
      <c r="Z303" s="450">
        <v>76.41</v>
      </c>
      <c r="AA303" s="450">
        <v>76.489999999999995</v>
      </c>
      <c r="AB303" s="450">
        <v>76.569999999999993</v>
      </c>
      <c r="AC303" s="450">
        <v>76.650000000000006</v>
      </c>
      <c r="AD303" s="450">
        <v>76.72</v>
      </c>
      <c r="AE303" s="450">
        <v>76.790000000000006</v>
      </c>
      <c r="AF303" s="450">
        <v>76.86</v>
      </c>
      <c r="AG303" s="450">
        <v>76.930000000000007</v>
      </c>
      <c r="AH303" s="450">
        <v>77.22</v>
      </c>
      <c r="AI303" s="450">
        <v>77.45</v>
      </c>
      <c r="AJ303" s="450">
        <v>77.62</v>
      </c>
      <c r="AK303" s="450">
        <v>77.72</v>
      </c>
      <c r="AL303" s="450">
        <v>77.790000000000006</v>
      </c>
      <c r="AM303" s="133"/>
      <c r="AN303" s="134">
        <v>46</v>
      </c>
      <c r="AO303" s="450">
        <v>76.849999999999994</v>
      </c>
      <c r="AP303" s="450">
        <v>76.95</v>
      </c>
      <c r="AQ303" s="450">
        <v>77.040000000000006</v>
      </c>
      <c r="AR303" s="450">
        <v>77.13</v>
      </c>
      <c r="AS303" s="450">
        <v>77.209999999999994</v>
      </c>
      <c r="AT303" s="450">
        <v>77.3</v>
      </c>
      <c r="AU303" s="450">
        <v>77.38</v>
      </c>
      <c r="AV303" s="450">
        <v>77.459999999999994</v>
      </c>
      <c r="AW303" s="450">
        <v>77.53</v>
      </c>
      <c r="AX303" s="450">
        <v>77.61</v>
      </c>
      <c r="AY303" s="450">
        <v>77.680000000000007</v>
      </c>
      <c r="AZ303" s="450">
        <v>77.75</v>
      </c>
      <c r="BA303" s="450">
        <v>78.05</v>
      </c>
      <c r="BB303" s="450">
        <v>78.290000000000006</v>
      </c>
      <c r="BC303" s="450">
        <v>78.47</v>
      </c>
      <c r="BD303" s="450">
        <v>78.569999999999993</v>
      </c>
      <c r="BE303" s="450">
        <v>78.64</v>
      </c>
    </row>
    <row r="304" spans="2:57" x14ac:dyDescent="0.25">
      <c r="B304" s="134">
        <v>47</v>
      </c>
      <c r="C304" s="450">
        <v>75.69</v>
      </c>
      <c r="D304" s="450">
        <v>75.78</v>
      </c>
      <c r="E304" s="450">
        <v>75.87</v>
      </c>
      <c r="F304" s="450">
        <v>75.959999999999994</v>
      </c>
      <c r="G304" s="450">
        <v>76.040000000000006</v>
      </c>
      <c r="H304" s="450">
        <v>76.12</v>
      </c>
      <c r="I304" s="450">
        <v>76.2</v>
      </c>
      <c r="J304" s="450">
        <v>76.28</v>
      </c>
      <c r="K304" s="450">
        <v>76.349999999999994</v>
      </c>
      <c r="L304" s="450">
        <v>76.430000000000007</v>
      </c>
      <c r="M304" s="450">
        <v>76.489999999999995</v>
      </c>
      <c r="N304" s="450">
        <v>76.56</v>
      </c>
      <c r="O304" s="450">
        <v>76.849999999999994</v>
      </c>
      <c r="P304" s="450">
        <v>77.08</v>
      </c>
      <c r="Q304" s="450">
        <v>77.239999999999995</v>
      </c>
      <c r="R304" s="450">
        <v>77.33</v>
      </c>
      <c r="S304" s="450">
        <v>77.400000000000006</v>
      </c>
      <c r="T304" s="133"/>
      <c r="U304" s="134">
        <v>47</v>
      </c>
      <c r="V304" s="450">
        <v>76.25</v>
      </c>
      <c r="W304" s="450">
        <v>76.34</v>
      </c>
      <c r="X304" s="450">
        <v>76.430000000000007</v>
      </c>
      <c r="Y304" s="450">
        <v>76.52</v>
      </c>
      <c r="Z304" s="450">
        <v>76.61</v>
      </c>
      <c r="AA304" s="450">
        <v>76.69</v>
      </c>
      <c r="AB304" s="450">
        <v>76.77</v>
      </c>
      <c r="AC304" s="450">
        <v>76.849999999999994</v>
      </c>
      <c r="AD304" s="450">
        <v>76.92</v>
      </c>
      <c r="AE304" s="450">
        <v>77</v>
      </c>
      <c r="AF304" s="450">
        <v>77.069999999999993</v>
      </c>
      <c r="AG304" s="450">
        <v>77.14</v>
      </c>
      <c r="AH304" s="450">
        <v>77.44</v>
      </c>
      <c r="AI304" s="450">
        <v>77.680000000000007</v>
      </c>
      <c r="AJ304" s="450">
        <v>77.84</v>
      </c>
      <c r="AK304" s="450">
        <v>77.94</v>
      </c>
      <c r="AL304" s="450">
        <v>78.010000000000005</v>
      </c>
      <c r="AM304" s="133"/>
      <c r="AN304" s="134">
        <v>47</v>
      </c>
      <c r="AO304" s="450">
        <v>77.05</v>
      </c>
      <c r="AP304" s="450">
        <v>77.14</v>
      </c>
      <c r="AQ304" s="450">
        <v>77.23</v>
      </c>
      <c r="AR304" s="450">
        <v>77.319999999999993</v>
      </c>
      <c r="AS304" s="450">
        <v>77.41</v>
      </c>
      <c r="AT304" s="450">
        <v>77.5</v>
      </c>
      <c r="AU304" s="450">
        <v>77.58</v>
      </c>
      <c r="AV304" s="450">
        <v>77.66</v>
      </c>
      <c r="AW304" s="450">
        <v>77.739999999999995</v>
      </c>
      <c r="AX304" s="450">
        <v>77.819999999999993</v>
      </c>
      <c r="AY304" s="450">
        <v>77.89</v>
      </c>
      <c r="AZ304" s="450">
        <v>77.959999999999994</v>
      </c>
      <c r="BA304" s="450">
        <v>78.28</v>
      </c>
      <c r="BB304" s="450">
        <v>78.52</v>
      </c>
      <c r="BC304" s="450">
        <v>78.69</v>
      </c>
      <c r="BD304" s="450">
        <v>78.8</v>
      </c>
      <c r="BE304" s="450">
        <v>78.87</v>
      </c>
    </row>
    <row r="305" spans="2:57" x14ac:dyDescent="0.25">
      <c r="B305" s="134">
        <v>48</v>
      </c>
      <c r="C305" s="450">
        <v>75.88</v>
      </c>
      <c r="D305" s="450">
        <v>75.97</v>
      </c>
      <c r="E305" s="450">
        <v>76.06</v>
      </c>
      <c r="F305" s="450">
        <v>76.150000000000006</v>
      </c>
      <c r="G305" s="450">
        <v>76.239999999999995</v>
      </c>
      <c r="H305" s="450">
        <v>76.319999999999993</v>
      </c>
      <c r="I305" s="450">
        <v>76.400000000000006</v>
      </c>
      <c r="J305" s="450">
        <v>76.48</v>
      </c>
      <c r="K305" s="450">
        <v>76.56</v>
      </c>
      <c r="L305" s="450">
        <v>76.63</v>
      </c>
      <c r="M305" s="450">
        <v>76.7</v>
      </c>
      <c r="N305" s="450">
        <v>76.77</v>
      </c>
      <c r="O305" s="450">
        <v>77.069999999999993</v>
      </c>
      <c r="P305" s="450">
        <v>77.3</v>
      </c>
      <c r="Q305" s="450">
        <v>77.459999999999994</v>
      </c>
      <c r="R305" s="450">
        <v>77.55</v>
      </c>
      <c r="S305" s="450">
        <v>77.61</v>
      </c>
      <c r="T305" s="133"/>
      <c r="U305" s="134">
        <v>48</v>
      </c>
      <c r="V305" s="450">
        <v>76.44</v>
      </c>
      <c r="W305" s="450">
        <v>76.53</v>
      </c>
      <c r="X305" s="450">
        <v>76.63</v>
      </c>
      <c r="Y305" s="450">
        <v>76.72</v>
      </c>
      <c r="Z305" s="450">
        <v>76.81</v>
      </c>
      <c r="AA305" s="450">
        <v>76.89</v>
      </c>
      <c r="AB305" s="450">
        <v>76.97</v>
      </c>
      <c r="AC305" s="450">
        <v>77.06</v>
      </c>
      <c r="AD305" s="450">
        <v>77.13</v>
      </c>
      <c r="AE305" s="450">
        <v>77.209999999999994</v>
      </c>
      <c r="AF305" s="450">
        <v>77.28</v>
      </c>
      <c r="AG305" s="450">
        <v>77.349999999999994</v>
      </c>
      <c r="AH305" s="450">
        <v>77.66</v>
      </c>
      <c r="AI305" s="450">
        <v>77.900000000000006</v>
      </c>
      <c r="AJ305" s="450">
        <v>78.06</v>
      </c>
      <c r="AK305" s="450">
        <v>78.17</v>
      </c>
      <c r="AL305" s="450">
        <v>78.23</v>
      </c>
      <c r="AM305" s="133"/>
      <c r="AN305" s="134">
        <v>48</v>
      </c>
      <c r="AO305" s="450">
        <v>77.239999999999995</v>
      </c>
      <c r="AP305" s="450">
        <v>77.34</v>
      </c>
      <c r="AQ305" s="450">
        <v>77.44</v>
      </c>
      <c r="AR305" s="450">
        <v>77.53</v>
      </c>
      <c r="AS305" s="450">
        <v>77.62</v>
      </c>
      <c r="AT305" s="450">
        <v>77.709999999999994</v>
      </c>
      <c r="AU305" s="450">
        <v>77.8</v>
      </c>
      <c r="AV305" s="450">
        <v>77.88</v>
      </c>
      <c r="AW305" s="450">
        <v>77.959999999999994</v>
      </c>
      <c r="AX305" s="450">
        <v>78.040000000000006</v>
      </c>
      <c r="AY305" s="450">
        <v>78.11</v>
      </c>
      <c r="AZ305" s="450">
        <v>78.19</v>
      </c>
      <c r="BA305" s="450">
        <v>78.510000000000005</v>
      </c>
      <c r="BB305" s="450">
        <v>78.760000000000005</v>
      </c>
      <c r="BC305" s="450">
        <v>78.930000000000007</v>
      </c>
      <c r="BD305" s="450">
        <v>79.040000000000006</v>
      </c>
      <c r="BE305" s="450">
        <v>79.099999999999994</v>
      </c>
    </row>
    <row r="306" spans="2:57" x14ac:dyDescent="0.25">
      <c r="B306" s="134">
        <v>49</v>
      </c>
      <c r="C306" s="450">
        <v>76.069999999999993</v>
      </c>
      <c r="D306" s="450">
        <v>76.17</v>
      </c>
      <c r="E306" s="450">
        <v>76.260000000000005</v>
      </c>
      <c r="F306" s="450">
        <v>76.349999999999994</v>
      </c>
      <c r="G306" s="450">
        <v>76.44</v>
      </c>
      <c r="H306" s="450">
        <v>76.52</v>
      </c>
      <c r="I306" s="450">
        <v>76.61</v>
      </c>
      <c r="J306" s="450">
        <v>76.69</v>
      </c>
      <c r="K306" s="450">
        <v>76.77</v>
      </c>
      <c r="L306" s="450">
        <v>76.84</v>
      </c>
      <c r="M306" s="450">
        <v>76.92</v>
      </c>
      <c r="N306" s="450">
        <v>76.989999999999995</v>
      </c>
      <c r="O306" s="450">
        <v>77.290000000000006</v>
      </c>
      <c r="P306" s="450">
        <v>77.53</v>
      </c>
      <c r="Q306" s="450">
        <v>77.680000000000007</v>
      </c>
      <c r="R306" s="450">
        <v>77.77</v>
      </c>
      <c r="S306" s="450">
        <v>77.83</v>
      </c>
      <c r="T306" s="133"/>
      <c r="U306" s="134">
        <v>49</v>
      </c>
      <c r="V306" s="450">
        <v>76.64</v>
      </c>
      <c r="W306" s="450">
        <v>76.73</v>
      </c>
      <c r="X306" s="450">
        <v>76.83</v>
      </c>
      <c r="Y306" s="450">
        <v>76.92</v>
      </c>
      <c r="Z306" s="450">
        <v>77.010000000000005</v>
      </c>
      <c r="AA306" s="450">
        <v>77.099999999999994</v>
      </c>
      <c r="AB306" s="450">
        <v>77.180000000000007</v>
      </c>
      <c r="AC306" s="450">
        <v>77.27</v>
      </c>
      <c r="AD306" s="450">
        <v>77.349999999999994</v>
      </c>
      <c r="AE306" s="450">
        <v>77.430000000000007</v>
      </c>
      <c r="AF306" s="450">
        <v>77.5</v>
      </c>
      <c r="AG306" s="450">
        <v>77.569999999999993</v>
      </c>
      <c r="AH306" s="450">
        <v>77.89</v>
      </c>
      <c r="AI306" s="450">
        <v>78.14</v>
      </c>
      <c r="AJ306" s="450">
        <v>78.290000000000006</v>
      </c>
      <c r="AK306" s="450">
        <v>78.400000000000006</v>
      </c>
      <c r="AL306" s="450">
        <v>78.459999999999994</v>
      </c>
      <c r="AM306" s="133"/>
      <c r="AN306" s="134">
        <v>49</v>
      </c>
      <c r="AO306" s="450">
        <v>77.45</v>
      </c>
      <c r="AP306" s="450">
        <v>77.55</v>
      </c>
      <c r="AQ306" s="450">
        <v>77.64</v>
      </c>
      <c r="AR306" s="450">
        <v>77.739999999999995</v>
      </c>
      <c r="AS306" s="450">
        <v>77.83</v>
      </c>
      <c r="AT306" s="450">
        <v>77.92</v>
      </c>
      <c r="AU306" s="450">
        <v>78.010000000000005</v>
      </c>
      <c r="AV306" s="450">
        <v>78.099999999999994</v>
      </c>
      <c r="AW306" s="450">
        <v>78.180000000000007</v>
      </c>
      <c r="AX306" s="450">
        <v>78.260000000000005</v>
      </c>
      <c r="AY306" s="450">
        <v>78.34</v>
      </c>
      <c r="AZ306" s="450">
        <v>78.42</v>
      </c>
      <c r="BA306" s="450">
        <v>78.75</v>
      </c>
      <c r="BB306" s="450">
        <v>79</v>
      </c>
      <c r="BC306" s="450">
        <v>79.17</v>
      </c>
      <c r="BD306" s="450">
        <v>79.27</v>
      </c>
      <c r="BE306" s="450">
        <v>79.34</v>
      </c>
    </row>
    <row r="307" spans="2:57" x14ac:dyDescent="0.25">
      <c r="B307" s="134">
        <v>50</v>
      </c>
      <c r="C307" s="450">
        <v>76.27</v>
      </c>
      <c r="D307" s="450">
        <v>76.37</v>
      </c>
      <c r="E307" s="450">
        <v>76.459999999999994</v>
      </c>
      <c r="F307" s="450">
        <v>76.56</v>
      </c>
      <c r="G307" s="450">
        <v>76.650000000000006</v>
      </c>
      <c r="H307" s="450">
        <v>76.73</v>
      </c>
      <c r="I307" s="450">
        <v>76.819999999999993</v>
      </c>
      <c r="J307" s="450">
        <v>76.900000000000006</v>
      </c>
      <c r="K307" s="450">
        <v>76.98</v>
      </c>
      <c r="L307" s="450">
        <v>77.06</v>
      </c>
      <c r="M307" s="450">
        <v>77.13</v>
      </c>
      <c r="N307" s="450">
        <v>77.209999999999994</v>
      </c>
      <c r="O307" s="450">
        <v>77.52</v>
      </c>
      <c r="P307" s="450">
        <v>77.760000000000005</v>
      </c>
      <c r="Q307" s="450">
        <v>77.91</v>
      </c>
      <c r="R307" s="450">
        <v>78</v>
      </c>
      <c r="S307" s="450">
        <v>78.05</v>
      </c>
      <c r="T307" s="133"/>
      <c r="U307" s="134">
        <v>50</v>
      </c>
      <c r="V307" s="450">
        <v>76.84</v>
      </c>
      <c r="W307" s="450">
        <v>76.94</v>
      </c>
      <c r="X307" s="450">
        <v>77.040000000000006</v>
      </c>
      <c r="Y307" s="450">
        <v>77.13</v>
      </c>
      <c r="Z307" s="450">
        <v>77.22</v>
      </c>
      <c r="AA307" s="450">
        <v>77.31</v>
      </c>
      <c r="AB307" s="450">
        <v>77.400000000000006</v>
      </c>
      <c r="AC307" s="450">
        <v>77.489999999999995</v>
      </c>
      <c r="AD307" s="450">
        <v>77.569999999999993</v>
      </c>
      <c r="AE307" s="450">
        <v>77.650000000000006</v>
      </c>
      <c r="AF307" s="450">
        <v>77.73</v>
      </c>
      <c r="AG307" s="450">
        <v>77.8</v>
      </c>
      <c r="AH307" s="450">
        <v>78.13</v>
      </c>
      <c r="AI307" s="450">
        <v>78.37</v>
      </c>
      <c r="AJ307" s="450">
        <v>78.53</v>
      </c>
      <c r="AK307" s="450">
        <v>78.63</v>
      </c>
      <c r="AL307" s="450">
        <v>78.69</v>
      </c>
      <c r="AM307" s="133"/>
      <c r="AN307" s="134">
        <v>50</v>
      </c>
      <c r="AO307" s="450">
        <v>77.650000000000006</v>
      </c>
      <c r="AP307" s="450">
        <v>77.760000000000005</v>
      </c>
      <c r="AQ307" s="450">
        <v>77.86</v>
      </c>
      <c r="AR307" s="450">
        <v>77.959999999999994</v>
      </c>
      <c r="AS307" s="450">
        <v>78.05</v>
      </c>
      <c r="AT307" s="450">
        <v>78.150000000000006</v>
      </c>
      <c r="AU307" s="450">
        <v>78.239999999999995</v>
      </c>
      <c r="AV307" s="450">
        <v>78.33</v>
      </c>
      <c r="AW307" s="450">
        <v>78.41</v>
      </c>
      <c r="AX307" s="450">
        <v>78.489999999999995</v>
      </c>
      <c r="AY307" s="450">
        <v>78.569999999999993</v>
      </c>
      <c r="AZ307" s="450">
        <v>78.650000000000006</v>
      </c>
      <c r="BA307" s="450">
        <v>78.989999999999995</v>
      </c>
      <c r="BB307" s="450">
        <v>79.25</v>
      </c>
      <c r="BC307" s="450">
        <v>79.41</v>
      </c>
      <c r="BD307" s="450">
        <v>79.52</v>
      </c>
      <c r="BE307" s="450">
        <v>79.58</v>
      </c>
    </row>
    <row r="308" spans="2:57" x14ac:dyDescent="0.25">
      <c r="B308" s="134">
        <v>51</v>
      </c>
      <c r="C308" s="450">
        <v>76.47</v>
      </c>
      <c r="D308" s="450">
        <v>76.569999999999993</v>
      </c>
      <c r="E308" s="450">
        <v>76.67</v>
      </c>
      <c r="F308" s="450">
        <v>76.760000000000005</v>
      </c>
      <c r="G308" s="450">
        <v>76.86</v>
      </c>
      <c r="H308" s="450">
        <v>76.95</v>
      </c>
      <c r="I308" s="450">
        <v>77.03</v>
      </c>
      <c r="J308" s="450">
        <v>77.12</v>
      </c>
      <c r="K308" s="450">
        <v>77.2</v>
      </c>
      <c r="L308" s="450">
        <v>77.28</v>
      </c>
      <c r="M308" s="450">
        <v>77.36</v>
      </c>
      <c r="N308" s="450">
        <v>77.430000000000007</v>
      </c>
      <c r="O308" s="450">
        <v>77.75</v>
      </c>
      <c r="P308" s="450">
        <v>77.989999999999995</v>
      </c>
      <c r="Q308" s="450">
        <v>78.14</v>
      </c>
      <c r="R308" s="450">
        <v>78.23</v>
      </c>
      <c r="S308" s="450">
        <v>78.28</v>
      </c>
      <c r="T308" s="133"/>
      <c r="U308" s="134">
        <v>51</v>
      </c>
      <c r="V308" s="450">
        <v>77.05</v>
      </c>
      <c r="W308" s="450">
        <v>77.150000000000006</v>
      </c>
      <c r="X308" s="450">
        <v>77.25</v>
      </c>
      <c r="Y308" s="450">
        <v>77.34</v>
      </c>
      <c r="Z308" s="450">
        <v>77.44</v>
      </c>
      <c r="AA308" s="450">
        <v>77.53</v>
      </c>
      <c r="AB308" s="450">
        <v>77.62</v>
      </c>
      <c r="AC308" s="450">
        <v>77.709999999999994</v>
      </c>
      <c r="AD308" s="450">
        <v>77.8</v>
      </c>
      <c r="AE308" s="450">
        <v>77.88</v>
      </c>
      <c r="AF308" s="450">
        <v>77.959999999999994</v>
      </c>
      <c r="AG308" s="450">
        <v>78.03</v>
      </c>
      <c r="AH308" s="450">
        <v>78.37</v>
      </c>
      <c r="AI308" s="450">
        <v>78.61</v>
      </c>
      <c r="AJ308" s="450">
        <v>78.77</v>
      </c>
      <c r="AK308" s="450">
        <v>78.87</v>
      </c>
      <c r="AL308" s="450">
        <v>78.92</v>
      </c>
      <c r="AM308" s="133"/>
      <c r="AN308" s="134">
        <v>51</v>
      </c>
      <c r="AO308" s="450">
        <v>77.87</v>
      </c>
      <c r="AP308" s="450">
        <v>77.97</v>
      </c>
      <c r="AQ308" s="450">
        <v>78.08</v>
      </c>
      <c r="AR308" s="450">
        <v>78.180000000000007</v>
      </c>
      <c r="AS308" s="450">
        <v>78.28</v>
      </c>
      <c r="AT308" s="450">
        <v>78.37</v>
      </c>
      <c r="AU308" s="450">
        <v>78.47</v>
      </c>
      <c r="AV308" s="450">
        <v>78.56</v>
      </c>
      <c r="AW308" s="450">
        <v>78.650000000000006</v>
      </c>
      <c r="AX308" s="450">
        <v>78.73</v>
      </c>
      <c r="AY308" s="450">
        <v>78.81</v>
      </c>
      <c r="AZ308" s="450">
        <v>78.89</v>
      </c>
      <c r="BA308" s="450">
        <v>79.239999999999995</v>
      </c>
      <c r="BB308" s="450">
        <v>79.5</v>
      </c>
      <c r="BC308" s="450">
        <v>79.66</v>
      </c>
      <c r="BD308" s="450">
        <v>79.77</v>
      </c>
      <c r="BE308" s="450">
        <v>79.819999999999993</v>
      </c>
    </row>
    <row r="309" spans="2:57" x14ac:dyDescent="0.25">
      <c r="B309" s="134">
        <v>52</v>
      </c>
      <c r="C309" s="450">
        <v>76.680000000000007</v>
      </c>
      <c r="D309" s="450">
        <v>76.78</v>
      </c>
      <c r="E309" s="450">
        <v>76.88</v>
      </c>
      <c r="F309" s="450">
        <v>76.98</v>
      </c>
      <c r="G309" s="450">
        <v>77.069999999999993</v>
      </c>
      <c r="H309" s="450">
        <v>77.17</v>
      </c>
      <c r="I309" s="450">
        <v>77.260000000000005</v>
      </c>
      <c r="J309" s="450">
        <v>77.34</v>
      </c>
      <c r="K309" s="450">
        <v>77.430000000000007</v>
      </c>
      <c r="L309" s="450">
        <v>77.510000000000005</v>
      </c>
      <c r="M309" s="450">
        <v>77.59</v>
      </c>
      <c r="N309" s="450">
        <v>77.66</v>
      </c>
      <c r="O309" s="450">
        <v>77.989999999999995</v>
      </c>
      <c r="P309" s="450">
        <v>78.23</v>
      </c>
      <c r="Q309" s="450">
        <v>78.38</v>
      </c>
      <c r="R309" s="450">
        <v>78.47</v>
      </c>
      <c r="S309" s="450">
        <v>78.510000000000005</v>
      </c>
      <c r="T309" s="133"/>
      <c r="U309" s="134">
        <v>52</v>
      </c>
      <c r="V309" s="450">
        <v>77.260000000000005</v>
      </c>
      <c r="W309" s="450">
        <v>77.36</v>
      </c>
      <c r="X309" s="450">
        <v>77.459999999999994</v>
      </c>
      <c r="Y309" s="450">
        <v>77.56</v>
      </c>
      <c r="Z309" s="450">
        <v>77.66</v>
      </c>
      <c r="AA309" s="450">
        <v>77.760000000000005</v>
      </c>
      <c r="AB309" s="450">
        <v>77.849999999999994</v>
      </c>
      <c r="AC309" s="450">
        <v>77.94</v>
      </c>
      <c r="AD309" s="450">
        <v>78.03</v>
      </c>
      <c r="AE309" s="450">
        <v>78.11</v>
      </c>
      <c r="AF309" s="450">
        <v>78.19</v>
      </c>
      <c r="AG309" s="450">
        <v>78.27</v>
      </c>
      <c r="AH309" s="450">
        <v>78.62</v>
      </c>
      <c r="AI309" s="450">
        <v>78.86</v>
      </c>
      <c r="AJ309" s="450">
        <v>79.02</v>
      </c>
      <c r="AK309" s="450">
        <v>79.12</v>
      </c>
      <c r="AL309" s="450">
        <v>79.17</v>
      </c>
      <c r="AM309" s="133"/>
      <c r="AN309" s="134">
        <v>52</v>
      </c>
      <c r="AO309" s="450">
        <v>78.09</v>
      </c>
      <c r="AP309" s="450">
        <v>78.2</v>
      </c>
      <c r="AQ309" s="450">
        <v>78.3</v>
      </c>
      <c r="AR309" s="450">
        <v>78.41</v>
      </c>
      <c r="AS309" s="450">
        <v>78.510000000000005</v>
      </c>
      <c r="AT309" s="450">
        <v>78.61</v>
      </c>
      <c r="AU309" s="450">
        <v>78.7</v>
      </c>
      <c r="AV309" s="450">
        <v>78.8</v>
      </c>
      <c r="AW309" s="450">
        <v>78.89</v>
      </c>
      <c r="AX309" s="450">
        <v>78.98</v>
      </c>
      <c r="AY309" s="450">
        <v>79.06</v>
      </c>
      <c r="AZ309" s="450">
        <v>79.14</v>
      </c>
      <c r="BA309" s="450">
        <v>79.5</v>
      </c>
      <c r="BB309" s="450">
        <v>79.760000000000005</v>
      </c>
      <c r="BC309" s="450">
        <v>79.92</v>
      </c>
      <c r="BD309" s="450">
        <v>80.02</v>
      </c>
      <c r="BE309" s="450">
        <v>80.069999999999993</v>
      </c>
    </row>
    <row r="310" spans="2:57" x14ac:dyDescent="0.25">
      <c r="B310" s="134">
        <v>53</v>
      </c>
      <c r="C310" s="450">
        <v>76.89</v>
      </c>
      <c r="D310" s="450">
        <v>77</v>
      </c>
      <c r="E310" s="450">
        <v>77.099999999999994</v>
      </c>
      <c r="F310" s="450">
        <v>77.2</v>
      </c>
      <c r="G310" s="450">
        <v>77.3</v>
      </c>
      <c r="H310" s="450">
        <v>77.39</v>
      </c>
      <c r="I310" s="450">
        <v>77.48</v>
      </c>
      <c r="J310" s="450">
        <v>77.569999999999993</v>
      </c>
      <c r="K310" s="450">
        <v>77.66</v>
      </c>
      <c r="L310" s="450">
        <v>77.75</v>
      </c>
      <c r="M310" s="450">
        <v>77.83</v>
      </c>
      <c r="N310" s="450">
        <v>77.900000000000006</v>
      </c>
      <c r="O310" s="450">
        <v>78.239999999999995</v>
      </c>
      <c r="P310" s="450">
        <v>78.47</v>
      </c>
      <c r="Q310" s="450">
        <v>78.62</v>
      </c>
      <c r="R310" s="450">
        <v>78.709999999999994</v>
      </c>
      <c r="S310" s="450">
        <v>78.75</v>
      </c>
      <c r="T310" s="133"/>
      <c r="U310" s="134">
        <v>53</v>
      </c>
      <c r="V310" s="450">
        <v>77.47</v>
      </c>
      <c r="W310" s="450">
        <v>77.58</v>
      </c>
      <c r="X310" s="450">
        <v>77.69</v>
      </c>
      <c r="Y310" s="450">
        <v>77.790000000000006</v>
      </c>
      <c r="Z310" s="450">
        <v>77.89</v>
      </c>
      <c r="AA310" s="450">
        <v>77.989999999999995</v>
      </c>
      <c r="AB310" s="450">
        <v>78.09</v>
      </c>
      <c r="AC310" s="450">
        <v>78.180000000000007</v>
      </c>
      <c r="AD310" s="450">
        <v>78.27</v>
      </c>
      <c r="AE310" s="450">
        <v>78.36</v>
      </c>
      <c r="AF310" s="450">
        <v>78.44</v>
      </c>
      <c r="AG310" s="450">
        <v>78.52</v>
      </c>
      <c r="AH310" s="450">
        <v>78.87</v>
      </c>
      <c r="AI310" s="450">
        <v>79.11</v>
      </c>
      <c r="AJ310" s="450">
        <v>79.27</v>
      </c>
      <c r="AK310" s="450">
        <v>79.37</v>
      </c>
      <c r="AL310" s="450">
        <v>79.41</v>
      </c>
      <c r="AM310" s="133"/>
      <c r="AN310" s="134">
        <v>53</v>
      </c>
      <c r="AO310" s="450">
        <v>78.31</v>
      </c>
      <c r="AP310" s="450">
        <v>78.430000000000007</v>
      </c>
      <c r="AQ310" s="450">
        <v>78.53</v>
      </c>
      <c r="AR310" s="450">
        <v>78.64</v>
      </c>
      <c r="AS310" s="450">
        <v>78.75</v>
      </c>
      <c r="AT310" s="450">
        <v>78.849999999999994</v>
      </c>
      <c r="AU310" s="450">
        <v>78.95</v>
      </c>
      <c r="AV310" s="450">
        <v>79.040000000000006</v>
      </c>
      <c r="AW310" s="450">
        <v>79.14</v>
      </c>
      <c r="AX310" s="450">
        <v>79.23</v>
      </c>
      <c r="AY310" s="450">
        <v>79.319999999999993</v>
      </c>
      <c r="AZ310" s="450">
        <v>79.400000000000006</v>
      </c>
      <c r="BA310" s="450">
        <v>79.77</v>
      </c>
      <c r="BB310" s="450">
        <v>80.02</v>
      </c>
      <c r="BC310" s="450">
        <v>80.180000000000007</v>
      </c>
      <c r="BD310" s="450">
        <v>80.28</v>
      </c>
      <c r="BE310" s="450">
        <v>80.33</v>
      </c>
    </row>
    <row r="311" spans="2:57" x14ac:dyDescent="0.25">
      <c r="B311" s="134">
        <v>54</v>
      </c>
      <c r="C311" s="450">
        <v>77.11</v>
      </c>
      <c r="D311" s="450">
        <v>77.22</v>
      </c>
      <c r="E311" s="450">
        <v>77.319999999999993</v>
      </c>
      <c r="F311" s="450">
        <v>77.42</v>
      </c>
      <c r="G311" s="450">
        <v>77.52</v>
      </c>
      <c r="H311" s="450">
        <v>77.62</v>
      </c>
      <c r="I311" s="450">
        <v>77.72</v>
      </c>
      <c r="J311" s="450">
        <v>77.81</v>
      </c>
      <c r="K311" s="450">
        <v>77.900000000000006</v>
      </c>
      <c r="L311" s="450">
        <v>77.989999999999995</v>
      </c>
      <c r="M311" s="450">
        <v>78.069999999999993</v>
      </c>
      <c r="N311" s="450">
        <v>78.150000000000006</v>
      </c>
      <c r="O311" s="450">
        <v>78.489999999999995</v>
      </c>
      <c r="P311" s="450">
        <v>78.72</v>
      </c>
      <c r="Q311" s="450">
        <v>78.87</v>
      </c>
      <c r="R311" s="450">
        <v>78.959999999999994</v>
      </c>
      <c r="S311" s="450">
        <v>78.989999999999995</v>
      </c>
      <c r="T311" s="133"/>
      <c r="U311" s="134">
        <v>54</v>
      </c>
      <c r="V311" s="450">
        <v>77.7</v>
      </c>
      <c r="W311" s="450">
        <v>77.81</v>
      </c>
      <c r="X311" s="450">
        <v>77.92</v>
      </c>
      <c r="Y311" s="450">
        <v>78.02</v>
      </c>
      <c r="Z311" s="450">
        <v>78.13</v>
      </c>
      <c r="AA311" s="450">
        <v>78.23</v>
      </c>
      <c r="AB311" s="450">
        <v>78.33</v>
      </c>
      <c r="AC311" s="450">
        <v>78.42</v>
      </c>
      <c r="AD311" s="450">
        <v>78.52</v>
      </c>
      <c r="AE311" s="450">
        <v>78.61</v>
      </c>
      <c r="AF311" s="450">
        <v>78.69</v>
      </c>
      <c r="AG311" s="450">
        <v>78.78</v>
      </c>
      <c r="AH311" s="450">
        <v>79.13</v>
      </c>
      <c r="AI311" s="450">
        <v>79.37</v>
      </c>
      <c r="AJ311" s="450">
        <v>79.53</v>
      </c>
      <c r="AK311" s="450">
        <v>79.63</v>
      </c>
      <c r="AL311" s="450">
        <v>79.67</v>
      </c>
      <c r="AM311" s="133"/>
      <c r="AN311" s="134">
        <v>54</v>
      </c>
      <c r="AO311" s="450">
        <v>78.55</v>
      </c>
      <c r="AP311" s="450">
        <v>78.66</v>
      </c>
      <c r="AQ311" s="450">
        <v>78.77</v>
      </c>
      <c r="AR311" s="450">
        <v>78.88</v>
      </c>
      <c r="AS311" s="450">
        <v>78.989999999999995</v>
      </c>
      <c r="AT311" s="450">
        <v>79.099999999999994</v>
      </c>
      <c r="AU311" s="450">
        <v>79.2</v>
      </c>
      <c r="AV311" s="450">
        <v>79.3</v>
      </c>
      <c r="AW311" s="450">
        <v>79.400000000000006</v>
      </c>
      <c r="AX311" s="450">
        <v>79.489999999999995</v>
      </c>
      <c r="AY311" s="450">
        <v>79.58</v>
      </c>
      <c r="AZ311" s="450">
        <v>79.67</v>
      </c>
      <c r="BA311" s="450">
        <v>80.040000000000006</v>
      </c>
      <c r="BB311" s="450">
        <v>80.290000000000006</v>
      </c>
      <c r="BC311" s="450">
        <v>80.459999999999994</v>
      </c>
      <c r="BD311" s="450">
        <v>80.55</v>
      </c>
      <c r="BE311" s="450">
        <v>80.59</v>
      </c>
    </row>
    <row r="312" spans="2:57" x14ac:dyDescent="0.25">
      <c r="B312" s="134">
        <v>55</v>
      </c>
      <c r="C312" s="450">
        <v>77.33</v>
      </c>
      <c r="D312" s="450">
        <v>77.44</v>
      </c>
      <c r="E312" s="450">
        <v>77.55</v>
      </c>
      <c r="F312" s="450">
        <v>77.66</v>
      </c>
      <c r="G312" s="450">
        <v>77.760000000000005</v>
      </c>
      <c r="H312" s="450">
        <v>77.86</v>
      </c>
      <c r="I312" s="450">
        <v>77.959999999999994</v>
      </c>
      <c r="J312" s="450">
        <v>78.06</v>
      </c>
      <c r="K312" s="450">
        <v>78.150000000000006</v>
      </c>
      <c r="L312" s="450">
        <v>78.239999999999995</v>
      </c>
      <c r="M312" s="450">
        <v>78.319999999999993</v>
      </c>
      <c r="N312" s="450">
        <v>78.400000000000006</v>
      </c>
      <c r="O312" s="450">
        <v>78.75</v>
      </c>
      <c r="P312" s="450">
        <v>78.98</v>
      </c>
      <c r="Q312" s="450">
        <v>79.13</v>
      </c>
      <c r="R312" s="450">
        <v>79.209999999999994</v>
      </c>
      <c r="S312" s="450">
        <v>79.25</v>
      </c>
      <c r="T312" s="133"/>
      <c r="U312" s="134">
        <v>55</v>
      </c>
      <c r="V312" s="450">
        <v>77.930000000000007</v>
      </c>
      <c r="W312" s="450">
        <v>78.040000000000006</v>
      </c>
      <c r="X312" s="450">
        <v>78.150000000000006</v>
      </c>
      <c r="Y312" s="450">
        <v>78.260000000000005</v>
      </c>
      <c r="Z312" s="450">
        <v>78.37</v>
      </c>
      <c r="AA312" s="450">
        <v>78.48</v>
      </c>
      <c r="AB312" s="450">
        <v>78.58</v>
      </c>
      <c r="AC312" s="450">
        <v>78.680000000000007</v>
      </c>
      <c r="AD312" s="450">
        <v>78.77</v>
      </c>
      <c r="AE312" s="450">
        <v>78.86</v>
      </c>
      <c r="AF312" s="450">
        <v>78.95</v>
      </c>
      <c r="AG312" s="450">
        <v>79.040000000000006</v>
      </c>
      <c r="AH312" s="450">
        <v>79.400000000000006</v>
      </c>
      <c r="AI312" s="450">
        <v>79.64</v>
      </c>
      <c r="AJ312" s="450">
        <v>79.8</v>
      </c>
      <c r="AK312" s="450">
        <v>79.89</v>
      </c>
      <c r="AL312" s="450">
        <v>79.930000000000007</v>
      </c>
      <c r="AM312" s="133"/>
      <c r="AN312" s="134">
        <v>55</v>
      </c>
      <c r="AO312" s="450">
        <v>78.78</v>
      </c>
      <c r="AP312" s="450">
        <v>78.900000000000006</v>
      </c>
      <c r="AQ312" s="450">
        <v>79.02</v>
      </c>
      <c r="AR312" s="450">
        <v>79.13</v>
      </c>
      <c r="AS312" s="450">
        <v>79.239999999999995</v>
      </c>
      <c r="AT312" s="450">
        <v>79.349999999999994</v>
      </c>
      <c r="AU312" s="450">
        <v>79.459999999999994</v>
      </c>
      <c r="AV312" s="450">
        <v>79.56</v>
      </c>
      <c r="AW312" s="450">
        <v>79.66</v>
      </c>
      <c r="AX312" s="450">
        <v>79.760000000000005</v>
      </c>
      <c r="AY312" s="450">
        <v>79.849999999999994</v>
      </c>
      <c r="AZ312" s="450">
        <v>79.94</v>
      </c>
      <c r="BA312" s="450">
        <v>80.319999999999993</v>
      </c>
      <c r="BB312" s="450">
        <v>80.569999999999993</v>
      </c>
      <c r="BC312" s="450">
        <v>80.739999999999995</v>
      </c>
      <c r="BD312" s="450">
        <v>80.83</v>
      </c>
      <c r="BE312" s="450">
        <v>80.86</v>
      </c>
    </row>
    <row r="313" spans="2:57" x14ac:dyDescent="0.25">
      <c r="B313" s="134">
        <v>56</v>
      </c>
      <c r="C313" s="450">
        <v>77.56</v>
      </c>
      <c r="D313" s="450">
        <v>77.67</v>
      </c>
      <c r="E313" s="450">
        <v>77.790000000000006</v>
      </c>
      <c r="F313" s="450">
        <v>77.900000000000006</v>
      </c>
      <c r="G313" s="450">
        <v>78</v>
      </c>
      <c r="H313" s="450">
        <v>78.11</v>
      </c>
      <c r="I313" s="450">
        <v>78.209999999999994</v>
      </c>
      <c r="J313" s="450">
        <v>78.31</v>
      </c>
      <c r="K313" s="450">
        <v>78.400000000000006</v>
      </c>
      <c r="L313" s="450">
        <v>78.5</v>
      </c>
      <c r="M313" s="450">
        <v>78.58</v>
      </c>
      <c r="N313" s="450">
        <v>78.67</v>
      </c>
      <c r="O313" s="450">
        <v>79.02</v>
      </c>
      <c r="P313" s="450">
        <v>79.25</v>
      </c>
      <c r="Q313" s="450">
        <v>79.400000000000006</v>
      </c>
      <c r="R313" s="450">
        <v>79.48</v>
      </c>
      <c r="S313" s="450">
        <v>79.510000000000005</v>
      </c>
      <c r="T313" s="133"/>
      <c r="U313" s="134">
        <v>56</v>
      </c>
      <c r="V313" s="450">
        <v>78.16</v>
      </c>
      <c r="W313" s="450">
        <v>78.28</v>
      </c>
      <c r="X313" s="450">
        <v>78.400000000000006</v>
      </c>
      <c r="Y313" s="450">
        <v>78.510000000000005</v>
      </c>
      <c r="Z313" s="450">
        <v>78.62</v>
      </c>
      <c r="AA313" s="450">
        <v>78.73</v>
      </c>
      <c r="AB313" s="450">
        <v>78.84</v>
      </c>
      <c r="AC313" s="450">
        <v>78.94</v>
      </c>
      <c r="AD313" s="450">
        <v>79.040000000000006</v>
      </c>
      <c r="AE313" s="450">
        <v>79.13</v>
      </c>
      <c r="AF313" s="450">
        <v>79.22</v>
      </c>
      <c r="AG313" s="450">
        <v>79.31</v>
      </c>
      <c r="AH313" s="450">
        <v>79.680000000000007</v>
      </c>
      <c r="AI313" s="450">
        <v>79.92</v>
      </c>
      <c r="AJ313" s="450">
        <v>80.08</v>
      </c>
      <c r="AK313" s="450">
        <v>80.17</v>
      </c>
      <c r="AL313" s="450">
        <v>80.209999999999994</v>
      </c>
      <c r="AM313" s="133"/>
      <c r="AN313" s="134">
        <v>56</v>
      </c>
      <c r="AO313" s="450">
        <v>79.03</v>
      </c>
      <c r="AP313" s="450">
        <v>79.150000000000006</v>
      </c>
      <c r="AQ313" s="450">
        <v>79.27</v>
      </c>
      <c r="AR313" s="450">
        <v>79.39</v>
      </c>
      <c r="AS313" s="450">
        <v>79.510000000000005</v>
      </c>
      <c r="AT313" s="450">
        <v>79.62</v>
      </c>
      <c r="AU313" s="450">
        <v>79.73</v>
      </c>
      <c r="AV313" s="450">
        <v>79.83</v>
      </c>
      <c r="AW313" s="450">
        <v>79.94</v>
      </c>
      <c r="AX313" s="450">
        <v>80.040000000000006</v>
      </c>
      <c r="AY313" s="450">
        <v>80.13</v>
      </c>
      <c r="AZ313" s="450">
        <v>80.22</v>
      </c>
      <c r="BA313" s="450">
        <v>80.61</v>
      </c>
      <c r="BB313" s="450">
        <v>80.86</v>
      </c>
      <c r="BC313" s="450">
        <v>81.03</v>
      </c>
      <c r="BD313" s="450">
        <v>81.12</v>
      </c>
      <c r="BE313" s="450">
        <v>81.150000000000006</v>
      </c>
    </row>
    <row r="314" spans="2:57" x14ac:dyDescent="0.25">
      <c r="B314" s="134">
        <v>57</v>
      </c>
      <c r="C314" s="450">
        <v>77.8</v>
      </c>
      <c r="D314" s="450">
        <v>77.92</v>
      </c>
      <c r="E314" s="450">
        <v>78.03</v>
      </c>
      <c r="F314" s="450">
        <v>78.14</v>
      </c>
      <c r="G314" s="450">
        <v>78.260000000000005</v>
      </c>
      <c r="H314" s="450">
        <v>78.36</v>
      </c>
      <c r="I314" s="450">
        <v>78.47</v>
      </c>
      <c r="J314" s="450">
        <v>78.569999999999993</v>
      </c>
      <c r="K314" s="450">
        <v>78.67</v>
      </c>
      <c r="L314" s="450">
        <v>78.760000000000005</v>
      </c>
      <c r="M314" s="450">
        <v>78.849999999999994</v>
      </c>
      <c r="N314" s="450">
        <v>78.94</v>
      </c>
      <c r="O314" s="450">
        <v>79.290000000000006</v>
      </c>
      <c r="P314" s="450">
        <v>79.53</v>
      </c>
      <c r="Q314" s="450">
        <v>79.680000000000007</v>
      </c>
      <c r="R314" s="450">
        <v>79.760000000000005</v>
      </c>
      <c r="S314" s="450">
        <v>79.790000000000006</v>
      </c>
      <c r="T314" s="133"/>
      <c r="U314" s="134">
        <v>57</v>
      </c>
      <c r="V314" s="450">
        <v>78.41</v>
      </c>
      <c r="W314" s="450">
        <v>78.53</v>
      </c>
      <c r="X314" s="450">
        <v>78.650000000000006</v>
      </c>
      <c r="Y314" s="450">
        <v>78.77</v>
      </c>
      <c r="Z314" s="450">
        <v>78.88</v>
      </c>
      <c r="AA314" s="450">
        <v>78.989999999999995</v>
      </c>
      <c r="AB314" s="450">
        <v>79.099999999999994</v>
      </c>
      <c r="AC314" s="450">
        <v>79.209999999999994</v>
      </c>
      <c r="AD314" s="450">
        <v>79.31</v>
      </c>
      <c r="AE314" s="450">
        <v>79.41</v>
      </c>
      <c r="AF314" s="450">
        <v>79.5</v>
      </c>
      <c r="AG314" s="450">
        <v>79.59</v>
      </c>
      <c r="AH314" s="450">
        <v>79.959999999999994</v>
      </c>
      <c r="AI314" s="450">
        <v>80.209999999999994</v>
      </c>
      <c r="AJ314" s="450">
        <v>80.38</v>
      </c>
      <c r="AK314" s="450">
        <v>80.459999999999994</v>
      </c>
      <c r="AL314" s="450">
        <v>80.5</v>
      </c>
      <c r="AM314" s="133"/>
      <c r="AN314" s="134">
        <v>57</v>
      </c>
      <c r="AO314" s="450">
        <v>79.28</v>
      </c>
      <c r="AP314" s="450">
        <v>79.41</v>
      </c>
      <c r="AQ314" s="450">
        <v>79.53</v>
      </c>
      <c r="AR314" s="450">
        <v>79.66</v>
      </c>
      <c r="AS314" s="450">
        <v>79.78</v>
      </c>
      <c r="AT314" s="450">
        <v>79.89</v>
      </c>
      <c r="AU314" s="450">
        <v>80.010000000000005</v>
      </c>
      <c r="AV314" s="450">
        <v>80.12</v>
      </c>
      <c r="AW314" s="450">
        <v>80.22</v>
      </c>
      <c r="AX314" s="450">
        <v>80.33</v>
      </c>
      <c r="AY314" s="450">
        <v>80.430000000000007</v>
      </c>
      <c r="AZ314" s="450">
        <v>80.52</v>
      </c>
      <c r="BA314" s="450">
        <v>80.91</v>
      </c>
      <c r="BB314" s="450">
        <v>81.17</v>
      </c>
      <c r="BC314" s="450">
        <v>81.34</v>
      </c>
      <c r="BD314" s="450">
        <v>81.42</v>
      </c>
      <c r="BE314" s="450">
        <v>81.45</v>
      </c>
    </row>
    <row r="315" spans="2:57" x14ac:dyDescent="0.25">
      <c r="B315" s="134">
        <v>58</v>
      </c>
      <c r="C315" s="450">
        <v>78.040000000000006</v>
      </c>
      <c r="D315" s="450">
        <v>78.16</v>
      </c>
      <c r="E315" s="450">
        <v>78.28</v>
      </c>
      <c r="F315" s="450">
        <v>78.400000000000006</v>
      </c>
      <c r="G315" s="450">
        <v>78.52</v>
      </c>
      <c r="H315" s="450">
        <v>78.63</v>
      </c>
      <c r="I315" s="450">
        <v>78.739999999999995</v>
      </c>
      <c r="J315" s="450">
        <v>78.84</v>
      </c>
      <c r="K315" s="450">
        <v>78.94</v>
      </c>
      <c r="L315" s="450">
        <v>79.040000000000006</v>
      </c>
      <c r="M315" s="450">
        <v>79.13</v>
      </c>
      <c r="N315" s="450">
        <v>79.22</v>
      </c>
      <c r="O315" s="450">
        <v>79.58</v>
      </c>
      <c r="P315" s="450">
        <v>79.819999999999993</v>
      </c>
      <c r="Q315" s="450">
        <v>79.97</v>
      </c>
      <c r="R315" s="450">
        <v>80.05</v>
      </c>
      <c r="S315" s="450">
        <v>80.08</v>
      </c>
      <c r="T315" s="133"/>
      <c r="U315" s="134">
        <v>58</v>
      </c>
      <c r="V315" s="450">
        <v>78.66</v>
      </c>
      <c r="W315" s="450">
        <v>78.790000000000006</v>
      </c>
      <c r="X315" s="450">
        <v>78.91</v>
      </c>
      <c r="Y315" s="450">
        <v>79.03</v>
      </c>
      <c r="Z315" s="450">
        <v>79.150000000000006</v>
      </c>
      <c r="AA315" s="450">
        <v>79.27</v>
      </c>
      <c r="AB315" s="450">
        <v>79.38</v>
      </c>
      <c r="AC315" s="450">
        <v>79.489999999999995</v>
      </c>
      <c r="AD315" s="450">
        <v>79.599999999999994</v>
      </c>
      <c r="AE315" s="450">
        <v>79.7</v>
      </c>
      <c r="AF315" s="450">
        <v>79.8</v>
      </c>
      <c r="AG315" s="450">
        <v>79.89</v>
      </c>
      <c r="AH315" s="450">
        <v>80.260000000000005</v>
      </c>
      <c r="AI315" s="450">
        <v>80.52</v>
      </c>
      <c r="AJ315" s="450">
        <v>80.680000000000007</v>
      </c>
      <c r="AK315" s="450">
        <v>80.77</v>
      </c>
      <c r="AL315" s="450">
        <v>80.8</v>
      </c>
      <c r="AM315" s="133"/>
      <c r="AN315" s="134">
        <v>58</v>
      </c>
      <c r="AO315" s="450">
        <v>79.55</v>
      </c>
      <c r="AP315" s="450">
        <v>79.680000000000007</v>
      </c>
      <c r="AQ315" s="450">
        <v>79.81</v>
      </c>
      <c r="AR315" s="450">
        <v>79.930000000000007</v>
      </c>
      <c r="AS315" s="450">
        <v>80.06</v>
      </c>
      <c r="AT315" s="450">
        <v>80.180000000000007</v>
      </c>
      <c r="AU315" s="450">
        <v>80.3</v>
      </c>
      <c r="AV315" s="450">
        <v>80.41</v>
      </c>
      <c r="AW315" s="450">
        <v>80.52</v>
      </c>
      <c r="AX315" s="450">
        <v>80.63</v>
      </c>
      <c r="AY315" s="450">
        <v>80.73</v>
      </c>
      <c r="AZ315" s="450">
        <v>80.83</v>
      </c>
      <c r="BA315" s="450">
        <v>81.22</v>
      </c>
      <c r="BB315" s="450">
        <v>81.489999999999995</v>
      </c>
      <c r="BC315" s="450">
        <v>81.66</v>
      </c>
      <c r="BD315" s="450">
        <v>81.739999999999995</v>
      </c>
      <c r="BE315" s="450">
        <v>81.77</v>
      </c>
    </row>
    <row r="316" spans="2:57" x14ac:dyDescent="0.25">
      <c r="B316" s="134">
        <v>59</v>
      </c>
      <c r="C316" s="450">
        <v>78.3</v>
      </c>
      <c r="D316" s="450">
        <v>78.42</v>
      </c>
      <c r="E316" s="450">
        <v>78.55</v>
      </c>
      <c r="F316" s="450">
        <v>78.67</v>
      </c>
      <c r="G316" s="450">
        <v>78.790000000000006</v>
      </c>
      <c r="H316" s="450">
        <v>78.900000000000006</v>
      </c>
      <c r="I316" s="450">
        <v>79.02</v>
      </c>
      <c r="J316" s="450">
        <v>79.13</v>
      </c>
      <c r="K316" s="450">
        <v>79.23</v>
      </c>
      <c r="L316" s="450">
        <v>79.33</v>
      </c>
      <c r="M316" s="450">
        <v>79.430000000000007</v>
      </c>
      <c r="N316" s="450">
        <v>79.52</v>
      </c>
      <c r="O316" s="450">
        <v>79.88</v>
      </c>
      <c r="P316" s="450">
        <v>80.13</v>
      </c>
      <c r="Q316" s="450">
        <v>80.28</v>
      </c>
      <c r="R316" s="450">
        <v>80.36</v>
      </c>
      <c r="S316" s="450">
        <v>80.39</v>
      </c>
      <c r="T316" s="133"/>
      <c r="U316" s="134">
        <v>59</v>
      </c>
      <c r="V316" s="450">
        <v>78.92</v>
      </c>
      <c r="W316" s="450">
        <v>79.06</v>
      </c>
      <c r="X316" s="450">
        <v>79.180000000000007</v>
      </c>
      <c r="Y316" s="450">
        <v>79.31</v>
      </c>
      <c r="Z316" s="450">
        <v>79.430000000000007</v>
      </c>
      <c r="AA316" s="450">
        <v>79.55</v>
      </c>
      <c r="AB316" s="450">
        <v>79.67</v>
      </c>
      <c r="AC316" s="450">
        <v>79.790000000000006</v>
      </c>
      <c r="AD316" s="450">
        <v>79.89</v>
      </c>
      <c r="AE316" s="450">
        <v>80</v>
      </c>
      <c r="AF316" s="450">
        <v>80.099999999999994</v>
      </c>
      <c r="AG316" s="450">
        <v>80.2</v>
      </c>
      <c r="AH316" s="450">
        <v>80.58</v>
      </c>
      <c r="AI316" s="450">
        <v>80.84</v>
      </c>
      <c r="AJ316" s="450">
        <v>81.010000000000005</v>
      </c>
      <c r="AK316" s="450">
        <v>81.09</v>
      </c>
      <c r="AL316" s="450">
        <v>81.12</v>
      </c>
      <c r="AM316" s="133"/>
      <c r="AN316" s="134">
        <v>59</v>
      </c>
      <c r="AO316" s="450">
        <v>79.819999999999993</v>
      </c>
      <c r="AP316" s="450">
        <v>79.959999999999994</v>
      </c>
      <c r="AQ316" s="450">
        <v>80.09</v>
      </c>
      <c r="AR316" s="450">
        <v>80.22</v>
      </c>
      <c r="AS316" s="450">
        <v>80.349999999999994</v>
      </c>
      <c r="AT316" s="450">
        <v>80.48</v>
      </c>
      <c r="AU316" s="450">
        <v>80.599999999999994</v>
      </c>
      <c r="AV316" s="450">
        <v>80.72</v>
      </c>
      <c r="AW316" s="450">
        <v>80.83</v>
      </c>
      <c r="AX316" s="450">
        <v>80.94</v>
      </c>
      <c r="AY316" s="450">
        <v>81.05</v>
      </c>
      <c r="AZ316" s="450">
        <v>81.150000000000006</v>
      </c>
      <c r="BA316" s="450">
        <v>81.55</v>
      </c>
      <c r="BB316" s="450">
        <v>81.819999999999993</v>
      </c>
      <c r="BC316" s="450">
        <v>81.99</v>
      </c>
      <c r="BD316" s="450">
        <v>82.08</v>
      </c>
      <c r="BE316" s="450">
        <v>82.1</v>
      </c>
    </row>
    <row r="317" spans="2:57" x14ac:dyDescent="0.25">
      <c r="B317" s="134">
        <v>60</v>
      </c>
      <c r="C317" s="450">
        <v>78.56</v>
      </c>
      <c r="D317" s="450">
        <v>78.69</v>
      </c>
      <c r="E317" s="450">
        <v>78.819999999999993</v>
      </c>
      <c r="F317" s="450">
        <v>78.95</v>
      </c>
      <c r="G317" s="450">
        <v>79.069999999999993</v>
      </c>
      <c r="H317" s="450">
        <v>79.19</v>
      </c>
      <c r="I317" s="450">
        <v>79.31</v>
      </c>
      <c r="J317" s="450">
        <v>79.42</v>
      </c>
      <c r="K317" s="450">
        <v>79.53</v>
      </c>
      <c r="L317" s="450">
        <v>79.63</v>
      </c>
      <c r="M317" s="450">
        <v>79.73</v>
      </c>
      <c r="N317" s="450">
        <v>79.83</v>
      </c>
      <c r="O317" s="450">
        <v>80.19</v>
      </c>
      <c r="P317" s="450">
        <v>80.45</v>
      </c>
      <c r="Q317" s="450">
        <v>80.61</v>
      </c>
      <c r="R317" s="450">
        <v>80.680000000000007</v>
      </c>
      <c r="S317" s="450">
        <v>80.7</v>
      </c>
      <c r="T317" s="133"/>
      <c r="U317" s="134">
        <v>60</v>
      </c>
      <c r="V317" s="450">
        <v>79.2</v>
      </c>
      <c r="W317" s="450">
        <v>79.33</v>
      </c>
      <c r="X317" s="450">
        <v>79.47</v>
      </c>
      <c r="Y317" s="450">
        <v>79.599999999999994</v>
      </c>
      <c r="Z317" s="450">
        <v>79.73</v>
      </c>
      <c r="AA317" s="450">
        <v>79.849999999999994</v>
      </c>
      <c r="AB317" s="450">
        <v>79.97</v>
      </c>
      <c r="AC317" s="450">
        <v>80.09</v>
      </c>
      <c r="AD317" s="450">
        <v>80.209999999999994</v>
      </c>
      <c r="AE317" s="450">
        <v>80.31</v>
      </c>
      <c r="AF317" s="450">
        <v>80.42</v>
      </c>
      <c r="AG317" s="450">
        <v>80.52</v>
      </c>
      <c r="AH317" s="450">
        <v>80.900000000000006</v>
      </c>
      <c r="AI317" s="450">
        <v>81.180000000000007</v>
      </c>
      <c r="AJ317" s="450">
        <v>81.349999999999994</v>
      </c>
      <c r="AK317" s="450">
        <v>81.430000000000007</v>
      </c>
      <c r="AL317" s="450">
        <v>81.459999999999994</v>
      </c>
      <c r="AM317" s="133"/>
      <c r="AN317" s="134">
        <v>60</v>
      </c>
      <c r="AO317" s="450">
        <v>80.099999999999994</v>
      </c>
      <c r="AP317" s="450">
        <v>80.25</v>
      </c>
      <c r="AQ317" s="450">
        <v>80.39</v>
      </c>
      <c r="AR317" s="450">
        <v>80.52</v>
      </c>
      <c r="AS317" s="450">
        <v>80.66</v>
      </c>
      <c r="AT317" s="450">
        <v>80.790000000000006</v>
      </c>
      <c r="AU317" s="450">
        <v>80.92</v>
      </c>
      <c r="AV317" s="450">
        <v>81.040000000000006</v>
      </c>
      <c r="AW317" s="450">
        <v>81.16</v>
      </c>
      <c r="AX317" s="450">
        <v>81.27</v>
      </c>
      <c r="AY317" s="450">
        <v>81.38</v>
      </c>
      <c r="AZ317" s="450">
        <v>81.48</v>
      </c>
      <c r="BA317" s="450">
        <v>81.89</v>
      </c>
      <c r="BB317" s="450">
        <v>82.17</v>
      </c>
      <c r="BC317" s="450">
        <v>82.34</v>
      </c>
      <c r="BD317" s="450">
        <v>82.43</v>
      </c>
      <c r="BE317" s="450">
        <v>82.45</v>
      </c>
    </row>
    <row r="318" spans="2:57" x14ac:dyDescent="0.25">
      <c r="B318" s="134">
        <v>61</v>
      </c>
      <c r="C318" s="450">
        <v>78.83</v>
      </c>
      <c r="D318" s="450">
        <v>78.97</v>
      </c>
      <c r="E318" s="450">
        <v>79.099999999999994</v>
      </c>
      <c r="F318" s="450">
        <v>79.239999999999995</v>
      </c>
      <c r="G318" s="450">
        <v>79.36</v>
      </c>
      <c r="H318" s="450">
        <v>79.489999999999995</v>
      </c>
      <c r="I318" s="450">
        <v>79.61</v>
      </c>
      <c r="J318" s="450">
        <v>79.73</v>
      </c>
      <c r="K318" s="450">
        <v>79.84</v>
      </c>
      <c r="L318" s="450">
        <v>79.95</v>
      </c>
      <c r="M318" s="450">
        <v>80.05</v>
      </c>
      <c r="N318" s="450">
        <v>80.14</v>
      </c>
      <c r="O318" s="450">
        <v>80.52</v>
      </c>
      <c r="P318" s="450">
        <v>80.78</v>
      </c>
      <c r="Q318" s="450">
        <v>80.94</v>
      </c>
      <c r="R318" s="450">
        <v>81.02</v>
      </c>
      <c r="S318" s="450">
        <v>81.040000000000006</v>
      </c>
      <c r="T318" s="133"/>
      <c r="U318" s="134">
        <v>61</v>
      </c>
      <c r="V318" s="450">
        <v>79.48</v>
      </c>
      <c r="W318" s="450">
        <v>79.62</v>
      </c>
      <c r="X318" s="450">
        <v>79.760000000000005</v>
      </c>
      <c r="Y318" s="450">
        <v>79.900000000000006</v>
      </c>
      <c r="Z318" s="450">
        <v>80.03</v>
      </c>
      <c r="AA318" s="450">
        <v>80.16</v>
      </c>
      <c r="AB318" s="450">
        <v>80.290000000000006</v>
      </c>
      <c r="AC318" s="450">
        <v>80.41</v>
      </c>
      <c r="AD318" s="450">
        <v>80.53</v>
      </c>
      <c r="AE318" s="450">
        <v>80.64</v>
      </c>
      <c r="AF318" s="450">
        <v>80.75</v>
      </c>
      <c r="AG318" s="450">
        <v>80.84</v>
      </c>
      <c r="AH318" s="450">
        <v>81.25</v>
      </c>
      <c r="AI318" s="450">
        <v>81.53</v>
      </c>
      <c r="AJ318" s="450">
        <v>81.7</v>
      </c>
      <c r="AK318" s="450">
        <v>81.78</v>
      </c>
      <c r="AL318" s="450">
        <v>81.81</v>
      </c>
      <c r="AM318" s="133"/>
      <c r="AN318" s="134">
        <v>61</v>
      </c>
      <c r="AO318" s="450">
        <v>80.400000000000006</v>
      </c>
      <c r="AP318" s="450">
        <v>80.55</v>
      </c>
      <c r="AQ318" s="450">
        <v>80.69</v>
      </c>
      <c r="AR318" s="450">
        <v>80.84</v>
      </c>
      <c r="AS318" s="450">
        <v>80.98</v>
      </c>
      <c r="AT318" s="450">
        <v>81.11</v>
      </c>
      <c r="AU318" s="450">
        <v>81.25</v>
      </c>
      <c r="AV318" s="450">
        <v>81.37</v>
      </c>
      <c r="AW318" s="450">
        <v>81.5</v>
      </c>
      <c r="AX318" s="450">
        <v>81.62</v>
      </c>
      <c r="AY318" s="450">
        <v>81.73</v>
      </c>
      <c r="AZ318" s="450">
        <v>81.83</v>
      </c>
      <c r="BA318" s="450">
        <v>82.25</v>
      </c>
      <c r="BB318" s="450">
        <v>82.54</v>
      </c>
      <c r="BC318" s="450">
        <v>82.71</v>
      </c>
      <c r="BD318" s="450">
        <v>82.79</v>
      </c>
      <c r="BE318" s="450">
        <v>82.81</v>
      </c>
    </row>
    <row r="319" spans="2:57" x14ac:dyDescent="0.25">
      <c r="B319" s="134">
        <v>62</v>
      </c>
      <c r="C319" s="450">
        <v>79.12</v>
      </c>
      <c r="D319" s="450">
        <v>79.260000000000005</v>
      </c>
      <c r="E319" s="450">
        <v>79.400000000000006</v>
      </c>
      <c r="F319" s="450">
        <v>79.540000000000006</v>
      </c>
      <c r="G319" s="450">
        <v>79.67</v>
      </c>
      <c r="H319" s="450">
        <v>79.8</v>
      </c>
      <c r="I319" s="450">
        <v>79.930000000000007</v>
      </c>
      <c r="J319" s="450">
        <v>80.05</v>
      </c>
      <c r="K319" s="450">
        <v>80.16</v>
      </c>
      <c r="L319" s="450">
        <v>80.28</v>
      </c>
      <c r="M319" s="450">
        <v>80.37</v>
      </c>
      <c r="N319" s="450">
        <v>80.47</v>
      </c>
      <c r="O319" s="450">
        <v>80.86</v>
      </c>
      <c r="P319" s="450">
        <v>81.13</v>
      </c>
      <c r="Q319" s="450">
        <v>81.290000000000006</v>
      </c>
      <c r="R319" s="450">
        <v>81.36</v>
      </c>
      <c r="S319" s="450">
        <v>81.37</v>
      </c>
      <c r="T319" s="133"/>
      <c r="U319" s="134">
        <v>62</v>
      </c>
      <c r="V319" s="450">
        <v>79.78</v>
      </c>
      <c r="W319" s="450">
        <v>79.930000000000007</v>
      </c>
      <c r="X319" s="450">
        <v>80.069999999999993</v>
      </c>
      <c r="Y319" s="450">
        <v>80.209999999999994</v>
      </c>
      <c r="Z319" s="450">
        <v>80.349999999999994</v>
      </c>
      <c r="AA319" s="450">
        <v>80.489999999999995</v>
      </c>
      <c r="AB319" s="450">
        <v>80.62</v>
      </c>
      <c r="AC319" s="450">
        <v>80.75</v>
      </c>
      <c r="AD319" s="450">
        <v>80.87</v>
      </c>
      <c r="AE319" s="450">
        <v>80.989999999999995</v>
      </c>
      <c r="AF319" s="450">
        <v>81.09</v>
      </c>
      <c r="AG319" s="450">
        <v>81.19</v>
      </c>
      <c r="AH319" s="450">
        <v>81.599999999999994</v>
      </c>
      <c r="AI319" s="450">
        <v>81.89</v>
      </c>
      <c r="AJ319" s="450">
        <v>82.06</v>
      </c>
      <c r="AK319" s="450">
        <v>82.14</v>
      </c>
      <c r="AL319" s="450">
        <v>82.17</v>
      </c>
      <c r="AM319" s="133"/>
      <c r="AN319" s="134">
        <v>62</v>
      </c>
      <c r="AO319" s="450">
        <v>80.709999999999994</v>
      </c>
      <c r="AP319" s="450">
        <v>80.86</v>
      </c>
      <c r="AQ319" s="450">
        <v>81.02</v>
      </c>
      <c r="AR319" s="450">
        <v>81.17</v>
      </c>
      <c r="AS319" s="450">
        <v>81.31</v>
      </c>
      <c r="AT319" s="450">
        <v>81.45</v>
      </c>
      <c r="AU319" s="450">
        <v>81.59</v>
      </c>
      <c r="AV319" s="450">
        <v>81.72</v>
      </c>
      <c r="AW319" s="450">
        <v>81.849999999999994</v>
      </c>
      <c r="AX319" s="450">
        <v>81.97</v>
      </c>
      <c r="AY319" s="450">
        <v>82.08</v>
      </c>
      <c r="AZ319" s="450">
        <v>82.19</v>
      </c>
      <c r="BA319" s="450">
        <v>82.62</v>
      </c>
      <c r="BB319" s="450">
        <v>82.92</v>
      </c>
      <c r="BC319" s="450">
        <v>83.09</v>
      </c>
      <c r="BD319" s="450">
        <v>83.16</v>
      </c>
      <c r="BE319" s="450">
        <v>83.17</v>
      </c>
    </row>
    <row r="320" spans="2:57" x14ac:dyDescent="0.25">
      <c r="B320" s="134">
        <v>63</v>
      </c>
      <c r="C320" s="450">
        <v>79.42</v>
      </c>
      <c r="D320" s="450">
        <v>79.56</v>
      </c>
      <c r="E320" s="450">
        <v>79.709999999999994</v>
      </c>
      <c r="F320" s="450">
        <v>79.849999999999994</v>
      </c>
      <c r="G320" s="450">
        <v>79.989999999999995</v>
      </c>
      <c r="H320" s="450">
        <v>80.13</v>
      </c>
      <c r="I320" s="450">
        <v>80.260000000000005</v>
      </c>
      <c r="J320" s="450">
        <v>80.38</v>
      </c>
      <c r="K320" s="450">
        <v>80.5</v>
      </c>
      <c r="L320" s="450">
        <v>80.61</v>
      </c>
      <c r="M320" s="450">
        <v>80.709999999999994</v>
      </c>
      <c r="N320" s="450">
        <v>80.81</v>
      </c>
      <c r="O320" s="450">
        <v>81.209999999999994</v>
      </c>
      <c r="P320" s="450">
        <v>81.48</v>
      </c>
      <c r="Q320" s="450">
        <v>81.64</v>
      </c>
      <c r="R320" s="450">
        <v>81.7</v>
      </c>
      <c r="S320" s="450">
        <v>81.709999999999994</v>
      </c>
      <c r="T320" s="133"/>
      <c r="U320" s="134">
        <v>63</v>
      </c>
      <c r="V320" s="450">
        <v>80.09</v>
      </c>
      <c r="W320" s="450">
        <v>80.239999999999995</v>
      </c>
      <c r="X320" s="450">
        <v>80.39</v>
      </c>
      <c r="Y320" s="450">
        <v>80.540000000000006</v>
      </c>
      <c r="Z320" s="450">
        <v>80.69</v>
      </c>
      <c r="AA320" s="450">
        <v>80.83</v>
      </c>
      <c r="AB320" s="450">
        <v>80.97</v>
      </c>
      <c r="AC320" s="450">
        <v>81.099999999999994</v>
      </c>
      <c r="AD320" s="450">
        <v>81.22</v>
      </c>
      <c r="AE320" s="450">
        <v>81.34</v>
      </c>
      <c r="AF320" s="450">
        <v>81.44</v>
      </c>
      <c r="AG320" s="450">
        <v>81.55</v>
      </c>
      <c r="AH320" s="450">
        <v>81.98</v>
      </c>
      <c r="AI320" s="450">
        <v>82.27</v>
      </c>
      <c r="AJ320" s="450">
        <v>82.43</v>
      </c>
      <c r="AK320" s="450">
        <v>82.51</v>
      </c>
      <c r="AL320" s="450">
        <v>82.53</v>
      </c>
      <c r="AM320" s="133"/>
      <c r="AN320" s="134">
        <v>63</v>
      </c>
      <c r="AO320" s="450">
        <v>81.03</v>
      </c>
      <c r="AP320" s="450">
        <v>81.19</v>
      </c>
      <c r="AQ320" s="450">
        <v>81.349999999999994</v>
      </c>
      <c r="AR320" s="450">
        <v>81.510000000000005</v>
      </c>
      <c r="AS320" s="450">
        <v>81.66</v>
      </c>
      <c r="AT320" s="450">
        <v>81.81</v>
      </c>
      <c r="AU320" s="450">
        <v>81.95</v>
      </c>
      <c r="AV320" s="450">
        <v>82.09</v>
      </c>
      <c r="AW320" s="450">
        <v>82.22</v>
      </c>
      <c r="AX320" s="450">
        <v>82.34</v>
      </c>
      <c r="AY320" s="450">
        <v>82.45</v>
      </c>
      <c r="AZ320" s="450">
        <v>82.56</v>
      </c>
      <c r="BA320" s="450">
        <v>83.01</v>
      </c>
      <c r="BB320" s="450">
        <v>83.31</v>
      </c>
      <c r="BC320" s="450">
        <v>83.47</v>
      </c>
      <c r="BD320" s="450">
        <v>83.54</v>
      </c>
      <c r="BE320" s="450">
        <v>83.55</v>
      </c>
    </row>
    <row r="321" spans="2:57" x14ac:dyDescent="0.25">
      <c r="B321" s="134">
        <v>64</v>
      </c>
      <c r="C321" s="450">
        <v>79.73</v>
      </c>
      <c r="D321" s="450">
        <v>79.88</v>
      </c>
      <c r="E321" s="450">
        <v>80.03</v>
      </c>
      <c r="F321" s="450">
        <v>80.180000000000007</v>
      </c>
      <c r="G321" s="450">
        <v>80.33</v>
      </c>
      <c r="H321" s="450">
        <v>80.47</v>
      </c>
      <c r="I321" s="450">
        <v>80.599999999999994</v>
      </c>
      <c r="J321" s="450">
        <v>80.73</v>
      </c>
      <c r="K321" s="450">
        <v>80.849999999999994</v>
      </c>
      <c r="L321" s="450">
        <v>80.959999999999994</v>
      </c>
      <c r="M321" s="450">
        <v>81.06</v>
      </c>
      <c r="N321" s="450">
        <v>81.16</v>
      </c>
      <c r="O321" s="450">
        <v>81.58</v>
      </c>
      <c r="P321" s="450">
        <v>81.849999999999994</v>
      </c>
      <c r="Q321" s="450">
        <v>81.99</v>
      </c>
      <c r="R321" s="450">
        <v>82.05</v>
      </c>
      <c r="S321" s="450">
        <v>82.05</v>
      </c>
      <c r="T321" s="133"/>
      <c r="U321" s="134">
        <v>64</v>
      </c>
      <c r="V321" s="450">
        <v>80.41</v>
      </c>
      <c r="W321" s="450">
        <v>80.569999999999993</v>
      </c>
      <c r="X321" s="450">
        <v>80.73</v>
      </c>
      <c r="Y321" s="450">
        <v>80.89</v>
      </c>
      <c r="Z321" s="450">
        <v>81.040000000000006</v>
      </c>
      <c r="AA321" s="450">
        <v>81.180000000000007</v>
      </c>
      <c r="AB321" s="450">
        <v>81.33</v>
      </c>
      <c r="AC321" s="450">
        <v>81.459999999999994</v>
      </c>
      <c r="AD321" s="450">
        <v>81.58</v>
      </c>
      <c r="AE321" s="450">
        <v>81.7</v>
      </c>
      <c r="AF321" s="450">
        <v>81.81</v>
      </c>
      <c r="AG321" s="450">
        <v>81.92</v>
      </c>
      <c r="AH321" s="450">
        <v>82.36</v>
      </c>
      <c r="AI321" s="450">
        <v>82.65</v>
      </c>
      <c r="AJ321" s="450">
        <v>82.81</v>
      </c>
      <c r="AK321" s="450">
        <v>82.88</v>
      </c>
      <c r="AL321" s="450">
        <v>82.89</v>
      </c>
      <c r="AM321" s="133"/>
      <c r="AN321" s="134">
        <v>64</v>
      </c>
      <c r="AO321" s="450">
        <v>81.37</v>
      </c>
      <c r="AP321" s="450">
        <v>81.540000000000006</v>
      </c>
      <c r="AQ321" s="450">
        <v>81.709999999999994</v>
      </c>
      <c r="AR321" s="450">
        <v>81.87</v>
      </c>
      <c r="AS321" s="450">
        <v>82.03</v>
      </c>
      <c r="AT321" s="450">
        <v>82.18</v>
      </c>
      <c r="AU321" s="450">
        <v>82.33</v>
      </c>
      <c r="AV321" s="450">
        <v>82.47</v>
      </c>
      <c r="AW321" s="450">
        <v>82.6</v>
      </c>
      <c r="AX321" s="450">
        <v>82.72</v>
      </c>
      <c r="AY321" s="450">
        <v>82.84</v>
      </c>
      <c r="AZ321" s="450">
        <v>82.95</v>
      </c>
      <c r="BA321" s="450">
        <v>83.41</v>
      </c>
      <c r="BB321" s="450">
        <v>83.71</v>
      </c>
      <c r="BC321" s="450">
        <v>83.87</v>
      </c>
      <c r="BD321" s="450">
        <v>83.93</v>
      </c>
      <c r="BE321" s="450">
        <v>83.92</v>
      </c>
    </row>
    <row r="322" spans="2:57" x14ac:dyDescent="0.25">
      <c r="B322" s="134">
        <v>65</v>
      </c>
      <c r="C322" s="450">
        <v>80.05</v>
      </c>
      <c r="D322" s="450">
        <v>80.209999999999994</v>
      </c>
      <c r="E322" s="450">
        <v>80.37</v>
      </c>
      <c r="F322" s="450">
        <v>80.52</v>
      </c>
      <c r="G322" s="450">
        <v>80.67</v>
      </c>
      <c r="H322" s="450">
        <v>80.819999999999993</v>
      </c>
      <c r="I322" s="450">
        <v>80.959999999999994</v>
      </c>
      <c r="J322" s="450">
        <v>81.08</v>
      </c>
      <c r="K322" s="450">
        <v>81.2</v>
      </c>
      <c r="L322" s="450">
        <v>81.319999999999993</v>
      </c>
      <c r="M322" s="450">
        <v>81.430000000000007</v>
      </c>
      <c r="N322" s="450">
        <v>81.53</v>
      </c>
      <c r="O322" s="450">
        <v>81.95</v>
      </c>
      <c r="P322" s="450">
        <v>82.21</v>
      </c>
      <c r="Q322" s="450">
        <v>82.35</v>
      </c>
      <c r="R322" s="450">
        <v>82.4</v>
      </c>
      <c r="S322" s="450" t="s">
        <v>556</v>
      </c>
      <c r="T322" s="133"/>
      <c r="U322" s="134">
        <v>65</v>
      </c>
      <c r="V322" s="450">
        <v>80.75</v>
      </c>
      <c r="W322" s="450">
        <v>80.92</v>
      </c>
      <c r="X322" s="450">
        <v>81.08</v>
      </c>
      <c r="Y322" s="450">
        <v>81.239999999999995</v>
      </c>
      <c r="Z322" s="450">
        <v>81.400000000000006</v>
      </c>
      <c r="AA322" s="450">
        <v>81.55</v>
      </c>
      <c r="AB322" s="450">
        <v>81.7</v>
      </c>
      <c r="AC322" s="450">
        <v>81.83</v>
      </c>
      <c r="AD322" s="450">
        <v>81.96</v>
      </c>
      <c r="AE322" s="450">
        <v>82.08</v>
      </c>
      <c r="AF322" s="450">
        <v>82.2</v>
      </c>
      <c r="AG322" s="450">
        <v>82.31</v>
      </c>
      <c r="AH322" s="450">
        <v>82.75</v>
      </c>
      <c r="AI322" s="450">
        <v>83.04</v>
      </c>
      <c r="AJ322" s="450">
        <v>83.19</v>
      </c>
      <c r="AK322" s="450">
        <v>83.25</v>
      </c>
      <c r="AL322" s="450" t="s">
        <v>556</v>
      </c>
      <c r="AM322" s="133"/>
      <c r="AN322" s="134">
        <v>65</v>
      </c>
      <c r="AO322" s="450">
        <v>81.72</v>
      </c>
      <c r="AP322" s="450">
        <v>81.900000000000006</v>
      </c>
      <c r="AQ322" s="450">
        <v>82.07</v>
      </c>
      <c r="AR322" s="450">
        <v>82.24</v>
      </c>
      <c r="AS322" s="450">
        <v>82.41</v>
      </c>
      <c r="AT322" s="450">
        <v>82.57</v>
      </c>
      <c r="AU322" s="450">
        <v>82.72</v>
      </c>
      <c r="AV322" s="450">
        <v>82.86</v>
      </c>
      <c r="AW322" s="450">
        <v>82.99</v>
      </c>
      <c r="AX322" s="450">
        <v>83.12</v>
      </c>
      <c r="AY322" s="450">
        <v>83.24</v>
      </c>
      <c r="AZ322" s="450">
        <v>83.36</v>
      </c>
      <c r="BA322" s="450">
        <v>83.82</v>
      </c>
      <c r="BB322" s="450">
        <v>84.11</v>
      </c>
      <c r="BC322" s="450">
        <v>84.26</v>
      </c>
      <c r="BD322" s="450">
        <v>84.31</v>
      </c>
      <c r="BE322" s="450" t="s">
        <v>556</v>
      </c>
    </row>
    <row r="323" spans="2:57" x14ac:dyDescent="0.25">
      <c r="B323" s="134">
        <v>66</v>
      </c>
      <c r="C323" s="450">
        <v>80.39</v>
      </c>
      <c r="D323" s="450">
        <v>80.56</v>
      </c>
      <c r="E323" s="450">
        <v>80.72</v>
      </c>
      <c r="F323" s="450">
        <v>80.88</v>
      </c>
      <c r="G323" s="450">
        <v>81.03</v>
      </c>
      <c r="H323" s="450">
        <v>81.180000000000007</v>
      </c>
      <c r="I323" s="450">
        <v>81.319999999999993</v>
      </c>
      <c r="J323" s="450">
        <v>81.45</v>
      </c>
      <c r="K323" s="450">
        <v>81.569999999999993</v>
      </c>
      <c r="L323" s="450">
        <v>81.69</v>
      </c>
      <c r="M323" s="450">
        <v>81.8</v>
      </c>
      <c r="N323" s="450">
        <v>81.91</v>
      </c>
      <c r="O323" s="450">
        <v>82.33</v>
      </c>
      <c r="P323" s="450">
        <v>82.58</v>
      </c>
      <c r="Q323" s="450">
        <v>82.71</v>
      </c>
      <c r="R323" s="450">
        <v>82.74</v>
      </c>
      <c r="S323" s="450" t="s">
        <v>556</v>
      </c>
      <c r="T323" s="133"/>
      <c r="U323" s="134">
        <v>66</v>
      </c>
      <c r="V323" s="450">
        <v>81.099999999999994</v>
      </c>
      <c r="W323" s="450">
        <v>81.28</v>
      </c>
      <c r="X323" s="450">
        <v>81.45</v>
      </c>
      <c r="Y323" s="450">
        <v>81.62</v>
      </c>
      <c r="Z323" s="450">
        <v>81.78</v>
      </c>
      <c r="AA323" s="450">
        <v>81.94</v>
      </c>
      <c r="AB323" s="450">
        <v>82.08</v>
      </c>
      <c r="AC323" s="450">
        <v>82.22</v>
      </c>
      <c r="AD323" s="450">
        <v>82.35</v>
      </c>
      <c r="AE323" s="450">
        <v>82.47</v>
      </c>
      <c r="AF323" s="450">
        <v>82.59</v>
      </c>
      <c r="AG323" s="450">
        <v>82.7</v>
      </c>
      <c r="AH323" s="450">
        <v>83.15</v>
      </c>
      <c r="AI323" s="450">
        <v>83.43</v>
      </c>
      <c r="AJ323" s="450">
        <v>83.57</v>
      </c>
      <c r="AK323" s="450">
        <v>83.62</v>
      </c>
      <c r="AL323" s="450" t="s">
        <v>556</v>
      </c>
      <c r="AM323" s="133"/>
      <c r="AN323" s="134">
        <v>66</v>
      </c>
      <c r="AO323" s="450">
        <v>82.09</v>
      </c>
      <c r="AP323" s="450">
        <v>82.28</v>
      </c>
      <c r="AQ323" s="450">
        <v>82.46</v>
      </c>
      <c r="AR323" s="450">
        <v>82.63</v>
      </c>
      <c r="AS323" s="450">
        <v>82.8</v>
      </c>
      <c r="AT323" s="450">
        <v>82.97</v>
      </c>
      <c r="AU323" s="450">
        <v>83.12</v>
      </c>
      <c r="AV323" s="450">
        <v>83.26</v>
      </c>
      <c r="AW323" s="450">
        <v>83.4</v>
      </c>
      <c r="AX323" s="450">
        <v>83.53</v>
      </c>
      <c r="AY323" s="450">
        <v>83.66</v>
      </c>
      <c r="AZ323" s="450">
        <v>83.77</v>
      </c>
      <c r="BA323" s="450">
        <v>84.24</v>
      </c>
      <c r="BB323" s="450">
        <v>84.53</v>
      </c>
      <c r="BC323" s="450">
        <v>84.66</v>
      </c>
      <c r="BD323" s="450">
        <v>84.69</v>
      </c>
      <c r="BE323" s="450" t="s">
        <v>556</v>
      </c>
    </row>
    <row r="324" spans="2:57" x14ac:dyDescent="0.25">
      <c r="B324" s="134">
        <v>67</v>
      </c>
      <c r="C324" s="450">
        <v>80.739999999999995</v>
      </c>
      <c r="D324" s="450">
        <v>80.91</v>
      </c>
      <c r="E324" s="450">
        <v>81.08</v>
      </c>
      <c r="F324" s="450">
        <v>81.25</v>
      </c>
      <c r="G324" s="450">
        <v>81.41</v>
      </c>
      <c r="H324" s="450">
        <v>81.55</v>
      </c>
      <c r="I324" s="450">
        <v>81.69</v>
      </c>
      <c r="J324" s="450">
        <v>81.819999999999993</v>
      </c>
      <c r="K324" s="450">
        <v>81.95</v>
      </c>
      <c r="L324" s="450">
        <v>82.07</v>
      </c>
      <c r="M324" s="450">
        <v>82.19</v>
      </c>
      <c r="N324" s="450">
        <v>82.29</v>
      </c>
      <c r="O324" s="450">
        <v>82.71</v>
      </c>
      <c r="P324" s="450">
        <v>82.95</v>
      </c>
      <c r="Q324" s="450">
        <v>83.06</v>
      </c>
      <c r="R324" s="450">
        <v>83.07</v>
      </c>
      <c r="S324" s="450" t="s">
        <v>556</v>
      </c>
      <c r="T324" s="133"/>
      <c r="U324" s="134">
        <v>67</v>
      </c>
      <c r="V324" s="450">
        <v>81.47</v>
      </c>
      <c r="W324" s="450">
        <v>81.650000000000006</v>
      </c>
      <c r="X324" s="450">
        <v>81.83</v>
      </c>
      <c r="Y324" s="450">
        <v>82</v>
      </c>
      <c r="Z324" s="450">
        <v>82.17</v>
      </c>
      <c r="AA324" s="450">
        <v>82.33</v>
      </c>
      <c r="AB324" s="450">
        <v>82.47</v>
      </c>
      <c r="AC324" s="450">
        <v>82.62</v>
      </c>
      <c r="AD324" s="450">
        <v>82.75</v>
      </c>
      <c r="AE324" s="450">
        <v>82.88</v>
      </c>
      <c r="AF324" s="450">
        <v>83</v>
      </c>
      <c r="AG324" s="450">
        <v>83.11</v>
      </c>
      <c r="AH324" s="450">
        <v>83.56</v>
      </c>
      <c r="AI324" s="450">
        <v>83.83</v>
      </c>
      <c r="AJ324" s="450">
        <v>83.95</v>
      </c>
      <c r="AK324" s="450">
        <v>83.98</v>
      </c>
      <c r="AL324" s="450" t="s">
        <v>556</v>
      </c>
      <c r="AM324" s="133"/>
      <c r="AN324" s="134">
        <v>67</v>
      </c>
      <c r="AO324" s="450">
        <v>82.48</v>
      </c>
      <c r="AP324" s="450">
        <v>82.67</v>
      </c>
      <c r="AQ324" s="450">
        <v>82.86</v>
      </c>
      <c r="AR324" s="450">
        <v>83.04</v>
      </c>
      <c r="AS324" s="450">
        <v>83.21</v>
      </c>
      <c r="AT324" s="450">
        <v>83.38</v>
      </c>
      <c r="AU324" s="450">
        <v>83.53</v>
      </c>
      <c r="AV324" s="450">
        <v>83.68</v>
      </c>
      <c r="AW324" s="450">
        <v>83.82</v>
      </c>
      <c r="AX324" s="450">
        <v>83.96</v>
      </c>
      <c r="AY324" s="450">
        <v>84.08</v>
      </c>
      <c r="AZ324" s="450">
        <v>84.2</v>
      </c>
      <c r="BA324" s="450">
        <v>84.67</v>
      </c>
      <c r="BB324" s="450">
        <v>84.94</v>
      </c>
      <c r="BC324" s="450">
        <v>85.05</v>
      </c>
      <c r="BD324" s="450">
        <v>85.06</v>
      </c>
      <c r="BE324" s="450" t="s">
        <v>556</v>
      </c>
    </row>
    <row r="325" spans="2:57" x14ac:dyDescent="0.25">
      <c r="B325" s="134">
        <v>68</v>
      </c>
      <c r="C325" s="450">
        <v>81.099999999999994</v>
      </c>
      <c r="D325" s="450">
        <v>81.28</v>
      </c>
      <c r="E325" s="450">
        <v>81.459999999999994</v>
      </c>
      <c r="F325" s="450">
        <v>81.63</v>
      </c>
      <c r="G325" s="450">
        <v>81.78</v>
      </c>
      <c r="H325" s="450">
        <v>81.93</v>
      </c>
      <c r="I325" s="450">
        <v>82.07</v>
      </c>
      <c r="J325" s="450">
        <v>82.21</v>
      </c>
      <c r="K325" s="450">
        <v>82.34</v>
      </c>
      <c r="L325" s="450">
        <v>82.46</v>
      </c>
      <c r="M325" s="450">
        <v>82.58</v>
      </c>
      <c r="N325" s="450">
        <v>82.68</v>
      </c>
      <c r="O325" s="450">
        <v>83.09</v>
      </c>
      <c r="P325" s="450">
        <v>83.31</v>
      </c>
      <c r="Q325" s="450">
        <v>83.4</v>
      </c>
      <c r="R325" s="450">
        <v>83.39</v>
      </c>
      <c r="S325" s="450" t="s">
        <v>556</v>
      </c>
      <c r="T325" s="133"/>
      <c r="U325" s="134">
        <v>68</v>
      </c>
      <c r="V325" s="450">
        <v>81.849999999999994</v>
      </c>
      <c r="W325" s="450">
        <v>82.04</v>
      </c>
      <c r="X325" s="450">
        <v>82.22</v>
      </c>
      <c r="Y325" s="450">
        <v>82.4</v>
      </c>
      <c r="Z325" s="450">
        <v>82.57</v>
      </c>
      <c r="AA325" s="450">
        <v>82.73</v>
      </c>
      <c r="AB325" s="450">
        <v>82.88</v>
      </c>
      <c r="AC325" s="450">
        <v>83.02</v>
      </c>
      <c r="AD325" s="450">
        <v>83.16</v>
      </c>
      <c r="AE325" s="450">
        <v>83.29</v>
      </c>
      <c r="AF325" s="450">
        <v>83.41</v>
      </c>
      <c r="AG325" s="450">
        <v>83.53</v>
      </c>
      <c r="AH325" s="450">
        <v>83.97</v>
      </c>
      <c r="AI325" s="450">
        <v>84.22</v>
      </c>
      <c r="AJ325" s="450">
        <v>84.32</v>
      </c>
      <c r="AK325" s="450">
        <v>84.33</v>
      </c>
      <c r="AL325" s="450" t="s">
        <v>556</v>
      </c>
      <c r="AM325" s="133"/>
      <c r="AN325" s="134">
        <v>68</v>
      </c>
      <c r="AO325" s="450">
        <v>82.88</v>
      </c>
      <c r="AP325" s="450">
        <v>83.08</v>
      </c>
      <c r="AQ325" s="450">
        <v>83.27</v>
      </c>
      <c r="AR325" s="450">
        <v>83.46</v>
      </c>
      <c r="AS325" s="450">
        <v>83.63</v>
      </c>
      <c r="AT325" s="450">
        <v>83.8</v>
      </c>
      <c r="AU325" s="450">
        <v>83.96</v>
      </c>
      <c r="AV325" s="450">
        <v>84.11</v>
      </c>
      <c r="AW325" s="450">
        <v>84.25</v>
      </c>
      <c r="AX325" s="450">
        <v>84.39</v>
      </c>
      <c r="AY325" s="450">
        <v>84.52</v>
      </c>
      <c r="AZ325" s="450">
        <v>84.64</v>
      </c>
      <c r="BA325" s="450">
        <v>85.09</v>
      </c>
      <c r="BB325" s="450">
        <v>85.34</v>
      </c>
      <c r="BC325" s="450">
        <v>85.44</v>
      </c>
      <c r="BD325" s="450">
        <v>85.43</v>
      </c>
      <c r="BE325" s="450" t="s">
        <v>556</v>
      </c>
    </row>
    <row r="326" spans="2:57" x14ac:dyDescent="0.25">
      <c r="B326" s="134">
        <v>69</v>
      </c>
      <c r="C326" s="450">
        <v>81.48</v>
      </c>
      <c r="D326" s="450">
        <v>81.66</v>
      </c>
      <c r="E326" s="450">
        <v>81.84</v>
      </c>
      <c r="F326" s="450">
        <v>82.01</v>
      </c>
      <c r="G326" s="450">
        <v>82.17</v>
      </c>
      <c r="H326" s="450">
        <v>82.32</v>
      </c>
      <c r="I326" s="450">
        <v>82.47</v>
      </c>
      <c r="J326" s="450">
        <v>82.61</v>
      </c>
      <c r="K326" s="450">
        <v>82.74</v>
      </c>
      <c r="L326" s="450">
        <v>82.86</v>
      </c>
      <c r="M326" s="450">
        <v>82.97</v>
      </c>
      <c r="N326" s="450">
        <v>83.08</v>
      </c>
      <c r="O326" s="450">
        <v>83.47</v>
      </c>
      <c r="P326" s="450">
        <v>83.67</v>
      </c>
      <c r="Q326" s="450">
        <v>83.72</v>
      </c>
      <c r="R326" s="450">
        <v>83.69</v>
      </c>
      <c r="S326" s="450" t="s">
        <v>556</v>
      </c>
      <c r="T326" s="133"/>
      <c r="U326" s="134">
        <v>69</v>
      </c>
      <c r="V326" s="450">
        <v>82.25</v>
      </c>
      <c r="W326" s="450">
        <v>82.44</v>
      </c>
      <c r="X326" s="450">
        <v>82.63</v>
      </c>
      <c r="Y326" s="450">
        <v>82.81</v>
      </c>
      <c r="Z326" s="450">
        <v>82.98</v>
      </c>
      <c r="AA326" s="450">
        <v>83.14</v>
      </c>
      <c r="AB326" s="450">
        <v>83.29</v>
      </c>
      <c r="AC326" s="450">
        <v>83.44</v>
      </c>
      <c r="AD326" s="450">
        <v>83.58</v>
      </c>
      <c r="AE326" s="450">
        <v>83.71</v>
      </c>
      <c r="AF326" s="450">
        <v>83.83</v>
      </c>
      <c r="AG326" s="450">
        <v>83.95</v>
      </c>
      <c r="AH326" s="450">
        <v>84.38</v>
      </c>
      <c r="AI326" s="450">
        <v>84.6</v>
      </c>
      <c r="AJ326" s="450">
        <v>84.68</v>
      </c>
      <c r="AK326" s="450">
        <v>84.66</v>
      </c>
      <c r="AL326" s="450" t="s">
        <v>556</v>
      </c>
      <c r="AM326" s="133"/>
      <c r="AN326" s="134">
        <v>69</v>
      </c>
      <c r="AO326" s="450">
        <v>83.29</v>
      </c>
      <c r="AP326" s="450">
        <v>83.5</v>
      </c>
      <c r="AQ326" s="450">
        <v>83.7</v>
      </c>
      <c r="AR326" s="450">
        <v>83.88</v>
      </c>
      <c r="AS326" s="450">
        <v>84.06</v>
      </c>
      <c r="AT326" s="450">
        <v>84.23</v>
      </c>
      <c r="AU326" s="450">
        <v>84.39</v>
      </c>
      <c r="AV326" s="450">
        <v>84.55</v>
      </c>
      <c r="AW326" s="450">
        <v>84.69</v>
      </c>
      <c r="AX326" s="450">
        <v>84.83</v>
      </c>
      <c r="AY326" s="450">
        <v>84.96</v>
      </c>
      <c r="AZ326" s="450">
        <v>85.08</v>
      </c>
      <c r="BA326" s="450">
        <v>85.52</v>
      </c>
      <c r="BB326" s="450">
        <v>85.74</v>
      </c>
      <c r="BC326" s="450">
        <v>85.81</v>
      </c>
      <c r="BD326" s="450">
        <v>85.77</v>
      </c>
      <c r="BE326" s="450" t="s">
        <v>556</v>
      </c>
    </row>
    <row r="327" spans="2:57" x14ac:dyDescent="0.25">
      <c r="B327" s="134">
        <v>70</v>
      </c>
      <c r="C327" s="450">
        <v>81.86</v>
      </c>
      <c r="D327" s="450">
        <v>82.05</v>
      </c>
      <c r="E327" s="450">
        <v>82.23</v>
      </c>
      <c r="F327" s="450">
        <v>82.4</v>
      </c>
      <c r="G327" s="450">
        <v>82.56</v>
      </c>
      <c r="H327" s="450">
        <v>82.72</v>
      </c>
      <c r="I327" s="450">
        <v>82.86</v>
      </c>
      <c r="J327" s="450">
        <v>83</v>
      </c>
      <c r="K327" s="450">
        <v>83.13</v>
      </c>
      <c r="L327" s="450">
        <v>83.25</v>
      </c>
      <c r="M327" s="450">
        <v>83.37</v>
      </c>
      <c r="N327" s="450">
        <v>83.47</v>
      </c>
      <c r="O327" s="450">
        <v>83.84</v>
      </c>
      <c r="P327" s="450">
        <v>84.01</v>
      </c>
      <c r="Q327" s="450">
        <v>84.03</v>
      </c>
      <c r="R327" s="450" t="s">
        <v>556</v>
      </c>
      <c r="S327" s="450" t="s">
        <v>556</v>
      </c>
      <c r="T327" s="133"/>
      <c r="U327" s="134">
        <v>70</v>
      </c>
      <c r="V327" s="450">
        <v>82.65</v>
      </c>
      <c r="W327" s="450">
        <v>82.85</v>
      </c>
      <c r="X327" s="450">
        <v>83.04</v>
      </c>
      <c r="Y327" s="450">
        <v>83.22</v>
      </c>
      <c r="Z327" s="450">
        <v>83.39</v>
      </c>
      <c r="AA327" s="450">
        <v>83.56</v>
      </c>
      <c r="AB327" s="450">
        <v>83.72</v>
      </c>
      <c r="AC327" s="450">
        <v>83.87</v>
      </c>
      <c r="AD327" s="450">
        <v>84.01</v>
      </c>
      <c r="AE327" s="450">
        <v>84.14</v>
      </c>
      <c r="AF327" s="450">
        <v>84.26</v>
      </c>
      <c r="AG327" s="450">
        <v>84.37</v>
      </c>
      <c r="AH327" s="450">
        <v>84.78</v>
      </c>
      <c r="AI327" s="450">
        <v>84.97</v>
      </c>
      <c r="AJ327" s="450">
        <v>85.02</v>
      </c>
      <c r="AK327" s="450" t="s">
        <v>556</v>
      </c>
      <c r="AL327" s="450" t="s">
        <v>556</v>
      </c>
      <c r="AM327" s="133"/>
      <c r="AN327" s="134">
        <v>70</v>
      </c>
      <c r="AO327" s="450">
        <v>83.72</v>
      </c>
      <c r="AP327" s="450">
        <v>83.93</v>
      </c>
      <c r="AQ327" s="450">
        <v>84.13</v>
      </c>
      <c r="AR327" s="450">
        <v>84.32</v>
      </c>
      <c r="AS327" s="450">
        <v>84.5</v>
      </c>
      <c r="AT327" s="450">
        <v>84.67</v>
      </c>
      <c r="AU327" s="450">
        <v>84.84</v>
      </c>
      <c r="AV327" s="450">
        <v>84.99</v>
      </c>
      <c r="AW327" s="450">
        <v>85.14</v>
      </c>
      <c r="AX327" s="450">
        <v>85.28</v>
      </c>
      <c r="AY327" s="450">
        <v>85.4</v>
      </c>
      <c r="AZ327" s="450">
        <v>85.52</v>
      </c>
      <c r="BA327" s="450">
        <v>85.94</v>
      </c>
      <c r="BB327" s="450">
        <v>86.13</v>
      </c>
      <c r="BC327" s="450">
        <v>86.16</v>
      </c>
      <c r="BD327" s="450" t="s">
        <v>556</v>
      </c>
      <c r="BE327" s="450" t="s">
        <v>556</v>
      </c>
    </row>
    <row r="328" spans="2:57" x14ac:dyDescent="0.25">
      <c r="B328" s="134">
        <v>71</v>
      </c>
      <c r="C328" s="450">
        <v>82.26</v>
      </c>
      <c r="D328" s="450">
        <v>82.44</v>
      </c>
      <c r="E328" s="450">
        <v>82.62</v>
      </c>
      <c r="F328" s="450">
        <v>82.8</v>
      </c>
      <c r="G328" s="450">
        <v>82.96</v>
      </c>
      <c r="H328" s="450">
        <v>83.12</v>
      </c>
      <c r="I328" s="450">
        <v>83.27</v>
      </c>
      <c r="J328" s="450">
        <v>83.4</v>
      </c>
      <c r="K328" s="450">
        <v>83.53</v>
      </c>
      <c r="L328" s="450">
        <v>83.65</v>
      </c>
      <c r="M328" s="450">
        <v>83.76</v>
      </c>
      <c r="N328" s="450">
        <v>83.86</v>
      </c>
      <c r="O328" s="450">
        <v>84.2</v>
      </c>
      <c r="P328" s="450">
        <v>84.33</v>
      </c>
      <c r="Q328" s="450">
        <v>84.31</v>
      </c>
      <c r="R328" s="450" t="s">
        <v>556</v>
      </c>
      <c r="S328" s="450" t="s">
        <v>556</v>
      </c>
      <c r="T328" s="133"/>
      <c r="U328" s="134">
        <v>71</v>
      </c>
      <c r="V328" s="450">
        <v>83.07</v>
      </c>
      <c r="W328" s="450">
        <v>83.27</v>
      </c>
      <c r="X328" s="450">
        <v>83.46</v>
      </c>
      <c r="Y328" s="450">
        <v>83.64</v>
      </c>
      <c r="Z328" s="450">
        <v>83.82</v>
      </c>
      <c r="AA328" s="450">
        <v>83.99</v>
      </c>
      <c r="AB328" s="450">
        <v>84.15</v>
      </c>
      <c r="AC328" s="450">
        <v>84.3</v>
      </c>
      <c r="AD328" s="450">
        <v>84.43</v>
      </c>
      <c r="AE328" s="450">
        <v>84.56</v>
      </c>
      <c r="AF328" s="450">
        <v>84.68</v>
      </c>
      <c r="AG328" s="450">
        <v>84.79</v>
      </c>
      <c r="AH328" s="450">
        <v>85.17</v>
      </c>
      <c r="AI328" s="450">
        <v>85.33</v>
      </c>
      <c r="AJ328" s="450">
        <v>85.34</v>
      </c>
      <c r="AK328" s="450" t="s">
        <v>556</v>
      </c>
      <c r="AL328" s="450" t="s">
        <v>556</v>
      </c>
      <c r="AM328" s="133"/>
      <c r="AN328" s="134">
        <v>71</v>
      </c>
      <c r="AO328" s="450">
        <v>84.16</v>
      </c>
      <c r="AP328" s="450">
        <v>84.37</v>
      </c>
      <c r="AQ328" s="450">
        <v>84.57</v>
      </c>
      <c r="AR328" s="450">
        <v>84.76</v>
      </c>
      <c r="AS328" s="450">
        <v>84.94</v>
      </c>
      <c r="AT328" s="450">
        <v>85.12</v>
      </c>
      <c r="AU328" s="450">
        <v>85.29</v>
      </c>
      <c r="AV328" s="450">
        <v>85.44</v>
      </c>
      <c r="AW328" s="450">
        <v>85.59</v>
      </c>
      <c r="AX328" s="450">
        <v>85.72</v>
      </c>
      <c r="AY328" s="450">
        <v>85.84</v>
      </c>
      <c r="AZ328" s="450">
        <v>85.96</v>
      </c>
      <c r="BA328" s="450">
        <v>86.35</v>
      </c>
      <c r="BB328" s="450">
        <v>86.5</v>
      </c>
      <c r="BC328" s="450">
        <v>86.49</v>
      </c>
      <c r="BD328" s="450" t="s">
        <v>556</v>
      </c>
      <c r="BE328" s="450" t="s">
        <v>556</v>
      </c>
    </row>
    <row r="329" spans="2:57" x14ac:dyDescent="0.25">
      <c r="B329" s="134">
        <v>72</v>
      </c>
      <c r="C329" s="450">
        <v>82.65</v>
      </c>
      <c r="D329" s="450">
        <v>82.84</v>
      </c>
      <c r="E329" s="450">
        <v>83.02</v>
      </c>
      <c r="F329" s="450">
        <v>83.19</v>
      </c>
      <c r="G329" s="450">
        <v>83.36</v>
      </c>
      <c r="H329" s="450">
        <v>83.51</v>
      </c>
      <c r="I329" s="450">
        <v>83.66</v>
      </c>
      <c r="J329" s="450">
        <v>83.79</v>
      </c>
      <c r="K329" s="450">
        <v>83.92</v>
      </c>
      <c r="L329" s="450">
        <v>84.03</v>
      </c>
      <c r="M329" s="450">
        <v>84.13</v>
      </c>
      <c r="N329" s="450">
        <v>84.23</v>
      </c>
      <c r="O329" s="450">
        <v>84.53</v>
      </c>
      <c r="P329" s="450">
        <v>84.61</v>
      </c>
      <c r="Q329" s="450">
        <v>84.56</v>
      </c>
      <c r="R329" s="450" t="s">
        <v>556</v>
      </c>
      <c r="S329" s="450" t="s">
        <v>556</v>
      </c>
      <c r="T329" s="133"/>
      <c r="U329" s="134">
        <v>72</v>
      </c>
      <c r="V329" s="450">
        <v>83.48</v>
      </c>
      <c r="W329" s="450">
        <v>83.68</v>
      </c>
      <c r="X329" s="450">
        <v>83.88</v>
      </c>
      <c r="Y329" s="450">
        <v>84.07</v>
      </c>
      <c r="Z329" s="450">
        <v>84.24</v>
      </c>
      <c r="AA329" s="450">
        <v>84.41</v>
      </c>
      <c r="AB329" s="450">
        <v>84.57</v>
      </c>
      <c r="AC329" s="450">
        <v>84.71</v>
      </c>
      <c r="AD329" s="450">
        <v>84.85</v>
      </c>
      <c r="AE329" s="450">
        <v>84.97</v>
      </c>
      <c r="AF329" s="450">
        <v>85.09</v>
      </c>
      <c r="AG329" s="450">
        <v>85.19</v>
      </c>
      <c r="AH329" s="450">
        <v>85.53</v>
      </c>
      <c r="AI329" s="450">
        <v>85.65</v>
      </c>
      <c r="AJ329" s="450">
        <v>85.62</v>
      </c>
      <c r="AK329" s="450" t="s">
        <v>556</v>
      </c>
      <c r="AL329" s="450" t="s">
        <v>556</v>
      </c>
      <c r="AM329" s="133"/>
      <c r="AN329" s="134">
        <v>72</v>
      </c>
      <c r="AO329" s="450">
        <v>84.59</v>
      </c>
      <c r="AP329" s="450">
        <v>84.8</v>
      </c>
      <c r="AQ329" s="450">
        <v>85.01</v>
      </c>
      <c r="AR329" s="450">
        <v>85.2</v>
      </c>
      <c r="AS329" s="450">
        <v>85.39</v>
      </c>
      <c r="AT329" s="450">
        <v>85.56</v>
      </c>
      <c r="AU329" s="450">
        <v>85.73</v>
      </c>
      <c r="AV329" s="450">
        <v>85.88</v>
      </c>
      <c r="AW329" s="450">
        <v>86.03</v>
      </c>
      <c r="AX329" s="450">
        <v>86.16</v>
      </c>
      <c r="AY329" s="450">
        <v>86.27</v>
      </c>
      <c r="AZ329" s="450">
        <v>86.38</v>
      </c>
      <c r="BA329" s="450">
        <v>86.73</v>
      </c>
      <c r="BB329" s="450">
        <v>86.84</v>
      </c>
      <c r="BC329" s="450">
        <v>86.79</v>
      </c>
      <c r="BD329" s="450" t="s">
        <v>556</v>
      </c>
      <c r="BE329" s="450" t="s">
        <v>556</v>
      </c>
    </row>
    <row r="330" spans="2:57" x14ac:dyDescent="0.25">
      <c r="B330" s="134">
        <v>73</v>
      </c>
      <c r="C330" s="450">
        <v>83.04</v>
      </c>
      <c r="D330" s="450">
        <v>83.23</v>
      </c>
      <c r="E330" s="450">
        <v>83.41</v>
      </c>
      <c r="F330" s="450">
        <v>83.59</v>
      </c>
      <c r="G330" s="450">
        <v>83.75</v>
      </c>
      <c r="H330" s="450">
        <v>83.9</v>
      </c>
      <c r="I330" s="450">
        <v>84.05</v>
      </c>
      <c r="J330" s="450">
        <v>84.18</v>
      </c>
      <c r="K330" s="450">
        <v>84.3</v>
      </c>
      <c r="L330" s="450">
        <v>84.4</v>
      </c>
      <c r="M330" s="450">
        <v>84.5</v>
      </c>
      <c r="N330" s="450">
        <v>84.58</v>
      </c>
      <c r="O330" s="450">
        <v>84.84</v>
      </c>
      <c r="P330" s="450">
        <v>84.87</v>
      </c>
      <c r="Q330" s="450">
        <v>84.77</v>
      </c>
      <c r="R330" s="450" t="s">
        <v>556</v>
      </c>
      <c r="S330" s="450" t="s">
        <v>556</v>
      </c>
      <c r="T330" s="133"/>
      <c r="U330" s="134">
        <v>73</v>
      </c>
      <c r="V330" s="450">
        <v>83.9</v>
      </c>
      <c r="W330" s="450">
        <v>84.11</v>
      </c>
      <c r="X330" s="450">
        <v>84.3</v>
      </c>
      <c r="Y330" s="450">
        <v>84.49</v>
      </c>
      <c r="Z330" s="450">
        <v>84.67</v>
      </c>
      <c r="AA330" s="450">
        <v>84.83</v>
      </c>
      <c r="AB330" s="450">
        <v>84.99</v>
      </c>
      <c r="AC330" s="450">
        <v>85.13</v>
      </c>
      <c r="AD330" s="450">
        <v>85.26</v>
      </c>
      <c r="AE330" s="450">
        <v>85.38</v>
      </c>
      <c r="AF330" s="450">
        <v>85.48</v>
      </c>
      <c r="AG330" s="450">
        <v>85.58</v>
      </c>
      <c r="AH330" s="450">
        <v>85.88</v>
      </c>
      <c r="AI330" s="450">
        <v>85.94</v>
      </c>
      <c r="AJ330" s="450">
        <v>85.87</v>
      </c>
      <c r="AK330" s="450" t="s">
        <v>556</v>
      </c>
      <c r="AL330" s="450" t="s">
        <v>556</v>
      </c>
      <c r="AM330" s="133"/>
      <c r="AN330" s="134">
        <v>73</v>
      </c>
      <c r="AO330" s="450">
        <v>85.03</v>
      </c>
      <c r="AP330" s="450">
        <v>85.24</v>
      </c>
      <c r="AQ330" s="450">
        <v>85.45</v>
      </c>
      <c r="AR330" s="450">
        <v>85.65</v>
      </c>
      <c r="AS330" s="450">
        <v>85.83</v>
      </c>
      <c r="AT330" s="450">
        <v>86.01</v>
      </c>
      <c r="AU330" s="450">
        <v>86.17</v>
      </c>
      <c r="AV330" s="450">
        <v>86.32</v>
      </c>
      <c r="AW330" s="450">
        <v>86.46</v>
      </c>
      <c r="AX330" s="450">
        <v>86.58</v>
      </c>
      <c r="AY330" s="450">
        <v>86.69</v>
      </c>
      <c r="AZ330" s="450">
        <v>86.79</v>
      </c>
      <c r="BA330" s="450">
        <v>87.09</v>
      </c>
      <c r="BB330" s="450">
        <v>87.15</v>
      </c>
      <c r="BC330" s="450">
        <v>87.05</v>
      </c>
      <c r="BD330" s="450" t="s">
        <v>556</v>
      </c>
      <c r="BE330" s="450" t="s">
        <v>556</v>
      </c>
    </row>
    <row r="331" spans="2:57" x14ac:dyDescent="0.25">
      <c r="B331" s="134">
        <v>74</v>
      </c>
      <c r="C331" s="450">
        <v>83.44</v>
      </c>
      <c r="D331" s="450">
        <v>83.63</v>
      </c>
      <c r="E331" s="450">
        <v>83.81</v>
      </c>
      <c r="F331" s="450">
        <v>83.98</v>
      </c>
      <c r="G331" s="450">
        <v>84.14</v>
      </c>
      <c r="H331" s="450">
        <v>84.29</v>
      </c>
      <c r="I331" s="450">
        <v>84.43</v>
      </c>
      <c r="J331" s="450">
        <v>84.55</v>
      </c>
      <c r="K331" s="450">
        <v>84.66</v>
      </c>
      <c r="L331" s="450">
        <v>84.76</v>
      </c>
      <c r="M331" s="450">
        <v>84.85</v>
      </c>
      <c r="N331" s="450">
        <v>84.92</v>
      </c>
      <c r="O331" s="450">
        <v>85.12</v>
      </c>
      <c r="P331" s="450">
        <v>85.09</v>
      </c>
      <c r="Q331" s="450">
        <v>84.95</v>
      </c>
      <c r="R331" s="450" t="s">
        <v>556</v>
      </c>
      <c r="S331" s="450" t="s">
        <v>556</v>
      </c>
      <c r="T331" s="133"/>
      <c r="U331" s="134">
        <v>74</v>
      </c>
      <c r="V331" s="450">
        <v>84.33</v>
      </c>
      <c r="W331" s="450">
        <v>84.53</v>
      </c>
      <c r="X331" s="450">
        <v>84.73</v>
      </c>
      <c r="Y331" s="450">
        <v>84.91</v>
      </c>
      <c r="Z331" s="450">
        <v>85.09</v>
      </c>
      <c r="AA331" s="450">
        <v>85.25</v>
      </c>
      <c r="AB331" s="450">
        <v>85.4</v>
      </c>
      <c r="AC331" s="450">
        <v>85.54</v>
      </c>
      <c r="AD331" s="450">
        <v>85.66</v>
      </c>
      <c r="AE331" s="450">
        <v>85.77</v>
      </c>
      <c r="AF331" s="450">
        <v>85.87</v>
      </c>
      <c r="AG331" s="450">
        <v>85.95</v>
      </c>
      <c r="AH331" s="450">
        <v>86.19</v>
      </c>
      <c r="AI331" s="450">
        <v>86.2</v>
      </c>
      <c r="AJ331" s="450">
        <v>86.08</v>
      </c>
      <c r="AK331" s="450" t="s">
        <v>556</v>
      </c>
      <c r="AL331" s="450" t="s">
        <v>556</v>
      </c>
      <c r="AM331" s="133"/>
      <c r="AN331" s="134">
        <v>74</v>
      </c>
      <c r="AO331" s="450">
        <v>85.48</v>
      </c>
      <c r="AP331" s="450">
        <v>85.69</v>
      </c>
      <c r="AQ331" s="450">
        <v>85.9</v>
      </c>
      <c r="AR331" s="450">
        <v>86.09</v>
      </c>
      <c r="AS331" s="450">
        <v>86.28</v>
      </c>
      <c r="AT331" s="450">
        <v>86.45</v>
      </c>
      <c r="AU331" s="450">
        <v>86.6</v>
      </c>
      <c r="AV331" s="450">
        <v>86.75</v>
      </c>
      <c r="AW331" s="450">
        <v>86.88</v>
      </c>
      <c r="AX331" s="450">
        <v>86.99</v>
      </c>
      <c r="AY331" s="450">
        <v>87.09</v>
      </c>
      <c r="AZ331" s="450">
        <v>87.18</v>
      </c>
      <c r="BA331" s="450">
        <v>87.43</v>
      </c>
      <c r="BB331" s="450">
        <v>87.42</v>
      </c>
      <c r="BC331" s="450">
        <v>87.28</v>
      </c>
      <c r="BD331" s="450" t="s">
        <v>556</v>
      </c>
      <c r="BE331" s="450" t="s">
        <v>556</v>
      </c>
    </row>
    <row r="332" spans="2:57" x14ac:dyDescent="0.25">
      <c r="B332" s="134">
        <v>75</v>
      </c>
      <c r="C332" s="450">
        <v>83.83</v>
      </c>
      <c r="D332" s="450">
        <v>84.02</v>
      </c>
      <c r="E332" s="450">
        <v>84.2</v>
      </c>
      <c r="F332" s="450">
        <v>84.37</v>
      </c>
      <c r="G332" s="450">
        <v>84.52</v>
      </c>
      <c r="H332" s="450">
        <v>84.66</v>
      </c>
      <c r="I332" s="450">
        <v>84.79</v>
      </c>
      <c r="J332" s="450">
        <v>84.91</v>
      </c>
      <c r="K332" s="450">
        <v>85.01</v>
      </c>
      <c r="L332" s="450">
        <v>85.1</v>
      </c>
      <c r="M332" s="450">
        <v>85.17</v>
      </c>
      <c r="N332" s="450">
        <v>85.23</v>
      </c>
      <c r="O332" s="450">
        <v>85.36</v>
      </c>
      <c r="P332" s="450">
        <v>85.27</v>
      </c>
      <c r="Q332" s="450" t="s">
        <v>556</v>
      </c>
      <c r="R332" s="450" t="s">
        <v>556</v>
      </c>
      <c r="S332" s="450" t="s">
        <v>556</v>
      </c>
      <c r="T332" s="133"/>
      <c r="U332" s="134">
        <v>75</v>
      </c>
      <c r="V332" s="450">
        <v>84.75</v>
      </c>
      <c r="W332" s="450">
        <v>84.96</v>
      </c>
      <c r="X332" s="450">
        <v>85.15</v>
      </c>
      <c r="Y332" s="450">
        <v>85.33</v>
      </c>
      <c r="Z332" s="450">
        <v>85.5</v>
      </c>
      <c r="AA332" s="450">
        <v>85.66</v>
      </c>
      <c r="AB332" s="450">
        <v>85.8</v>
      </c>
      <c r="AC332" s="450">
        <v>85.93</v>
      </c>
      <c r="AD332" s="450">
        <v>86.04</v>
      </c>
      <c r="AE332" s="450">
        <v>86.14</v>
      </c>
      <c r="AF332" s="450">
        <v>86.23</v>
      </c>
      <c r="AG332" s="450">
        <v>86.3</v>
      </c>
      <c r="AH332" s="450">
        <v>86.47</v>
      </c>
      <c r="AI332" s="450">
        <v>86.42</v>
      </c>
      <c r="AJ332" s="450" t="s">
        <v>556</v>
      </c>
      <c r="AK332" s="450" t="s">
        <v>556</v>
      </c>
      <c r="AL332" s="450" t="s">
        <v>556</v>
      </c>
      <c r="AM332" s="133"/>
      <c r="AN332" s="134">
        <v>75</v>
      </c>
      <c r="AO332" s="450">
        <v>85.92</v>
      </c>
      <c r="AP332" s="450">
        <v>86.14</v>
      </c>
      <c r="AQ332" s="450">
        <v>86.34</v>
      </c>
      <c r="AR332" s="450">
        <v>86.54</v>
      </c>
      <c r="AS332" s="450">
        <v>86.71</v>
      </c>
      <c r="AT332" s="450">
        <v>86.88</v>
      </c>
      <c r="AU332" s="450">
        <v>87.03</v>
      </c>
      <c r="AV332" s="450">
        <v>87.16</v>
      </c>
      <c r="AW332" s="450">
        <v>87.28</v>
      </c>
      <c r="AX332" s="450">
        <v>87.39</v>
      </c>
      <c r="AY332" s="450">
        <v>87.47</v>
      </c>
      <c r="AZ332" s="450">
        <v>87.55</v>
      </c>
      <c r="BA332" s="450">
        <v>87.73</v>
      </c>
      <c r="BB332" s="450">
        <v>87.66</v>
      </c>
      <c r="BC332" s="450" t="s">
        <v>556</v>
      </c>
      <c r="BD332" s="450" t="s">
        <v>556</v>
      </c>
      <c r="BE332" s="450" t="s">
        <v>556</v>
      </c>
    </row>
    <row r="333" spans="2:57" x14ac:dyDescent="0.25">
      <c r="B333" s="134">
        <v>76</v>
      </c>
      <c r="C333" s="450">
        <v>84.23</v>
      </c>
      <c r="D333" s="450">
        <v>84.41</v>
      </c>
      <c r="E333" s="450">
        <v>84.58</v>
      </c>
      <c r="F333" s="450">
        <v>84.74</v>
      </c>
      <c r="G333" s="450">
        <v>84.89</v>
      </c>
      <c r="H333" s="450">
        <v>85.02</v>
      </c>
      <c r="I333" s="450">
        <v>85.14</v>
      </c>
      <c r="J333" s="450">
        <v>85.24</v>
      </c>
      <c r="K333" s="450">
        <v>85.33</v>
      </c>
      <c r="L333" s="450">
        <v>85.4</v>
      </c>
      <c r="M333" s="450">
        <v>85.46</v>
      </c>
      <c r="N333" s="450">
        <v>85.51</v>
      </c>
      <c r="O333" s="450">
        <v>85.56</v>
      </c>
      <c r="P333" s="450">
        <v>85.4</v>
      </c>
      <c r="Q333" s="450" t="s">
        <v>556</v>
      </c>
      <c r="R333" s="450" t="s">
        <v>556</v>
      </c>
      <c r="S333" s="450" t="s">
        <v>556</v>
      </c>
      <c r="T333" s="133"/>
      <c r="U333" s="134">
        <v>76</v>
      </c>
      <c r="V333" s="450">
        <v>85.18</v>
      </c>
      <c r="W333" s="450">
        <v>85.38</v>
      </c>
      <c r="X333" s="450">
        <v>85.57</v>
      </c>
      <c r="Y333" s="450">
        <v>85.74</v>
      </c>
      <c r="Z333" s="450">
        <v>85.9</v>
      </c>
      <c r="AA333" s="450">
        <v>86.05</v>
      </c>
      <c r="AB333" s="450">
        <v>86.18</v>
      </c>
      <c r="AC333" s="450">
        <v>86.3</v>
      </c>
      <c r="AD333" s="450">
        <v>86.4</v>
      </c>
      <c r="AE333" s="450">
        <v>86.49</v>
      </c>
      <c r="AF333" s="450">
        <v>86.56</v>
      </c>
      <c r="AG333" s="450">
        <v>86.62</v>
      </c>
      <c r="AH333" s="450">
        <v>86.72</v>
      </c>
      <c r="AI333" s="450">
        <v>86.59</v>
      </c>
      <c r="AJ333" s="450" t="s">
        <v>556</v>
      </c>
      <c r="AK333" s="450" t="s">
        <v>556</v>
      </c>
      <c r="AL333" s="450" t="s">
        <v>556</v>
      </c>
      <c r="AM333" s="133"/>
      <c r="AN333" s="134">
        <v>76</v>
      </c>
      <c r="AO333" s="450">
        <v>86.37</v>
      </c>
      <c r="AP333" s="450">
        <v>86.58</v>
      </c>
      <c r="AQ333" s="450">
        <v>86.78</v>
      </c>
      <c r="AR333" s="450">
        <v>86.97</v>
      </c>
      <c r="AS333" s="450">
        <v>87.14</v>
      </c>
      <c r="AT333" s="450">
        <v>87.29</v>
      </c>
      <c r="AU333" s="450">
        <v>87.43</v>
      </c>
      <c r="AV333" s="450">
        <v>87.55</v>
      </c>
      <c r="AW333" s="450">
        <v>87.66</v>
      </c>
      <c r="AX333" s="450">
        <v>87.75</v>
      </c>
      <c r="AY333" s="450">
        <v>87.83</v>
      </c>
      <c r="AZ333" s="450">
        <v>87.89</v>
      </c>
      <c r="BA333" s="450">
        <v>87.98</v>
      </c>
      <c r="BB333" s="450">
        <v>87.84</v>
      </c>
      <c r="BC333" s="450" t="s">
        <v>556</v>
      </c>
      <c r="BD333" s="450" t="s">
        <v>556</v>
      </c>
      <c r="BE333" s="450" t="s">
        <v>556</v>
      </c>
    </row>
    <row r="334" spans="2:57" x14ac:dyDescent="0.25">
      <c r="B334" s="134">
        <v>77</v>
      </c>
      <c r="C334" s="450">
        <v>84.61</v>
      </c>
      <c r="D334" s="450">
        <v>84.79</v>
      </c>
      <c r="E334" s="450">
        <v>84.95</v>
      </c>
      <c r="F334" s="450">
        <v>85.1</v>
      </c>
      <c r="G334" s="450">
        <v>85.23</v>
      </c>
      <c r="H334" s="450">
        <v>85.35</v>
      </c>
      <c r="I334" s="450">
        <v>85.46</v>
      </c>
      <c r="J334" s="450">
        <v>85.54</v>
      </c>
      <c r="K334" s="450">
        <v>85.62</v>
      </c>
      <c r="L334" s="450">
        <v>85.67</v>
      </c>
      <c r="M334" s="450">
        <v>85.72</v>
      </c>
      <c r="N334" s="450">
        <v>85.75</v>
      </c>
      <c r="O334" s="450">
        <v>85.71</v>
      </c>
      <c r="P334" s="450">
        <v>85.47</v>
      </c>
      <c r="Q334" s="450" t="s">
        <v>556</v>
      </c>
      <c r="R334" s="450" t="s">
        <v>556</v>
      </c>
      <c r="S334" s="450" t="s">
        <v>556</v>
      </c>
      <c r="T334" s="133"/>
      <c r="U334" s="134">
        <v>77</v>
      </c>
      <c r="V334" s="450">
        <v>85.59</v>
      </c>
      <c r="W334" s="450">
        <v>85.79</v>
      </c>
      <c r="X334" s="450">
        <v>85.97</v>
      </c>
      <c r="Y334" s="450">
        <v>86.13</v>
      </c>
      <c r="Z334" s="450">
        <v>86.29</v>
      </c>
      <c r="AA334" s="450">
        <v>86.42</v>
      </c>
      <c r="AB334" s="450">
        <v>86.54</v>
      </c>
      <c r="AC334" s="450">
        <v>86.64</v>
      </c>
      <c r="AD334" s="450">
        <v>86.73</v>
      </c>
      <c r="AE334" s="450">
        <v>86.8</v>
      </c>
      <c r="AF334" s="450">
        <v>86.85</v>
      </c>
      <c r="AG334" s="450">
        <v>86.89</v>
      </c>
      <c r="AH334" s="450">
        <v>86.91</v>
      </c>
      <c r="AI334" s="450">
        <v>86.71</v>
      </c>
      <c r="AJ334" s="450" t="s">
        <v>556</v>
      </c>
      <c r="AK334" s="450" t="s">
        <v>556</v>
      </c>
      <c r="AL334" s="450" t="s">
        <v>556</v>
      </c>
      <c r="AM334" s="133"/>
      <c r="AN334" s="134">
        <v>77</v>
      </c>
      <c r="AO334" s="450">
        <v>86.81</v>
      </c>
      <c r="AP334" s="450">
        <v>87.01</v>
      </c>
      <c r="AQ334" s="450">
        <v>87.21</v>
      </c>
      <c r="AR334" s="450">
        <v>87.38</v>
      </c>
      <c r="AS334" s="450">
        <v>87.54</v>
      </c>
      <c r="AT334" s="450">
        <v>87.68</v>
      </c>
      <c r="AU334" s="450">
        <v>87.81</v>
      </c>
      <c r="AV334" s="450">
        <v>87.92</v>
      </c>
      <c r="AW334" s="450">
        <v>88.01</v>
      </c>
      <c r="AX334" s="450">
        <v>88.08</v>
      </c>
      <c r="AY334" s="450">
        <v>88.14</v>
      </c>
      <c r="AZ334" s="450">
        <v>88.18</v>
      </c>
      <c r="BA334" s="450">
        <v>88.19</v>
      </c>
      <c r="BB334" s="450">
        <v>87.97</v>
      </c>
      <c r="BC334" s="450" t="s">
        <v>556</v>
      </c>
      <c r="BD334" s="450" t="s">
        <v>556</v>
      </c>
      <c r="BE334" s="450" t="s">
        <v>556</v>
      </c>
    </row>
    <row r="335" spans="2:57" x14ac:dyDescent="0.25">
      <c r="B335" s="134">
        <v>78</v>
      </c>
      <c r="C335" s="450">
        <v>84.98</v>
      </c>
      <c r="D335" s="450">
        <v>85.14</v>
      </c>
      <c r="E335" s="450">
        <v>85.29</v>
      </c>
      <c r="F335" s="450">
        <v>85.43</v>
      </c>
      <c r="G335" s="450">
        <v>85.55</v>
      </c>
      <c r="H335" s="450">
        <v>85.65</v>
      </c>
      <c r="I335" s="450">
        <v>85.74</v>
      </c>
      <c r="J335" s="450">
        <v>85.81</v>
      </c>
      <c r="K335" s="450">
        <v>85.86</v>
      </c>
      <c r="L335" s="450">
        <v>85.9</v>
      </c>
      <c r="M335" s="450">
        <v>85.93</v>
      </c>
      <c r="N335" s="450">
        <v>85.93</v>
      </c>
      <c r="O335" s="450">
        <v>85.8</v>
      </c>
      <c r="P335" s="450">
        <v>85.48</v>
      </c>
      <c r="Q335" s="450" t="s">
        <v>556</v>
      </c>
      <c r="R335" s="450" t="s">
        <v>556</v>
      </c>
      <c r="S335" s="450" t="s">
        <v>556</v>
      </c>
      <c r="T335" s="133"/>
      <c r="U335" s="134">
        <v>78</v>
      </c>
      <c r="V335" s="450">
        <v>86</v>
      </c>
      <c r="W335" s="450">
        <v>86.18</v>
      </c>
      <c r="X335" s="450">
        <v>86.35</v>
      </c>
      <c r="Y335" s="450">
        <v>86.5</v>
      </c>
      <c r="Z335" s="450">
        <v>86.64</v>
      </c>
      <c r="AA335" s="450">
        <v>86.76</v>
      </c>
      <c r="AB335" s="450">
        <v>86.86</v>
      </c>
      <c r="AC335" s="450">
        <v>86.95</v>
      </c>
      <c r="AD335" s="450">
        <v>87.02</v>
      </c>
      <c r="AE335" s="450">
        <v>87.07</v>
      </c>
      <c r="AF335" s="450">
        <v>87.1</v>
      </c>
      <c r="AG335" s="450">
        <v>87.12</v>
      </c>
      <c r="AH335" s="450">
        <v>87.04</v>
      </c>
      <c r="AI335" s="450">
        <v>86.76</v>
      </c>
      <c r="AJ335" s="450" t="s">
        <v>556</v>
      </c>
      <c r="AK335" s="450" t="s">
        <v>556</v>
      </c>
      <c r="AL335" s="450" t="s">
        <v>556</v>
      </c>
      <c r="AM335" s="133"/>
      <c r="AN335" s="134">
        <v>78</v>
      </c>
      <c r="AO335" s="450">
        <v>87.23</v>
      </c>
      <c r="AP335" s="450">
        <v>87.43</v>
      </c>
      <c r="AQ335" s="450">
        <v>87.61</v>
      </c>
      <c r="AR335" s="450">
        <v>87.77</v>
      </c>
      <c r="AS335" s="450">
        <v>87.92</v>
      </c>
      <c r="AT335" s="450">
        <v>88.04</v>
      </c>
      <c r="AU335" s="450">
        <v>88.15</v>
      </c>
      <c r="AV335" s="450">
        <v>88.24</v>
      </c>
      <c r="AW335" s="450">
        <v>88.32</v>
      </c>
      <c r="AX335" s="450">
        <v>88.37</v>
      </c>
      <c r="AY335" s="450">
        <v>88.41</v>
      </c>
      <c r="AZ335" s="450">
        <v>88.43</v>
      </c>
      <c r="BA335" s="450">
        <v>88.34</v>
      </c>
      <c r="BB335" s="450">
        <v>88.03</v>
      </c>
      <c r="BC335" s="450" t="s">
        <v>556</v>
      </c>
      <c r="BD335" s="450" t="s">
        <v>556</v>
      </c>
      <c r="BE335" s="450" t="s">
        <v>556</v>
      </c>
    </row>
    <row r="336" spans="2:57" x14ac:dyDescent="0.25">
      <c r="B336" s="134">
        <v>79</v>
      </c>
      <c r="C336" s="450">
        <v>85.32</v>
      </c>
      <c r="D336" s="450">
        <v>85.47</v>
      </c>
      <c r="E336" s="450">
        <v>85.61</v>
      </c>
      <c r="F336" s="450">
        <v>85.73</v>
      </c>
      <c r="G336" s="450">
        <v>85.83</v>
      </c>
      <c r="H336" s="450">
        <v>85.92</v>
      </c>
      <c r="I336" s="450">
        <v>85.98</v>
      </c>
      <c r="J336" s="450">
        <v>86.03</v>
      </c>
      <c r="K336" s="450">
        <v>86.06</v>
      </c>
      <c r="L336" s="450">
        <v>86.08</v>
      </c>
      <c r="M336" s="450">
        <v>86.08</v>
      </c>
      <c r="N336" s="450">
        <v>86.07</v>
      </c>
      <c r="O336" s="450">
        <v>85.82</v>
      </c>
      <c r="P336" s="450">
        <v>85.42</v>
      </c>
      <c r="Q336" s="450" t="s">
        <v>556</v>
      </c>
      <c r="R336" s="450" t="s">
        <v>556</v>
      </c>
      <c r="S336" s="450" t="s">
        <v>556</v>
      </c>
      <c r="T336" s="133"/>
      <c r="U336" s="134">
        <v>79</v>
      </c>
      <c r="V336" s="450">
        <v>86.38</v>
      </c>
      <c r="W336" s="450">
        <v>86.55</v>
      </c>
      <c r="X336" s="450">
        <v>86.71</v>
      </c>
      <c r="Y336" s="450">
        <v>86.84</v>
      </c>
      <c r="Z336" s="450">
        <v>86.96</v>
      </c>
      <c r="AA336" s="450">
        <v>87.06</v>
      </c>
      <c r="AB336" s="450">
        <v>87.15</v>
      </c>
      <c r="AC336" s="450">
        <v>87.21</v>
      </c>
      <c r="AD336" s="450">
        <v>87.26</v>
      </c>
      <c r="AE336" s="450">
        <v>87.29</v>
      </c>
      <c r="AF336" s="450">
        <v>87.3</v>
      </c>
      <c r="AG336" s="450">
        <v>87.3</v>
      </c>
      <c r="AH336" s="450">
        <v>87.11</v>
      </c>
      <c r="AI336" s="450">
        <v>86.75</v>
      </c>
      <c r="AJ336" s="450" t="s">
        <v>556</v>
      </c>
      <c r="AK336" s="450" t="s">
        <v>556</v>
      </c>
      <c r="AL336" s="450" t="s">
        <v>556</v>
      </c>
      <c r="AM336" s="133"/>
      <c r="AN336" s="134">
        <v>79</v>
      </c>
      <c r="AO336" s="450">
        <v>87.64</v>
      </c>
      <c r="AP336" s="450">
        <v>87.82</v>
      </c>
      <c r="AQ336" s="450">
        <v>87.99</v>
      </c>
      <c r="AR336" s="450">
        <v>88.13</v>
      </c>
      <c r="AS336" s="450">
        <v>88.26</v>
      </c>
      <c r="AT336" s="450">
        <v>88.37</v>
      </c>
      <c r="AU336" s="450">
        <v>88.46</v>
      </c>
      <c r="AV336" s="450">
        <v>88.53</v>
      </c>
      <c r="AW336" s="450">
        <v>88.58</v>
      </c>
      <c r="AX336" s="450">
        <v>88.61</v>
      </c>
      <c r="AY336" s="450">
        <v>88.63</v>
      </c>
      <c r="AZ336" s="450">
        <v>88.62</v>
      </c>
      <c r="BA336" s="450">
        <v>88.42</v>
      </c>
      <c r="BB336" s="450">
        <v>88.03</v>
      </c>
      <c r="BC336" s="450" t="s">
        <v>556</v>
      </c>
      <c r="BD336" s="450" t="s">
        <v>556</v>
      </c>
      <c r="BE336" s="450" t="s">
        <v>556</v>
      </c>
    </row>
    <row r="337" spans="2:57" x14ac:dyDescent="0.25">
      <c r="B337" s="134">
        <v>80</v>
      </c>
      <c r="C337" s="450">
        <v>85.64</v>
      </c>
      <c r="D337" s="450">
        <v>85.77</v>
      </c>
      <c r="E337" s="450">
        <v>85.89</v>
      </c>
      <c r="F337" s="450">
        <v>85.99</v>
      </c>
      <c r="G337" s="450">
        <v>86.07</v>
      </c>
      <c r="H337" s="450">
        <v>86.13</v>
      </c>
      <c r="I337" s="450">
        <v>86.17</v>
      </c>
      <c r="J337" s="450">
        <v>86.2</v>
      </c>
      <c r="K337" s="450">
        <v>86.21</v>
      </c>
      <c r="L337" s="450">
        <v>86.2</v>
      </c>
      <c r="M337" s="450">
        <v>86.17</v>
      </c>
      <c r="N337" s="450">
        <v>86.14</v>
      </c>
      <c r="O337" s="450">
        <v>85.77</v>
      </c>
      <c r="P337" s="450" t="s">
        <v>556</v>
      </c>
      <c r="Q337" s="450" t="s">
        <v>556</v>
      </c>
      <c r="R337" s="450" t="s">
        <v>556</v>
      </c>
      <c r="S337" s="450" t="s">
        <v>556</v>
      </c>
      <c r="T337" s="133"/>
      <c r="U337" s="134">
        <v>80</v>
      </c>
      <c r="V337" s="450">
        <v>86.73</v>
      </c>
      <c r="W337" s="450">
        <v>86.89</v>
      </c>
      <c r="X337" s="450">
        <v>87.03</v>
      </c>
      <c r="Y337" s="450">
        <v>87.14</v>
      </c>
      <c r="Z337" s="450">
        <v>87.24</v>
      </c>
      <c r="AA337" s="450">
        <v>87.32</v>
      </c>
      <c r="AB337" s="450">
        <v>87.38</v>
      </c>
      <c r="AC337" s="450">
        <v>87.42</v>
      </c>
      <c r="AD337" s="450">
        <v>87.44</v>
      </c>
      <c r="AE337" s="450">
        <v>87.45</v>
      </c>
      <c r="AF337" s="450">
        <v>87.44</v>
      </c>
      <c r="AG337" s="450">
        <v>87.41</v>
      </c>
      <c r="AH337" s="450">
        <v>87.1</v>
      </c>
      <c r="AI337" s="450" t="s">
        <v>556</v>
      </c>
      <c r="AJ337" s="450" t="s">
        <v>556</v>
      </c>
      <c r="AK337" s="450" t="s">
        <v>556</v>
      </c>
      <c r="AL337" s="450" t="s">
        <v>556</v>
      </c>
      <c r="AM337" s="133"/>
      <c r="AN337" s="134">
        <v>80</v>
      </c>
      <c r="AO337" s="450">
        <v>88.01</v>
      </c>
      <c r="AP337" s="450">
        <v>88.18</v>
      </c>
      <c r="AQ337" s="450">
        <v>88.33</v>
      </c>
      <c r="AR337" s="450">
        <v>88.45</v>
      </c>
      <c r="AS337" s="450">
        <v>88.56</v>
      </c>
      <c r="AT337" s="450">
        <v>88.65</v>
      </c>
      <c r="AU337" s="450">
        <v>88.71</v>
      </c>
      <c r="AV337" s="450">
        <v>88.76</v>
      </c>
      <c r="AW337" s="450">
        <v>88.78</v>
      </c>
      <c r="AX337" s="450">
        <v>88.79</v>
      </c>
      <c r="AY337" s="450">
        <v>88.78</v>
      </c>
      <c r="AZ337" s="450">
        <v>88.75</v>
      </c>
      <c r="BA337" s="450">
        <v>88.43</v>
      </c>
      <c r="BB337" s="450" t="s">
        <v>556</v>
      </c>
      <c r="BC337" s="450" t="s">
        <v>556</v>
      </c>
      <c r="BD337" s="450" t="s">
        <v>556</v>
      </c>
      <c r="BE337" s="450" t="s">
        <v>556</v>
      </c>
    </row>
    <row r="338" spans="2:57" x14ac:dyDescent="0.25">
      <c r="B338" s="134">
        <v>81</v>
      </c>
      <c r="C338" s="450">
        <v>85.92</v>
      </c>
      <c r="D338" s="450">
        <v>86.03</v>
      </c>
      <c r="E338" s="450">
        <v>86.13</v>
      </c>
      <c r="F338" s="450">
        <v>86.2</v>
      </c>
      <c r="G338" s="450">
        <v>86.26</v>
      </c>
      <c r="H338" s="450">
        <v>86.29</v>
      </c>
      <c r="I338" s="450">
        <v>86.31</v>
      </c>
      <c r="J338" s="450">
        <v>86.31</v>
      </c>
      <c r="K338" s="450">
        <v>86.29</v>
      </c>
      <c r="L338" s="450">
        <v>86.25</v>
      </c>
      <c r="M338" s="450">
        <v>86.2</v>
      </c>
      <c r="N338" s="450">
        <v>86.13</v>
      </c>
      <c r="O338" s="450">
        <v>85.64</v>
      </c>
      <c r="P338" s="450" t="s">
        <v>556</v>
      </c>
      <c r="Q338" s="450" t="s">
        <v>556</v>
      </c>
      <c r="R338" s="450" t="s">
        <v>556</v>
      </c>
      <c r="S338" s="450" t="s">
        <v>556</v>
      </c>
      <c r="T338" s="133"/>
      <c r="U338" s="134">
        <v>81</v>
      </c>
      <c r="V338" s="450">
        <v>87.05</v>
      </c>
      <c r="W338" s="450">
        <v>87.19</v>
      </c>
      <c r="X338" s="450">
        <v>87.3</v>
      </c>
      <c r="Y338" s="450">
        <v>87.4</v>
      </c>
      <c r="Z338" s="450">
        <v>87.47</v>
      </c>
      <c r="AA338" s="450">
        <v>87.52</v>
      </c>
      <c r="AB338" s="450">
        <v>87.56</v>
      </c>
      <c r="AC338" s="450">
        <v>87.57</v>
      </c>
      <c r="AD338" s="450">
        <v>87.56</v>
      </c>
      <c r="AE338" s="450">
        <v>87.54</v>
      </c>
      <c r="AF338" s="450">
        <v>87.5</v>
      </c>
      <c r="AG338" s="450">
        <v>87.45</v>
      </c>
      <c r="AH338" s="450">
        <v>87.02</v>
      </c>
      <c r="AI338" s="450" t="s">
        <v>556</v>
      </c>
      <c r="AJ338" s="450" t="s">
        <v>556</v>
      </c>
      <c r="AK338" s="450" t="s">
        <v>556</v>
      </c>
      <c r="AL338" s="450" t="s">
        <v>556</v>
      </c>
      <c r="AM338" s="133"/>
      <c r="AN338" s="134">
        <v>81</v>
      </c>
      <c r="AO338" s="450">
        <v>88.35</v>
      </c>
      <c r="AP338" s="450">
        <v>88.5</v>
      </c>
      <c r="AQ338" s="450">
        <v>88.62</v>
      </c>
      <c r="AR338" s="450">
        <v>88.73</v>
      </c>
      <c r="AS338" s="450">
        <v>88.81</v>
      </c>
      <c r="AT338" s="450">
        <v>88.87</v>
      </c>
      <c r="AU338" s="450">
        <v>88.91</v>
      </c>
      <c r="AV338" s="450">
        <v>88.92</v>
      </c>
      <c r="AW338" s="450">
        <v>88.92</v>
      </c>
      <c r="AX338" s="450">
        <v>88.9</v>
      </c>
      <c r="AY338" s="450">
        <v>88.86</v>
      </c>
      <c r="AZ338" s="450">
        <v>88.81</v>
      </c>
      <c r="BA338" s="450">
        <v>88.36</v>
      </c>
      <c r="BB338" s="450" t="s">
        <v>556</v>
      </c>
      <c r="BC338" s="450" t="s">
        <v>556</v>
      </c>
      <c r="BD338" s="450" t="s">
        <v>556</v>
      </c>
      <c r="BE338" s="450" t="s">
        <v>556</v>
      </c>
    </row>
    <row r="339" spans="2:57" x14ac:dyDescent="0.25">
      <c r="B339" s="134">
        <v>82</v>
      </c>
      <c r="C339" s="450">
        <v>86.15</v>
      </c>
      <c r="D339" s="450">
        <v>86.24</v>
      </c>
      <c r="E339" s="450">
        <v>86.31</v>
      </c>
      <c r="F339" s="450">
        <v>86.36</v>
      </c>
      <c r="G339" s="450">
        <v>86.38</v>
      </c>
      <c r="H339" s="450">
        <v>86.39</v>
      </c>
      <c r="I339" s="450">
        <v>86.37</v>
      </c>
      <c r="J339" s="450">
        <v>86.34</v>
      </c>
      <c r="K339" s="450">
        <v>86.29</v>
      </c>
      <c r="L339" s="450">
        <v>86.22</v>
      </c>
      <c r="M339" s="450">
        <v>86.14</v>
      </c>
      <c r="N339" s="450">
        <v>86.04</v>
      </c>
      <c r="O339" s="450">
        <v>85.42</v>
      </c>
      <c r="P339" s="450" t="s">
        <v>556</v>
      </c>
      <c r="Q339" s="450" t="s">
        <v>556</v>
      </c>
      <c r="R339" s="450" t="s">
        <v>556</v>
      </c>
      <c r="S339" s="450" t="s">
        <v>556</v>
      </c>
      <c r="T339" s="133"/>
      <c r="U339" s="134">
        <v>82</v>
      </c>
      <c r="V339" s="450">
        <v>87.33</v>
      </c>
      <c r="W339" s="450">
        <v>87.44</v>
      </c>
      <c r="X339" s="450">
        <v>87.53</v>
      </c>
      <c r="Y339" s="450">
        <v>87.59</v>
      </c>
      <c r="Z339" s="450">
        <v>87.64</v>
      </c>
      <c r="AA339" s="450">
        <v>87.66</v>
      </c>
      <c r="AB339" s="450">
        <v>87.67</v>
      </c>
      <c r="AC339" s="450">
        <v>87.65</v>
      </c>
      <c r="AD339" s="450">
        <v>87.61</v>
      </c>
      <c r="AE339" s="450">
        <v>87.56</v>
      </c>
      <c r="AF339" s="450">
        <v>87.49</v>
      </c>
      <c r="AG339" s="450">
        <v>87.41</v>
      </c>
      <c r="AH339" s="450">
        <v>86.85</v>
      </c>
      <c r="AI339" s="450" t="s">
        <v>556</v>
      </c>
      <c r="AJ339" s="450" t="s">
        <v>556</v>
      </c>
      <c r="AK339" s="450" t="s">
        <v>556</v>
      </c>
      <c r="AL339" s="450" t="s">
        <v>556</v>
      </c>
      <c r="AM339" s="133"/>
      <c r="AN339" s="134">
        <v>82</v>
      </c>
      <c r="AO339" s="450">
        <v>88.65</v>
      </c>
      <c r="AP339" s="450">
        <v>88.77</v>
      </c>
      <c r="AQ339" s="450">
        <v>88.87</v>
      </c>
      <c r="AR339" s="450">
        <v>88.94</v>
      </c>
      <c r="AS339" s="450">
        <v>89</v>
      </c>
      <c r="AT339" s="450">
        <v>89.03</v>
      </c>
      <c r="AU339" s="450">
        <v>89.03</v>
      </c>
      <c r="AV339" s="450">
        <v>89.02</v>
      </c>
      <c r="AW339" s="450">
        <v>88.99</v>
      </c>
      <c r="AX339" s="450">
        <v>88.93</v>
      </c>
      <c r="AY339" s="450">
        <v>88.86</v>
      </c>
      <c r="AZ339" s="450">
        <v>88.78</v>
      </c>
      <c r="BA339" s="450">
        <v>88.19</v>
      </c>
      <c r="BB339" s="450" t="s">
        <v>556</v>
      </c>
      <c r="BC339" s="450" t="s">
        <v>556</v>
      </c>
      <c r="BD339" s="450" t="s">
        <v>556</v>
      </c>
      <c r="BE339" s="450" t="s">
        <v>556</v>
      </c>
    </row>
    <row r="340" spans="2:57" x14ac:dyDescent="0.25">
      <c r="B340" s="134">
        <v>83</v>
      </c>
      <c r="C340" s="450">
        <v>86.33</v>
      </c>
      <c r="D340" s="450">
        <v>86.39</v>
      </c>
      <c r="E340" s="450">
        <v>86.43</v>
      </c>
      <c r="F340" s="450">
        <v>86.44</v>
      </c>
      <c r="G340" s="450">
        <v>86.44</v>
      </c>
      <c r="H340" s="450">
        <v>86.41</v>
      </c>
      <c r="I340" s="450">
        <v>86.36</v>
      </c>
      <c r="J340" s="450">
        <v>86.29</v>
      </c>
      <c r="K340" s="450">
        <v>86.21</v>
      </c>
      <c r="L340" s="450">
        <v>86.11</v>
      </c>
      <c r="M340" s="450">
        <v>85.99</v>
      </c>
      <c r="N340" s="450">
        <v>85.86</v>
      </c>
      <c r="O340" s="450">
        <v>85.11</v>
      </c>
      <c r="P340" s="450" t="s">
        <v>556</v>
      </c>
      <c r="Q340" s="450" t="s">
        <v>556</v>
      </c>
      <c r="R340" s="450" t="s">
        <v>556</v>
      </c>
      <c r="S340" s="450" t="s">
        <v>556</v>
      </c>
      <c r="T340" s="133"/>
      <c r="U340" s="134">
        <v>83</v>
      </c>
      <c r="V340" s="450">
        <v>87.56</v>
      </c>
      <c r="W340" s="450">
        <v>87.64</v>
      </c>
      <c r="X340" s="450">
        <v>87.69</v>
      </c>
      <c r="Y340" s="450">
        <v>87.73</v>
      </c>
      <c r="Z340" s="450">
        <v>87.74</v>
      </c>
      <c r="AA340" s="450">
        <v>87.73</v>
      </c>
      <c r="AB340" s="450">
        <v>87.7</v>
      </c>
      <c r="AC340" s="450">
        <v>87.65</v>
      </c>
      <c r="AD340" s="450">
        <v>87.58</v>
      </c>
      <c r="AE340" s="450">
        <v>87.49</v>
      </c>
      <c r="AF340" s="450">
        <v>87.39</v>
      </c>
      <c r="AG340" s="450">
        <v>87.28</v>
      </c>
      <c r="AH340" s="450">
        <v>86.58</v>
      </c>
      <c r="AI340" s="450" t="s">
        <v>556</v>
      </c>
      <c r="AJ340" s="450" t="s">
        <v>556</v>
      </c>
      <c r="AK340" s="450" t="s">
        <v>556</v>
      </c>
      <c r="AL340" s="450" t="s">
        <v>556</v>
      </c>
      <c r="AM340" s="133"/>
      <c r="AN340" s="134">
        <v>83</v>
      </c>
      <c r="AO340" s="450">
        <v>88.89</v>
      </c>
      <c r="AP340" s="450">
        <v>88.99</v>
      </c>
      <c r="AQ340" s="450">
        <v>89.05</v>
      </c>
      <c r="AR340" s="450">
        <v>89.1</v>
      </c>
      <c r="AS340" s="450">
        <v>89.12</v>
      </c>
      <c r="AT340" s="450">
        <v>89.11</v>
      </c>
      <c r="AU340" s="450">
        <v>89.08</v>
      </c>
      <c r="AV340" s="450">
        <v>89.04</v>
      </c>
      <c r="AW340" s="450">
        <v>88.97</v>
      </c>
      <c r="AX340" s="450">
        <v>88.88</v>
      </c>
      <c r="AY340" s="450">
        <v>88.78</v>
      </c>
      <c r="AZ340" s="450">
        <v>88.66</v>
      </c>
      <c r="BA340" s="450">
        <v>87.93</v>
      </c>
      <c r="BB340" s="450" t="s">
        <v>556</v>
      </c>
      <c r="BC340" s="450" t="s">
        <v>556</v>
      </c>
      <c r="BD340" s="450" t="s">
        <v>556</v>
      </c>
      <c r="BE340" s="450" t="s">
        <v>556</v>
      </c>
    </row>
    <row r="341" spans="2:57" x14ac:dyDescent="0.25">
      <c r="B341" s="134">
        <v>84</v>
      </c>
      <c r="C341" s="450">
        <v>86.45</v>
      </c>
      <c r="D341" s="450">
        <v>86.48</v>
      </c>
      <c r="E341" s="450">
        <v>86.48</v>
      </c>
      <c r="F341" s="450">
        <v>86.46</v>
      </c>
      <c r="G341" s="450">
        <v>86.42</v>
      </c>
      <c r="H341" s="450">
        <v>86.35</v>
      </c>
      <c r="I341" s="450">
        <v>86.26</v>
      </c>
      <c r="J341" s="450">
        <v>86.16</v>
      </c>
      <c r="K341" s="450">
        <v>86.04</v>
      </c>
      <c r="L341" s="450">
        <v>85.9</v>
      </c>
      <c r="M341" s="450">
        <v>85.75</v>
      </c>
      <c r="N341" s="450">
        <v>85.59</v>
      </c>
      <c r="O341" s="450">
        <v>84.69</v>
      </c>
      <c r="P341" s="450" t="s">
        <v>556</v>
      </c>
      <c r="Q341" s="450" t="s">
        <v>556</v>
      </c>
      <c r="R341" s="450" t="s">
        <v>556</v>
      </c>
      <c r="S341" s="450" t="s">
        <v>556</v>
      </c>
      <c r="T341" s="133"/>
      <c r="U341" s="134">
        <v>84</v>
      </c>
      <c r="V341" s="450">
        <v>87.72</v>
      </c>
      <c r="W341" s="450">
        <v>87.77</v>
      </c>
      <c r="X341" s="450">
        <v>87.79</v>
      </c>
      <c r="Y341" s="450">
        <v>87.79</v>
      </c>
      <c r="Z341" s="450">
        <v>87.76</v>
      </c>
      <c r="AA341" s="450">
        <v>87.72</v>
      </c>
      <c r="AB341" s="450">
        <v>87.65</v>
      </c>
      <c r="AC341" s="450">
        <v>87.56</v>
      </c>
      <c r="AD341" s="450">
        <v>87.46</v>
      </c>
      <c r="AE341" s="450">
        <v>87.33</v>
      </c>
      <c r="AF341" s="450">
        <v>87.2</v>
      </c>
      <c r="AG341" s="450">
        <v>87.05</v>
      </c>
      <c r="AH341" s="450">
        <v>86.21</v>
      </c>
      <c r="AI341" s="450" t="s">
        <v>556</v>
      </c>
      <c r="AJ341" s="450" t="s">
        <v>556</v>
      </c>
      <c r="AK341" s="450" t="s">
        <v>556</v>
      </c>
      <c r="AL341" s="450" t="s">
        <v>556</v>
      </c>
      <c r="AM341" s="133"/>
      <c r="AN341" s="134">
        <v>84</v>
      </c>
      <c r="AO341" s="450">
        <v>89.08</v>
      </c>
      <c r="AP341" s="450">
        <v>89.13</v>
      </c>
      <c r="AQ341" s="450">
        <v>89.17</v>
      </c>
      <c r="AR341" s="450">
        <v>89.17</v>
      </c>
      <c r="AS341" s="450">
        <v>89.16</v>
      </c>
      <c r="AT341" s="450">
        <v>89.11</v>
      </c>
      <c r="AU341" s="450">
        <v>89.05</v>
      </c>
      <c r="AV341" s="450">
        <v>88.96</v>
      </c>
      <c r="AW341" s="450">
        <v>88.86</v>
      </c>
      <c r="AX341" s="450">
        <v>88.73</v>
      </c>
      <c r="AY341" s="450">
        <v>88.59</v>
      </c>
      <c r="AZ341" s="450">
        <v>88.44</v>
      </c>
      <c r="BA341" s="450">
        <v>87.57</v>
      </c>
      <c r="BB341" s="450" t="s">
        <v>556</v>
      </c>
      <c r="BC341" s="450" t="s">
        <v>556</v>
      </c>
      <c r="BD341" s="450" t="s">
        <v>556</v>
      </c>
      <c r="BE341" s="450" t="s">
        <v>556</v>
      </c>
    </row>
    <row r="342" spans="2:57" x14ac:dyDescent="0.25">
      <c r="B342" s="134">
        <v>85</v>
      </c>
      <c r="C342" s="450">
        <v>86.5</v>
      </c>
      <c r="D342" s="450">
        <v>86.49</v>
      </c>
      <c r="E342" s="450">
        <v>86.45</v>
      </c>
      <c r="F342" s="450">
        <v>86.39</v>
      </c>
      <c r="G342" s="450">
        <v>86.31</v>
      </c>
      <c r="H342" s="450">
        <v>86.2</v>
      </c>
      <c r="I342" s="450">
        <v>86.07</v>
      </c>
      <c r="J342" s="450">
        <v>85.93</v>
      </c>
      <c r="K342" s="450">
        <v>85.77</v>
      </c>
      <c r="L342" s="450">
        <v>85.59</v>
      </c>
      <c r="M342" s="450">
        <v>85.4</v>
      </c>
      <c r="N342" s="450">
        <v>85.21</v>
      </c>
      <c r="O342" s="450" t="s">
        <v>556</v>
      </c>
      <c r="P342" s="450" t="s">
        <v>556</v>
      </c>
      <c r="Q342" s="450" t="s">
        <v>556</v>
      </c>
      <c r="R342" s="450" t="s">
        <v>556</v>
      </c>
      <c r="S342" s="450" t="s">
        <v>556</v>
      </c>
      <c r="T342" s="133"/>
      <c r="U342" s="134">
        <v>85</v>
      </c>
      <c r="V342" s="450">
        <v>87.81</v>
      </c>
      <c r="W342" s="450">
        <v>87.82</v>
      </c>
      <c r="X342" s="450">
        <v>87.81</v>
      </c>
      <c r="Y342" s="450">
        <v>87.76</v>
      </c>
      <c r="Z342" s="450">
        <v>87.7</v>
      </c>
      <c r="AA342" s="450">
        <v>87.61</v>
      </c>
      <c r="AB342" s="450">
        <v>87.5</v>
      </c>
      <c r="AC342" s="450">
        <v>87.38</v>
      </c>
      <c r="AD342" s="450">
        <v>87.23</v>
      </c>
      <c r="AE342" s="450">
        <v>87.07</v>
      </c>
      <c r="AF342" s="450">
        <v>86.9</v>
      </c>
      <c r="AG342" s="450">
        <v>86.72</v>
      </c>
      <c r="AH342" s="450" t="s">
        <v>556</v>
      </c>
      <c r="AI342" s="450" t="s">
        <v>556</v>
      </c>
      <c r="AJ342" s="450" t="s">
        <v>556</v>
      </c>
      <c r="AK342" s="450" t="s">
        <v>556</v>
      </c>
      <c r="AL342" s="450" t="s">
        <v>556</v>
      </c>
      <c r="AM342" s="133"/>
      <c r="AN342" s="134">
        <v>85</v>
      </c>
      <c r="AO342" s="450">
        <v>89.19</v>
      </c>
      <c r="AP342" s="450">
        <v>89.21</v>
      </c>
      <c r="AQ342" s="450">
        <v>89.2</v>
      </c>
      <c r="AR342" s="450">
        <v>89.17</v>
      </c>
      <c r="AS342" s="450">
        <v>89.11</v>
      </c>
      <c r="AT342" s="450">
        <v>89.02</v>
      </c>
      <c r="AU342" s="450">
        <v>88.92</v>
      </c>
      <c r="AV342" s="450">
        <v>88.79</v>
      </c>
      <c r="AW342" s="450">
        <v>88.64</v>
      </c>
      <c r="AX342" s="450">
        <v>88.48</v>
      </c>
      <c r="AY342" s="450">
        <v>88.3</v>
      </c>
      <c r="AZ342" s="450">
        <v>88.12</v>
      </c>
      <c r="BA342" s="450" t="s">
        <v>556</v>
      </c>
      <c r="BB342" s="450" t="s">
        <v>556</v>
      </c>
      <c r="BC342" s="450" t="s">
        <v>556</v>
      </c>
      <c r="BD342" s="450" t="s">
        <v>556</v>
      </c>
      <c r="BE342" s="450" t="s">
        <v>556</v>
      </c>
    </row>
    <row r="343" spans="2:57" x14ac:dyDescent="0.25">
      <c r="B343" s="134">
        <v>86</v>
      </c>
      <c r="C343" s="450">
        <v>86.47</v>
      </c>
      <c r="D343" s="450">
        <v>86.42</v>
      </c>
      <c r="E343" s="450">
        <v>86.33</v>
      </c>
      <c r="F343" s="450">
        <v>86.23</v>
      </c>
      <c r="G343" s="450">
        <v>86.1</v>
      </c>
      <c r="H343" s="450">
        <v>85.95</v>
      </c>
      <c r="I343" s="450">
        <v>85.78</v>
      </c>
      <c r="J343" s="450">
        <v>85.59</v>
      </c>
      <c r="K343" s="450">
        <v>85.39</v>
      </c>
      <c r="L343" s="450">
        <v>85.17</v>
      </c>
      <c r="M343" s="450">
        <v>84.95</v>
      </c>
      <c r="N343" s="450">
        <v>84.71</v>
      </c>
      <c r="O343" s="450" t="s">
        <v>556</v>
      </c>
      <c r="P343" s="450" t="s">
        <v>556</v>
      </c>
      <c r="Q343" s="450" t="s">
        <v>556</v>
      </c>
      <c r="R343" s="450" t="s">
        <v>556</v>
      </c>
      <c r="S343" s="450" t="s">
        <v>556</v>
      </c>
      <c r="T343" s="133"/>
      <c r="U343" s="134">
        <v>86</v>
      </c>
      <c r="V343" s="450">
        <v>87.83</v>
      </c>
      <c r="W343" s="450">
        <v>87.79</v>
      </c>
      <c r="X343" s="450">
        <v>87.73</v>
      </c>
      <c r="Y343" s="450">
        <v>87.65</v>
      </c>
      <c r="Z343" s="450">
        <v>87.54</v>
      </c>
      <c r="AA343" s="450">
        <v>87.41</v>
      </c>
      <c r="AB343" s="450">
        <v>87.26</v>
      </c>
      <c r="AC343" s="450">
        <v>87.09</v>
      </c>
      <c r="AD343" s="450">
        <v>86.9</v>
      </c>
      <c r="AE343" s="450">
        <v>86.7</v>
      </c>
      <c r="AF343" s="450">
        <v>86.49</v>
      </c>
      <c r="AG343" s="450">
        <v>86.27</v>
      </c>
      <c r="AH343" s="450" t="s">
        <v>556</v>
      </c>
      <c r="AI343" s="450" t="s">
        <v>556</v>
      </c>
      <c r="AJ343" s="450" t="s">
        <v>556</v>
      </c>
      <c r="AK343" s="450" t="s">
        <v>556</v>
      </c>
      <c r="AL343" s="450" t="s">
        <v>556</v>
      </c>
      <c r="AM343" s="133"/>
      <c r="AN343" s="134">
        <v>86</v>
      </c>
      <c r="AO343" s="450">
        <v>89.22</v>
      </c>
      <c r="AP343" s="450">
        <v>89.2</v>
      </c>
      <c r="AQ343" s="450">
        <v>89.14</v>
      </c>
      <c r="AR343" s="450">
        <v>89.07</v>
      </c>
      <c r="AS343" s="450">
        <v>88.96</v>
      </c>
      <c r="AT343" s="450">
        <v>88.83</v>
      </c>
      <c r="AU343" s="450">
        <v>88.68</v>
      </c>
      <c r="AV343" s="450">
        <v>88.51</v>
      </c>
      <c r="AW343" s="450">
        <v>88.32</v>
      </c>
      <c r="AX343" s="450">
        <v>88.12</v>
      </c>
      <c r="AY343" s="450">
        <v>87.9</v>
      </c>
      <c r="AZ343" s="450">
        <v>87.68</v>
      </c>
      <c r="BA343" s="450" t="s">
        <v>556</v>
      </c>
      <c r="BB343" s="450" t="s">
        <v>556</v>
      </c>
      <c r="BC343" s="450" t="s">
        <v>556</v>
      </c>
      <c r="BD343" s="450" t="s">
        <v>556</v>
      </c>
      <c r="BE343" s="450" t="s">
        <v>556</v>
      </c>
    </row>
    <row r="344" spans="2:57" x14ac:dyDescent="0.25">
      <c r="B344" s="134">
        <v>87</v>
      </c>
      <c r="C344" s="450">
        <v>86.35</v>
      </c>
      <c r="D344" s="450">
        <v>86.25</v>
      </c>
      <c r="E344" s="450">
        <v>86.12</v>
      </c>
      <c r="F344" s="450">
        <v>85.96</v>
      </c>
      <c r="G344" s="450">
        <v>85.79</v>
      </c>
      <c r="H344" s="450">
        <v>85.59</v>
      </c>
      <c r="I344" s="450">
        <v>85.38</v>
      </c>
      <c r="J344" s="450">
        <v>85.14</v>
      </c>
      <c r="K344" s="450">
        <v>84.9</v>
      </c>
      <c r="L344" s="450">
        <v>84.64</v>
      </c>
      <c r="M344" s="450">
        <v>84.38</v>
      </c>
      <c r="N344" s="450">
        <v>84.1</v>
      </c>
      <c r="O344" s="450" t="s">
        <v>556</v>
      </c>
      <c r="P344" s="450" t="s">
        <v>556</v>
      </c>
      <c r="Q344" s="450" t="s">
        <v>556</v>
      </c>
      <c r="R344" s="450" t="s">
        <v>556</v>
      </c>
      <c r="S344" s="450" t="s">
        <v>556</v>
      </c>
      <c r="T344" s="133"/>
      <c r="U344" s="134">
        <v>87</v>
      </c>
      <c r="V344" s="450">
        <v>87.76</v>
      </c>
      <c r="W344" s="450">
        <v>87.67</v>
      </c>
      <c r="X344" s="450">
        <v>87.57</v>
      </c>
      <c r="Y344" s="450">
        <v>87.43</v>
      </c>
      <c r="Z344" s="450">
        <v>87.28</v>
      </c>
      <c r="AA344" s="450">
        <v>87.1</v>
      </c>
      <c r="AB344" s="450">
        <v>86.9</v>
      </c>
      <c r="AC344" s="450">
        <v>86.69</v>
      </c>
      <c r="AD344" s="450">
        <v>86.46</v>
      </c>
      <c r="AE344" s="450">
        <v>86.22</v>
      </c>
      <c r="AF344" s="450">
        <v>85.97</v>
      </c>
      <c r="AG344" s="450">
        <v>85.71</v>
      </c>
      <c r="AH344" s="450" t="s">
        <v>556</v>
      </c>
      <c r="AI344" s="450" t="s">
        <v>556</v>
      </c>
      <c r="AJ344" s="450" t="s">
        <v>556</v>
      </c>
      <c r="AK344" s="450" t="s">
        <v>556</v>
      </c>
      <c r="AL344" s="450" t="s">
        <v>556</v>
      </c>
      <c r="AM344" s="133"/>
      <c r="AN344" s="134">
        <v>87</v>
      </c>
      <c r="AO344" s="450">
        <v>89.16</v>
      </c>
      <c r="AP344" s="450">
        <v>89.09</v>
      </c>
      <c r="AQ344" s="450">
        <v>88.99</v>
      </c>
      <c r="AR344" s="450">
        <v>88.86</v>
      </c>
      <c r="AS344" s="450">
        <v>88.71</v>
      </c>
      <c r="AT344" s="450">
        <v>88.53</v>
      </c>
      <c r="AU344" s="450">
        <v>88.34</v>
      </c>
      <c r="AV344" s="450">
        <v>88.12</v>
      </c>
      <c r="AW344" s="450">
        <v>87.89</v>
      </c>
      <c r="AX344" s="450">
        <v>87.64</v>
      </c>
      <c r="AY344" s="450">
        <v>87.39</v>
      </c>
      <c r="AZ344" s="450">
        <v>87.12</v>
      </c>
      <c r="BA344" s="450" t="s">
        <v>556</v>
      </c>
      <c r="BB344" s="450" t="s">
        <v>556</v>
      </c>
      <c r="BC344" s="450" t="s">
        <v>556</v>
      </c>
      <c r="BD344" s="450" t="s">
        <v>556</v>
      </c>
      <c r="BE344" s="450" t="s">
        <v>556</v>
      </c>
    </row>
    <row r="345" spans="2:57" x14ac:dyDescent="0.25">
      <c r="B345" s="134">
        <v>88</v>
      </c>
      <c r="C345" s="450">
        <v>86.14</v>
      </c>
      <c r="D345" s="450">
        <v>85.98</v>
      </c>
      <c r="E345" s="450">
        <v>85.8</v>
      </c>
      <c r="F345" s="450">
        <v>85.59</v>
      </c>
      <c r="G345" s="450">
        <v>85.37</v>
      </c>
      <c r="H345" s="450">
        <v>85.12</v>
      </c>
      <c r="I345" s="450">
        <v>84.86</v>
      </c>
      <c r="J345" s="450">
        <v>84.58</v>
      </c>
      <c r="K345" s="450">
        <v>84.29</v>
      </c>
      <c r="L345" s="450">
        <v>83.99</v>
      </c>
      <c r="M345" s="450">
        <v>83.68</v>
      </c>
      <c r="N345" s="450">
        <v>83.37</v>
      </c>
      <c r="O345" s="450" t="s">
        <v>556</v>
      </c>
      <c r="P345" s="450" t="s">
        <v>556</v>
      </c>
      <c r="Q345" s="450" t="s">
        <v>556</v>
      </c>
      <c r="R345" s="450" t="s">
        <v>556</v>
      </c>
      <c r="S345" s="450" t="s">
        <v>556</v>
      </c>
      <c r="T345" s="133"/>
      <c r="U345" s="134">
        <v>88</v>
      </c>
      <c r="V345" s="450">
        <v>87.58</v>
      </c>
      <c r="W345" s="450">
        <v>87.45</v>
      </c>
      <c r="X345" s="450">
        <v>87.29</v>
      </c>
      <c r="Y345" s="450">
        <v>87.11</v>
      </c>
      <c r="Z345" s="450">
        <v>86.9</v>
      </c>
      <c r="AA345" s="450">
        <v>86.67</v>
      </c>
      <c r="AB345" s="450">
        <v>86.43</v>
      </c>
      <c r="AC345" s="450">
        <v>86.17</v>
      </c>
      <c r="AD345" s="450">
        <v>85.89</v>
      </c>
      <c r="AE345" s="450">
        <v>85.61</v>
      </c>
      <c r="AF345" s="450">
        <v>85.32</v>
      </c>
      <c r="AG345" s="450">
        <v>85.03</v>
      </c>
      <c r="AH345" s="450" t="s">
        <v>556</v>
      </c>
      <c r="AI345" s="450" t="s">
        <v>556</v>
      </c>
      <c r="AJ345" s="450" t="s">
        <v>556</v>
      </c>
      <c r="AK345" s="450" t="s">
        <v>556</v>
      </c>
      <c r="AL345" s="450" t="s">
        <v>556</v>
      </c>
      <c r="AM345" s="133"/>
      <c r="AN345" s="134">
        <v>88</v>
      </c>
      <c r="AO345" s="450">
        <v>89</v>
      </c>
      <c r="AP345" s="450">
        <v>88.88</v>
      </c>
      <c r="AQ345" s="450">
        <v>88.73</v>
      </c>
      <c r="AR345" s="450">
        <v>88.55</v>
      </c>
      <c r="AS345" s="450">
        <v>88.34</v>
      </c>
      <c r="AT345" s="450">
        <v>88.12</v>
      </c>
      <c r="AU345" s="450">
        <v>87.87</v>
      </c>
      <c r="AV345" s="450">
        <v>87.61</v>
      </c>
      <c r="AW345" s="450">
        <v>87.33</v>
      </c>
      <c r="AX345" s="450">
        <v>87.04</v>
      </c>
      <c r="AY345" s="450">
        <v>86.74</v>
      </c>
      <c r="AZ345" s="450">
        <v>86.44</v>
      </c>
      <c r="BA345" s="450" t="s">
        <v>556</v>
      </c>
      <c r="BB345" s="450" t="s">
        <v>556</v>
      </c>
      <c r="BC345" s="450" t="s">
        <v>556</v>
      </c>
      <c r="BD345" s="450" t="s">
        <v>556</v>
      </c>
      <c r="BE345" s="450" t="s">
        <v>556</v>
      </c>
    </row>
    <row r="346" spans="2:57" x14ac:dyDescent="0.25">
      <c r="B346" s="134">
        <v>89</v>
      </c>
      <c r="C346" s="450">
        <v>85.81</v>
      </c>
      <c r="D346" s="450">
        <v>85.6</v>
      </c>
      <c r="E346" s="450">
        <v>85.36</v>
      </c>
      <c r="F346" s="450">
        <v>85.1</v>
      </c>
      <c r="G346" s="450">
        <v>84.83</v>
      </c>
      <c r="H346" s="450">
        <v>84.53</v>
      </c>
      <c r="I346" s="450">
        <v>84.21</v>
      </c>
      <c r="J346" s="450">
        <v>83.89</v>
      </c>
      <c r="K346" s="450">
        <v>83.55</v>
      </c>
      <c r="L346" s="450">
        <v>83.21</v>
      </c>
      <c r="M346" s="450">
        <v>82.86</v>
      </c>
      <c r="N346" s="450">
        <v>82.51</v>
      </c>
      <c r="O346" s="450" t="s">
        <v>556</v>
      </c>
      <c r="P346" s="450" t="s">
        <v>556</v>
      </c>
      <c r="Q346" s="450" t="s">
        <v>556</v>
      </c>
      <c r="R346" s="450" t="s">
        <v>556</v>
      </c>
      <c r="S346" s="450" t="s">
        <v>556</v>
      </c>
      <c r="T346" s="133"/>
      <c r="U346" s="134">
        <v>89</v>
      </c>
      <c r="V346" s="450">
        <v>87.31</v>
      </c>
      <c r="W346" s="450">
        <v>87.12</v>
      </c>
      <c r="X346" s="450">
        <v>86.9</v>
      </c>
      <c r="Y346" s="450">
        <v>86.67</v>
      </c>
      <c r="Z346" s="450">
        <v>86.41</v>
      </c>
      <c r="AA346" s="450">
        <v>86.13</v>
      </c>
      <c r="AB346" s="450">
        <v>85.83</v>
      </c>
      <c r="AC346" s="450">
        <v>85.52</v>
      </c>
      <c r="AD346" s="450">
        <v>85.2</v>
      </c>
      <c r="AE346" s="450">
        <v>84.88</v>
      </c>
      <c r="AF346" s="450">
        <v>84.55</v>
      </c>
      <c r="AG346" s="450">
        <v>84.22</v>
      </c>
      <c r="AH346" s="450" t="s">
        <v>556</v>
      </c>
      <c r="AI346" s="450" t="s">
        <v>556</v>
      </c>
      <c r="AJ346" s="450" t="s">
        <v>556</v>
      </c>
      <c r="AK346" s="450" t="s">
        <v>556</v>
      </c>
      <c r="AL346" s="450" t="s">
        <v>556</v>
      </c>
      <c r="AM346" s="133"/>
      <c r="AN346" s="134">
        <v>89</v>
      </c>
      <c r="AO346" s="450">
        <v>88.74</v>
      </c>
      <c r="AP346" s="450">
        <v>88.56</v>
      </c>
      <c r="AQ346" s="450">
        <v>88.35</v>
      </c>
      <c r="AR346" s="450">
        <v>88.12</v>
      </c>
      <c r="AS346" s="450">
        <v>87.86</v>
      </c>
      <c r="AT346" s="450">
        <v>87.58</v>
      </c>
      <c r="AU346" s="450">
        <v>87.28</v>
      </c>
      <c r="AV346" s="450">
        <v>86.97</v>
      </c>
      <c r="AW346" s="450">
        <v>86.64</v>
      </c>
      <c r="AX346" s="450">
        <v>86.31</v>
      </c>
      <c r="AY346" s="450">
        <v>85.97</v>
      </c>
      <c r="AZ346" s="450">
        <v>85.64</v>
      </c>
      <c r="BA346" s="450" t="s">
        <v>556</v>
      </c>
      <c r="BB346" s="450" t="s">
        <v>556</v>
      </c>
      <c r="BC346" s="450" t="s">
        <v>556</v>
      </c>
      <c r="BD346" s="450" t="s">
        <v>556</v>
      </c>
      <c r="BE346" s="450" t="s">
        <v>556</v>
      </c>
    </row>
    <row r="347" spans="2:57" x14ac:dyDescent="0.25">
      <c r="B347" s="134">
        <v>90</v>
      </c>
      <c r="C347" s="450">
        <v>85.37</v>
      </c>
      <c r="D347" s="450">
        <v>85.1</v>
      </c>
      <c r="E347" s="450">
        <v>84.81</v>
      </c>
      <c r="F347" s="450">
        <v>84.49</v>
      </c>
      <c r="G347" s="450">
        <v>84.16</v>
      </c>
      <c r="H347" s="450">
        <v>83.81</v>
      </c>
      <c r="I347" s="450">
        <v>83.44</v>
      </c>
      <c r="J347" s="450">
        <v>83.07</v>
      </c>
      <c r="K347" s="450">
        <v>82.68</v>
      </c>
      <c r="L347" s="450">
        <v>82.3</v>
      </c>
      <c r="M347" s="450">
        <v>81.91</v>
      </c>
      <c r="N347" s="450" t="s">
        <v>556</v>
      </c>
      <c r="O347" s="450" t="s">
        <v>556</v>
      </c>
      <c r="P347" s="450" t="s">
        <v>556</v>
      </c>
      <c r="Q347" s="450" t="s">
        <v>556</v>
      </c>
      <c r="R347" s="450" t="s">
        <v>556</v>
      </c>
      <c r="S347" s="450" t="s">
        <v>556</v>
      </c>
      <c r="T347" s="133"/>
      <c r="U347" s="134">
        <v>90</v>
      </c>
      <c r="V347" s="450">
        <v>86.92</v>
      </c>
      <c r="W347" s="450">
        <v>86.67</v>
      </c>
      <c r="X347" s="450">
        <v>86.4</v>
      </c>
      <c r="Y347" s="450">
        <v>86.1</v>
      </c>
      <c r="Z347" s="450">
        <v>85.79</v>
      </c>
      <c r="AA347" s="450">
        <v>85.45</v>
      </c>
      <c r="AB347" s="450">
        <v>85.11</v>
      </c>
      <c r="AC347" s="450">
        <v>84.75</v>
      </c>
      <c r="AD347" s="450">
        <v>84.38</v>
      </c>
      <c r="AE347" s="450">
        <v>84.01</v>
      </c>
      <c r="AF347" s="450">
        <v>83.64</v>
      </c>
      <c r="AG347" s="450" t="s">
        <v>556</v>
      </c>
      <c r="AH347" s="450" t="s">
        <v>556</v>
      </c>
      <c r="AI347" s="450" t="s">
        <v>556</v>
      </c>
      <c r="AJ347" s="450" t="s">
        <v>556</v>
      </c>
      <c r="AK347" s="450" t="s">
        <v>556</v>
      </c>
      <c r="AL347" s="450" t="s">
        <v>556</v>
      </c>
      <c r="AM347" s="133"/>
      <c r="AN347" s="134">
        <v>90</v>
      </c>
      <c r="AO347" s="450">
        <v>88.36</v>
      </c>
      <c r="AP347" s="450">
        <v>88.12</v>
      </c>
      <c r="AQ347" s="450">
        <v>87.85</v>
      </c>
      <c r="AR347" s="450">
        <v>87.56</v>
      </c>
      <c r="AS347" s="450">
        <v>87.24</v>
      </c>
      <c r="AT347" s="450">
        <v>86.91</v>
      </c>
      <c r="AU347" s="450">
        <v>86.56</v>
      </c>
      <c r="AV347" s="450">
        <v>86.2</v>
      </c>
      <c r="AW347" s="450">
        <v>85.83</v>
      </c>
      <c r="AX347" s="450">
        <v>85.45</v>
      </c>
      <c r="AY347" s="450">
        <v>85.08</v>
      </c>
      <c r="AZ347" s="450" t="s">
        <v>556</v>
      </c>
      <c r="BA347" s="450" t="s">
        <v>556</v>
      </c>
      <c r="BB347" s="450" t="s">
        <v>556</v>
      </c>
      <c r="BC347" s="450" t="s">
        <v>556</v>
      </c>
      <c r="BD347" s="450" t="s">
        <v>556</v>
      </c>
      <c r="BE347" s="450" t="s">
        <v>556</v>
      </c>
    </row>
    <row r="348" spans="2:57" x14ac:dyDescent="0.25">
      <c r="B348" s="134">
        <v>91</v>
      </c>
      <c r="C348" s="450">
        <v>84.82</v>
      </c>
      <c r="D348" s="450">
        <v>84.49</v>
      </c>
      <c r="E348" s="450">
        <v>84.13</v>
      </c>
      <c r="F348" s="450">
        <v>83.76</v>
      </c>
      <c r="G348" s="450">
        <v>83.36</v>
      </c>
      <c r="H348" s="450">
        <v>82.96</v>
      </c>
      <c r="I348" s="450">
        <v>82.54</v>
      </c>
      <c r="J348" s="450">
        <v>82.11</v>
      </c>
      <c r="K348" s="450">
        <v>81.680000000000007</v>
      </c>
      <c r="L348" s="450">
        <v>81.25</v>
      </c>
      <c r="M348" s="450" t="s">
        <v>556</v>
      </c>
      <c r="N348" s="450" t="s">
        <v>556</v>
      </c>
      <c r="O348" s="450" t="s">
        <v>556</v>
      </c>
      <c r="P348" s="450" t="s">
        <v>556</v>
      </c>
      <c r="Q348" s="450" t="s">
        <v>556</v>
      </c>
      <c r="R348" s="450" t="s">
        <v>556</v>
      </c>
      <c r="S348" s="450" t="s">
        <v>556</v>
      </c>
      <c r="T348" s="133"/>
      <c r="U348" s="134">
        <v>91</v>
      </c>
      <c r="V348" s="450">
        <v>86.41</v>
      </c>
      <c r="W348" s="450">
        <v>86.1</v>
      </c>
      <c r="X348" s="450">
        <v>85.76</v>
      </c>
      <c r="Y348" s="450">
        <v>85.41</v>
      </c>
      <c r="Z348" s="450">
        <v>85.04</v>
      </c>
      <c r="AA348" s="450">
        <v>84.65</v>
      </c>
      <c r="AB348" s="450">
        <v>84.25</v>
      </c>
      <c r="AC348" s="450">
        <v>83.84</v>
      </c>
      <c r="AD348" s="450">
        <v>83.43</v>
      </c>
      <c r="AE348" s="450">
        <v>83.02</v>
      </c>
      <c r="AF348" s="450" t="s">
        <v>556</v>
      </c>
      <c r="AG348" s="450" t="s">
        <v>556</v>
      </c>
      <c r="AH348" s="450" t="s">
        <v>556</v>
      </c>
      <c r="AI348" s="450" t="s">
        <v>556</v>
      </c>
      <c r="AJ348" s="450" t="s">
        <v>556</v>
      </c>
      <c r="AK348" s="450" t="s">
        <v>556</v>
      </c>
      <c r="AL348" s="450" t="s">
        <v>556</v>
      </c>
      <c r="AM348" s="133"/>
      <c r="AN348" s="134">
        <v>91</v>
      </c>
      <c r="AO348" s="450">
        <v>87.85</v>
      </c>
      <c r="AP348" s="450">
        <v>87.55</v>
      </c>
      <c r="AQ348" s="450">
        <v>87.22</v>
      </c>
      <c r="AR348" s="450">
        <v>86.87</v>
      </c>
      <c r="AS348" s="450">
        <v>86.5</v>
      </c>
      <c r="AT348" s="450">
        <v>86.11</v>
      </c>
      <c r="AU348" s="450">
        <v>85.71</v>
      </c>
      <c r="AV348" s="450">
        <v>85.3</v>
      </c>
      <c r="AW348" s="450">
        <v>84.88</v>
      </c>
      <c r="AX348" s="450">
        <v>84.46</v>
      </c>
      <c r="AY348" s="450" t="s">
        <v>556</v>
      </c>
      <c r="AZ348" s="450" t="s">
        <v>556</v>
      </c>
      <c r="BA348" s="450" t="s">
        <v>556</v>
      </c>
      <c r="BB348" s="450" t="s">
        <v>556</v>
      </c>
      <c r="BC348" s="450" t="s">
        <v>556</v>
      </c>
      <c r="BD348" s="450" t="s">
        <v>556</v>
      </c>
      <c r="BE348" s="450" t="s">
        <v>556</v>
      </c>
    </row>
    <row r="349" spans="2:57" x14ac:dyDescent="0.25">
      <c r="B349" s="134">
        <v>92</v>
      </c>
      <c r="C349" s="450">
        <v>84.13</v>
      </c>
      <c r="D349" s="450">
        <v>83.74</v>
      </c>
      <c r="E349" s="450">
        <v>83.32</v>
      </c>
      <c r="F349" s="450">
        <v>82.89</v>
      </c>
      <c r="G349" s="450">
        <v>82.44</v>
      </c>
      <c r="H349" s="450">
        <v>81.97</v>
      </c>
      <c r="I349" s="450">
        <v>81.5</v>
      </c>
      <c r="J349" s="450">
        <v>81.03</v>
      </c>
      <c r="K349" s="450">
        <v>80.55</v>
      </c>
      <c r="L349" s="450" t="s">
        <v>556</v>
      </c>
      <c r="M349" s="450" t="s">
        <v>556</v>
      </c>
      <c r="N349" s="450" t="s">
        <v>556</v>
      </c>
      <c r="O349" s="450" t="s">
        <v>556</v>
      </c>
      <c r="P349" s="450" t="s">
        <v>556</v>
      </c>
      <c r="Q349" s="450" t="s">
        <v>556</v>
      </c>
      <c r="R349" s="450" t="s">
        <v>556</v>
      </c>
      <c r="S349" s="450" t="s">
        <v>556</v>
      </c>
      <c r="T349" s="133"/>
      <c r="U349" s="134">
        <v>92</v>
      </c>
      <c r="V349" s="450">
        <v>85.77</v>
      </c>
      <c r="W349" s="450">
        <v>85.39</v>
      </c>
      <c r="X349" s="450">
        <v>85</v>
      </c>
      <c r="Y349" s="450">
        <v>84.58</v>
      </c>
      <c r="Z349" s="450">
        <v>84.15</v>
      </c>
      <c r="AA349" s="450">
        <v>83.71</v>
      </c>
      <c r="AB349" s="450">
        <v>83.26</v>
      </c>
      <c r="AC349" s="450">
        <v>82.81</v>
      </c>
      <c r="AD349" s="450">
        <v>82.35</v>
      </c>
      <c r="AE349" s="450" t="s">
        <v>556</v>
      </c>
      <c r="AF349" s="450" t="s">
        <v>556</v>
      </c>
      <c r="AG349" s="450" t="s">
        <v>556</v>
      </c>
      <c r="AH349" s="450" t="s">
        <v>556</v>
      </c>
      <c r="AI349" s="450" t="s">
        <v>556</v>
      </c>
      <c r="AJ349" s="450" t="s">
        <v>556</v>
      </c>
      <c r="AK349" s="450" t="s">
        <v>556</v>
      </c>
      <c r="AL349" s="450" t="s">
        <v>556</v>
      </c>
      <c r="AM349" s="133"/>
      <c r="AN349" s="134">
        <v>92</v>
      </c>
      <c r="AO349" s="450">
        <v>87.22</v>
      </c>
      <c r="AP349" s="450">
        <v>86.85</v>
      </c>
      <c r="AQ349" s="450">
        <v>86.46</v>
      </c>
      <c r="AR349" s="450">
        <v>86.05</v>
      </c>
      <c r="AS349" s="450">
        <v>85.62</v>
      </c>
      <c r="AT349" s="450">
        <v>85.18</v>
      </c>
      <c r="AU349" s="450">
        <v>84.72</v>
      </c>
      <c r="AV349" s="450">
        <v>84.26</v>
      </c>
      <c r="AW349" s="450">
        <v>83.79</v>
      </c>
      <c r="AX349" s="450" t="s">
        <v>556</v>
      </c>
      <c r="AY349" s="450" t="s">
        <v>556</v>
      </c>
      <c r="AZ349" s="450" t="s">
        <v>556</v>
      </c>
      <c r="BA349" s="450" t="s">
        <v>556</v>
      </c>
      <c r="BB349" s="450" t="s">
        <v>556</v>
      </c>
      <c r="BC349" s="450" t="s">
        <v>556</v>
      </c>
      <c r="BD349" s="450" t="s">
        <v>556</v>
      </c>
      <c r="BE349" s="450" t="s">
        <v>556</v>
      </c>
    </row>
    <row r="350" spans="2:57" x14ac:dyDescent="0.25">
      <c r="B350" s="134">
        <v>93</v>
      </c>
      <c r="C350" s="450">
        <v>83.32</v>
      </c>
      <c r="D350" s="450">
        <v>82.86</v>
      </c>
      <c r="E350" s="450">
        <v>82.38</v>
      </c>
      <c r="F350" s="450">
        <v>81.88</v>
      </c>
      <c r="G350" s="450">
        <v>81.37</v>
      </c>
      <c r="H350" s="450">
        <v>80.849999999999994</v>
      </c>
      <c r="I350" s="450">
        <v>80.33</v>
      </c>
      <c r="J350" s="450">
        <v>79.8</v>
      </c>
      <c r="K350" s="450" t="s">
        <v>556</v>
      </c>
      <c r="L350" s="450" t="s">
        <v>556</v>
      </c>
      <c r="M350" s="450" t="s">
        <v>556</v>
      </c>
      <c r="N350" s="450" t="s">
        <v>556</v>
      </c>
      <c r="O350" s="450" t="s">
        <v>556</v>
      </c>
      <c r="P350" s="450" t="s">
        <v>556</v>
      </c>
      <c r="Q350" s="450" t="s">
        <v>556</v>
      </c>
      <c r="R350" s="450" t="s">
        <v>556</v>
      </c>
      <c r="S350" s="450" t="s">
        <v>556</v>
      </c>
      <c r="T350" s="133"/>
      <c r="U350" s="134">
        <v>93</v>
      </c>
      <c r="V350" s="450">
        <v>85</v>
      </c>
      <c r="W350" s="450">
        <v>84.56</v>
      </c>
      <c r="X350" s="450">
        <v>84.1</v>
      </c>
      <c r="Y350" s="450">
        <v>83.62</v>
      </c>
      <c r="Z350" s="450">
        <v>83.14</v>
      </c>
      <c r="AA350" s="450">
        <v>82.64</v>
      </c>
      <c r="AB350" s="450">
        <v>82.13</v>
      </c>
      <c r="AC350" s="450">
        <v>81.63</v>
      </c>
      <c r="AD350" s="450" t="s">
        <v>556</v>
      </c>
      <c r="AE350" s="450" t="s">
        <v>556</v>
      </c>
      <c r="AF350" s="450" t="s">
        <v>556</v>
      </c>
      <c r="AG350" s="450" t="s">
        <v>556</v>
      </c>
      <c r="AH350" s="450" t="s">
        <v>556</v>
      </c>
      <c r="AI350" s="450" t="s">
        <v>556</v>
      </c>
      <c r="AJ350" s="450" t="s">
        <v>556</v>
      </c>
      <c r="AK350" s="450" t="s">
        <v>556</v>
      </c>
      <c r="AL350" s="450" t="s">
        <v>556</v>
      </c>
      <c r="AM350" s="133"/>
      <c r="AN350" s="134">
        <v>93</v>
      </c>
      <c r="AO350" s="450">
        <v>86.46</v>
      </c>
      <c r="AP350" s="450">
        <v>86.02</v>
      </c>
      <c r="AQ350" s="450">
        <v>85.57</v>
      </c>
      <c r="AR350" s="450">
        <v>85.09</v>
      </c>
      <c r="AS350" s="450">
        <v>84.6</v>
      </c>
      <c r="AT350" s="450">
        <v>84.1</v>
      </c>
      <c r="AU350" s="450">
        <v>83.59</v>
      </c>
      <c r="AV350" s="450">
        <v>83.08</v>
      </c>
      <c r="AW350" s="450" t="s">
        <v>556</v>
      </c>
      <c r="AX350" s="450" t="s">
        <v>556</v>
      </c>
      <c r="AY350" s="450" t="s">
        <v>556</v>
      </c>
      <c r="AZ350" s="450" t="s">
        <v>556</v>
      </c>
      <c r="BA350" s="450" t="s">
        <v>556</v>
      </c>
      <c r="BB350" s="450" t="s">
        <v>556</v>
      </c>
      <c r="BC350" s="450" t="s">
        <v>556</v>
      </c>
      <c r="BD350" s="450" t="s">
        <v>556</v>
      </c>
      <c r="BE350" s="450" t="s">
        <v>556</v>
      </c>
    </row>
    <row r="351" spans="2:57" x14ac:dyDescent="0.25">
      <c r="B351" s="134">
        <v>94</v>
      </c>
      <c r="C351" s="450">
        <v>82.37</v>
      </c>
      <c r="D351" s="450">
        <v>81.84</v>
      </c>
      <c r="E351" s="450">
        <v>81.290000000000006</v>
      </c>
      <c r="F351" s="450">
        <v>80.739999999999995</v>
      </c>
      <c r="G351" s="450">
        <v>80.17</v>
      </c>
      <c r="H351" s="450">
        <v>79.59</v>
      </c>
      <c r="I351" s="450">
        <v>79.02</v>
      </c>
      <c r="J351" s="450" t="s">
        <v>556</v>
      </c>
      <c r="K351" s="450" t="s">
        <v>556</v>
      </c>
      <c r="L351" s="450" t="s">
        <v>556</v>
      </c>
      <c r="M351" s="450" t="s">
        <v>556</v>
      </c>
      <c r="N351" s="450" t="s">
        <v>556</v>
      </c>
      <c r="O351" s="450" t="s">
        <v>556</v>
      </c>
      <c r="P351" s="450" t="s">
        <v>556</v>
      </c>
      <c r="Q351" s="450" t="s">
        <v>556</v>
      </c>
      <c r="R351" s="450" t="s">
        <v>556</v>
      </c>
      <c r="S351" s="450" t="s">
        <v>556</v>
      </c>
      <c r="T351" s="133"/>
      <c r="U351" s="134">
        <v>94</v>
      </c>
      <c r="V351" s="450">
        <v>84.1</v>
      </c>
      <c r="W351" s="450">
        <v>83.59</v>
      </c>
      <c r="X351" s="450">
        <v>83.06</v>
      </c>
      <c r="Y351" s="450">
        <v>82.53</v>
      </c>
      <c r="Z351" s="450">
        <v>81.98</v>
      </c>
      <c r="AA351" s="450">
        <v>81.430000000000007</v>
      </c>
      <c r="AB351" s="450">
        <v>80.87</v>
      </c>
      <c r="AC351" s="450" t="s">
        <v>556</v>
      </c>
      <c r="AD351" s="450" t="s">
        <v>556</v>
      </c>
      <c r="AE351" s="450" t="s">
        <v>556</v>
      </c>
      <c r="AF351" s="450" t="s">
        <v>556</v>
      </c>
      <c r="AG351" s="450" t="s">
        <v>556</v>
      </c>
      <c r="AH351" s="450" t="s">
        <v>556</v>
      </c>
      <c r="AI351" s="450" t="s">
        <v>556</v>
      </c>
      <c r="AJ351" s="450" t="s">
        <v>556</v>
      </c>
      <c r="AK351" s="450" t="s">
        <v>556</v>
      </c>
      <c r="AL351" s="450" t="s">
        <v>556</v>
      </c>
      <c r="AM351" s="133"/>
      <c r="AN351" s="134">
        <v>94</v>
      </c>
      <c r="AO351" s="450">
        <v>85.55</v>
      </c>
      <c r="AP351" s="450">
        <v>85.05</v>
      </c>
      <c r="AQ351" s="450">
        <v>84.53</v>
      </c>
      <c r="AR351" s="450">
        <v>84</v>
      </c>
      <c r="AS351" s="450">
        <v>83.45</v>
      </c>
      <c r="AT351" s="450">
        <v>82.89</v>
      </c>
      <c r="AU351" s="450">
        <v>82.33</v>
      </c>
      <c r="AV351" s="450" t="s">
        <v>556</v>
      </c>
      <c r="AW351" s="450" t="s">
        <v>556</v>
      </c>
      <c r="AX351" s="450" t="s">
        <v>556</v>
      </c>
      <c r="AY351" s="450" t="s">
        <v>556</v>
      </c>
      <c r="AZ351" s="450" t="s">
        <v>556</v>
      </c>
      <c r="BA351" s="450" t="s">
        <v>556</v>
      </c>
      <c r="BB351" s="450" t="s">
        <v>556</v>
      </c>
      <c r="BC351" s="450" t="s">
        <v>556</v>
      </c>
      <c r="BD351" s="450" t="s">
        <v>556</v>
      </c>
      <c r="BE351" s="450" t="s">
        <v>556</v>
      </c>
    </row>
    <row r="352" spans="2:57" x14ac:dyDescent="0.25">
      <c r="B352" s="134">
        <v>95</v>
      </c>
      <c r="C352" s="450">
        <v>81.28</v>
      </c>
      <c r="D352" s="450">
        <v>80.680000000000007</v>
      </c>
      <c r="E352" s="450">
        <v>80.069999999999993</v>
      </c>
      <c r="F352" s="450">
        <v>79.45</v>
      </c>
      <c r="G352" s="450">
        <v>78.819999999999993</v>
      </c>
      <c r="H352" s="450">
        <v>78.19</v>
      </c>
      <c r="I352" s="450" t="s">
        <v>556</v>
      </c>
      <c r="J352" s="450" t="s">
        <v>556</v>
      </c>
      <c r="K352" s="450" t="s">
        <v>556</v>
      </c>
      <c r="L352" s="450" t="s">
        <v>556</v>
      </c>
      <c r="M352" s="450" t="s">
        <v>556</v>
      </c>
      <c r="N352" s="450" t="s">
        <v>556</v>
      </c>
      <c r="O352" s="450" t="s">
        <v>556</v>
      </c>
      <c r="P352" s="450" t="s">
        <v>556</v>
      </c>
      <c r="Q352" s="450" t="s">
        <v>556</v>
      </c>
      <c r="R352" s="450" t="s">
        <v>556</v>
      </c>
      <c r="S352" s="450" t="s">
        <v>556</v>
      </c>
      <c r="T352" s="133"/>
      <c r="U352" s="134">
        <v>95</v>
      </c>
      <c r="V352" s="450">
        <v>83.05</v>
      </c>
      <c r="W352" s="450">
        <v>82.48</v>
      </c>
      <c r="X352" s="450">
        <v>81.89</v>
      </c>
      <c r="Y352" s="450">
        <v>81.290000000000006</v>
      </c>
      <c r="Z352" s="450">
        <v>80.680000000000007</v>
      </c>
      <c r="AA352" s="450">
        <v>80.069999999999993</v>
      </c>
      <c r="AB352" s="450" t="s">
        <v>556</v>
      </c>
      <c r="AC352" s="450" t="s">
        <v>556</v>
      </c>
      <c r="AD352" s="450" t="s">
        <v>556</v>
      </c>
      <c r="AE352" s="450" t="s">
        <v>556</v>
      </c>
      <c r="AF352" s="450" t="s">
        <v>556</v>
      </c>
      <c r="AG352" s="450" t="s">
        <v>556</v>
      </c>
      <c r="AH352" s="450" t="s">
        <v>556</v>
      </c>
      <c r="AI352" s="450" t="s">
        <v>556</v>
      </c>
      <c r="AJ352" s="450" t="s">
        <v>556</v>
      </c>
      <c r="AK352" s="450" t="s">
        <v>556</v>
      </c>
      <c r="AL352" s="450" t="s">
        <v>556</v>
      </c>
      <c r="AM352" s="133"/>
      <c r="AN352" s="134">
        <v>95</v>
      </c>
      <c r="AO352" s="450">
        <v>84.51</v>
      </c>
      <c r="AP352" s="450">
        <v>83.94</v>
      </c>
      <c r="AQ352" s="450">
        <v>83.36</v>
      </c>
      <c r="AR352" s="450">
        <v>82.76</v>
      </c>
      <c r="AS352" s="450">
        <v>82.15</v>
      </c>
      <c r="AT352" s="450">
        <v>81.540000000000006</v>
      </c>
      <c r="AU352" s="450" t="s">
        <v>556</v>
      </c>
      <c r="AV352" s="450" t="s">
        <v>556</v>
      </c>
      <c r="AW352" s="450" t="s">
        <v>556</v>
      </c>
      <c r="AX352" s="450" t="s">
        <v>556</v>
      </c>
      <c r="AY352" s="450" t="s">
        <v>556</v>
      </c>
      <c r="AZ352" s="450" t="s">
        <v>556</v>
      </c>
      <c r="BA352" s="450" t="s">
        <v>556</v>
      </c>
      <c r="BB352" s="450" t="s">
        <v>556</v>
      </c>
      <c r="BC352" s="450" t="s">
        <v>556</v>
      </c>
      <c r="BD352" s="450" t="s">
        <v>556</v>
      </c>
      <c r="BE352" s="450" t="s">
        <v>556</v>
      </c>
    </row>
    <row r="353" spans="2:57" x14ac:dyDescent="0.25">
      <c r="B353" s="134">
        <v>96</v>
      </c>
      <c r="C353" s="450">
        <v>80.06</v>
      </c>
      <c r="D353" s="450">
        <v>79.39</v>
      </c>
      <c r="E353" s="450">
        <v>78.709999999999994</v>
      </c>
      <c r="F353" s="450">
        <v>78.03</v>
      </c>
      <c r="G353" s="450">
        <v>77.34</v>
      </c>
      <c r="H353" s="450" t="s">
        <v>556</v>
      </c>
      <c r="I353" s="450" t="s">
        <v>556</v>
      </c>
      <c r="J353" s="450" t="s">
        <v>556</v>
      </c>
      <c r="K353" s="450" t="s">
        <v>556</v>
      </c>
      <c r="L353" s="450" t="s">
        <v>556</v>
      </c>
      <c r="M353" s="450" t="s">
        <v>556</v>
      </c>
      <c r="N353" s="450" t="s">
        <v>556</v>
      </c>
      <c r="O353" s="450" t="s">
        <v>556</v>
      </c>
      <c r="P353" s="450" t="s">
        <v>556</v>
      </c>
      <c r="Q353" s="450" t="s">
        <v>556</v>
      </c>
      <c r="R353" s="450" t="s">
        <v>556</v>
      </c>
      <c r="S353" s="450" t="s">
        <v>556</v>
      </c>
      <c r="T353" s="133"/>
      <c r="U353" s="134">
        <v>96</v>
      </c>
      <c r="V353" s="450">
        <v>81.87</v>
      </c>
      <c r="W353" s="450">
        <v>81.23</v>
      </c>
      <c r="X353" s="450">
        <v>80.569999999999993</v>
      </c>
      <c r="Y353" s="450">
        <v>79.91</v>
      </c>
      <c r="Z353" s="450">
        <v>79.25</v>
      </c>
      <c r="AA353" s="450" t="s">
        <v>556</v>
      </c>
      <c r="AB353" s="450" t="s">
        <v>556</v>
      </c>
      <c r="AC353" s="450" t="s">
        <v>556</v>
      </c>
      <c r="AD353" s="450" t="s">
        <v>556</v>
      </c>
      <c r="AE353" s="450" t="s">
        <v>556</v>
      </c>
      <c r="AF353" s="450" t="s">
        <v>556</v>
      </c>
      <c r="AG353" s="450" t="s">
        <v>556</v>
      </c>
      <c r="AH353" s="450" t="s">
        <v>556</v>
      </c>
      <c r="AI353" s="450" t="s">
        <v>556</v>
      </c>
      <c r="AJ353" s="450" t="s">
        <v>556</v>
      </c>
      <c r="AK353" s="450" t="s">
        <v>556</v>
      </c>
      <c r="AL353" s="450" t="s">
        <v>556</v>
      </c>
      <c r="AM353" s="133"/>
      <c r="AN353" s="134">
        <v>96</v>
      </c>
      <c r="AO353" s="450">
        <v>83.33</v>
      </c>
      <c r="AP353" s="450">
        <v>82.69</v>
      </c>
      <c r="AQ353" s="450">
        <v>82.04</v>
      </c>
      <c r="AR353" s="450">
        <v>81.38</v>
      </c>
      <c r="AS353" s="450">
        <v>80.709999999999994</v>
      </c>
      <c r="AT353" s="450" t="s">
        <v>556</v>
      </c>
      <c r="AU353" s="450" t="s">
        <v>556</v>
      </c>
      <c r="AV353" s="450" t="s">
        <v>556</v>
      </c>
      <c r="AW353" s="450" t="s">
        <v>556</v>
      </c>
      <c r="AX353" s="450" t="s">
        <v>556</v>
      </c>
      <c r="AY353" s="450" t="s">
        <v>556</v>
      </c>
      <c r="AZ353" s="450" t="s">
        <v>556</v>
      </c>
      <c r="BA353" s="450" t="s">
        <v>556</v>
      </c>
      <c r="BB353" s="450" t="s">
        <v>556</v>
      </c>
      <c r="BC353" s="450" t="s">
        <v>556</v>
      </c>
      <c r="BD353" s="450" t="s">
        <v>556</v>
      </c>
      <c r="BE353" s="450" t="s">
        <v>556</v>
      </c>
    </row>
    <row r="354" spans="2:57" x14ac:dyDescent="0.25">
      <c r="B354" s="134">
        <v>97</v>
      </c>
      <c r="C354" s="450">
        <v>78.69</v>
      </c>
      <c r="D354" s="450">
        <v>77.95</v>
      </c>
      <c r="E354" s="450">
        <v>77.209999999999994</v>
      </c>
      <c r="F354" s="450">
        <v>76.459999999999994</v>
      </c>
      <c r="G354" s="450" t="s">
        <v>556</v>
      </c>
      <c r="H354" s="450" t="s">
        <v>556</v>
      </c>
      <c r="I354" s="450" t="s">
        <v>556</v>
      </c>
      <c r="J354" s="450" t="s">
        <v>556</v>
      </c>
      <c r="K354" s="450" t="s">
        <v>556</v>
      </c>
      <c r="L354" s="450" t="s">
        <v>556</v>
      </c>
      <c r="M354" s="450" t="s">
        <v>556</v>
      </c>
      <c r="N354" s="450" t="s">
        <v>556</v>
      </c>
      <c r="O354" s="450" t="s">
        <v>556</v>
      </c>
      <c r="P354" s="450" t="s">
        <v>556</v>
      </c>
      <c r="Q354" s="450" t="s">
        <v>556</v>
      </c>
      <c r="R354" s="450" t="s">
        <v>556</v>
      </c>
      <c r="S354" s="450" t="s">
        <v>556</v>
      </c>
      <c r="T354" s="133"/>
      <c r="U354" s="134">
        <v>97</v>
      </c>
      <c r="V354" s="450">
        <v>80.55</v>
      </c>
      <c r="W354" s="450">
        <v>79.84</v>
      </c>
      <c r="X354" s="450">
        <v>79.12</v>
      </c>
      <c r="Y354" s="450">
        <v>78.39</v>
      </c>
      <c r="Z354" s="450" t="s">
        <v>556</v>
      </c>
      <c r="AA354" s="450" t="s">
        <v>556</v>
      </c>
      <c r="AB354" s="450" t="s">
        <v>556</v>
      </c>
      <c r="AC354" s="450" t="s">
        <v>556</v>
      </c>
      <c r="AD354" s="450" t="s">
        <v>556</v>
      </c>
      <c r="AE354" s="450" t="s">
        <v>556</v>
      </c>
      <c r="AF354" s="450" t="s">
        <v>556</v>
      </c>
      <c r="AG354" s="450" t="s">
        <v>556</v>
      </c>
      <c r="AH354" s="450" t="s">
        <v>556</v>
      </c>
      <c r="AI354" s="450" t="s">
        <v>556</v>
      </c>
      <c r="AJ354" s="450" t="s">
        <v>556</v>
      </c>
      <c r="AK354" s="450" t="s">
        <v>556</v>
      </c>
      <c r="AL354" s="450" t="s">
        <v>556</v>
      </c>
      <c r="AM354" s="133"/>
      <c r="AN354" s="134">
        <v>97</v>
      </c>
      <c r="AO354" s="450">
        <v>82.01</v>
      </c>
      <c r="AP354" s="450">
        <v>81.3</v>
      </c>
      <c r="AQ354" s="450">
        <v>80.58</v>
      </c>
      <c r="AR354" s="450">
        <v>79.86</v>
      </c>
      <c r="AS354" s="450" t="s">
        <v>556</v>
      </c>
      <c r="AT354" s="450" t="s">
        <v>556</v>
      </c>
      <c r="AU354" s="450" t="s">
        <v>556</v>
      </c>
      <c r="AV354" s="450" t="s">
        <v>556</v>
      </c>
      <c r="AW354" s="450" t="s">
        <v>556</v>
      </c>
      <c r="AX354" s="450" t="s">
        <v>556</v>
      </c>
      <c r="AY354" s="450" t="s">
        <v>556</v>
      </c>
      <c r="AZ354" s="450" t="s">
        <v>556</v>
      </c>
      <c r="BA354" s="450" t="s">
        <v>556</v>
      </c>
      <c r="BB354" s="450" t="s">
        <v>556</v>
      </c>
      <c r="BC354" s="450" t="s">
        <v>556</v>
      </c>
      <c r="BD354" s="450" t="s">
        <v>556</v>
      </c>
      <c r="BE354" s="450" t="s">
        <v>556</v>
      </c>
    </row>
    <row r="355" spans="2:57" x14ac:dyDescent="0.25">
      <c r="B355" s="134">
        <v>98</v>
      </c>
      <c r="C355" s="450">
        <v>77.17</v>
      </c>
      <c r="D355" s="450">
        <v>76.37</v>
      </c>
      <c r="E355" s="450">
        <v>75.56</v>
      </c>
      <c r="F355" s="450" t="s">
        <v>556</v>
      </c>
      <c r="G355" s="450" t="s">
        <v>556</v>
      </c>
      <c r="H355" s="450" t="s">
        <v>556</v>
      </c>
      <c r="I355" s="450" t="s">
        <v>556</v>
      </c>
      <c r="J355" s="450" t="s">
        <v>556</v>
      </c>
      <c r="K355" s="450" t="s">
        <v>556</v>
      </c>
      <c r="L355" s="450" t="s">
        <v>556</v>
      </c>
      <c r="M355" s="450" t="s">
        <v>556</v>
      </c>
      <c r="N355" s="450" t="s">
        <v>556</v>
      </c>
      <c r="O355" s="450" t="s">
        <v>556</v>
      </c>
      <c r="P355" s="450" t="s">
        <v>556</v>
      </c>
      <c r="Q355" s="450" t="s">
        <v>556</v>
      </c>
      <c r="R355" s="450" t="s">
        <v>556</v>
      </c>
      <c r="S355" s="450" t="s">
        <v>556</v>
      </c>
      <c r="T355" s="133"/>
      <c r="U355" s="134">
        <v>98</v>
      </c>
      <c r="V355" s="450">
        <v>79.09</v>
      </c>
      <c r="W355" s="450">
        <v>78.31</v>
      </c>
      <c r="X355" s="450">
        <v>77.52</v>
      </c>
      <c r="Y355" s="450" t="s">
        <v>556</v>
      </c>
      <c r="Z355" s="450" t="s">
        <v>556</v>
      </c>
      <c r="AA355" s="450" t="s">
        <v>556</v>
      </c>
      <c r="AB355" s="450" t="s">
        <v>556</v>
      </c>
      <c r="AC355" s="450" t="s">
        <v>556</v>
      </c>
      <c r="AD355" s="450" t="s">
        <v>556</v>
      </c>
      <c r="AE355" s="450" t="s">
        <v>556</v>
      </c>
      <c r="AF355" s="450" t="s">
        <v>556</v>
      </c>
      <c r="AG355" s="450" t="s">
        <v>556</v>
      </c>
      <c r="AH355" s="450" t="s">
        <v>556</v>
      </c>
      <c r="AI355" s="450" t="s">
        <v>556</v>
      </c>
      <c r="AJ355" s="450" t="s">
        <v>556</v>
      </c>
      <c r="AK355" s="450" t="s">
        <v>556</v>
      </c>
      <c r="AL355" s="450" t="s">
        <v>556</v>
      </c>
      <c r="AM355" s="133"/>
      <c r="AN355" s="134">
        <v>98</v>
      </c>
      <c r="AO355" s="450">
        <v>80.540000000000006</v>
      </c>
      <c r="AP355" s="450">
        <v>79.77</v>
      </c>
      <c r="AQ355" s="450">
        <v>78.98</v>
      </c>
      <c r="AR355" s="450" t="s">
        <v>556</v>
      </c>
      <c r="AS355" s="450" t="s">
        <v>556</v>
      </c>
      <c r="AT355" s="450" t="s">
        <v>556</v>
      </c>
      <c r="AU355" s="450" t="s">
        <v>556</v>
      </c>
      <c r="AV355" s="450" t="s">
        <v>556</v>
      </c>
      <c r="AW355" s="450" t="s">
        <v>556</v>
      </c>
      <c r="AX355" s="450" t="s">
        <v>556</v>
      </c>
      <c r="AY355" s="450" t="s">
        <v>556</v>
      </c>
      <c r="AZ355" s="450" t="s">
        <v>556</v>
      </c>
      <c r="BA355" s="450" t="s">
        <v>556</v>
      </c>
      <c r="BB355" s="450" t="s">
        <v>556</v>
      </c>
      <c r="BC355" s="450" t="s">
        <v>556</v>
      </c>
      <c r="BD355" s="450" t="s">
        <v>556</v>
      </c>
      <c r="BE355" s="450" t="s">
        <v>556</v>
      </c>
    </row>
    <row r="356" spans="2:57" x14ac:dyDescent="0.25">
      <c r="B356" s="134">
        <v>99</v>
      </c>
      <c r="C356" s="450">
        <v>75.510000000000005</v>
      </c>
      <c r="D356" s="450">
        <v>74.63</v>
      </c>
      <c r="E356" s="450" t="s">
        <v>556</v>
      </c>
      <c r="F356" s="450" t="s">
        <v>556</v>
      </c>
      <c r="G356" s="450" t="s">
        <v>556</v>
      </c>
      <c r="H356" s="450" t="s">
        <v>556</v>
      </c>
      <c r="I356" s="450" t="s">
        <v>556</v>
      </c>
      <c r="J356" s="450" t="s">
        <v>556</v>
      </c>
      <c r="K356" s="450" t="s">
        <v>556</v>
      </c>
      <c r="L356" s="450" t="s">
        <v>556</v>
      </c>
      <c r="M356" s="450" t="s">
        <v>556</v>
      </c>
      <c r="N356" s="450" t="s">
        <v>556</v>
      </c>
      <c r="O356" s="450" t="s">
        <v>556</v>
      </c>
      <c r="P356" s="450" t="s">
        <v>556</v>
      </c>
      <c r="Q356" s="450" t="s">
        <v>556</v>
      </c>
      <c r="R356" s="450" t="s">
        <v>556</v>
      </c>
      <c r="S356" s="450" t="s">
        <v>556</v>
      </c>
      <c r="T356" s="133"/>
      <c r="U356" s="134">
        <v>99</v>
      </c>
      <c r="V356" s="450">
        <v>77.48</v>
      </c>
      <c r="W356" s="450">
        <v>76.62</v>
      </c>
      <c r="X356" s="450" t="s">
        <v>556</v>
      </c>
      <c r="Y356" s="450" t="s">
        <v>556</v>
      </c>
      <c r="Z356" s="450" t="s">
        <v>556</v>
      </c>
      <c r="AA356" s="450" t="s">
        <v>556</v>
      </c>
      <c r="AB356" s="450" t="s">
        <v>556</v>
      </c>
      <c r="AC356" s="450" t="s">
        <v>556</v>
      </c>
      <c r="AD356" s="450" t="s">
        <v>556</v>
      </c>
      <c r="AE356" s="450" t="s">
        <v>556</v>
      </c>
      <c r="AF356" s="450" t="s">
        <v>556</v>
      </c>
      <c r="AG356" s="450" t="s">
        <v>556</v>
      </c>
      <c r="AH356" s="450" t="s">
        <v>556</v>
      </c>
      <c r="AI356" s="450" t="s">
        <v>556</v>
      </c>
      <c r="AJ356" s="450" t="s">
        <v>556</v>
      </c>
      <c r="AK356" s="450" t="s">
        <v>556</v>
      </c>
      <c r="AL356" s="450" t="s">
        <v>556</v>
      </c>
      <c r="AM356" s="133"/>
      <c r="AN356" s="134">
        <v>99</v>
      </c>
      <c r="AO356" s="450">
        <v>78.930000000000007</v>
      </c>
      <c r="AP356" s="450">
        <v>78.08</v>
      </c>
      <c r="AQ356" s="450" t="s">
        <v>556</v>
      </c>
      <c r="AR356" s="450" t="s">
        <v>556</v>
      </c>
      <c r="AS356" s="450" t="s">
        <v>556</v>
      </c>
      <c r="AT356" s="450" t="s">
        <v>556</v>
      </c>
      <c r="AU356" s="450" t="s">
        <v>556</v>
      </c>
      <c r="AV356" s="450" t="s">
        <v>556</v>
      </c>
      <c r="AW356" s="450" t="s">
        <v>556</v>
      </c>
      <c r="AX356" s="450" t="s">
        <v>556</v>
      </c>
      <c r="AY356" s="450" t="s">
        <v>556</v>
      </c>
      <c r="AZ356" s="450" t="s">
        <v>556</v>
      </c>
      <c r="BA356" s="450" t="s">
        <v>556</v>
      </c>
      <c r="BB356" s="450" t="s">
        <v>556</v>
      </c>
      <c r="BC356" s="450" t="s">
        <v>556</v>
      </c>
      <c r="BD356" s="450" t="s">
        <v>556</v>
      </c>
      <c r="BE356" s="450" t="s">
        <v>556</v>
      </c>
    </row>
    <row r="357" spans="2:57" x14ac:dyDescent="0.25">
      <c r="B357" s="134">
        <v>100</v>
      </c>
      <c r="C357" s="450">
        <v>73.69</v>
      </c>
      <c r="D357" s="450" t="s">
        <v>556</v>
      </c>
      <c r="E357" s="450" t="s">
        <v>556</v>
      </c>
      <c r="F357" s="450" t="s">
        <v>556</v>
      </c>
      <c r="G357" s="450" t="s">
        <v>556</v>
      </c>
      <c r="H357" s="450" t="s">
        <v>556</v>
      </c>
      <c r="I357" s="450" t="s">
        <v>556</v>
      </c>
      <c r="J357" s="450" t="s">
        <v>556</v>
      </c>
      <c r="K357" s="450" t="s">
        <v>556</v>
      </c>
      <c r="L357" s="450" t="s">
        <v>556</v>
      </c>
      <c r="M357" s="450" t="s">
        <v>556</v>
      </c>
      <c r="N357" s="450" t="s">
        <v>556</v>
      </c>
      <c r="O357" s="450" t="s">
        <v>556</v>
      </c>
      <c r="P357" s="450" t="s">
        <v>556</v>
      </c>
      <c r="Q357" s="450" t="s">
        <v>556</v>
      </c>
      <c r="R357" s="450" t="s">
        <v>556</v>
      </c>
      <c r="S357" s="450" t="s">
        <v>556</v>
      </c>
      <c r="T357" s="133"/>
      <c r="U357" s="134">
        <v>100</v>
      </c>
      <c r="V357" s="450">
        <v>75.709999999999994</v>
      </c>
      <c r="W357" s="450" t="s">
        <v>556</v>
      </c>
      <c r="X357" s="450" t="s">
        <v>556</v>
      </c>
      <c r="Y357" s="450" t="s">
        <v>556</v>
      </c>
      <c r="Z357" s="450" t="s">
        <v>556</v>
      </c>
      <c r="AA357" s="450" t="s">
        <v>556</v>
      </c>
      <c r="AB357" s="450" t="s">
        <v>556</v>
      </c>
      <c r="AC357" s="450" t="s">
        <v>556</v>
      </c>
      <c r="AD357" s="450" t="s">
        <v>556</v>
      </c>
      <c r="AE357" s="450" t="s">
        <v>556</v>
      </c>
      <c r="AF357" s="450" t="s">
        <v>556</v>
      </c>
      <c r="AG357" s="450" t="s">
        <v>556</v>
      </c>
      <c r="AH357" s="450" t="s">
        <v>556</v>
      </c>
      <c r="AI357" s="450" t="s">
        <v>556</v>
      </c>
      <c r="AJ357" s="450" t="s">
        <v>556</v>
      </c>
      <c r="AK357" s="450" t="s">
        <v>556</v>
      </c>
      <c r="AL357" s="450" t="s">
        <v>556</v>
      </c>
      <c r="AM357" s="133"/>
      <c r="AN357" s="134">
        <v>100</v>
      </c>
      <c r="AO357" s="450">
        <v>77.17</v>
      </c>
      <c r="AP357" s="450" t="s">
        <v>556</v>
      </c>
      <c r="AQ357" s="450" t="s">
        <v>556</v>
      </c>
      <c r="AR357" s="450" t="s">
        <v>556</v>
      </c>
      <c r="AS357" s="450" t="s">
        <v>556</v>
      </c>
      <c r="AT357" s="450" t="s">
        <v>556</v>
      </c>
      <c r="AU357" s="450" t="s">
        <v>556</v>
      </c>
      <c r="AV357" s="450" t="s">
        <v>556</v>
      </c>
      <c r="AW357" s="450" t="s">
        <v>556</v>
      </c>
      <c r="AX357" s="450" t="s">
        <v>556</v>
      </c>
      <c r="AY357" s="450" t="s">
        <v>556</v>
      </c>
      <c r="AZ357" s="450" t="s">
        <v>556</v>
      </c>
      <c r="BA357" s="450" t="s">
        <v>556</v>
      </c>
      <c r="BB357" s="450" t="s">
        <v>556</v>
      </c>
      <c r="BC357" s="450" t="s">
        <v>556</v>
      </c>
      <c r="BD357" s="450" t="s">
        <v>556</v>
      </c>
      <c r="BE357" s="450" t="s">
        <v>556</v>
      </c>
    </row>
    <row r="361" spans="2:57" ht="20.45" customHeight="1" x14ac:dyDescent="0.25">
      <c r="B361" s="444" t="s">
        <v>189</v>
      </c>
      <c r="C361" s="526" t="s">
        <v>229</v>
      </c>
      <c r="D361" s="527"/>
      <c r="E361" s="527"/>
      <c r="F361" s="527"/>
      <c r="G361" s="527"/>
      <c r="H361" s="527"/>
      <c r="I361" s="527"/>
      <c r="J361" s="527"/>
      <c r="K361" s="527"/>
      <c r="L361" s="527"/>
      <c r="M361" s="527"/>
      <c r="N361" s="527"/>
      <c r="O361" s="527"/>
      <c r="P361" s="527"/>
      <c r="Q361" s="527"/>
      <c r="R361" s="527"/>
      <c r="S361" s="527"/>
      <c r="V361" s="526" t="s">
        <v>229</v>
      </c>
      <c r="W361" s="527"/>
      <c r="X361" s="527"/>
      <c r="Y361" s="527"/>
      <c r="Z361" s="527"/>
      <c r="AA361" s="527"/>
      <c r="AB361" s="527"/>
      <c r="AC361" s="527"/>
      <c r="AD361" s="527"/>
      <c r="AE361" s="527"/>
      <c r="AF361" s="527"/>
      <c r="AG361" s="527"/>
      <c r="AH361" s="527"/>
      <c r="AI361" s="527"/>
      <c r="AJ361" s="527"/>
      <c r="AK361" s="527"/>
      <c r="AL361" s="527"/>
      <c r="AO361" s="526" t="s">
        <v>229</v>
      </c>
      <c r="AP361" s="527"/>
      <c r="AQ361" s="527"/>
      <c r="AR361" s="527"/>
      <c r="AS361" s="527"/>
      <c r="AT361" s="527"/>
      <c r="AU361" s="527"/>
      <c r="AV361" s="527"/>
      <c r="AW361" s="527"/>
      <c r="AX361" s="527"/>
      <c r="AY361" s="527"/>
      <c r="AZ361" s="527"/>
      <c r="BA361" s="527"/>
      <c r="BB361" s="527"/>
      <c r="BC361" s="527"/>
      <c r="BD361" s="527"/>
      <c r="BE361" s="527"/>
    </row>
    <row r="362" spans="2:57" x14ac:dyDescent="0.25">
      <c r="B362" s="444"/>
      <c r="V362" s="444"/>
      <c r="AO362" s="444"/>
    </row>
    <row r="363" spans="2:57" x14ac:dyDescent="0.25">
      <c r="C363" s="528" t="s">
        <v>173</v>
      </c>
      <c r="D363" s="528"/>
      <c r="E363" s="528"/>
      <c r="F363" s="528"/>
      <c r="G363" s="528"/>
      <c r="H363" s="528"/>
      <c r="I363" s="528"/>
      <c r="J363" s="528"/>
      <c r="K363" s="528"/>
      <c r="L363" s="528"/>
      <c r="M363" s="528"/>
      <c r="N363" s="528"/>
      <c r="O363" s="528"/>
      <c r="P363" s="528"/>
      <c r="Q363" s="528"/>
      <c r="R363" s="528"/>
      <c r="S363" s="528"/>
      <c r="V363" s="528" t="s">
        <v>165</v>
      </c>
      <c r="W363" s="528"/>
      <c r="X363" s="528"/>
      <c r="Y363" s="528"/>
      <c r="Z363" s="528"/>
      <c r="AA363" s="528"/>
      <c r="AB363" s="528"/>
      <c r="AC363" s="528"/>
      <c r="AD363" s="528"/>
      <c r="AE363" s="528"/>
      <c r="AF363" s="528"/>
      <c r="AG363" s="528"/>
      <c r="AH363" s="528"/>
      <c r="AI363" s="528"/>
      <c r="AJ363" s="528"/>
      <c r="AK363" s="528"/>
      <c r="AL363" s="528"/>
      <c r="AO363" s="528" t="s">
        <v>166</v>
      </c>
      <c r="AP363" s="528"/>
      <c r="AQ363" s="528"/>
      <c r="AR363" s="528"/>
      <c r="AS363" s="528"/>
      <c r="AT363" s="528"/>
      <c r="AU363" s="528"/>
      <c r="AV363" s="528"/>
      <c r="AW363" s="528"/>
      <c r="AX363" s="528"/>
      <c r="AY363" s="528"/>
      <c r="AZ363" s="528"/>
      <c r="BA363" s="528"/>
      <c r="BB363" s="528"/>
      <c r="BC363" s="528"/>
      <c r="BD363" s="528"/>
      <c r="BE363" s="528"/>
    </row>
    <row r="364" spans="2:57" ht="195" x14ac:dyDescent="0.25">
      <c r="B364" s="445" t="s">
        <v>14</v>
      </c>
      <c r="C364" s="446">
        <v>0</v>
      </c>
      <c r="D364" s="447">
        <v>1</v>
      </c>
      <c r="E364" s="447">
        <v>2</v>
      </c>
      <c r="F364" s="447">
        <v>3</v>
      </c>
      <c r="G364" s="447">
        <v>4</v>
      </c>
      <c r="H364" s="447">
        <v>5</v>
      </c>
      <c r="I364" s="447">
        <v>6</v>
      </c>
      <c r="J364" s="447">
        <v>7</v>
      </c>
      <c r="K364" s="447">
        <v>8</v>
      </c>
      <c r="L364" s="447">
        <v>9</v>
      </c>
      <c r="M364" s="447">
        <v>10</v>
      </c>
      <c r="N364" s="448" t="s">
        <v>15</v>
      </c>
      <c r="O364" s="447" t="s">
        <v>16</v>
      </c>
      <c r="P364" s="447" t="s">
        <v>17</v>
      </c>
      <c r="Q364" s="447" t="s">
        <v>18</v>
      </c>
      <c r="R364" s="447" t="s">
        <v>19</v>
      </c>
      <c r="S364" s="447" t="s">
        <v>20</v>
      </c>
      <c r="T364" s="449"/>
      <c r="U364" s="445" t="s">
        <v>14</v>
      </c>
      <c r="V364" s="446">
        <v>0</v>
      </c>
      <c r="W364" s="447">
        <v>1</v>
      </c>
      <c r="X364" s="447">
        <v>2</v>
      </c>
      <c r="Y364" s="447">
        <v>3</v>
      </c>
      <c r="Z364" s="447">
        <v>4</v>
      </c>
      <c r="AA364" s="447">
        <v>5</v>
      </c>
      <c r="AB364" s="447">
        <v>6</v>
      </c>
      <c r="AC364" s="447">
        <v>7</v>
      </c>
      <c r="AD364" s="447">
        <v>8</v>
      </c>
      <c r="AE364" s="447">
        <v>9</v>
      </c>
      <c r="AF364" s="447">
        <v>10</v>
      </c>
      <c r="AG364" s="448" t="s">
        <v>15</v>
      </c>
      <c r="AH364" s="447" t="s">
        <v>16</v>
      </c>
      <c r="AI364" s="447" t="s">
        <v>17</v>
      </c>
      <c r="AJ364" s="447" t="s">
        <v>18</v>
      </c>
      <c r="AK364" s="447" t="s">
        <v>19</v>
      </c>
      <c r="AL364" s="447" t="s">
        <v>20</v>
      </c>
      <c r="AM364" s="449"/>
      <c r="AN364" s="445" t="s">
        <v>14</v>
      </c>
      <c r="AO364" s="446">
        <v>0</v>
      </c>
      <c r="AP364" s="447">
        <v>1</v>
      </c>
      <c r="AQ364" s="447">
        <v>2</v>
      </c>
      <c r="AR364" s="447">
        <v>3</v>
      </c>
      <c r="AS364" s="447">
        <v>4</v>
      </c>
      <c r="AT364" s="447">
        <v>5</v>
      </c>
      <c r="AU364" s="447">
        <v>6</v>
      </c>
      <c r="AV364" s="447">
        <v>7</v>
      </c>
      <c r="AW364" s="447">
        <v>8</v>
      </c>
      <c r="AX364" s="447">
        <v>9</v>
      </c>
      <c r="AY364" s="447">
        <v>10</v>
      </c>
      <c r="AZ364" s="448" t="s">
        <v>15</v>
      </c>
      <c r="BA364" s="447" t="s">
        <v>16</v>
      </c>
      <c r="BB364" s="447" t="s">
        <v>17</v>
      </c>
      <c r="BC364" s="447" t="s">
        <v>18</v>
      </c>
      <c r="BD364" s="447" t="s">
        <v>19</v>
      </c>
      <c r="BE364" s="447" t="s">
        <v>225</v>
      </c>
    </row>
    <row r="365" spans="2:57" x14ac:dyDescent="0.25">
      <c r="B365" s="134">
        <v>18</v>
      </c>
      <c r="C365" s="451">
        <v>77.010000000000005</v>
      </c>
      <c r="D365" s="451">
        <v>77.040000000000006</v>
      </c>
      <c r="E365" s="451">
        <v>77.069999999999993</v>
      </c>
      <c r="F365" s="451">
        <v>77.11</v>
      </c>
      <c r="G365" s="451">
        <v>77.14</v>
      </c>
      <c r="H365" s="451">
        <v>77.17</v>
      </c>
      <c r="I365" s="451">
        <v>77.2</v>
      </c>
      <c r="J365" s="451">
        <v>77.23</v>
      </c>
      <c r="K365" s="451">
        <v>77.260000000000005</v>
      </c>
      <c r="L365" s="451">
        <v>77.290000000000006</v>
      </c>
      <c r="M365" s="451">
        <v>77.319999999999993</v>
      </c>
      <c r="N365" s="451">
        <v>77.349999999999994</v>
      </c>
      <c r="O365" s="451">
        <v>77.48</v>
      </c>
      <c r="P365" s="451">
        <v>77.59</v>
      </c>
      <c r="Q365" s="451">
        <v>77.69</v>
      </c>
      <c r="R365" s="451">
        <v>77.760000000000005</v>
      </c>
      <c r="S365" s="451">
        <v>77.83</v>
      </c>
      <c r="T365" s="133"/>
      <c r="U365" s="134">
        <v>18</v>
      </c>
      <c r="V365" s="450">
        <v>77.599999999999994</v>
      </c>
      <c r="W365" s="450">
        <v>77.63</v>
      </c>
      <c r="X365" s="450">
        <v>77.67</v>
      </c>
      <c r="Y365" s="450">
        <v>77.7</v>
      </c>
      <c r="Z365" s="450">
        <v>77.73</v>
      </c>
      <c r="AA365" s="450">
        <v>77.760000000000005</v>
      </c>
      <c r="AB365" s="450">
        <v>77.790000000000006</v>
      </c>
      <c r="AC365" s="450">
        <v>77.819999999999993</v>
      </c>
      <c r="AD365" s="450">
        <v>77.849999999999994</v>
      </c>
      <c r="AE365" s="450">
        <v>77.88</v>
      </c>
      <c r="AF365" s="450">
        <v>77.91</v>
      </c>
      <c r="AG365" s="450">
        <v>77.94</v>
      </c>
      <c r="AH365" s="450">
        <v>78.08</v>
      </c>
      <c r="AI365" s="450">
        <v>78.19</v>
      </c>
      <c r="AJ365" s="450">
        <v>78.290000000000006</v>
      </c>
      <c r="AK365" s="450">
        <v>78.37</v>
      </c>
      <c r="AL365" s="450">
        <v>78.430000000000007</v>
      </c>
      <c r="AM365" s="133"/>
      <c r="AN365" s="134">
        <v>18</v>
      </c>
      <c r="AO365" s="450">
        <v>78.38</v>
      </c>
      <c r="AP365" s="450">
        <v>78.41</v>
      </c>
      <c r="AQ365" s="450">
        <v>78.45</v>
      </c>
      <c r="AR365" s="450">
        <v>78.48</v>
      </c>
      <c r="AS365" s="450">
        <v>78.510000000000005</v>
      </c>
      <c r="AT365" s="450">
        <v>78.540000000000006</v>
      </c>
      <c r="AU365" s="450">
        <v>78.58</v>
      </c>
      <c r="AV365" s="450">
        <v>78.61</v>
      </c>
      <c r="AW365" s="450">
        <v>78.64</v>
      </c>
      <c r="AX365" s="450">
        <v>78.67</v>
      </c>
      <c r="AY365" s="450">
        <v>78.7</v>
      </c>
      <c r="AZ365" s="450">
        <v>78.73</v>
      </c>
      <c r="BA365" s="450">
        <v>78.87</v>
      </c>
      <c r="BB365" s="450">
        <v>78.989999999999995</v>
      </c>
      <c r="BC365" s="450">
        <v>79.09</v>
      </c>
      <c r="BD365" s="450">
        <v>79.17</v>
      </c>
      <c r="BE365" s="450">
        <v>79.23</v>
      </c>
    </row>
    <row r="366" spans="2:57" x14ac:dyDescent="0.25">
      <c r="B366" s="134">
        <v>19</v>
      </c>
      <c r="C366" s="451">
        <v>77.08</v>
      </c>
      <c r="D366" s="451">
        <v>77.11</v>
      </c>
      <c r="E366" s="451">
        <v>77.14</v>
      </c>
      <c r="F366" s="451">
        <v>77.180000000000007</v>
      </c>
      <c r="G366" s="451">
        <v>77.209999999999994</v>
      </c>
      <c r="H366" s="451">
        <v>77.239999999999995</v>
      </c>
      <c r="I366" s="451">
        <v>77.28</v>
      </c>
      <c r="J366" s="451">
        <v>77.31</v>
      </c>
      <c r="K366" s="451">
        <v>77.34</v>
      </c>
      <c r="L366" s="451">
        <v>77.37</v>
      </c>
      <c r="M366" s="451">
        <v>77.400000000000006</v>
      </c>
      <c r="N366" s="451">
        <v>77.430000000000007</v>
      </c>
      <c r="O366" s="451">
        <v>77.569999999999993</v>
      </c>
      <c r="P366" s="451">
        <v>77.69</v>
      </c>
      <c r="Q366" s="451">
        <v>77.790000000000006</v>
      </c>
      <c r="R366" s="451">
        <v>77.87</v>
      </c>
      <c r="S366" s="451">
        <v>77.930000000000007</v>
      </c>
      <c r="T366" s="133"/>
      <c r="U366" s="134">
        <v>19</v>
      </c>
      <c r="V366" s="450">
        <v>77.67</v>
      </c>
      <c r="W366" s="450">
        <v>77.7</v>
      </c>
      <c r="X366" s="450">
        <v>77.739999999999995</v>
      </c>
      <c r="Y366" s="450">
        <v>77.77</v>
      </c>
      <c r="Z366" s="450">
        <v>77.8</v>
      </c>
      <c r="AA366" s="450">
        <v>77.84</v>
      </c>
      <c r="AB366" s="450">
        <v>77.87</v>
      </c>
      <c r="AC366" s="450">
        <v>77.900000000000006</v>
      </c>
      <c r="AD366" s="450">
        <v>77.930000000000007</v>
      </c>
      <c r="AE366" s="450">
        <v>77.959999999999994</v>
      </c>
      <c r="AF366" s="450">
        <v>78</v>
      </c>
      <c r="AG366" s="450">
        <v>78.03</v>
      </c>
      <c r="AH366" s="450">
        <v>78.17</v>
      </c>
      <c r="AI366" s="450">
        <v>78.290000000000006</v>
      </c>
      <c r="AJ366" s="450">
        <v>78.39</v>
      </c>
      <c r="AK366" s="450">
        <v>78.47</v>
      </c>
      <c r="AL366" s="450">
        <v>78.53</v>
      </c>
      <c r="AM366" s="133"/>
      <c r="AN366" s="134">
        <v>19</v>
      </c>
      <c r="AO366" s="450">
        <v>78.45</v>
      </c>
      <c r="AP366" s="450">
        <v>78.489999999999995</v>
      </c>
      <c r="AQ366" s="450">
        <v>78.52</v>
      </c>
      <c r="AR366" s="450">
        <v>78.55</v>
      </c>
      <c r="AS366" s="450">
        <v>78.59</v>
      </c>
      <c r="AT366" s="450">
        <v>78.62</v>
      </c>
      <c r="AU366" s="450">
        <v>78.66</v>
      </c>
      <c r="AV366" s="450">
        <v>78.69</v>
      </c>
      <c r="AW366" s="450">
        <v>78.72</v>
      </c>
      <c r="AX366" s="450">
        <v>78.75</v>
      </c>
      <c r="AY366" s="450">
        <v>78.790000000000006</v>
      </c>
      <c r="AZ366" s="450">
        <v>78.819999999999993</v>
      </c>
      <c r="BA366" s="450">
        <v>78.959999999999994</v>
      </c>
      <c r="BB366" s="450">
        <v>79.09</v>
      </c>
      <c r="BC366" s="450">
        <v>79.19</v>
      </c>
      <c r="BD366" s="450">
        <v>79.27</v>
      </c>
      <c r="BE366" s="450">
        <v>79.34</v>
      </c>
    </row>
    <row r="367" spans="2:57" x14ac:dyDescent="0.25">
      <c r="B367" s="134">
        <v>20</v>
      </c>
      <c r="C367" s="451">
        <v>77.150000000000006</v>
      </c>
      <c r="D367" s="451">
        <v>77.180000000000007</v>
      </c>
      <c r="E367" s="451">
        <v>77.22</v>
      </c>
      <c r="F367" s="451">
        <v>77.25</v>
      </c>
      <c r="G367" s="451">
        <v>77.290000000000006</v>
      </c>
      <c r="H367" s="451">
        <v>77.319999999999993</v>
      </c>
      <c r="I367" s="451">
        <v>77.36</v>
      </c>
      <c r="J367" s="451">
        <v>77.39</v>
      </c>
      <c r="K367" s="451">
        <v>77.42</v>
      </c>
      <c r="L367" s="451">
        <v>77.45</v>
      </c>
      <c r="M367" s="451">
        <v>77.48</v>
      </c>
      <c r="N367" s="451">
        <v>77.52</v>
      </c>
      <c r="O367" s="451">
        <v>77.66</v>
      </c>
      <c r="P367" s="451">
        <v>77.78</v>
      </c>
      <c r="Q367" s="451">
        <v>77.89</v>
      </c>
      <c r="R367" s="451">
        <v>77.97</v>
      </c>
      <c r="S367" s="451">
        <v>78.03</v>
      </c>
      <c r="T367" s="133"/>
      <c r="U367" s="134">
        <v>20</v>
      </c>
      <c r="V367" s="450">
        <v>77.739999999999995</v>
      </c>
      <c r="W367" s="450">
        <v>77.78</v>
      </c>
      <c r="X367" s="450">
        <v>77.81</v>
      </c>
      <c r="Y367" s="450">
        <v>77.849999999999994</v>
      </c>
      <c r="Z367" s="450">
        <v>77.88</v>
      </c>
      <c r="AA367" s="450">
        <v>77.92</v>
      </c>
      <c r="AB367" s="450">
        <v>77.95</v>
      </c>
      <c r="AC367" s="450">
        <v>77.98</v>
      </c>
      <c r="AD367" s="450">
        <v>78.02</v>
      </c>
      <c r="AE367" s="450">
        <v>78.05</v>
      </c>
      <c r="AF367" s="450">
        <v>78.08</v>
      </c>
      <c r="AG367" s="450">
        <v>78.11</v>
      </c>
      <c r="AH367" s="450">
        <v>78.260000000000005</v>
      </c>
      <c r="AI367" s="450">
        <v>78.39</v>
      </c>
      <c r="AJ367" s="450">
        <v>78.489999999999995</v>
      </c>
      <c r="AK367" s="450">
        <v>78.58</v>
      </c>
      <c r="AL367" s="450">
        <v>78.64</v>
      </c>
      <c r="AM367" s="133"/>
      <c r="AN367" s="134">
        <v>20</v>
      </c>
      <c r="AO367" s="450">
        <v>78.52</v>
      </c>
      <c r="AP367" s="450">
        <v>78.56</v>
      </c>
      <c r="AQ367" s="450">
        <v>78.599999999999994</v>
      </c>
      <c r="AR367" s="450">
        <v>78.63</v>
      </c>
      <c r="AS367" s="450">
        <v>78.67</v>
      </c>
      <c r="AT367" s="450">
        <v>78.7</v>
      </c>
      <c r="AU367" s="450">
        <v>78.739999999999995</v>
      </c>
      <c r="AV367" s="450">
        <v>78.77</v>
      </c>
      <c r="AW367" s="450">
        <v>78.81</v>
      </c>
      <c r="AX367" s="450">
        <v>78.84</v>
      </c>
      <c r="AY367" s="450">
        <v>78.88</v>
      </c>
      <c r="AZ367" s="450">
        <v>78.91</v>
      </c>
      <c r="BA367" s="450">
        <v>79.06</v>
      </c>
      <c r="BB367" s="450">
        <v>79.19</v>
      </c>
      <c r="BC367" s="450">
        <v>79.3</v>
      </c>
      <c r="BD367" s="450">
        <v>79.38</v>
      </c>
      <c r="BE367" s="450">
        <v>79.45</v>
      </c>
    </row>
    <row r="368" spans="2:57" x14ac:dyDescent="0.25">
      <c r="B368" s="134">
        <v>21</v>
      </c>
      <c r="C368" s="451">
        <v>77.22</v>
      </c>
      <c r="D368" s="451">
        <v>77.260000000000005</v>
      </c>
      <c r="E368" s="451">
        <v>77.3</v>
      </c>
      <c r="F368" s="451">
        <v>77.33</v>
      </c>
      <c r="G368" s="451">
        <v>77.37</v>
      </c>
      <c r="H368" s="451">
        <v>77.400000000000006</v>
      </c>
      <c r="I368" s="451">
        <v>77.44</v>
      </c>
      <c r="J368" s="451">
        <v>77.47</v>
      </c>
      <c r="K368" s="451">
        <v>77.510000000000005</v>
      </c>
      <c r="L368" s="451">
        <v>77.540000000000006</v>
      </c>
      <c r="M368" s="451">
        <v>77.569999999999993</v>
      </c>
      <c r="N368" s="451">
        <v>77.61</v>
      </c>
      <c r="O368" s="451">
        <v>77.760000000000005</v>
      </c>
      <c r="P368" s="451">
        <v>77.89</v>
      </c>
      <c r="Q368" s="451">
        <v>77.989999999999995</v>
      </c>
      <c r="R368" s="451">
        <v>78.08</v>
      </c>
      <c r="S368" s="451">
        <v>78.14</v>
      </c>
      <c r="T368" s="133"/>
      <c r="U368" s="134">
        <v>21</v>
      </c>
      <c r="V368" s="450">
        <v>77.819999999999993</v>
      </c>
      <c r="W368" s="450">
        <v>77.849999999999994</v>
      </c>
      <c r="X368" s="450">
        <v>77.89</v>
      </c>
      <c r="Y368" s="450">
        <v>77.930000000000007</v>
      </c>
      <c r="Z368" s="450">
        <v>77.959999999999994</v>
      </c>
      <c r="AA368" s="450">
        <v>78</v>
      </c>
      <c r="AB368" s="450">
        <v>78.040000000000006</v>
      </c>
      <c r="AC368" s="450">
        <v>78.069999999999993</v>
      </c>
      <c r="AD368" s="450">
        <v>78.11</v>
      </c>
      <c r="AE368" s="450">
        <v>78.14</v>
      </c>
      <c r="AF368" s="450">
        <v>78.17</v>
      </c>
      <c r="AG368" s="450">
        <v>78.209999999999994</v>
      </c>
      <c r="AH368" s="450">
        <v>78.36</v>
      </c>
      <c r="AI368" s="450">
        <v>78.489999999999995</v>
      </c>
      <c r="AJ368" s="450">
        <v>78.599999999999994</v>
      </c>
      <c r="AK368" s="450">
        <v>78.69</v>
      </c>
      <c r="AL368" s="450">
        <v>78.75</v>
      </c>
      <c r="AM368" s="133"/>
      <c r="AN368" s="134">
        <v>21</v>
      </c>
      <c r="AO368" s="450">
        <v>78.599999999999994</v>
      </c>
      <c r="AP368" s="450">
        <v>78.64</v>
      </c>
      <c r="AQ368" s="450">
        <v>78.680000000000007</v>
      </c>
      <c r="AR368" s="450">
        <v>78.72</v>
      </c>
      <c r="AS368" s="450">
        <v>78.75</v>
      </c>
      <c r="AT368" s="450">
        <v>78.790000000000006</v>
      </c>
      <c r="AU368" s="450">
        <v>78.83</v>
      </c>
      <c r="AV368" s="450">
        <v>78.86</v>
      </c>
      <c r="AW368" s="450">
        <v>78.900000000000006</v>
      </c>
      <c r="AX368" s="450">
        <v>78.930000000000007</v>
      </c>
      <c r="AY368" s="450">
        <v>78.97</v>
      </c>
      <c r="AZ368" s="450">
        <v>79</v>
      </c>
      <c r="BA368" s="450">
        <v>79.16</v>
      </c>
      <c r="BB368" s="450">
        <v>79.3</v>
      </c>
      <c r="BC368" s="450">
        <v>79.41</v>
      </c>
      <c r="BD368" s="450">
        <v>79.5</v>
      </c>
      <c r="BE368" s="450">
        <v>79.569999999999993</v>
      </c>
    </row>
    <row r="369" spans="2:57" x14ac:dyDescent="0.25">
      <c r="B369" s="134">
        <v>22</v>
      </c>
      <c r="C369" s="451">
        <v>77.3</v>
      </c>
      <c r="D369" s="451">
        <v>77.34</v>
      </c>
      <c r="E369" s="451">
        <v>77.38</v>
      </c>
      <c r="F369" s="451">
        <v>77.41</v>
      </c>
      <c r="G369" s="451">
        <v>77.45</v>
      </c>
      <c r="H369" s="451">
        <v>77.489999999999995</v>
      </c>
      <c r="I369" s="451">
        <v>77.53</v>
      </c>
      <c r="J369" s="451">
        <v>77.56</v>
      </c>
      <c r="K369" s="451">
        <v>77.599999999999994</v>
      </c>
      <c r="L369" s="451">
        <v>77.63</v>
      </c>
      <c r="M369" s="451">
        <v>77.67</v>
      </c>
      <c r="N369" s="451">
        <v>77.7</v>
      </c>
      <c r="O369" s="451">
        <v>77.86</v>
      </c>
      <c r="P369" s="451">
        <v>77.989999999999995</v>
      </c>
      <c r="Q369" s="451">
        <v>78.11</v>
      </c>
      <c r="R369" s="451">
        <v>78.19</v>
      </c>
      <c r="S369" s="451">
        <v>78.260000000000005</v>
      </c>
      <c r="T369" s="133"/>
      <c r="U369" s="134">
        <v>22</v>
      </c>
      <c r="V369" s="450">
        <v>77.89</v>
      </c>
      <c r="W369" s="450">
        <v>77.930000000000007</v>
      </c>
      <c r="X369" s="450">
        <v>77.97</v>
      </c>
      <c r="Y369" s="450">
        <v>78.010000000000005</v>
      </c>
      <c r="Z369" s="450">
        <v>78.05</v>
      </c>
      <c r="AA369" s="450">
        <v>78.09</v>
      </c>
      <c r="AB369" s="450">
        <v>78.12</v>
      </c>
      <c r="AC369" s="450">
        <v>78.16</v>
      </c>
      <c r="AD369" s="450">
        <v>78.2</v>
      </c>
      <c r="AE369" s="450">
        <v>78.23</v>
      </c>
      <c r="AF369" s="450">
        <v>78.27</v>
      </c>
      <c r="AG369" s="450">
        <v>78.3</v>
      </c>
      <c r="AH369" s="450">
        <v>78.459999999999994</v>
      </c>
      <c r="AI369" s="450">
        <v>78.599999999999994</v>
      </c>
      <c r="AJ369" s="450">
        <v>78.709999999999994</v>
      </c>
      <c r="AK369" s="450">
        <v>78.8</v>
      </c>
      <c r="AL369" s="450">
        <v>78.87</v>
      </c>
      <c r="AM369" s="133"/>
      <c r="AN369" s="134">
        <v>22</v>
      </c>
      <c r="AO369" s="450">
        <v>78.680000000000007</v>
      </c>
      <c r="AP369" s="450">
        <v>78.72</v>
      </c>
      <c r="AQ369" s="450">
        <v>78.760000000000005</v>
      </c>
      <c r="AR369" s="450">
        <v>78.8</v>
      </c>
      <c r="AS369" s="450">
        <v>78.84</v>
      </c>
      <c r="AT369" s="450">
        <v>78.88</v>
      </c>
      <c r="AU369" s="450">
        <v>78.92</v>
      </c>
      <c r="AV369" s="450">
        <v>78.959999999999994</v>
      </c>
      <c r="AW369" s="450">
        <v>78.989999999999995</v>
      </c>
      <c r="AX369" s="450">
        <v>79.03</v>
      </c>
      <c r="AY369" s="450">
        <v>79.069999999999993</v>
      </c>
      <c r="AZ369" s="450">
        <v>79.099999999999994</v>
      </c>
      <c r="BA369" s="450">
        <v>79.27</v>
      </c>
      <c r="BB369" s="450">
        <v>79.41</v>
      </c>
      <c r="BC369" s="450">
        <v>79.52</v>
      </c>
      <c r="BD369" s="450">
        <v>79.62</v>
      </c>
      <c r="BE369" s="450">
        <v>79.69</v>
      </c>
    </row>
    <row r="370" spans="2:57" x14ac:dyDescent="0.25">
      <c r="B370" s="134">
        <v>23</v>
      </c>
      <c r="C370" s="451">
        <v>77.38</v>
      </c>
      <c r="D370" s="451">
        <v>77.42</v>
      </c>
      <c r="E370" s="451">
        <v>77.459999999999994</v>
      </c>
      <c r="F370" s="451">
        <v>77.5</v>
      </c>
      <c r="G370" s="451">
        <v>77.540000000000006</v>
      </c>
      <c r="H370" s="451">
        <v>77.58</v>
      </c>
      <c r="I370" s="451">
        <v>77.62</v>
      </c>
      <c r="J370" s="451">
        <v>77.66</v>
      </c>
      <c r="K370" s="451">
        <v>77.69</v>
      </c>
      <c r="L370" s="451">
        <v>77.73</v>
      </c>
      <c r="M370" s="451">
        <v>77.77</v>
      </c>
      <c r="N370" s="451">
        <v>77.8</v>
      </c>
      <c r="O370" s="451">
        <v>77.97</v>
      </c>
      <c r="P370" s="451">
        <v>78.11</v>
      </c>
      <c r="Q370" s="451">
        <v>78.22</v>
      </c>
      <c r="R370" s="451">
        <v>78.31</v>
      </c>
      <c r="S370" s="451">
        <v>78.38</v>
      </c>
      <c r="T370" s="133"/>
      <c r="U370" s="134">
        <v>23</v>
      </c>
      <c r="V370" s="450">
        <v>77.98</v>
      </c>
      <c r="W370" s="450">
        <v>78.02</v>
      </c>
      <c r="X370" s="450">
        <v>78.06</v>
      </c>
      <c r="Y370" s="450">
        <v>78.099999999999994</v>
      </c>
      <c r="Z370" s="450">
        <v>78.14</v>
      </c>
      <c r="AA370" s="450">
        <v>78.180000000000007</v>
      </c>
      <c r="AB370" s="450">
        <v>78.22</v>
      </c>
      <c r="AC370" s="450">
        <v>78.260000000000005</v>
      </c>
      <c r="AD370" s="450">
        <v>78.290000000000006</v>
      </c>
      <c r="AE370" s="450">
        <v>78.33</v>
      </c>
      <c r="AF370" s="450">
        <v>78.37</v>
      </c>
      <c r="AG370" s="450">
        <v>78.41</v>
      </c>
      <c r="AH370" s="450">
        <v>78.569999999999993</v>
      </c>
      <c r="AI370" s="450">
        <v>78.72</v>
      </c>
      <c r="AJ370" s="450">
        <v>78.83</v>
      </c>
      <c r="AK370" s="450">
        <v>78.92</v>
      </c>
      <c r="AL370" s="450">
        <v>78.989999999999995</v>
      </c>
      <c r="AM370" s="133"/>
      <c r="AN370" s="134">
        <v>23</v>
      </c>
      <c r="AO370" s="450">
        <v>78.77</v>
      </c>
      <c r="AP370" s="450">
        <v>78.81</v>
      </c>
      <c r="AQ370" s="450">
        <v>78.849999999999994</v>
      </c>
      <c r="AR370" s="450">
        <v>78.89</v>
      </c>
      <c r="AS370" s="450">
        <v>78.930000000000007</v>
      </c>
      <c r="AT370" s="450">
        <v>78.97</v>
      </c>
      <c r="AU370" s="450">
        <v>79.010000000000005</v>
      </c>
      <c r="AV370" s="450">
        <v>79.05</v>
      </c>
      <c r="AW370" s="450">
        <v>79.09</v>
      </c>
      <c r="AX370" s="450">
        <v>79.13</v>
      </c>
      <c r="AY370" s="450">
        <v>79.17</v>
      </c>
      <c r="AZ370" s="450">
        <v>79.209999999999994</v>
      </c>
      <c r="BA370" s="450">
        <v>79.38</v>
      </c>
      <c r="BB370" s="450">
        <v>79.53</v>
      </c>
      <c r="BC370" s="450">
        <v>79.650000000000006</v>
      </c>
      <c r="BD370" s="450">
        <v>79.739999999999995</v>
      </c>
      <c r="BE370" s="450">
        <v>79.81</v>
      </c>
    </row>
    <row r="371" spans="2:57" x14ac:dyDescent="0.25">
      <c r="B371" s="134">
        <v>24</v>
      </c>
      <c r="C371" s="451">
        <v>77.459999999999994</v>
      </c>
      <c r="D371" s="451">
        <v>77.510000000000005</v>
      </c>
      <c r="E371" s="451">
        <v>77.55</v>
      </c>
      <c r="F371" s="451">
        <v>77.59</v>
      </c>
      <c r="G371" s="451">
        <v>77.63</v>
      </c>
      <c r="H371" s="451">
        <v>77.67</v>
      </c>
      <c r="I371" s="451">
        <v>77.709999999999994</v>
      </c>
      <c r="J371" s="451">
        <v>77.75</v>
      </c>
      <c r="K371" s="451">
        <v>77.790000000000006</v>
      </c>
      <c r="L371" s="451">
        <v>77.83</v>
      </c>
      <c r="M371" s="451">
        <v>77.87</v>
      </c>
      <c r="N371" s="451">
        <v>77.91</v>
      </c>
      <c r="O371" s="451">
        <v>78.08</v>
      </c>
      <c r="P371" s="451">
        <v>78.22</v>
      </c>
      <c r="Q371" s="451">
        <v>78.34</v>
      </c>
      <c r="R371" s="451">
        <v>78.430000000000007</v>
      </c>
      <c r="S371" s="451">
        <v>78.5</v>
      </c>
      <c r="T371" s="133"/>
      <c r="U371" s="134">
        <v>24</v>
      </c>
      <c r="V371" s="450">
        <v>78.06</v>
      </c>
      <c r="W371" s="450">
        <v>78.11</v>
      </c>
      <c r="X371" s="450">
        <v>78.150000000000006</v>
      </c>
      <c r="Y371" s="450">
        <v>78.19</v>
      </c>
      <c r="Z371" s="450">
        <v>78.23</v>
      </c>
      <c r="AA371" s="450">
        <v>78.27</v>
      </c>
      <c r="AB371" s="450">
        <v>78.319999999999993</v>
      </c>
      <c r="AC371" s="450">
        <v>78.36</v>
      </c>
      <c r="AD371" s="450">
        <v>78.400000000000006</v>
      </c>
      <c r="AE371" s="450">
        <v>78.44</v>
      </c>
      <c r="AF371" s="450">
        <v>78.47</v>
      </c>
      <c r="AG371" s="450">
        <v>78.510000000000005</v>
      </c>
      <c r="AH371" s="450">
        <v>78.69</v>
      </c>
      <c r="AI371" s="450">
        <v>78.84</v>
      </c>
      <c r="AJ371" s="450">
        <v>78.959999999999994</v>
      </c>
      <c r="AK371" s="450">
        <v>79.05</v>
      </c>
      <c r="AL371" s="450">
        <v>79.12</v>
      </c>
      <c r="AM371" s="133"/>
      <c r="AN371" s="134">
        <v>24</v>
      </c>
      <c r="AO371" s="450">
        <v>78.849999999999994</v>
      </c>
      <c r="AP371" s="450">
        <v>78.900000000000006</v>
      </c>
      <c r="AQ371" s="450">
        <v>78.94</v>
      </c>
      <c r="AR371" s="450">
        <v>78.989999999999995</v>
      </c>
      <c r="AS371" s="450">
        <v>79.03</v>
      </c>
      <c r="AT371" s="450">
        <v>79.069999999999993</v>
      </c>
      <c r="AU371" s="450">
        <v>79.11</v>
      </c>
      <c r="AV371" s="450">
        <v>79.16</v>
      </c>
      <c r="AW371" s="450">
        <v>79.2</v>
      </c>
      <c r="AX371" s="450">
        <v>79.239999999999995</v>
      </c>
      <c r="AY371" s="450">
        <v>79.28</v>
      </c>
      <c r="AZ371" s="450">
        <v>79.319999999999993</v>
      </c>
      <c r="BA371" s="450">
        <v>79.5</v>
      </c>
      <c r="BB371" s="450">
        <v>79.650000000000006</v>
      </c>
      <c r="BC371" s="450">
        <v>79.77</v>
      </c>
      <c r="BD371" s="450">
        <v>79.87</v>
      </c>
      <c r="BE371" s="450">
        <v>79.94</v>
      </c>
    </row>
    <row r="372" spans="2:57" x14ac:dyDescent="0.25">
      <c r="B372" s="134">
        <v>25</v>
      </c>
      <c r="C372" s="451">
        <v>77.55</v>
      </c>
      <c r="D372" s="451">
        <v>77.599999999999994</v>
      </c>
      <c r="E372" s="451">
        <v>77.64</v>
      </c>
      <c r="F372" s="451">
        <v>77.69</v>
      </c>
      <c r="G372" s="451">
        <v>77.73</v>
      </c>
      <c r="H372" s="451">
        <v>77.77</v>
      </c>
      <c r="I372" s="451">
        <v>77.81</v>
      </c>
      <c r="J372" s="451">
        <v>77.86</v>
      </c>
      <c r="K372" s="451">
        <v>77.900000000000006</v>
      </c>
      <c r="L372" s="451">
        <v>77.94</v>
      </c>
      <c r="M372" s="451">
        <v>77.98</v>
      </c>
      <c r="N372" s="451">
        <v>78.02</v>
      </c>
      <c r="O372" s="451">
        <v>78.2</v>
      </c>
      <c r="P372" s="451">
        <v>78.349999999999994</v>
      </c>
      <c r="Q372" s="451">
        <v>78.47</v>
      </c>
      <c r="R372" s="451">
        <v>78.56</v>
      </c>
      <c r="S372" s="451">
        <v>78.64</v>
      </c>
      <c r="T372" s="133"/>
      <c r="U372" s="134">
        <v>25</v>
      </c>
      <c r="V372" s="450">
        <v>78.150000000000006</v>
      </c>
      <c r="W372" s="450">
        <v>78.2</v>
      </c>
      <c r="X372" s="450">
        <v>78.239999999999995</v>
      </c>
      <c r="Y372" s="450">
        <v>78.290000000000006</v>
      </c>
      <c r="Z372" s="450">
        <v>78.33</v>
      </c>
      <c r="AA372" s="450">
        <v>78.37</v>
      </c>
      <c r="AB372" s="450">
        <v>78.42</v>
      </c>
      <c r="AC372" s="450">
        <v>78.459999999999994</v>
      </c>
      <c r="AD372" s="450">
        <v>78.5</v>
      </c>
      <c r="AE372" s="450">
        <v>78.540000000000006</v>
      </c>
      <c r="AF372" s="450">
        <v>78.58</v>
      </c>
      <c r="AG372" s="450">
        <v>78.62</v>
      </c>
      <c r="AH372" s="450">
        <v>78.81</v>
      </c>
      <c r="AI372" s="450">
        <v>78.959999999999994</v>
      </c>
      <c r="AJ372" s="450">
        <v>79.09</v>
      </c>
      <c r="AK372" s="450">
        <v>79.180000000000007</v>
      </c>
      <c r="AL372" s="450">
        <v>79.260000000000005</v>
      </c>
      <c r="AM372" s="133"/>
      <c r="AN372" s="134">
        <v>25</v>
      </c>
      <c r="AO372" s="450">
        <v>78.95</v>
      </c>
      <c r="AP372" s="450">
        <v>78.989999999999995</v>
      </c>
      <c r="AQ372" s="450">
        <v>79.040000000000006</v>
      </c>
      <c r="AR372" s="450">
        <v>79.09</v>
      </c>
      <c r="AS372" s="450">
        <v>79.13</v>
      </c>
      <c r="AT372" s="450">
        <v>79.180000000000007</v>
      </c>
      <c r="AU372" s="450">
        <v>79.22</v>
      </c>
      <c r="AV372" s="450">
        <v>79.260000000000005</v>
      </c>
      <c r="AW372" s="450">
        <v>79.31</v>
      </c>
      <c r="AX372" s="450">
        <v>79.349999999999994</v>
      </c>
      <c r="AY372" s="450">
        <v>79.39</v>
      </c>
      <c r="AZ372" s="450">
        <v>79.430000000000007</v>
      </c>
      <c r="BA372" s="450">
        <v>79.62</v>
      </c>
      <c r="BB372" s="450">
        <v>79.78</v>
      </c>
      <c r="BC372" s="450">
        <v>79.91</v>
      </c>
      <c r="BD372" s="450">
        <v>80.010000000000005</v>
      </c>
      <c r="BE372" s="450">
        <v>80.08</v>
      </c>
    </row>
    <row r="373" spans="2:57" x14ac:dyDescent="0.25">
      <c r="B373" s="134">
        <v>26</v>
      </c>
      <c r="C373" s="451">
        <v>77.650000000000006</v>
      </c>
      <c r="D373" s="451">
        <v>77.69</v>
      </c>
      <c r="E373" s="451">
        <v>77.739999999999995</v>
      </c>
      <c r="F373" s="451">
        <v>77.78</v>
      </c>
      <c r="G373" s="451">
        <v>77.83</v>
      </c>
      <c r="H373" s="451">
        <v>77.88</v>
      </c>
      <c r="I373" s="451">
        <v>77.92</v>
      </c>
      <c r="J373" s="451">
        <v>77.959999999999994</v>
      </c>
      <c r="K373" s="451">
        <v>78.010000000000005</v>
      </c>
      <c r="L373" s="451">
        <v>78.05</v>
      </c>
      <c r="M373" s="451">
        <v>78.09</v>
      </c>
      <c r="N373" s="451">
        <v>78.13</v>
      </c>
      <c r="O373" s="451">
        <v>78.319999999999993</v>
      </c>
      <c r="P373" s="451">
        <v>78.47</v>
      </c>
      <c r="Q373" s="451">
        <v>78.599999999999994</v>
      </c>
      <c r="R373" s="451">
        <v>78.7</v>
      </c>
      <c r="S373" s="451">
        <v>78.77</v>
      </c>
      <c r="T373" s="133"/>
      <c r="U373" s="134">
        <v>26</v>
      </c>
      <c r="V373" s="450">
        <v>78.25</v>
      </c>
      <c r="W373" s="450">
        <v>78.290000000000006</v>
      </c>
      <c r="X373" s="450">
        <v>78.34</v>
      </c>
      <c r="Y373" s="450">
        <v>78.39</v>
      </c>
      <c r="Z373" s="450">
        <v>78.430000000000007</v>
      </c>
      <c r="AA373" s="450">
        <v>78.48</v>
      </c>
      <c r="AB373" s="450">
        <v>78.53</v>
      </c>
      <c r="AC373" s="450">
        <v>78.569999999999993</v>
      </c>
      <c r="AD373" s="450">
        <v>78.61</v>
      </c>
      <c r="AE373" s="450">
        <v>78.66</v>
      </c>
      <c r="AF373" s="450">
        <v>78.7</v>
      </c>
      <c r="AG373" s="450">
        <v>78.739999999999995</v>
      </c>
      <c r="AH373" s="450">
        <v>78.930000000000007</v>
      </c>
      <c r="AI373" s="450">
        <v>79.09</v>
      </c>
      <c r="AJ373" s="450">
        <v>79.22</v>
      </c>
      <c r="AK373" s="450">
        <v>79.319999999999993</v>
      </c>
      <c r="AL373" s="450">
        <v>79.39</v>
      </c>
      <c r="AM373" s="133"/>
      <c r="AN373" s="134">
        <v>26</v>
      </c>
      <c r="AO373" s="450">
        <v>79.040000000000006</v>
      </c>
      <c r="AP373" s="450">
        <v>79.09</v>
      </c>
      <c r="AQ373" s="450">
        <v>79.14</v>
      </c>
      <c r="AR373" s="450">
        <v>79.19</v>
      </c>
      <c r="AS373" s="450">
        <v>79.239999999999995</v>
      </c>
      <c r="AT373" s="450">
        <v>79.28</v>
      </c>
      <c r="AU373" s="450">
        <v>79.33</v>
      </c>
      <c r="AV373" s="450">
        <v>79.38</v>
      </c>
      <c r="AW373" s="450">
        <v>79.42</v>
      </c>
      <c r="AX373" s="450">
        <v>79.459999999999994</v>
      </c>
      <c r="AY373" s="450">
        <v>79.510000000000005</v>
      </c>
      <c r="AZ373" s="450">
        <v>79.55</v>
      </c>
      <c r="BA373" s="450">
        <v>79.75</v>
      </c>
      <c r="BB373" s="450">
        <v>79.91</v>
      </c>
      <c r="BC373" s="450">
        <v>80.040000000000006</v>
      </c>
      <c r="BD373" s="450">
        <v>80.150000000000006</v>
      </c>
      <c r="BE373" s="450">
        <v>80.22</v>
      </c>
    </row>
    <row r="374" spans="2:57" x14ac:dyDescent="0.25">
      <c r="B374" s="134">
        <v>27</v>
      </c>
      <c r="C374" s="451">
        <v>77.739999999999995</v>
      </c>
      <c r="D374" s="451">
        <v>77.790000000000006</v>
      </c>
      <c r="E374" s="451">
        <v>77.84</v>
      </c>
      <c r="F374" s="451">
        <v>77.89</v>
      </c>
      <c r="G374" s="451">
        <v>77.94</v>
      </c>
      <c r="H374" s="451">
        <v>77.98</v>
      </c>
      <c r="I374" s="451">
        <v>78.03</v>
      </c>
      <c r="J374" s="451">
        <v>78.08</v>
      </c>
      <c r="K374" s="451">
        <v>78.12</v>
      </c>
      <c r="L374" s="451">
        <v>78.17</v>
      </c>
      <c r="M374" s="451">
        <v>78.209999999999994</v>
      </c>
      <c r="N374" s="451">
        <v>78.25</v>
      </c>
      <c r="O374" s="451">
        <v>78.45</v>
      </c>
      <c r="P374" s="451">
        <v>78.61</v>
      </c>
      <c r="Q374" s="451">
        <v>78.739999999999995</v>
      </c>
      <c r="R374" s="451">
        <v>78.84</v>
      </c>
      <c r="S374" s="451">
        <v>78.91</v>
      </c>
      <c r="T374" s="133"/>
      <c r="U374" s="134">
        <v>27</v>
      </c>
      <c r="V374" s="450">
        <v>78.349999999999994</v>
      </c>
      <c r="W374" s="450">
        <v>78.400000000000006</v>
      </c>
      <c r="X374" s="450">
        <v>78.44</v>
      </c>
      <c r="Y374" s="450">
        <v>78.489999999999995</v>
      </c>
      <c r="Z374" s="450">
        <v>78.540000000000006</v>
      </c>
      <c r="AA374" s="450">
        <v>78.59</v>
      </c>
      <c r="AB374" s="450">
        <v>78.64</v>
      </c>
      <c r="AC374" s="450">
        <v>78.680000000000007</v>
      </c>
      <c r="AD374" s="450">
        <v>78.73</v>
      </c>
      <c r="AE374" s="450">
        <v>78.78</v>
      </c>
      <c r="AF374" s="450">
        <v>78.819999999999993</v>
      </c>
      <c r="AG374" s="450">
        <v>78.86</v>
      </c>
      <c r="AH374" s="450">
        <v>79.06</v>
      </c>
      <c r="AI374" s="450">
        <v>79.23</v>
      </c>
      <c r="AJ374" s="450">
        <v>79.36</v>
      </c>
      <c r="AK374" s="450">
        <v>79.459999999999994</v>
      </c>
      <c r="AL374" s="450">
        <v>79.540000000000006</v>
      </c>
      <c r="AM374" s="133"/>
      <c r="AN374" s="134">
        <v>27</v>
      </c>
      <c r="AO374" s="450">
        <v>79.150000000000006</v>
      </c>
      <c r="AP374" s="450">
        <v>79.2</v>
      </c>
      <c r="AQ374" s="450">
        <v>79.25</v>
      </c>
      <c r="AR374" s="450">
        <v>79.3</v>
      </c>
      <c r="AS374" s="450">
        <v>79.349999999999994</v>
      </c>
      <c r="AT374" s="450">
        <v>79.400000000000006</v>
      </c>
      <c r="AU374" s="450">
        <v>79.45</v>
      </c>
      <c r="AV374" s="450">
        <v>79.489999999999995</v>
      </c>
      <c r="AW374" s="450">
        <v>79.540000000000006</v>
      </c>
      <c r="AX374" s="450">
        <v>79.59</v>
      </c>
      <c r="AY374" s="450">
        <v>79.63</v>
      </c>
      <c r="AZ374" s="450">
        <v>79.680000000000007</v>
      </c>
      <c r="BA374" s="450">
        <v>79.88</v>
      </c>
      <c r="BB374" s="450">
        <v>80.05</v>
      </c>
      <c r="BC374" s="450">
        <v>80.19</v>
      </c>
      <c r="BD374" s="450">
        <v>80.290000000000006</v>
      </c>
      <c r="BE374" s="450">
        <v>80.37</v>
      </c>
    </row>
    <row r="375" spans="2:57" x14ac:dyDescent="0.25">
      <c r="B375" s="134">
        <v>28</v>
      </c>
      <c r="C375" s="451">
        <v>77.849999999999994</v>
      </c>
      <c r="D375" s="451">
        <v>77.900000000000006</v>
      </c>
      <c r="E375" s="451">
        <v>77.95</v>
      </c>
      <c r="F375" s="451">
        <v>78</v>
      </c>
      <c r="G375" s="451">
        <v>78.05</v>
      </c>
      <c r="H375" s="451">
        <v>78.099999999999994</v>
      </c>
      <c r="I375" s="451">
        <v>78.150000000000006</v>
      </c>
      <c r="J375" s="451">
        <v>78.19</v>
      </c>
      <c r="K375" s="451">
        <v>78.239999999999995</v>
      </c>
      <c r="L375" s="451">
        <v>78.290000000000006</v>
      </c>
      <c r="M375" s="451">
        <v>78.33</v>
      </c>
      <c r="N375" s="451">
        <v>78.38</v>
      </c>
      <c r="O375" s="451">
        <v>78.58</v>
      </c>
      <c r="P375" s="451">
        <v>78.75</v>
      </c>
      <c r="Q375" s="451">
        <v>78.88</v>
      </c>
      <c r="R375" s="451">
        <v>78.989999999999995</v>
      </c>
      <c r="S375" s="451">
        <v>79.06</v>
      </c>
      <c r="T375" s="133"/>
      <c r="U375" s="134">
        <v>28</v>
      </c>
      <c r="V375" s="450">
        <v>78.45</v>
      </c>
      <c r="W375" s="450">
        <v>78.5</v>
      </c>
      <c r="X375" s="450">
        <v>78.55</v>
      </c>
      <c r="Y375" s="450">
        <v>78.599999999999994</v>
      </c>
      <c r="Z375" s="450">
        <v>78.66</v>
      </c>
      <c r="AA375" s="450">
        <v>78.709999999999994</v>
      </c>
      <c r="AB375" s="450">
        <v>78.760000000000005</v>
      </c>
      <c r="AC375" s="450">
        <v>78.8</v>
      </c>
      <c r="AD375" s="450">
        <v>78.849999999999994</v>
      </c>
      <c r="AE375" s="450">
        <v>78.900000000000006</v>
      </c>
      <c r="AF375" s="450">
        <v>78.95</v>
      </c>
      <c r="AG375" s="450">
        <v>78.989999999999995</v>
      </c>
      <c r="AH375" s="450">
        <v>79.2</v>
      </c>
      <c r="AI375" s="450">
        <v>79.37</v>
      </c>
      <c r="AJ375" s="450">
        <v>79.510000000000005</v>
      </c>
      <c r="AK375" s="450">
        <v>79.61</v>
      </c>
      <c r="AL375" s="450">
        <v>79.69</v>
      </c>
      <c r="AM375" s="133"/>
      <c r="AN375" s="134">
        <v>28</v>
      </c>
      <c r="AO375" s="450">
        <v>79.25</v>
      </c>
      <c r="AP375" s="450">
        <v>79.31</v>
      </c>
      <c r="AQ375" s="450">
        <v>79.36</v>
      </c>
      <c r="AR375" s="450">
        <v>79.41</v>
      </c>
      <c r="AS375" s="450">
        <v>79.459999999999994</v>
      </c>
      <c r="AT375" s="450">
        <v>79.52</v>
      </c>
      <c r="AU375" s="450">
        <v>79.569999999999993</v>
      </c>
      <c r="AV375" s="450">
        <v>79.62</v>
      </c>
      <c r="AW375" s="450">
        <v>79.67</v>
      </c>
      <c r="AX375" s="450">
        <v>79.709999999999994</v>
      </c>
      <c r="AY375" s="450">
        <v>79.760000000000005</v>
      </c>
      <c r="AZ375" s="450">
        <v>79.81</v>
      </c>
      <c r="BA375" s="450">
        <v>80.02</v>
      </c>
      <c r="BB375" s="450">
        <v>80.2</v>
      </c>
      <c r="BC375" s="450">
        <v>80.34</v>
      </c>
      <c r="BD375" s="450">
        <v>80.45</v>
      </c>
      <c r="BE375" s="450">
        <v>80.53</v>
      </c>
    </row>
    <row r="376" spans="2:57" x14ac:dyDescent="0.25">
      <c r="B376" s="134">
        <v>29</v>
      </c>
      <c r="C376" s="451">
        <v>77.95</v>
      </c>
      <c r="D376" s="451">
        <v>78.010000000000005</v>
      </c>
      <c r="E376" s="451">
        <v>78.06</v>
      </c>
      <c r="F376" s="451">
        <v>78.11</v>
      </c>
      <c r="G376" s="451">
        <v>78.16</v>
      </c>
      <c r="H376" s="451">
        <v>78.22</v>
      </c>
      <c r="I376" s="451">
        <v>78.27</v>
      </c>
      <c r="J376" s="451">
        <v>78.319999999999993</v>
      </c>
      <c r="K376" s="451">
        <v>78.37</v>
      </c>
      <c r="L376" s="451">
        <v>78.41</v>
      </c>
      <c r="M376" s="451">
        <v>78.459999999999994</v>
      </c>
      <c r="N376" s="451">
        <v>78.510000000000005</v>
      </c>
      <c r="O376" s="451">
        <v>78.72</v>
      </c>
      <c r="P376" s="451">
        <v>78.89</v>
      </c>
      <c r="Q376" s="451">
        <v>79.03</v>
      </c>
      <c r="R376" s="451">
        <v>79.14</v>
      </c>
      <c r="S376" s="451">
        <v>79.22</v>
      </c>
      <c r="T376" s="133"/>
      <c r="U376" s="134">
        <v>29</v>
      </c>
      <c r="V376" s="450">
        <v>78.56</v>
      </c>
      <c r="W376" s="450">
        <v>78.61</v>
      </c>
      <c r="X376" s="450">
        <v>78.67</v>
      </c>
      <c r="Y376" s="450">
        <v>78.72</v>
      </c>
      <c r="Z376" s="450">
        <v>78.77</v>
      </c>
      <c r="AA376" s="450">
        <v>78.83</v>
      </c>
      <c r="AB376" s="450">
        <v>78.88</v>
      </c>
      <c r="AC376" s="450">
        <v>78.930000000000007</v>
      </c>
      <c r="AD376" s="450">
        <v>78.98</v>
      </c>
      <c r="AE376" s="450">
        <v>79.03</v>
      </c>
      <c r="AF376" s="450">
        <v>79.08</v>
      </c>
      <c r="AG376" s="450">
        <v>79.12</v>
      </c>
      <c r="AH376" s="450">
        <v>79.34</v>
      </c>
      <c r="AI376" s="450">
        <v>79.52</v>
      </c>
      <c r="AJ376" s="450">
        <v>79.66</v>
      </c>
      <c r="AK376" s="450">
        <v>79.77</v>
      </c>
      <c r="AL376" s="450">
        <v>79.849999999999994</v>
      </c>
      <c r="AM376" s="133"/>
      <c r="AN376" s="134">
        <v>29</v>
      </c>
      <c r="AO376" s="450">
        <v>79.36</v>
      </c>
      <c r="AP376" s="450">
        <v>79.42</v>
      </c>
      <c r="AQ376" s="450">
        <v>79.48</v>
      </c>
      <c r="AR376" s="450">
        <v>79.53</v>
      </c>
      <c r="AS376" s="450">
        <v>79.59</v>
      </c>
      <c r="AT376" s="450">
        <v>79.64</v>
      </c>
      <c r="AU376" s="450">
        <v>79.69</v>
      </c>
      <c r="AV376" s="450">
        <v>79.75</v>
      </c>
      <c r="AW376" s="450">
        <v>79.8</v>
      </c>
      <c r="AX376" s="450">
        <v>79.849999999999994</v>
      </c>
      <c r="AY376" s="450">
        <v>79.900000000000006</v>
      </c>
      <c r="AZ376" s="450">
        <v>79.94</v>
      </c>
      <c r="BA376" s="450">
        <v>80.17</v>
      </c>
      <c r="BB376" s="450">
        <v>80.349999999999994</v>
      </c>
      <c r="BC376" s="450">
        <v>80.5</v>
      </c>
      <c r="BD376" s="450">
        <v>80.61</v>
      </c>
      <c r="BE376" s="450">
        <v>80.69</v>
      </c>
    </row>
    <row r="377" spans="2:57" x14ac:dyDescent="0.25">
      <c r="B377" s="134">
        <v>30</v>
      </c>
      <c r="C377" s="451">
        <v>78.06</v>
      </c>
      <c r="D377" s="451">
        <v>78.12</v>
      </c>
      <c r="E377" s="451">
        <v>78.180000000000007</v>
      </c>
      <c r="F377" s="451">
        <v>78.23</v>
      </c>
      <c r="G377" s="451">
        <v>78.290000000000006</v>
      </c>
      <c r="H377" s="451">
        <v>78.34</v>
      </c>
      <c r="I377" s="451">
        <v>78.39</v>
      </c>
      <c r="J377" s="451">
        <v>78.45</v>
      </c>
      <c r="K377" s="451">
        <v>78.5</v>
      </c>
      <c r="L377" s="451">
        <v>78.55</v>
      </c>
      <c r="M377" s="451">
        <v>78.599999999999994</v>
      </c>
      <c r="N377" s="451">
        <v>78.650000000000006</v>
      </c>
      <c r="O377" s="451">
        <v>78.86</v>
      </c>
      <c r="P377" s="451">
        <v>79.05</v>
      </c>
      <c r="Q377" s="451">
        <v>79.19</v>
      </c>
      <c r="R377" s="451">
        <v>79.3</v>
      </c>
      <c r="S377" s="451">
        <v>79.38</v>
      </c>
      <c r="T377" s="133"/>
      <c r="U377" s="134">
        <v>30</v>
      </c>
      <c r="V377" s="450">
        <v>78.67</v>
      </c>
      <c r="W377" s="450">
        <v>78.73</v>
      </c>
      <c r="X377" s="450">
        <v>78.790000000000006</v>
      </c>
      <c r="Y377" s="450">
        <v>78.84</v>
      </c>
      <c r="Z377" s="450">
        <v>78.900000000000006</v>
      </c>
      <c r="AA377" s="450">
        <v>78.95</v>
      </c>
      <c r="AB377" s="450">
        <v>79.010000000000005</v>
      </c>
      <c r="AC377" s="450">
        <v>79.06</v>
      </c>
      <c r="AD377" s="450">
        <v>79.11</v>
      </c>
      <c r="AE377" s="450">
        <v>79.16</v>
      </c>
      <c r="AF377" s="450">
        <v>79.22</v>
      </c>
      <c r="AG377" s="450">
        <v>79.260000000000005</v>
      </c>
      <c r="AH377" s="450">
        <v>79.489999999999995</v>
      </c>
      <c r="AI377" s="450">
        <v>79.67</v>
      </c>
      <c r="AJ377" s="450">
        <v>79.819999999999993</v>
      </c>
      <c r="AK377" s="450">
        <v>79.930000000000007</v>
      </c>
      <c r="AL377" s="450">
        <v>80.010000000000005</v>
      </c>
      <c r="AM377" s="133"/>
      <c r="AN377" s="134">
        <v>30</v>
      </c>
      <c r="AO377" s="450">
        <v>79.48</v>
      </c>
      <c r="AP377" s="450">
        <v>79.540000000000006</v>
      </c>
      <c r="AQ377" s="450">
        <v>79.599999999999994</v>
      </c>
      <c r="AR377" s="450">
        <v>79.66</v>
      </c>
      <c r="AS377" s="450">
        <v>79.709999999999994</v>
      </c>
      <c r="AT377" s="450">
        <v>79.77</v>
      </c>
      <c r="AU377" s="450">
        <v>79.83</v>
      </c>
      <c r="AV377" s="450">
        <v>79.88</v>
      </c>
      <c r="AW377" s="450">
        <v>79.930000000000007</v>
      </c>
      <c r="AX377" s="450">
        <v>79.989999999999995</v>
      </c>
      <c r="AY377" s="450">
        <v>80.040000000000006</v>
      </c>
      <c r="AZ377" s="450">
        <v>80.09</v>
      </c>
      <c r="BA377" s="450">
        <v>80.319999999999993</v>
      </c>
      <c r="BB377" s="450">
        <v>80.510000000000005</v>
      </c>
      <c r="BC377" s="450">
        <v>80.66</v>
      </c>
      <c r="BD377" s="450">
        <v>80.78</v>
      </c>
      <c r="BE377" s="450">
        <v>80.86</v>
      </c>
    </row>
    <row r="378" spans="2:57" x14ac:dyDescent="0.25">
      <c r="B378" s="134">
        <v>31</v>
      </c>
      <c r="C378" s="451">
        <v>78.180000000000007</v>
      </c>
      <c r="D378" s="451">
        <v>78.239999999999995</v>
      </c>
      <c r="E378" s="451">
        <v>78.3</v>
      </c>
      <c r="F378" s="451">
        <v>78.36</v>
      </c>
      <c r="G378" s="451">
        <v>78.41</v>
      </c>
      <c r="H378" s="451">
        <v>78.47</v>
      </c>
      <c r="I378" s="451">
        <v>78.53</v>
      </c>
      <c r="J378" s="451">
        <v>78.58</v>
      </c>
      <c r="K378" s="451">
        <v>78.63</v>
      </c>
      <c r="L378" s="451">
        <v>78.69</v>
      </c>
      <c r="M378" s="451">
        <v>78.739999999999995</v>
      </c>
      <c r="N378" s="451">
        <v>78.790000000000006</v>
      </c>
      <c r="O378" s="451">
        <v>79.02</v>
      </c>
      <c r="P378" s="451">
        <v>79.2</v>
      </c>
      <c r="Q378" s="451">
        <v>79.349999999999994</v>
      </c>
      <c r="R378" s="451">
        <v>79.459999999999994</v>
      </c>
      <c r="S378" s="451">
        <v>79.540000000000006</v>
      </c>
      <c r="T378" s="133"/>
      <c r="U378" s="134">
        <v>31</v>
      </c>
      <c r="V378" s="450">
        <v>78.790000000000006</v>
      </c>
      <c r="W378" s="450">
        <v>78.849999999999994</v>
      </c>
      <c r="X378" s="450">
        <v>78.91</v>
      </c>
      <c r="Y378" s="450">
        <v>78.97</v>
      </c>
      <c r="Z378" s="450">
        <v>79.03</v>
      </c>
      <c r="AA378" s="450">
        <v>79.09</v>
      </c>
      <c r="AB378" s="450">
        <v>79.14</v>
      </c>
      <c r="AC378" s="450">
        <v>79.2</v>
      </c>
      <c r="AD378" s="450">
        <v>79.25</v>
      </c>
      <c r="AE378" s="450">
        <v>79.31</v>
      </c>
      <c r="AF378" s="450">
        <v>79.36</v>
      </c>
      <c r="AG378" s="450">
        <v>79.41</v>
      </c>
      <c r="AH378" s="450">
        <v>79.64</v>
      </c>
      <c r="AI378" s="450">
        <v>79.83</v>
      </c>
      <c r="AJ378" s="450">
        <v>79.989999999999995</v>
      </c>
      <c r="AK378" s="450">
        <v>80.099999999999994</v>
      </c>
      <c r="AL378" s="450">
        <v>80.180000000000007</v>
      </c>
      <c r="AM378" s="133"/>
      <c r="AN378" s="134">
        <v>31</v>
      </c>
      <c r="AO378" s="450">
        <v>79.599999999999994</v>
      </c>
      <c r="AP378" s="450">
        <v>79.67</v>
      </c>
      <c r="AQ378" s="450">
        <v>79.73</v>
      </c>
      <c r="AR378" s="450">
        <v>79.790000000000006</v>
      </c>
      <c r="AS378" s="450">
        <v>79.849999999999994</v>
      </c>
      <c r="AT378" s="450">
        <v>79.91</v>
      </c>
      <c r="AU378" s="450">
        <v>79.959999999999994</v>
      </c>
      <c r="AV378" s="450">
        <v>80.02</v>
      </c>
      <c r="AW378" s="450">
        <v>80.08</v>
      </c>
      <c r="AX378" s="450">
        <v>80.13</v>
      </c>
      <c r="AY378" s="450">
        <v>80.19</v>
      </c>
      <c r="AZ378" s="450">
        <v>80.239999999999995</v>
      </c>
      <c r="BA378" s="450">
        <v>80.48</v>
      </c>
      <c r="BB378" s="450">
        <v>80.680000000000007</v>
      </c>
      <c r="BC378" s="450">
        <v>80.83</v>
      </c>
      <c r="BD378" s="450">
        <v>80.95</v>
      </c>
      <c r="BE378" s="450">
        <v>81.040000000000006</v>
      </c>
    </row>
    <row r="379" spans="2:57" x14ac:dyDescent="0.25">
      <c r="B379" s="134">
        <v>32</v>
      </c>
      <c r="C379" s="451">
        <v>78.3</v>
      </c>
      <c r="D379" s="451">
        <v>78.37</v>
      </c>
      <c r="E379" s="451">
        <v>78.430000000000007</v>
      </c>
      <c r="F379" s="451">
        <v>78.489999999999995</v>
      </c>
      <c r="G379" s="451">
        <v>78.55</v>
      </c>
      <c r="H379" s="451">
        <v>78.61</v>
      </c>
      <c r="I379" s="451">
        <v>78.66</v>
      </c>
      <c r="J379" s="451">
        <v>78.72</v>
      </c>
      <c r="K379" s="451">
        <v>78.78</v>
      </c>
      <c r="L379" s="451">
        <v>78.83</v>
      </c>
      <c r="M379" s="451">
        <v>78.89</v>
      </c>
      <c r="N379" s="451">
        <v>78.94</v>
      </c>
      <c r="O379" s="451">
        <v>79.180000000000007</v>
      </c>
      <c r="P379" s="451">
        <v>79.37</v>
      </c>
      <c r="Q379" s="451">
        <v>79.52</v>
      </c>
      <c r="R379" s="451">
        <v>79.64</v>
      </c>
      <c r="S379" s="451">
        <v>79.72</v>
      </c>
      <c r="T379" s="133"/>
      <c r="U379" s="134">
        <v>32</v>
      </c>
      <c r="V379" s="450">
        <v>78.92</v>
      </c>
      <c r="W379" s="450">
        <v>78.98</v>
      </c>
      <c r="X379" s="450">
        <v>79.040000000000006</v>
      </c>
      <c r="Y379" s="450">
        <v>79.099999999999994</v>
      </c>
      <c r="Z379" s="450">
        <v>79.16</v>
      </c>
      <c r="AA379" s="450">
        <v>79.22</v>
      </c>
      <c r="AB379" s="450">
        <v>79.28</v>
      </c>
      <c r="AC379" s="450">
        <v>79.34</v>
      </c>
      <c r="AD379" s="450">
        <v>79.400000000000006</v>
      </c>
      <c r="AE379" s="450">
        <v>79.459999999999994</v>
      </c>
      <c r="AF379" s="450">
        <v>79.510000000000005</v>
      </c>
      <c r="AG379" s="450">
        <v>79.56</v>
      </c>
      <c r="AH379" s="450">
        <v>79.8</v>
      </c>
      <c r="AI379" s="450">
        <v>80</v>
      </c>
      <c r="AJ379" s="450">
        <v>80.16</v>
      </c>
      <c r="AK379" s="450">
        <v>80.28</v>
      </c>
      <c r="AL379" s="450">
        <v>80.36</v>
      </c>
      <c r="AM379" s="133"/>
      <c r="AN379" s="134">
        <v>32</v>
      </c>
      <c r="AO379" s="450">
        <v>79.73</v>
      </c>
      <c r="AP379" s="450">
        <v>79.8</v>
      </c>
      <c r="AQ379" s="450">
        <v>79.86</v>
      </c>
      <c r="AR379" s="450">
        <v>79.92</v>
      </c>
      <c r="AS379" s="450">
        <v>79.989999999999995</v>
      </c>
      <c r="AT379" s="450">
        <v>80.05</v>
      </c>
      <c r="AU379" s="450">
        <v>80.11</v>
      </c>
      <c r="AV379" s="450">
        <v>80.17</v>
      </c>
      <c r="AW379" s="450">
        <v>80.23</v>
      </c>
      <c r="AX379" s="450">
        <v>80.290000000000006</v>
      </c>
      <c r="AY379" s="450">
        <v>80.34</v>
      </c>
      <c r="AZ379" s="450">
        <v>80.400000000000006</v>
      </c>
      <c r="BA379" s="450">
        <v>80.64</v>
      </c>
      <c r="BB379" s="450">
        <v>80.849999999999994</v>
      </c>
      <c r="BC379" s="450">
        <v>81.010000000000005</v>
      </c>
      <c r="BD379" s="450">
        <v>81.13</v>
      </c>
      <c r="BE379" s="450">
        <v>81.22</v>
      </c>
    </row>
    <row r="380" spans="2:57" x14ac:dyDescent="0.25">
      <c r="B380" s="134">
        <v>33</v>
      </c>
      <c r="C380" s="451">
        <v>78.430000000000007</v>
      </c>
      <c r="D380" s="451">
        <v>78.5</v>
      </c>
      <c r="E380" s="451">
        <v>78.56</v>
      </c>
      <c r="F380" s="451">
        <v>78.62</v>
      </c>
      <c r="G380" s="451">
        <v>78.69</v>
      </c>
      <c r="H380" s="451">
        <v>78.75</v>
      </c>
      <c r="I380" s="451">
        <v>78.81</v>
      </c>
      <c r="J380" s="451">
        <v>78.87</v>
      </c>
      <c r="K380" s="451">
        <v>78.930000000000007</v>
      </c>
      <c r="L380" s="451">
        <v>78.989999999999995</v>
      </c>
      <c r="M380" s="451">
        <v>79.040000000000006</v>
      </c>
      <c r="N380" s="451">
        <v>79.099999999999994</v>
      </c>
      <c r="O380" s="451">
        <v>79.34</v>
      </c>
      <c r="P380" s="451">
        <v>79.540000000000006</v>
      </c>
      <c r="Q380" s="451">
        <v>79.7</v>
      </c>
      <c r="R380" s="451">
        <v>79.819999999999993</v>
      </c>
      <c r="S380" s="451">
        <v>79.900000000000006</v>
      </c>
      <c r="T380" s="133"/>
      <c r="U380" s="134">
        <v>33</v>
      </c>
      <c r="V380" s="450">
        <v>79.05</v>
      </c>
      <c r="W380" s="450">
        <v>79.11</v>
      </c>
      <c r="X380" s="450">
        <v>79.180000000000007</v>
      </c>
      <c r="Y380" s="450">
        <v>79.239999999999995</v>
      </c>
      <c r="Z380" s="450">
        <v>79.31</v>
      </c>
      <c r="AA380" s="450">
        <v>79.37</v>
      </c>
      <c r="AB380" s="450">
        <v>79.430000000000007</v>
      </c>
      <c r="AC380" s="450">
        <v>79.489999999999995</v>
      </c>
      <c r="AD380" s="450">
        <v>79.55</v>
      </c>
      <c r="AE380" s="450">
        <v>79.61</v>
      </c>
      <c r="AF380" s="450">
        <v>79.67</v>
      </c>
      <c r="AG380" s="450">
        <v>79.72</v>
      </c>
      <c r="AH380" s="450">
        <v>79.97</v>
      </c>
      <c r="AI380" s="450">
        <v>80.180000000000007</v>
      </c>
      <c r="AJ380" s="450">
        <v>80.34</v>
      </c>
      <c r="AK380" s="450">
        <v>80.459999999999994</v>
      </c>
      <c r="AL380" s="450">
        <v>80.55</v>
      </c>
      <c r="AM380" s="133"/>
      <c r="AN380" s="134">
        <v>33</v>
      </c>
      <c r="AO380" s="450">
        <v>79.87</v>
      </c>
      <c r="AP380" s="450">
        <v>79.930000000000007</v>
      </c>
      <c r="AQ380" s="450">
        <v>80</v>
      </c>
      <c r="AR380" s="450">
        <v>80.069999999999993</v>
      </c>
      <c r="AS380" s="450">
        <v>80.13</v>
      </c>
      <c r="AT380" s="450">
        <v>80.2</v>
      </c>
      <c r="AU380" s="450">
        <v>80.260000000000005</v>
      </c>
      <c r="AV380" s="450">
        <v>80.319999999999993</v>
      </c>
      <c r="AW380" s="450">
        <v>80.38</v>
      </c>
      <c r="AX380" s="450">
        <v>80.44</v>
      </c>
      <c r="AY380" s="450">
        <v>80.5</v>
      </c>
      <c r="AZ380" s="450">
        <v>80.56</v>
      </c>
      <c r="BA380" s="450">
        <v>80.819999999999993</v>
      </c>
      <c r="BB380" s="450">
        <v>81.03</v>
      </c>
      <c r="BC380" s="450">
        <v>81.2</v>
      </c>
      <c r="BD380" s="450">
        <v>81.319999999999993</v>
      </c>
      <c r="BE380" s="450">
        <v>81.41</v>
      </c>
    </row>
    <row r="381" spans="2:57" x14ac:dyDescent="0.25">
      <c r="B381" s="134">
        <v>34</v>
      </c>
      <c r="C381" s="451">
        <v>78.569999999999993</v>
      </c>
      <c r="D381" s="451">
        <v>78.64</v>
      </c>
      <c r="E381" s="451">
        <v>78.7</v>
      </c>
      <c r="F381" s="451">
        <v>78.77</v>
      </c>
      <c r="G381" s="451">
        <v>78.83</v>
      </c>
      <c r="H381" s="451">
        <v>78.900000000000006</v>
      </c>
      <c r="I381" s="451">
        <v>78.959999999999994</v>
      </c>
      <c r="J381" s="451">
        <v>79.02</v>
      </c>
      <c r="K381" s="451">
        <v>79.08</v>
      </c>
      <c r="L381" s="451">
        <v>79.14</v>
      </c>
      <c r="M381" s="451">
        <v>79.2</v>
      </c>
      <c r="N381" s="451">
        <v>79.260000000000005</v>
      </c>
      <c r="O381" s="451">
        <v>79.510000000000005</v>
      </c>
      <c r="P381" s="451">
        <v>79.72</v>
      </c>
      <c r="Q381" s="451">
        <v>79.88</v>
      </c>
      <c r="R381" s="451">
        <v>80</v>
      </c>
      <c r="S381" s="451">
        <v>80.09</v>
      </c>
      <c r="T381" s="133"/>
      <c r="U381" s="134">
        <v>34</v>
      </c>
      <c r="V381" s="450">
        <v>79.19</v>
      </c>
      <c r="W381" s="450">
        <v>79.25</v>
      </c>
      <c r="X381" s="450">
        <v>79.319999999999993</v>
      </c>
      <c r="Y381" s="450">
        <v>79.39</v>
      </c>
      <c r="Z381" s="450">
        <v>79.459999999999994</v>
      </c>
      <c r="AA381" s="450">
        <v>79.52</v>
      </c>
      <c r="AB381" s="450">
        <v>79.59</v>
      </c>
      <c r="AC381" s="450">
        <v>79.650000000000006</v>
      </c>
      <c r="AD381" s="450">
        <v>79.709999999999994</v>
      </c>
      <c r="AE381" s="450">
        <v>79.77</v>
      </c>
      <c r="AF381" s="450">
        <v>79.83</v>
      </c>
      <c r="AG381" s="450">
        <v>79.89</v>
      </c>
      <c r="AH381" s="450">
        <v>80.150000000000006</v>
      </c>
      <c r="AI381" s="450">
        <v>80.36</v>
      </c>
      <c r="AJ381" s="450">
        <v>80.53</v>
      </c>
      <c r="AK381" s="450">
        <v>80.650000000000006</v>
      </c>
      <c r="AL381" s="450">
        <v>80.739999999999995</v>
      </c>
      <c r="AM381" s="133"/>
      <c r="AN381" s="134">
        <v>34</v>
      </c>
      <c r="AO381" s="450">
        <v>80.010000000000005</v>
      </c>
      <c r="AP381" s="450">
        <v>80.08</v>
      </c>
      <c r="AQ381" s="450">
        <v>80.150000000000006</v>
      </c>
      <c r="AR381" s="450">
        <v>80.22</v>
      </c>
      <c r="AS381" s="450">
        <v>80.290000000000006</v>
      </c>
      <c r="AT381" s="450">
        <v>80.349999999999994</v>
      </c>
      <c r="AU381" s="450">
        <v>80.42</v>
      </c>
      <c r="AV381" s="450">
        <v>80.489999999999995</v>
      </c>
      <c r="AW381" s="450">
        <v>80.55</v>
      </c>
      <c r="AX381" s="450">
        <v>80.61</v>
      </c>
      <c r="AY381" s="450">
        <v>80.67</v>
      </c>
      <c r="AZ381" s="450">
        <v>80.73</v>
      </c>
      <c r="BA381" s="450">
        <v>81</v>
      </c>
      <c r="BB381" s="450">
        <v>81.22</v>
      </c>
      <c r="BC381" s="450">
        <v>81.39</v>
      </c>
      <c r="BD381" s="450">
        <v>81.52</v>
      </c>
      <c r="BE381" s="450">
        <v>81.61</v>
      </c>
    </row>
    <row r="382" spans="2:57" x14ac:dyDescent="0.25">
      <c r="B382" s="134">
        <v>35</v>
      </c>
      <c r="C382" s="451">
        <v>78.709999999999994</v>
      </c>
      <c r="D382" s="451">
        <v>78.78</v>
      </c>
      <c r="E382" s="451">
        <v>78.849999999999994</v>
      </c>
      <c r="F382" s="451">
        <v>78.92</v>
      </c>
      <c r="G382" s="451">
        <v>78.989999999999995</v>
      </c>
      <c r="H382" s="451">
        <v>79.05</v>
      </c>
      <c r="I382" s="451">
        <v>79.12</v>
      </c>
      <c r="J382" s="451">
        <v>79.180000000000007</v>
      </c>
      <c r="K382" s="451">
        <v>79.25</v>
      </c>
      <c r="L382" s="451">
        <v>79.31</v>
      </c>
      <c r="M382" s="451">
        <v>79.37</v>
      </c>
      <c r="N382" s="451">
        <v>79.430000000000007</v>
      </c>
      <c r="O382" s="451">
        <v>79.69</v>
      </c>
      <c r="P382" s="451">
        <v>79.91</v>
      </c>
      <c r="Q382" s="451">
        <v>80.069999999999993</v>
      </c>
      <c r="R382" s="451">
        <v>80.2</v>
      </c>
      <c r="S382" s="451">
        <v>80.28</v>
      </c>
      <c r="T382" s="133"/>
      <c r="U382" s="134">
        <v>35</v>
      </c>
      <c r="V382" s="450">
        <v>79.33</v>
      </c>
      <c r="W382" s="450">
        <v>79.400000000000006</v>
      </c>
      <c r="X382" s="450">
        <v>79.47</v>
      </c>
      <c r="Y382" s="450">
        <v>79.540000000000006</v>
      </c>
      <c r="Z382" s="450">
        <v>79.61</v>
      </c>
      <c r="AA382" s="450">
        <v>79.680000000000007</v>
      </c>
      <c r="AB382" s="450">
        <v>79.75</v>
      </c>
      <c r="AC382" s="450">
        <v>79.81</v>
      </c>
      <c r="AD382" s="450">
        <v>79.88</v>
      </c>
      <c r="AE382" s="450">
        <v>79.94</v>
      </c>
      <c r="AF382" s="450">
        <v>80</v>
      </c>
      <c r="AG382" s="450">
        <v>80.06</v>
      </c>
      <c r="AH382" s="450">
        <v>80.33</v>
      </c>
      <c r="AI382" s="450">
        <v>80.55</v>
      </c>
      <c r="AJ382" s="450">
        <v>80.72</v>
      </c>
      <c r="AK382" s="450">
        <v>80.849999999999994</v>
      </c>
      <c r="AL382" s="450">
        <v>80.94</v>
      </c>
      <c r="AM382" s="133"/>
      <c r="AN382" s="134">
        <v>35</v>
      </c>
      <c r="AO382" s="450">
        <v>80.150000000000006</v>
      </c>
      <c r="AP382" s="450">
        <v>80.23</v>
      </c>
      <c r="AQ382" s="450">
        <v>80.3</v>
      </c>
      <c r="AR382" s="450">
        <v>80.37</v>
      </c>
      <c r="AS382" s="450">
        <v>80.45</v>
      </c>
      <c r="AT382" s="450">
        <v>80.52</v>
      </c>
      <c r="AU382" s="450">
        <v>80.59</v>
      </c>
      <c r="AV382" s="450">
        <v>80.650000000000006</v>
      </c>
      <c r="AW382" s="450">
        <v>80.72</v>
      </c>
      <c r="AX382" s="450">
        <v>80.790000000000006</v>
      </c>
      <c r="AY382" s="450">
        <v>80.849999999999994</v>
      </c>
      <c r="AZ382" s="450">
        <v>80.91</v>
      </c>
      <c r="BA382" s="450">
        <v>81.19</v>
      </c>
      <c r="BB382" s="450">
        <v>81.41</v>
      </c>
      <c r="BC382" s="450">
        <v>81.59</v>
      </c>
      <c r="BD382" s="450">
        <v>81.72</v>
      </c>
      <c r="BE382" s="450">
        <v>81.81</v>
      </c>
    </row>
    <row r="383" spans="2:57" x14ac:dyDescent="0.25">
      <c r="B383" s="134">
        <v>36</v>
      </c>
      <c r="C383" s="451">
        <v>78.86</v>
      </c>
      <c r="D383" s="451">
        <v>78.930000000000007</v>
      </c>
      <c r="E383" s="451">
        <v>79</v>
      </c>
      <c r="F383" s="451">
        <v>79.069999999999993</v>
      </c>
      <c r="G383" s="451">
        <v>79.150000000000006</v>
      </c>
      <c r="H383" s="451">
        <v>79.22</v>
      </c>
      <c r="I383" s="451">
        <v>79.290000000000006</v>
      </c>
      <c r="J383" s="451">
        <v>79.349999999999994</v>
      </c>
      <c r="K383" s="451">
        <v>79.42</v>
      </c>
      <c r="L383" s="451">
        <v>79.48</v>
      </c>
      <c r="M383" s="451">
        <v>79.55</v>
      </c>
      <c r="N383" s="451">
        <v>79.61</v>
      </c>
      <c r="O383" s="451">
        <v>79.88</v>
      </c>
      <c r="P383" s="451">
        <v>80.099999999999994</v>
      </c>
      <c r="Q383" s="451">
        <v>80.27</v>
      </c>
      <c r="R383" s="451">
        <v>80.400000000000006</v>
      </c>
      <c r="S383" s="451">
        <v>80.48</v>
      </c>
      <c r="T383" s="133"/>
      <c r="U383" s="134">
        <v>36</v>
      </c>
      <c r="V383" s="450">
        <v>79.48</v>
      </c>
      <c r="W383" s="450">
        <v>79.55</v>
      </c>
      <c r="X383" s="450">
        <v>79.63</v>
      </c>
      <c r="Y383" s="450">
        <v>79.7</v>
      </c>
      <c r="Z383" s="450">
        <v>79.77</v>
      </c>
      <c r="AA383" s="450">
        <v>79.849999999999994</v>
      </c>
      <c r="AB383" s="450">
        <v>79.92</v>
      </c>
      <c r="AC383" s="450">
        <v>79.989999999999995</v>
      </c>
      <c r="AD383" s="450">
        <v>80.05</v>
      </c>
      <c r="AE383" s="450">
        <v>80.12</v>
      </c>
      <c r="AF383" s="450">
        <v>80.180000000000007</v>
      </c>
      <c r="AG383" s="450">
        <v>80.239999999999995</v>
      </c>
      <c r="AH383" s="450">
        <v>80.52</v>
      </c>
      <c r="AI383" s="450">
        <v>80.75</v>
      </c>
      <c r="AJ383" s="450">
        <v>80.930000000000007</v>
      </c>
      <c r="AK383" s="450">
        <v>81.06</v>
      </c>
      <c r="AL383" s="450">
        <v>81.14</v>
      </c>
      <c r="AM383" s="133"/>
      <c r="AN383" s="134">
        <v>36</v>
      </c>
      <c r="AO383" s="450">
        <v>80.31</v>
      </c>
      <c r="AP383" s="450">
        <v>80.39</v>
      </c>
      <c r="AQ383" s="450">
        <v>80.459999999999994</v>
      </c>
      <c r="AR383" s="450">
        <v>80.540000000000006</v>
      </c>
      <c r="AS383" s="450">
        <v>80.61</v>
      </c>
      <c r="AT383" s="450">
        <v>80.69</v>
      </c>
      <c r="AU383" s="450">
        <v>80.760000000000005</v>
      </c>
      <c r="AV383" s="450">
        <v>80.83</v>
      </c>
      <c r="AW383" s="450">
        <v>80.900000000000006</v>
      </c>
      <c r="AX383" s="450">
        <v>80.97</v>
      </c>
      <c r="AY383" s="450">
        <v>81.03</v>
      </c>
      <c r="AZ383" s="450">
        <v>81.099999999999994</v>
      </c>
      <c r="BA383" s="450">
        <v>81.38</v>
      </c>
      <c r="BB383" s="450">
        <v>81.62</v>
      </c>
      <c r="BC383" s="450">
        <v>81.8</v>
      </c>
      <c r="BD383" s="450">
        <v>81.94</v>
      </c>
      <c r="BE383" s="450">
        <v>82.03</v>
      </c>
    </row>
    <row r="384" spans="2:57" x14ac:dyDescent="0.25">
      <c r="B384" s="134">
        <v>37</v>
      </c>
      <c r="C384" s="451">
        <v>79.010000000000005</v>
      </c>
      <c r="D384" s="451">
        <v>79.09</v>
      </c>
      <c r="E384" s="451">
        <v>79.16</v>
      </c>
      <c r="F384" s="451">
        <v>79.239999999999995</v>
      </c>
      <c r="G384" s="451">
        <v>79.31</v>
      </c>
      <c r="H384" s="451">
        <v>79.39</v>
      </c>
      <c r="I384" s="451">
        <v>79.459999999999994</v>
      </c>
      <c r="J384" s="451">
        <v>79.53</v>
      </c>
      <c r="K384" s="451">
        <v>79.599999999999994</v>
      </c>
      <c r="L384" s="451">
        <v>79.66</v>
      </c>
      <c r="M384" s="451">
        <v>79.73</v>
      </c>
      <c r="N384" s="451">
        <v>79.790000000000006</v>
      </c>
      <c r="O384" s="451">
        <v>80.069999999999993</v>
      </c>
      <c r="P384" s="451">
        <v>80.3</v>
      </c>
      <c r="Q384" s="451">
        <v>80.48</v>
      </c>
      <c r="R384" s="451">
        <v>80.61</v>
      </c>
      <c r="S384" s="451">
        <v>80.69</v>
      </c>
      <c r="T384" s="133"/>
      <c r="U384" s="134">
        <v>37</v>
      </c>
      <c r="V384" s="450">
        <v>79.64</v>
      </c>
      <c r="W384" s="450">
        <v>79.709999999999994</v>
      </c>
      <c r="X384" s="450">
        <v>79.790000000000006</v>
      </c>
      <c r="Y384" s="450">
        <v>79.87</v>
      </c>
      <c r="Z384" s="450">
        <v>79.94</v>
      </c>
      <c r="AA384" s="450">
        <v>80.02</v>
      </c>
      <c r="AB384" s="450">
        <v>80.09</v>
      </c>
      <c r="AC384" s="450">
        <v>80.16</v>
      </c>
      <c r="AD384" s="450">
        <v>80.23</v>
      </c>
      <c r="AE384" s="450">
        <v>80.3</v>
      </c>
      <c r="AF384" s="450">
        <v>80.37</v>
      </c>
      <c r="AG384" s="450">
        <v>80.430000000000007</v>
      </c>
      <c r="AH384" s="450">
        <v>80.72</v>
      </c>
      <c r="AI384" s="450">
        <v>80.959999999999994</v>
      </c>
      <c r="AJ384" s="450">
        <v>81.14</v>
      </c>
      <c r="AK384" s="450">
        <v>81.27</v>
      </c>
      <c r="AL384" s="450">
        <v>81.36</v>
      </c>
      <c r="AM384" s="133"/>
      <c r="AN384" s="134">
        <v>37</v>
      </c>
      <c r="AO384" s="450">
        <v>80.47</v>
      </c>
      <c r="AP384" s="450">
        <v>80.55</v>
      </c>
      <c r="AQ384" s="450">
        <v>80.63</v>
      </c>
      <c r="AR384" s="450">
        <v>80.709999999999994</v>
      </c>
      <c r="AS384" s="450">
        <v>80.790000000000006</v>
      </c>
      <c r="AT384" s="450">
        <v>80.86</v>
      </c>
      <c r="AU384" s="450">
        <v>80.94</v>
      </c>
      <c r="AV384" s="450">
        <v>81.010000000000005</v>
      </c>
      <c r="AW384" s="450">
        <v>81.09</v>
      </c>
      <c r="AX384" s="450">
        <v>81.16</v>
      </c>
      <c r="AY384" s="450">
        <v>81.22</v>
      </c>
      <c r="AZ384" s="450">
        <v>81.290000000000006</v>
      </c>
      <c r="BA384" s="450">
        <v>81.59</v>
      </c>
      <c r="BB384" s="450">
        <v>81.83</v>
      </c>
      <c r="BC384" s="450">
        <v>82.02</v>
      </c>
      <c r="BD384" s="450">
        <v>82.16</v>
      </c>
      <c r="BE384" s="450">
        <v>82.24</v>
      </c>
    </row>
    <row r="385" spans="2:57" x14ac:dyDescent="0.25">
      <c r="B385" s="134">
        <v>38</v>
      </c>
      <c r="C385" s="451">
        <v>79.17</v>
      </c>
      <c r="D385" s="451">
        <v>79.25</v>
      </c>
      <c r="E385" s="451">
        <v>79.33</v>
      </c>
      <c r="F385" s="451">
        <v>79.41</v>
      </c>
      <c r="G385" s="451">
        <v>79.489999999999995</v>
      </c>
      <c r="H385" s="451">
        <v>79.56</v>
      </c>
      <c r="I385" s="451">
        <v>79.64</v>
      </c>
      <c r="J385" s="451">
        <v>79.709999999999994</v>
      </c>
      <c r="K385" s="451">
        <v>79.78</v>
      </c>
      <c r="L385" s="451">
        <v>79.849999999999994</v>
      </c>
      <c r="M385" s="451">
        <v>79.92</v>
      </c>
      <c r="N385" s="451">
        <v>79.98</v>
      </c>
      <c r="O385" s="451">
        <v>80.27</v>
      </c>
      <c r="P385" s="451">
        <v>80.510000000000005</v>
      </c>
      <c r="Q385" s="451">
        <v>80.69</v>
      </c>
      <c r="R385" s="451">
        <v>80.819999999999993</v>
      </c>
      <c r="S385" s="451">
        <v>80.900000000000006</v>
      </c>
      <c r="T385" s="133"/>
      <c r="U385" s="134">
        <v>38</v>
      </c>
      <c r="V385" s="450">
        <v>79.8</v>
      </c>
      <c r="W385" s="450">
        <v>79.88</v>
      </c>
      <c r="X385" s="450">
        <v>79.959999999999994</v>
      </c>
      <c r="Y385" s="450">
        <v>80.040000000000006</v>
      </c>
      <c r="Z385" s="450">
        <v>80.12</v>
      </c>
      <c r="AA385" s="450">
        <v>80.2</v>
      </c>
      <c r="AB385" s="450">
        <v>80.28</v>
      </c>
      <c r="AC385" s="450">
        <v>80.349999999999994</v>
      </c>
      <c r="AD385" s="450">
        <v>80.42</v>
      </c>
      <c r="AE385" s="450">
        <v>80.489999999999995</v>
      </c>
      <c r="AF385" s="450">
        <v>80.56</v>
      </c>
      <c r="AG385" s="450">
        <v>80.63</v>
      </c>
      <c r="AH385" s="450">
        <v>80.930000000000007</v>
      </c>
      <c r="AI385" s="450">
        <v>81.17</v>
      </c>
      <c r="AJ385" s="450">
        <v>81.36</v>
      </c>
      <c r="AK385" s="450">
        <v>81.489999999999995</v>
      </c>
      <c r="AL385" s="450">
        <v>81.569999999999993</v>
      </c>
      <c r="AM385" s="133"/>
      <c r="AN385" s="134">
        <v>38</v>
      </c>
      <c r="AO385" s="450">
        <v>80.64</v>
      </c>
      <c r="AP385" s="450">
        <v>80.72</v>
      </c>
      <c r="AQ385" s="450">
        <v>80.81</v>
      </c>
      <c r="AR385" s="450">
        <v>80.89</v>
      </c>
      <c r="AS385" s="450">
        <v>80.97</v>
      </c>
      <c r="AT385" s="450">
        <v>81.05</v>
      </c>
      <c r="AU385" s="450">
        <v>81.13</v>
      </c>
      <c r="AV385" s="450">
        <v>81.2</v>
      </c>
      <c r="AW385" s="450">
        <v>81.28</v>
      </c>
      <c r="AX385" s="450">
        <v>81.349999999999994</v>
      </c>
      <c r="AY385" s="450">
        <v>81.42</v>
      </c>
      <c r="AZ385" s="450">
        <v>81.489999999999995</v>
      </c>
      <c r="BA385" s="450">
        <v>81.8</v>
      </c>
      <c r="BB385" s="450">
        <v>82.05</v>
      </c>
      <c r="BC385" s="450">
        <v>82.24</v>
      </c>
      <c r="BD385" s="450">
        <v>82.38</v>
      </c>
      <c r="BE385" s="450">
        <v>82.47</v>
      </c>
    </row>
    <row r="386" spans="2:57" x14ac:dyDescent="0.25">
      <c r="B386" s="134">
        <v>39</v>
      </c>
      <c r="C386" s="451">
        <v>79.34</v>
      </c>
      <c r="D386" s="451">
        <v>79.42</v>
      </c>
      <c r="E386" s="451">
        <v>79.5</v>
      </c>
      <c r="F386" s="451">
        <v>79.59</v>
      </c>
      <c r="G386" s="451">
        <v>79.67</v>
      </c>
      <c r="H386" s="451">
        <v>79.75</v>
      </c>
      <c r="I386" s="451">
        <v>79.819999999999993</v>
      </c>
      <c r="J386" s="451">
        <v>79.900000000000006</v>
      </c>
      <c r="K386" s="451">
        <v>79.97</v>
      </c>
      <c r="L386" s="451">
        <v>80.05</v>
      </c>
      <c r="M386" s="451">
        <v>80.11</v>
      </c>
      <c r="N386" s="451">
        <v>80.180000000000007</v>
      </c>
      <c r="O386" s="451">
        <v>80.48</v>
      </c>
      <c r="P386" s="451">
        <v>80.73</v>
      </c>
      <c r="Q386" s="451">
        <v>80.91</v>
      </c>
      <c r="R386" s="451">
        <v>81.05</v>
      </c>
      <c r="S386" s="451">
        <v>81.13</v>
      </c>
      <c r="T386" s="133"/>
      <c r="U386" s="134">
        <v>39</v>
      </c>
      <c r="V386" s="450">
        <v>79.97</v>
      </c>
      <c r="W386" s="450">
        <v>80.06</v>
      </c>
      <c r="X386" s="450">
        <v>80.14</v>
      </c>
      <c r="Y386" s="450">
        <v>80.22</v>
      </c>
      <c r="Z386" s="450">
        <v>80.31</v>
      </c>
      <c r="AA386" s="450">
        <v>80.39</v>
      </c>
      <c r="AB386" s="450">
        <v>80.47</v>
      </c>
      <c r="AC386" s="450">
        <v>80.540000000000006</v>
      </c>
      <c r="AD386" s="450">
        <v>80.62</v>
      </c>
      <c r="AE386" s="450">
        <v>80.69</v>
      </c>
      <c r="AF386" s="450">
        <v>80.760000000000005</v>
      </c>
      <c r="AG386" s="450">
        <v>80.83</v>
      </c>
      <c r="AH386" s="450">
        <v>81.14</v>
      </c>
      <c r="AI386" s="450">
        <v>81.39</v>
      </c>
      <c r="AJ386" s="450">
        <v>81.58</v>
      </c>
      <c r="AK386" s="450">
        <v>81.72</v>
      </c>
      <c r="AL386" s="450">
        <v>81.8</v>
      </c>
      <c r="AM386" s="133"/>
      <c r="AN386" s="134">
        <v>39</v>
      </c>
      <c r="AO386" s="450">
        <v>80.81</v>
      </c>
      <c r="AP386" s="450">
        <v>80.900000000000006</v>
      </c>
      <c r="AQ386" s="450">
        <v>80.989999999999995</v>
      </c>
      <c r="AR386" s="450">
        <v>81.069999999999993</v>
      </c>
      <c r="AS386" s="450">
        <v>81.16</v>
      </c>
      <c r="AT386" s="450">
        <v>81.239999999999995</v>
      </c>
      <c r="AU386" s="450">
        <v>81.319999999999993</v>
      </c>
      <c r="AV386" s="450">
        <v>81.400000000000006</v>
      </c>
      <c r="AW386" s="450">
        <v>81.48</v>
      </c>
      <c r="AX386" s="450">
        <v>81.56</v>
      </c>
      <c r="AY386" s="450">
        <v>81.63</v>
      </c>
      <c r="AZ386" s="450">
        <v>81.7</v>
      </c>
      <c r="BA386" s="450">
        <v>82.02</v>
      </c>
      <c r="BB386" s="450">
        <v>82.28</v>
      </c>
      <c r="BC386" s="450">
        <v>82.48</v>
      </c>
      <c r="BD386" s="450">
        <v>82.62</v>
      </c>
      <c r="BE386" s="450">
        <v>82.7</v>
      </c>
    </row>
    <row r="387" spans="2:57" x14ac:dyDescent="0.25">
      <c r="B387" s="134">
        <v>40</v>
      </c>
      <c r="C387" s="451">
        <v>79.510000000000005</v>
      </c>
      <c r="D387" s="451">
        <v>79.599999999999994</v>
      </c>
      <c r="E387" s="451">
        <v>79.69</v>
      </c>
      <c r="F387" s="451">
        <v>79.77</v>
      </c>
      <c r="G387" s="451">
        <v>79.86</v>
      </c>
      <c r="H387" s="451">
        <v>79.94</v>
      </c>
      <c r="I387" s="451">
        <v>80.02</v>
      </c>
      <c r="J387" s="451">
        <v>80.099999999999994</v>
      </c>
      <c r="K387" s="451">
        <v>80.17</v>
      </c>
      <c r="L387" s="451">
        <v>80.25</v>
      </c>
      <c r="M387" s="451">
        <v>80.319999999999993</v>
      </c>
      <c r="N387" s="451">
        <v>80.39</v>
      </c>
      <c r="O387" s="451">
        <v>80.7</v>
      </c>
      <c r="P387" s="451">
        <v>80.95</v>
      </c>
      <c r="Q387" s="451">
        <v>81.14</v>
      </c>
      <c r="R387" s="451">
        <v>81.28</v>
      </c>
      <c r="S387" s="451">
        <v>81.349999999999994</v>
      </c>
      <c r="T387" s="133"/>
      <c r="U387" s="134">
        <v>40</v>
      </c>
      <c r="V387" s="450">
        <v>80.150000000000006</v>
      </c>
      <c r="W387" s="450">
        <v>80.239999999999995</v>
      </c>
      <c r="X387" s="450">
        <v>80.33</v>
      </c>
      <c r="Y387" s="450">
        <v>80.41</v>
      </c>
      <c r="Z387" s="450">
        <v>80.5</v>
      </c>
      <c r="AA387" s="450">
        <v>80.58</v>
      </c>
      <c r="AB387" s="450">
        <v>80.66</v>
      </c>
      <c r="AC387" s="450">
        <v>80.739999999999995</v>
      </c>
      <c r="AD387" s="450">
        <v>80.819999999999993</v>
      </c>
      <c r="AE387" s="450">
        <v>80.900000000000006</v>
      </c>
      <c r="AF387" s="450">
        <v>80.97</v>
      </c>
      <c r="AG387" s="450">
        <v>81.040000000000006</v>
      </c>
      <c r="AH387" s="450">
        <v>81.36</v>
      </c>
      <c r="AI387" s="450">
        <v>81.62</v>
      </c>
      <c r="AJ387" s="450">
        <v>81.819999999999993</v>
      </c>
      <c r="AK387" s="450">
        <v>81.96</v>
      </c>
      <c r="AL387" s="450">
        <v>82.04</v>
      </c>
      <c r="AM387" s="133"/>
      <c r="AN387" s="134">
        <v>40</v>
      </c>
      <c r="AO387" s="450">
        <v>81</v>
      </c>
      <c r="AP387" s="450">
        <v>81.09</v>
      </c>
      <c r="AQ387" s="450">
        <v>81.180000000000007</v>
      </c>
      <c r="AR387" s="450">
        <v>81.27</v>
      </c>
      <c r="AS387" s="450">
        <v>81.36</v>
      </c>
      <c r="AT387" s="450">
        <v>81.44</v>
      </c>
      <c r="AU387" s="450">
        <v>81.53</v>
      </c>
      <c r="AV387" s="450">
        <v>81.61</v>
      </c>
      <c r="AW387" s="450">
        <v>81.69</v>
      </c>
      <c r="AX387" s="450">
        <v>81.77</v>
      </c>
      <c r="AY387" s="450">
        <v>81.849999999999994</v>
      </c>
      <c r="AZ387" s="450">
        <v>81.92</v>
      </c>
      <c r="BA387" s="450">
        <v>82.25</v>
      </c>
      <c r="BB387" s="450">
        <v>82.51</v>
      </c>
      <c r="BC387" s="450">
        <v>82.72</v>
      </c>
      <c r="BD387" s="450">
        <v>82.86</v>
      </c>
      <c r="BE387" s="450">
        <v>82.95</v>
      </c>
    </row>
    <row r="388" spans="2:57" x14ac:dyDescent="0.25">
      <c r="B388" s="134">
        <v>41</v>
      </c>
      <c r="C388" s="451">
        <v>79.69</v>
      </c>
      <c r="D388" s="451">
        <v>79.790000000000006</v>
      </c>
      <c r="E388" s="451">
        <v>79.88</v>
      </c>
      <c r="F388" s="451">
        <v>79.959999999999994</v>
      </c>
      <c r="G388" s="451">
        <v>80.05</v>
      </c>
      <c r="H388" s="451">
        <v>80.14</v>
      </c>
      <c r="I388" s="451">
        <v>80.22</v>
      </c>
      <c r="J388" s="451">
        <v>80.3</v>
      </c>
      <c r="K388" s="451">
        <v>80.38</v>
      </c>
      <c r="L388" s="451">
        <v>80.459999999999994</v>
      </c>
      <c r="M388" s="451">
        <v>80.53</v>
      </c>
      <c r="N388" s="451">
        <v>80.599999999999994</v>
      </c>
      <c r="O388" s="451">
        <v>80.930000000000007</v>
      </c>
      <c r="P388" s="451">
        <v>81.180000000000007</v>
      </c>
      <c r="Q388" s="451">
        <v>81.38</v>
      </c>
      <c r="R388" s="451">
        <v>81.510000000000005</v>
      </c>
      <c r="S388" s="451">
        <v>81.59</v>
      </c>
      <c r="T388" s="133"/>
      <c r="U388" s="134">
        <v>41</v>
      </c>
      <c r="V388" s="450">
        <v>80.33</v>
      </c>
      <c r="W388" s="450">
        <v>80.430000000000007</v>
      </c>
      <c r="X388" s="450">
        <v>80.52</v>
      </c>
      <c r="Y388" s="450">
        <v>80.61</v>
      </c>
      <c r="Z388" s="450">
        <v>80.7</v>
      </c>
      <c r="AA388" s="450">
        <v>80.78</v>
      </c>
      <c r="AB388" s="450">
        <v>80.87</v>
      </c>
      <c r="AC388" s="450">
        <v>80.95</v>
      </c>
      <c r="AD388" s="450">
        <v>81.03</v>
      </c>
      <c r="AE388" s="450">
        <v>81.11</v>
      </c>
      <c r="AF388" s="450">
        <v>81.19</v>
      </c>
      <c r="AG388" s="450">
        <v>81.260000000000005</v>
      </c>
      <c r="AH388" s="450">
        <v>81.59</v>
      </c>
      <c r="AI388" s="450">
        <v>81.86</v>
      </c>
      <c r="AJ388" s="450">
        <v>82.06</v>
      </c>
      <c r="AK388" s="450">
        <v>82.2</v>
      </c>
      <c r="AL388" s="450">
        <v>82.28</v>
      </c>
      <c r="AM388" s="133"/>
      <c r="AN388" s="134">
        <v>41</v>
      </c>
      <c r="AO388" s="450">
        <v>81.19</v>
      </c>
      <c r="AP388" s="450">
        <v>81.28</v>
      </c>
      <c r="AQ388" s="450">
        <v>81.38</v>
      </c>
      <c r="AR388" s="450">
        <v>81.47</v>
      </c>
      <c r="AS388" s="450">
        <v>81.56</v>
      </c>
      <c r="AT388" s="450">
        <v>81.650000000000006</v>
      </c>
      <c r="AU388" s="450">
        <v>81.739999999999995</v>
      </c>
      <c r="AV388" s="450">
        <v>81.83</v>
      </c>
      <c r="AW388" s="450">
        <v>81.91</v>
      </c>
      <c r="AX388" s="450">
        <v>81.99</v>
      </c>
      <c r="AY388" s="450">
        <v>82.07</v>
      </c>
      <c r="AZ388" s="450">
        <v>82.14</v>
      </c>
      <c r="BA388" s="450">
        <v>82.48</v>
      </c>
      <c r="BB388" s="450">
        <v>82.76</v>
      </c>
      <c r="BC388" s="450">
        <v>82.97</v>
      </c>
      <c r="BD388" s="450">
        <v>83.11</v>
      </c>
      <c r="BE388" s="450">
        <v>83.2</v>
      </c>
    </row>
    <row r="389" spans="2:57" x14ac:dyDescent="0.25">
      <c r="B389" s="134">
        <v>42</v>
      </c>
      <c r="C389" s="451">
        <v>79.88</v>
      </c>
      <c r="D389" s="451">
        <v>79.98</v>
      </c>
      <c r="E389" s="451">
        <v>80.069999999999993</v>
      </c>
      <c r="F389" s="451">
        <v>80.16</v>
      </c>
      <c r="G389" s="451">
        <v>80.25</v>
      </c>
      <c r="H389" s="451">
        <v>80.34</v>
      </c>
      <c r="I389" s="451">
        <v>80.430000000000007</v>
      </c>
      <c r="J389" s="451">
        <v>80.510000000000005</v>
      </c>
      <c r="K389" s="451">
        <v>80.59</v>
      </c>
      <c r="L389" s="451">
        <v>80.67</v>
      </c>
      <c r="M389" s="451">
        <v>80.75</v>
      </c>
      <c r="N389" s="451">
        <v>80.83</v>
      </c>
      <c r="O389" s="451">
        <v>81.16</v>
      </c>
      <c r="P389" s="451">
        <v>81.42</v>
      </c>
      <c r="Q389" s="451">
        <v>81.62</v>
      </c>
      <c r="R389" s="451">
        <v>81.75</v>
      </c>
      <c r="S389" s="451">
        <v>81.83</v>
      </c>
      <c r="T389" s="133"/>
      <c r="U389" s="134">
        <v>42</v>
      </c>
      <c r="V389" s="450">
        <v>80.53</v>
      </c>
      <c r="W389" s="450">
        <v>80.62</v>
      </c>
      <c r="X389" s="450">
        <v>80.72</v>
      </c>
      <c r="Y389" s="450">
        <v>80.81</v>
      </c>
      <c r="Z389" s="450">
        <v>80.900000000000006</v>
      </c>
      <c r="AA389" s="450">
        <v>81</v>
      </c>
      <c r="AB389" s="450">
        <v>81.08</v>
      </c>
      <c r="AC389" s="450">
        <v>81.17</v>
      </c>
      <c r="AD389" s="450">
        <v>81.25</v>
      </c>
      <c r="AE389" s="450">
        <v>81.33</v>
      </c>
      <c r="AF389" s="450">
        <v>81.41</v>
      </c>
      <c r="AG389" s="450">
        <v>81.489999999999995</v>
      </c>
      <c r="AH389" s="450">
        <v>81.83</v>
      </c>
      <c r="AI389" s="450">
        <v>82.1</v>
      </c>
      <c r="AJ389" s="450">
        <v>82.31</v>
      </c>
      <c r="AK389" s="450">
        <v>82.45</v>
      </c>
      <c r="AL389" s="450">
        <v>82.53</v>
      </c>
      <c r="AM389" s="133"/>
      <c r="AN389" s="134">
        <v>42</v>
      </c>
      <c r="AO389" s="450">
        <v>81.39</v>
      </c>
      <c r="AP389" s="450">
        <v>81.489999999999995</v>
      </c>
      <c r="AQ389" s="450">
        <v>81.58</v>
      </c>
      <c r="AR389" s="450">
        <v>81.680000000000007</v>
      </c>
      <c r="AS389" s="450">
        <v>81.78</v>
      </c>
      <c r="AT389" s="450">
        <v>81.87</v>
      </c>
      <c r="AU389" s="450">
        <v>81.96</v>
      </c>
      <c r="AV389" s="450">
        <v>82.05</v>
      </c>
      <c r="AW389" s="450">
        <v>82.13</v>
      </c>
      <c r="AX389" s="450">
        <v>82.22</v>
      </c>
      <c r="AY389" s="450">
        <v>82.3</v>
      </c>
      <c r="AZ389" s="450">
        <v>82.38</v>
      </c>
      <c r="BA389" s="450">
        <v>82.73</v>
      </c>
      <c r="BB389" s="450">
        <v>83.01</v>
      </c>
      <c r="BC389" s="450">
        <v>83.23</v>
      </c>
      <c r="BD389" s="450">
        <v>83.37</v>
      </c>
      <c r="BE389" s="450">
        <v>83.45</v>
      </c>
    </row>
    <row r="390" spans="2:57" x14ac:dyDescent="0.25">
      <c r="B390" s="134">
        <v>43</v>
      </c>
      <c r="C390" s="451">
        <v>80.08</v>
      </c>
      <c r="D390" s="451">
        <v>80.180000000000007</v>
      </c>
      <c r="E390" s="451">
        <v>80.28</v>
      </c>
      <c r="F390" s="451">
        <v>80.37</v>
      </c>
      <c r="G390" s="451">
        <v>80.47</v>
      </c>
      <c r="H390" s="451">
        <v>80.56</v>
      </c>
      <c r="I390" s="451">
        <v>80.650000000000006</v>
      </c>
      <c r="J390" s="451">
        <v>80.73</v>
      </c>
      <c r="K390" s="451">
        <v>80.819999999999993</v>
      </c>
      <c r="L390" s="451">
        <v>80.900000000000006</v>
      </c>
      <c r="M390" s="451">
        <v>80.98</v>
      </c>
      <c r="N390" s="451">
        <v>81.05</v>
      </c>
      <c r="O390" s="451">
        <v>81.400000000000006</v>
      </c>
      <c r="P390" s="451">
        <v>81.67</v>
      </c>
      <c r="Q390" s="451">
        <v>81.87</v>
      </c>
      <c r="R390" s="451">
        <v>82</v>
      </c>
      <c r="S390" s="451">
        <v>82.08</v>
      </c>
      <c r="T390" s="133"/>
      <c r="U390" s="134">
        <v>43</v>
      </c>
      <c r="V390" s="450">
        <v>80.73</v>
      </c>
      <c r="W390" s="450">
        <v>80.83</v>
      </c>
      <c r="X390" s="450">
        <v>80.930000000000007</v>
      </c>
      <c r="Y390" s="450">
        <v>81.02</v>
      </c>
      <c r="Z390" s="450">
        <v>81.12</v>
      </c>
      <c r="AA390" s="450">
        <v>81.209999999999994</v>
      </c>
      <c r="AB390" s="450">
        <v>81.3</v>
      </c>
      <c r="AC390" s="450">
        <v>81.39</v>
      </c>
      <c r="AD390" s="450">
        <v>81.48</v>
      </c>
      <c r="AE390" s="450">
        <v>81.56</v>
      </c>
      <c r="AF390" s="450">
        <v>81.650000000000006</v>
      </c>
      <c r="AG390" s="450">
        <v>81.72</v>
      </c>
      <c r="AH390" s="450">
        <v>82.08</v>
      </c>
      <c r="AI390" s="450">
        <v>82.36</v>
      </c>
      <c r="AJ390" s="450">
        <v>82.57</v>
      </c>
      <c r="AK390" s="450">
        <v>82.7</v>
      </c>
      <c r="AL390" s="450">
        <v>82.78</v>
      </c>
      <c r="AM390" s="133"/>
      <c r="AN390" s="134">
        <v>43</v>
      </c>
      <c r="AO390" s="450">
        <v>81.59</v>
      </c>
      <c r="AP390" s="450">
        <v>81.7</v>
      </c>
      <c r="AQ390" s="450">
        <v>81.8</v>
      </c>
      <c r="AR390" s="450">
        <v>81.900000000000006</v>
      </c>
      <c r="AS390" s="450">
        <v>82</v>
      </c>
      <c r="AT390" s="450">
        <v>82.09</v>
      </c>
      <c r="AU390" s="450">
        <v>82.19</v>
      </c>
      <c r="AV390" s="450">
        <v>82.28</v>
      </c>
      <c r="AW390" s="450">
        <v>82.37</v>
      </c>
      <c r="AX390" s="450">
        <v>82.46</v>
      </c>
      <c r="AY390" s="450">
        <v>82.54</v>
      </c>
      <c r="AZ390" s="450">
        <v>82.62</v>
      </c>
      <c r="BA390" s="450">
        <v>82.98</v>
      </c>
      <c r="BB390" s="450">
        <v>83.28</v>
      </c>
      <c r="BC390" s="450">
        <v>83.49</v>
      </c>
      <c r="BD390" s="450">
        <v>83.63</v>
      </c>
      <c r="BE390" s="450">
        <v>83.72</v>
      </c>
    </row>
    <row r="391" spans="2:57" x14ac:dyDescent="0.25">
      <c r="B391" s="134">
        <v>44</v>
      </c>
      <c r="C391" s="451">
        <v>80.290000000000006</v>
      </c>
      <c r="D391" s="451">
        <v>80.39</v>
      </c>
      <c r="E391" s="451">
        <v>80.489999999999995</v>
      </c>
      <c r="F391" s="451">
        <v>80.59</v>
      </c>
      <c r="G391" s="451">
        <v>80.680000000000007</v>
      </c>
      <c r="H391" s="451">
        <v>80.78</v>
      </c>
      <c r="I391" s="451">
        <v>80.87</v>
      </c>
      <c r="J391" s="451">
        <v>80.959999999999994</v>
      </c>
      <c r="K391" s="451">
        <v>81.05</v>
      </c>
      <c r="L391" s="451">
        <v>81.13</v>
      </c>
      <c r="M391" s="451">
        <v>81.209999999999994</v>
      </c>
      <c r="N391" s="451">
        <v>81.290000000000006</v>
      </c>
      <c r="O391" s="451">
        <v>81.650000000000006</v>
      </c>
      <c r="P391" s="451">
        <v>81.93</v>
      </c>
      <c r="Q391" s="451">
        <v>82.13</v>
      </c>
      <c r="R391" s="451">
        <v>82.26</v>
      </c>
      <c r="S391" s="451">
        <v>82.33</v>
      </c>
      <c r="T391" s="133"/>
      <c r="U391" s="134">
        <v>44</v>
      </c>
      <c r="V391" s="450">
        <v>80.94</v>
      </c>
      <c r="W391" s="450">
        <v>81.040000000000006</v>
      </c>
      <c r="X391" s="450">
        <v>81.14</v>
      </c>
      <c r="Y391" s="450">
        <v>81.239999999999995</v>
      </c>
      <c r="Z391" s="450">
        <v>81.34</v>
      </c>
      <c r="AA391" s="450">
        <v>81.44</v>
      </c>
      <c r="AB391" s="450">
        <v>81.53</v>
      </c>
      <c r="AC391" s="450">
        <v>81.63</v>
      </c>
      <c r="AD391" s="450">
        <v>81.72</v>
      </c>
      <c r="AE391" s="450">
        <v>81.8</v>
      </c>
      <c r="AF391" s="450">
        <v>81.89</v>
      </c>
      <c r="AG391" s="450">
        <v>81.97</v>
      </c>
      <c r="AH391" s="450">
        <v>82.33</v>
      </c>
      <c r="AI391" s="450">
        <v>82.62</v>
      </c>
      <c r="AJ391" s="450">
        <v>82.83</v>
      </c>
      <c r="AK391" s="450">
        <v>82.97</v>
      </c>
      <c r="AL391" s="450">
        <v>83.04</v>
      </c>
      <c r="AM391" s="133"/>
      <c r="AN391" s="134">
        <v>44</v>
      </c>
      <c r="AO391" s="450">
        <v>81.81</v>
      </c>
      <c r="AP391" s="450">
        <v>81.92</v>
      </c>
      <c r="AQ391" s="450">
        <v>82.02</v>
      </c>
      <c r="AR391" s="450">
        <v>82.13</v>
      </c>
      <c r="AS391" s="450">
        <v>82.23</v>
      </c>
      <c r="AT391" s="450">
        <v>82.33</v>
      </c>
      <c r="AU391" s="450">
        <v>82.42</v>
      </c>
      <c r="AV391" s="450">
        <v>82.52</v>
      </c>
      <c r="AW391" s="450">
        <v>82.61</v>
      </c>
      <c r="AX391" s="450">
        <v>82.7</v>
      </c>
      <c r="AY391" s="450">
        <v>82.79</v>
      </c>
      <c r="AZ391" s="450">
        <v>82.87</v>
      </c>
      <c r="BA391" s="450">
        <v>83.25</v>
      </c>
      <c r="BB391" s="450">
        <v>83.55</v>
      </c>
      <c r="BC391" s="450">
        <v>83.77</v>
      </c>
      <c r="BD391" s="450">
        <v>83.91</v>
      </c>
      <c r="BE391" s="450">
        <v>83.99</v>
      </c>
    </row>
    <row r="392" spans="2:57" x14ac:dyDescent="0.25">
      <c r="B392" s="134">
        <v>45</v>
      </c>
      <c r="C392" s="451">
        <v>80.5</v>
      </c>
      <c r="D392" s="451">
        <v>80.599999999999994</v>
      </c>
      <c r="E392" s="451">
        <v>80.709999999999994</v>
      </c>
      <c r="F392" s="451">
        <v>80.81</v>
      </c>
      <c r="G392" s="451">
        <v>80.91</v>
      </c>
      <c r="H392" s="451">
        <v>81.010000000000005</v>
      </c>
      <c r="I392" s="451">
        <v>81.099999999999994</v>
      </c>
      <c r="J392" s="451">
        <v>81.19</v>
      </c>
      <c r="K392" s="451">
        <v>81.28</v>
      </c>
      <c r="L392" s="451">
        <v>81.37</v>
      </c>
      <c r="M392" s="451">
        <v>81.459999999999994</v>
      </c>
      <c r="N392" s="451">
        <v>81.540000000000006</v>
      </c>
      <c r="O392" s="451">
        <v>81.900000000000006</v>
      </c>
      <c r="P392" s="451">
        <v>82.19</v>
      </c>
      <c r="Q392" s="451">
        <v>82.4</v>
      </c>
      <c r="R392" s="451">
        <v>82.52</v>
      </c>
      <c r="S392" s="451">
        <v>82.59</v>
      </c>
      <c r="T392" s="133"/>
      <c r="U392" s="134">
        <v>45</v>
      </c>
      <c r="V392" s="450">
        <v>81.150000000000006</v>
      </c>
      <c r="W392" s="450">
        <v>81.260000000000005</v>
      </c>
      <c r="X392" s="450">
        <v>81.37</v>
      </c>
      <c r="Y392" s="450">
        <v>81.47</v>
      </c>
      <c r="Z392" s="450">
        <v>81.569999999999993</v>
      </c>
      <c r="AA392" s="450">
        <v>81.67</v>
      </c>
      <c r="AB392" s="450">
        <v>81.77</v>
      </c>
      <c r="AC392" s="450">
        <v>81.87</v>
      </c>
      <c r="AD392" s="450">
        <v>81.96</v>
      </c>
      <c r="AE392" s="450">
        <v>82.05</v>
      </c>
      <c r="AF392" s="450">
        <v>82.13</v>
      </c>
      <c r="AG392" s="450">
        <v>82.22</v>
      </c>
      <c r="AH392" s="450">
        <v>82.59</v>
      </c>
      <c r="AI392" s="450">
        <v>82.89</v>
      </c>
      <c r="AJ392" s="450">
        <v>83.11</v>
      </c>
      <c r="AK392" s="450">
        <v>83.23</v>
      </c>
      <c r="AL392" s="450">
        <v>83.31</v>
      </c>
      <c r="AM392" s="133"/>
      <c r="AN392" s="134">
        <v>45</v>
      </c>
      <c r="AO392" s="450">
        <v>82.03</v>
      </c>
      <c r="AP392" s="450">
        <v>82.14</v>
      </c>
      <c r="AQ392" s="450">
        <v>82.25</v>
      </c>
      <c r="AR392" s="450">
        <v>82.36</v>
      </c>
      <c r="AS392" s="450">
        <v>82.47</v>
      </c>
      <c r="AT392" s="450">
        <v>82.57</v>
      </c>
      <c r="AU392" s="450">
        <v>82.67</v>
      </c>
      <c r="AV392" s="450">
        <v>82.77</v>
      </c>
      <c r="AW392" s="450">
        <v>82.86</v>
      </c>
      <c r="AX392" s="450">
        <v>82.95</v>
      </c>
      <c r="AY392" s="450">
        <v>83.04</v>
      </c>
      <c r="AZ392" s="450">
        <v>83.13</v>
      </c>
      <c r="BA392" s="450">
        <v>83.52</v>
      </c>
      <c r="BB392" s="450">
        <v>83.83</v>
      </c>
      <c r="BC392" s="450">
        <v>84.05</v>
      </c>
      <c r="BD392" s="450">
        <v>84.18</v>
      </c>
      <c r="BE392" s="450">
        <v>84.26</v>
      </c>
    </row>
    <row r="393" spans="2:57" x14ac:dyDescent="0.25">
      <c r="B393" s="134">
        <v>46</v>
      </c>
      <c r="C393" s="451">
        <v>80.72</v>
      </c>
      <c r="D393" s="451">
        <v>80.83</v>
      </c>
      <c r="E393" s="451">
        <v>80.930000000000007</v>
      </c>
      <c r="F393" s="451">
        <v>81.040000000000006</v>
      </c>
      <c r="G393" s="451">
        <v>81.14</v>
      </c>
      <c r="H393" s="451">
        <v>81.239999999999995</v>
      </c>
      <c r="I393" s="451">
        <v>81.34</v>
      </c>
      <c r="J393" s="451">
        <v>81.44</v>
      </c>
      <c r="K393" s="451">
        <v>81.53</v>
      </c>
      <c r="L393" s="451">
        <v>81.62</v>
      </c>
      <c r="M393" s="451">
        <v>81.709999999999994</v>
      </c>
      <c r="N393" s="451">
        <v>81.790000000000006</v>
      </c>
      <c r="O393" s="451">
        <v>82.17</v>
      </c>
      <c r="P393" s="451">
        <v>82.46</v>
      </c>
      <c r="Q393" s="451">
        <v>82.67</v>
      </c>
      <c r="R393" s="451">
        <v>82.79</v>
      </c>
      <c r="S393" s="451">
        <v>82.86</v>
      </c>
      <c r="T393" s="133"/>
      <c r="U393" s="134">
        <v>46</v>
      </c>
      <c r="V393" s="450">
        <v>81.38</v>
      </c>
      <c r="W393" s="450">
        <v>81.489999999999995</v>
      </c>
      <c r="X393" s="450">
        <v>81.599999999999994</v>
      </c>
      <c r="Y393" s="450">
        <v>81.709999999999994</v>
      </c>
      <c r="Z393" s="450">
        <v>81.81</v>
      </c>
      <c r="AA393" s="450">
        <v>81.92</v>
      </c>
      <c r="AB393" s="450">
        <v>82.02</v>
      </c>
      <c r="AC393" s="450">
        <v>82.11</v>
      </c>
      <c r="AD393" s="450">
        <v>82.21</v>
      </c>
      <c r="AE393" s="450">
        <v>82.3</v>
      </c>
      <c r="AF393" s="450">
        <v>82.39</v>
      </c>
      <c r="AG393" s="450">
        <v>82.48</v>
      </c>
      <c r="AH393" s="450">
        <v>82.87</v>
      </c>
      <c r="AI393" s="450">
        <v>83.17</v>
      </c>
      <c r="AJ393" s="450">
        <v>83.38</v>
      </c>
      <c r="AK393" s="450">
        <v>83.51</v>
      </c>
      <c r="AL393" s="450">
        <v>83.58</v>
      </c>
      <c r="AM393" s="133"/>
      <c r="AN393" s="134">
        <v>46</v>
      </c>
      <c r="AO393" s="450">
        <v>82.26</v>
      </c>
      <c r="AP393" s="450">
        <v>82.38</v>
      </c>
      <c r="AQ393" s="450">
        <v>82.49</v>
      </c>
      <c r="AR393" s="450">
        <v>82.6</v>
      </c>
      <c r="AS393" s="450">
        <v>82.71</v>
      </c>
      <c r="AT393" s="450">
        <v>82.82</v>
      </c>
      <c r="AU393" s="450">
        <v>82.92</v>
      </c>
      <c r="AV393" s="450">
        <v>83.02</v>
      </c>
      <c r="AW393" s="450">
        <v>83.12</v>
      </c>
      <c r="AX393" s="450">
        <v>83.22</v>
      </c>
      <c r="AY393" s="450">
        <v>83.31</v>
      </c>
      <c r="AZ393" s="450">
        <v>83.4</v>
      </c>
      <c r="BA393" s="450">
        <v>83.8</v>
      </c>
      <c r="BB393" s="450">
        <v>84.12</v>
      </c>
      <c r="BC393" s="450">
        <v>84.34</v>
      </c>
      <c r="BD393" s="450">
        <v>84.47</v>
      </c>
      <c r="BE393" s="450">
        <v>84.55</v>
      </c>
    </row>
    <row r="394" spans="2:57" x14ac:dyDescent="0.25">
      <c r="B394" s="134">
        <v>47</v>
      </c>
      <c r="C394" s="451">
        <v>80.94</v>
      </c>
      <c r="D394" s="451">
        <v>81.06</v>
      </c>
      <c r="E394" s="451">
        <v>81.17</v>
      </c>
      <c r="F394" s="451">
        <v>81.28</v>
      </c>
      <c r="G394" s="451">
        <v>81.38</v>
      </c>
      <c r="H394" s="451">
        <v>81.489999999999995</v>
      </c>
      <c r="I394" s="451">
        <v>81.59</v>
      </c>
      <c r="J394" s="451">
        <v>81.69</v>
      </c>
      <c r="K394" s="451">
        <v>81.78</v>
      </c>
      <c r="L394" s="451">
        <v>81.88</v>
      </c>
      <c r="M394" s="451">
        <v>81.97</v>
      </c>
      <c r="N394" s="451">
        <v>82.05</v>
      </c>
      <c r="O394" s="451">
        <v>82.44</v>
      </c>
      <c r="P394" s="451">
        <v>82.74</v>
      </c>
      <c r="Q394" s="451">
        <v>82.94</v>
      </c>
      <c r="R394" s="451">
        <v>83.06</v>
      </c>
      <c r="S394" s="451">
        <v>83.13</v>
      </c>
      <c r="T394" s="133"/>
      <c r="U394" s="134">
        <v>47</v>
      </c>
      <c r="V394" s="450">
        <v>81.61</v>
      </c>
      <c r="W394" s="450">
        <v>81.73</v>
      </c>
      <c r="X394" s="450">
        <v>81.84</v>
      </c>
      <c r="Y394" s="450">
        <v>81.95</v>
      </c>
      <c r="Z394" s="450">
        <v>82.06</v>
      </c>
      <c r="AA394" s="450">
        <v>82.17</v>
      </c>
      <c r="AB394" s="450">
        <v>82.27</v>
      </c>
      <c r="AC394" s="450">
        <v>82.37</v>
      </c>
      <c r="AD394" s="450">
        <v>82.47</v>
      </c>
      <c r="AE394" s="450">
        <v>82.57</v>
      </c>
      <c r="AF394" s="450">
        <v>82.66</v>
      </c>
      <c r="AG394" s="450">
        <v>82.75</v>
      </c>
      <c r="AH394" s="450">
        <v>83.15</v>
      </c>
      <c r="AI394" s="450">
        <v>83.46</v>
      </c>
      <c r="AJ394" s="450">
        <v>83.67</v>
      </c>
      <c r="AK394" s="450">
        <v>83.79</v>
      </c>
      <c r="AL394" s="450">
        <v>83.86</v>
      </c>
      <c r="AM394" s="133"/>
      <c r="AN394" s="134">
        <v>47</v>
      </c>
      <c r="AO394" s="450">
        <v>82.5</v>
      </c>
      <c r="AP394" s="450">
        <v>82.62</v>
      </c>
      <c r="AQ394" s="450">
        <v>82.74</v>
      </c>
      <c r="AR394" s="450">
        <v>82.85</v>
      </c>
      <c r="AS394" s="450">
        <v>82.97</v>
      </c>
      <c r="AT394" s="450">
        <v>83.08</v>
      </c>
      <c r="AU394" s="450">
        <v>83.18</v>
      </c>
      <c r="AV394" s="450">
        <v>83.29</v>
      </c>
      <c r="AW394" s="450">
        <v>83.39</v>
      </c>
      <c r="AX394" s="450">
        <v>83.49</v>
      </c>
      <c r="AY394" s="450">
        <v>83.59</v>
      </c>
      <c r="AZ394" s="450">
        <v>83.68</v>
      </c>
      <c r="BA394" s="450">
        <v>84.09</v>
      </c>
      <c r="BB394" s="450">
        <v>84.41</v>
      </c>
      <c r="BC394" s="450">
        <v>84.63</v>
      </c>
      <c r="BD394" s="450">
        <v>84.76</v>
      </c>
      <c r="BE394" s="450">
        <v>84.83</v>
      </c>
    </row>
    <row r="395" spans="2:57" x14ac:dyDescent="0.25">
      <c r="B395" s="134">
        <v>48</v>
      </c>
      <c r="C395" s="451">
        <v>81.180000000000007</v>
      </c>
      <c r="D395" s="451">
        <v>81.3</v>
      </c>
      <c r="E395" s="451">
        <v>81.41</v>
      </c>
      <c r="F395" s="451">
        <v>81.52</v>
      </c>
      <c r="G395" s="451">
        <v>81.63</v>
      </c>
      <c r="H395" s="451">
        <v>81.739999999999995</v>
      </c>
      <c r="I395" s="451">
        <v>81.84</v>
      </c>
      <c r="J395" s="451">
        <v>81.95</v>
      </c>
      <c r="K395" s="451">
        <v>82.05</v>
      </c>
      <c r="L395" s="451">
        <v>82.14</v>
      </c>
      <c r="M395" s="451">
        <v>82.24</v>
      </c>
      <c r="N395" s="451">
        <v>82.33</v>
      </c>
      <c r="O395" s="451">
        <v>82.72</v>
      </c>
      <c r="P395" s="451">
        <v>83.03</v>
      </c>
      <c r="Q395" s="451">
        <v>83.22</v>
      </c>
      <c r="R395" s="451">
        <v>83.34</v>
      </c>
      <c r="S395" s="451">
        <v>83.4</v>
      </c>
      <c r="T395" s="133"/>
      <c r="U395" s="134">
        <v>48</v>
      </c>
      <c r="V395" s="450">
        <v>81.849999999999994</v>
      </c>
      <c r="W395" s="450">
        <v>81.97</v>
      </c>
      <c r="X395" s="450">
        <v>82.09</v>
      </c>
      <c r="Y395" s="450">
        <v>82.2</v>
      </c>
      <c r="Z395" s="450">
        <v>82.31</v>
      </c>
      <c r="AA395" s="450">
        <v>82.42</v>
      </c>
      <c r="AB395" s="450">
        <v>82.53</v>
      </c>
      <c r="AC395" s="450">
        <v>82.64</v>
      </c>
      <c r="AD395" s="450">
        <v>82.74</v>
      </c>
      <c r="AE395" s="450">
        <v>82.84</v>
      </c>
      <c r="AF395" s="450">
        <v>82.93</v>
      </c>
      <c r="AG395" s="450">
        <v>83.03</v>
      </c>
      <c r="AH395" s="450">
        <v>83.44</v>
      </c>
      <c r="AI395" s="450">
        <v>83.75</v>
      </c>
      <c r="AJ395" s="450">
        <v>83.96</v>
      </c>
      <c r="AK395" s="450">
        <v>84.08</v>
      </c>
      <c r="AL395" s="450">
        <v>84.15</v>
      </c>
      <c r="AM395" s="133"/>
      <c r="AN395" s="134">
        <v>48</v>
      </c>
      <c r="AO395" s="450">
        <v>82.75</v>
      </c>
      <c r="AP395" s="450">
        <v>82.87</v>
      </c>
      <c r="AQ395" s="450">
        <v>82.99</v>
      </c>
      <c r="AR395" s="450">
        <v>83.11</v>
      </c>
      <c r="AS395" s="450">
        <v>83.23</v>
      </c>
      <c r="AT395" s="450">
        <v>83.34</v>
      </c>
      <c r="AU395" s="450">
        <v>83.45</v>
      </c>
      <c r="AV395" s="450">
        <v>83.56</v>
      </c>
      <c r="AW395" s="450">
        <v>83.67</v>
      </c>
      <c r="AX395" s="450">
        <v>83.77</v>
      </c>
      <c r="AY395" s="450">
        <v>83.87</v>
      </c>
      <c r="AZ395" s="450">
        <v>83.97</v>
      </c>
      <c r="BA395" s="450">
        <v>84.39</v>
      </c>
      <c r="BB395" s="450">
        <v>84.72</v>
      </c>
      <c r="BC395" s="450">
        <v>84.93</v>
      </c>
      <c r="BD395" s="450">
        <v>85.06</v>
      </c>
      <c r="BE395" s="450">
        <v>85.13</v>
      </c>
    </row>
    <row r="396" spans="2:57" x14ac:dyDescent="0.25">
      <c r="B396" s="134">
        <v>49</v>
      </c>
      <c r="C396" s="451">
        <v>81.42</v>
      </c>
      <c r="D396" s="451">
        <v>81.540000000000006</v>
      </c>
      <c r="E396" s="451">
        <v>81.66</v>
      </c>
      <c r="F396" s="451">
        <v>81.78</v>
      </c>
      <c r="G396" s="451">
        <v>81.89</v>
      </c>
      <c r="H396" s="451">
        <v>82</v>
      </c>
      <c r="I396" s="451">
        <v>82.11</v>
      </c>
      <c r="J396" s="451">
        <v>82.21</v>
      </c>
      <c r="K396" s="451">
        <v>82.32</v>
      </c>
      <c r="L396" s="451">
        <v>82.42</v>
      </c>
      <c r="M396" s="451">
        <v>82.51</v>
      </c>
      <c r="N396" s="451">
        <v>82.61</v>
      </c>
      <c r="O396" s="451">
        <v>83.01</v>
      </c>
      <c r="P396" s="451">
        <v>83.32</v>
      </c>
      <c r="Q396" s="451">
        <v>83.51</v>
      </c>
      <c r="R396" s="451">
        <v>83.63</v>
      </c>
      <c r="S396" s="451">
        <v>83.68</v>
      </c>
      <c r="T396" s="133"/>
      <c r="U396" s="134">
        <v>49</v>
      </c>
      <c r="V396" s="450">
        <v>82.1</v>
      </c>
      <c r="W396" s="450">
        <v>82.22</v>
      </c>
      <c r="X396" s="450">
        <v>82.34</v>
      </c>
      <c r="Y396" s="450">
        <v>82.46</v>
      </c>
      <c r="Z396" s="450">
        <v>82.58</v>
      </c>
      <c r="AA396" s="450">
        <v>82.69</v>
      </c>
      <c r="AB396" s="450">
        <v>82.8</v>
      </c>
      <c r="AC396" s="450">
        <v>82.91</v>
      </c>
      <c r="AD396" s="450">
        <v>83.02</v>
      </c>
      <c r="AE396" s="450">
        <v>83.12</v>
      </c>
      <c r="AF396" s="450">
        <v>83.22</v>
      </c>
      <c r="AG396" s="450">
        <v>83.31</v>
      </c>
      <c r="AH396" s="450">
        <v>83.74</v>
      </c>
      <c r="AI396" s="450">
        <v>84.06</v>
      </c>
      <c r="AJ396" s="450">
        <v>84.26</v>
      </c>
      <c r="AK396" s="450">
        <v>84.38</v>
      </c>
      <c r="AL396" s="450">
        <v>84.44</v>
      </c>
      <c r="AM396" s="133"/>
      <c r="AN396" s="134">
        <v>49</v>
      </c>
      <c r="AO396" s="450">
        <v>83.01</v>
      </c>
      <c r="AP396" s="450">
        <v>83.13</v>
      </c>
      <c r="AQ396" s="450">
        <v>83.26</v>
      </c>
      <c r="AR396" s="450">
        <v>83.38</v>
      </c>
      <c r="AS396" s="450">
        <v>83.5</v>
      </c>
      <c r="AT396" s="450">
        <v>83.62</v>
      </c>
      <c r="AU396" s="450">
        <v>83.73</v>
      </c>
      <c r="AV396" s="450">
        <v>83.85</v>
      </c>
      <c r="AW396" s="450">
        <v>83.96</v>
      </c>
      <c r="AX396" s="450">
        <v>84.06</v>
      </c>
      <c r="AY396" s="450">
        <v>84.16</v>
      </c>
      <c r="AZ396" s="450">
        <v>84.26</v>
      </c>
      <c r="BA396" s="450">
        <v>84.7</v>
      </c>
      <c r="BB396" s="450">
        <v>85.03</v>
      </c>
      <c r="BC396" s="450">
        <v>85.24</v>
      </c>
      <c r="BD396" s="450">
        <v>85.37</v>
      </c>
      <c r="BE396" s="450">
        <v>85.43</v>
      </c>
    </row>
    <row r="397" spans="2:57" x14ac:dyDescent="0.25">
      <c r="B397" s="134">
        <v>50</v>
      </c>
      <c r="C397" s="451">
        <v>81.67</v>
      </c>
      <c r="D397" s="451">
        <v>81.8</v>
      </c>
      <c r="E397" s="451">
        <v>81.92</v>
      </c>
      <c r="F397" s="451">
        <v>82.04</v>
      </c>
      <c r="G397" s="451">
        <v>82.15</v>
      </c>
      <c r="H397" s="451">
        <v>82.27</v>
      </c>
      <c r="I397" s="451">
        <v>82.38</v>
      </c>
      <c r="J397" s="451">
        <v>82.49</v>
      </c>
      <c r="K397" s="451">
        <v>82.6</v>
      </c>
      <c r="L397" s="451">
        <v>82.7</v>
      </c>
      <c r="M397" s="451">
        <v>82.8</v>
      </c>
      <c r="N397" s="451">
        <v>82.89</v>
      </c>
      <c r="O397" s="451">
        <v>83.31</v>
      </c>
      <c r="P397" s="451">
        <v>83.62</v>
      </c>
      <c r="Q397" s="451">
        <v>83.81</v>
      </c>
      <c r="R397" s="451">
        <v>83.92</v>
      </c>
      <c r="S397" s="451">
        <v>83.97</v>
      </c>
      <c r="T397" s="133"/>
      <c r="U397" s="134">
        <v>50</v>
      </c>
      <c r="V397" s="450">
        <v>82.35</v>
      </c>
      <c r="W397" s="450">
        <v>82.48</v>
      </c>
      <c r="X397" s="450">
        <v>82.61</v>
      </c>
      <c r="Y397" s="450">
        <v>82.73</v>
      </c>
      <c r="Z397" s="450">
        <v>82.85</v>
      </c>
      <c r="AA397" s="450">
        <v>82.97</v>
      </c>
      <c r="AB397" s="450">
        <v>83.08</v>
      </c>
      <c r="AC397" s="450">
        <v>83.2</v>
      </c>
      <c r="AD397" s="450">
        <v>83.3</v>
      </c>
      <c r="AE397" s="450">
        <v>83.41</v>
      </c>
      <c r="AF397" s="450">
        <v>83.51</v>
      </c>
      <c r="AG397" s="450">
        <v>83.61</v>
      </c>
      <c r="AH397" s="450">
        <v>84.04</v>
      </c>
      <c r="AI397" s="450">
        <v>84.37</v>
      </c>
      <c r="AJ397" s="450">
        <v>84.56</v>
      </c>
      <c r="AK397" s="450">
        <v>84.68</v>
      </c>
      <c r="AL397" s="450">
        <v>84.73</v>
      </c>
      <c r="AM397" s="133"/>
      <c r="AN397" s="134">
        <v>50</v>
      </c>
      <c r="AO397" s="450">
        <v>83.27</v>
      </c>
      <c r="AP397" s="450">
        <v>83.4</v>
      </c>
      <c r="AQ397" s="450">
        <v>83.53</v>
      </c>
      <c r="AR397" s="450">
        <v>83.66</v>
      </c>
      <c r="AS397" s="450">
        <v>83.78</v>
      </c>
      <c r="AT397" s="450">
        <v>83.9</v>
      </c>
      <c r="AU397" s="450">
        <v>84.02</v>
      </c>
      <c r="AV397" s="450">
        <v>84.14</v>
      </c>
      <c r="AW397" s="450">
        <v>84.25</v>
      </c>
      <c r="AX397" s="450">
        <v>84.36</v>
      </c>
      <c r="AY397" s="450">
        <v>84.47</v>
      </c>
      <c r="AZ397" s="450">
        <v>84.57</v>
      </c>
      <c r="BA397" s="450">
        <v>85.02</v>
      </c>
      <c r="BB397" s="450">
        <v>85.36</v>
      </c>
      <c r="BC397" s="450">
        <v>85.56</v>
      </c>
      <c r="BD397" s="450">
        <v>85.68</v>
      </c>
      <c r="BE397" s="450">
        <v>85.73</v>
      </c>
    </row>
    <row r="398" spans="2:57" x14ac:dyDescent="0.25">
      <c r="B398" s="134">
        <v>51</v>
      </c>
      <c r="C398" s="451">
        <v>81.93</v>
      </c>
      <c r="D398" s="451">
        <v>82.06</v>
      </c>
      <c r="E398" s="451">
        <v>82.18</v>
      </c>
      <c r="F398" s="451">
        <v>82.31</v>
      </c>
      <c r="G398" s="451">
        <v>82.43</v>
      </c>
      <c r="H398" s="451">
        <v>82.55</v>
      </c>
      <c r="I398" s="451">
        <v>82.66</v>
      </c>
      <c r="J398" s="451">
        <v>82.78</v>
      </c>
      <c r="K398" s="451">
        <v>82.89</v>
      </c>
      <c r="L398" s="451">
        <v>82.99</v>
      </c>
      <c r="M398" s="451">
        <v>83.09</v>
      </c>
      <c r="N398" s="451">
        <v>83.19</v>
      </c>
      <c r="O398" s="451">
        <v>83.62</v>
      </c>
      <c r="P398" s="451">
        <v>83.93</v>
      </c>
      <c r="Q398" s="451">
        <v>84.11</v>
      </c>
      <c r="R398" s="451">
        <v>84.22</v>
      </c>
      <c r="S398" s="451">
        <v>84.26</v>
      </c>
      <c r="T398" s="133"/>
      <c r="U398" s="134">
        <v>51</v>
      </c>
      <c r="V398" s="450">
        <v>82.62</v>
      </c>
      <c r="W398" s="450">
        <v>82.75</v>
      </c>
      <c r="X398" s="450">
        <v>82.88</v>
      </c>
      <c r="Y398" s="450">
        <v>83.01</v>
      </c>
      <c r="Z398" s="450">
        <v>83.13</v>
      </c>
      <c r="AA398" s="450">
        <v>83.25</v>
      </c>
      <c r="AB398" s="450">
        <v>83.37</v>
      </c>
      <c r="AC398" s="450">
        <v>83.49</v>
      </c>
      <c r="AD398" s="450">
        <v>83.6</v>
      </c>
      <c r="AE398" s="450">
        <v>83.71</v>
      </c>
      <c r="AF398" s="450">
        <v>83.82</v>
      </c>
      <c r="AG398" s="450">
        <v>83.92</v>
      </c>
      <c r="AH398" s="450">
        <v>84.36</v>
      </c>
      <c r="AI398" s="450">
        <v>84.68</v>
      </c>
      <c r="AJ398" s="450">
        <v>84.88</v>
      </c>
      <c r="AK398" s="450">
        <v>84.99</v>
      </c>
      <c r="AL398" s="450">
        <v>85.03</v>
      </c>
      <c r="AM398" s="133"/>
      <c r="AN398" s="134">
        <v>51</v>
      </c>
      <c r="AO398" s="450">
        <v>83.54</v>
      </c>
      <c r="AP398" s="450">
        <v>83.68</v>
      </c>
      <c r="AQ398" s="450">
        <v>83.81</v>
      </c>
      <c r="AR398" s="450">
        <v>83.94</v>
      </c>
      <c r="AS398" s="450">
        <v>84.07</v>
      </c>
      <c r="AT398" s="450">
        <v>84.2</v>
      </c>
      <c r="AU398" s="450">
        <v>84.32</v>
      </c>
      <c r="AV398" s="450">
        <v>84.44</v>
      </c>
      <c r="AW398" s="450">
        <v>84.56</v>
      </c>
      <c r="AX398" s="450">
        <v>84.67</v>
      </c>
      <c r="AY398" s="450">
        <v>84.78</v>
      </c>
      <c r="AZ398" s="450">
        <v>84.89</v>
      </c>
      <c r="BA398" s="450">
        <v>85.35</v>
      </c>
      <c r="BB398" s="450">
        <v>85.68</v>
      </c>
      <c r="BC398" s="450">
        <v>85.88</v>
      </c>
      <c r="BD398" s="450">
        <v>86</v>
      </c>
      <c r="BE398" s="450">
        <v>86.04</v>
      </c>
    </row>
    <row r="399" spans="2:57" x14ac:dyDescent="0.25">
      <c r="B399" s="134">
        <v>52</v>
      </c>
      <c r="C399" s="451">
        <v>82.2</v>
      </c>
      <c r="D399" s="451">
        <v>82.33</v>
      </c>
      <c r="E399" s="451">
        <v>82.46</v>
      </c>
      <c r="F399" s="451">
        <v>82.59</v>
      </c>
      <c r="G399" s="451">
        <v>82.71</v>
      </c>
      <c r="H399" s="451">
        <v>82.83</v>
      </c>
      <c r="I399" s="451">
        <v>82.95</v>
      </c>
      <c r="J399" s="451">
        <v>83.07</v>
      </c>
      <c r="K399" s="451">
        <v>83.18</v>
      </c>
      <c r="L399" s="451">
        <v>83.29</v>
      </c>
      <c r="M399" s="451">
        <v>83.4</v>
      </c>
      <c r="N399" s="451">
        <v>83.5</v>
      </c>
      <c r="O399" s="451">
        <v>83.94</v>
      </c>
      <c r="P399" s="451">
        <v>84.24</v>
      </c>
      <c r="Q399" s="451">
        <v>84.42</v>
      </c>
      <c r="R399" s="451">
        <v>84.52</v>
      </c>
      <c r="S399" s="451">
        <v>84.56</v>
      </c>
      <c r="T399" s="133"/>
      <c r="U399" s="134">
        <v>52</v>
      </c>
      <c r="V399" s="450">
        <v>82.89</v>
      </c>
      <c r="W399" s="450">
        <v>83.03</v>
      </c>
      <c r="X399" s="450">
        <v>83.16</v>
      </c>
      <c r="Y399" s="450">
        <v>83.29</v>
      </c>
      <c r="Z399" s="450">
        <v>83.42</v>
      </c>
      <c r="AA399" s="450">
        <v>83.55</v>
      </c>
      <c r="AB399" s="450">
        <v>83.67</v>
      </c>
      <c r="AC399" s="450">
        <v>83.79</v>
      </c>
      <c r="AD399" s="450">
        <v>83.91</v>
      </c>
      <c r="AE399" s="450">
        <v>84.02</v>
      </c>
      <c r="AF399" s="450">
        <v>84.13</v>
      </c>
      <c r="AG399" s="450">
        <v>84.24</v>
      </c>
      <c r="AH399" s="450">
        <v>84.69</v>
      </c>
      <c r="AI399" s="450">
        <v>85.01</v>
      </c>
      <c r="AJ399" s="450">
        <v>85.2</v>
      </c>
      <c r="AK399" s="450">
        <v>85.31</v>
      </c>
      <c r="AL399" s="450">
        <v>85.35</v>
      </c>
      <c r="AM399" s="133"/>
      <c r="AN399" s="134">
        <v>52</v>
      </c>
      <c r="AO399" s="450">
        <v>83.83</v>
      </c>
      <c r="AP399" s="450">
        <v>83.97</v>
      </c>
      <c r="AQ399" s="450">
        <v>84.11</v>
      </c>
      <c r="AR399" s="450">
        <v>84.24</v>
      </c>
      <c r="AS399" s="450">
        <v>84.37</v>
      </c>
      <c r="AT399" s="450">
        <v>84.51</v>
      </c>
      <c r="AU399" s="450">
        <v>84.63</v>
      </c>
      <c r="AV399" s="450">
        <v>84.76</v>
      </c>
      <c r="AW399" s="450">
        <v>84.88</v>
      </c>
      <c r="AX399" s="450">
        <v>85</v>
      </c>
      <c r="AY399" s="450">
        <v>85.11</v>
      </c>
      <c r="AZ399" s="450">
        <v>85.22</v>
      </c>
      <c r="BA399" s="450">
        <v>85.69</v>
      </c>
      <c r="BB399" s="450">
        <v>86.02</v>
      </c>
      <c r="BC399" s="450">
        <v>86.22</v>
      </c>
      <c r="BD399" s="450">
        <v>86.33</v>
      </c>
      <c r="BE399" s="450">
        <v>86.37</v>
      </c>
    </row>
    <row r="400" spans="2:57" x14ac:dyDescent="0.25">
      <c r="B400" s="134">
        <v>53</v>
      </c>
      <c r="C400" s="451">
        <v>82.47</v>
      </c>
      <c r="D400" s="451">
        <v>82.61</v>
      </c>
      <c r="E400" s="451">
        <v>82.74</v>
      </c>
      <c r="F400" s="451">
        <v>82.88</v>
      </c>
      <c r="G400" s="451">
        <v>83.01</v>
      </c>
      <c r="H400" s="451">
        <v>83.13</v>
      </c>
      <c r="I400" s="451">
        <v>83.26</v>
      </c>
      <c r="J400" s="451">
        <v>83.38</v>
      </c>
      <c r="K400" s="451">
        <v>83.49</v>
      </c>
      <c r="L400" s="451">
        <v>83.61</v>
      </c>
      <c r="M400" s="451">
        <v>83.72</v>
      </c>
      <c r="N400" s="451">
        <v>83.82</v>
      </c>
      <c r="O400" s="451">
        <v>84.27</v>
      </c>
      <c r="P400" s="451">
        <v>84.56</v>
      </c>
      <c r="Q400" s="451">
        <v>84.74</v>
      </c>
      <c r="R400" s="451">
        <v>84.84</v>
      </c>
      <c r="S400" s="451">
        <v>84.86</v>
      </c>
      <c r="T400" s="133"/>
      <c r="U400" s="134">
        <v>53</v>
      </c>
      <c r="V400" s="450">
        <v>83.18</v>
      </c>
      <c r="W400" s="450">
        <v>83.32</v>
      </c>
      <c r="X400" s="450">
        <v>83.45</v>
      </c>
      <c r="Y400" s="450">
        <v>83.59</v>
      </c>
      <c r="Z400" s="450">
        <v>83.72</v>
      </c>
      <c r="AA400" s="450">
        <v>83.86</v>
      </c>
      <c r="AB400" s="450">
        <v>83.98</v>
      </c>
      <c r="AC400" s="450">
        <v>84.11</v>
      </c>
      <c r="AD400" s="450">
        <v>84.23</v>
      </c>
      <c r="AE400" s="450">
        <v>84.35</v>
      </c>
      <c r="AF400" s="450">
        <v>84.46</v>
      </c>
      <c r="AG400" s="450">
        <v>84.57</v>
      </c>
      <c r="AH400" s="450">
        <v>85.03</v>
      </c>
      <c r="AI400" s="450">
        <v>85.34</v>
      </c>
      <c r="AJ400" s="450">
        <v>85.53</v>
      </c>
      <c r="AK400" s="450">
        <v>85.63</v>
      </c>
      <c r="AL400" s="450">
        <v>85.67</v>
      </c>
      <c r="AM400" s="133"/>
      <c r="AN400" s="134">
        <v>53</v>
      </c>
      <c r="AO400" s="450">
        <v>84.12</v>
      </c>
      <c r="AP400" s="450">
        <v>84.26</v>
      </c>
      <c r="AQ400" s="450">
        <v>84.41</v>
      </c>
      <c r="AR400" s="450">
        <v>84.55</v>
      </c>
      <c r="AS400" s="450">
        <v>84.69</v>
      </c>
      <c r="AT400" s="450">
        <v>84.82</v>
      </c>
      <c r="AU400" s="450">
        <v>84.96</v>
      </c>
      <c r="AV400" s="450">
        <v>85.08</v>
      </c>
      <c r="AW400" s="450">
        <v>85.21</v>
      </c>
      <c r="AX400" s="450">
        <v>85.33</v>
      </c>
      <c r="AY400" s="450">
        <v>85.45</v>
      </c>
      <c r="AZ400" s="450">
        <v>85.56</v>
      </c>
      <c r="BA400" s="450">
        <v>86.04</v>
      </c>
      <c r="BB400" s="450">
        <v>86.37</v>
      </c>
      <c r="BC400" s="450">
        <v>86.57</v>
      </c>
      <c r="BD400" s="450">
        <v>86.67</v>
      </c>
      <c r="BE400" s="450">
        <v>86.7</v>
      </c>
    </row>
    <row r="401" spans="2:57" x14ac:dyDescent="0.25">
      <c r="B401" s="134">
        <v>54</v>
      </c>
      <c r="C401" s="451">
        <v>82.76</v>
      </c>
      <c r="D401" s="451">
        <v>82.9</v>
      </c>
      <c r="E401" s="451">
        <v>83.04</v>
      </c>
      <c r="F401" s="451">
        <v>83.17</v>
      </c>
      <c r="G401" s="451">
        <v>83.31</v>
      </c>
      <c r="H401" s="451">
        <v>83.44</v>
      </c>
      <c r="I401" s="451">
        <v>83.57</v>
      </c>
      <c r="J401" s="451">
        <v>83.69</v>
      </c>
      <c r="K401" s="451">
        <v>83.82</v>
      </c>
      <c r="L401" s="451">
        <v>83.93</v>
      </c>
      <c r="M401" s="451">
        <v>84.04</v>
      </c>
      <c r="N401" s="451">
        <v>84.15</v>
      </c>
      <c r="O401" s="451">
        <v>84.61</v>
      </c>
      <c r="P401" s="451">
        <v>84.9</v>
      </c>
      <c r="Q401" s="451">
        <v>85.08</v>
      </c>
      <c r="R401" s="451">
        <v>85.16</v>
      </c>
      <c r="S401" s="451">
        <v>85.19</v>
      </c>
      <c r="T401" s="133"/>
      <c r="U401" s="134">
        <v>54</v>
      </c>
      <c r="V401" s="450">
        <v>83.47</v>
      </c>
      <c r="W401" s="450">
        <v>83.61</v>
      </c>
      <c r="X401" s="450">
        <v>83.76</v>
      </c>
      <c r="Y401" s="450">
        <v>83.9</v>
      </c>
      <c r="Z401" s="450">
        <v>84.04</v>
      </c>
      <c r="AA401" s="450">
        <v>84.17</v>
      </c>
      <c r="AB401" s="450">
        <v>84.31</v>
      </c>
      <c r="AC401" s="450">
        <v>84.44</v>
      </c>
      <c r="AD401" s="450">
        <v>84.56</v>
      </c>
      <c r="AE401" s="450">
        <v>84.68</v>
      </c>
      <c r="AF401" s="450">
        <v>84.8</v>
      </c>
      <c r="AG401" s="450">
        <v>84.91</v>
      </c>
      <c r="AH401" s="450">
        <v>85.38</v>
      </c>
      <c r="AI401" s="450">
        <v>85.69</v>
      </c>
      <c r="AJ401" s="450">
        <v>85.88</v>
      </c>
      <c r="AK401" s="450">
        <v>85.98</v>
      </c>
      <c r="AL401" s="450">
        <v>86</v>
      </c>
      <c r="AM401" s="133"/>
      <c r="AN401" s="134">
        <v>54</v>
      </c>
      <c r="AO401" s="450">
        <v>84.42</v>
      </c>
      <c r="AP401" s="450">
        <v>84.57</v>
      </c>
      <c r="AQ401" s="450">
        <v>84.72</v>
      </c>
      <c r="AR401" s="450">
        <v>84.87</v>
      </c>
      <c r="AS401" s="450">
        <v>85.01</v>
      </c>
      <c r="AT401" s="450">
        <v>85.15</v>
      </c>
      <c r="AU401" s="450">
        <v>85.29</v>
      </c>
      <c r="AV401" s="450">
        <v>85.42</v>
      </c>
      <c r="AW401" s="450">
        <v>85.55</v>
      </c>
      <c r="AX401" s="450">
        <v>85.68</v>
      </c>
      <c r="AY401" s="450">
        <v>85.8</v>
      </c>
      <c r="AZ401" s="450">
        <v>85.92</v>
      </c>
      <c r="BA401" s="450">
        <v>86.41</v>
      </c>
      <c r="BB401" s="450">
        <v>86.73</v>
      </c>
      <c r="BC401" s="450">
        <v>86.93</v>
      </c>
      <c r="BD401" s="450">
        <v>87.02</v>
      </c>
      <c r="BE401" s="450">
        <v>87.04</v>
      </c>
    </row>
    <row r="402" spans="2:57" x14ac:dyDescent="0.25">
      <c r="B402" s="134">
        <v>55</v>
      </c>
      <c r="C402" s="451">
        <v>83.05</v>
      </c>
      <c r="D402" s="451">
        <v>83.2</v>
      </c>
      <c r="E402" s="451">
        <v>83.34</v>
      </c>
      <c r="F402" s="451">
        <v>83.49</v>
      </c>
      <c r="G402" s="451">
        <v>83.63</v>
      </c>
      <c r="H402" s="451">
        <v>83.76</v>
      </c>
      <c r="I402" s="451">
        <v>83.9</v>
      </c>
      <c r="J402" s="451">
        <v>84.02</v>
      </c>
      <c r="K402" s="451">
        <v>84.15</v>
      </c>
      <c r="L402" s="451">
        <v>84.27</v>
      </c>
      <c r="M402" s="451">
        <v>84.39</v>
      </c>
      <c r="N402" s="451">
        <v>84.5</v>
      </c>
      <c r="O402" s="451">
        <v>84.96</v>
      </c>
      <c r="P402" s="451">
        <v>85.25</v>
      </c>
      <c r="Q402" s="451">
        <v>85.43</v>
      </c>
      <c r="R402" s="451">
        <v>85.51</v>
      </c>
      <c r="S402" s="451">
        <v>85.52</v>
      </c>
      <c r="T402" s="133"/>
      <c r="U402" s="134">
        <v>55</v>
      </c>
      <c r="V402" s="450">
        <v>83.77</v>
      </c>
      <c r="W402" s="450">
        <v>83.92</v>
      </c>
      <c r="X402" s="450">
        <v>84.07</v>
      </c>
      <c r="Y402" s="450">
        <v>84.22</v>
      </c>
      <c r="Z402" s="450">
        <v>84.36</v>
      </c>
      <c r="AA402" s="450">
        <v>84.5</v>
      </c>
      <c r="AB402" s="450">
        <v>84.64</v>
      </c>
      <c r="AC402" s="450">
        <v>84.78</v>
      </c>
      <c r="AD402" s="450">
        <v>84.91</v>
      </c>
      <c r="AE402" s="450">
        <v>85.03</v>
      </c>
      <c r="AF402" s="450">
        <v>85.15</v>
      </c>
      <c r="AG402" s="450">
        <v>85.26</v>
      </c>
      <c r="AH402" s="450">
        <v>85.75</v>
      </c>
      <c r="AI402" s="450">
        <v>86.05</v>
      </c>
      <c r="AJ402" s="450">
        <v>86.24</v>
      </c>
      <c r="AK402" s="450">
        <v>86.33</v>
      </c>
      <c r="AL402" s="450">
        <v>86.35</v>
      </c>
      <c r="AM402" s="133"/>
      <c r="AN402" s="134">
        <v>55</v>
      </c>
      <c r="AO402" s="450">
        <v>84.74</v>
      </c>
      <c r="AP402" s="450">
        <v>84.89</v>
      </c>
      <c r="AQ402" s="450">
        <v>85.05</v>
      </c>
      <c r="AR402" s="450">
        <v>85.2</v>
      </c>
      <c r="AS402" s="450">
        <v>85.35</v>
      </c>
      <c r="AT402" s="450">
        <v>85.5</v>
      </c>
      <c r="AU402" s="450">
        <v>85.64</v>
      </c>
      <c r="AV402" s="450">
        <v>85.78</v>
      </c>
      <c r="AW402" s="450">
        <v>85.91</v>
      </c>
      <c r="AX402" s="450">
        <v>86.04</v>
      </c>
      <c r="AY402" s="450">
        <v>86.17</v>
      </c>
      <c r="AZ402" s="450">
        <v>86.28</v>
      </c>
      <c r="BA402" s="450">
        <v>86.79</v>
      </c>
      <c r="BB402" s="450">
        <v>87.11</v>
      </c>
      <c r="BC402" s="450">
        <v>87.3</v>
      </c>
      <c r="BD402" s="450">
        <v>87.39</v>
      </c>
      <c r="BE402" s="450">
        <v>87.4</v>
      </c>
    </row>
    <row r="403" spans="2:57" x14ac:dyDescent="0.25">
      <c r="B403" s="134">
        <v>56</v>
      </c>
      <c r="C403" s="451">
        <v>83.36</v>
      </c>
      <c r="D403" s="451">
        <v>83.51</v>
      </c>
      <c r="E403" s="451">
        <v>83.66</v>
      </c>
      <c r="F403" s="451">
        <v>83.81</v>
      </c>
      <c r="G403" s="451">
        <v>83.95</v>
      </c>
      <c r="H403" s="451">
        <v>84.1</v>
      </c>
      <c r="I403" s="451">
        <v>84.23</v>
      </c>
      <c r="J403" s="451">
        <v>84.37</v>
      </c>
      <c r="K403" s="451">
        <v>84.5</v>
      </c>
      <c r="L403" s="451">
        <v>84.62</v>
      </c>
      <c r="M403" s="451">
        <v>84.74</v>
      </c>
      <c r="N403" s="451">
        <v>84.85</v>
      </c>
      <c r="O403" s="451">
        <v>85.32</v>
      </c>
      <c r="P403" s="451">
        <v>85.61</v>
      </c>
      <c r="Q403" s="451">
        <v>85.79</v>
      </c>
      <c r="R403" s="451">
        <v>85.86</v>
      </c>
      <c r="S403" s="451">
        <v>85.87</v>
      </c>
      <c r="T403" s="133"/>
      <c r="U403" s="134">
        <v>56</v>
      </c>
      <c r="V403" s="450">
        <v>84.09</v>
      </c>
      <c r="W403" s="450">
        <v>84.24</v>
      </c>
      <c r="X403" s="450">
        <v>84.4</v>
      </c>
      <c r="Y403" s="450">
        <v>84.55</v>
      </c>
      <c r="Z403" s="450">
        <v>84.7</v>
      </c>
      <c r="AA403" s="450">
        <v>84.85</v>
      </c>
      <c r="AB403" s="450">
        <v>84.99</v>
      </c>
      <c r="AC403" s="450">
        <v>85.13</v>
      </c>
      <c r="AD403" s="450">
        <v>85.26</v>
      </c>
      <c r="AE403" s="450">
        <v>85.39</v>
      </c>
      <c r="AF403" s="450">
        <v>85.52</v>
      </c>
      <c r="AG403" s="450">
        <v>85.63</v>
      </c>
      <c r="AH403" s="450">
        <v>86.12</v>
      </c>
      <c r="AI403" s="450">
        <v>86.43</v>
      </c>
      <c r="AJ403" s="450">
        <v>86.62</v>
      </c>
      <c r="AK403" s="450">
        <v>86.71</v>
      </c>
      <c r="AL403" s="450">
        <v>86.72</v>
      </c>
      <c r="AM403" s="133"/>
      <c r="AN403" s="134">
        <v>56</v>
      </c>
      <c r="AO403" s="450">
        <v>85.06</v>
      </c>
      <c r="AP403" s="450">
        <v>85.23</v>
      </c>
      <c r="AQ403" s="450">
        <v>85.39</v>
      </c>
      <c r="AR403" s="450">
        <v>85.55</v>
      </c>
      <c r="AS403" s="450">
        <v>85.7</v>
      </c>
      <c r="AT403" s="450">
        <v>85.85</v>
      </c>
      <c r="AU403" s="450">
        <v>86</v>
      </c>
      <c r="AV403" s="450">
        <v>86.15</v>
      </c>
      <c r="AW403" s="450">
        <v>86.28</v>
      </c>
      <c r="AX403" s="450">
        <v>86.42</v>
      </c>
      <c r="AY403" s="450">
        <v>86.55</v>
      </c>
      <c r="AZ403" s="450">
        <v>86.67</v>
      </c>
      <c r="BA403" s="450">
        <v>87.18</v>
      </c>
      <c r="BB403" s="450">
        <v>87.5</v>
      </c>
      <c r="BC403" s="450">
        <v>87.69</v>
      </c>
      <c r="BD403" s="450">
        <v>87.78</v>
      </c>
      <c r="BE403" s="450">
        <v>87.78</v>
      </c>
    </row>
    <row r="404" spans="2:57" x14ac:dyDescent="0.25">
      <c r="B404" s="134">
        <v>57</v>
      </c>
      <c r="C404" s="451">
        <v>83.68</v>
      </c>
      <c r="D404" s="451">
        <v>83.83</v>
      </c>
      <c r="E404" s="451">
        <v>83.99</v>
      </c>
      <c r="F404" s="451">
        <v>84.15</v>
      </c>
      <c r="G404" s="451">
        <v>84.3</v>
      </c>
      <c r="H404" s="451">
        <v>84.44</v>
      </c>
      <c r="I404" s="451">
        <v>84.59</v>
      </c>
      <c r="J404" s="451">
        <v>84.73</v>
      </c>
      <c r="K404" s="451">
        <v>84.86</v>
      </c>
      <c r="L404" s="451">
        <v>84.99</v>
      </c>
      <c r="M404" s="451">
        <v>85.11</v>
      </c>
      <c r="N404" s="451">
        <v>85.22</v>
      </c>
      <c r="O404" s="451">
        <v>85.69</v>
      </c>
      <c r="P404" s="451">
        <v>85.99</v>
      </c>
      <c r="Q404" s="451">
        <v>86.17</v>
      </c>
      <c r="R404" s="451">
        <v>86.24</v>
      </c>
      <c r="S404" s="451">
        <v>86.24</v>
      </c>
      <c r="T404" s="133"/>
      <c r="U404" s="134">
        <v>57</v>
      </c>
      <c r="V404" s="450">
        <v>84.41</v>
      </c>
      <c r="W404" s="450">
        <v>84.58</v>
      </c>
      <c r="X404" s="450">
        <v>84.74</v>
      </c>
      <c r="Y404" s="450">
        <v>84.9</v>
      </c>
      <c r="Z404" s="450">
        <v>85.06</v>
      </c>
      <c r="AA404" s="450">
        <v>85.21</v>
      </c>
      <c r="AB404" s="450">
        <v>85.36</v>
      </c>
      <c r="AC404" s="450">
        <v>85.5</v>
      </c>
      <c r="AD404" s="450">
        <v>85.64</v>
      </c>
      <c r="AE404" s="450">
        <v>85.77</v>
      </c>
      <c r="AF404" s="450">
        <v>85.9</v>
      </c>
      <c r="AG404" s="450">
        <v>86.02</v>
      </c>
      <c r="AH404" s="450">
        <v>86.51</v>
      </c>
      <c r="AI404" s="450">
        <v>86.83</v>
      </c>
      <c r="AJ404" s="450">
        <v>87.01</v>
      </c>
      <c r="AK404" s="450">
        <v>87.1</v>
      </c>
      <c r="AL404" s="450">
        <v>87.11</v>
      </c>
      <c r="AM404" s="133"/>
      <c r="AN404" s="134">
        <v>57</v>
      </c>
      <c r="AO404" s="450">
        <v>85.4</v>
      </c>
      <c r="AP404" s="450">
        <v>85.57</v>
      </c>
      <c r="AQ404" s="450">
        <v>85.74</v>
      </c>
      <c r="AR404" s="450">
        <v>85.91</v>
      </c>
      <c r="AS404" s="450">
        <v>86.07</v>
      </c>
      <c r="AT404" s="450">
        <v>86.23</v>
      </c>
      <c r="AU404" s="450">
        <v>86.38</v>
      </c>
      <c r="AV404" s="450">
        <v>86.53</v>
      </c>
      <c r="AW404" s="450">
        <v>86.67</v>
      </c>
      <c r="AX404" s="450">
        <v>86.81</v>
      </c>
      <c r="AY404" s="450">
        <v>86.94</v>
      </c>
      <c r="AZ404" s="450">
        <v>87.07</v>
      </c>
      <c r="BA404" s="450">
        <v>87.58</v>
      </c>
      <c r="BB404" s="450">
        <v>87.91</v>
      </c>
      <c r="BC404" s="450">
        <v>88.1</v>
      </c>
      <c r="BD404" s="450">
        <v>88.18</v>
      </c>
      <c r="BE404" s="450">
        <v>88.18</v>
      </c>
    </row>
    <row r="405" spans="2:57" x14ac:dyDescent="0.25">
      <c r="B405" s="134">
        <v>58</v>
      </c>
      <c r="C405" s="451">
        <v>84.01</v>
      </c>
      <c r="D405" s="451">
        <v>84.17</v>
      </c>
      <c r="E405" s="451">
        <v>84.34</v>
      </c>
      <c r="F405" s="451">
        <v>84.5</v>
      </c>
      <c r="G405" s="451">
        <v>84.65</v>
      </c>
      <c r="H405" s="451">
        <v>84.81</v>
      </c>
      <c r="I405" s="451">
        <v>84.96</v>
      </c>
      <c r="J405" s="451">
        <v>85.1</v>
      </c>
      <c r="K405" s="451">
        <v>85.24</v>
      </c>
      <c r="L405" s="451">
        <v>85.37</v>
      </c>
      <c r="M405" s="451">
        <v>85.49</v>
      </c>
      <c r="N405" s="451">
        <v>85.61</v>
      </c>
      <c r="O405" s="451">
        <v>86.09</v>
      </c>
      <c r="P405" s="451">
        <v>86.39</v>
      </c>
      <c r="Q405" s="451">
        <v>86.56</v>
      </c>
      <c r="R405" s="451">
        <v>86.63</v>
      </c>
      <c r="S405" s="451">
        <v>86.63</v>
      </c>
      <c r="T405" s="133"/>
      <c r="U405" s="134">
        <v>58</v>
      </c>
      <c r="V405" s="450">
        <v>84.76</v>
      </c>
      <c r="W405" s="450">
        <v>84.93</v>
      </c>
      <c r="X405" s="450">
        <v>85.1</v>
      </c>
      <c r="Y405" s="450">
        <v>85.26</v>
      </c>
      <c r="Z405" s="450">
        <v>85.43</v>
      </c>
      <c r="AA405" s="450">
        <v>85.58</v>
      </c>
      <c r="AB405" s="450">
        <v>85.74</v>
      </c>
      <c r="AC405" s="450">
        <v>85.89</v>
      </c>
      <c r="AD405" s="450">
        <v>86.03</v>
      </c>
      <c r="AE405" s="450">
        <v>86.17</v>
      </c>
      <c r="AF405" s="450">
        <v>86.3</v>
      </c>
      <c r="AG405" s="450">
        <v>86.42</v>
      </c>
      <c r="AH405" s="450">
        <v>86.92</v>
      </c>
      <c r="AI405" s="450">
        <v>87.24</v>
      </c>
      <c r="AJ405" s="450">
        <v>87.43</v>
      </c>
      <c r="AK405" s="450">
        <v>87.51</v>
      </c>
      <c r="AL405" s="450">
        <v>87.51</v>
      </c>
      <c r="AM405" s="133"/>
      <c r="AN405" s="134">
        <v>58</v>
      </c>
      <c r="AO405" s="450">
        <v>85.76</v>
      </c>
      <c r="AP405" s="450">
        <v>85.93</v>
      </c>
      <c r="AQ405" s="450">
        <v>86.11</v>
      </c>
      <c r="AR405" s="450">
        <v>86.28</v>
      </c>
      <c r="AS405" s="450">
        <v>86.45</v>
      </c>
      <c r="AT405" s="450">
        <v>86.62</v>
      </c>
      <c r="AU405" s="450">
        <v>86.78</v>
      </c>
      <c r="AV405" s="450">
        <v>86.93</v>
      </c>
      <c r="AW405" s="450">
        <v>87.08</v>
      </c>
      <c r="AX405" s="450">
        <v>87.22</v>
      </c>
      <c r="AY405" s="450">
        <v>87.36</v>
      </c>
      <c r="AZ405" s="450">
        <v>87.49</v>
      </c>
      <c r="BA405" s="450">
        <v>88.01</v>
      </c>
      <c r="BB405" s="450">
        <v>88.34</v>
      </c>
      <c r="BC405" s="450">
        <v>88.53</v>
      </c>
      <c r="BD405" s="450">
        <v>88.6</v>
      </c>
      <c r="BE405" s="450">
        <v>88.6</v>
      </c>
    </row>
    <row r="406" spans="2:57" x14ac:dyDescent="0.25">
      <c r="B406" s="134">
        <v>59</v>
      </c>
      <c r="C406" s="451">
        <v>84.35</v>
      </c>
      <c r="D406" s="451">
        <v>84.53</v>
      </c>
      <c r="E406" s="451">
        <v>84.7</v>
      </c>
      <c r="F406" s="451">
        <v>84.86</v>
      </c>
      <c r="G406" s="451">
        <v>85.03</v>
      </c>
      <c r="H406" s="451">
        <v>85.19</v>
      </c>
      <c r="I406" s="451">
        <v>85.34</v>
      </c>
      <c r="J406" s="451">
        <v>85.49</v>
      </c>
      <c r="K406" s="451">
        <v>85.63</v>
      </c>
      <c r="L406" s="451">
        <v>85.77</v>
      </c>
      <c r="M406" s="451">
        <v>85.9</v>
      </c>
      <c r="N406" s="451">
        <v>86.02</v>
      </c>
      <c r="O406" s="451">
        <v>86.49</v>
      </c>
      <c r="P406" s="451">
        <v>86.8</v>
      </c>
      <c r="Q406" s="451">
        <v>86.97</v>
      </c>
      <c r="R406" s="451">
        <v>87.04</v>
      </c>
      <c r="S406" s="451">
        <v>87.03</v>
      </c>
      <c r="T406" s="133"/>
      <c r="U406" s="134">
        <v>59</v>
      </c>
      <c r="V406" s="450">
        <v>85.11</v>
      </c>
      <c r="W406" s="450">
        <v>85.29</v>
      </c>
      <c r="X406" s="450">
        <v>85.47</v>
      </c>
      <c r="Y406" s="450">
        <v>85.64</v>
      </c>
      <c r="Z406" s="450">
        <v>85.81</v>
      </c>
      <c r="AA406" s="450">
        <v>85.98</v>
      </c>
      <c r="AB406" s="450">
        <v>86.14</v>
      </c>
      <c r="AC406" s="450">
        <v>86.29</v>
      </c>
      <c r="AD406" s="450">
        <v>86.44</v>
      </c>
      <c r="AE406" s="450">
        <v>86.58</v>
      </c>
      <c r="AF406" s="450">
        <v>86.72</v>
      </c>
      <c r="AG406" s="450">
        <v>86.84</v>
      </c>
      <c r="AH406" s="450">
        <v>87.35</v>
      </c>
      <c r="AI406" s="450">
        <v>87.67</v>
      </c>
      <c r="AJ406" s="450">
        <v>87.86</v>
      </c>
      <c r="AK406" s="450">
        <v>87.93</v>
      </c>
      <c r="AL406" s="450">
        <v>87.93</v>
      </c>
      <c r="AM406" s="133"/>
      <c r="AN406" s="134">
        <v>59</v>
      </c>
      <c r="AO406" s="450">
        <v>86.13</v>
      </c>
      <c r="AP406" s="450">
        <v>86.31</v>
      </c>
      <c r="AQ406" s="450">
        <v>86.5</v>
      </c>
      <c r="AR406" s="450">
        <v>86.68</v>
      </c>
      <c r="AS406" s="450">
        <v>86.85</v>
      </c>
      <c r="AT406" s="450">
        <v>87.02</v>
      </c>
      <c r="AU406" s="450">
        <v>87.19</v>
      </c>
      <c r="AV406" s="450">
        <v>87.35</v>
      </c>
      <c r="AW406" s="450">
        <v>87.51</v>
      </c>
      <c r="AX406" s="450">
        <v>87.65</v>
      </c>
      <c r="AY406" s="450">
        <v>87.79</v>
      </c>
      <c r="AZ406" s="450">
        <v>87.93</v>
      </c>
      <c r="BA406" s="450">
        <v>88.45</v>
      </c>
      <c r="BB406" s="450">
        <v>88.79</v>
      </c>
      <c r="BC406" s="450">
        <v>88.97</v>
      </c>
      <c r="BD406" s="450">
        <v>89.04</v>
      </c>
      <c r="BE406" s="450">
        <v>89.03</v>
      </c>
    </row>
    <row r="407" spans="2:57" x14ac:dyDescent="0.25">
      <c r="B407" s="134">
        <v>60</v>
      </c>
      <c r="C407" s="451">
        <v>84.71</v>
      </c>
      <c r="D407" s="451">
        <v>84.89</v>
      </c>
      <c r="E407" s="451">
        <v>85.07</v>
      </c>
      <c r="F407" s="451">
        <v>85.24</v>
      </c>
      <c r="G407" s="451">
        <v>85.41</v>
      </c>
      <c r="H407" s="451">
        <v>85.58</v>
      </c>
      <c r="I407" s="451">
        <v>85.74</v>
      </c>
      <c r="J407" s="451">
        <v>85.89</v>
      </c>
      <c r="K407" s="451">
        <v>86.04</v>
      </c>
      <c r="L407" s="451">
        <v>86.18</v>
      </c>
      <c r="M407" s="451">
        <v>86.31</v>
      </c>
      <c r="N407" s="451">
        <v>86.44</v>
      </c>
      <c r="O407" s="451">
        <v>86.92</v>
      </c>
      <c r="P407" s="451">
        <v>87.23</v>
      </c>
      <c r="Q407" s="451">
        <v>87.4</v>
      </c>
      <c r="R407" s="451">
        <v>87.45</v>
      </c>
      <c r="S407" s="451">
        <v>87.45</v>
      </c>
      <c r="T407" s="133"/>
      <c r="U407" s="134">
        <v>60</v>
      </c>
      <c r="V407" s="450">
        <v>85.49</v>
      </c>
      <c r="W407" s="450">
        <v>85.67</v>
      </c>
      <c r="X407" s="450">
        <v>85.86</v>
      </c>
      <c r="Y407" s="450">
        <v>86.04</v>
      </c>
      <c r="Z407" s="450">
        <v>86.21</v>
      </c>
      <c r="AA407" s="450">
        <v>86.39</v>
      </c>
      <c r="AB407" s="450">
        <v>86.55</v>
      </c>
      <c r="AC407" s="450">
        <v>86.71</v>
      </c>
      <c r="AD407" s="450">
        <v>86.87</v>
      </c>
      <c r="AE407" s="450">
        <v>87.01</v>
      </c>
      <c r="AF407" s="450">
        <v>87.15</v>
      </c>
      <c r="AG407" s="450">
        <v>87.28</v>
      </c>
      <c r="AH407" s="450">
        <v>87.79</v>
      </c>
      <c r="AI407" s="450">
        <v>88.12</v>
      </c>
      <c r="AJ407" s="450">
        <v>88.3</v>
      </c>
      <c r="AK407" s="450">
        <v>88.37</v>
      </c>
      <c r="AL407" s="450">
        <v>88.37</v>
      </c>
      <c r="AM407" s="133"/>
      <c r="AN407" s="134">
        <v>60</v>
      </c>
      <c r="AO407" s="450">
        <v>86.51</v>
      </c>
      <c r="AP407" s="450">
        <v>86.71</v>
      </c>
      <c r="AQ407" s="450">
        <v>86.9</v>
      </c>
      <c r="AR407" s="450">
        <v>87.09</v>
      </c>
      <c r="AS407" s="450">
        <v>87.27</v>
      </c>
      <c r="AT407" s="450">
        <v>87.45</v>
      </c>
      <c r="AU407" s="450">
        <v>87.62</v>
      </c>
      <c r="AV407" s="450">
        <v>87.79</v>
      </c>
      <c r="AW407" s="450">
        <v>87.95</v>
      </c>
      <c r="AX407" s="450">
        <v>88.1</v>
      </c>
      <c r="AY407" s="450">
        <v>88.25</v>
      </c>
      <c r="AZ407" s="450">
        <v>88.38</v>
      </c>
      <c r="BA407" s="450">
        <v>88.91</v>
      </c>
      <c r="BB407" s="450">
        <v>89.25</v>
      </c>
      <c r="BC407" s="450">
        <v>89.43</v>
      </c>
      <c r="BD407" s="450">
        <v>89.49</v>
      </c>
      <c r="BE407" s="450">
        <v>89.48</v>
      </c>
    </row>
    <row r="408" spans="2:57" x14ac:dyDescent="0.25">
      <c r="B408" s="134">
        <v>61</v>
      </c>
      <c r="C408" s="451">
        <v>85.09</v>
      </c>
      <c r="D408" s="451">
        <v>85.28</v>
      </c>
      <c r="E408" s="451">
        <v>85.46</v>
      </c>
      <c r="F408" s="451">
        <v>85.64</v>
      </c>
      <c r="G408" s="451">
        <v>85.82</v>
      </c>
      <c r="H408" s="451">
        <v>85.99</v>
      </c>
      <c r="I408" s="451">
        <v>86.16</v>
      </c>
      <c r="J408" s="451">
        <v>86.32</v>
      </c>
      <c r="K408" s="451">
        <v>86.47</v>
      </c>
      <c r="L408" s="451">
        <v>86.61</v>
      </c>
      <c r="M408" s="451">
        <v>86.75</v>
      </c>
      <c r="N408" s="451">
        <v>86.87</v>
      </c>
      <c r="O408" s="451">
        <v>87.36</v>
      </c>
      <c r="P408" s="451">
        <v>87.67</v>
      </c>
      <c r="Q408" s="451">
        <v>87.83</v>
      </c>
      <c r="R408" s="451">
        <v>87.88</v>
      </c>
      <c r="S408" s="451">
        <v>87.87</v>
      </c>
      <c r="T408" s="133"/>
      <c r="U408" s="134">
        <v>61</v>
      </c>
      <c r="V408" s="450">
        <v>85.88</v>
      </c>
      <c r="W408" s="450">
        <v>86.07</v>
      </c>
      <c r="X408" s="450">
        <v>86.26</v>
      </c>
      <c r="Y408" s="450">
        <v>86.45</v>
      </c>
      <c r="Z408" s="450">
        <v>86.64</v>
      </c>
      <c r="AA408" s="450">
        <v>86.81</v>
      </c>
      <c r="AB408" s="450">
        <v>86.99</v>
      </c>
      <c r="AC408" s="450">
        <v>87.15</v>
      </c>
      <c r="AD408" s="450">
        <v>87.31</v>
      </c>
      <c r="AE408" s="450">
        <v>87.46</v>
      </c>
      <c r="AF408" s="450">
        <v>87.6</v>
      </c>
      <c r="AG408" s="450">
        <v>87.73</v>
      </c>
      <c r="AH408" s="450">
        <v>88.25</v>
      </c>
      <c r="AI408" s="450">
        <v>88.58</v>
      </c>
      <c r="AJ408" s="450">
        <v>88.76</v>
      </c>
      <c r="AK408" s="450">
        <v>88.82</v>
      </c>
      <c r="AL408" s="450">
        <v>88.81</v>
      </c>
      <c r="AM408" s="133"/>
      <c r="AN408" s="134">
        <v>61</v>
      </c>
      <c r="AO408" s="450">
        <v>86.92</v>
      </c>
      <c r="AP408" s="450">
        <v>87.12</v>
      </c>
      <c r="AQ408" s="450">
        <v>87.32</v>
      </c>
      <c r="AR408" s="450">
        <v>87.52</v>
      </c>
      <c r="AS408" s="450">
        <v>87.71</v>
      </c>
      <c r="AT408" s="450">
        <v>87.89</v>
      </c>
      <c r="AU408" s="450">
        <v>88.07</v>
      </c>
      <c r="AV408" s="450">
        <v>88.25</v>
      </c>
      <c r="AW408" s="450">
        <v>88.41</v>
      </c>
      <c r="AX408" s="450">
        <v>88.57</v>
      </c>
      <c r="AY408" s="450">
        <v>88.72</v>
      </c>
      <c r="AZ408" s="450">
        <v>88.85</v>
      </c>
      <c r="BA408" s="450">
        <v>89.39</v>
      </c>
      <c r="BB408" s="450">
        <v>89.73</v>
      </c>
      <c r="BC408" s="450">
        <v>89.9</v>
      </c>
      <c r="BD408" s="450">
        <v>89.96</v>
      </c>
      <c r="BE408" s="450">
        <v>89.94</v>
      </c>
    </row>
    <row r="409" spans="2:57" x14ac:dyDescent="0.25">
      <c r="B409" s="134">
        <v>62</v>
      </c>
      <c r="C409" s="451">
        <v>85.48</v>
      </c>
      <c r="D409" s="451">
        <v>85.68</v>
      </c>
      <c r="E409" s="451">
        <v>85.87</v>
      </c>
      <c r="F409" s="451">
        <v>86.06</v>
      </c>
      <c r="G409" s="451">
        <v>86.24</v>
      </c>
      <c r="H409" s="451">
        <v>86.42</v>
      </c>
      <c r="I409" s="451">
        <v>86.59</v>
      </c>
      <c r="J409" s="451">
        <v>86.75</v>
      </c>
      <c r="K409" s="451">
        <v>86.91</v>
      </c>
      <c r="L409" s="451">
        <v>87.06</v>
      </c>
      <c r="M409" s="451">
        <v>87.19</v>
      </c>
      <c r="N409" s="451">
        <v>87.31</v>
      </c>
      <c r="O409" s="451">
        <v>87.81</v>
      </c>
      <c r="P409" s="451">
        <v>88.12</v>
      </c>
      <c r="Q409" s="451">
        <v>88.27</v>
      </c>
      <c r="R409" s="451">
        <v>88.31</v>
      </c>
      <c r="S409" s="451">
        <v>88.29</v>
      </c>
      <c r="T409" s="133"/>
      <c r="U409" s="134">
        <v>62</v>
      </c>
      <c r="V409" s="450">
        <v>86.28</v>
      </c>
      <c r="W409" s="450">
        <v>86.49</v>
      </c>
      <c r="X409" s="450">
        <v>86.69</v>
      </c>
      <c r="Y409" s="450">
        <v>86.88</v>
      </c>
      <c r="Z409" s="450">
        <v>87.08</v>
      </c>
      <c r="AA409" s="450">
        <v>87.26</v>
      </c>
      <c r="AB409" s="450">
        <v>87.44</v>
      </c>
      <c r="AC409" s="450">
        <v>87.61</v>
      </c>
      <c r="AD409" s="450">
        <v>87.77</v>
      </c>
      <c r="AE409" s="450">
        <v>87.93</v>
      </c>
      <c r="AF409" s="450">
        <v>88.07</v>
      </c>
      <c r="AG409" s="450">
        <v>88.2</v>
      </c>
      <c r="AH409" s="450">
        <v>88.72</v>
      </c>
      <c r="AI409" s="450">
        <v>89.05</v>
      </c>
      <c r="AJ409" s="450">
        <v>89.22</v>
      </c>
      <c r="AK409" s="450">
        <v>89.27</v>
      </c>
      <c r="AL409" s="450">
        <v>89.26</v>
      </c>
      <c r="AM409" s="133"/>
      <c r="AN409" s="134">
        <v>62</v>
      </c>
      <c r="AO409" s="450">
        <v>87.34</v>
      </c>
      <c r="AP409" s="450">
        <v>87.55</v>
      </c>
      <c r="AQ409" s="450">
        <v>87.76</v>
      </c>
      <c r="AR409" s="450">
        <v>87.97</v>
      </c>
      <c r="AS409" s="450">
        <v>88.17</v>
      </c>
      <c r="AT409" s="450">
        <v>88.36</v>
      </c>
      <c r="AU409" s="450">
        <v>88.54</v>
      </c>
      <c r="AV409" s="450">
        <v>88.72</v>
      </c>
      <c r="AW409" s="450">
        <v>88.89</v>
      </c>
      <c r="AX409" s="450">
        <v>89.05</v>
      </c>
      <c r="AY409" s="450">
        <v>89.2</v>
      </c>
      <c r="AZ409" s="450">
        <v>89.33</v>
      </c>
      <c r="BA409" s="450">
        <v>89.88</v>
      </c>
      <c r="BB409" s="450">
        <v>90.22</v>
      </c>
      <c r="BC409" s="450">
        <v>90.38</v>
      </c>
      <c r="BD409" s="450">
        <v>90.42</v>
      </c>
      <c r="BE409" s="450">
        <v>90.39</v>
      </c>
    </row>
    <row r="410" spans="2:57" x14ac:dyDescent="0.25">
      <c r="B410" s="134">
        <v>63</v>
      </c>
      <c r="C410" s="451">
        <v>85.89</v>
      </c>
      <c r="D410" s="451">
        <v>86.1</v>
      </c>
      <c r="E410" s="451">
        <v>86.3</v>
      </c>
      <c r="F410" s="451">
        <v>86.49</v>
      </c>
      <c r="G410" s="451">
        <v>86.68</v>
      </c>
      <c r="H410" s="451">
        <v>86.87</v>
      </c>
      <c r="I410" s="451">
        <v>87.04</v>
      </c>
      <c r="J410" s="451">
        <v>87.21</v>
      </c>
      <c r="K410" s="451">
        <v>87.37</v>
      </c>
      <c r="L410" s="451">
        <v>87.51</v>
      </c>
      <c r="M410" s="451">
        <v>87.65</v>
      </c>
      <c r="N410" s="451">
        <v>87.77</v>
      </c>
      <c r="O410" s="451">
        <v>88.27</v>
      </c>
      <c r="P410" s="451">
        <v>88.57</v>
      </c>
      <c r="Q410" s="451">
        <v>88.71</v>
      </c>
      <c r="R410" s="451">
        <v>88.73</v>
      </c>
      <c r="S410" s="451">
        <v>88.7</v>
      </c>
      <c r="T410" s="133"/>
      <c r="U410" s="134">
        <v>63</v>
      </c>
      <c r="V410" s="450">
        <v>86.71</v>
      </c>
      <c r="W410" s="450">
        <v>86.92</v>
      </c>
      <c r="X410" s="450">
        <v>87.13</v>
      </c>
      <c r="Y410" s="450">
        <v>87.34</v>
      </c>
      <c r="Z410" s="450">
        <v>87.53</v>
      </c>
      <c r="AA410" s="450">
        <v>87.73</v>
      </c>
      <c r="AB410" s="450">
        <v>87.91</v>
      </c>
      <c r="AC410" s="450">
        <v>88.08</v>
      </c>
      <c r="AD410" s="450">
        <v>88.25</v>
      </c>
      <c r="AE410" s="450">
        <v>88.4</v>
      </c>
      <c r="AF410" s="450">
        <v>88.54</v>
      </c>
      <c r="AG410" s="450">
        <v>88.68</v>
      </c>
      <c r="AH410" s="450">
        <v>89.21</v>
      </c>
      <c r="AI410" s="450">
        <v>89.53</v>
      </c>
      <c r="AJ410" s="450">
        <v>89.68</v>
      </c>
      <c r="AK410" s="450">
        <v>89.72</v>
      </c>
      <c r="AL410" s="450">
        <v>89.7</v>
      </c>
      <c r="AM410" s="133"/>
      <c r="AN410" s="134">
        <v>63</v>
      </c>
      <c r="AO410" s="450">
        <v>87.78</v>
      </c>
      <c r="AP410" s="450">
        <v>88.01</v>
      </c>
      <c r="AQ410" s="450">
        <v>88.22</v>
      </c>
      <c r="AR410" s="450">
        <v>88.44</v>
      </c>
      <c r="AS410" s="450">
        <v>88.64</v>
      </c>
      <c r="AT410" s="450">
        <v>88.84</v>
      </c>
      <c r="AU410" s="450">
        <v>89.03</v>
      </c>
      <c r="AV410" s="450">
        <v>89.22</v>
      </c>
      <c r="AW410" s="450">
        <v>89.39</v>
      </c>
      <c r="AX410" s="450">
        <v>89.55</v>
      </c>
      <c r="AY410" s="450">
        <v>89.69</v>
      </c>
      <c r="AZ410" s="450">
        <v>89.83</v>
      </c>
      <c r="BA410" s="450">
        <v>90.39</v>
      </c>
      <c r="BB410" s="450">
        <v>90.71</v>
      </c>
      <c r="BC410" s="450">
        <v>90.86</v>
      </c>
      <c r="BD410" s="450">
        <v>90.89</v>
      </c>
      <c r="BE410" s="450">
        <v>90.85</v>
      </c>
    </row>
    <row r="411" spans="2:57" x14ac:dyDescent="0.25">
      <c r="B411" s="134">
        <v>64</v>
      </c>
      <c r="C411" s="451">
        <v>86.32</v>
      </c>
      <c r="D411" s="451">
        <v>86.53</v>
      </c>
      <c r="E411" s="451">
        <v>86.74</v>
      </c>
      <c r="F411" s="451">
        <v>86.94</v>
      </c>
      <c r="G411" s="451">
        <v>87.14</v>
      </c>
      <c r="H411" s="451">
        <v>87.33</v>
      </c>
      <c r="I411" s="451">
        <v>87.51</v>
      </c>
      <c r="J411" s="451">
        <v>87.68</v>
      </c>
      <c r="K411" s="451">
        <v>87.83</v>
      </c>
      <c r="L411" s="451">
        <v>87.98</v>
      </c>
      <c r="M411" s="451">
        <v>88.11</v>
      </c>
      <c r="N411" s="451">
        <v>88.24</v>
      </c>
      <c r="O411" s="451">
        <v>88.74</v>
      </c>
      <c r="P411" s="451">
        <v>89.02</v>
      </c>
      <c r="Q411" s="451">
        <v>89.14</v>
      </c>
      <c r="R411" s="451">
        <v>89.15</v>
      </c>
      <c r="S411" s="451">
        <v>89.1</v>
      </c>
      <c r="T411" s="133"/>
      <c r="U411" s="134">
        <v>64</v>
      </c>
      <c r="V411" s="450">
        <v>87.15</v>
      </c>
      <c r="W411" s="450">
        <v>87.38</v>
      </c>
      <c r="X411" s="450">
        <v>87.59</v>
      </c>
      <c r="Y411" s="450">
        <v>87.81</v>
      </c>
      <c r="Z411" s="450">
        <v>88.01</v>
      </c>
      <c r="AA411" s="450">
        <v>88.21</v>
      </c>
      <c r="AB411" s="450">
        <v>88.4</v>
      </c>
      <c r="AC411" s="450">
        <v>88.58</v>
      </c>
      <c r="AD411" s="450">
        <v>88.74</v>
      </c>
      <c r="AE411" s="450">
        <v>88.89</v>
      </c>
      <c r="AF411" s="450">
        <v>89.04</v>
      </c>
      <c r="AG411" s="450">
        <v>89.17</v>
      </c>
      <c r="AH411" s="450">
        <v>89.7</v>
      </c>
      <c r="AI411" s="450">
        <v>90.01</v>
      </c>
      <c r="AJ411" s="450">
        <v>90.14</v>
      </c>
      <c r="AK411" s="450">
        <v>90.16</v>
      </c>
      <c r="AL411" s="450">
        <v>90.12</v>
      </c>
      <c r="AM411" s="133"/>
      <c r="AN411" s="134">
        <v>64</v>
      </c>
      <c r="AO411" s="450">
        <v>88.25</v>
      </c>
      <c r="AP411" s="450">
        <v>88.48</v>
      </c>
      <c r="AQ411" s="450">
        <v>88.7</v>
      </c>
      <c r="AR411" s="450">
        <v>88.92</v>
      </c>
      <c r="AS411" s="450">
        <v>89.14</v>
      </c>
      <c r="AT411" s="450">
        <v>89.34</v>
      </c>
      <c r="AU411" s="450">
        <v>89.54</v>
      </c>
      <c r="AV411" s="450">
        <v>89.73</v>
      </c>
      <c r="AW411" s="450">
        <v>89.9</v>
      </c>
      <c r="AX411" s="450">
        <v>90.06</v>
      </c>
      <c r="AY411" s="450">
        <v>90.21</v>
      </c>
      <c r="AZ411" s="450">
        <v>90.35</v>
      </c>
      <c r="BA411" s="450">
        <v>90.9</v>
      </c>
      <c r="BB411" s="450">
        <v>91.21</v>
      </c>
      <c r="BC411" s="450">
        <v>91.34</v>
      </c>
      <c r="BD411" s="450">
        <v>91.34</v>
      </c>
      <c r="BE411" s="450">
        <v>91.29</v>
      </c>
    </row>
    <row r="412" spans="2:57" x14ac:dyDescent="0.25">
      <c r="B412" s="134">
        <v>65</v>
      </c>
      <c r="C412" s="451">
        <v>86.76</v>
      </c>
      <c r="D412" s="451">
        <v>86.98</v>
      </c>
      <c r="E412" s="451">
        <v>87.2</v>
      </c>
      <c r="F412" s="451">
        <v>87.41</v>
      </c>
      <c r="G412" s="451">
        <v>87.61</v>
      </c>
      <c r="H412" s="451">
        <v>87.8</v>
      </c>
      <c r="I412" s="451">
        <v>87.99</v>
      </c>
      <c r="J412" s="451">
        <v>88.15</v>
      </c>
      <c r="K412" s="451">
        <v>88.31</v>
      </c>
      <c r="L412" s="451">
        <v>88.46</v>
      </c>
      <c r="M412" s="451">
        <v>88.59</v>
      </c>
      <c r="N412" s="451">
        <v>88.72</v>
      </c>
      <c r="O412" s="451">
        <v>89.21</v>
      </c>
      <c r="P412" s="451">
        <v>89.47</v>
      </c>
      <c r="Q412" s="451">
        <v>89.56</v>
      </c>
      <c r="R412" s="451">
        <v>89.54</v>
      </c>
      <c r="S412" s="451" t="s">
        <v>556</v>
      </c>
      <c r="T412" s="133"/>
      <c r="U412" s="134">
        <v>65</v>
      </c>
      <c r="V412" s="450">
        <v>87.62</v>
      </c>
      <c r="W412" s="450">
        <v>87.85</v>
      </c>
      <c r="X412" s="450">
        <v>88.07</v>
      </c>
      <c r="Y412" s="450">
        <v>88.29</v>
      </c>
      <c r="Z412" s="450">
        <v>88.5</v>
      </c>
      <c r="AA412" s="450">
        <v>88.7</v>
      </c>
      <c r="AB412" s="450">
        <v>88.9</v>
      </c>
      <c r="AC412" s="450">
        <v>89.07</v>
      </c>
      <c r="AD412" s="450">
        <v>89.24</v>
      </c>
      <c r="AE412" s="450">
        <v>89.39</v>
      </c>
      <c r="AF412" s="450">
        <v>89.54</v>
      </c>
      <c r="AG412" s="450">
        <v>89.67</v>
      </c>
      <c r="AH412" s="450">
        <v>90.2</v>
      </c>
      <c r="AI412" s="450">
        <v>90.48</v>
      </c>
      <c r="AJ412" s="450">
        <v>90.59</v>
      </c>
      <c r="AK412" s="450">
        <v>90.59</v>
      </c>
      <c r="AL412" s="450" t="s">
        <v>556</v>
      </c>
      <c r="AM412" s="133"/>
      <c r="AN412" s="134">
        <v>65</v>
      </c>
      <c r="AO412" s="450">
        <v>88.73</v>
      </c>
      <c r="AP412" s="450">
        <v>88.97</v>
      </c>
      <c r="AQ412" s="450">
        <v>89.2</v>
      </c>
      <c r="AR412" s="450">
        <v>89.43</v>
      </c>
      <c r="AS412" s="450">
        <v>89.65</v>
      </c>
      <c r="AT412" s="450">
        <v>89.86</v>
      </c>
      <c r="AU412" s="450">
        <v>90.06</v>
      </c>
      <c r="AV412" s="450">
        <v>90.24</v>
      </c>
      <c r="AW412" s="450">
        <v>90.42</v>
      </c>
      <c r="AX412" s="450">
        <v>90.58</v>
      </c>
      <c r="AY412" s="450">
        <v>90.73</v>
      </c>
      <c r="AZ412" s="450">
        <v>90.87</v>
      </c>
      <c r="BA412" s="450">
        <v>91.41</v>
      </c>
      <c r="BB412" s="450">
        <v>91.7</v>
      </c>
      <c r="BC412" s="450">
        <v>91.8</v>
      </c>
      <c r="BD412" s="450">
        <v>91.78</v>
      </c>
      <c r="BE412" s="450" t="s">
        <v>556</v>
      </c>
    </row>
    <row r="413" spans="2:57" x14ac:dyDescent="0.25">
      <c r="B413" s="134">
        <v>66</v>
      </c>
      <c r="C413" s="451">
        <v>87.22</v>
      </c>
      <c r="D413" s="451">
        <v>87.45</v>
      </c>
      <c r="E413" s="451">
        <v>87.67</v>
      </c>
      <c r="F413" s="451">
        <v>87.89</v>
      </c>
      <c r="G413" s="451">
        <v>88.09</v>
      </c>
      <c r="H413" s="451">
        <v>88.29</v>
      </c>
      <c r="I413" s="451">
        <v>88.47</v>
      </c>
      <c r="J413" s="451">
        <v>88.63</v>
      </c>
      <c r="K413" s="451">
        <v>88.79</v>
      </c>
      <c r="L413" s="451">
        <v>88.94</v>
      </c>
      <c r="M413" s="451">
        <v>89.08</v>
      </c>
      <c r="N413" s="451">
        <v>89.2</v>
      </c>
      <c r="O413" s="451">
        <v>89.67</v>
      </c>
      <c r="P413" s="451">
        <v>89.9</v>
      </c>
      <c r="Q413" s="451">
        <v>89.96</v>
      </c>
      <c r="R413" s="451">
        <v>89.92</v>
      </c>
      <c r="S413" s="451" t="s">
        <v>556</v>
      </c>
      <c r="T413" s="133"/>
      <c r="U413" s="134">
        <v>66</v>
      </c>
      <c r="V413" s="450">
        <v>88.1</v>
      </c>
      <c r="W413" s="450">
        <v>88.34</v>
      </c>
      <c r="X413" s="450">
        <v>88.57</v>
      </c>
      <c r="Y413" s="450">
        <v>88.79</v>
      </c>
      <c r="Z413" s="450">
        <v>89.01</v>
      </c>
      <c r="AA413" s="450">
        <v>89.21</v>
      </c>
      <c r="AB413" s="450">
        <v>89.4</v>
      </c>
      <c r="AC413" s="450">
        <v>89.58</v>
      </c>
      <c r="AD413" s="450">
        <v>89.75</v>
      </c>
      <c r="AE413" s="450">
        <v>89.9</v>
      </c>
      <c r="AF413" s="450">
        <v>90.05</v>
      </c>
      <c r="AG413" s="450">
        <v>90.18</v>
      </c>
      <c r="AH413" s="450">
        <v>90.69</v>
      </c>
      <c r="AI413" s="450">
        <v>90.95</v>
      </c>
      <c r="AJ413" s="450">
        <v>91.02</v>
      </c>
      <c r="AK413" s="450">
        <v>90.99</v>
      </c>
      <c r="AL413" s="450" t="s">
        <v>556</v>
      </c>
      <c r="AM413" s="133"/>
      <c r="AN413" s="134">
        <v>66</v>
      </c>
      <c r="AO413" s="450">
        <v>89.23</v>
      </c>
      <c r="AP413" s="450">
        <v>89.48</v>
      </c>
      <c r="AQ413" s="450">
        <v>89.72</v>
      </c>
      <c r="AR413" s="450">
        <v>89.95</v>
      </c>
      <c r="AS413" s="450">
        <v>90.18</v>
      </c>
      <c r="AT413" s="450">
        <v>90.39</v>
      </c>
      <c r="AU413" s="450">
        <v>90.59</v>
      </c>
      <c r="AV413" s="450">
        <v>90.77</v>
      </c>
      <c r="AW413" s="450">
        <v>90.95</v>
      </c>
      <c r="AX413" s="450">
        <v>91.11</v>
      </c>
      <c r="AY413" s="450">
        <v>91.26</v>
      </c>
      <c r="AZ413" s="450">
        <v>91.4</v>
      </c>
      <c r="BA413" s="450">
        <v>91.93</v>
      </c>
      <c r="BB413" s="450">
        <v>92.18</v>
      </c>
      <c r="BC413" s="450">
        <v>92.25</v>
      </c>
      <c r="BD413" s="450">
        <v>92.2</v>
      </c>
      <c r="BE413" s="450" t="s">
        <v>556</v>
      </c>
    </row>
    <row r="414" spans="2:57" x14ac:dyDescent="0.25">
      <c r="B414" s="134">
        <v>67</v>
      </c>
      <c r="C414" s="451">
        <v>87.7</v>
      </c>
      <c r="D414" s="451">
        <v>87.93</v>
      </c>
      <c r="E414" s="451">
        <v>88.16</v>
      </c>
      <c r="F414" s="451">
        <v>88.38</v>
      </c>
      <c r="G414" s="451">
        <v>88.58</v>
      </c>
      <c r="H414" s="451">
        <v>88.77</v>
      </c>
      <c r="I414" s="451">
        <v>88.95</v>
      </c>
      <c r="J414" s="451">
        <v>89.12</v>
      </c>
      <c r="K414" s="451">
        <v>89.28</v>
      </c>
      <c r="L414" s="451">
        <v>89.43</v>
      </c>
      <c r="M414" s="451">
        <v>89.56</v>
      </c>
      <c r="N414" s="451">
        <v>89.68</v>
      </c>
      <c r="O414" s="451">
        <v>90.12</v>
      </c>
      <c r="P414" s="451">
        <v>90.32</v>
      </c>
      <c r="Q414" s="451">
        <v>90.34</v>
      </c>
      <c r="R414" s="451">
        <v>90.27</v>
      </c>
      <c r="S414" s="451" t="s">
        <v>556</v>
      </c>
      <c r="T414" s="133"/>
      <c r="U414" s="134">
        <v>67</v>
      </c>
      <c r="V414" s="450">
        <v>88.59</v>
      </c>
      <c r="W414" s="450">
        <v>88.84</v>
      </c>
      <c r="X414" s="450">
        <v>89.08</v>
      </c>
      <c r="Y414" s="450">
        <v>89.31</v>
      </c>
      <c r="Z414" s="450">
        <v>89.52</v>
      </c>
      <c r="AA414" s="450">
        <v>89.73</v>
      </c>
      <c r="AB414" s="450">
        <v>89.91</v>
      </c>
      <c r="AC414" s="450">
        <v>90.09</v>
      </c>
      <c r="AD414" s="450">
        <v>90.26</v>
      </c>
      <c r="AE414" s="450">
        <v>90.42</v>
      </c>
      <c r="AF414" s="450">
        <v>90.56</v>
      </c>
      <c r="AG414" s="450">
        <v>90.69</v>
      </c>
      <c r="AH414" s="450">
        <v>91.17</v>
      </c>
      <c r="AI414" s="450">
        <v>91.39</v>
      </c>
      <c r="AJ414" s="450">
        <v>91.43</v>
      </c>
      <c r="AK414" s="450">
        <v>91.38</v>
      </c>
      <c r="AL414" s="450" t="s">
        <v>556</v>
      </c>
      <c r="AM414" s="133"/>
      <c r="AN414" s="134">
        <v>67</v>
      </c>
      <c r="AO414" s="450">
        <v>89.75</v>
      </c>
      <c r="AP414" s="450">
        <v>90</v>
      </c>
      <c r="AQ414" s="450">
        <v>90.25</v>
      </c>
      <c r="AR414" s="450">
        <v>90.49</v>
      </c>
      <c r="AS414" s="450">
        <v>90.72</v>
      </c>
      <c r="AT414" s="450">
        <v>90.93</v>
      </c>
      <c r="AU414" s="450">
        <v>91.12</v>
      </c>
      <c r="AV414" s="450">
        <v>91.31</v>
      </c>
      <c r="AW414" s="450">
        <v>91.48</v>
      </c>
      <c r="AX414" s="450">
        <v>91.65</v>
      </c>
      <c r="AY414" s="450">
        <v>91.8</v>
      </c>
      <c r="AZ414" s="450">
        <v>91.93</v>
      </c>
      <c r="BA414" s="450">
        <v>92.43</v>
      </c>
      <c r="BB414" s="450">
        <v>92.65</v>
      </c>
      <c r="BC414" s="450">
        <v>92.67</v>
      </c>
      <c r="BD414" s="450">
        <v>92.59</v>
      </c>
      <c r="BE414" s="450" t="s">
        <v>556</v>
      </c>
    </row>
    <row r="415" spans="2:57" x14ac:dyDescent="0.25">
      <c r="B415" s="134">
        <v>68</v>
      </c>
      <c r="C415" s="451">
        <v>88.19</v>
      </c>
      <c r="D415" s="451">
        <v>88.42</v>
      </c>
      <c r="E415" s="451">
        <v>88.65</v>
      </c>
      <c r="F415" s="451">
        <v>88.87</v>
      </c>
      <c r="G415" s="451">
        <v>89.07</v>
      </c>
      <c r="H415" s="451">
        <v>89.26</v>
      </c>
      <c r="I415" s="451">
        <v>89.44</v>
      </c>
      <c r="J415" s="451">
        <v>89.61</v>
      </c>
      <c r="K415" s="451">
        <v>89.77</v>
      </c>
      <c r="L415" s="451">
        <v>89.91</v>
      </c>
      <c r="M415" s="451">
        <v>90.04</v>
      </c>
      <c r="N415" s="451">
        <v>90.16</v>
      </c>
      <c r="O415" s="451">
        <v>90.56</v>
      </c>
      <c r="P415" s="451">
        <v>90.71</v>
      </c>
      <c r="Q415" s="451">
        <v>90.68</v>
      </c>
      <c r="R415" s="451">
        <v>90.58</v>
      </c>
      <c r="S415" s="451" t="s">
        <v>556</v>
      </c>
      <c r="T415" s="133"/>
      <c r="U415" s="134">
        <v>68</v>
      </c>
      <c r="V415" s="450">
        <v>89.1</v>
      </c>
      <c r="W415" s="450">
        <v>89.36</v>
      </c>
      <c r="X415" s="450">
        <v>89.6</v>
      </c>
      <c r="Y415" s="450">
        <v>89.83</v>
      </c>
      <c r="Z415" s="450">
        <v>90.04</v>
      </c>
      <c r="AA415" s="450">
        <v>90.24</v>
      </c>
      <c r="AB415" s="450">
        <v>90.43</v>
      </c>
      <c r="AC415" s="450">
        <v>90.61</v>
      </c>
      <c r="AD415" s="450">
        <v>90.78</v>
      </c>
      <c r="AE415" s="450">
        <v>90.93</v>
      </c>
      <c r="AF415" s="450">
        <v>91.07</v>
      </c>
      <c r="AG415" s="450">
        <v>91.2</v>
      </c>
      <c r="AH415" s="450">
        <v>91.64</v>
      </c>
      <c r="AI415" s="450">
        <v>91.82</v>
      </c>
      <c r="AJ415" s="450">
        <v>91.81</v>
      </c>
      <c r="AK415" s="450">
        <v>91.72</v>
      </c>
      <c r="AL415" s="450" t="s">
        <v>556</v>
      </c>
      <c r="AM415" s="133"/>
      <c r="AN415" s="134">
        <v>68</v>
      </c>
      <c r="AO415" s="450">
        <v>90.28</v>
      </c>
      <c r="AP415" s="450">
        <v>90.54</v>
      </c>
      <c r="AQ415" s="450">
        <v>90.79</v>
      </c>
      <c r="AR415" s="450">
        <v>91.03</v>
      </c>
      <c r="AS415" s="450">
        <v>91.26</v>
      </c>
      <c r="AT415" s="450">
        <v>91.47</v>
      </c>
      <c r="AU415" s="450">
        <v>91.66</v>
      </c>
      <c r="AV415" s="450">
        <v>91.85</v>
      </c>
      <c r="AW415" s="450">
        <v>92.02</v>
      </c>
      <c r="AX415" s="450">
        <v>92.18</v>
      </c>
      <c r="AY415" s="450">
        <v>92.33</v>
      </c>
      <c r="AZ415" s="450">
        <v>92.46</v>
      </c>
      <c r="BA415" s="450">
        <v>92.92</v>
      </c>
      <c r="BB415" s="450">
        <v>93.09</v>
      </c>
      <c r="BC415" s="450">
        <v>93.07</v>
      </c>
      <c r="BD415" s="450">
        <v>92.95</v>
      </c>
      <c r="BE415" s="450" t="s">
        <v>556</v>
      </c>
    </row>
    <row r="416" spans="2:57" x14ac:dyDescent="0.25">
      <c r="B416" s="134">
        <v>69</v>
      </c>
      <c r="C416" s="451">
        <v>88.68</v>
      </c>
      <c r="D416" s="451">
        <v>88.92</v>
      </c>
      <c r="E416" s="451">
        <v>89.15</v>
      </c>
      <c r="F416" s="451">
        <v>89.37</v>
      </c>
      <c r="G416" s="451">
        <v>89.57</v>
      </c>
      <c r="H416" s="451">
        <v>89.76</v>
      </c>
      <c r="I416" s="451">
        <v>89.93</v>
      </c>
      <c r="J416" s="451">
        <v>90.1</v>
      </c>
      <c r="K416" s="451">
        <v>90.25</v>
      </c>
      <c r="L416" s="451">
        <v>90.38</v>
      </c>
      <c r="M416" s="451">
        <v>90.51</v>
      </c>
      <c r="N416" s="451">
        <v>90.62</v>
      </c>
      <c r="O416" s="451">
        <v>90.97</v>
      </c>
      <c r="P416" s="451">
        <v>91.06</v>
      </c>
      <c r="Q416" s="451">
        <v>90.99</v>
      </c>
      <c r="R416" s="451">
        <v>90.85</v>
      </c>
      <c r="S416" s="451" t="s">
        <v>556</v>
      </c>
      <c r="T416" s="133"/>
      <c r="U416" s="134">
        <v>69</v>
      </c>
      <c r="V416" s="450">
        <v>89.63</v>
      </c>
      <c r="W416" s="450">
        <v>89.88</v>
      </c>
      <c r="X416" s="450">
        <v>90.13</v>
      </c>
      <c r="Y416" s="450">
        <v>90.35</v>
      </c>
      <c r="Z416" s="450">
        <v>90.56</v>
      </c>
      <c r="AA416" s="450">
        <v>90.77</v>
      </c>
      <c r="AB416" s="450">
        <v>90.95</v>
      </c>
      <c r="AC416" s="450">
        <v>91.13</v>
      </c>
      <c r="AD416" s="450">
        <v>91.29</v>
      </c>
      <c r="AE416" s="450">
        <v>91.44</v>
      </c>
      <c r="AF416" s="450">
        <v>91.57</v>
      </c>
      <c r="AG416" s="450">
        <v>91.69</v>
      </c>
      <c r="AH416" s="450">
        <v>92.09</v>
      </c>
      <c r="AI416" s="450">
        <v>92.21</v>
      </c>
      <c r="AJ416" s="450">
        <v>92.16</v>
      </c>
      <c r="AK416" s="450">
        <v>92.03</v>
      </c>
      <c r="AL416" s="450" t="s">
        <v>556</v>
      </c>
      <c r="AM416" s="133"/>
      <c r="AN416" s="134">
        <v>69</v>
      </c>
      <c r="AO416" s="450">
        <v>90.82</v>
      </c>
      <c r="AP416" s="450">
        <v>91.09</v>
      </c>
      <c r="AQ416" s="450">
        <v>91.34</v>
      </c>
      <c r="AR416" s="450">
        <v>91.58</v>
      </c>
      <c r="AS416" s="450">
        <v>91.8</v>
      </c>
      <c r="AT416" s="450">
        <v>92.01</v>
      </c>
      <c r="AU416" s="450">
        <v>92.21</v>
      </c>
      <c r="AV416" s="450">
        <v>92.39</v>
      </c>
      <c r="AW416" s="450">
        <v>92.56</v>
      </c>
      <c r="AX416" s="450">
        <v>92.71</v>
      </c>
      <c r="AY416" s="450">
        <v>92.85</v>
      </c>
      <c r="AZ416" s="450">
        <v>92.98</v>
      </c>
      <c r="BA416" s="450">
        <v>93.38</v>
      </c>
      <c r="BB416" s="450">
        <v>93.5</v>
      </c>
      <c r="BC416" s="450">
        <v>93.43</v>
      </c>
      <c r="BD416" s="450">
        <v>93.28</v>
      </c>
      <c r="BE416" s="450" t="s">
        <v>556</v>
      </c>
    </row>
    <row r="417" spans="2:57" x14ac:dyDescent="0.25">
      <c r="B417" s="134">
        <v>70</v>
      </c>
      <c r="C417" s="451">
        <v>89.18</v>
      </c>
      <c r="D417" s="451">
        <v>89.43</v>
      </c>
      <c r="E417" s="451">
        <v>89.65</v>
      </c>
      <c r="F417" s="451">
        <v>89.86</v>
      </c>
      <c r="G417" s="451">
        <v>90.06</v>
      </c>
      <c r="H417" s="451">
        <v>90.25</v>
      </c>
      <c r="I417" s="451">
        <v>90.42</v>
      </c>
      <c r="J417" s="451">
        <v>90.57</v>
      </c>
      <c r="K417" s="451">
        <v>90.72</v>
      </c>
      <c r="L417" s="451">
        <v>90.85</v>
      </c>
      <c r="M417" s="451">
        <v>90.96</v>
      </c>
      <c r="N417" s="451">
        <v>91.06</v>
      </c>
      <c r="O417" s="451">
        <v>91.35</v>
      </c>
      <c r="P417" s="451">
        <v>91.38</v>
      </c>
      <c r="Q417" s="451">
        <v>91.25</v>
      </c>
      <c r="R417" s="451" t="s">
        <v>556</v>
      </c>
      <c r="S417" s="451" t="s">
        <v>556</v>
      </c>
      <c r="T417" s="133"/>
      <c r="U417" s="134">
        <v>70</v>
      </c>
      <c r="V417" s="450">
        <v>90.16</v>
      </c>
      <c r="W417" s="450">
        <v>90.41</v>
      </c>
      <c r="X417" s="450">
        <v>90.65</v>
      </c>
      <c r="Y417" s="450">
        <v>90.87</v>
      </c>
      <c r="Z417" s="450">
        <v>91.09</v>
      </c>
      <c r="AA417" s="450">
        <v>91.28</v>
      </c>
      <c r="AB417" s="450">
        <v>91.47</v>
      </c>
      <c r="AC417" s="450">
        <v>91.64</v>
      </c>
      <c r="AD417" s="450">
        <v>91.79</v>
      </c>
      <c r="AE417" s="450">
        <v>91.93</v>
      </c>
      <c r="AF417" s="450">
        <v>92.06</v>
      </c>
      <c r="AG417" s="450">
        <v>92.17</v>
      </c>
      <c r="AH417" s="450">
        <v>92.5</v>
      </c>
      <c r="AI417" s="450">
        <v>92.56</v>
      </c>
      <c r="AJ417" s="450">
        <v>92.46</v>
      </c>
      <c r="AK417" s="450" t="s">
        <v>556</v>
      </c>
      <c r="AL417" s="450" t="s">
        <v>556</v>
      </c>
      <c r="AM417" s="133"/>
      <c r="AN417" s="134">
        <v>70</v>
      </c>
      <c r="AO417" s="450">
        <v>91.37</v>
      </c>
      <c r="AP417" s="450">
        <v>91.64</v>
      </c>
      <c r="AQ417" s="450">
        <v>91.89</v>
      </c>
      <c r="AR417" s="450">
        <v>92.12</v>
      </c>
      <c r="AS417" s="450">
        <v>92.34</v>
      </c>
      <c r="AT417" s="450">
        <v>92.55</v>
      </c>
      <c r="AU417" s="450">
        <v>92.75</v>
      </c>
      <c r="AV417" s="450">
        <v>92.92</v>
      </c>
      <c r="AW417" s="450">
        <v>93.08</v>
      </c>
      <c r="AX417" s="450">
        <v>93.23</v>
      </c>
      <c r="AY417" s="450">
        <v>93.36</v>
      </c>
      <c r="AZ417" s="450">
        <v>93.47</v>
      </c>
      <c r="BA417" s="450">
        <v>93.82</v>
      </c>
      <c r="BB417" s="450">
        <v>93.87</v>
      </c>
      <c r="BC417" s="450">
        <v>93.74</v>
      </c>
      <c r="BD417" s="450" t="s">
        <v>556</v>
      </c>
      <c r="BE417" s="450" t="s">
        <v>556</v>
      </c>
    </row>
    <row r="418" spans="2:57" x14ac:dyDescent="0.25">
      <c r="B418" s="134">
        <v>71</v>
      </c>
      <c r="C418" s="451">
        <v>89.69</v>
      </c>
      <c r="D418" s="451">
        <v>89.92</v>
      </c>
      <c r="E418" s="451">
        <v>90.14</v>
      </c>
      <c r="F418" s="451">
        <v>90.35</v>
      </c>
      <c r="G418" s="451">
        <v>90.54</v>
      </c>
      <c r="H418" s="451">
        <v>90.72</v>
      </c>
      <c r="I418" s="451">
        <v>90.89</v>
      </c>
      <c r="J418" s="451">
        <v>91.04</v>
      </c>
      <c r="K418" s="451">
        <v>91.17</v>
      </c>
      <c r="L418" s="451">
        <v>91.29</v>
      </c>
      <c r="M418" s="451">
        <v>91.39</v>
      </c>
      <c r="N418" s="451">
        <v>91.47</v>
      </c>
      <c r="O418" s="451">
        <v>91.69</v>
      </c>
      <c r="P418" s="451">
        <v>91.65</v>
      </c>
      <c r="Q418" s="451">
        <v>91.46</v>
      </c>
      <c r="R418" s="451" t="s">
        <v>556</v>
      </c>
      <c r="S418" s="451" t="s">
        <v>556</v>
      </c>
      <c r="T418" s="133"/>
      <c r="U418" s="134">
        <v>71</v>
      </c>
      <c r="V418" s="450">
        <v>90.69</v>
      </c>
      <c r="W418" s="450">
        <v>90.94</v>
      </c>
      <c r="X418" s="450">
        <v>91.17</v>
      </c>
      <c r="Y418" s="450">
        <v>91.39</v>
      </c>
      <c r="Z418" s="450">
        <v>91.6</v>
      </c>
      <c r="AA418" s="450">
        <v>91.8</v>
      </c>
      <c r="AB418" s="450">
        <v>91.97</v>
      </c>
      <c r="AC418" s="450">
        <v>92.13</v>
      </c>
      <c r="AD418" s="450">
        <v>92.28</v>
      </c>
      <c r="AE418" s="450">
        <v>92.41</v>
      </c>
      <c r="AF418" s="450">
        <v>92.52</v>
      </c>
      <c r="AG418" s="450">
        <v>92.62</v>
      </c>
      <c r="AH418" s="450">
        <v>92.88</v>
      </c>
      <c r="AI418" s="450">
        <v>92.87</v>
      </c>
      <c r="AJ418" s="450">
        <v>92.71</v>
      </c>
      <c r="AK418" s="450" t="s">
        <v>556</v>
      </c>
      <c r="AL418" s="450" t="s">
        <v>556</v>
      </c>
      <c r="AM418" s="133"/>
      <c r="AN418" s="134">
        <v>71</v>
      </c>
      <c r="AO418" s="450">
        <v>91.93</v>
      </c>
      <c r="AP418" s="450">
        <v>92.19</v>
      </c>
      <c r="AQ418" s="450">
        <v>92.43</v>
      </c>
      <c r="AR418" s="450">
        <v>92.67</v>
      </c>
      <c r="AS418" s="450">
        <v>92.88</v>
      </c>
      <c r="AT418" s="450">
        <v>93.09</v>
      </c>
      <c r="AU418" s="450">
        <v>93.27</v>
      </c>
      <c r="AV418" s="450">
        <v>93.44</v>
      </c>
      <c r="AW418" s="450">
        <v>93.59</v>
      </c>
      <c r="AX418" s="450">
        <v>93.73</v>
      </c>
      <c r="AY418" s="450">
        <v>93.84</v>
      </c>
      <c r="AZ418" s="450">
        <v>93.94</v>
      </c>
      <c r="BA418" s="450">
        <v>94.21</v>
      </c>
      <c r="BB418" s="450">
        <v>94.19</v>
      </c>
      <c r="BC418" s="450">
        <v>94</v>
      </c>
      <c r="BD418" s="450" t="s">
        <v>556</v>
      </c>
      <c r="BE418" s="450" t="s">
        <v>556</v>
      </c>
    </row>
    <row r="419" spans="2:57" x14ac:dyDescent="0.25">
      <c r="B419" s="134">
        <v>72</v>
      </c>
      <c r="C419" s="451">
        <v>90.17</v>
      </c>
      <c r="D419" s="451">
        <v>90.4</v>
      </c>
      <c r="E419" s="451">
        <v>90.62</v>
      </c>
      <c r="F419" s="451">
        <v>90.82</v>
      </c>
      <c r="G419" s="451">
        <v>91</v>
      </c>
      <c r="H419" s="451">
        <v>91.17</v>
      </c>
      <c r="I419" s="451">
        <v>91.33</v>
      </c>
      <c r="J419" s="451">
        <v>91.46</v>
      </c>
      <c r="K419" s="451">
        <v>91.58</v>
      </c>
      <c r="L419" s="451">
        <v>91.69</v>
      </c>
      <c r="M419" s="451">
        <v>91.77</v>
      </c>
      <c r="N419" s="451">
        <v>91.84</v>
      </c>
      <c r="O419" s="451">
        <v>91.98</v>
      </c>
      <c r="P419" s="451">
        <v>91.85</v>
      </c>
      <c r="Q419" s="451">
        <v>91.6</v>
      </c>
      <c r="R419" s="451" t="s">
        <v>556</v>
      </c>
      <c r="S419" s="451" t="s">
        <v>556</v>
      </c>
      <c r="T419" s="133"/>
      <c r="U419" s="134">
        <v>72</v>
      </c>
      <c r="V419" s="450">
        <v>91.2</v>
      </c>
      <c r="W419" s="450">
        <v>91.45</v>
      </c>
      <c r="X419" s="450">
        <v>91.68</v>
      </c>
      <c r="Y419" s="450">
        <v>91.9</v>
      </c>
      <c r="Z419" s="450">
        <v>92.1</v>
      </c>
      <c r="AA419" s="450">
        <v>92.28</v>
      </c>
      <c r="AB419" s="450">
        <v>92.45</v>
      </c>
      <c r="AC419" s="450">
        <v>92.6</v>
      </c>
      <c r="AD419" s="450">
        <v>92.73</v>
      </c>
      <c r="AE419" s="450">
        <v>92.85</v>
      </c>
      <c r="AF419" s="450">
        <v>92.94</v>
      </c>
      <c r="AG419" s="450">
        <v>93.02</v>
      </c>
      <c r="AH419" s="450">
        <v>93.2</v>
      </c>
      <c r="AI419" s="450">
        <v>93.11</v>
      </c>
      <c r="AJ419" s="450">
        <v>92.89</v>
      </c>
      <c r="AK419" s="450" t="s">
        <v>556</v>
      </c>
      <c r="AL419" s="450" t="s">
        <v>556</v>
      </c>
      <c r="AM419" s="133"/>
      <c r="AN419" s="134">
        <v>72</v>
      </c>
      <c r="AO419" s="450">
        <v>92.46</v>
      </c>
      <c r="AP419" s="450">
        <v>92.72</v>
      </c>
      <c r="AQ419" s="450">
        <v>92.96</v>
      </c>
      <c r="AR419" s="450">
        <v>93.19</v>
      </c>
      <c r="AS419" s="450">
        <v>93.4</v>
      </c>
      <c r="AT419" s="450">
        <v>93.6</v>
      </c>
      <c r="AU419" s="450">
        <v>93.77</v>
      </c>
      <c r="AV419" s="450">
        <v>93.93</v>
      </c>
      <c r="AW419" s="450">
        <v>94.07</v>
      </c>
      <c r="AX419" s="450">
        <v>94.19</v>
      </c>
      <c r="AY419" s="450">
        <v>94.29</v>
      </c>
      <c r="AZ419" s="450">
        <v>94.37</v>
      </c>
      <c r="BA419" s="450">
        <v>94.55</v>
      </c>
      <c r="BB419" s="450">
        <v>94.44</v>
      </c>
      <c r="BC419" s="450">
        <v>94.19</v>
      </c>
      <c r="BD419" s="450" t="s">
        <v>556</v>
      </c>
      <c r="BE419" s="450" t="s">
        <v>556</v>
      </c>
    </row>
    <row r="420" spans="2:57" x14ac:dyDescent="0.25">
      <c r="B420" s="134">
        <v>73</v>
      </c>
      <c r="C420" s="451">
        <v>90.65</v>
      </c>
      <c r="D420" s="451">
        <v>90.87</v>
      </c>
      <c r="E420" s="451">
        <v>91.08</v>
      </c>
      <c r="F420" s="451">
        <v>91.27</v>
      </c>
      <c r="G420" s="451">
        <v>91.44</v>
      </c>
      <c r="H420" s="451">
        <v>91.6</v>
      </c>
      <c r="I420" s="451">
        <v>91.74</v>
      </c>
      <c r="J420" s="451">
        <v>91.86</v>
      </c>
      <c r="K420" s="451">
        <v>91.96</v>
      </c>
      <c r="L420" s="451">
        <v>92.05</v>
      </c>
      <c r="M420" s="451">
        <v>92.12</v>
      </c>
      <c r="N420" s="451">
        <v>92.17</v>
      </c>
      <c r="O420" s="451">
        <v>92.2</v>
      </c>
      <c r="P420" s="451">
        <v>91.99</v>
      </c>
      <c r="Q420" s="451">
        <v>91.68</v>
      </c>
      <c r="R420" s="451" t="s">
        <v>556</v>
      </c>
      <c r="S420" s="451" t="s">
        <v>556</v>
      </c>
      <c r="T420" s="133"/>
      <c r="U420" s="134">
        <v>73</v>
      </c>
      <c r="V420" s="450">
        <v>91.71</v>
      </c>
      <c r="W420" s="450">
        <v>91.95</v>
      </c>
      <c r="X420" s="450">
        <v>92.17</v>
      </c>
      <c r="Y420" s="450">
        <v>92.38</v>
      </c>
      <c r="Z420" s="450">
        <v>92.57</v>
      </c>
      <c r="AA420" s="450">
        <v>92.75</v>
      </c>
      <c r="AB420" s="450">
        <v>92.9</v>
      </c>
      <c r="AC420" s="450">
        <v>93.03</v>
      </c>
      <c r="AD420" s="450">
        <v>93.15</v>
      </c>
      <c r="AE420" s="450">
        <v>93.25</v>
      </c>
      <c r="AF420" s="450">
        <v>93.32</v>
      </c>
      <c r="AG420" s="450">
        <v>93.39</v>
      </c>
      <c r="AH420" s="450">
        <v>93.47</v>
      </c>
      <c r="AI420" s="450">
        <v>93.29</v>
      </c>
      <c r="AJ420" s="450">
        <v>93</v>
      </c>
      <c r="AK420" s="450" t="s">
        <v>556</v>
      </c>
      <c r="AL420" s="450" t="s">
        <v>556</v>
      </c>
      <c r="AM420" s="133"/>
      <c r="AN420" s="134">
        <v>73</v>
      </c>
      <c r="AO420" s="450">
        <v>92.99</v>
      </c>
      <c r="AP420" s="450">
        <v>93.25</v>
      </c>
      <c r="AQ420" s="450">
        <v>93.48</v>
      </c>
      <c r="AR420" s="450">
        <v>93.7</v>
      </c>
      <c r="AS420" s="450">
        <v>93.9</v>
      </c>
      <c r="AT420" s="450">
        <v>94.08</v>
      </c>
      <c r="AU420" s="450">
        <v>94.24</v>
      </c>
      <c r="AV420" s="450">
        <v>94.38</v>
      </c>
      <c r="AW420" s="450">
        <v>94.51</v>
      </c>
      <c r="AX420" s="450">
        <v>94.61</v>
      </c>
      <c r="AY420" s="450">
        <v>94.69</v>
      </c>
      <c r="AZ420" s="450">
        <v>94.75</v>
      </c>
      <c r="BA420" s="450">
        <v>94.83</v>
      </c>
      <c r="BB420" s="450">
        <v>94.63</v>
      </c>
      <c r="BC420" s="450">
        <v>94.31</v>
      </c>
      <c r="BD420" s="450" t="s">
        <v>556</v>
      </c>
      <c r="BE420" s="450" t="s">
        <v>556</v>
      </c>
    </row>
    <row r="421" spans="2:57" x14ac:dyDescent="0.25">
      <c r="B421" s="134">
        <v>74</v>
      </c>
      <c r="C421" s="451">
        <v>91.11</v>
      </c>
      <c r="D421" s="451">
        <v>91.32</v>
      </c>
      <c r="E421" s="451">
        <v>91.52</v>
      </c>
      <c r="F421" s="451">
        <v>91.7</v>
      </c>
      <c r="G421" s="451">
        <v>91.86</v>
      </c>
      <c r="H421" s="451">
        <v>92</v>
      </c>
      <c r="I421" s="451">
        <v>92.12</v>
      </c>
      <c r="J421" s="451">
        <v>92.22</v>
      </c>
      <c r="K421" s="451">
        <v>92.3</v>
      </c>
      <c r="L421" s="451">
        <v>92.36</v>
      </c>
      <c r="M421" s="451">
        <v>92.41</v>
      </c>
      <c r="N421" s="451">
        <v>92.44</v>
      </c>
      <c r="O421" s="451">
        <v>92.36</v>
      </c>
      <c r="P421" s="451">
        <v>92.05</v>
      </c>
      <c r="Q421" s="451">
        <v>91.68</v>
      </c>
      <c r="R421" s="451" t="s">
        <v>556</v>
      </c>
      <c r="S421" s="451" t="s">
        <v>556</v>
      </c>
      <c r="T421" s="133"/>
      <c r="U421" s="134">
        <v>74</v>
      </c>
      <c r="V421" s="450">
        <v>92.21</v>
      </c>
      <c r="W421" s="450">
        <v>92.44</v>
      </c>
      <c r="X421" s="450">
        <v>92.65</v>
      </c>
      <c r="Y421" s="450">
        <v>92.85</v>
      </c>
      <c r="Z421" s="450">
        <v>93.02</v>
      </c>
      <c r="AA421" s="450">
        <v>93.18</v>
      </c>
      <c r="AB421" s="450">
        <v>93.31</v>
      </c>
      <c r="AC421" s="450">
        <v>93.43</v>
      </c>
      <c r="AD421" s="450">
        <v>93.53</v>
      </c>
      <c r="AE421" s="450">
        <v>93.6</v>
      </c>
      <c r="AF421" s="450">
        <v>93.66</v>
      </c>
      <c r="AG421" s="450">
        <v>93.7</v>
      </c>
      <c r="AH421" s="450">
        <v>93.67</v>
      </c>
      <c r="AI421" s="450">
        <v>93.39</v>
      </c>
      <c r="AJ421" s="450">
        <v>93.04</v>
      </c>
      <c r="AK421" s="450" t="s">
        <v>556</v>
      </c>
      <c r="AL421" s="450" t="s">
        <v>556</v>
      </c>
      <c r="AM421" s="133"/>
      <c r="AN421" s="134">
        <v>74</v>
      </c>
      <c r="AO421" s="450">
        <v>93.51</v>
      </c>
      <c r="AP421" s="450">
        <v>93.76</v>
      </c>
      <c r="AQ421" s="450">
        <v>93.98</v>
      </c>
      <c r="AR421" s="450">
        <v>94.19</v>
      </c>
      <c r="AS421" s="450">
        <v>94.37</v>
      </c>
      <c r="AT421" s="450">
        <v>94.54</v>
      </c>
      <c r="AU421" s="450">
        <v>94.68</v>
      </c>
      <c r="AV421" s="450">
        <v>94.8</v>
      </c>
      <c r="AW421" s="450">
        <v>94.9</v>
      </c>
      <c r="AX421" s="450">
        <v>94.98</v>
      </c>
      <c r="AY421" s="450">
        <v>95.04</v>
      </c>
      <c r="AZ421" s="450">
        <v>95.08</v>
      </c>
      <c r="BA421" s="450">
        <v>95.05</v>
      </c>
      <c r="BB421" s="450">
        <v>94.75</v>
      </c>
      <c r="BC421" s="450">
        <v>94.36</v>
      </c>
      <c r="BD421" s="450" t="s">
        <v>556</v>
      </c>
      <c r="BE421" s="450" t="s">
        <v>556</v>
      </c>
    </row>
    <row r="422" spans="2:57" x14ac:dyDescent="0.25">
      <c r="B422" s="134">
        <v>75</v>
      </c>
      <c r="C422" s="451">
        <v>91.55</v>
      </c>
      <c r="D422" s="451">
        <v>91.75</v>
      </c>
      <c r="E422" s="451">
        <v>91.93</v>
      </c>
      <c r="F422" s="451">
        <v>92.09</v>
      </c>
      <c r="G422" s="451">
        <v>92.23</v>
      </c>
      <c r="H422" s="451">
        <v>92.35</v>
      </c>
      <c r="I422" s="451">
        <v>92.45</v>
      </c>
      <c r="J422" s="451">
        <v>92.53</v>
      </c>
      <c r="K422" s="451">
        <v>92.58</v>
      </c>
      <c r="L422" s="451">
        <v>92.62</v>
      </c>
      <c r="M422" s="451">
        <v>92.64</v>
      </c>
      <c r="N422" s="451">
        <v>92.65</v>
      </c>
      <c r="O422" s="451">
        <v>92.45</v>
      </c>
      <c r="P422" s="451">
        <v>92.03</v>
      </c>
      <c r="Q422" s="451" t="s">
        <v>556</v>
      </c>
      <c r="R422" s="451" t="s">
        <v>556</v>
      </c>
      <c r="S422" s="451" t="s">
        <v>556</v>
      </c>
      <c r="T422" s="133"/>
      <c r="U422" s="134">
        <v>75</v>
      </c>
      <c r="V422" s="450">
        <v>92.68</v>
      </c>
      <c r="W422" s="450">
        <v>92.9</v>
      </c>
      <c r="X422" s="450">
        <v>93.1</v>
      </c>
      <c r="Y422" s="450">
        <v>93.28</v>
      </c>
      <c r="Z422" s="450">
        <v>93.44</v>
      </c>
      <c r="AA422" s="450">
        <v>93.57</v>
      </c>
      <c r="AB422" s="450">
        <v>93.68</v>
      </c>
      <c r="AC422" s="450">
        <v>93.78</v>
      </c>
      <c r="AD422" s="450">
        <v>93.85</v>
      </c>
      <c r="AE422" s="450">
        <v>93.9</v>
      </c>
      <c r="AF422" s="450">
        <v>93.93</v>
      </c>
      <c r="AG422" s="450">
        <v>93.95</v>
      </c>
      <c r="AH422" s="450">
        <v>93.8</v>
      </c>
      <c r="AI422" s="450">
        <v>93.42</v>
      </c>
      <c r="AJ422" s="450" t="s">
        <v>556</v>
      </c>
      <c r="AK422" s="450" t="s">
        <v>556</v>
      </c>
      <c r="AL422" s="450" t="s">
        <v>556</v>
      </c>
      <c r="AM422" s="133"/>
      <c r="AN422" s="134">
        <v>75</v>
      </c>
      <c r="AO422" s="450">
        <v>94.01</v>
      </c>
      <c r="AP422" s="450">
        <v>94.24</v>
      </c>
      <c r="AQ422" s="450">
        <v>94.45</v>
      </c>
      <c r="AR422" s="450">
        <v>94.64</v>
      </c>
      <c r="AS422" s="450">
        <v>94.81</v>
      </c>
      <c r="AT422" s="450">
        <v>94.95</v>
      </c>
      <c r="AU422" s="450">
        <v>95.07</v>
      </c>
      <c r="AV422" s="450">
        <v>95.17</v>
      </c>
      <c r="AW422" s="450">
        <v>95.25</v>
      </c>
      <c r="AX422" s="450">
        <v>95.3</v>
      </c>
      <c r="AY422" s="450">
        <v>95.34</v>
      </c>
      <c r="AZ422" s="450">
        <v>95.35</v>
      </c>
      <c r="BA422" s="450">
        <v>95.19</v>
      </c>
      <c r="BB422" s="450">
        <v>94.78</v>
      </c>
      <c r="BC422" s="450" t="s">
        <v>556</v>
      </c>
      <c r="BD422" s="450" t="s">
        <v>556</v>
      </c>
      <c r="BE422" s="450" t="s">
        <v>556</v>
      </c>
    </row>
    <row r="423" spans="2:57" x14ac:dyDescent="0.25">
      <c r="B423" s="134">
        <v>76</v>
      </c>
      <c r="C423" s="451">
        <v>91.96</v>
      </c>
      <c r="D423" s="451">
        <v>92.14</v>
      </c>
      <c r="E423" s="451">
        <v>92.3</v>
      </c>
      <c r="F423" s="451">
        <v>92.44</v>
      </c>
      <c r="G423" s="451">
        <v>92.56</v>
      </c>
      <c r="H423" s="451">
        <v>92.65</v>
      </c>
      <c r="I423" s="451">
        <v>92.72</v>
      </c>
      <c r="J423" s="451">
        <v>92.77</v>
      </c>
      <c r="K423" s="451">
        <v>92.8</v>
      </c>
      <c r="L423" s="451">
        <v>92.81</v>
      </c>
      <c r="M423" s="451">
        <v>92.81</v>
      </c>
      <c r="N423" s="451">
        <v>92.78</v>
      </c>
      <c r="O423" s="451">
        <v>92.45</v>
      </c>
      <c r="P423" s="451">
        <v>91.93</v>
      </c>
      <c r="Q423" s="451" t="s">
        <v>556</v>
      </c>
      <c r="R423" s="451" t="s">
        <v>556</v>
      </c>
      <c r="S423" s="451" t="s">
        <v>556</v>
      </c>
      <c r="T423" s="133"/>
      <c r="U423" s="134">
        <v>76</v>
      </c>
      <c r="V423" s="450">
        <v>93.13</v>
      </c>
      <c r="W423" s="450">
        <v>93.33</v>
      </c>
      <c r="X423" s="450">
        <v>93.51</v>
      </c>
      <c r="Y423" s="450">
        <v>93.67</v>
      </c>
      <c r="Z423" s="450">
        <v>93.8</v>
      </c>
      <c r="AA423" s="450">
        <v>93.91</v>
      </c>
      <c r="AB423" s="450">
        <v>94</v>
      </c>
      <c r="AC423" s="450">
        <v>94.07</v>
      </c>
      <c r="AD423" s="450">
        <v>94.11</v>
      </c>
      <c r="AE423" s="450">
        <v>94.13</v>
      </c>
      <c r="AF423" s="450">
        <v>94.14</v>
      </c>
      <c r="AG423" s="450">
        <v>94.12</v>
      </c>
      <c r="AH423" s="450">
        <v>93.84</v>
      </c>
      <c r="AI423" s="450">
        <v>93.35</v>
      </c>
      <c r="AJ423" s="450" t="s">
        <v>556</v>
      </c>
      <c r="AK423" s="450" t="s">
        <v>556</v>
      </c>
      <c r="AL423" s="450" t="s">
        <v>556</v>
      </c>
      <c r="AM423" s="133"/>
      <c r="AN423" s="134">
        <v>76</v>
      </c>
      <c r="AO423" s="450">
        <v>94.48</v>
      </c>
      <c r="AP423" s="450">
        <v>94.7</v>
      </c>
      <c r="AQ423" s="450">
        <v>94.89</v>
      </c>
      <c r="AR423" s="450">
        <v>95.05</v>
      </c>
      <c r="AS423" s="450">
        <v>95.2</v>
      </c>
      <c r="AT423" s="450">
        <v>95.31</v>
      </c>
      <c r="AU423" s="450">
        <v>95.41</v>
      </c>
      <c r="AV423" s="450">
        <v>95.48</v>
      </c>
      <c r="AW423" s="450">
        <v>95.53</v>
      </c>
      <c r="AX423" s="450">
        <v>95.55</v>
      </c>
      <c r="AY423" s="450">
        <v>95.56</v>
      </c>
      <c r="AZ423" s="450">
        <v>95.54</v>
      </c>
      <c r="BA423" s="450">
        <v>95.24</v>
      </c>
      <c r="BB423" s="450">
        <v>94.73</v>
      </c>
      <c r="BC423" s="450" t="s">
        <v>556</v>
      </c>
      <c r="BD423" s="450" t="s">
        <v>556</v>
      </c>
      <c r="BE423" s="450" t="s">
        <v>556</v>
      </c>
    </row>
    <row r="424" spans="2:57" x14ac:dyDescent="0.25">
      <c r="B424" s="134">
        <v>77</v>
      </c>
      <c r="C424" s="451">
        <v>92.33</v>
      </c>
      <c r="D424" s="451">
        <v>92.49</v>
      </c>
      <c r="E424" s="451">
        <v>92.63</v>
      </c>
      <c r="F424" s="451">
        <v>92.74</v>
      </c>
      <c r="G424" s="451">
        <v>92.83</v>
      </c>
      <c r="H424" s="451">
        <v>92.89</v>
      </c>
      <c r="I424" s="451">
        <v>92.93</v>
      </c>
      <c r="J424" s="451">
        <v>92.95</v>
      </c>
      <c r="K424" s="451">
        <v>92.95</v>
      </c>
      <c r="L424" s="451">
        <v>92.93</v>
      </c>
      <c r="M424" s="451">
        <v>92.89</v>
      </c>
      <c r="N424" s="451">
        <v>92.83</v>
      </c>
      <c r="O424" s="451">
        <v>92.35</v>
      </c>
      <c r="P424" s="451">
        <v>91.73</v>
      </c>
      <c r="Q424" s="451" t="s">
        <v>556</v>
      </c>
      <c r="R424" s="451" t="s">
        <v>556</v>
      </c>
      <c r="S424" s="451" t="s">
        <v>556</v>
      </c>
      <c r="T424" s="133"/>
      <c r="U424" s="134">
        <v>77</v>
      </c>
      <c r="V424" s="450">
        <v>93.54</v>
      </c>
      <c r="W424" s="450">
        <v>93.72</v>
      </c>
      <c r="X424" s="450">
        <v>93.88</v>
      </c>
      <c r="Y424" s="450">
        <v>94.01</v>
      </c>
      <c r="Z424" s="450">
        <v>94.11</v>
      </c>
      <c r="AA424" s="450">
        <v>94.19</v>
      </c>
      <c r="AB424" s="450">
        <v>94.25</v>
      </c>
      <c r="AC424" s="450">
        <v>94.29</v>
      </c>
      <c r="AD424" s="450">
        <v>94.3</v>
      </c>
      <c r="AE424" s="450">
        <v>94.29</v>
      </c>
      <c r="AF424" s="450">
        <v>94.26</v>
      </c>
      <c r="AG424" s="450">
        <v>94.22</v>
      </c>
      <c r="AH424" s="450">
        <v>93.79</v>
      </c>
      <c r="AI424" s="450">
        <v>93.2</v>
      </c>
      <c r="AJ424" s="450" t="s">
        <v>556</v>
      </c>
      <c r="AK424" s="450" t="s">
        <v>556</v>
      </c>
      <c r="AL424" s="450" t="s">
        <v>556</v>
      </c>
      <c r="AM424" s="133"/>
      <c r="AN424" s="134">
        <v>77</v>
      </c>
      <c r="AO424" s="450">
        <v>94.92</v>
      </c>
      <c r="AP424" s="450">
        <v>95.11</v>
      </c>
      <c r="AQ424" s="450">
        <v>95.27</v>
      </c>
      <c r="AR424" s="450">
        <v>95.41</v>
      </c>
      <c r="AS424" s="450">
        <v>95.53</v>
      </c>
      <c r="AT424" s="450">
        <v>95.62</v>
      </c>
      <c r="AU424" s="450">
        <v>95.68</v>
      </c>
      <c r="AV424" s="450">
        <v>95.72</v>
      </c>
      <c r="AW424" s="450">
        <v>95.73</v>
      </c>
      <c r="AX424" s="450">
        <v>95.73</v>
      </c>
      <c r="AY424" s="450">
        <v>95.7</v>
      </c>
      <c r="AZ424" s="450">
        <v>95.65</v>
      </c>
      <c r="BA424" s="450">
        <v>95.2</v>
      </c>
      <c r="BB424" s="450">
        <v>94.58</v>
      </c>
      <c r="BC424" s="450" t="s">
        <v>556</v>
      </c>
      <c r="BD424" s="450" t="s">
        <v>556</v>
      </c>
      <c r="BE424" s="450" t="s">
        <v>556</v>
      </c>
    </row>
    <row r="425" spans="2:57" x14ac:dyDescent="0.25">
      <c r="B425" s="134">
        <v>78</v>
      </c>
      <c r="C425" s="451">
        <v>92.66</v>
      </c>
      <c r="D425" s="451">
        <v>92.79</v>
      </c>
      <c r="E425" s="451">
        <v>92.89</v>
      </c>
      <c r="F425" s="451">
        <v>92.97</v>
      </c>
      <c r="G425" s="451">
        <v>93.03</v>
      </c>
      <c r="H425" s="451">
        <v>93.06</v>
      </c>
      <c r="I425" s="451">
        <v>93.07</v>
      </c>
      <c r="J425" s="451">
        <v>93.05</v>
      </c>
      <c r="K425" s="451">
        <v>93.01</v>
      </c>
      <c r="L425" s="451">
        <v>92.96</v>
      </c>
      <c r="M425" s="451">
        <v>92.88</v>
      </c>
      <c r="N425" s="451">
        <v>92.79</v>
      </c>
      <c r="O425" s="451">
        <v>92.16</v>
      </c>
      <c r="P425" s="451">
        <v>91.43</v>
      </c>
      <c r="Q425" s="451" t="s">
        <v>556</v>
      </c>
      <c r="R425" s="451" t="s">
        <v>556</v>
      </c>
      <c r="S425" s="451" t="s">
        <v>556</v>
      </c>
      <c r="T425" s="133"/>
      <c r="U425" s="134">
        <v>78</v>
      </c>
      <c r="V425" s="450">
        <v>93.91</v>
      </c>
      <c r="W425" s="450">
        <v>94.06</v>
      </c>
      <c r="X425" s="450">
        <v>94.18</v>
      </c>
      <c r="Y425" s="450">
        <v>94.28</v>
      </c>
      <c r="Z425" s="450">
        <v>94.36</v>
      </c>
      <c r="AA425" s="450">
        <v>94.4</v>
      </c>
      <c r="AB425" s="450">
        <v>94.43</v>
      </c>
      <c r="AC425" s="450">
        <v>94.43</v>
      </c>
      <c r="AD425" s="450">
        <v>94.4</v>
      </c>
      <c r="AE425" s="450">
        <v>94.36</v>
      </c>
      <c r="AF425" s="450">
        <v>94.3</v>
      </c>
      <c r="AG425" s="450">
        <v>94.22</v>
      </c>
      <c r="AH425" s="450">
        <v>93.63</v>
      </c>
      <c r="AI425" s="450">
        <v>92.94</v>
      </c>
      <c r="AJ425" s="450" t="s">
        <v>556</v>
      </c>
      <c r="AK425" s="450" t="s">
        <v>556</v>
      </c>
      <c r="AL425" s="450" t="s">
        <v>556</v>
      </c>
      <c r="AM425" s="133"/>
      <c r="AN425" s="134">
        <v>78</v>
      </c>
      <c r="AO425" s="450">
        <v>95.3</v>
      </c>
      <c r="AP425" s="450">
        <v>95.47</v>
      </c>
      <c r="AQ425" s="450">
        <v>95.6</v>
      </c>
      <c r="AR425" s="450">
        <v>95.71</v>
      </c>
      <c r="AS425" s="450">
        <v>95.79</v>
      </c>
      <c r="AT425" s="450">
        <v>95.84</v>
      </c>
      <c r="AU425" s="450">
        <v>95.87</v>
      </c>
      <c r="AV425" s="450">
        <v>95.88</v>
      </c>
      <c r="AW425" s="450">
        <v>95.85</v>
      </c>
      <c r="AX425" s="450">
        <v>95.81</v>
      </c>
      <c r="AY425" s="450">
        <v>95.75</v>
      </c>
      <c r="AZ425" s="450">
        <v>95.67</v>
      </c>
      <c r="BA425" s="450">
        <v>95.06</v>
      </c>
      <c r="BB425" s="450">
        <v>94.32</v>
      </c>
      <c r="BC425" s="450" t="s">
        <v>556</v>
      </c>
      <c r="BD425" s="450" t="s">
        <v>556</v>
      </c>
      <c r="BE425" s="450" t="s">
        <v>556</v>
      </c>
    </row>
    <row r="426" spans="2:57" x14ac:dyDescent="0.25">
      <c r="B426" s="134">
        <v>79</v>
      </c>
      <c r="C426" s="451">
        <v>92.92</v>
      </c>
      <c r="D426" s="451">
        <v>93.02</v>
      </c>
      <c r="E426" s="451">
        <v>93.09</v>
      </c>
      <c r="F426" s="451">
        <v>93.13</v>
      </c>
      <c r="G426" s="451">
        <v>93.15</v>
      </c>
      <c r="H426" s="451">
        <v>93.14</v>
      </c>
      <c r="I426" s="451">
        <v>93.11</v>
      </c>
      <c r="J426" s="451">
        <v>93.06</v>
      </c>
      <c r="K426" s="451">
        <v>92.98</v>
      </c>
      <c r="L426" s="451">
        <v>92.88</v>
      </c>
      <c r="M426" s="451">
        <v>92.77</v>
      </c>
      <c r="N426" s="451">
        <v>92.64</v>
      </c>
      <c r="O426" s="451">
        <v>91.85</v>
      </c>
      <c r="P426" s="451">
        <v>91.01</v>
      </c>
      <c r="Q426" s="451" t="s">
        <v>556</v>
      </c>
      <c r="R426" s="451" t="s">
        <v>556</v>
      </c>
      <c r="S426" s="451" t="s">
        <v>556</v>
      </c>
      <c r="T426" s="133"/>
      <c r="U426" s="134">
        <v>79</v>
      </c>
      <c r="V426" s="450">
        <v>94.22</v>
      </c>
      <c r="W426" s="450">
        <v>94.33</v>
      </c>
      <c r="X426" s="450">
        <v>94.42</v>
      </c>
      <c r="Y426" s="450">
        <v>94.49</v>
      </c>
      <c r="Z426" s="450">
        <v>94.52</v>
      </c>
      <c r="AA426" s="450">
        <v>94.53</v>
      </c>
      <c r="AB426" s="450">
        <v>94.52</v>
      </c>
      <c r="AC426" s="450">
        <v>94.48</v>
      </c>
      <c r="AD426" s="450">
        <v>94.41</v>
      </c>
      <c r="AE426" s="450">
        <v>94.33</v>
      </c>
      <c r="AF426" s="450">
        <v>94.23</v>
      </c>
      <c r="AG426" s="450">
        <v>94.11</v>
      </c>
      <c r="AH426" s="450">
        <v>93.37</v>
      </c>
      <c r="AI426" s="450">
        <v>92.57</v>
      </c>
      <c r="AJ426" s="450" t="s">
        <v>556</v>
      </c>
      <c r="AK426" s="450" t="s">
        <v>556</v>
      </c>
      <c r="AL426" s="450" t="s">
        <v>556</v>
      </c>
      <c r="AM426" s="133"/>
      <c r="AN426" s="134">
        <v>79</v>
      </c>
      <c r="AO426" s="450">
        <v>95.63</v>
      </c>
      <c r="AP426" s="450">
        <v>95.76</v>
      </c>
      <c r="AQ426" s="450">
        <v>95.86</v>
      </c>
      <c r="AR426" s="450">
        <v>95.93</v>
      </c>
      <c r="AS426" s="450">
        <v>95.97</v>
      </c>
      <c r="AT426" s="450">
        <v>95.99</v>
      </c>
      <c r="AU426" s="450">
        <v>95.98</v>
      </c>
      <c r="AV426" s="450">
        <v>95.94</v>
      </c>
      <c r="AW426" s="450">
        <v>95.88</v>
      </c>
      <c r="AX426" s="450">
        <v>95.8</v>
      </c>
      <c r="AY426" s="450">
        <v>95.69</v>
      </c>
      <c r="AZ426" s="450">
        <v>95.57</v>
      </c>
      <c r="BA426" s="450">
        <v>94.8</v>
      </c>
      <c r="BB426" s="450">
        <v>93.96</v>
      </c>
      <c r="BC426" s="450" t="s">
        <v>556</v>
      </c>
      <c r="BD426" s="450" t="s">
        <v>556</v>
      </c>
      <c r="BE426" s="450" t="s">
        <v>556</v>
      </c>
    </row>
    <row r="427" spans="2:57" x14ac:dyDescent="0.25">
      <c r="B427" s="134">
        <v>80</v>
      </c>
      <c r="C427" s="451">
        <v>93.12</v>
      </c>
      <c r="D427" s="451">
        <v>93.17</v>
      </c>
      <c r="E427" s="451">
        <v>93.2</v>
      </c>
      <c r="F427" s="451">
        <v>93.21</v>
      </c>
      <c r="G427" s="451">
        <v>93.18</v>
      </c>
      <c r="H427" s="451">
        <v>93.13</v>
      </c>
      <c r="I427" s="451">
        <v>93.06</v>
      </c>
      <c r="J427" s="451">
        <v>92.96</v>
      </c>
      <c r="K427" s="451">
        <v>92.84</v>
      </c>
      <c r="L427" s="451">
        <v>92.71</v>
      </c>
      <c r="M427" s="451">
        <v>92.55</v>
      </c>
      <c r="N427" s="451">
        <v>92.39</v>
      </c>
      <c r="O427" s="451">
        <v>91.43</v>
      </c>
      <c r="P427" s="451" t="s">
        <v>556</v>
      </c>
      <c r="Q427" s="451" t="s">
        <v>556</v>
      </c>
      <c r="R427" s="451" t="s">
        <v>556</v>
      </c>
      <c r="S427" s="451" t="s">
        <v>556</v>
      </c>
      <c r="T427" s="133"/>
      <c r="U427" s="134">
        <v>80</v>
      </c>
      <c r="V427" s="450">
        <v>94.45</v>
      </c>
      <c r="W427" s="450">
        <v>94.53</v>
      </c>
      <c r="X427" s="450">
        <v>94.58</v>
      </c>
      <c r="Y427" s="450">
        <v>94.6</v>
      </c>
      <c r="Z427" s="450">
        <v>94.6</v>
      </c>
      <c r="AA427" s="450">
        <v>94.56</v>
      </c>
      <c r="AB427" s="450">
        <v>94.51</v>
      </c>
      <c r="AC427" s="450">
        <v>94.42</v>
      </c>
      <c r="AD427" s="450">
        <v>94.32</v>
      </c>
      <c r="AE427" s="450">
        <v>94.2</v>
      </c>
      <c r="AF427" s="450">
        <v>94.05</v>
      </c>
      <c r="AG427" s="450">
        <v>93.9</v>
      </c>
      <c r="AH427" s="450">
        <v>92.99</v>
      </c>
      <c r="AI427" s="450" t="s">
        <v>556</v>
      </c>
      <c r="AJ427" s="450" t="s">
        <v>556</v>
      </c>
      <c r="AK427" s="450" t="s">
        <v>556</v>
      </c>
      <c r="AL427" s="450" t="s">
        <v>556</v>
      </c>
      <c r="AM427" s="133"/>
      <c r="AN427" s="134">
        <v>80</v>
      </c>
      <c r="AO427" s="450">
        <v>95.89</v>
      </c>
      <c r="AP427" s="450">
        <v>95.98</v>
      </c>
      <c r="AQ427" s="450">
        <v>96.04</v>
      </c>
      <c r="AR427" s="450">
        <v>96.07</v>
      </c>
      <c r="AS427" s="450">
        <v>96.07</v>
      </c>
      <c r="AT427" s="450">
        <v>96.04</v>
      </c>
      <c r="AU427" s="450">
        <v>95.98</v>
      </c>
      <c r="AV427" s="450">
        <v>95.9</v>
      </c>
      <c r="AW427" s="450">
        <v>95.8</v>
      </c>
      <c r="AX427" s="450">
        <v>95.67</v>
      </c>
      <c r="AY427" s="450">
        <v>95.53</v>
      </c>
      <c r="AZ427" s="450">
        <v>95.37</v>
      </c>
      <c r="BA427" s="450">
        <v>94.43</v>
      </c>
      <c r="BB427" s="450" t="s">
        <v>556</v>
      </c>
      <c r="BC427" s="450" t="s">
        <v>556</v>
      </c>
      <c r="BD427" s="450" t="s">
        <v>556</v>
      </c>
      <c r="BE427" s="450" t="s">
        <v>556</v>
      </c>
    </row>
    <row r="428" spans="2:57" x14ac:dyDescent="0.25">
      <c r="B428" s="134">
        <v>81</v>
      </c>
      <c r="C428" s="451">
        <v>93.23</v>
      </c>
      <c r="D428" s="451">
        <v>93.24</v>
      </c>
      <c r="E428" s="451">
        <v>93.23</v>
      </c>
      <c r="F428" s="451">
        <v>93.19</v>
      </c>
      <c r="G428" s="451">
        <v>93.11</v>
      </c>
      <c r="H428" s="451">
        <v>93.02</v>
      </c>
      <c r="I428" s="451">
        <v>92.9</v>
      </c>
      <c r="J428" s="451">
        <v>92.75</v>
      </c>
      <c r="K428" s="451">
        <v>92.59</v>
      </c>
      <c r="L428" s="451">
        <v>92.41</v>
      </c>
      <c r="M428" s="451">
        <v>92.21</v>
      </c>
      <c r="N428" s="451">
        <v>92.01</v>
      </c>
      <c r="O428" s="451">
        <v>90.88</v>
      </c>
      <c r="P428" s="451" t="s">
        <v>556</v>
      </c>
      <c r="Q428" s="451" t="s">
        <v>556</v>
      </c>
      <c r="R428" s="451" t="s">
        <v>556</v>
      </c>
      <c r="S428" s="451" t="s">
        <v>556</v>
      </c>
      <c r="T428" s="133"/>
      <c r="U428" s="134">
        <v>81</v>
      </c>
      <c r="V428" s="450">
        <v>94.61</v>
      </c>
      <c r="W428" s="450">
        <v>94.64</v>
      </c>
      <c r="X428" s="450">
        <v>94.65</v>
      </c>
      <c r="Y428" s="450">
        <v>94.62</v>
      </c>
      <c r="Z428" s="450">
        <v>94.57</v>
      </c>
      <c r="AA428" s="450">
        <v>94.49</v>
      </c>
      <c r="AB428" s="450">
        <v>94.39</v>
      </c>
      <c r="AC428" s="450">
        <v>94.26</v>
      </c>
      <c r="AD428" s="450">
        <v>94.11</v>
      </c>
      <c r="AE428" s="450">
        <v>93.94</v>
      </c>
      <c r="AF428" s="450">
        <v>93.76</v>
      </c>
      <c r="AG428" s="450">
        <v>93.56</v>
      </c>
      <c r="AH428" s="450">
        <v>92.49</v>
      </c>
      <c r="AI428" s="450" t="s">
        <v>556</v>
      </c>
      <c r="AJ428" s="450" t="s">
        <v>556</v>
      </c>
      <c r="AK428" s="450" t="s">
        <v>556</v>
      </c>
      <c r="AL428" s="450" t="s">
        <v>556</v>
      </c>
      <c r="AM428" s="133"/>
      <c r="AN428" s="134">
        <v>81</v>
      </c>
      <c r="AO428" s="450">
        <v>96.06</v>
      </c>
      <c r="AP428" s="450">
        <v>96.11</v>
      </c>
      <c r="AQ428" s="450">
        <v>96.12</v>
      </c>
      <c r="AR428" s="450">
        <v>96.1</v>
      </c>
      <c r="AS428" s="450">
        <v>96.06</v>
      </c>
      <c r="AT428" s="450">
        <v>95.98</v>
      </c>
      <c r="AU428" s="450">
        <v>95.88</v>
      </c>
      <c r="AV428" s="450">
        <v>95.75</v>
      </c>
      <c r="AW428" s="450">
        <v>95.6</v>
      </c>
      <c r="AX428" s="450">
        <v>95.43</v>
      </c>
      <c r="AY428" s="450">
        <v>95.24</v>
      </c>
      <c r="AZ428" s="450">
        <v>95.04</v>
      </c>
      <c r="BA428" s="450">
        <v>93.93</v>
      </c>
      <c r="BB428" s="450" t="s">
        <v>556</v>
      </c>
      <c r="BC428" s="450" t="s">
        <v>556</v>
      </c>
      <c r="BD428" s="450" t="s">
        <v>556</v>
      </c>
      <c r="BE428" s="450" t="s">
        <v>556</v>
      </c>
    </row>
    <row r="429" spans="2:57" x14ac:dyDescent="0.25">
      <c r="B429" s="134">
        <v>82</v>
      </c>
      <c r="C429" s="451">
        <v>93.25</v>
      </c>
      <c r="D429" s="451">
        <v>93.22</v>
      </c>
      <c r="E429" s="451">
        <v>93.15</v>
      </c>
      <c r="F429" s="451">
        <v>93.06</v>
      </c>
      <c r="G429" s="451">
        <v>92.94</v>
      </c>
      <c r="H429" s="451">
        <v>92.79</v>
      </c>
      <c r="I429" s="451">
        <v>92.62</v>
      </c>
      <c r="J429" s="451">
        <v>92.43</v>
      </c>
      <c r="K429" s="451">
        <v>92.22</v>
      </c>
      <c r="L429" s="451">
        <v>91.99</v>
      </c>
      <c r="M429" s="451">
        <v>91.75</v>
      </c>
      <c r="N429" s="451">
        <v>91.5</v>
      </c>
      <c r="O429" s="451">
        <v>90.21</v>
      </c>
      <c r="P429" s="451" t="s">
        <v>556</v>
      </c>
      <c r="Q429" s="451" t="s">
        <v>556</v>
      </c>
      <c r="R429" s="451" t="s">
        <v>556</v>
      </c>
      <c r="S429" s="451" t="s">
        <v>556</v>
      </c>
      <c r="T429" s="133"/>
      <c r="U429" s="134">
        <v>82</v>
      </c>
      <c r="V429" s="450">
        <v>94.68</v>
      </c>
      <c r="W429" s="450">
        <v>94.66</v>
      </c>
      <c r="X429" s="450">
        <v>94.62</v>
      </c>
      <c r="Y429" s="450">
        <v>94.54</v>
      </c>
      <c r="Z429" s="450">
        <v>94.44</v>
      </c>
      <c r="AA429" s="450">
        <v>94.31</v>
      </c>
      <c r="AB429" s="450">
        <v>94.15</v>
      </c>
      <c r="AC429" s="450">
        <v>93.97</v>
      </c>
      <c r="AD429" s="450">
        <v>93.78</v>
      </c>
      <c r="AE429" s="450">
        <v>93.57</v>
      </c>
      <c r="AF429" s="450">
        <v>93.34</v>
      </c>
      <c r="AG429" s="450">
        <v>93.1</v>
      </c>
      <c r="AH429" s="450">
        <v>91.86</v>
      </c>
      <c r="AI429" s="450" t="s">
        <v>556</v>
      </c>
      <c r="AJ429" s="450" t="s">
        <v>556</v>
      </c>
      <c r="AK429" s="450" t="s">
        <v>556</v>
      </c>
      <c r="AL429" s="450" t="s">
        <v>556</v>
      </c>
      <c r="AM429" s="133"/>
      <c r="AN429" s="134">
        <v>82</v>
      </c>
      <c r="AO429" s="450">
        <v>96.14</v>
      </c>
      <c r="AP429" s="450">
        <v>96.14</v>
      </c>
      <c r="AQ429" s="450">
        <v>96.1</v>
      </c>
      <c r="AR429" s="450">
        <v>96.03</v>
      </c>
      <c r="AS429" s="450">
        <v>95.93</v>
      </c>
      <c r="AT429" s="450">
        <v>95.8</v>
      </c>
      <c r="AU429" s="450">
        <v>95.65</v>
      </c>
      <c r="AV429" s="450">
        <v>95.47</v>
      </c>
      <c r="AW429" s="450">
        <v>95.27</v>
      </c>
      <c r="AX429" s="450">
        <v>95.06</v>
      </c>
      <c r="AY429" s="450">
        <v>94.83</v>
      </c>
      <c r="AZ429" s="450">
        <v>94.58</v>
      </c>
      <c r="BA429" s="450">
        <v>93.3</v>
      </c>
      <c r="BB429" s="450" t="s">
        <v>556</v>
      </c>
      <c r="BC429" s="450" t="s">
        <v>556</v>
      </c>
      <c r="BD429" s="450" t="s">
        <v>556</v>
      </c>
      <c r="BE429" s="450" t="s">
        <v>556</v>
      </c>
    </row>
    <row r="430" spans="2:57" x14ac:dyDescent="0.25">
      <c r="B430" s="134">
        <v>83</v>
      </c>
      <c r="C430" s="451">
        <v>93.17</v>
      </c>
      <c r="D430" s="451">
        <v>93.08</v>
      </c>
      <c r="E430" s="451">
        <v>92.96</v>
      </c>
      <c r="F430" s="451">
        <v>92.81</v>
      </c>
      <c r="G430" s="451">
        <v>92.64</v>
      </c>
      <c r="H430" s="451">
        <v>92.44</v>
      </c>
      <c r="I430" s="451">
        <v>92.21</v>
      </c>
      <c r="J430" s="451">
        <v>91.97</v>
      </c>
      <c r="K430" s="451">
        <v>91.71</v>
      </c>
      <c r="L430" s="451">
        <v>91.44</v>
      </c>
      <c r="M430" s="451">
        <v>91.16</v>
      </c>
      <c r="N430" s="451">
        <v>90.87</v>
      </c>
      <c r="O430" s="451">
        <v>89.41</v>
      </c>
      <c r="P430" s="451" t="s">
        <v>556</v>
      </c>
      <c r="Q430" s="451" t="s">
        <v>556</v>
      </c>
      <c r="R430" s="451" t="s">
        <v>556</v>
      </c>
      <c r="S430" s="451" t="s">
        <v>556</v>
      </c>
      <c r="T430" s="133"/>
      <c r="U430" s="134">
        <v>83</v>
      </c>
      <c r="V430" s="450">
        <v>94.64</v>
      </c>
      <c r="W430" s="450">
        <v>94.57</v>
      </c>
      <c r="X430" s="450">
        <v>94.47</v>
      </c>
      <c r="Y430" s="450">
        <v>94.34</v>
      </c>
      <c r="Z430" s="450">
        <v>94.18</v>
      </c>
      <c r="AA430" s="450">
        <v>94</v>
      </c>
      <c r="AB430" s="450">
        <v>93.79</v>
      </c>
      <c r="AC430" s="450">
        <v>93.56</v>
      </c>
      <c r="AD430" s="450">
        <v>93.32</v>
      </c>
      <c r="AE430" s="450">
        <v>93.06</v>
      </c>
      <c r="AF430" s="450">
        <v>92.79</v>
      </c>
      <c r="AG430" s="450">
        <v>92.51</v>
      </c>
      <c r="AH430" s="450">
        <v>91.1</v>
      </c>
      <c r="AI430" s="450" t="s">
        <v>556</v>
      </c>
      <c r="AJ430" s="450" t="s">
        <v>556</v>
      </c>
      <c r="AK430" s="450" t="s">
        <v>556</v>
      </c>
      <c r="AL430" s="450" t="s">
        <v>556</v>
      </c>
      <c r="AM430" s="133"/>
      <c r="AN430" s="134">
        <v>83</v>
      </c>
      <c r="AO430" s="450">
        <v>96.12</v>
      </c>
      <c r="AP430" s="450">
        <v>96.06</v>
      </c>
      <c r="AQ430" s="450">
        <v>95.97</v>
      </c>
      <c r="AR430" s="450">
        <v>95.84</v>
      </c>
      <c r="AS430" s="450">
        <v>95.69</v>
      </c>
      <c r="AT430" s="450">
        <v>95.5</v>
      </c>
      <c r="AU430" s="450">
        <v>95.3</v>
      </c>
      <c r="AV430" s="450">
        <v>95.07</v>
      </c>
      <c r="AW430" s="450">
        <v>94.82</v>
      </c>
      <c r="AX430" s="450">
        <v>94.55</v>
      </c>
      <c r="AY430" s="450">
        <v>94.28</v>
      </c>
      <c r="AZ430" s="450">
        <v>93.99</v>
      </c>
      <c r="BA430" s="450">
        <v>92.54</v>
      </c>
      <c r="BB430" s="450" t="s">
        <v>556</v>
      </c>
      <c r="BC430" s="450" t="s">
        <v>556</v>
      </c>
      <c r="BD430" s="450" t="s">
        <v>556</v>
      </c>
      <c r="BE430" s="450" t="s">
        <v>556</v>
      </c>
    </row>
    <row r="431" spans="2:57" x14ac:dyDescent="0.25">
      <c r="B431" s="134">
        <v>84</v>
      </c>
      <c r="C431" s="451">
        <v>92.98</v>
      </c>
      <c r="D431" s="451">
        <v>92.83</v>
      </c>
      <c r="E431" s="451">
        <v>92.65</v>
      </c>
      <c r="F431" s="451">
        <v>92.45</v>
      </c>
      <c r="G431" s="451">
        <v>92.21</v>
      </c>
      <c r="H431" s="451">
        <v>91.96</v>
      </c>
      <c r="I431" s="451">
        <v>91.68</v>
      </c>
      <c r="J431" s="451">
        <v>91.38</v>
      </c>
      <c r="K431" s="451">
        <v>91.08</v>
      </c>
      <c r="L431" s="451">
        <v>90.76</v>
      </c>
      <c r="M431" s="451">
        <v>90.43</v>
      </c>
      <c r="N431" s="451">
        <v>90.1</v>
      </c>
      <c r="O431" s="451">
        <v>88.49</v>
      </c>
      <c r="P431" s="451" t="s">
        <v>556</v>
      </c>
      <c r="Q431" s="451" t="s">
        <v>556</v>
      </c>
      <c r="R431" s="451" t="s">
        <v>556</v>
      </c>
      <c r="S431" s="451" t="s">
        <v>556</v>
      </c>
      <c r="T431" s="133"/>
      <c r="U431" s="134">
        <v>84</v>
      </c>
      <c r="V431" s="450">
        <v>94.49</v>
      </c>
      <c r="W431" s="450">
        <v>94.36</v>
      </c>
      <c r="X431" s="450">
        <v>94.2</v>
      </c>
      <c r="Y431" s="450">
        <v>94.01</v>
      </c>
      <c r="Z431" s="450">
        <v>93.8</v>
      </c>
      <c r="AA431" s="450">
        <v>93.56</v>
      </c>
      <c r="AB431" s="450">
        <v>93.3</v>
      </c>
      <c r="AC431" s="450">
        <v>93.01</v>
      </c>
      <c r="AD431" s="450">
        <v>92.72</v>
      </c>
      <c r="AE431" s="450">
        <v>92.41</v>
      </c>
      <c r="AF431" s="450">
        <v>92.1</v>
      </c>
      <c r="AG431" s="450">
        <v>91.77</v>
      </c>
      <c r="AH431" s="450">
        <v>90.22</v>
      </c>
      <c r="AI431" s="450" t="s">
        <v>556</v>
      </c>
      <c r="AJ431" s="450" t="s">
        <v>556</v>
      </c>
      <c r="AK431" s="450" t="s">
        <v>556</v>
      </c>
      <c r="AL431" s="450" t="s">
        <v>556</v>
      </c>
      <c r="AM431" s="133"/>
      <c r="AN431" s="134">
        <v>84</v>
      </c>
      <c r="AO431" s="450">
        <v>95.99</v>
      </c>
      <c r="AP431" s="450">
        <v>95.87</v>
      </c>
      <c r="AQ431" s="450">
        <v>95.71</v>
      </c>
      <c r="AR431" s="450">
        <v>95.53</v>
      </c>
      <c r="AS431" s="450">
        <v>95.31</v>
      </c>
      <c r="AT431" s="450">
        <v>95.07</v>
      </c>
      <c r="AU431" s="450">
        <v>94.81</v>
      </c>
      <c r="AV431" s="450">
        <v>94.52</v>
      </c>
      <c r="AW431" s="450">
        <v>94.22</v>
      </c>
      <c r="AX431" s="450">
        <v>93.91</v>
      </c>
      <c r="AY431" s="450">
        <v>93.59</v>
      </c>
      <c r="AZ431" s="450">
        <v>93.26</v>
      </c>
      <c r="BA431" s="450">
        <v>91.65</v>
      </c>
      <c r="BB431" s="450" t="s">
        <v>556</v>
      </c>
      <c r="BC431" s="450" t="s">
        <v>556</v>
      </c>
      <c r="BD431" s="450" t="s">
        <v>556</v>
      </c>
      <c r="BE431" s="450" t="s">
        <v>556</v>
      </c>
    </row>
    <row r="432" spans="2:57" x14ac:dyDescent="0.25">
      <c r="B432" s="134">
        <v>85</v>
      </c>
      <c r="C432" s="451">
        <v>92.67</v>
      </c>
      <c r="D432" s="451">
        <v>92.46</v>
      </c>
      <c r="E432" s="451">
        <v>92.22</v>
      </c>
      <c r="F432" s="451">
        <v>91.95</v>
      </c>
      <c r="G432" s="451">
        <v>91.65</v>
      </c>
      <c r="H432" s="451">
        <v>91.34</v>
      </c>
      <c r="I432" s="451">
        <v>91.01</v>
      </c>
      <c r="J432" s="451">
        <v>90.66</v>
      </c>
      <c r="K432" s="451">
        <v>90.3</v>
      </c>
      <c r="L432" s="451">
        <v>89.93</v>
      </c>
      <c r="M432" s="451">
        <v>89.56</v>
      </c>
      <c r="N432" s="451">
        <v>89.19</v>
      </c>
      <c r="O432" s="451" t="s">
        <v>556</v>
      </c>
      <c r="P432" s="451" t="s">
        <v>556</v>
      </c>
      <c r="Q432" s="451" t="s">
        <v>556</v>
      </c>
      <c r="R432" s="451" t="s">
        <v>556</v>
      </c>
      <c r="S432" s="451" t="s">
        <v>556</v>
      </c>
      <c r="T432" s="133"/>
      <c r="U432" s="134">
        <v>85</v>
      </c>
      <c r="V432" s="450">
        <v>94.22</v>
      </c>
      <c r="W432" s="450">
        <v>94.03</v>
      </c>
      <c r="X432" s="450">
        <v>93.81</v>
      </c>
      <c r="Y432" s="450">
        <v>93.56</v>
      </c>
      <c r="Z432" s="450">
        <v>93.28</v>
      </c>
      <c r="AA432" s="450">
        <v>92.98</v>
      </c>
      <c r="AB432" s="450">
        <v>92.66</v>
      </c>
      <c r="AC432" s="450">
        <v>92.33</v>
      </c>
      <c r="AD432" s="450">
        <v>91.98</v>
      </c>
      <c r="AE432" s="450">
        <v>91.63</v>
      </c>
      <c r="AF432" s="450">
        <v>91.27</v>
      </c>
      <c r="AG432" s="450">
        <v>90.9</v>
      </c>
      <c r="AH432" s="450" t="s">
        <v>556</v>
      </c>
      <c r="AI432" s="450" t="s">
        <v>556</v>
      </c>
      <c r="AJ432" s="450" t="s">
        <v>556</v>
      </c>
      <c r="AK432" s="450" t="s">
        <v>556</v>
      </c>
      <c r="AL432" s="450" t="s">
        <v>556</v>
      </c>
      <c r="AM432" s="133"/>
      <c r="AN432" s="134">
        <v>85</v>
      </c>
      <c r="AO432" s="450">
        <v>95.72</v>
      </c>
      <c r="AP432" s="450">
        <v>95.54</v>
      </c>
      <c r="AQ432" s="450">
        <v>95.32</v>
      </c>
      <c r="AR432" s="450">
        <v>95.08</v>
      </c>
      <c r="AS432" s="450">
        <v>94.8</v>
      </c>
      <c r="AT432" s="450">
        <v>94.5</v>
      </c>
      <c r="AU432" s="450">
        <v>94.18</v>
      </c>
      <c r="AV432" s="450">
        <v>93.84</v>
      </c>
      <c r="AW432" s="450">
        <v>93.49</v>
      </c>
      <c r="AX432" s="450">
        <v>93.12</v>
      </c>
      <c r="AY432" s="450">
        <v>92.76</v>
      </c>
      <c r="AZ432" s="450">
        <v>92.39</v>
      </c>
      <c r="BA432" s="450" t="s">
        <v>556</v>
      </c>
      <c r="BB432" s="450" t="s">
        <v>556</v>
      </c>
      <c r="BC432" s="450" t="s">
        <v>556</v>
      </c>
      <c r="BD432" s="450" t="s">
        <v>556</v>
      </c>
      <c r="BE432" s="450" t="s">
        <v>556</v>
      </c>
    </row>
    <row r="433" spans="2:57" x14ac:dyDescent="0.25">
      <c r="B433" s="134">
        <v>86</v>
      </c>
      <c r="C433" s="451">
        <v>92.23</v>
      </c>
      <c r="D433" s="451">
        <v>91.95</v>
      </c>
      <c r="E433" s="451">
        <v>91.64</v>
      </c>
      <c r="F433" s="451">
        <v>91.31</v>
      </c>
      <c r="G433" s="451">
        <v>90.95</v>
      </c>
      <c r="H433" s="451">
        <v>90.58</v>
      </c>
      <c r="I433" s="451">
        <v>90.19</v>
      </c>
      <c r="J433" s="451">
        <v>89.79</v>
      </c>
      <c r="K433" s="451">
        <v>89.38</v>
      </c>
      <c r="L433" s="451">
        <v>88.97</v>
      </c>
      <c r="M433" s="451">
        <v>88.55</v>
      </c>
      <c r="N433" s="451">
        <v>88.14</v>
      </c>
      <c r="O433" s="451" t="s">
        <v>556</v>
      </c>
      <c r="P433" s="451" t="s">
        <v>556</v>
      </c>
      <c r="Q433" s="451" t="s">
        <v>556</v>
      </c>
      <c r="R433" s="451" t="s">
        <v>556</v>
      </c>
      <c r="S433" s="451" t="s">
        <v>556</v>
      </c>
      <c r="T433" s="133"/>
      <c r="U433" s="134">
        <v>86</v>
      </c>
      <c r="V433" s="450">
        <v>93.82</v>
      </c>
      <c r="W433" s="450">
        <v>93.56</v>
      </c>
      <c r="X433" s="450">
        <v>93.27</v>
      </c>
      <c r="Y433" s="450">
        <v>92.96</v>
      </c>
      <c r="Z433" s="450">
        <v>92.62</v>
      </c>
      <c r="AA433" s="450">
        <v>92.26</v>
      </c>
      <c r="AB433" s="450">
        <v>91.89</v>
      </c>
      <c r="AC433" s="450">
        <v>91.5</v>
      </c>
      <c r="AD433" s="450">
        <v>91.1</v>
      </c>
      <c r="AE433" s="450">
        <v>90.7</v>
      </c>
      <c r="AF433" s="450">
        <v>90.3</v>
      </c>
      <c r="AG433" s="450">
        <v>89.89</v>
      </c>
      <c r="AH433" s="450" t="s">
        <v>556</v>
      </c>
      <c r="AI433" s="450" t="s">
        <v>556</v>
      </c>
      <c r="AJ433" s="450" t="s">
        <v>556</v>
      </c>
      <c r="AK433" s="450" t="s">
        <v>556</v>
      </c>
      <c r="AL433" s="450" t="s">
        <v>556</v>
      </c>
      <c r="AM433" s="133"/>
      <c r="AN433" s="134">
        <v>86</v>
      </c>
      <c r="AO433" s="450">
        <v>95.33</v>
      </c>
      <c r="AP433" s="450">
        <v>95.08</v>
      </c>
      <c r="AQ433" s="450">
        <v>94.8</v>
      </c>
      <c r="AR433" s="450">
        <v>94.48</v>
      </c>
      <c r="AS433" s="450">
        <v>94.14</v>
      </c>
      <c r="AT433" s="450">
        <v>93.78</v>
      </c>
      <c r="AU433" s="450">
        <v>93.4</v>
      </c>
      <c r="AV433" s="450">
        <v>93.01</v>
      </c>
      <c r="AW433" s="450">
        <v>92.61</v>
      </c>
      <c r="AX433" s="450">
        <v>92.2</v>
      </c>
      <c r="AY433" s="450">
        <v>91.78</v>
      </c>
      <c r="AZ433" s="450">
        <v>91.37</v>
      </c>
      <c r="BA433" s="450" t="s">
        <v>556</v>
      </c>
      <c r="BB433" s="450" t="s">
        <v>556</v>
      </c>
      <c r="BC433" s="450" t="s">
        <v>556</v>
      </c>
      <c r="BD433" s="450" t="s">
        <v>556</v>
      </c>
      <c r="BE433" s="450" t="s">
        <v>556</v>
      </c>
    </row>
    <row r="434" spans="2:57" x14ac:dyDescent="0.25">
      <c r="B434" s="134">
        <v>87</v>
      </c>
      <c r="C434" s="451">
        <v>91.65</v>
      </c>
      <c r="D434" s="451">
        <v>91.3</v>
      </c>
      <c r="E434" s="451">
        <v>90.93</v>
      </c>
      <c r="F434" s="451">
        <v>90.53</v>
      </c>
      <c r="G434" s="451">
        <v>90.11</v>
      </c>
      <c r="H434" s="451">
        <v>89.68</v>
      </c>
      <c r="I434" s="451">
        <v>89.23</v>
      </c>
      <c r="J434" s="451">
        <v>88.78</v>
      </c>
      <c r="K434" s="451">
        <v>88.32</v>
      </c>
      <c r="L434" s="451">
        <v>87.86</v>
      </c>
      <c r="M434" s="451">
        <v>87.41</v>
      </c>
      <c r="N434" s="451">
        <v>86.96</v>
      </c>
      <c r="O434" s="451" t="s">
        <v>556</v>
      </c>
      <c r="P434" s="451" t="s">
        <v>556</v>
      </c>
      <c r="Q434" s="451" t="s">
        <v>556</v>
      </c>
      <c r="R434" s="451" t="s">
        <v>556</v>
      </c>
      <c r="S434" s="451" t="s">
        <v>556</v>
      </c>
      <c r="T434" s="133"/>
      <c r="U434" s="134">
        <v>87</v>
      </c>
      <c r="V434" s="450">
        <v>93.28</v>
      </c>
      <c r="W434" s="450">
        <v>92.95</v>
      </c>
      <c r="X434" s="450">
        <v>92.6</v>
      </c>
      <c r="Y434" s="450">
        <v>92.22</v>
      </c>
      <c r="Z434" s="450">
        <v>91.82</v>
      </c>
      <c r="AA434" s="450">
        <v>91.4</v>
      </c>
      <c r="AB434" s="450">
        <v>90.97</v>
      </c>
      <c r="AC434" s="450">
        <v>90.53</v>
      </c>
      <c r="AD434" s="450">
        <v>90.08</v>
      </c>
      <c r="AE434" s="450">
        <v>89.63</v>
      </c>
      <c r="AF434" s="450">
        <v>89.19</v>
      </c>
      <c r="AG434" s="450">
        <v>88.75</v>
      </c>
      <c r="AH434" s="450" t="s">
        <v>556</v>
      </c>
      <c r="AI434" s="450" t="s">
        <v>556</v>
      </c>
      <c r="AJ434" s="450" t="s">
        <v>556</v>
      </c>
      <c r="AK434" s="450" t="s">
        <v>556</v>
      </c>
      <c r="AL434" s="450" t="s">
        <v>556</v>
      </c>
      <c r="AM434" s="133"/>
      <c r="AN434" s="134">
        <v>87</v>
      </c>
      <c r="AO434" s="450">
        <v>94.8</v>
      </c>
      <c r="AP434" s="450">
        <v>94.48</v>
      </c>
      <c r="AQ434" s="450">
        <v>94.12</v>
      </c>
      <c r="AR434" s="450">
        <v>93.74</v>
      </c>
      <c r="AS434" s="450">
        <v>93.34</v>
      </c>
      <c r="AT434" s="450">
        <v>92.92</v>
      </c>
      <c r="AU434" s="450">
        <v>92.48</v>
      </c>
      <c r="AV434" s="450">
        <v>92.03</v>
      </c>
      <c r="AW434" s="450">
        <v>91.58</v>
      </c>
      <c r="AX434" s="450">
        <v>91.12</v>
      </c>
      <c r="AY434" s="450">
        <v>90.67</v>
      </c>
      <c r="AZ434" s="450">
        <v>90.22</v>
      </c>
      <c r="BA434" s="450" t="s">
        <v>556</v>
      </c>
      <c r="BB434" s="450" t="s">
        <v>556</v>
      </c>
      <c r="BC434" s="450" t="s">
        <v>556</v>
      </c>
      <c r="BD434" s="450" t="s">
        <v>556</v>
      </c>
      <c r="BE434" s="450" t="s">
        <v>556</v>
      </c>
    </row>
    <row r="435" spans="2:57" x14ac:dyDescent="0.25">
      <c r="B435" s="134">
        <v>88</v>
      </c>
      <c r="C435" s="451">
        <v>90.93</v>
      </c>
      <c r="D435" s="451">
        <v>90.51</v>
      </c>
      <c r="E435" s="451">
        <v>90.07</v>
      </c>
      <c r="F435" s="451">
        <v>89.61</v>
      </c>
      <c r="G435" s="451">
        <v>89.13</v>
      </c>
      <c r="H435" s="451">
        <v>88.63</v>
      </c>
      <c r="I435" s="451">
        <v>88.13</v>
      </c>
      <c r="J435" s="451">
        <v>87.63</v>
      </c>
      <c r="K435" s="451">
        <v>87.12</v>
      </c>
      <c r="L435" s="451">
        <v>86.62</v>
      </c>
      <c r="M435" s="451">
        <v>86.12</v>
      </c>
      <c r="N435" s="451">
        <v>85.64</v>
      </c>
      <c r="O435" s="451" t="s">
        <v>556</v>
      </c>
      <c r="P435" s="451" t="s">
        <v>556</v>
      </c>
      <c r="Q435" s="451" t="s">
        <v>556</v>
      </c>
      <c r="R435" s="451" t="s">
        <v>556</v>
      </c>
      <c r="S435" s="451" t="s">
        <v>556</v>
      </c>
      <c r="T435" s="133"/>
      <c r="U435" s="134">
        <v>88</v>
      </c>
      <c r="V435" s="450">
        <v>92.6</v>
      </c>
      <c r="W435" s="450">
        <v>92.2</v>
      </c>
      <c r="X435" s="450">
        <v>91.78</v>
      </c>
      <c r="Y435" s="450">
        <v>91.33</v>
      </c>
      <c r="Z435" s="450">
        <v>90.87</v>
      </c>
      <c r="AA435" s="450">
        <v>90.39</v>
      </c>
      <c r="AB435" s="450">
        <v>89.9</v>
      </c>
      <c r="AC435" s="450">
        <v>89.41</v>
      </c>
      <c r="AD435" s="450">
        <v>88.91</v>
      </c>
      <c r="AE435" s="450">
        <v>88.42</v>
      </c>
      <c r="AF435" s="450">
        <v>87.94</v>
      </c>
      <c r="AG435" s="450">
        <v>87.47</v>
      </c>
      <c r="AH435" s="450" t="s">
        <v>556</v>
      </c>
      <c r="AI435" s="450" t="s">
        <v>556</v>
      </c>
      <c r="AJ435" s="450" t="s">
        <v>556</v>
      </c>
      <c r="AK435" s="450" t="s">
        <v>556</v>
      </c>
      <c r="AL435" s="450" t="s">
        <v>556</v>
      </c>
      <c r="AM435" s="133"/>
      <c r="AN435" s="134">
        <v>88</v>
      </c>
      <c r="AO435" s="450">
        <v>94.12</v>
      </c>
      <c r="AP435" s="450">
        <v>93.73</v>
      </c>
      <c r="AQ435" s="450">
        <v>93.3</v>
      </c>
      <c r="AR435" s="450">
        <v>92.86</v>
      </c>
      <c r="AS435" s="450">
        <v>92.39</v>
      </c>
      <c r="AT435" s="450">
        <v>91.91</v>
      </c>
      <c r="AU435" s="450">
        <v>91.41</v>
      </c>
      <c r="AV435" s="450">
        <v>90.91</v>
      </c>
      <c r="AW435" s="450">
        <v>90.41</v>
      </c>
      <c r="AX435" s="450">
        <v>89.91</v>
      </c>
      <c r="AY435" s="450">
        <v>89.42</v>
      </c>
      <c r="AZ435" s="450">
        <v>88.93</v>
      </c>
      <c r="BA435" s="450" t="s">
        <v>556</v>
      </c>
      <c r="BB435" s="450" t="s">
        <v>556</v>
      </c>
      <c r="BC435" s="450" t="s">
        <v>556</v>
      </c>
      <c r="BD435" s="450" t="s">
        <v>556</v>
      </c>
      <c r="BE435" s="450" t="s">
        <v>556</v>
      </c>
    </row>
    <row r="436" spans="2:57" x14ac:dyDescent="0.25">
      <c r="B436" s="134">
        <v>89</v>
      </c>
      <c r="C436" s="451">
        <v>90.07</v>
      </c>
      <c r="D436" s="451">
        <v>89.58</v>
      </c>
      <c r="E436" s="451">
        <v>89.07</v>
      </c>
      <c r="F436" s="451">
        <v>88.54</v>
      </c>
      <c r="G436" s="451">
        <v>88</v>
      </c>
      <c r="H436" s="451">
        <v>87.45</v>
      </c>
      <c r="I436" s="451">
        <v>86.89</v>
      </c>
      <c r="J436" s="451">
        <v>86.34</v>
      </c>
      <c r="K436" s="451">
        <v>85.78</v>
      </c>
      <c r="L436" s="451">
        <v>85.24</v>
      </c>
      <c r="M436" s="451">
        <v>84.71</v>
      </c>
      <c r="N436" s="451">
        <v>84.19</v>
      </c>
      <c r="O436" s="451" t="s">
        <v>556</v>
      </c>
      <c r="P436" s="451" t="s">
        <v>556</v>
      </c>
      <c r="Q436" s="451" t="s">
        <v>556</v>
      </c>
      <c r="R436" s="451" t="s">
        <v>556</v>
      </c>
      <c r="S436" s="451" t="s">
        <v>556</v>
      </c>
      <c r="T436" s="133"/>
      <c r="U436" s="134">
        <v>89</v>
      </c>
      <c r="V436" s="450">
        <v>91.78</v>
      </c>
      <c r="W436" s="450">
        <v>91.31</v>
      </c>
      <c r="X436" s="450">
        <v>90.81</v>
      </c>
      <c r="Y436" s="450">
        <v>90.3</v>
      </c>
      <c r="Z436" s="450">
        <v>89.77</v>
      </c>
      <c r="AA436" s="450">
        <v>89.24</v>
      </c>
      <c r="AB436" s="450">
        <v>88.7</v>
      </c>
      <c r="AC436" s="450">
        <v>88.15</v>
      </c>
      <c r="AD436" s="450">
        <v>87.61</v>
      </c>
      <c r="AE436" s="450">
        <v>87.08</v>
      </c>
      <c r="AF436" s="450">
        <v>86.56</v>
      </c>
      <c r="AG436" s="450">
        <v>86.05</v>
      </c>
      <c r="AH436" s="450" t="s">
        <v>556</v>
      </c>
      <c r="AI436" s="450" t="s">
        <v>556</v>
      </c>
      <c r="AJ436" s="450" t="s">
        <v>556</v>
      </c>
      <c r="AK436" s="450" t="s">
        <v>556</v>
      </c>
      <c r="AL436" s="450" t="s">
        <v>556</v>
      </c>
      <c r="AM436" s="133"/>
      <c r="AN436" s="134">
        <v>89</v>
      </c>
      <c r="AO436" s="450">
        <v>93.3</v>
      </c>
      <c r="AP436" s="450">
        <v>92.83</v>
      </c>
      <c r="AQ436" s="450">
        <v>92.34</v>
      </c>
      <c r="AR436" s="450">
        <v>91.82</v>
      </c>
      <c r="AS436" s="450">
        <v>91.29</v>
      </c>
      <c r="AT436" s="450">
        <v>90.75</v>
      </c>
      <c r="AU436" s="450">
        <v>90.2</v>
      </c>
      <c r="AV436" s="450">
        <v>89.65</v>
      </c>
      <c r="AW436" s="450">
        <v>89.1</v>
      </c>
      <c r="AX436" s="450">
        <v>88.56</v>
      </c>
      <c r="AY436" s="450">
        <v>88.03</v>
      </c>
      <c r="AZ436" s="450">
        <v>87.51</v>
      </c>
      <c r="BA436" s="450" t="s">
        <v>556</v>
      </c>
      <c r="BB436" s="450" t="s">
        <v>556</v>
      </c>
      <c r="BC436" s="450" t="s">
        <v>556</v>
      </c>
      <c r="BD436" s="450" t="s">
        <v>556</v>
      </c>
      <c r="BE436" s="450" t="s">
        <v>556</v>
      </c>
    </row>
    <row r="437" spans="2:57" x14ac:dyDescent="0.25">
      <c r="B437" s="134">
        <v>90</v>
      </c>
      <c r="C437" s="451">
        <v>89.06</v>
      </c>
      <c r="D437" s="451">
        <v>88.5</v>
      </c>
      <c r="E437" s="451">
        <v>87.92</v>
      </c>
      <c r="F437" s="451">
        <v>87.33</v>
      </c>
      <c r="G437" s="451">
        <v>86.72</v>
      </c>
      <c r="H437" s="451">
        <v>86.12</v>
      </c>
      <c r="I437" s="451">
        <v>85.51</v>
      </c>
      <c r="J437" s="451">
        <v>84.91</v>
      </c>
      <c r="K437" s="451">
        <v>84.31</v>
      </c>
      <c r="L437" s="451">
        <v>83.73</v>
      </c>
      <c r="M437" s="451">
        <v>83.16</v>
      </c>
      <c r="N437" s="451" t="s">
        <v>556</v>
      </c>
      <c r="O437" s="451" t="s">
        <v>556</v>
      </c>
      <c r="P437" s="451" t="s">
        <v>556</v>
      </c>
      <c r="Q437" s="451" t="s">
        <v>556</v>
      </c>
      <c r="R437" s="451" t="s">
        <v>556</v>
      </c>
      <c r="S437" s="451" t="s">
        <v>556</v>
      </c>
      <c r="T437" s="133"/>
      <c r="U437" s="134">
        <v>90</v>
      </c>
      <c r="V437" s="450">
        <v>90.81</v>
      </c>
      <c r="W437" s="450">
        <v>90.26</v>
      </c>
      <c r="X437" s="450">
        <v>89.7</v>
      </c>
      <c r="Y437" s="450">
        <v>89.12</v>
      </c>
      <c r="Z437" s="450">
        <v>88.53</v>
      </c>
      <c r="AA437" s="450">
        <v>87.94</v>
      </c>
      <c r="AB437" s="450">
        <v>87.35</v>
      </c>
      <c r="AC437" s="450">
        <v>86.76</v>
      </c>
      <c r="AD437" s="450">
        <v>86.18</v>
      </c>
      <c r="AE437" s="450">
        <v>85.61</v>
      </c>
      <c r="AF437" s="450">
        <v>85.05</v>
      </c>
      <c r="AG437" s="450" t="s">
        <v>556</v>
      </c>
      <c r="AH437" s="450" t="s">
        <v>556</v>
      </c>
      <c r="AI437" s="450" t="s">
        <v>556</v>
      </c>
      <c r="AJ437" s="450" t="s">
        <v>556</v>
      </c>
      <c r="AK437" s="450" t="s">
        <v>556</v>
      </c>
      <c r="AL437" s="450" t="s">
        <v>556</v>
      </c>
      <c r="AM437" s="133"/>
      <c r="AN437" s="134">
        <v>90</v>
      </c>
      <c r="AO437" s="450">
        <v>92.32</v>
      </c>
      <c r="AP437" s="450">
        <v>91.78</v>
      </c>
      <c r="AQ437" s="450">
        <v>91.22</v>
      </c>
      <c r="AR437" s="450">
        <v>90.64</v>
      </c>
      <c r="AS437" s="450">
        <v>90.05</v>
      </c>
      <c r="AT437" s="450">
        <v>89.45</v>
      </c>
      <c r="AU437" s="450">
        <v>88.85</v>
      </c>
      <c r="AV437" s="450">
        <v>88.25</v>
      </c>
      <c r="AW437" s="450">
        <v>87.66</v>
      </c>
      <c r="AX437" s="450">
        <v>87.07</v>
      </c>
      <c r="AY437" s="450">
        <v>86.51</v>
      </c>
      <c r="AZ437" s="450" t="s">
        <v>556</v>
      </c>
      <c r="BA437" s="450" t="s">
        <v>556</v>
      </c>
      <c r="BB437" s="450" t="s">
        <v>556</v>
      </c>
      <c r="BC437" s="450" t="s">
        <v>556</v>
      </c>
      <c r="BD437" s="450" t="s">
        <v>556</v>
      </c>
      <c r="BE437" s="450" t="s">
        <v>556</v>
      </c>
    </row>
    <row r="438" spans="2:57" x14ac:dyDescent="0.25">
      <c r="B438" s="134">
        <v>91</v>
      </c>
      <c r="C438" s="451">
        <v>87.91</v>
      </c>
      <c r="D438" s="451">
        <v>87.27</v>
      </c>
      <c r="E438" s="451">
        <v>86.63</v>
      </c>
      <c r="F438" s="451">
        <v>85.97</v>
      </c>
      <c r="G438" s="451">
        <v>85.31</v>
      </c>
      <c r="H438" s="451">
        <v>84.65</v>
      </c>
      <c r="I438" s="451">
        <v>84</v>
      </c>
      <c r="J438" s="451">
        <v>83.35</v>
      </c>
      <c r="K438" s="451">
        <v>82.71</v>
      </c>
      <c r="L438" s="451">
        <v>82.09</v>
      </c>
      <c r="M438" s="451" t="s">
        <v>556</v>
      </c>
      <c r="N438" s="451" t="s">
        <v>556</v>
      </c>
      <c r="O438" s="451" t="s">
        <v>556</v>
      </c>
      <c r="P438" s="451" t="s">
        <v>556</v>
      </c>
      <c r="Q438" s="451" t="s">
        <v>556</v>
      </c>
      <c r="R438" s="451" t="s">
        <v>556</v>
      </c>
      <c r="S438" s="451" t="s">
        <v>556</v>
      </c>
      <c r="T438" s="133"/>
      <c r="U438" s="134">
        <v>91</v>
      </c>
      <c r="V438" s="450">
        <v>89.69</v>
      </c>
      <c r="W438" s="450">
        <v>89.07</v>
      </c>
      <c r="X438" s="450">
        <v>88.44</v>
      </c>
      <c r="Y438" s="450">
        <v>87.8</v>
      </c>
      <c r="Z438" s="450">
        <v>87.16</v>
      </c>
      <c r="AA438" s="450">
        <v>86.51</v>
      </c>
      <c r="AB438" s="450">
        <v>85.87</v>
      </c>
      <c r="AC438" s="450">
        <v>85.23</v>
      </c>
      <c r="AD438" s="450">
        <v>84.61</v>
      </c>
      <c r="AE438" s="450">
        <v>84.01</v>
      </c>
      <c r="AF438" s="450" t="s">
        <v>556</v>
      </c>
      <c r="AG438" s="450" t="s">
        <v>556</v>
      </c>
      <c r="AH438" s="450" t="s">
        <v>556</v>
      </c>
      <c r="AI438" s="450" t="s">
        <v>556</v>
      </c>
      <c r="AJ438" s="450" t="s">
        <v>556</v>
      </c>
      <c r="AK438" s="450" t="s">
        <v>556</v>
      </c>
      <c r="AL438" s="450" t="s">
        <v>556</v>
      </c>
      <c r="AM438" s="133"/>
      <c r="AN438" s="134">
        <v>91</v>
      </c>
      <c r="AO438" s="450">
        <v>91.2</v>
      </c>
      <c r="AP438" s="450">
        <v>90.59</v>
      </c>
      <c r="AQ438" s="450">
        <v>89.96</v>
      </c>
      <c r="AR438" s="450">
        <v>89.31</v>
      </c>
      <c r="AS438" s="450">
        <v>88.66</v>
      </c>
      <c r="AT438" s="450">
        <v>88.01</v>
      </c>
      <c r="AU438" s="450">
        <v>87.36</v>
      </c>
      <c r="AV438" s="450">
        <v>86.71</v>
      </c>
      <c r="AW438" s="450">
        <v>86.08</v>
      </c>
      <c r="AX438" s="450">
        <v>85.46</v>
      </c>
      <c r="AY438" s="450" t="s">
        <v>556</v>
      </c>
      <c r="AZ438" s="450" t="s">
        <v>556</v>
      </c>
      <c r="BA438" s="450" t="s">
        <v>556</v>
      </c>
      <c r="BB438" s="450" t="s">
        <v>556</v>
      </c>
      <c r="BC438" s="450" t="s">
        <v>556</v>
      </c>
      <c r="BD438" s="450" t="s">
        <v>556</v>
      </c>
      <c r="BE438" s="450" t="s">
        <v>556</v>
      </c>
    </row>
    <row r="439" spans="2:57" x14ac:dyDescent="0.25">
      <c r="B439" s="134">
        <v>92</v>
      </c>
      <c r="C439" s="451">
        <v>86.61</v>
      </c>
      <c r="D439" s="451">
        <v>85.91</v>
      </c>
      <c r="E439" s="451">
        <v>85.2</v>
      </c>
      <c r="F439" s="451">
        <v>84.48</v>
      </c>
      <c r="G439" s="451">
        <v>83.77</v>
      </c>
      <c r="H439" s="451">
        <v>83.06</v>
      </c>
      <c r="I439" s="451">
        <v>82.36</v>
      </c>
      <c r="J439" s="451">
        <v>81.67</v>
      </c>
      <c r="K439" s="451">
        <v>80.989999999999995</v>
      </c>
      <c r="L439" s="451" t="s">
        <v>556</v>
      </c>
      <c r="M439" s="451" t="s">
        <v>556</v>
      </c>
      <c r="N439" s="451" t="s">
        <v>556</v>
      </c>
      <c r="O439" s="451" t="s">
        <v>556</v>
      </c>
      <c r="P439" s="451" t="s">
        <v>556</v>
      </c>
      <c r="Q439" s="451" t="s">
        <v>556</v>
      </c>
      <c r="R439" s="451" t="s">
        <v>556</v>
      </c>
      <c r="S439" s="451" t="s">
        <v>556</v>
      </c>
      <c r="T439" s="133"/>
      <c r="U439" s="134">
        <v>92</v>
      </c>
      <c r="V439" s="450">
        <v>88.43</v>
      </c>
      <c r="W439" s="450">
        <v>87.74</v>
      </c>
      <c r="X439" s="450">
        <v>87.04</v>
      </c>
      <c r="Y439" s="450">
        <v>86.35</v>
      </c>
      <c r="Z439" s="450">
        <v>85.65</v>
      </c>
      <c r="AA439" s="450">
        <v>84.95</v>
      </c>
      <c r="AB439" s="450">
        <v>84.26</v>
      </c>
      <c r="AC439" s="450">
        <v>83.58</v>
      </c>
      <c r="AD439" s="450">
        <v>82.92</v>
      </c>
      <c r="AE439" s="450" t="s">
        <v>556</v>
      </c>
      <c r="AF439" s="450" t="s">
        <v>556</v>
      </c>
      <c r="AG439" s="450" t="s">
        <v>556</v>
      </c>
      <c r="AH439" s="450" t="s">
        <v>556</v>
      </c>
      <c r="AI439" s="450" t="s">
        <v>556</v>
      </c>
      <c r="AJ439" s="450" t="s">
        <v>556</v>
      </c>
      <c r="AK439" s="450" t="s">
        <v>556</v>
      </c>
      <c r="AL439" s="450" t="s">
        <v>556</v>
      </c>
      <c r="AM439" s="133"/>
      <c r="AN439" s="134">
        <v>92</v>
      </c>
      <c r="AO439" s="450">
        <v>89.93</v>
      </c>
      <c r="AP439" s="450">
        <v>89.25</v>
      </c>
      <c r="AQ439" s="450">
        <v>88.55</v>
      </c>
      <c r="AR439" s="450">
        <v>87.85</v>
      </c>
      <c r="AS439" s="450">
        <v>87.14</v>
      </c>
      <c r="AT439" s="450">
        <v>86.44</v>
      </c>
      <c r="AU439" s="450">
        <v>85.74</v>
      </c>
      <c r="AV439" s="450">
        <v>85.05</v>
      </c>
      <c r="AW439" s="450">
        <v>84.38</v>
      </c>
      <c r="AX439" s="450" t="s">
        <v>556</v>
      </c>
      <c r="AY439" s="450" t="s">
        <v>556</v>
      </c>
      <c r="AZ439" s="450" t="s">
        <v>556</v>
      </c>
      <c r="BA439" s="450" t="s">
        <v>556</v>
      </c>
      <c r="BB439" s="450" t="s">
        <v>556</v>
      </c>
      <c r="BC439" s="450" t="s">
        <v>556</v>
      </c>
      <c r="BD439" s="450" t="s">
        <v>556</v>
      </c>
      <c r="BE439" s="450" t="s">
        <v>556</v>
      </c>
    </row>
    <row r="440" spans="2:57" x14ac:dyDescent="0.25">
      <c r="B440" s="134">
        <v>93</v>
      </c>
      <c r="C440" s="451">
        <v>85.17</v>
      </c>
      <c r="D440" s="451">
        <v>84.41</v>
      </c>
      <c r="E440" s="451">
        <v>83.63</v>
      </c>
      <c r="F440" s="451">
        <v>82.86</v>
      </c>
      <c r="G440" s="451">
        <v>82.1</v>
      </c>
      <c r="H440" s="451">
        <v>81.34</v>
      </c>
      <c r="I440" s="451">
        <v>80.59</v>
      </c>
      <c r="J440" s="451">
        <v>79.86</v>
      </c>
      <c r="K440" s="451" t="s">
        <v>556</v>
      </c>
      <c r="L440" s="451" t="s">
        <v>556</v>
      </c>
      <c r="M440" s="451" t="s">
        <v>556</v>
      </c>
      <c r="N440" s="451" t="s">
        <v>556</v>
      </c>
      <c r="O440" s="451" t="s">
        <v>556</v>
      </c>
      <c r="P440" s="451" t="s">
        <v>556</v>
      </c>
      <c r="Q440" s="451" t="s">
        <v>556</v>
      </c>
      <c r="R440" s="451" t="s">
        <v>556</v>
      </c>
      <c r="S440" s="451" t="s">
        <v>556</v>
      </c>
      <c r="T440" s="133"/>
      <c r="U440" s="134">
        <v>93</v>
      </c>
      <c r="V440" s="450">
        <v>87.02</v>
      </c>
      <c r="W440" s="450">
        <v>86.27</v>
      </c>
      <c r="X440" s="450">
        <v>85.51</v>
      </c>
      <c r="Y440" s="450">
        <v>84.76</v>
      </c>
      <c r="Z440" s="450">
        <v>84.01</v>
      </c>
      <c r="AA440" s="450">
        <v>83.26</v>
      </c>
      <c r="AB440" s="450">
        <v>82.53</v>
      </c>
      <c r="AC440" s="450">
        <v>81.81</v>
      </c>
      <c r="AD440" s="450" t="s">
        <v>556</v>
      </c>
      <c r="AE440" s="450" t="s">
        <v>556</v>
      </c>
      <c r="AF440" s="450" t="s">
        <v>556</v>
      </c>
      <c r="AG440" s="450" t="s">
        <v>556</v>
      </c>
      <c r="AH440" s="450" t="s">
        <v>556</v>
      </c>
      <c r="AI440" s="450" t="s">
        <v>556</v>
      </c>
      <c r="AJ440" s="450" t="s">
        <v>556</v>
      </c>
      <c r="AK440" s="450" t="s">
        <v>556</v>
      </c>
      <c r="AL440" s="450" t="s">
        <v>556</v>
      </c>
      <c r="AM440" s="133"/>
      <c r="AN440" s="134">
        <v>93</v>
      </c>
      <c r="AO440" s="450">
        <v>88.52</v>
      </c>
      <c r="AP440" s="450">
        <v>87.77</v>
      </c>
      <c r="AQ440" s="450">
        <v>87.01</v>
      </c>
      <c r="AR440" s="450">
        <v>86.25</v>
      </c>
      <c r="AS440" s="450">
        <v>85.49</v>
      </c>
      <c r="AT440" s="450">
        <v>84.74</v>
      </c>
      <c r="AU440" s="450">
        <v>84</v>
      </c>
      <c r="AV440" s="450">
        <v>83.27</v>
      </c>
      <c r="AW440" s="450" t="s">
        <v>556</v>
      </c>
      <c r="AX440" s="450" t="s">
        <v>556</v>
      </c>
      <c r="AY440" s="450" t="s">
        <v>556</v>
      </c>
      <c r="AZ440" s="450" t="s">
        <v>556</v>
      </c>
      <c r="BA440" s="450" t="s">
        <v>556</v>
      </c>
      <c r="BB440" s="450" t="s">
        <v>556</v>
      </c>
      <c r="BC440" s="450" t="s">
        <v>556</v>
      </c>
      <c r="BD440" s="450" t="s">
        <v>556</v>
      </c>
      <c r="BE440" s="450" t="s">
        <v>556</v>
      </c>
    </row>
    <row r="441" spans="2:57" x14ac:dyDescent="0.25">
      <c r="B441" s="134">
        <v>94</v>
      </c>
      <c r="C441" s="451">
        <v>83.6</v>
      </c>
      <c r="D441" s="451">
        <v>82.77</v>
      </c>
      <c r="E441" s="451">
        <v>81.94</v>
      </c>
      <c r="F441" s="451">
        <v>81.12</v>
      </c>
      <c r="G441" s="451">
        <v>80.3</v>
      </c>
      <c r="H441" s="451">
        <v>79.5</v>
      </c>
      <c r="I441" s="451">
        <v>78.709999999999994</v>
      </c>
      <c r="J441" s="451" t="s">
        <v>556</v>
      </c>
      <c r="K441" s="451" t="s">
        <v>556</v>
      </c>
      <c r="L441" s="451" t="s">
        <v>556</v>
      </c>
      <c r="M441" s="451" t="s">
        <v>556</v>
      </c>
      <c r="N441" s="451" t="s">
        <v>556</v>
      </c>
      <c r="O441" s="451" t="s">
        <v>556</v>
      </c>
      <c r="P441" s="451" t="s">
        <v>556</v>
      </c>
      <c r="Q441" s="451" t="s">
        <v>556</v>
      </c>
      <c r="R441" s="451" t="s">
        <v>556</v>
      </c>
      <c r="S441" s="451" t="s">
        <v>556</v>
      </c>
      <c r="T441" s="133"/>
      <c r="U441" s="134">
        <v>94</v>
      </c>
      <c r="V441" s="450">
        <v>85.49</v>
      </c>
      <c r="W441" s="450">
        <v>84.67</v>
      </c>
      <c r="X441" s="450">
        <v>83.86</v>
      </c>
      <c r="Y441" s="450">
        <v>83.05</v>
      </c>
      <c r="Z441" s="450">
        <v>82.24</v>
      </c>
      <c r="AA441" s="450">
        <v>81.459999999999994</v>
      </c>
      <c r="AB441" s="450">
        <v>80.680000000000007</v>
      </c>
      <c r="AC441" s="450" t="s">
        <v>556</v>
      </c>
      <c r="AD441" s="450" t="s">
        <v>556</v>
      </c>
      <c r="AE441" s="450" t="s">
        <v>556</v>
      </c>
      <c r="AF441" s="450" t="s">
        <v>556</v>
      </c>
      <c r="AG441" s="450" t="s">
        <v>556</v>
      </c>
      <c r="AH441" s="450" t="s">
        <v>556</v>
      </c>
      <c r="AI441" s="450" t="s">
        <v>556</v>
      </c>
      <c r="AJ441" s="450" t="s">
        <v>556</v>
      </c>
      <c r="AK441" s="450" t="s">
        <v>556</v>
      </c>
      <c r="AL441" s="450" t="s">
        <v>556</v>
      </c>
      <c r="AM441" s="133"/>
      <c r="AN441" s="134">
        <v>94</v>
      </c>
      <c r="AO441" s="450">
        <v>86.97</v>
      </c>
      <c r="AP441" s="450">
        <v>86.16</v>
      </c>
      <c r="AQ441" s="450">
        <v>85.34</v>
      </c>
      <c r="AR441" s="450">
        <v>84.53</v>
      </c>
      <c r="AS441" s="450">
        <v>83.72</v>
      </c>
      <c r="AT441" s="450">
        <v>82.92</v>
      </c>
      <c r="AU441" s="450">
        <v>82.14</v>
      </c>
      <c r="AV441" s="450" t="s">
        <v>556</v>
      </c>
      <c r="AW441" s="450" t="s">
        <v>556</v>
      </c>
      <c r="AX441" s="450" t="s">
        <v>556</v>
      </c>
      <c r="AY441" s="450" t="s">
        <v>556</v>
      </c>
      <c r="AZ441" s="450" t="s">
        <v>556</v>
      </c>
      <c r="BA441" s="450" t="s">
        <v>556</v>
      </c>
      <c r="BB441" s="450" t="s">
        <v>556</v>
      </c>
      <c r="BC441" s="450" t="s">
        <v>556</v>
      </c>
      <c r="BD441" s="450" t="s">
        <v>556</v>
      </c>
      <c r="BE441" s="450" t="s">
        <v>556</v>
      </c>
    </row>
    <row r="442" spans="2:57" x14ac:dyDescent="0.25">
      <c r="B442" s="134">
        <v>95</v>
      </c>
      <c r="C442" s="451">
        <v>81.91</v>
      </c>
      <c r="D442" s="451">
        <v>81.02</v>
      </c>
      <c r="E442" s="451">
        <v>80.13</v>
      </c>
      <c r="F442" s="451">
        <v>79.260000000000005</v>
      </c>
      <c r="G442" s="451">
        <v>78.39</v>
      </c>
      <c r="H442" s="451">
        <v>77.540000000000006</v>
      </c>
      <c r="I442" s="451" t="s">
        <v>556</v>
      </c>
      <c r="J442" s="451" t="s">
        <v>556</v>
      </c>
      <c r="K442" s="451" t="s">
        <v>556</v>
      </c>
      <c r="L442" s="451" t="s">
        <v>556</v>
      </c>
      <c r="M442" s="451" t="s">
        <v>556</v>
      </c>
      <c r="N442" s="451" t="s">
        <v>556</v>
      </c>
      <c r="O442" s="451" t="s">
        <v>556</v>
      </c>
      <c r="P442" s="451" t="s">
        <v>556</v>
      </c>
      <c r="Q442" s="451" t="s">
        <v>556</v>
      </c>
      <c r="R442" s="451" t="s">
        <v>556</v>
      </c>
      <c r="S442" s="451" t="s">
        <v>556</v>
      </c>
      <c r="T442" s="133"/>
      <c r="U442" s="134">
        <v>95</v>
      </c>
      <c r="V442" s="450">
        <v>83.82</v>
      </c>
      <c r="W442" s="450">
        <v>82.94</v>
      </c>
      <c r="X442" s="450">
        <v>82.07</v>
      </c>
      <c r="Y442" s="450">
        <v>81.209999999999994</v>
      </c>
      <c r="Z442" s="450">
        <v>80.37</v>
      </c>
      <c r="AA442" s="450">
        <v>79.540000000000006</v>
      </c>
      <c r="AB442" s="450" t="s">
        <v>556</v>
      </c>
      <c r="AC442" s="450" t="s">
        <v>556</v>
      </c>
      <c r="AD442" s="450" t="s">
        <v>556</v>
      </c>
      <c r="AE442" s="450" t="s">
        <v>556</v>
      </c>
      <c r="AF442" s="450" t="s">
        <v>556</v>
      </c>
      <c r="AG442" s="450" t="s">
        <v>556</v>
      </c>
      <c r="AH442" s="450" t="s">
        <v>556</v>
      </c>
      <c r="AI442" s="450" t="s">
        <v>556</v>
      </c>
      <c r="AJ442" s="450" t="s">
        <v>556</v>
      </c>
      <c r="AK442" s="450" t="s">
        <v>556</v>
      </c>
      <c r="AL442" s="450" t="s">
        <v>556</v>
      </c>
      <c r="AM442" s="133"/>
      <c r="AN442" s="134">
        <v>95</v>
      </c>
      <c r="AO442" s="450">
        <v>85.29</v>
      </c>
      <c r="AP442" s="450">
        <v>84.42</v>
      </c>
      <c r="AQ442" s="450">
        <v>83.55</v>
      </c>
      <c r="AR442" s="450">
        <v>82.68</v>
      </c>
      <c r="AS442" s="450">
        <v>81.83</v>
      </c>
      <c r="AT442" s="450">
        <v>80.989999999999995</v>
      </c>
      <c r="AU442" s="450" t="s">
        <v>556</v>
      </c>
      <c r="AV442" s="450" t="s">
        <v>556</v>
      </c>
      <c r="AW442" s="450" t="s">
        <v>556</v>
      </c>
      <c r="AX442" s="450" t="s">
        <v>556</v>
      </c>
      <c r="AY442" s="450" t="s">
        <v>556</v>
      </c>
      <c r="AZ442" s="450" t="s">
        <v>556</v>
      </c>
      <c r="BA442" s="450" t="s">
        <v>556</v>
      </c>
      <c r="BB442" s="450" t="s">
        <v>556</v>
      </c>
      <c r="BC442" s="450" t="s">
        <v>556</v>
      </c>
      <c r="BD442" s="450" t="s">
        <v>556</v>
      </c>
      <c r="BE442" s="450" t="s">
        <v>556</v>
      </c>
    </row>
    <row r="443" spans="2:57" x14ac:dyDescent="0.25">
      <c r="B443" s="134">
        <v>96</v>
      </c>
      <c r="C443" s="451">
        <v>80.09</v>
      </c>
      <c r="D443" s="451">
        <v>79.14</v>
      </c>
      <c r="E443" s="451">
        <v>78.2</v>
      </c>
      <c r="F443" s="451">
        <v>77.28</v>
      </c>
      <c r="G443" s="451">
        <v>76.37</v>
      </c>
      <c r="H443" s="451" t="s">
        <v>556</v>
      </c>
      <c r="I443" s="451" t="s">
        <v>556</v>
      </c>
      <c r="J443" s="451" t="s">
        <v>556</v>
      </c>
      <c r="K443" s="451" t="s">
        <v>556</v>
      </c>
      <c r="L443" s="451" t="s">
        <v>556</v>
      </c>
      <c r="M443" s="451" t="s">
        <v>556</v>
      </c>
      <c r="N443" s="451" t="s">
        <v>556</v>
      </c>
      <c r="O443" s="451" t="s">
        <v>556</v>
      </c>
      <c r="P443" s="451" t="s">
        <v>556</v>
      </c>
      <c r="Q443" s="451" t="s">
        <v>556</v>
      </c>
      <c r="R443" s="451" t="s">
        <v>556</v>
      </c>
      <c r="S443" s="451" t="s">
        <v>556</v>
      </c>
      <c r="T443" s="133"/>
      <c r="U443" s="134">
        <v>96</v>
      </c>
      <c r="V443" s="450">
        <v>82.03</v>
      </c>
      <c r="W443" s="450">
        <v>81.099999999999994</v>
      </c>
      <c r="X443" s="450">
        <v>80.180000000000007</v>
      </c>
      <c r="Y443" s="450">
        <v>79.27</v>
      </c>
      <c r="Z443" s="450">
        <v>78.38</v>
      </c>
      <c r="AA443" s="450" t="s">
        <v>556</v>
      </c>
      <c r="AB443" s="450" t="s">
        <v>556</v>
      </c>
      <c r="AC443" s="450" t="s">
        <v>556</v>
      </c>
      <c r="AD443" s="450" t="s">
        <v>556</v>
      </c>
      <c r="AE443" s="450" t="s">
        <v>556</v>
      </c>
      <c r="AF443" s="450" t="s">
        <v>556</v>
      </c>
      <c r="AG443" s="450" t="s">
        <v>556</v>
      </c>
      <c r="AH443" s="450" t="s">
        <v>556</v>
      </c>
      <c r="AI443" s="450" t="s">
        <v>556</v>
      </c>
      <c r="AJ443" s="450" t="s">
        <v>556</v>
      </c>
      <c r="AK443" s="450" t="s">
        <v>556</v>
      </c>
      <c r="AL443" s="450" t="s">
        <v>556</v>
      </c>
      <c r="AM443" s="133"/>
      <c r="AN443" s="134">
        <v>96</v>
      </c>
      <c r="AO443" s="450">
        <v>83.49</v>
      </c>
      <c r="AP443" s="450">
        <v>82.56</v>
      </c>
      <c r="AQ443" s="450">
        <v>81.64</v>
      </c>
      <c r="AR443" s="450">
        <v>80.73</v>
      </c>
      <c r="AS443" s="450">
        <v>79.83</v>
      </c>
      <c r="AT443" s="450" t="s">
        <v>556</v>
      </c>
      <c r="AU443" s="450" t="s">
        <v>556</v>
      </c>
      <c r="AV443" s="450" t="s">
        <v>556</v>
      </c>
      <c r="AW443" s="450" t="s">
        <v>556</v>
      </c>
      <c r="AX443" s="450" t="s">
        <v>556</v>
      </c>
      <c r="AY443" s="450" t="s">
        <v>556</v>
      </c>
      <c r="AZ443" s="450" t="s">
        <v>556</v>
      </c>
      <c r="BA443" s="450" t="s">
        <v>556</v>
      </c>
      <c r="BB443" s="450" t="s">
        <v>556</v>
      </c>
      <c r="BC443" s="450" t="s">
        <v>556</v>
      </c>
      <c r="BD443" s="450" t="s">
        <v>556</v>
      </c>
      <c r="BE443" s="450" t="s">
        <v>556</v>
      </c>
    </row>
    <row r="444" spans="2:57" x14ac:dyDescent="0.25">
      <c r="B444" s="134">
        <v>97</v>
      </c>
      <c r="C444" s="451">
        <v>78.150000000000006</v>
      </c>
      <c r="D444" s="451">
        <v>77.150000000000006</v>
      </c>
      <c r="E444" s="451">
        <v>76.17</v>
      </c>
      <c r="F444" s="451">
        <v>75.19</v>
      </c>
      <c r="G444" s="451" t="s">
        <v>556</v>
      </c>
      <c r="H444" s="451" t="s">
        <v>556</v>
      </c>
      <c r="I444" s="451" t="s">
        <v>556</v>
      </c>
      <c r="J444" s="451" t="s">
        <v>556</v>
      </c>
      <c r="K444" s="451" t="s">
        <v>556</v>
      </c>
      <c r="L444" s="451" t="s">
        <v>556</v>
      </c>
      <c r="M444" s="451" t="s">
        <v>556</v>
      </c>
      <c r="N444" s="451" t="s">
        <v>556</v>
      </c>
      <c r="O444" s="451" t="s">
        <v>556</v>
      </c>
      <c r="P444" s="451" t="s">
        <v>556</v>
      </c>
      <c r="Q444" s="451" t="s">
        <v>556</v>
      </c>
      <c r="R444" s="451" t="s">
        <v>556</v>
      </c>
      <c r="S444" s="451" t="s">
        <v>556</v>
      </c>
      <c r="T444" s="133"/>
      <c r="U444" s="134">
        <v>97</v>
      </c>
      <c r="V444" s="450">
        <v>80.13</v>
      </c>
      <c r="W444" s="450">
        <v>79.150000000000006</v>
      </c>
      <c r="X444" s="450">
        <v>78.180000000000007</v>
      </c>
      <c r="Y444" s="450">
        <v>77.22</v>
      </c>
      <c r="Z444" s="450" t="s">
        <v>556</v>
      </c>
      <c r="AA444" s="450" t="s">
        <v>556</v>
      </c>
      <c r="AB444" s="450" t="s">
        <v>556</v>
      </c>
      <c r="AC444" s="450" t="s">
        <v>556</v>
      </c>
      <c r="AD444" s="450" t="s">
        <v>556</v>
      </c>
      <c r="AE444" s="450" t="s">
        <v>556</v>
      </c>
      <c r="AF444" s="450" t="s">
        <v>556</v>
      </c>
      <c r="AG444" s="450" t="s">
        <v>556</v>
      </c>
      <c r="AH444" s="450" t="s">
        <v>556</v>
      </c>
      <c r="AI444" s="450" t="s">
        <v>556</v>
      </c>
      <c r="AJ444" s="450" t="s">
        <v>556</v>
      </c>
      <c r="AK444" s="450" t="s">
        <v>556</v>
      </c>
      <c r="AL444" s="450" t="s">
        <v>556</v>
      </c>
      <c r="AM444" s="133"/>
      <c r="AN444" s="134">
        <v>97</v>
      </c>
      <c r="AO444" s="450">
        <v>81.58</v>
      </c>
      <c r="AP444" s="450">
        <v>80.599999999999994</v>
      </c>
      <c r="AQ444" s="450">
        <v>79.62</v>
      </c>
      <c r="AR444" s="450">
        <v>78.66</v>
      </c>
      <c r="AS444" s="450" t="s">
        <v>556</v>
      </c>
      <c r="AT444" s="450" t="s">
        <v>556</v>
      </c>
      <c r="AU444" s="450" t="s">
        <v>556</v>
      </c>
      <c r="AV444" s="450" t="s">
        <v>556</v>
      </c>
      <c r="AW444" s="450" t="s">
        <v>556</v>
      </c>
      <c r="AX444" s="450" t="s">
        <v>556</v>
      </c>
      <c r="AY444" s="450" t="s">
        <v>556</v>
      </c>
      <c r="AZ444" s="450" t="s">
        <v>556</v>
      </c>
      <c r="BA444" s="450" t="s">
        <v>556</v>
      </c>
      <c r="BB444" s="450" t="s">
        <v>556</v>
      </c>
      <c r="BC444" s="450" t="s">
        <v>556</v>
      </c>
      <c r="BD444" s="450" t="s">
        <v>556</v>
      </c>
      <c r="BE444" s="450" t="s">
        <v>556</v>
      </c>
    </row>
    <row r="445" spans="2:57" x14ac:dyDescent="0.25">
      <c r="B445" s="134">
        <v>98</v>
      </c>
      <c r="C445" s="451">
        <v>76.11</v>
      </c>
      <c r="D445" s="451">
        <v>75.05</v>
      </c>
      <c r="E445" s="451">
        <v>74.02</v>
      </c>
      <c r="F445" s="451" t="s">
        <v>556</v>
      </c>
      <c r="G445" s="451" t="s">
        <v>556</v>
      </c>
      <c r="H445" s="451" t="s">
        <v>556</v>
      </c>
      <c r="I445" s="451" t="s">
        <v>556</v>
      </c>
      <c r="J445" s="451" t="s">
        <v>556</v>
      </c>
      <c r="K445" s="451" t="s">
        <v>556</v>
      </c>
      <c r="L445" s="451" t="s">
        <v>556</v>
      </c>
      <c r="M445" s="451" t="s">
        <v>556</v>
      </c>
      <c r="N445" s="451" t="s">
        <v>556</v>
      </c>
      <c r="O445" s="451" t="s">
        <v>556</v>
      </c>
      <c r="P445" s="451" t="s">
        <v>556</v>
      </c>
      <c r="Q445" s="451" t="s">
        <v>556</v>
      </c>
      <c r="R445" s="451" t="s">
        <v>556</v>
      </c>
      <c r="S445" s="451" t="s">
        <v>556</v>
      </c>
      <c r="T445" s="133"/>
      <c r="U445" s="134">
        <v>98</v>
      </c>
      <c r="V445" s="450">
        <v>78.12</v>
      </c>
      <c r="W445" s="450">
        <v>77.08</v>
      </c>
      <c r="X445" s="450">
        <v>76.069999999999993</v>
      </c>
      <c r="Y445" s="450" t="s">
        <v>556</v>
      </c>
      <c r="Z445" s="450" t="s">
        <v>556</v>
      </c>
      <c r="AA445" s="450" t="s">
        <v>556</v>
      </c>
      <c r="AB445" s="450" t="s">
        <v>556</v>
      </c>
      <c r="AC445" s="450" t="s">
        <v>556</v>
      </c>
      <c r="AD445" s="450" t="s">
        <v>556</v>
      </c>
      <c r="AE445" s="450" t="s">
        <v>556</v>
      </c>
      <c r="AF445" s="450" t="s">
        <v>556</v>
      </c>
      <c r="AG445" s="450" t="s">
        <v>556</v>
      </c>
      <c r="AH445" s="450" t="s">
        <v>556</v>
      </c>
      <c r="AI445" s="450" t="s">
        <v>556</v>
      </c>
      <c r="AJ445" s="450" t="s">
        <v>556</v>
      </c>
      <c r="AK445" s="450" t="s">
        <v>556</v>
      </c>
      <c r="AL445" s="450" t="s">
        <v>556</v>
      </c>
      <c r="AM445" s="133"/>
      <c r="AN445" s="134">
        <v>98</v>
      </c>
      <c r="AO445" s="450">
        <v>79.55</v>
      </c>
      <c r="AP445" s="450">
        <v>78.52</v>
      </c>
      <c r="AQ445" s="450">
        <v>77.5</v>
      </c>
      <c r="AR445" s="450" t="s">
        <v>556</v>
      </c>
      <c r="AS445" s="450" t="s">
        <v>556</v>
      </c>
      <c r="AT445" s="450" t="s">
        <v>556</v>
      </c>
      <c r="AU445" s="450" t="s">
        <v>556</v>
      </c>
      <c r="AV445" s="450" t="s">
        <v>556</v>
      </c>
      <c r="AW445" s="450" t="s">
        <v>556</v>
      </c>
      <c r="AX445" s="450" t="s">
        <v>556</v>
      </c>
      <c r="AY445" s="450" t="s">
        <v>556</v>
      </c>
      <c r="AZ445" s="450" t="s">
        <v>556</v>
      </c>
      <c r="BA445" s="450" t="s">
        <v>556</v>
      </c>
      <c r="BB445" s="450" t="s">
        <v>556</v>
      </c>
      <c r="BC445" s="450" t="s">
        <v>556</v>
      </c>
      <c r="BD445" s="450" t="s">
        <v>556</v>
      </c>
      <c r="BE445" s="450" t="s">
        <v>556</v>
      </c>
    </row>
    <row r="446" spans="2:57" x14ac:dyDescent="0.25">
      <c r="B446" s="134">
        <v>99</v>
      </c>
      <c r="C446" s="451">
        <v>73.95</v>
      </c>
      <c r="D446" s="451">
        <v>72.84</v>
      </c>
      <c r="E446" s="451" t="s">
        <v>556</v>
      </c>
      <c r="F446" s="451" t="s">
        <v>556</v>
      </c>
      <c r="G446" s="451" t="s">
        <v>556</v>
      </c>
      <c r="H446" s="451" t="s">
        <v>556</v>
      </c>
      <c r="I446" s="451" t="s">
        <v>556</v>
      </c>
      <c r="J446" s="451" t="s">
        <v>556</v>
      </c>
      <c r="K446" s="451" t="s">
        <v>556</v>
      </c>
      <c r="L446" s="451" t="s">
        <v>556</v>
      </c>
      <c r="M446" s="451" t="s">
        <v>556</v>
      </c>
      <c r="N446" s="451" t="s">
        <v>556</v>
      </c>
      <c r="O446" s="451" t="s">
        <v>556</v>
      </c>
      <c r="P446" s="451" t="s">
        <v>556</v>
      </c>
      <c r="Q446" s="451" t="s">
        <v>556</v>
      </c>
      <c r="R446" s="451" t="s">
        <v>556</v>
      </c>
      <c r="S446" s="451" t="s">
        <v>556</v>
      </c>
      <c r="T446" s="133"/>
      <c r="U446" s="134">
        <v>99</v>
      </c>
      <c r="V446" s="450">
        <v>76</v>
      </c>
      <c r="W446" s="450">
        <v>74.91</v>
      </c>
      <c r="X446" s="450" t="s">
        <v>556</v>
      </c>
      <c r="Y446" s="450" t="s">
        <v>556</v>
      </c>
      <c r="Z446" s="450" t="s">
        <v>556</v>
      </c>
      <c r="AA446" s="450" t="s">
        <v>556</v>
      </c>
      <c r="AB446" s="450" t="s">
        <v>556</v>
      </c>
      <c r="AC446" s="450" t="s">
        <v>556</v>
      </c>
      <c r="AD446" s="450" t="s">
        <v>556</v>
      </c>
      <c r="AE446" s="450" t="s">
        <v>556</v>
      </c>
      <c r="AF446" s="450" t="s">
        <v>556</v>
      </c>
      <c r="AG446" s="450" t="s">
        <v>556</v>
      </c>
      <c r="AH446" s="450" t="s">
        <v>556</v>
      </c>
      <c r="AI446" s="450" t="s">
        <v>556</v>
      </c>
      <c r="AJ446" s="450" t="s">
        <v>556</v>
      </c>
      <c r="AK446" s="450" t="s">
        <v>556</v>
      </c>
      <c r="AL446" s="450" t="s">
        <v>556</v>
      </c>
      <c r="AM446" s="133"/>
      <c r="AN446" s="134">
        <v>99</v>
      </c>
      <c r="AO446" s="450">
        <v>77.42</v>
      </c>
      <c r="AP446" s="450">
        <v>76.34</v>
      </c>
      <c r="AQ446" s="450" t="s">
        <v>556</v>
      </c>
      <c r="AR446" s="450" t="s">
        <v>556</v>
      </c>
      <c r="AS446" s="450" t="s">
        <v>556</v>
      </c>
      <c r="AT446" s="450" t="s">
        <v>556</v>
      </c>
      <c r="AU446" s="450" t="s">
        <v>556</v>
      </c>
      <c r="AV446" s="450" t="s">
        <v>556</v>
      </c>
      <c r="AW446" s="450" t="s">
        <v>556</v>
      </c>
      <c r="AX446" s="450" t="s">
        <v>556</v>
      </c>
      <c r="AY446" s="450" t="s">
        <v>556</v>
      </c>
      <c r="AZ446" s="450" t="s">
        <v>556</v>
      </c>
      <c r="BA446" s="450" t="s">
        <v>556</v>
      </c>
      <c r="BB446" s="450" t="s">
        <v>556</v>
      </c>
      <c r="BC446" s="450" t="s">
        <v>556</v>
      </c>
      <c r="BD446" s="450" t="s">
        <v>556</v>
      </c>
      <c r="BE446" s="450" t="s">
        <v>556</v>
      </c>
    </row>
    <row r="447" spans="2:57" x14ac:dyDescent="0.25">
      <c r="B447" s="134">
        <v>100</v>
      </c>
      <c r="C447" s="451">
        <v>71.67</v>
      </c>
      <c r="D447" s="451" t="s">
        <v>556</v>
      </c>
      <c r="E447" s="451" t="s">
        <v>556</v>
      </c>
      <c r="F447" s="451" t="s">
        <v>556</v>
      </c>
      <c r="G447" s="451" t="s">
        <v>556</v>
      </c>
      <c r="H447" s="451" t="s">
        <v>556</v>
      </c>
      <c r="I447" s="451" t="s">
        <v>556</v>
      </c>
      <c r="J447" s="451" t="s">
        <v>556</v>
      </c>
      <c r="K447" s="451" t="s">
        <v>556</v>
      </c>
      <c r="L447" s="451" t="s">
        <v>556</v>
      </c>
      <c r="M447" s="451" t="s">
        <v>556</v>
      </c>
      <c r="N447" s="451" t="s">
        <v>556</v>
      </c>
      <c r="O447" s="451" t="s">
        <v>556</v>
      </c>
      <c r="P447" s="451" t="s">
        <v>556</v>
      </c>
      <c r="Q447" s="451" t="s">
        <v>556</v>
      </c>
      <c r="R447" s="451" t="s">
        <v>556</v>
      </c>
      <c r="S447" s="451" t="s">
        <v>556</v>
      </c>
      <c r="T447" s="133"/>
      <c r="U447" s="134">
        <v>100</v>
      </c>
      <c r="V447" s="450">
        <v>73.77</v>
      </c>
      <c r="W447" s="450" t="s">
        <v>556</v>
      </c>
      <c r="X447" s="450" t="s">
        <v>556</v>
      </c>
      <c r="Y447" s="450" t="s">
        <v>556</v>
      </c>
      <c r="Z447" s="450" t="s">
        <v>556</v>
      </c>
      <c r="AA447" s="450" t="s">
        <v>556</v>
      </c>
      <c r="AB447" s="450" t="s">
        <v>556</v>
      </c>
      <c r="AC447" s="450" t="s">
        <v>556</v>
      </c>
      <c r="AD447" s="450" t="s">
        <v>556</v>
      </c>
      <c r="AE447" s="450" t="s">
        <v>556</v>
      </c>
      <c r="AF447" s="450" t="s">
        <v>556</v>
      </c>
      <c r="AG447" s="450" t="s">
        <v>556</v>
      </c>
      <c r="AH447" s="450" t="s">
        <v>556</v>
      </c>
      <c r="AI447" s="450" t="s">
        <v>556</v>
      </c>
      <c r="AJ447" s="450" t="s">
        <v>556</v>
      </c>
      <c r="AK447" s="450" t="s">
        <v>556</v>
      </c>
      <c r="AL447" s="450" t="s">
        <v>556</v>
      </c>
      <c r="AM447" s="133"/>
      <c r="AN447" s="134">
        <v>100</v>
      </c>
      <c r="AO447" s="450">
        <v>75.180000000000007</v>
      </c>
      <c r="AP447" s="450" t="s">
        <v>556</v>
      </c>
      <c r="AQ447" s="450" t="s">
        <v>556</v>
      </c>
      <c r="AR447" s="450" t="s">
        <v>556</v>
      </c>
      <c r="AS447" s="450" t="s">
        <v>556</v>
      </c>
      <c r="AT447" s="450" t="s">
        <v>556</v>
      </c>
      <c r="AU447" s="450" t="s">
        <v>556</v>
      </c>
      <c r="AV447" s="450" t="s">
        <v>556</v>
      </c>
      <c r="AW447" s="450" t="s">
        <v>556</v>
      </c>
      <c r="AX447" s="450" t="s">
        <v>556</v>
      </c>
      <c r="AY447" s="450" t="s">
        <v>556</v>
      </c>
      <c r="AZ447" s="450" t="s">
        <v>556</v>
      </c>
      <c r="BA447" s="450" t="s">
        <v>556</v>
      </c>
      <c r="BB447" s="450" t="s">
        <v>556</v>
      </c>
      <c r="BC447" s="450" t="s">
        <v>556</v>
      </c>
      <c r="BD447" s="450" t="s">
        <v>556</v>
      </c>
      <c r="BE447" s="450" t="s">
        <v>556</v>
      </c>
    </row>
    <row r="451" spans="2:57" ht="20.45" customHeight="1" x14ac:dyDescent="0.25">
      <c r="B451" s="444" t="s">
        <v>191</v>
      </c>
      <c r="C451" s="526" t="s">
        <v>230</v>
      </c>
      <c r="D451" s="527"/>
      <c r="E451" s="527"/>
      <c r="F451" s="527"/>
      <c r="G451" s="527"/>
      <c r="H451" s="527"/>
      <c r="I451" s="527"/>
      <c r="J451" s="527"/>
      <c r="K451" s="527"/>
      <c r="L451" s="527"/>
      <c r="M451" s="527"/>
      <c r="N451" s="527"/>
      <c r="O451" s="527"/>
      <c r="P451" s="527"/>
      <c r="Q451" s="527"/>
      <c r="R451" s="527"/>
      <c r="S451" s="527"/>
      <c r="V451" s="526" t="s">
        <v>230</v>
      </c>
      <c r="W451" s="527"/>
      <c r="X451" s="527"/>
      <c r="Y451" s="527"/>
      <c r="Z451" s="527"/>
      <c r="AA451" s="527"/>
      <c r="AB451" s="527"/>
      <c r="AC451" s="527"/>
      <c r="AD451" s="527"/>
      <c r="AE451" s="527"/>
      <c r="AF451" s="527"/>
      <c r="AG451" s="527"/>
      <c r="AH451" s="527"/>
      <c r="AI451" s="527"/>
      <c r="AJ451" s="527"/>
      <c r="AK451" s="527"/>
      <c r="AL451" s="527"/>
      <c r="AO451" s="526" t="s">
        <v>230</v>
      </c>
      <c r="AP451" s="527"/>
      <c r="AQ451" s="527"/>
      <c r="AR451" s="527"/>
      <c r="AS451" s="527"/>
      <c r="AT451" s="527"/>
      <c r="AU451" s="527"/>
      <c r="AV451" s="527"/>
      <c r="AW451" s="527"/>
      <c r="AX451" s="527"/>
      <c r="AY451" s="527"/>
      <c r="AZ451" s="527"/>
      <c r="BA451" s="527"/>
      <c r="BB451" s="527"/>
      <c r="BC451" s="527"/>
      <c r="BD451" s="527"/>
      <c r="BE451" s="527"/>
    </row>
    <row r="452" spans="2:57" x14ac:dyDescent="0.25">
      <c r="B452" s="444"/>
      <c r="V452" s="444"/>
      <c r="AO452" s="444"/>
    </row>
    <row r="453" spans="2:57" x14ac:dyDescent="0.25">
      <c r="C453" s="528" t="s">
        <v>173</v>
      </c>
      <c r="D453" s="528"/>
      <c r="E453" s="528"/>
      <c r="F453" s="528"/>
      <c r="G453" s="528"/>
      <c r="H453" s="528"/>
      <c r="I453" s="528"/>
      <c r="J453" s="528"/>
      <c r="K453" s="528"/>
      <c r="L453" s="528"/>
      <c r="M453" s="528"/>
      <c r="N453" s="528"/>
      <c r="O453" s="528"/>
      <c r="P453" s="528"/>
      <c r="Q453" s="528"/>
      <c r="R453" s="528"/>
      <c r="S453" s="528"/>
      <c r="V453" s="528" t="s">
        <v>165</v>
      </c>
      <c r="W453" s="528"/>
      <c r="X453" s="528"/>
      <c r="Y453" s="528"/>
      <c r="Z453" s="528"/>
      <c r="AA453" s="528"/>
      <c r="AB453" s="528"/>
      <c r="AC453" s="528"/>
      <c r="AD453" s="528"/>
      <c r="AE453" s="528"/>
      <c r="AF453" s="528"/>
      <c r="AG453" s="528"/>
      <c r="AH453" s="528"/>
      <c r="AI453" s="528"/>
      <c r="AJ453" s="528"/>
      <c r="AK453" s="528"/>
      <c r="AL453" s="528"/>
      <c r="AO453" s="528" t="s">
        <v>166</v>
      </c>
      <c r="AP453" s="528"/>
      <c r="AQ453" s="528"/>
      <c r="AR453" s="528"/>
      <c r="AS453" s="528"/>
      <c r="AT453" s="528"/>
      <c r="AU453" s="528"/>
      <c r="AV453" s="528"/>
      <c r="AW453" s="528"/>
      <c r="AX453" s="528"/>
      <c r="AY453" s="528"/>
      <c r="AZ453" s="528"/>
      <c r="BA453" s="528"/>
      <c r="BB453" s="528"/>
      <c r="BC453" s="528"/>
      <c r="BD453" s="528"/>
      <c r="BE453" s="528"/>
    </row>
    <row r="454" spans="2:57" ht="195" x14ac:dyDescent="0.25">
      <c r="B454" s="445" t="s">
        <v>14</v>
      </c>
      <c r="C454" s="446">
        <v>0</v>
      </c>
      <c r="D454" s="447">
        <v>1</v>
      </c>
      <c r="E454" s="447">
        <v>2</v>
      </c>
      <c r="F454" s="447">
        <v>3</v>
      </c>
      <c r="G454" s="447">
        <v>4</v>
      </c>
      <c r="H454" s="447">
        <v>5</v>
      </c>
      <c r="I454" s="447">
        <v>6</v>
      </c>
      <c r="J454" s="447">
        <v>7</v>
      </c>
      <c r="K454" s="447">
        <v>8</v>
      </c>
      <c r="L454" s="447">
        <v>9</v>
      </c>
      <c r="M454" s="447">
        <v>10</v>
      </c>
      <c r="N454" s="448" t="s">
        <v>15</v>
      </c>
      <c r="O454" s="447" t="s">
        <v>16</v>
      </c>
      <c r="P454" s="447" t="s">
        <v>17</v>
      </c>
      <c r="Q454" s="447" t="s">
        <v>18</v>
      </c>
      <c r="R454" s="447" t="s">
        <v>19</v>
      </c>
      <c r="S454" s="447" t="s">
        <v>20</v>
      </c>
      <c r="T454" s="449"/>
      <c r="U454" s="445" t="s">
        <v>14</v>
      </c>
      <c r="V454" s="446">
        <v>0</v>
      </c>
      <c r="W454" s="447">
        <v>1</v>
      </c>
      <c r="X454" s="447">
        <v>2</v>
      </c>
      <c r="Y454" s="447">
        <v>3</v>
      </c>
      <c r="Z454" s="447">
        <v>4</v>
      </c>
      <c r="AA454" s="447">
        <v>5</v>
      </c>
      <c r="AB454" s="447">
        <v>6</v>
      </c>
      <c r="AC454" s="447">
        <v>7</v>
      </c>
      <c r="AD454" s="447">
        <v>8</v>
      </c>
      <c r="AE454" s="447">
        <v>9</v>
      </c>
      <c r="AF454" s="447">
        <v>10</v>
      </c>
      <c r="AG454" s="448" t="s">
        <v>15</v>
      </c>
      <c r="AH454" s="447" t="s">
        <v>16</v>
      </c>
      <c r="AI454" s="447" t="s">
        <v>17</v>
      </c>
      <c r="AJ454" s="447" t="s">
        <v>18</v>
      </c>
      <c r="AK454" s="447" t="s">
        <v>19</v>
      </c>
      <c r="AL454" s="447" t="s">
        <v>20</v>
      </c>
      <c r="AM454" s="449"/>
      <c r="AN454" s="445" t="s">
        <v>14</v>
      </c>
      <c r="AO454" s="446">
        <v>0</v>
      </c>
      <c r="AP454" s="447">
        <v>1</v>
      </c>
      <c r="AQ454" s="447">
        <v>2</v>
      </c>
      <c r="AR454" s="447">
        <v>3</v>
      </c>
      <c r="AS454" s="447">
        <v>4</v>
      </c>
      <c r="AT454" s="447">
        <v>5</v>
      </c>
      <c r="AU454" s="447">
        <v>6</v>
      </c>
      <c r="AV454" s="447">
        <v>7</v>
      </c>
      <c r="AW454" s="447">
        <v>8</v>
      </c>
      <c r="AX454" s="447">
        <v>9</v>
      </c>
      <c r="AY454" s="447">
        <v>10</v>
      </c>
      <c r="AZ454" s="448" t="s">
        <v>15</v>
      </c>
      <c r="BA454" s="447" t="s">
        <v>16</v>
      </c>
      <c r="BB454" s="447" t="s">
        <v>17</v>
      </c>
      <c r="BC454" s="447" t="s">
        <v>18</v>
      </c>
      <c r="BD454" s="447" t="s">
        <v>19</v>
      </c>
      <c r="BE454" s="447" t="s">
        <v>225</v>
      </c>
    </row>
    <row r="455" spans="2:57" x14ac:dyDescent="0.25">
      <c r="B455" s="134">
        <v>18</v>
      </c>
      <c r="C455" s="450">
        <v>76.03</v>
      </c>
      <c r="D455" s="450">
        <v>76.06</v>
      </c>
      <c r="E455" s="450">
        <v>76.099999999999994</v>
      </c>
      <c r="F455" s="450">
        <v>76.13</v>
      </c>
      <c r="G455" s="450">
        <v>76.17</v>
      </c>
      <c r="H455" s="450">
        <v>76.2</v>
      </c>
      <c r="I455" s="450">
        <v>76.239999999999995</v>
      </c>
      <c r="J455" s="450">
        <v>76.27</v>
      </c>
      <c r="K455" s="450">
        <v>76.3</v>
      </c>
      <c r="L455" s="450">
        <v>76.34</v>
      </c>
      <c r="M455" s="450">
        <v>76.37</v>
      </c>
      <c r="N455" s="450">
        <v>76.400000000000006</v>
      </c>
      <c r="O455" s="450">
        <v>76.55</v>
      </c>
      <c r="P455" s="450">
        <v>76.67</v>
      </c>
      <c r="Q455" s="450">
        <v>76.78</v>
      </c>
      <c r="R455" s="450">
        <v>76.86</v>
      </c>
      <c r="S455" s="450">
        <v>76.930000000000007</v>
      </c>
      <c r="T455" s="133"/>
      <c r="U455" s="134">
        <v>18</v>
      </c>
      <c r="V455" s="450">
        <v>76.67</v>
      </c>
      <c r="W455" s="450">
        <v>76.7</v>
      </c>
      <c r="X455" s="450">
        <v>76.739999999999995</v>
      </c>
      <c r="Y455" s="450">
        <v>76.77</v>
      </c>
      <c r="Z455" s="450">
        <v>76.81</v>
      </c>
      <c r="AA455" s="450">
        <v>76.84</v>
      </c>
      <c r="AB455" s="450">
        <v>76.88</v>
      </c>
      <c r="AC455" s="450">
        <v>76.91</v>
      </c>
      <c r="AD455" s="450">
        <v>76.95</v>
      </c>
      <c r="AE455" s="450">
        <v>76.98</v>
      </c>
      <c r="AF455" s="450">
        <v>77.010000000000005</v>
      </c>
      <c r="AG455" s="450">
        <v>77.040000000000006</v>
      </c>
      <c r="AH455" s="450">
        <v>77.19</v>
      </c>
      <c r="AI455" s="450">
        <v>77.319999999999993</v>
      </c>
      <c r="AJ455" s="450">
        <v>77.430000000000007</v>
      </c>
      <c r="AK455" s="450">
        <v>77.52</v>
      </c>
      <c r="AL455" s="450">
        <v>77.59</v>
      </c>
      <c r="AM455" s="133"/>
      <c r="AN455" s="134">
        <v>18</v>
      </c>
      <c r="AO455" s="450">
        <v>77.459999999999994</v>
      </c>
      <c r="AP455" s="450">
        <v>77.5</v>
      </c>
      <c r="AQ455" s="450">
        <v>77.53</v>
      </c>
      <c r="AR455" s="450">
        <v>77.569999999999993</v>
      </c>
      <c r="AS455" s="450">
        <v>77.599999999999994</v>
      </c>
      <c r="AT455" s="450">
        <v>77.64</v>
      </c>
      <c r="AU455" s="450">
        <v>77.680000000000007</v>
      </c>
      <c r="AV455" s="450">
        <v>77.709999999999994</v>
      </c>
      <c r="AW455" s="450">
        <v>77.75</v>
      </c>
      <c r="AX455" s="450">
        <v>77.78</v>
      </c>
      <c r="AY455" s="450">
        <v>77.81</v>
      </c>
      <c r="AZ455" s="450">
        <v>77.849999999999994</v>
      </c>
      <c r="BA455" s="450">
        <v>78</v>
      </c>
      <c r="BB455" s="450">
        <v>78.13</v>
      </c>
      <c r="BC455" s="450">
        <v>78.239999999999995</v>
      </c>
      <c r="BD455" s="450">
        <v>78.33</v>
      </c>
      <c r="BE455" s="450">
        <v>78.400000000000006</v>
      </c>
    </row>
    <row r="456" spans="2:57" x14ac:dyDescent="0.25">
      <c r="B456" s="134">
        <v>19</v>
      </c>
      <c r="C456" s="450">
        <v>76.099999999999994</v>
      </c>
      <c r="D456" s="450">
        <v>76.14</v>
      </c>
      <c r="E456" s="450">
        <v>76.180000000000007</v>
      </c>
      <c r="F456" s="450">
        <v>76.209999999999994</v>
      </c>
      <c r="G456" s="450">
        <v>76.25</v>
      </c>
      <c r="H456" s="450">
        <v>76.290000000000006</v>
      </c>
      <c r="I456" s="450">
        <v>76.319999999999993</v>
      </c>
      <c r="J456" s="450">
        <v>76.36</v>
      </c>
      <c r="K456" s="450">
        <v>76.39</v>
      </c>
      <c r="L456" s="450">
        <v>76.42</v>
      </c>
      <c r="M456" s="450">
        <v>76.459999999999994</v>
      </c>
      <c r="N456" s="450">
        <v>76.489999999999995</v>
      </c>
      <c r="O456" s="450">
        <v>76.64</v>
      </c>
      <c r="P456" s="450">
        <v>76.78</v>
      </c>
      <c r="Q456" s="450">
        <v>76.89</v>
      </c>
      <c r="R456" s="450">
        <v>76.98</v>
      </c>
      <c r="S456" s="450">
        <v>77.040000000000006</v>
      </c>
      <c r="T456" s="133"/>
      <c r="U456" s="134">
        <v>19</v>
      </c>
      <c r="V456" s="450">
        <v>76.739999999999995</v>
      </c>
      <c r="W456" s="450">
        <v>76.78</v>
      </c>
      <c r="X456" s="450">
        <v>76.819999999999993</v>
      </c>
      <c r="Y456" s="450">
        <v>76.849999999999994</v>
      </c>
      <c r="Z456" s="450">
        <v>76.89</v>
      </c>
      <c r="AA456" s="450">
        <v>76.930000000000007</v>
      </c>
      <c r="AB456" s="450">
        <v>76.959999999999994</v>
      </c>
      <c r="AC456" s="450">
        <v>77</v>
      </c>
      <c r="AD456" s="450">
        <v>77.03</v>
      </c>
      <c r="AE456" s="450">
        <v>77.069999999999993</v>
      </c>
      <c r="AF456" s="450">
        <v>77.099999999999994</v>
      </c>
      <c r="AG456" s="450">
        <v>77.14</v>
      </c>
      <c r="AH456" s="450">
        <v>77.290000000000006</v>
      </c>
      <c r="AI456" s="450">
        <v>77.430000000000007</v>
      </c>
      <c r="AJ456" s="450">
        <v>77.540000000000006</v>
      </c>
      <c r="AK456" s="450">
        <v>77.63</v>
      </c>
      <c r="AL456" s="450">
        <v>77.7</v>
      </c>
      <c r="AM456" s="133"/>
      <c r="AN456" s="134">
        <v>19</v>
      </c>
      <c r="AO456" s="450">
        <v>77.540000000000006</v>
      </c>
      <c r="AP456" s="450">
        <v>77.58</v>
      </c>
      <c r="AQ456" s="450">
        <v>77.61</v>
      </c>
      <c r="AR456" s="450">
        <v>77.650000000000006</v>
      </c>
      <c r="AS456" s="450">
        <v>77.69</v>
      </c>
      <c r="AT456" s="450">
        <v>77.73</v>
      </c>
      <c r="AU456" s="450">
        <v>77.760000000000005</v>
      </c>
      <c r="AV456" s="450">
        <v>77.8</v>
      </c>
      <c r="AW456" s="450">
        <v>77.84</v>
      </c>
      <c r="AX456" s="450">
        <v>77.87</v>
      </c>
      <c r="AY456" s="450">
        <v>77.91</v>
      </c>
      <c r="AZ456" s="450">
        <v>77.94</v>
      </c>
      <c r="BA456" s="450">
        <v>78.099999999999994</v>
      </c>
      <c r="BB456" s="450">
        <v>78.239999999999995</v>
      </c>
      <c r="BC456" s="450">
        <v>78.36</v>
      </c>
      <c r="BD456" s="450">
        <v>78.45</v>
      </c>
      <c r="BE456" s="450">
        <v>78.52</v>
      </c>
    </row>
    <row r="457" spans="2:57" x14ac:dyDescent="0.25">
      <c r="B457" s="134">
        <v>20</v>
      </c>
      <c r="C457" s="450">
        <v>76.180000000000007</v>
      </c>
      <c r="D457" s="450">
        <v>76.22</v>
      </c>
      <c r="E457" s="450">
        <v>76.260000000000005</v>
      </c>
      <c r="F457" s="450">
        <v>76.3</v>
      </c>
      <c r="G457" s="450">
        <v>76.33</v>
      </c>
      <c r="H457" s="450">
        <v>76.37</v>
      </c>
      <c r="I457" s="450">
        <v>76.41</v>
      </c>
      <c r="J457" s="450">
        <v>76.45</v>
      </c>
      <c r="K457" s="450">
        <v>76.48</v>
      </c>
      <c r="L457" s="450">
        <v>76.52</v>
      </c>
      <c r="M457" s="450">
        <v>76.55</v>
      </c>
      <c r="N457" s="450">
        <v>76.59</v>
      </c>
      <c r="O457" s="450">
        <v>76.75</v>
      </c>
      <c r="P457" s="450">
        <v>76.89</v>
      </c>
      <c r="Q457" s="450">
        <v>77</v>
      </c>
      <c r="R457" s="450">
        <v>77.09</v>
      </c>
      <c r="S457" s="450">
        <v>77.16</v>
      </c>
      <c r="T457" s="133"/>
      <c r="U457" s="134">
        <v>20</v>
      </c>
      <c r="V457" s="450">
        <v>76.819999999999993</v>
      </c>
      <c r="W457" s="450">
        <v>76.86</v>
      </c>
      <c r="X457" s="450">
        <v>76.900000000000006</v>
      </c>
      <c r="Y457" s="450">
        <v>76.94</v>
      </c>
      <c r="Z457" s="450">
        <v>76.98</v>
      </c>
      <c r="AA457" s="450">
        <v>77.02</v>
      </c>
      <c r="AB457" s="450">
        <v>77.05</v>
      </c>
      <c r="AC457" s="450">
        <v>77.09</v>
      </c>
      <c r="AD457" s="450">
        <v>77.13</v>
      </c>
      <c r="AE457" s="450">
        <v>77.16</v>
      </c>
      <c r="AF457" s="450">
        <v>77.2</v>
      </c>
      <c r="AG457" s="450">
        <v>77.239999999999995</v>
      </c>
      <c r="AH457" s="450">
        <v>77.400000000000006</v>
      </c>
      <c r="AI457" s="450">
        <v>77.540000000000006</v>
      </c>
      <c r="AJ457" s="450">
        <v>77.66</v>
      </c>
      <c r="AK457" s="450">
        <v>77.75</v>
      </c>
      <c r="AL457" s="450">
        <v>77.819999999999993</v>
      </c>
      <c r="AM457" s="133"/>
      <c r="AN457" s="134">
        <v>20</v>
      </c>
      <c r="AO457" s="450">
        <v>77.62</v>
      </c>
      <c r="AP457" s="450">
        <v>77.66</v>
      </c>
      <c r="AQ457" s="450">
        <v>77.7</v>
      </c>
      <c r="AR457" s="450">
        <v>77.739999999999995</v>
      </c>
      <c r="AS457" s="450">
        <v>77.78</v>
      </c>
      <c r="AT457" s="450">
        <v>77.819999999999993</v>
      </c>
      <c r="AU457" s="450">
        <v>77.86</v>
      </c>
      <c r="AV457" s="450">
        <v>77.900000000000006</v>
      </c>
      <c r="AW457" s="450">
        <v>77.930000000000007</v>
      </c>
      <c r="AX457" s="450">
        <v>77.97</v>
      </c>
      <c r="AY457" s="450">
        <v>78.010000000000005</v>
      </c>
      <c r="AZ457" s="450">
        <v>78.040000000000006</v>
      </c>
      <c r="BA457" s="450">
        <v>78.209999999999994</v>
      </c>
      <c r="BB457" s="450">
        <v>78.36</v>
      </c>
      <c r="BC457" s="450">
        <v>78.48</v>
      </c>
      <c r="BD457" s="450">
        <v>78.569999999999993</v>
      </c>
      <c r="BE457" s="450">
        <v>78.650000000000006</v>
      </c>
    </row>
    <row r="458" spans="2:57" x14ac:dyDescent="0.25">
      <c r="B458" s="134">
        <v>21</v>
      </c>
      <c r="C458" s="450">
        <v>76.260000000000005</v>
      </c>
      <c r="D458" s="450">
        <v>76.3</v>
      </c>
      <c r="E458" s="450">
        <v>76.34</v>
      </c>
      <c r="F458" s="450">
        <v>76.38</v>
      </c>
      <c r="G458" s="450">
        <v>76.42</v>
      </c>
      <c r="H458" s="450">
        <v>76.459999999999994</v>
      </c>
      <c r="I458" s="450">
        <v>76.5</v>
      </c>
      <c r="J458" s="450">
        <v>76.540000000000006</v>
      </c>
      <c r="K458" s="450">
        <v>76.58</v>
      </c>
      <c r="L458" s="450">
        <v>76.62</v>
      </c>
      <c r="M458" s="450">
        <v>76.650000000000006</v>
      </c>
      <c r="N458" s="450">
        <v>76.69</v>
      </c>
      <c r="O458" s="450">
        <v>76.86</v>
      </c>
      <c r="P458" s="450">
        <v>77</v>
      </c>
      <c r="Q458" s="450">
        <v>77.12</v>
      </c>
      <c r="R458" s="450">
        <v>77.209999999999994</v>
      </c>
      <c r="S458" s="450">
        <v>77.290000000000006</v>
      </c>
      <c r="T458" s="133"/>
      <c r="U458" s="134">
        <v>21</v>
      </c>
      <c r="V458" s="450">
        <v>76.900000000000006</v>
      </c>
      <c r="W458" s="450">
        <v>76.95</v>
      </c>
      <c r="X458" s="450">
        <v>76.989999999999995</v>
      </c>
      <c r="Y458" s="450">
        <v>77.03</v>
      </c>
      <c r="Z458" s="450">
        <v>77.069999999999993</v>
      </c>
      <c r="AA458" s="450">
        <v>77.11</v>
      </c>
      <c r="AB458" s="450">
        <v>77.150000000000006</v>
      </c>
      <c r="AC458" s="450">
        <v>77.19</v>
      </c>
      <c r="AD458" s="450">
        <v>77.23</v>
      </c>
      <c r="AE458" s="450">
        <v>77.260000000000005</v>
      </c>
      <c r="AF458" s="450">
        <v>77.3</v>
      </c>
      <c r="AG458" s="450">
        <v>77.34</v>
      </c>
      <c r="AH458" s="450">
        <v>77.510000000000005</v>
      </c>
      <c r="AI458" s="450">
        <v>77.66</v>
      </c>
      <c r="AJ458" s="450">
        <v>77.78</v>
      </c>
      <c r="AK458" s="450">
        <v>77.87</v>
      </c>
      <c r="AL458" s="450">
        <v>77.95</v>
      </c>
      <c r="AM458" s="133"/>
      <c r="AN458" s="134">
        <v>21</v>
      </c>
      <c r="AO458" s="450">
        <v>77.7</v>
      </c>
      <c r="AP458" s="450">
        <v>77.75</v>
      </c>
      <c r="AQ458" s="450">
        <v>77.790000000000006</v>
      </c>
      <c r="AR458" s="450">
        <v>77.83</v>
      </c>
      <c r="AS458" s="450">
        <v>77.87</v>
      </c>
      <c r="AT458" s="450">
        <v>77.91</v>
      </c>
      <c r="AU458" s="450">
        <v>77.95</v>
      </c>
      <c r="AV458" s="450">
        <v>77.989999999999995</v>
      </c>
      <c r="AW458" s="450">
        <v>78.03</v>
      </c>
      <c r="AX458" s="450">
        <v>78.069999999999993</v>
      </c>
      <c r="AY458" s="450">
        <v>78.11</v>
      </c>
      <c r="AZ458" s="450">
        <v>78.150000000000006</v>
      </c>
      <c r="BA458" s="450">
        <v>78.33</v>
      </c>
      <c r="BB458" s="450">
        <v>78.48</v>
      </c>
      <c r="BC458" s="450">
        <v>78.599999999999994</v>
      </c>
      <c r="BD458" s="450">
        <v>78.7</v>
      </c>
      <c r="BE458" s="450">
        <v>78.78</v>
      </c>
    </row>
    <row r="459" spans="2:57" x14ac:dyDescent="0.25">
      <c r="B459" s="134">
        <v>22</v>
      </c>
      <c r="C459" s="450">
        <v>76.349999999999994</v>
      </c>
      <c r="D459" s="450">
        <v>76.39</v>
      </c>
      <c r="E459" s="450">
        <v>76.430000000000007</v>
      </c>
      <c r="F459" s="450">
        <v>76.48</v>
      </c>
      <c r="G459" s="450">
        <v>76.52</v>
      </c>
      <c r="H459" s="450">
        <v>76.56</v>
      </c>
      <c r="I459" s="450">
        <v>76.599999999999994</v>
      </c>
      <c r="J459" s="450">
        <v>76.64</v>
      </c>
      <c r="K459" s="450">
        <v>76.680000000000007</v>
      </c>
      <c r="L459" s="450">
        <v>76.72</v>
      </c>
      <c r="M459" s="450">
        <v>76.760000000000005</v>
      </c>
      <c r="N459" s="450">
        <v>76.8</v>
      </c>
      <c r="O459" s="450">
        <v>76.97</v>
      </c>
      <c r="P459" s="450">
        <v>77.12</v>
      </c>
      <c r="Q459" s="450">
        <v>77.239999999999995</v>
      </c>
      <c r="R459" s="450">
        <v>77.34</v>
      </c>
      <c r="S459" s="450">
        <v>77.42</v>
      </c>
      <c r="T459" s="133"/>
      <c r="U459" s="134">
        <v>22</v>
      </c>
      <c r="V459" s="450">
        <v>76.989999999999995</v>
      </c>
      <c r="W459" s="450">
        <v>77.03</v>
      </c>
      <c r="X459" s="450">
        <v>77.08</v>
      </c>
      <c r="Y459" s="450">
        <v>77.12</v>
      </c>
      <c r="Z459" s="450">
        <v>77.16</v>
      </c>
      <c r="AA459" s="450">
        <v>77.209999999999994</v>
      </c>
      <c r="AB459" s="450">
        <v>77.25</v>
      </c>
      <c r="AC459" s="450">
        <v>77.290000000000006</v>
      </c>
      <c r="AD459" s="450">
        <v>77.33</v>
      </c>
      <c r="AE459" s="450">
        <v>77.37</v>
      </c>
      <c r="AF459" s="450">
        <v>77.41</v>
      </c>
      <c r="AG459" s="450">
        <v>77.45</v>
      </c>
      <c r="AH459" s="450">
        <v>77.63</v>
      </c>
      <c r="AI459" s="450">
        <v>77.78</v>
      </c>
      <c r="AJ459" s="450">
        <v>77.900000000000006</v>
      </c>
      <c r="AK459" s="450">
        <v>78</v>
      </c>
      <c r="AL459" s="450">
        <v>78.08</v>
      </c>
      <c r="AM459" s="133"/>
      <c r="AN459" s="134">
        <v>22</v>
      </c>
      <c r="AO459" s="450">
        <v>77.790000000000006</v>
      </c>
      <c r="AP459" s="450">
        <v>77.84</v>
      </c>
      <c r="AQ459" s="450">
        <v>77.88</v>
      </c>
      <c r="AR459" s="450">
        <v>77.930000000000007</v>
      </c>
      <c r="AS459" s="450">
        <v>77.97</v>
      </c>
      <c r="AT459" s="450">
        <v>78.010000000000005</v>
      </c>
      <c r="AU459" s="450">
        <v>78.06</v>
      </c>
      <c r="AV459" s="450">
        <v>78.099999999999994</v>
      </c>
      <c r="AW459" s="450">
        <v>78.14</v>
      </c>
      <c r="AX459" s="450">
        <v>78.180000000000007</v>
      </c>
      <c r="AY459" s="450">
        <v>78.22</v>
      </c>
      <c r="AZ459" s="450">
        <v>78.260000000000005</v>
      </c>
      <c r="BA459" s="450">
        <v>78.44</v>
      </c>
      <c r="BB459" s="450">
        <v>78.599999999999994</v>
      </c>
      <c r="BC459" s="450">
        <v>78.73</v>
      </c>
      <c r="BD459" s="450">
        <v>78.83</v>
      </c>
      <c r="BE459" s="450">
        <v>78.91</v>
      </c>
    </row>
    <row r="460" spans="2:57" x14ac:dyDescent="0.25">
      <c r="B460" s="134">
        <v>23</v>
      </c>
      <c r="C460" s="450">
        <v>76.44</v>
      </c>
      <c r="D460" s="450">
        <v>76.48</v>
      </c>
      <c r="E460" s="450">
        <v>76.53</v>
      </c>
      <c r="F460" s="450">
        <v>76.569999999999993</v>
      </c>
      <c r="G460" s="450">
        <v>76.61</v>
      </c>
      <c r="H460" s="450">
        <v>76.66</v>
      </c>
      <c r="I460" s="450">
        <v>76.7</v>
      </c>
      <c r="J460" s="450">
        <v>76.739999999999995</v>
      </c>
      <c r="K460" s="450">
        <v>76.790000000000006</v>
      </c>
      <c r="L460" s="450">
        <v>76.83</v>
      </c>
      <c r="M460" s="450">
        <v>76.87</v>
      </c>
      <c r="N460" s="450">
        <v>76.91</v>
      </c>
      <c r="O460" s="450">
        <v>77.09</v>
      </c>
      <c r="P460" s="450">
        <v>77.25</v>
      </c>
      <c r="Q460" s="450">
        <v>77.37</v>
      </c>
      <c r="R460" s="450">
        <v>77.47</v>
      </c>
      <c r="S460" s="450">
        <v>77.55</v>
      </c>
      <c r="T460" s="133"/>
      <c r="U460" s="134">
        <v>23</v>
      </c>
      <c r="V460" s="450">
        <v>77.08</v>
      </c>
      <c r="W460" s="450">
        <v>77.13</v>
      </c>
      <c r="X460" s="450">
        <v>77.17</v>
      </c>
      <c r="Y460" s="450">
        <v>77.22</v>
      </c>
      <c r="Z460" s="450">
        <v>77.260000000000005</v>
      </c>
      <c r="AA460" s="450">
        <v>77.31</v>
      </c>
      <c r="AB460" s="450">
        <v>77.349999999999994</v>
      </c>
      <c r="AC460" s="450">
        <v>77.39</v>
      </c>
      <c r="AD460" s="450">
        <v>77.44</v>
      </c>
      <c r="AE460" s="450">
        <v>77.48</v>
      </c>
      <c r="AF460" s="450">
        <v>77.52</v>
      </c>
      <c r="AG460" s="450">
        <v>77.56</v>
      </c>
      <c r="AH460" s="450">
        <v>77.75</v>
      </c>
      <c r="AI460" s="450">
        <v>77.91</v>
      </c>
      <c r="AJ460" s="450">
        <v>78.040000000000006</v>
      </c>
      <c r="AK460" s="450">
        <v>78.14</v>
      </c>
      <c r="AL460" s="450">
        <v>78.22</v>
      </c>
      <c r="AM460" s="133"/>
      <c r="AN460" s="134">
        <v>23</v>
      </c>
      <c r="AO460" s="450">
        <v>77.89</v>
      </c>
      <c r="AP460" s="450">
        <v>77.930000000000007</v>
      </c>
      <c r="AQ460" s="450">
        <v>77.98</v>
      </c>
      <c r="AR460" s="450">
        <v>78.03</v>
      </c>
      <c r="AS460" s="450">
        <v>78.069999999999993</v>
      </c>
      <c r="AT460" s="450">
        <v>78.12</v>
      </c>
      <c r="AU460" s="450">
        <v>78.16</v>
      </c>
      <c r="AV460" s="450">
        <v>78.209999999999994</v>
      </c>
      <c r="AW460" s="450">
        <v>78.25</v>
      </c>
      <c r="AX460" s="450">
        <v>78.290000000000006</v>
      </c>
      <c r="AY460" s="450">
        <v>78.34</v>
      </c>
      <c r="AZ460" s="450">
        <v>78.38</v>
      </c>
      <c r="BA460" s="450">
        <v>78.569999999999993</v>
      </c>
      <c r="BB460" s="450">
        <v>78.73</v>
      </c>
      <c r="BC460" s="450">
        <v>78.87</v>
      </c>
      <c r="BD460" s="450">
        <v>78.97</v>
      </c>
      <c r="BE460" s="450">
        <v>79.05</v>
      </c>
    </row>
    <row r="461" spans="2:57" x14ac:dyDescent="0.25">
      <c r="B461" s="134">
        <v>24</v>
      </c>
      <c r="C461" s="450">
        <v>76.53</v>
      </c>
      <c r="D461" s="450">
        <v>76.58</v>
      </c>
      <c r="E461" s="450">
        <v>76.62</v>
      </c>
      <c r="F461" s="450">
        <v>76.67</v>
      </c>
      <c r="G461" s="450">
        <v>76.72</v>
      </c>
      <c r="H461" s="450">
        <v>76.760000000000005</v>
      </c>
      <c r="I461" s="450">
        <v>76.81</v>
      </c>
      <c r="J461" s="450">
        <v>76.849999999999994</v>
      </c>
      <c r="K461" s="450">
        <v>76.900000000000006</v>
      </c>
      <c r="L461" s="450">
        <v>76.94</v>
      </c>
      <c r="M461" s="450">
        <v>76.98</v>
      </c>
      <c r="N461" s="450">
        <v>77.02</v>
      </c>
      <c r="O461" s="450">
        <v>77.209999999999994</v>
      </c>
      <c r="P461" s="450">
        <v>77.38</v>
      </c>
      <c r="Q461" s="450">
        <v>77.510000000000005</v>
      </c>
      <c r="R461" s="450">
        <v>77.61</v>
      </c>
      <c r="S461" s="450">
        <v>77.69</v>
      </c>
      <c r="T461" s="133"/>
      <c r="U461" s="134">
        <v>24</v>
      </c>
      <c r="V461" s="450">
        <v>77.180000000000007</v>
      </c>
      <c r="W461" s="450">
        <v>77.23</v>
      </c>
      <c r="X461" s="450">
        <v>77.27</v>
      </c>
      <c r="Y461" s="450">
        <v>77.319999999999993</v>
      </c>
      <c r="Z461" s="450">
        <v>77.37</v>
      </c>
      <c r="AA461" s="450">
        <v>77.41</v>
      </c>
      <c r="AB461" s="450">
        <v>77.459999999999994</v>
      </c>
      <c r="AC461" s="450">
        <v>77.510000000000005</v>
      </c>
      <c r="AD461" s="450">
        <v>77.55</v>
      </c>
      <c r="AE461" s="450">
        <v>77.59</v>
      </c>
      <c r="AF461" s="450">
        <v>77.64</v>
      </c>
      <c r="AG461" s="450">
        <v>77.680000000000007</v>
      </c>
      <c r="AH461" s="450">
        <v>77.87</v>
      </c>
      <c r="AI461" s="450">
        <v>78.040000000000006</v>
      </c>
      <c r="AJ461" s="450">
        <v>78.17</v>
      </c>
      <c r="AK461" s="450">
        <v>78.28</v>
      </c>
      <c r="AL461" s="450">
        <v>78.36</v>
      </c>
      <c r="AM461" s="133"/>
      <c r="AN461" s="134">
        <v>24</v>
      </c>
      <c r="AO461" s="450">
        <v>77.989999999999995</v>
      </c>
      <c r="AP461" s="450">
        <v>78.03</v>
      </c>
      <c r="AQ461" s="450">
        <v>78.08</v>
      </c>
      <c r="AR461" s="450">
        <v>78.13</v>
      </c>
      <c r="AS461" s="450">
        <v>78.180000000000007</v>
      </c>
      <c r="AT461" s="450">
        <v>78.23</v>
      </c>
      <c r="AU461" s="450">
        <v>78.27</v>
      </c>
      <c r="AV461" s="450">
        <v>78.319999999999993</v>
      </c>
      <c r="AW461" s="450">
        <v>78.37</v>
      </c>
      <c r="AX461" s="450">
        <v>78.41</v>
      </c>
      <c r="AY461" s="450">
        <v>78.459999999999994</v>
      </c>
      <c r="AZ461" s="450">
        <v>78.5</v>
      </c>
      <c r="BA461" s="450">
        <v>78.7</v>
      </c>
      <c r="BB461" s="450">
        <v>78.87</v>
      </c>
      <c r="BC461" s="450">
        <v>79.010000000000005</v>
      </c>
      <c r="BD461" s="450">
        <v>79.12</v>
      </c>
      <c r="BE461" s="450">
        <v>79.2</v>
      </c>
    </row>
    <row r="462" spans="2:57" x14ac:dyDescent="0.25">
      <c r="B462" s="134">
        <v>25</v>
      </c>
      <c r="C462" s="450">
        <v>76.63</v>
      </c>
      <c r="D462" s="450">
        <v>76.680000000000007</v>
      </c>
      <c r="E462" s="450">
        <v>76.73</v>
      </c>
      <c r="F462" s="450">
        <v>76.78</v>
      </c>
      <c r="G462" s="450">
        <v>76.819999999999993</v>
      </c>
      <c r="H462" s="450">
        <v>76.87</v>
      </c>
      <c r="I462" s="450">
        <v>76.92</v>
      </c>
      <c r="J462" s="450">
        <v>76.97</v>
      </c>
      <c r="K462" s="450">
        <v>77.010000000000005</v>
      </c>
      <c r="L462" s="450">
        <v>77.06</v>
      </c>
      <c r="M462" s="450">
        <v>77.099999999999994</v>
      </c>
      <c r="N462" s="450">
        <v>77.14</v>
      </c>
      <c r="O462" s="450">
        <v>77.34</v>
      </c>
      <c r="P462" s="450">
        <v>77.510000000000005</v>
      </c>
      <c r="Q462" s="450">
        <v>77.650000000000006</v>
      </c>
      <c r="R462" s="450">
        <v>77.760000000000005</v>
      </c>
      <c r="S462" s="450">
        <v>77.84</v>
      </c>
      <c r="T462" s="133"/>
      <c r="U462" s="134">
        <v>25</v>
      </c>
      <c r="V462" s="450">
        <v>77.28</v>
      </c>
      <c r="W462" s="450">
        <v>77.33</v>
      </c>
      <c r="X462" s="450">
        <v>77.38</v>
      </c>
      <c r="Y462" s="450">
        <v>77.430000000000007</v>
      </c>
      <c r="Z462" s="450">
        <v>77.48</v>
      </c>
      <c r="AA462" s="450">
        <v>77.53</v>
      </c>
      <c r="AB462" s="450">
        <v>77.569999999999993</v>
      </c>
      <c r="AC462" s="450">
        <v>77.62</v>
      </c>
      <c r="AD462" s="450">
        <v>77.67</v>
      </c>
      <c r="AE462" s="450">
        <v>77.709999999999994</v>
      </c>
      <c r="AF462" s="450">
        <v>77.760000000000005</v>
      </c>
      <c r="AG462" s="450">
        <v>77.8</v>
      </c>
      <c r="AH462" s="450">
        <v>78.010000000000005</v>
      </c>
      <c r="AI462" s="450">
        <v>78.180000000000007</v>
      </c>
      <c r="AJ462" s="450">
        <v>78.319999999999993</v>
      </c>
      <c r="AK462" s="450">
        <v>78.430000000000007</v>
      </c>
      <c r="AL462" s="450">
        <v>78.510000000000005</v>
      </c>
      <c r="AM462" s="133"/>
      <c r="AN462" s="134">
        <v>25</v>
      </c>
      <c r="AO462" s="450">
        <v>78.09</v>
      </c>
      <c r="AP462" s="450">
        <v>78.14</v>
      </c>
      <c r="AQ462" s="450">
        <v>78.19</v>
      </c>
      <c r="AR462" s="450">
        <v>78.239999999999995</v>
      </c>
      <c r="AS462" s="450">
        <v>78.290000000000006</v>
      </c>
      <c r="AT462" s="450">
        <v>78.34</v>
      </c>
      <c r="AU462" s="450">
        <v>78.39</v>
      </c>
      <c r="AV462" s="450">
        <v>78.44</v>
      </c>
      <c r="AW462" s="450">
        <v>78.489999999999995</v>
      </c>
      <c r="AX462" s="450">
        <v>78.540000000000006</v>
      </c>
      <c r="AY462" s="450">
        <v>78.58</v>
      </c>
      <c r="AZ462" s="450">
        <v>78.63</v>
      </c>
      <c r="BA462" s="450">
        <v>78.84</v>
      </c>
      <c r="BB462" s="450">
        <v>79.010000000000005</v>
      </c>
      <c r="BC462" s="450">
        <v>79.16</v>
      </c>
      <c r="BD462" s="450">
        <v>79.27</v>
      </c>
      <c r="BE462" s="450">
        <v>79.36</v>
      </c>
    </row>
    <row r="463" spans="2:57" x14ac:dyDescent="0.25">
      <c r="B463" s="134">
        <v>26</v>
      </c>
      <c r="C463" s="450">
        <v>76.73</v>
      </c>
      <c r="D463" s="450">
        <v>76.78</v>
      </c>
      <c r="E463" s="450">
        <v>76.84</v>
      </c>
      <c r="F463" s="450">
        <v>76.89</v>
      </c>
      <c r="G463" s="450">
        <v>76.94</v>
      </c>
      <c r="H463" s="450">
        <v>76.989999999999995</v>
      </c>
      <c r="I463" s="450">
        <v>77.040000000000006</v>
      </c>
      <c r="J463" s="450">
        <v>77.09</v>
      </c>
      <c r="K463" s="450">
        <v>77.13</v>
      </c>
      <c r="L463" s="450">
        <v>77.180000000000007</v>
      </c>
      <c r="M463" s="450">
        <v>77.23</v>
      </c>
      <c r="N463" s="450">
        <v>77.27</v>
      </c>
      <c r="O463" s="450">
        <v>77.48</v>
      </c>
      <c r="P463" s="450">
        <v>77.66</v>
      </c>
      <c r="Q463" s="450">
        <v>77.8</v>
      </c>
      <c r="R463" s="450">
        <v>77.91</v>
      </c>
      <c r="S463" s="450">
        <v>77.989999999999995</v>
      </c>
      <c r="T463" s="133"/>
      <c r="U463" s="134">
        <v>26</v>
      </c>
      <c r="V463" s="450">
        <v>77.38</v>
      </c>
      <c r="W463" s="450">
        <v>77.44</v>
      </c>
      <c r="X463" s="450">
        <v>77.489999999999995</v>
      </c>
      <c r="Y463" s="450">
        <v>77.540000000000006</v>
      </c>
      <c r="Z463" s="450">
        <v>77.59</v>
      </c>
      <c r="AA463" s="450">
        <v>77.64</v>
      </c>
      <c r="AB463" s="450">
        <v>77.69</v>
      </c>
      <c r="AC463" s="450">
        <v>77.739999999999995</v>
      </c>
      <c r="AD463" s="450">
        <v>77.790000000000006</v>
      </c>
      <c r="AE463" s="450">
        <v>77.84</v>
      </c>
      <c r="AF463" s="450">
        <v>77.89</v>
      </c>
      <c r="AG463" s="450">
        <v>77.930000000000007</v>
      </c>
      <c r="AH463" s="450">
        <v>78.150000000000006</v>
      </c>
      <c r="AI463" s="450">
        <v>78.33</v>
      </c>
      <c r="AJ463" s="450">
        <v>78.47</v>
      </c>
      <c r="AK463" s="450">
        <v>78.58</v>
      </c>
      <c r="AL463" s="450">
        <v>78.67</v>
      </c>
      <c r="AM463" s="133"/>
      <c r="AN463" s="134">
        <v>26</v>
      </c>
      <c r="AO463" s="450">
        <v>78.2</v>
      </c>
      <c r="AP463" s="450">
        <v>78.25</v>
      </c>
      <c r="AQ463" s="450">
        <v>78.3</v>
      </c>
      <c r="AR463" s="450">
        <v>78.36</v>
      </c>
      <c r="AS463" s="450">
        <v>78.41</v>
      </c>
      <c r="AT463" s="450">
        <v>78.459999999999994</v>
      </c>
      <c r="AU463" s="450">
        <v>78.510000000000005</v>
      </c>
      <c r="AV463" s="450">
        <v>78.569999999999993</v>
      </c>
      <c r="AW463" s="450">
        <v>78.62</v>
      </c>
      <c r="AX463" s="450">
        <v>78.67</v>
      </c>
      <c r="AY463" s="450">
        <v>78.709999999999994</v>
      </c>
      <c r="AZ463" s="450">
        <v>78.760000000000005</v>
      </c>
      <c r="BA463" s="450">
        <v>78.98</v>
      </c>
      <c r="BB463" s="450">
        <v>79.16</v>
      </c>
      <c r="BC463" s="450">
        <v>79.31</v>
      </c>
      <c r="BD463" s="450">
        <v>79.430000000000007</v>
      </c>
      <c r="BE463" s="450">
        <v>79.52</v>
      </c>
    </row>
    <row r="464" spans="2:57" x14ac:dyDescent="0.25">
      <c r="B464" s="134">
        <v>27</v>
      </c>
      <c r="C464" s="450">
        <v>76.84</v>
      </c>
      <c r="D464" s="450">
        <v>76.900000000000006</v>
      </c>
      <c r="E464" s="450">
        <v>76.95</v>
      </c>
      <c r="F464" s="450">
        <v>77</v>
      </c>
      <c r="G464" s="450">
        <v>77.06</v>
      </c>
      <c r="H464" s="450">
        <v>77.11</v>
      </c>
      <c r="I464" s="450">
        <v>77.16</v>
      </c>
      <c r="J464" s="450">
        <v>77.209999999999994</v>
      </c>
      <c r="K464" s="450">
        <v>77.260000000000005</v>
      </c>
      <c r="L464" s="450">
        <v>77.31</v>
      </c>
      <c r="M464" s="450">
        <v>77.36</v>
      </c>
      <c r="N464" s="450">
        <v>77.41</v>
      </c>
      <c r="O464" s="450">
        <v>77.62</v>
      </c>
      <c r="P464" s="450">
        <v>77.81</v>
      </c>
      <c r="Q464" s="450">
        <v>77.95</v>
      </c>
      <c r="R464" s="450">
        <v>78.069999999999993</v>
      </c>
      <c r="S464" s="450">
        <v>78.150000000000006</v>
      </c>
      <c r="T464" s="133"/>
      <c r="U464" s="134">
        <v>27</v>
      </c>
      <c r="V464" s="450">
        <v>77.489999999999995</v>
      </c>
      <c r="W464" s="450">
        <v>77.55</v>
      </c>
      <c r="X464" s="450">
        <v>77.599999999999994</v>
      </c>
      <c r="Y464" s="450">
        <v>77.66</v>
      </c>
      <c r="Z464" s="450">
        <v>77.709999999999994</v>
      </c>
      <c r="AA464" s="450">
        <v>77.77</v>
      </c>
      <c r="AB464" s="450">
        <v>77.819999999999993</v>
      </c>
      <c r="AC464" s="450">
        <v>77.87</v>
      </c>
      <c r="AD464" s="450">
        <v>77.92</v>
      </c>
      <c r="AE464" s="450">
        <v>77.97</v>
      </c>
      <c r="AF464" s="450">
        <v>78.02</v>
      </c>
      <c r="AG464" s="450">
        <v>78.069999999999993</v>
      </c>
      <c r="AH464" s="450">
        <v>78.290000000000006</v>
      </c>
      <c r="AI464" s="450">
        <v>78.48</v>
      </c>
      <c r="AJ464" s="450">
        <v>78.63</v>
      </c>
      <c r="AK464" s="450">
        <v>78.739999999999995</v>
      </c>
      <c r="AL464" s="450">
        <v>78.83</v>
      </c>
      <c r="AM464" s="133"/>
      <c r="AN464" s="134">
        <v>27</v>
      </c>
      <c r="AO464" s="450">
        <v>78.31</v>
      </c>
      <c r="AP464" s="450">
        <v>78.37</v>
      </c>
      <c r="AQ464" s="450">
        <v>78.42</v>
      </c>
      <c r="AR464" s="450">
        <v>78.48</v>
      </c>
      <c r="AS464" s="450">
        <v>78.53</v>
      </c>
      <c r="AT464" s="450">
        <v>78.59</v>
      </c>
      <c r="AU464" s="450">
        <v>78.64</v>
      </c>
      <c r="AV464" s="450">
        <v>78.7</v>
      </c>
      <c r="AW464" s="450">
        <v>78.75</v>
      </c>
      <c r="AX464" s="450">
        <v>78.8</v>
      </c>
      <c r="AY464" s="450">
        <v>78.849999999999994</v>
      </c>
      <c r="AZ464" s="450">
        <v>78.900000000000006</v>
      </c>
      <c r="BA464" s="450">
        <v>79.13</v>
      </c>
      <c r="BB464" s="450">
        <v>79.319999999999993</v>
      </c>
      <c r="BC464" s="450">
        <v>79.48</v>
      </c>
      <c r="BD464" s="450">
        <v>79.599999999999994</v>
      </c>
      <c r="BE464" s="450">
        <v>79.69</v>
      </c>
    </row>
    <row r="465" spans="2:57" x14ac:dyDescent="0.25">
      <c r="B465" s="134">
        <v>28</v>
      </c>
      <c r="C465" s="450">
        <v>76.95</v>
      </c>
      <c r="D465" s="450">
        <v>77.010000000000005</v>
      </c>
      <c r="E465" s="450">
        <v>77.069999999999993</v>
      </c>
      <c r="F465" s="450">
        <v>77.12</v>
      </c>
      <c r="G465" s="450">
        <v>77.180000000000007</v>
      </c>
      <c r="H465" s="450">
        <v>77.23</v>
      </c>
      <c r="I465" s="450">
        <v>77.290000000000006</v>
      </c>
      <c r="J465" s="450">
        <v>77.34</v>
      </c>
      <c r="K465" s="450">
        <v>77.400000000000006</v>
      </c>
      <c r="L465" s="450">
        <v>77.45</v>
      </c>
      <c r="M465" s="450">
        <v>77.5</v>
      </c>
      <c r="N465" s="450">
        <v>77.55</v>
      </c>
      <c r="O465" s="450">
        <v>77.77</v>
      </c>
      <c r="P465" s="450">
        <v>77.959999999999994</v>
      </c>
      <c r="Q465" s="450">
        <v>78.12</v>
      </c>
      <c r="R465" s="450">
        <v>78.23</v>
      </c>
      <c r="S465" s="450">
        <v>78.319999999999993</v>
      </c>
      <c r="T465" s="133"/>
      <c r="U465" s="134">
        <v>28</v>
      </c>
      <c r="V465" s="450">
        <v>77.61</v>
      </c>
      <c r="W465" s="450">
        <v>77.67</v>
      </c>
      <c r="X465" s="450">
        <v>77.72</v>
      </c>
      <c r="Y465" s="450">
        <v>77.78</v>
      </c>
      <c r="Z465" s="450">
        <v>77.84</v>
      </c>
      <c r="AA465" s="450">
        <v>77.89</v>
      </c>
      <c r="AB465" s="450">
        <v>77.95</v>
      </c>
      <c r="AC465" s="450">
        <v>78</v>
      </c>
      <c r="AD465" s="450">
        <v>78.06</v>
      </c>
      <c r="AE465" s="450">
        <v>78.11</v>
      </c>
      <c r="AF465" s="450">
        <v>78.16</v>
      </c>
      <c r="AG465" s="450">
        <v>78.209999999999994</v>
      </c>
      <c r="AH465" s="450">
        <v>78.44</v>
      </c>
      <c r="AI465" s="450">
        <v>78.64</v>
      </c>
      <c r="AJ465" s="450">
        <v>78.790000000000006</v>
      </c>
      <c r="AK465" s="450">
        <v>78.91</v>
      </c>
      <c r="AL465" s="450">
        <v>79</v>
      </c>
      <c r="AM465" s="133"/>
      <c r="AN465" s="134">
        <v>28</v>
      </c>
      <c r="AO465" s="450">
        <v>78.430000000000007</v>
      </c>
      <c r="AP465" s="450">
        <v>78.489999999999995</v>
      </c>
      <c r="AQ465" s="450">
        <v>78.55</v>
      </c>
      <c r="AR465" s="450">
        <v>78.61</v>
      </c>
      <c r="AS465" s="450">
        <v>78.66</v>
      </c>
      <c r="AT465" s="450">
        <v>78.72</v>
      </c>
      <c r="AU465" s="450">
        <v>78.78</v>
      </c>
      <c r="AV465" s="450">
        <v>78.83</v>
      </c>
      <c r="AW465" s="450">
        <v>78.89</v>
      </c>
      <c r="AX465" s="450">
        <v>78.94</v>
      </c>
      <c r="AY465" s="450">
        <v>79</v>
      </c>
      <c r="AZ465" s="450">
        <v>79.05</v>
      </c>
      <c r="BA465" s="450">
        <v>79.290000000000006</v>
      </c>
      <c r="BB465" s="450">
        <v>79.489999999999995</v>
      </c>
      <c r="BC465" s="450">
        <v>79.650000000000006</v>
      </c>
      <c r="BD465" s="450">
        <v>79.77</v>
      </c>
      <c r="BE465" s="450">
        <v>79.86</v>
      </c>
    </row>
    <row r="466" spans="2:57" x14ac:dyDescent="0.25">
      <c r="B466" s="134">
        <v>29</v>
      </c>
      <c r="C466" s="450">
        <v>77.069999999999993</v>
      </c>
      <c r="D466" s="450">
        <v>77.13</v>
      </c>
      <c r="E466" s="450">
        <v>77.19</v>
      </c>
      <c r="F466" s="450">
        <v>77.25</v>
      </c>
      <c r="G466" s="450">
        <v>77.31</v>
      </c>
      <c r="H466" s="450">
        <v>77.37</v>
      </c>
      <c r="I466" s="450">
        <v>77.42</v>
      </c>
      <c r="J466" s="450">
        <v>77.48</v>
      </c>
      <c r="K466" s="450">
        <v>77.540000000000006</v>
      </c>
      <c r="L466" s="450">
        <v>77.59</v>
      </c>
      <c r="M466" s="450">
        <v>77.64</v>
      </c>
      <c r="N466" s="450">
        <v>77.69</v>
      </c>
      <c r="O466" s="450">
        <v>77.930000000000007</v>
      </c>
      <c r="P466" s="450">
        <v>78.13</v>
      </c>
      <c r="Q466" s="450">
        <v>78.28</v>
      </c>
      <c r="R466" s="450">
        <v>78.41</v>
      </c>
      <c r="S466" s="450">
        <v>78.489999999999995</v>
      </c>
      <c r="T466" s="133"/>
      <c r="U466" s="134">
        <v>29</v>
      </c>
      <c r="V466" s="450">
        <v>77.73</v>
      </c>
      <c r="W466" s="450">
        <v>77.790000000000006</v>
      </c>
      <c r="X466" s="450">
        <v>77.849999999999994</v>
      </c>
      <c r="Y466" s="450">
        <v>77.91</v>
      </c>
      <c r="Z466" s="450">
        <v>77.97</v>
      </c>
      <c r="AA466" s="450">
        <v>78.03</v>
      </c>
      <c r="AB466" s="450">
        <v>78.09</v>
      </c>
      <c r="AC466" s="450">
        <v>78.14</v>
      </c>
      <c r="AD466" s="450">
        <v>78.2</v>
      </c>
      <c r="AE466" s="450">
        <v>78.260000000000005</v>
      </c>
      <c r="AF466" s="450">
        <v>78.31</v>
      </c>
      <c r="AG466" s="450">
        <v>78.36</v>
      </c>
      <c r="AH466" s="450">
        <v>78.599999999999994</v>
      </c>
      <c r="AI466" s="450">
        <v>78.8</v>
      </c>
      <c r="AJ466" s="450">
        <v>78.97</v>
      </c>
      <c r="AK466" s="450">
        <v>79.09</v>
      </c>
      <c r="AL466" s="450">
        <v>79.180000000000007</v>
      </c>
      <c r="AM466" s="133"/>
      <c r="AN466" s="134">
        <v>29</v>
      </c>
      <c r="AO466" s="450">
        <v>78.55</v>
      </c>
      <c r="AP466" s="450">
        <v>78.62</v>
      </c>
      <c r="AQ466" s="450">
        <v>78.680000000000007</v>
      </c>
      <c r="AR466" s="450">
        <v>78.739999999999995</v>
      </c>
      <c r="AS466" s="450">
        <v>78.8</v>
      </c>
      <c r="AT466" s="450">
        <v>78.86</v>
      </c>
      <c r="AU466" s="450">
        <v>78.92</v>
      </c>
      <c r="AV466" s="450">
        <v>78.98</v>
      </c>
      <c r="AW466" s="450">
        <v>79.040000000000006</v>
      </c>
      <c r="AX466" s="450">
        <v>79.09</v>
      </c>
      <c r="AY466" s="450">
        <v>79.150000000000006</v>
      </c>
      <c r="AZ466" s="450">
        <v>79.2</v>
      </c>
      <c r="BA466" s="450">
        <v>79.45</v>
      </c>
      <c r="BB466" s="450">
        <v>79.66</v>
      </c>
      <c r="BC466" s="450">
        <v>79.819999999999993</v>
      </c>
      <c r="BD466" s="450">
        <v>79.95</v>
      </c>
      <c r="BE466" s="450">
        <v>80.05</v>
      </c>
    </row>
    <row r="467" spans="2:57" x14ac:dyDescent="0.25">
      <c r="B467" s="134">
        <v>30</v>
      </c>
      <c r="C467" s="450">
        <v>77.2</v>
      </c>
      <c r="D467" s="450">
        <v>77.260000000000005</v>
      </c>
      <c r="E467" s="450">
        <v>77.319999999999993</v>
      </c>
      <c r="F467" s="450">
        <v>77.38</v>
      </c>
      <c r="G467" s="450">
        <v>77.45</v>
      </c>
      <c r="H467" s="450">
        <v>77.510000000000005</v>
      </c>
      <c r="I467" s="450">
        <v>77.569999999999993</v>
      </c>
      <c r="J467" s="450">
        <v>77.62</v>
      </c>
      <c r="K467" s="450">
        <v>77.680000000000007</v>
      </c>
      <c r="L467" s="450">
        <v>77.739999999999995</v>
      </c>
      <c r="M467" s="450">
        <v>77.790000000000006</v>
      </c>
      <c r="N467" s="450">
        <v>77.849999999999994</v>
      </c>
      <c r="O467" s="450">
        <v>78.09</v>
      </c>
      <c r="P467" s="450">
        <v>78.3</v>
      </c>
      <c r="Q467" s="450">
        <v>78.459999999999994</v>
      </c>
      <c r="R467" s="450">
        <v>78.59</v>
      </c>
      <c r="S467" s="450">
        <v>78.67</v>
      </c>
      <c r="T467" s="133"/>
      <c r="U467" s="134">
        <v>30</v>
      </c>
      <c r="V467" s="450">
        <v>77.86</v>
      </c>
      <c r="W467" s="450">
        <v>77.92</v>
      </c>
      <c r="X467" s="450">
        <v>77.98</v>
      </c>
      <c r="Y467" s="450">
        <v>78.05</v>
      </c>
      <c r="Z467" s="450">
        <v>78.11</v>
      </c>
      <c r="AA467" s="450">
        <v>78.17</v>
      </c>
      <c r="AB467" s="450">
        <v>78.23</v>
      </c>
      <c r="AC467" s="450">
        <v>78.290000000000006</v>
      </c>
      <c r="AD467" s="450">
        <v>78.349999999999994</v>
      </c>
      <c r="AE467" s="450">
        <v>78.41</v>
      </c>
      <c r="AF467" s="450">
        <v>78.459999999999994</v>
      </c>
      <c r="AG467" s="450">
        <v>78.52</v>
      </c>
      <c r="AH467" s="450">
        <v>78.77</v>
      </c>
      <c r="AI467" s="450">
        <v>78.98</v>
      </c>
      <c r="AJ467" s="450">
        <v>79.150000000000006</v>
      </c>
      <c r="AK467" s="450">
        <v>79.27</v>
      </c>
      <c r="AL467" s="450">
        <v>79.37</v>
      </c>
      <c r="AM467" s="133"/>
      <c r="AN467" s="134">
        <v>30</v>
      </c>
      <c r="AO467" s="450">
        <v>78.680000000000007</v>
      </c>
      <c r="AP467" s="450">
        <v>78.75</v>
      </c>
      <c r="AQ467" s="450">
        <v>78.81</v>
      </c>
      <c r="AR467" s="450">
        <v>78.88</v>
      </c>
      <c r="AS467" s="450">
        <v>78.94</v>
      </c>
      <c r="AT467" s="450">
        <v>79.010000000000005</v>
      </c>
      <c r="AU467" s="450">
        <v>79.069999999999993</v>
      </c>
      <c r="AV467" s="450">
        <v>79.13</v>
      </c>
      <c r="AW467" s="450">
        <v>79.19</v>
      </c>
      <c r="AX467" s="450">
        <v>79.25</v>
      </c>
      <c r="AY467" s="450">
        <v>79.31</v>
      </c>
      <c r="AZ467" s="450">
        <v>79.36</v>
      </c>
      <c r="BA467" s="450">
        <v>79.62</v>
      </c>
      <c r="BB467" s="450">
        <v>79.84</v>
      </c>
      <c r="BC467" s="450">
        <v>80.010000000000005</v>
      </c>
      <c r="BD467" s="450">
        <v>80.14</v>
      </c>
      <c r="BE467" s="450">
        <v>80.239999999999995</v>
      </c>
    </row>
    <row r="468" spans="2:57" x14ac:dyDescent="0.25">
      <c r="B468" s="134">
        <v>31</v>
      </c>
      <c r="C468" s="450">
        <v>77.33</v>
      </c>
      <c r="D468" s="450">
        <v>77.39</v>
      </c>
      <c r="E468" s="450">
        <v>77.459999999999994</v>
      </c>
      <c r="F468" s="450">
        <v>77.52</v>
      </c>
      <c r="G468" s="450">
        <v>77.59</v>
      </c>
      <c r="H468" s="450">
        <v>77.650000000000006</v>
      </c>
      <c r="I468" s="450">
        <v>77.709999999999994</v>
      </c>
      <c r="J468" s="450">
        <v>77.78</v>
      </c>
      <c r="K468" s="450">
        <v>77.84</v>
      </c>
      <c r="L468" s="450">
        <v>77.89</v>
      </c>
      <c r="M468" s="450">
        <v>77.95</v>
      </c>
      <c r="N468" s="450">
        <v>78.010000000000005</v>
      </c>
      <c r="O468" s="450">
        <v>78.260000000000005</v>
      </c>
      <c r="P468" s="450">
        <v>78.48</v>
      </c>
      <c r="Q468" s="450">
        <v>78.650000000000006</v>
      </c>
      <c r="R468" s="450">
        <v>78.77</v>
      </c>
      <c r="S468" s="450">
        <v>78.86</v>
      </c>
      <c r="T468" s="133"/>
      <c r="U468" s="134">
        <v>31</v>
      </c>
      <c r="V468" s="450">
        <v>77.989999999999995</v>
      </c>
      <c r="W468" s="450">
        <v>78.06</v>
      </c>
      <c r="X468" s="450">
        <v>78.12</v>
      </c>
      <c r="Y468" s="450">
        <v>78.19</v>
      </c>
      <c r="Z468" s="450">
        <v>78.260000000000005</v>
      </c>
      <c r="AA468" s="450">
        <v>78.319999999999993</v>
      </c>
      <c r="AB468" s="450">
        <v>78.38</v>
      </c>
      <c r="AC468" s="450">
        <v>78.45</v>
      </c>
      <c r="AD468" s="450">
        <v>78.510000000000005</v>
      </c>
      <c r="AE468" s="450">
        <v>78.569999999999993</v>
      </c>
      <c r="AF468" s="450">
        <v>78.63</v>
      </c>
      <c r="AG468" s="450">
        <v>78.680000000000007</v>
      </c>
      <c r="AH468" s="450">
        <v>78.95</v>
      </c>
      <c r="AI468" s="450">
        <v>79.16</v>
      </c>
      <c r="AJ468" s="450">
        <v>79.33</v>
      </c>
      <c r="AK468" s="450">
        <v>79.47</v>
      </c>
      <c r="AL468" s="450">
        <v>79.56</v>
      </c>
      <c r="AM468" s="133"/>
      <c r="AN468" s="134">
        <v>31</v>
      </c>
      <c r="AO468" s="450">
        <v>78.819999999999993</v>
      </c>
      <c r="AP468" s="450">
        <v>78.89</v>
      </c>
      <c r="AQ468" s="450">
        <v>78.959999999999994</v>
      </c>
      <c r="AR468" s="450">
        <v>79.03</v>
      </c>
      <c r="AS468" s="450">
        <v>79.09</v>
      </c>
      <c r="AT468" s="450">
        <v>79.16</v>
      </c>
      <c r="AU468" s="450">
        <v>79.22</v>
      </c>
      <c r="AV468" s="450">
        <v>79.290000000000006</v>
      </c>
      <c r="AW468" s="450">
        <v>79.349999999999994</v>
      </c>
      <c r="AX468" s="450">
        <v>79.41</v>
      </c>
      <c r="AY468" s="450">
        <v>79.47</v>
      </c>
      <c r="AZ468" s="450">
        <v>79.53</v>
      </c>
      <c r="BA468" s="450">
        <v>79.8</v>
      </c>
      <c r="BB468" s="450">
        <v>80.03</v>
      </c>
      <c r="BC468" s="450">
        <v>80.2</v>
      </c>
      <c r="BD468" s="450">
        <v>80.34</v>
      </c>
      <c r="BE468" s="450">
        <v>80.44</v>
      </c>
    </row>
    <row r="469" spans="2:57" x14ac:dyDescent="0.25">
      <c r="B469" s="134">
        <v>32</v>
      </c>
      <c r="C469" s="450">
        <v>77.47</v>
      </c>
      <c r="D469" s="450">
        <v>77.540000000000006</v>
      </c>
      <c r="E469" s="450">
        <v>77.599999999999994</v>
      </c>
      <c r="F469" s="450">
        <v>77.67</v>
      </c>
      <c r="G469" s="450">
        <v>77.739999999999995</v>
      </c>
      <c r="H469" s="450">
        <v>77.8</v>
      </c>
      <c r="I469" s="450">
        <v>77.87</v>
      </c>
      <c r="J469" s="450">
        <v>77.930000000000007</v>
      </c>
      <c r="K469" s="450">
        <v>78</v>
      </c>
      <c r="L469" s="450">
        <v>78.06</v>
      </c>
      <c r="M469" s="450">
        <v>78.12</v>
      </c>
      <c r="N469" s="450">
        <v>78.180000000000007</v>
      </c>
      <c r="O469" s="450">
        <v>78.44</v>
      </c>
      <c r="P469" s="450">
        <v>78.66</v>
      </c>
      <c r="Q469" s="450">
        <v>78.84</v>
      </c>
      <c r="R469" s="450">
        <v>78.97</v>
      </c>
      <c r="S469" s="450">
        <v>79.06</v>
      </c>
      <c r="T469" s="133"/>
      <c r="U469" s="134">
        <v>32</v>
      </c>
      <c r="V469" s="450">
        <v>78.13</v>
      </c>
      <c r="W469" s="450">
        <v>78.2</v>
      </c>
      <c r="X469" s="450">
        <v>78.27</v>
      </c>
      <c r="Y469" s="450">
        <v>78.34</v>
      </c>
      <c r="Z469" s="450">
        <v>78.41</v>
      </c>
      <c r="AA469" s="450">
        <v>78.48</v>
      </c>
      <c r="AB469" s="450">
        <v>78.540000000000006</v>
      </c>
      <c r="AC469" s="450">
        <v>78.61</v>
      </c>
      <c r="AD469" s="450">
        <v>78.67</v>
      </c>
      <c r="AE469" s="450">
        <v>78.73</v>
      </c>
      <c r="AF469" s="450">
        <v>78.8</v>
      </c>
      <c r="AG469" s="450">
        <v>78.86</v>
      </c>
      <c r="AH469" s="450">
        <v>79.13</v>
      </c>
      <c r="AI469" s="450">
        <v>79.349999999999994</v>
      </c>
      <c r="AJ469" s="450">
        <v>79.53</v>
      </c>
      <c r="AK469" s="450">
        <v>79.67</v>
      </c>
      <c r="AL469" s="450">
        <v>79.760000000000005</v>
      </c>
      <c r="AM469" s="133"/>
      <c r="AN469" s="134">
        <v>32</v>
      </c>
      <c r="AO469" s="450">
        <v>78.959999999999994</v>
      </c>
      <c r="AP469" s="450">
        <v>79.040000000000006</v>
      </c>
      <c r="AQ469" s="450">
        <v>79.11</v>
      </c>
      <c r="AR469" s="450">
        <v>79.180000000000007</v>
      </c>
      <c r="AS469" s="450">
        <v>79.25</v>
      </c>
      <c r="AT469" s="450">
        <v>79.319999999999993</v>
      </c>
      <c r="AU469" s="450">
        <v>79.39</v>
      </c>
      <c r="AV469" s="450">
        <v>79.45</v>
      </c>
      <c r="AW469" s="450">
        <v>79.52</v>
      </c>
      <c r="AX469" s="450">
        <v>79.59</v>
      </c>
      <c r="AY469" s="450">
        <v>79.650000000000006</v>
      </c>
      <c r="AZ469" s="450">
        <v>79.709999999999994</v>
      </c>
      <c r="BA469" s="450">
        <v>79.989999999999995</v>
      </c>
      <c r="BB469" s="450">
        <v>80.22</v>
      </c>
      <c r="BC469" s="450">
        <v>80.41</v>
      </c>
      <c r="BD469" s="450">
        <v>80.55</v>
      </c>
      <c r="BE469" s="450">
        <v>80.64</v>
      </c>
    </row>
    <row r="470" spans="2:57" x14ac:dyDescent="0.25">
      <c r="B470" s="134">
        <v>33</v>
      </c>
      <c r="C470" s="450">
        <v>77.61</v>
      </c>
      <c r="D470" s="450">
        <v>77.680000000000007</v>
      </c>
      <c r="E470" s="450">
        <v>77.75</v>
      </c>
      <c r="F470" s="450">
        <v>77.819999999999993</v>
      </c>
      <c r="G470" s="450">
        <v>77.900000000000006</v>
      </c>
      <c r="H470" s="450">
        <v>77.959999999999994</v>
      </c>
      <c r="I470" s="450">
        <v>78.03</v>
      </c>
      <c r="J470" s="450">
        <v>78.099999999999994</v>
      </c>
      <c r="K470" s="450">
        <v>78.17</v>
      </c>
      <c r="L470" s="450">
        <v>78.23</v>
      </c>
      <c r="M470" s="450">
        <v>78.290000000000006</v>
      </c>
      <c r="N470" s="450">
        <v>78.349999999999994</v>
      </c>
      <c r="O470" s="450">
        <v>78.63</v>
      </c>
      <c r="P470" s="450">
        <v>78.86</v>
      </c>
      <c r="Q470" s="450">
        <v>79.040000000000006</v>
      </c>
      <c r="R470" s="450">
        <v>79.17</v>
      </c>
      <c r="S470" s="450">
        <v>79.27</v>
      </c>
      <c r="T470" s="133"/>
      <c r="U470" s="134">
        <v>33</v>
      </c>
      <c r="V470" s="450">
        <v>78.28</v>
      </c>
      <c r="W470" s="450">
        <v>78.349999999999994</v>
      </c>
      <c r="X470" s="450">
        <v>78.42</v>
      </c>
      <c r="Y470" s="450">
        <v>78.5</v>
      </c>
      <c r="Z470" s="450">
        <v>78.569999999999993</v>
      </c>
      <c r="AA470" s="450">
        <v>78.64</v>
      </c>
      <c r="AB470" s="450">
        <v>78.709999999999994</v>
      </c>
      <c r="AC470" s="450">
        <v>78.78</v>
      </c>
      <c r="AD470" s="450">
        <v>78.84</v>
      </c>
      <c r="AE470" s="450">
        <v>78.91</v>
      </c>
      <c r="AF470" s="450">
        <v>78.97</v>
      </c>
      <c r="AG470" s="450">
        <v>79.040000000000006</v>
      </c>
      <c r="AH470" s="450">
        <v>79.319999999999993</v>
      </c>
      <c r="AI470" s="450">
        <v>79.55</v>
      </c>
      <c r="AJ470" s="450">
        <v>79.739999999999995</v>
      </c>
      <c r="AK470" s="450">
        <v>79.88</v>
      </c>
      <c r="AL470" s="450">
        <v>79.97</v>
      </c>
      <c r="AM470" s="133"/>
      <c r="AN470" s="134">
        <v>33</v>
      </c>
      <c r="AO470" s="450">
        <v>79.12</v>
      </c>
      <c r="AP470" s="450">
        <v>79.19</v>
      </c>
      <c r="AQ470" s="450">
        <v>79.27</v>
      </c>
      <c r="AR470" s="450">
        <v>79.34</v>
      </c>
      <c r="AS470" s="450">
        <v>79.41</v>
      </c>
      <c r="AT470" s="450">
        <v>79.489999999999995</v>
      </c>
      <c r="AU470" s="450">
        <v>79.56</v>
      </c>
      <c r="AV470" s="450">
        <v>79.63</v>
      </c>
      <c r="AW470" s="450">
        <v>79.7</v>
      </c>
      <c r="AX470" s="450">
        <v>79.77</v>
      </c>
      <c r="AY470" s="450">
        <v>79.83</v>
      </c>
      <c r="AZ470" s="450">
        <v>79.900000000000006</v>
      </c>
      <c r="BA470" s="450">
        <v>80.19</v>
      </c>
      <c r="BB470" s="450">
        <v>80.430000000000007</v>
      </c>
      <c r="BC470" s="450">
        <v>80.62</v>
      </c>
      <c r="BD470" s="450">
        <v>80.760000000000005</v>
      </c>
      <c r="BE470" s="450">
        <v>80.86</v>
      </c>
    </row>
    <row r="471" spans="2:57" x14ac:dyDescent="0.25">
      <c r="B471" s="134">
        <v>34</v>
      </c>
      <c r="C471" s="450">
        <v>77.760000000000005</v>
      </c>
      <c r="D471" s="450">
        <v>77.84</v>
      </c>
      <c r="E471" s="450">
        <v>77.91</v>
      </c>
      <c r="F471" s="450">
        <v>77.989999999999995</v>
      </c>
      <c r="G471" s="450">
        <v>78.06</v>
      </c>
      <c r="H471" s="450">
        <v>78.13</v>
      </c>
      <c r="I471" s="450">
        <v>78.2</v>
      </c>
      <c r="J471" s="450">
        <v>78.27</v>
      </c>
      <c r="K471" s="450">
        <v>78.34</v>
      </c>
      <c r="L471" s="450">
        <v>78.41</v>
      </c>
      <c r="M471" s="450">
        <v>78.47</v>
      </c>
      <c r="N471" s="450">
        <v>78.540000000000006</v>
      </c>
      <c r="O471" s="450">
        <v>78.83</v>
      </c>
      <c r="P471" s="450">
        <v>79.06</v>
      </c>
      <c r="Q471" s="450">
        <v>79.25</v>
      </c>
      <c r="R471" s="450">
        <v>79.39</v>
      </c>
      <c r="S471" s="450">
        <v>79.48</v>
      </c>
      <c r="T471" s="133"/>
      <c r="U471" s="134">
        <v>34</v>
      </c>
      <c r="V471" s="450">
        <v>78.430000000000007</v>
      </c>
      <c r="W471" s="450">
        <v>78.510000000000005</v>
      </c>
      <c r="X471" s="450">
        <v>78.58</v>
      </c>
      <c r="Y471" s="450">
        <v>78.66</v>
      </c>
      <c r="Z471" s="450">
        <v>78.739999999999995</v>
      </c>
      <c r="AA471" s="450">
        <v>78.81</v>
      </c>
      <c r="AB471" s="450">
        <v>78.88</v>
      </c>
      <c r="AC471" s="450">
        <v>78.95</v>
      </c>
      <c r="AD471" s="450">
        <v>79.02</v>
      </c>
      <c r="AE471" s="450">
        <v>79.09</v>
      </c>
      <c r="AF471" s="450">
        <v>79.16</v>
      </c>
      <c r="AG471" s="450">
        <v>79.22</v>
      </c>
      <c r="AH471" s="450">
        <v>79.52</v>
      </c>
      <c r="AI471" s="450">
        <v>79.760000000000005</v>
      </c>
      <c r="AJ471" s="450">
        <v>79.95</v>
      </c>
      <c r="AK471" s="450">
        <v>80.09</v>
      </c>
      <c r="AL471" s="450">
        <v>80.19</v>
      </c>
      <c r="AM471" s="133"/>
      <c r="AN471" s="134">
        <v>34</v>
      </c>
      <c r="AO471" s="450">
        <v>79.27</v>
      </c>
      <c r="AP471" s="450">
        <v>79.349999999999994</v>
      </c>
      <c r="AQ471" s="450">
        <v>79.430000000000007</v>
      </c>
      <c r="AR471" s="450">
        <v>79.510000000000005</v>
      </c>
      <c r="AS471" s="450">
        <v>79.59</v>
      </c>
      <c r="AT471" s="450">
        <v>79.66</v>
      </c>
      <c r="AU471" s="450">
        <v>79.739999999999995</v>
      </c>
      <c r="AV471" s="450">
        <v>79.81</v>
      </c>
      <c r="AW471" s="450">
        <v>79.88</v>
      </c>
      <c r="AX471" s="450">
        <v>79.95</v>
      </c>
      <c r="AY471" s="450">
        <v>80.02</v>
      </c>
      <c r="AZ471" s="450">
        <v>80.09</v>
      </c>
      <c r="BA471" s="450">
        <v>80.39</v>
      </c>
      <c r="BB471" s="450">
        <v>80.64</v>
      </c>
      <c r="BC471" s="450">
        <v>80.84</v>
      </c>
      <c r="BD471" s="450">
        <v>80.989999999999995</v>
      </c>
      <c r="BE471" s="450">
        <v>81.09</v>
      </c>
    </row>
    <row r="472" spans="2:57" x14ac:dyDescent="0.25">
      <c r="B472" s="134">
        <v>35</v>
      </c>
      <c r="C472" s="450">
        <v>77.92</v>
      </c>
      <c r="D472" s="450">
        <v>78</v>
      </c>
      <c r="E472" s="450">
        <v>78.08</v>
      </c>
      <c r="F472" s="450">
        <v>78.150000000000006</v>
      </c>
      <c r="G472" s="450">
        <v>78.23</v>
      </c>
      <c r="H472" s="450">
        <v>78.31</v>
      </c>
      <c r="I472" s="450">
        <v>78.38</v>
      </c>
      <c r="J472" s="450">
        <v>78.45</v>
      </c>
      <c r="K472" s="450">
        <v>78.53</v>
      </c>
      <c r="L472" s="450">
        <v>78.599999999999994</v>
      </c>
      <c r="M472" s="450">
        <v>78.66</v>
      </c>
      <c r="N472" s="450">
        <v>78.73</v>
      </c>
      <c r="O472" s="450">
        <v>79.03</v>
      </c>
      <c r="P472" s="450">
        <v>79.27</v>
      </c>
      <c r="Q472" s="450">
        <v>79.47</v>
      </c>
      <c r="R472" s="450">
        <v>79.61</v>
      </c>
      <c r="S472" s="450">
        <v>79.7</v>
      </c>
      <c r="T472" s="133"/>
      <c r="U472" s="134">
        <v>35</v>
      </c>
      <c r="V472" s="450">
        <v>78.59</v>
      </c>
      <c r="W472" s="450">
        <v>78.67</v>
      </c>
      <c r="X472" s="450">
        <v>78.75</v>
      </c>
      <c r="Y472" s="450">
        <v>78.83</v>
      </c>
      <c r="Z472" s="450">
        <v>78.91</v>
      </c>
      <c r="AA472" s="450">
        <v>78.989999999999995</v>
      </c>
      <c r="AB472" s="450">
        <v>79.06</v>
      </c>
      <c r="AC472" s="450">
        <v>79.14</v>
      </c>
      <c r="AD472" s="450">
        <v>79.209999999999994</v>
      </c>
      <c r="AE472" s="450">
        <v>79.28</v>
      </c>
      <c r="AF472" s="450">
        <v>79.349999999999994</v>
      </c>
      <c r="AG472" s="450">
        <v>79.42</v>
      </c>
      <c r="AH472" s="450">
        <v>79.73</v>
      </c>
      <c r="AI472" s="450">
        <v>79.98</v>
      </c>
      <c r="AJ472" s="450">
        <v>80.17</v>
      </c>
      <c r="AK472" s="450">
        <v>80.319999999999993</v>
      </c>
      <c r="AL472" s="450">
        <v>80.42</v>
      </c>
      <c r="AM472" s="133"/>
      <c r="AN472" s="134">
        <v>35</v>
      </c>
      <c r="AO472" s="450">
        <v>79.44</v>
      </c>
      <c r="AP472" s="450">
        <v>79.52</v>
      </c>
      <c r="AQ472" s="450">
        <v>79.599999999999994</v>
      </c>
      <c r="AR472" s="450">
        <v>79.69</v>
      </c>
      <c r="AS472" s="450">
        <v>79.77</v>
      </c>
      <c r="AT472" s="450">
        <v>79.849999999999994</v>
      </c>
      <c r="AU472" s="450">
        <v>79.92</v>
      </c>
      <c r="AV472" s="450">
        <v>80</v>
      </c>
      <c r="AW472" s="450">
        <v>80.08</v>
      </c>
      <c r="AX472" s="450">
        <v>80.150000000000006</v>
      </c>
      <c r="AY472" s="450">
        <v>80.22</v>
      </c>
      <c r="AZ472" s="450">
        <v>80.290000000000006</v>
      </c>
      <c r="BA472" s="450">
        <v>80.61</v>
      </c>
      <c r="BB472" s="450">
        <v>80.87</v>
      </c>
      <c r="BC472" s="450">
        <v>81.069999999999993</v>
      </c>
      <c r="BD472" s="450">
        <v>81.22</v>
      </c>
      <c r="BE472" s="450">
        <v>81.319999999999993</v>
      </c>
    </row>
    <row r="473" spans="2:57" x14ac:dyDescent="0.25">
      <c r="B473" s="134">
        <v>36</v>
      </c>
      <c r="C473" s="450">
        <v>78.08</v>
      </c>
      <c r="D473" s="450">
        <v>78.17</v>
      </c>
      <c r="E473" s="450">
        <v>78.25</v>
      </c>
      <c r="F473" s="450">
        <v>78.33</v>
      </c>
      <c r="G473" s="450">
        <v>78.41</v>
      </c>
      <c r="H473" s="450">
        <v>78.489999999999995</v>
      </c>
      <c r="I473" s="450">
        <v>78.569999999999993</v>
      </c>
      <c r="J473" s="450">
        <v>78.64</v>
      </c>
      <c r="K473" s="450">
        <v>78.72</v>
      </c>
      <c r="L473" s="450">
        <v>78.790000000000006</v>
      </c>
      <c r="M473" s="450">
        <v>78.86</v>
      </c>
      <c r="N473" s="450">
        <v>78.930000000000007</v>
      </c>
      <c r="O473" s="450">
        <v>79.239999999999995</v>
      </c>
      <c r="P473" s="450">
        <v>79.5</v>
      </c>
      <c r="Q473" s="450">
        <v>79.69</v>
      </c>
      <c r="R473" s="450">
        <v>79.84</v>
      </c>
      <c r="S473" s="450">
        <v>79.930000000000007</v>
      </c>
      <c r="T473" s="133"/>
      <c r="U473" s="134">
        <v>36</v>
      </c>
      <c r="V473" s="450">
        <v>78.760000000000005</v>
      </c>
      <c r="W473" s="450">
        <v>78.84</v>
      </c>
      <c r="X473" s="450">
        <v>78.930000000000007</v>
      </c>
      <c r="Y473" s="450">
        <v>79.010000000000005</v>
      </c>
      <c r="Z473" s="450">
        <v>79.09</v>
      </c>
      <c r="AA473" s="450">
        <v>79.17</v>
      </c>
      <c r="AB473" s="450">
        <v>79.25</v>
      </c>
      <c r="AC473" s="450">
        <v>79.33</v>
      </c>
      <c r="AD473" s="450">
        <v>79.41</v>
      </c>
      <c r="AE473" s="450">
        <v>79.48</v>
      </c>
      <c r="AF473" s="450">
        <v>79.55</v>
      </c>
      <c r="AG473" s="450">
        <v>79.62</v>
      </c>
      <c r="AH473" s="450">
        <v>79.94</v>
      </c>
      <c r="AI473" s="450">
        <v>80.2</v>
      </c>
      <c r="AJ473" s="450">
        <v>80.41</v>
      </c>
      <c r="AK473" s="450">
        <v>80.55</v>
      </c>
      <c r="AL473" s="450">
        <v>80.650000000000006</v>
      </c>
      <c r="AM473" s="133"/>
      <c r="AN473" s="134">
        <v>36</v>
      </c>
      <c r="AO473" s="450">
        <v>79.61</v>
      </c>
      <c r="AP473" s="450">
        <v>79.7</v>
      </c>
      <c r="AQ473" s="450">
        <v>79.790000000000006</v>
      </c>
      <c r="AR473" s="450">
        <v>79.87</v>
      </c>
      <c r="AS473" s="450">
        <v>79.95</v>
      </c>
      <c r="AT473" s="450">
        <v>80.040000000000006</v>
      </c>
      <c r="AU473" s="450">
        <v>80.12</v>
      </c>
      <c r="AV473" s="450">
        <v>80.2</v>
      </c>
      <c r="AW473" s="450">
        <v>80.28</v>
      </c>
      <c r="AX473" s="450">
        <v>80.349999999999994</v>
      </c>
      <c r="AY473" s="450">
        <v>80.430000000000007</v>
      </c>
      <c r="AZ473" s="450">
        <v>80.5</v>
      </c>
      <c r="BA473" s="450">
        <v>80.83</v>
      </c>
      <c r="BB473" s="450">
        <v>81.099999999999994</v>
      </c>
      <c r="BC473" s="450">
        <v>81.31</v>
      </c>
      <c r="BD473" s="450">
        <v>81.459999999999994</v>
      </c>
      <c r="BE473" s="450">
        <v>81.56</v>
      </c>
    </row>
    <row r="474" spans="2:57" x14ac:dyDescent="0.25">
      <c r="B474" s="134">
        <v>37</v>
      </c>
      <c r="C474" s="450">
        <v>78.260000000000005</v>
      </c>
      <c r="D474" s="450">
        <v>78.34</v>
      </c>
      <c r="E474" s="450">
        <v>78.430000000000007</v>
      </c>
      <c r="F474" s="450">
        <v>78.510000000000005</v>
      </c>
      <c r="G474" s="450">
        <v>78.599999999999994</v>
      </c>
      <c r="H474" s="450">
        <v>78.680000000000007</v>
      </c>
      <c r="I474" s="450">
        <v>78.760000000000005</v>
      </c>
      <c r="J474" s="450">
        <v>78.84</v>
      </c>
      <c r="K474" s="450">
        <v>78.92</v>
      </c>
      <c r="L474" s="450">
        <v>78.989999999999995</v>
      </c>
      <c r="M474" s="450">
        <v>79.069999999999993</v>
      </c>
      <c r="N474" s="450">
        <v>79.14</v>
      </c>
      <c r="O474" s="450">
        <v>79.459999999999994</v>
      </c>
      <c r="P474" s="450">
        <v>79.73</v>
      </c>
      <c r="Q474" s="450">
        <v>79.930000000000007</v>
      </c>
      <c r="R474" s="450">
        <v>80.069999999999993</v>
      </c>
      <c r="S474" s="450">
        <v>80.16</v>
      </c>
      <c r="T474" s="133"/>
      <c r="U474" s="134">
        <v>37</v>
      </c>
      <c r="V474" s="450">
        <v>78.94</v>
      </c>
      <c r="W474" s="450">
        <v>79.02</v>
      </c>
      <c r="X474" s="450">
        <v>79.11</v>
      </c>
      <c r="Y474" s="450">
        <v>79.2</v>
      </c>
      <c r="Z474" s="450">
        <v>79.28</v>
      </c>
      <c r="AA474" s="450">
        <v>79.37</v>
      </c>
      <c r="AB474" s="450">
        <v>79.45</v>
      </c>
      <c r="AC474" s="450">
        <v>79.53</v>
      </c>
      <c r="AD474" s="450">
        <v>79.61</v>
      </c>
      <c r="AE474" s="450">
        <v>79.69</v>
      </c>
      <c r="AF474" s="450">
        <v>79.760000000000005</v>
      </c>
      <c r="AG474" s="450">
        <v>79.84</v>
      </c>
      <c r="AH474" s="450">
        <v>80.17</v>
      </c>
      <c r="AI474" s="450">
        <v>80.44</v>
      </c>
      <c r="AJ474" s="450">
        <v>80.650000000000006</v>
      </c>
      <c r="AK474" s="450">
        <v>80.8</v>
      </c>
      <c r="AL474" s="450">
        <v>80.89</v>
      </c>
      <c r="AM474" s="133"/>
      <c r="AN474" s="134">
        <v>37</v>
      </c>
      <c r="AO474" s="450">
        <v>79.790000000000006</v>
      </c>
      <c r="AP474" s="450">
        <v>79.88</v>
      </c>
      <c r="AQ474" s="450">
        <v>79.97</v>
      </c>
      <c r="AR474" s="450">
        <v>80.06</v>
      </c>
      <c r="AS474" s="450">
        <v>80.150000000000006</v>
      </c>
      <c r="AT474" s="450">
        <v>80.239999999999995</v>
      </c>
      <c r="AU474" s="450">
        <v>80.319999999999993</v>
      </c>
      <c r="AV474" s="450">
        <v>80.41</v>
      </c>
      <c r="AW474" s="450">
        <v>80.489999999999995</v>
      </c>
      <c r="AX474" s="450">
        <v>80.569999999999993</v>
      </c>
      <c r="AY474" s="450">
        <v>80.650000000000006</v>
      </c>
      <c r="AZ474" s="450">
        <v>80.72</v>
      </c>
      <c r="BA474" s="450">
        <v>81.06</v>
      </c>
      <c r="BB474" s="450">
        <v>81.34</v>
      </c>
      <c r="BC474" s="450">
        <v>81.56</v>
      </c>
      <c r="BD474" s="450">
        <v>81.709999999999994</v>
      </c>
      <c r="BE474" s="450">
        <v>81.81</v>
      </c>
    </row>
    <row r="475" spans="2:57" x14ac:dyDescent="0.25">
      <c r="B475" s="134">
        <v>38</v>
      </c>
      <c r="C475" s="450">
        <v>78.44</v>
      </c>
      <c r="D475" s="450">
        <v>78.53</v>
      </c>
      <c r="E475" s="450">
        <v>78.62</v>
      </c>
      <c r="F475" s="450">
        <v>78.709999999999994</v>
      </c>
      <c r="G475" s="450">
        <v>78.790000000000006</v>
      </c>
      <c r="H475" s="450">
        <v>78.88</v>
      </c>
      <c r="I475" s="450">
        <v>78.959999999999994</v>
      </c>
      <c r="J475" s="450">
        <v>79.05</v>
      </c>
      <c r="K475" s="450">
        <v>79.13</v>
      </c>
      <c r="L475" s="450">
        <v>79.209999999999994</v>
      </c>
      <c r="M475" s="450">
        <v>79.28</v>
      </c>
      <c r="N475" s="450">
        <v>79.36</v>
      </c>
      <c r="O475" s="450">
        <v>79.69</v>
      </c>
      <c r="P475" s="450">
        <v>79.959999999999994</v>
      </c>
      <c r="Q475" s="450">
        <v>80.17</v>
      </c>
      <c r="R475" s="450">
        <v>80.319999999999993</v>
      </c>
      <c r="S475" s="450">
        <v>80.41</v>
      </c>
      <c r="T475" s="133"/>
      <c r="U475" s="134">
        <v>38</v>
      </c>
      <c r="V475" s="450">
        <v>79.12</v>
      </c>
      <c r="W475" s="450">
        <v>79.209999999999994</v>
      </c>
      <c r="X475" s="450">
        <v>79.3</v>
      </c>
      <c r="Y475" s="450">
        <v>79.400000000000006</v>
      </c>
      <c r="Z475" s="450">
        <v>79.48</v>
      </c>
      <c r="AA475" s="450">
        <v>79.569999999999993</v>
      </c>
      <c r="AB475" s="450">
        <v>79.66</v>
      </c>
      <c r="AC475" s="450">
        <v>79.739999999999995</v>
      </c>
      <c r="AD475" s="450">
        <v>79.83</v>
      </c>
      <c r="AE475" s="450">
        <v>79.91</v>
      </c>
      <c r="AF475" s="450">
        <v>79.98</v>
      </c>
      <c r="AG475" s="450">
        <v>80.06</v>
      </c>
      <c r="AH475" s="450">
        <v>80.400000000000006</v>
      </c>
      <c r="AI475" s="450">
        <v>80.680000000000007</v>
      </c>
      <c r="AJ475" s="450">
        <v>80.900000000000006</v>
      </c>
      <c r="AK475" s="450">
        <v>81.05</v>
      </c>
      <c r="AL475" s="450">
        <v>81.14</v>
      </c>
      <c r="AM475" s="133"/>
      <c r="AN475" s="134">
        <v>38</v>
      </c>
      <c r="AO475" s="450">
        <v>79.98</v>
      </c>
      <c r="AP475" s="450">
        <v>80.08</v>
      </c>
      <c r="AQ475" s="450">
        <v>80.17</v>
      </c>
      <c r="AR475" s="450">
        <v>80.27</v>
      </c>
      <c r="AS475" s="450">
        <v>80.36</v>
      </c>
      <c r="AT475" s="450">
        <v>80.45</v>
      </c>
      <c r="AU475" s="450">
        <v>80.540000000000006</v>
      </c>
      <c r="AV475" s="450">
        <v>80.62</v>
      </c>
      <c r="AW475" s="450">
        <v>80.709999999999994</v>
      </c>
      <c r="AX475" s="450">
        <v>80.790000000000006</v>
      </c>
      <c r="AY475" s="450">
        <v>80.87</v>
      </c>
      <c r="AZ475" s="450">
        <v>80.95</v>
      </c>
      <c r="BA475" s="450">
        <v>81.3</v>
      </c>
      <c r="BB475" s="450">
        <v>81.59</v>
      </c>
      <c r="BC475" s="450">
        <v>81.819999999999993</v>
      </c>
      <c r="BD475" s="450">
        <v>81.98</v>
      </c>
      <c r="BE475" s="450">
        <v>82.07</v>
      </c>
    </row>
    <row r="476" spans="2:57" x14ac:dyDescent="0.25">
      <c r="B476" s="134">
        <v>39</v>
      </c>
      <c r="C476" s="450">
        <v>78.63</v>
      </c>
      <c r="D476" s="450">
        <v>78.72</v>
      </c>
      <c r="E476" s="450">
        <v>78.81</v>
      </c>
      <c r="F476" s="450">
        <v>78.91</v>
      </c>
      <c r="G476" s="450">
        <v>79</v>
      </c>
      <c r="H476" s="450">
        <v>79.09</v>
      </c>
      <c r="I476" s="450">
        <v>79.180000000000007</v>
      </c>
      <c r="J476" s="450">
        <v>79.260000000000005</v>
      </c>
      <c r="K476" s="450">
        <v>79.349999999999994</v>
      </c>
      <c r="L476" s="450">
        <v>79.430000000000007</v>
      </c>
      <c r="M476" s="450">
        <v>79.510000000000005</v>
      </c>
      <c r="N476" s="450">
        <v>79.58</v>
      </c>
      <c r="O476" s="450">
        <v>79.930000000000007</v>
      </c>
      <c r="P476" s="450">
        <v>80.209999999999994</v>
      </c>
      <c r="Q476" s="450">
        <v>80.430000000000007</v>
      </c>
      <c r="R476" s="450">
        <v>80.58</v>
      </c>
      <c r="S476" s="450">
        <v>80.66</v>
      </c>
      <c r="T476" s="133"/>
      <c r="U476" s="134">
        <v>39</v>
      </c>
      <c r="V476" s="450">
        <v>79.31</v>
      </c>
      <c r="W476" s="450">
        <v>79.41</v>
      </c>
      <c r="X476" s="450">
        <v>79.510000000000005</v>
      </c>
      <c r="Y476" s="450">
        <v>79.599999999999994</v>
      </c>
      <c r="Z476" s="450">
        <v>79.69</v>
      </c>
      <c r="AA476" s="450">
        <v>79.790000000000006</v>
      </c>
      <c r="AB476" s="450">
        <v>79.88</v>
      </c>
      <c r="AC476" s="450">
        <v>79.959999999999994</v>
      </c>
      <c r="AD476" s="450">
        <v>80.05</v>
      </c>
      <c r="AE476" s="450">
        <v>80.13</v>
      </c>
      <c r="AF476" s="450">
        <v>80.209999999999994</v>
      </c>
      <c r="AG476" s="450">
        <v>80.290000000000006</v>
      </c>
      <c r="AH476" s="450">
        <v>80.650000000000006</v>
      </c>
      <c r="AI476" s="450">
        <v>80.94</v>
      </c>
      <c r="AJ476" s="450">
        <v>81.16</v>
      </c>
      <c r="AK476" s="450">
        <v>81.31</v>
      </c>
      <c r="AL476" s="450">
        <v>81.400000000000006</v>
      </c>
      <c r="AM476" s="133"/>
      <c r="AN476" s="134">
        <v>39</v>
      </c>
      <c r="AO476" s="450">
        <v>80.180000000000007</v>
      </c>
      <c r="AP476" s="450">
        <v>80.28</v>
      </c>
      <c r="AQ476" s="450">
        <v>80.38</v>
      </c>
      <c r="AR476" s="450">
        <v>80.48</v>
      </c>
      <c r="AS476" s="450">
        <v>80.569999999999993</v>
      </c>
      <c r="AT476" s="450">
        <v>80.67</v>
      </c>
      <c r="AU476" s="450">
        <v>80.760000000000005</v>
      </c>
      <c r="AV476" s="450">
        <v>80.849999999999994</v>
      </c>
      <c r="AW476" s="450">
        <v>80.94</v>
      </c>
      <c r="AX476" s="450">
        <v>81.03</v>
      </c>
      <c r="AY476" s="450">
        <v>81.11</v>
      </c>
      <c r="AZ476" s="450">
        <v>81.19</v>
      </c>
      <c r="BA476" s="450">
        <v>81.56</v>
      </c>
      <c r="BB476" s="450">
        <v>81.86</v>
      </c>
      <c r="BC476" s="450">
        <v>82.09</v>
      </c>
      <c r="BD476" s="450">
        <v>82.25</v>
      </c>
      <c r="BE476" s="450">
        <v>82.34</v>
      </c>
    </row>
    <row r="477" spans="2:57" x14ac:dyDescent="0.25">
      <c r="B477" s="134">
        <v>40</v>
      </c>
      <c r="C477" s="450">
        <v>78.819999999999993</v>
      </c>
      <c r="D477" s="450">
        <v>78.92</v>
      </c>
      <c r="E477" s="450">
        <v>79.02</v>
      </c>
      <c r="F477" s="450">
        <v>79.12</v>
      </c>
      <c r="G477" s="450">
        <v>79.209999999999994</v>
      </c>
      <c r="H477" s="450">
        <v>79.31</v>
      </c>
      <c r="I477" s="450">
        <v>79.400000000000006</v>
      </c>
      <c r="J477" s="450">
        <v>79.489999999999995</v>
      </c>
      <c r="K477" s="450">
        <v>79.569999999999993</v>
      </c>
      <c r="L477" s="450">
        <v>79.66</v>
      </c>
      <c r="M477" s="450">
        <v>79.739999999999995</v>
      </c>
      <c r="N477" s="450">
        <v>79.819999999999993</v>
      </c>
      <c r="O477" s="450">
        <v>80.180000000000007</v>
      </c>
      <c r="P477" s="450">
        <v>80.47</v>
      </c>
      <c r="Q477" s="450">
        <v>80.69</v>
      </c>
      <c r="R477" s="450">
        <v>80.84</v>
      </c>
      <c r="S477" s="450">
        <v>80.92</v>
      </c>
      <c r="T477" s="133"/>
      <c r="U477" s="134">
        <v>40</v>
      </c>
      <c r="V477" s="450">
        <v>79.52</v>
      </c>
      <c r="W477" s="450">
        <v>79.62</v>
      </c>
      <c r="X477" s="450">
        <v>79.72</v>
      </c>
      <c r="Y477" s="450">
        <v>79.81</v>
      </c>
      <c r="Z477" s="450">
        <v>79.91</v>
      </c>
      <c r="AA477" s="450">
        <v>80.010000000000005</v>
      </c>
      <c r="AB477" s="450">
        <v>80.099999999999994</v>
      </c>
      <c r="AC477" s="450">
        <v>80.19</v>
      </c>
      <c r="AD477" s="450">
        <v>80.28</v>
      </c>
      <c r="AE477" s="450">
        <v>80.37</v>
      </c>
      <c r="AF477" s="450">
        <v>80.45</v>
      </c>
      <c r="AG477" s="450">
        <v>80.53</v>
      </c>
      <c r="AH477" s="450">
        <v>80.900000000000006</v>
      </c>
      <c r="AI477" s="450">
        <v>81.2</v>
      </c>
      <c r="AJ477" s="450">
        <v>81.430000000000007</v>
      </c>
      <c r="AK477" s="450">
        <v>81.58</v>
      </c>
      <c r="AL477" s="450">
        <v>81.67</v>
      </c>
      <c r="AM477" s="133"/>
      <c r="AN477" s="134">
        <v>40</v>
      </c>
      <c r="AO477" s="450">
        <v>80.39</v>
      </c>
      <c r="AP477" s="450">
        <v>80.489999999999995</v>
      </c>
      <c r="AQ477" s="450">
        <v>80.599999999999994</v>
      </c>
      <c r="AR477" s="450">
        <v>80.7</v>
      </c>
      <c r="AS477" s="450">
        <v>80.8</v>
      </c>
      <c r="AT477" s="450">
        <v>80.900000000000006</v>
      </c>
      <c r="AU477" s="450">
        <v>80.989999999999995</v>
      </c>
      <c r="AV477" s="450">
        <v>81.09</v>
      </c>
      <c r="AW477" s="450">
        <v>81.180000000000007</v>
      </c>
      <c r="AX477" s="450">
        <v>81.27</v>
      </c>
      <c r="AY477" s="450">
        <v>81.349999999999994</v>
      </c>
      <c r="AZ477" s="450">
        <v>81.44</v>
      </c>
      <c r="BA477" s="450">
        <v>81.819999999999993</v>
      </c>
      <c r="BB477" s="450">
        <v>82.13</v>
      </c>
      <c r="BC477" s="450">
        <v>82.36</v>
      </c>
      <c r="BD477" s="450">
        <v>82.53</v>
      </c>
      <c r="BE477" s="450">
        <v>82.61</v>
      </c>
    </row>
    <row r="478" spans="2:57" x14ac:dyDescent="0.25">
      <c r="B478" s="134">
        <v>41</v>
      </c>
      <c r="C478" s="450">
        <v>79.03</v>
      </c>
      <c r="D478" s="450">
        <v>79.13</v>
      </c>
      <c r="E478" s="450">
        <v>79.23</v>
      </c>
      <c r="F478" s="450">
        <v>79.34</v>
      </c>
      <c r="G478" s="450">
        <v>79.430000000000007</v>
      </c>
      <c r="H478" s="450">
        <v>79.53</v>
      </c>
      <c r="I478" s="450">
        <v>79.63</v>
      </c>
      <c r="J478" s="450">
        <v>79.72</v>
      </c>
      <c r="K478" s="450">
        <v>79.81</v>
      </c>
      <c r="L478" s="450">
        <v>79.900000000000006</v>
      </c>
      <c r="M478" s="450">
        <v>79.98</v>
      </c>
      <c r="N478" s="450">
        <v>80.069999999999993</v>
      </c>
      <c r="O478" s="450">
        <v>80.44</v>
      </c>
      <c r="P478" s="450">
        <v>80.739999999999995</v>
      </c>
      <c r="Q478" s="450">
        <v>80.959999999999994</v>
      </c>
      <c r="R478" s="450">
        <v>81.11</v>
      </c>
      <c r="S478" s="450">
        <v>81.19</v>
      </c>
      <c r="T478" s="133"/>
      <c r="U478" s="134">
        <v>41</v>
      </c>
      <c r="V478" s="450">
        <v>79.73</v>
      </c>
      <c r="W478" s="450">
        <v>79.83</v>
      </c>
      <c r="X478" s="450">
        <v>79.930000000000007</v>
      </c>
      <c r="Y478" s="450">
        <v>80.040000000000006</v>
      </c>
      <c r="Z478" s="450">
        <v>80.14</v>
      </c>
      <c r="AA478" s="450">
        <v>80.239999999999995</v>
      </c>
      <c r="AB478" s="450">
        <v>80.33</v>
      </c>
      <c r="AC478" s="450">
        <v>80.430000000000007</v>
      </c>
      <c r="AD478" s="450">
        <v>80.52</v>
      </c>
      <c r="AE478" s="450">
        <v>80.61</v>
      </c>
      <c r="AF478" s="450">
        <v>80.7</v>
      </c>
      <c r="AG478" s="450">
        <v>80.78</v>
      </c>
      <c r="AH478" s="450">
        <v>81.17</v>
      </c>
      <c r="AI478" s="450">
        <v>81.48</v>
      </c>
      <c r="AJ478" s="450">
        <v>81.709999999999994</v>
      </c>
      <c r="AK478" s="450">
        <v>81.86</v>
      </c>
      <c r="AL478" s="450">
        <v>81.94</v>
      </c>
      <c r="AM478" s="133"/>
      <c r="AN478" s="134">
        <v>41</v>
      </c>
      <c r="AO478" s="450">
        <v>80.61</v>
      </c>
      <c r="AP478" s="450">
        <v>80.709999999999994</v>
      </c>
      <c r="AQ478" s="450">
        <v>80.819999999999993</v>
      </c>
      <c r="AR478" s="450">
        <v>80.930000000000007</v>
      </c>
      <c r="AS478" s="450">
        <v>81.03</v>
      </c>
      <c r="AT478" s="450">
        <v>81.13</v>
      </c>
      <c r="AU478" s="450">
        <v>81.23</v>
      </c>
      <c r="AV478" s="450">
        <v>81.33</v>
      </c>
      <c r="AW478" s="450">
        <v>81.430000000000007</v>
      </c>
      <c r="AX478" s="450">
        <v>81.52</v>
      </c>
      <c r="AY478" s="450">
        <v>81.61</v>
      </c>
      <c r="AZ478" s="450">
        <v>81.7</v>
      </c>
      <c r="BA478" s="450">
        <v>82.09</v>
      </c>
      <c r="BB478" s="450">
        <v>82.41</v>
      </c>
      <c r="BC478" s="450">
        <v>82.65</v>
      </c>
      <c r="BD478" s="450">
        <v>82.81</v>
      </c>
      <c r="BE478" s="450">
        <v>82.9</v>
      </c>
    </row>
    <row r="479" spans="2:57" x14ac:dyDescent="0.25">
      <c r="B479" s="134">
        <v>42</v>
      </c>
      <c r="C479" s="450">
        <v>79.239999999999995</v>
      </c>
      <c r="D479" s="450">
        <v>79.349999999999994</v>
      </c>
      <c r="E479" s="450">
        <v>79.459999999999994</v>
      </c>
      <c r="F479" s="450">
        <v>79.56</v>
      </c>
      <c r="G479" s="450">
        <v>79.67</v>
      </c>
      <c r="H479" s="450">
        <v>79.77</v>
      </c>
      <c r="I479" s="450">
        <v>79.87</v>
      </c>
      <c r="J479" s="450">
        <v>79.959999999999994</v>
      </c>
      <c r="K479" s="450">
        <v>80.06</v>
      </c>
      <c r="L479" s="450">
        <v>80.150000000000006</v>
      </c>
      <c r="M479" s="450">
        <v>80.239999999999995</v>
      </c>
      <c r="N479" s="450">
        <v>80.319999999999993</v>
      </c>
      <c r="O479" s="450">
        <v>80.709999999999994</v>
      </c>
      <c r="P479" s="450">
        <v>81.02</v>
      </c>
      <c r="Q479" s="450">
        <v>81.239999999999995</v>
      </c>
      <c r="R479" s="450">
        <v>81.39</v>
      </c>
      <c r="S479" s="450">
        <v>81.459999999999994</v>
      </c>
      <c r="T479" s="133"/>
      <c r="U479" s="134">
        <v>42</v>
      </c>
      <c r="V479" s="450">
        <v>79.94</v>
      </c>
      <c r="W479" s="450">
        <v>80.05</v>
      </c>
      <c r="X479" s="450">
        <v>80.16</v>
      </c>
      <c r="Y479" s="450">
        <v>80.27</v>
      </c>
      <c r="Z479" s="450">
        <v>80.37</v>
      </c>
      <c r="AA479" s="450">
        <v>80.48</v>
      </c>
      <c r="AB479" s="450">
        <v>80.58</v>
      </c>
      <c r="AC479" s="450">
        <v>80.680000000000007</v>
      </c>
      <c r="AD479" s="450">
        <v>80.77</v>
      </c>
      <c r="AE479" s="450">
        <v>80.87</v>
      </c>
      <c r="AF479" s="450">
        <v>80.959999999999994</v>
      </c>
      <c r="AG479" s="450">
        <v>81.05</v>
      </c>
      <c r="AH479" s="450">
        <v>81.44</v>
      </c>
      <c r="AI479" s="450">
        <v>81.760000000000005</v>
      </c>
      <c r="AJ479" s="450">
        <v>82</v>
      </c>
      <c r="AK479" s="450">
        <v>82.14</v>
      </c>
      <c r="AL479" s="450">
        <v>82.23</v>
      </c>
      <c r="AM479" s="133"/>
      <c r="AN479" s="134">
        <v>42</v>
      </c>
      <c r="AO479" s="450">
        <v>80.83</v>
      </c>
      <c r="AP479" s="450">
        <v>80.94</v>
      </c>
      <c r="AQ479" s="450">
        <v>81.06</v>
      </c>
      <c r="AR479" s="450">
        <v>81.17</v>
      </c>
      <c r="AS479" s="450">
        <v>81.28</v>
      </c>
      <c r="AT479" s="450">
        <v>81.38</v>
      </c>
      <c r="AU479" s="450">
        <v>81.489999999999995</v>
      </c>
      <c r="AV479" s="450">
        <v>81.59</v>
      </c>
      <c r="AW479" s="450">
        <v>81.69</v>
      </c>
      <c r="AX479" s="450">
        <v>81.78</v>
      </c>
      <c r="AY479" s="450">
        <v>81.88</v>
      </c>
      <c r="AZ479" s="450">
        <v>81.97</v>
      </c>
      <c r="BA479" s="450">
        <v>82.38</v>
      </c>
      <c r="BB479" s="450">
        <v>82.71</v>
      </c>
      <c r="BC479" s="450">
        <v>82.95</v>
      </c>
      <c r="BD479" s="450">
        <v>83.11</v>
      </c>
      <c r="BE479" s="450">
        <v>83.19</v>
      </c>
    </row>
    <row r="480" spans="2:57" x14ac:dyDescent="0.25">
      <c r="B480" s="134">
        <v>43</v>
      </c>
      <c r="C480" s="450">
        <v>79.47</v>
      </c>
      <c r="D480" s="450">
        <v>79.58</v>
      </c>
      <c r="E480" s="450">
        <v>79.69</v>
      </c>
      <c r="F480" s="450">
        <v>79.8</v>
      </c>
      <c r="G480" s="450">
        <v>79.91</v>
      </c>
      <c r="H480" s="450">
        <v>80.010000000000005</v>
      </c>
      <c r="I480" s="450">
        <v>80.11</v>
      </c>
      <c r="J480" s="450">
        <v>80.209999999999994</v>
      </c>
      <c r="K480" s="450">
        <v>80.31</v>
      </c>
      <c r="L480" s="450">
        <v>80.41</v>
      </c>
      <c r="M480" s="450">
        <v>80.5</v>
      </c>
      <c r="N480" s="450">
        <v>80.59</v>
      </c>
      <c r="O480" s="450">
        <v>80.989999999999995</v>
      </c>
      <c r="P480" s="450">
        <v>81.3</v>
      </c>
      <c r="Q480" s="450">
        <v>81.53</v>
      </c>
      <c r="R480" s="450">
        <v>81.67</v>
      </c>
      <c r="S480" s="450">
        <v>81.75</v>
      </c>
      <c r="T480" s="133"/>
      <c r="U480" s="134">
        <v>43</v>
      </c>
      <c r="V480" s="450">
        <v>80.17</v>
      </c>
      <c r="W480" s="450">
        <v>80.290000000000006</v>
      </c>
      <c r="X480" s="450">
        <v>80.400000000000006</v>
      </c>
      <c r="Y480" s="450">
        <v>80.510000000000005</v>
      </c>
      <c r="Z480" s="450">
        <v>80.62</v>
      </c>
      <c r="AA480" s="450">
        <v>80.73</v>
      </c>
      <c r="AB480" s="450">
        <v>80.83</v>
      </c>
      <c r="AC480" s="450">
        <v>80.94</v>
      </c>
      <c r="AD480" s="450">
        <v>81.03</v>
      </c>
      <c r="AE480" s="450">
        <v>81.13</v>
      </c>
      <c r="AF480" s="450">
        <v>81.23</v>
      </c>
      <c r="AG480" s="450">
        <v>81.319999999999993</v>
      </c>
      <c r="AH480" s="450">
        <v>81.73</v>
      </c>
      <c r="AI480" s="450">
        <v>82.06</v>
      </c>
      <c r="AJ480" s="450">
        <v>82.29</v>
      </c>
      <c r="AK480" s="450">
        <v>82.44</v>
      </c>
      <c r="AL480" s="450">
        <v>82.52</v>
      </c>
      <c r="AM480" s="133"/>
      <c r="AN480" s="134">
        <v>43</v>
      </c>
      <c r="AO480" s="450">
        <v>81.069999999999993</v>
      </c>
      <c r="AP480" s="450">
        <v>81.180000000000007</v>
      </c>
      <c r="AQ480" s="450">
        <v>81.3</v>
      </c>
      <c r="AR480" s="450">
        <v>81.42</v>
      </c>
      <c r="AS480" s="450">
        <v>81.53</v>
      </c>
      <c r="AT480" s="450">
        <v>81.64</v>
      </c>
      <c r="AU480" s="450">
        <v>81.75</v>
      </c>
      <c r="AV480" s="450">
        <v>81.849999999999994</v>
      </c>
      <c r="AW480" s="450">
        <v>81.96</v>
      </c>
      <c r="AX480" s="450">
        <v>82.06</v>
      </c>
      <c r="AY480" s="450">
        <v>82.15</v>
      </c>
      <c r="AZ480" s="450">
        <v>82.25</v>
      </c>
      <c r="BA480" s="450">
        <v>82.67</v>
      </c>
      <c r="BB480" s="450">
        <v>83.01</v>
      </c>
      <c r="BC480" s="450">
        <v>83.26</v>
      </c>
      <c r="BD480" s="450">
        <v>83.41</v>
      </c>
      <c r="BE480" s="450">
        <v>83.49</v>
      </c>
    </row>
    <row r="481" spans="2:57" x14ac:dyDescent="0.25">
      <c r="B481" s="134">
        <v>44</v>
      </c>
      <c r="C481" s="450">
        <v>79.7</v>
      </c>
      <c r="D481" s="450">
        <v>79.819999999999993</v>
      </c>
      <c r="E481" s="450">
        <v>79.930000000000007</v>
      </c>
      <c r="F481" s="450">
        <v>80.05</v>
      </c>
      <c r="G481" s="450">
        <v>80.16</v>
      </c>
      <c r="H481" s="450">
        <v>80.260000000000005</v>
      </c>
      <c r="I481" s="450">
        <v>80.37</v>
      </c>
      <c r="J481" s="450">
        <v>80.47</v>
      </c>
      <c r="K481" s="450">
        <v>80.58</v>
      </c>
      <c r="L481" s="450">
        <v>80.67</v>
      </c>
      <c r="M481" s="450">
        <v>80.77</v>
      </c>
      <c r="N481" s="450">
        <v>80.86</v>
      </c>
      <c r="O481" s="450">
        <v>81.28</v>
      </c>
      <c r="P481" s="450">
        <v>81.599999999999994</v>
      </c>
      <c r="Q481" s="450">
        <v>81.83</v>
      </c>
      <c r="R481" s="450">
        <v>81.96</v>
      </c>
      <c r="S481" s="450">
        <v>82.03</v>
      </c>
      <c r="T481" s="133"/>
      <c r="U481" s="134">
        <v>44</v>
      </c>
      <c r="V481" s="450">
        <v>80.41</v>
      </c>
      <c r="W481" s="450">
        <v>80.53</v>
      </c>
      <c r="X481" s="450">
        <v>80.650000000000006</v>
      </c>
      <c r="Y481" s="450">
        <v>80.760000000000005</v>
      </c>
      <c r="Z481" s="450">
        <v>80.88</v>
      </c>
      <c r="AA481" s="450">
        <v>80.989999999999995</v>
      </c>
      <c r="AB481" s="450">
        <v>81.099999999999994</v>
      </c>
      <c r="AC481" s="450">
        <v>81.2</v>
      </c>
      <c r="AD481" s="450">
        <v>81.31</v>
      </c>
      <c r="AE481" s="450">
        <v>81.41</v>
      </c>
      <c r="AF481" s="450">
        <v>81.5</v>
      </c>
      <c r="AG481" s="450">
        <v>81.599999999999994</v>
      </c>
      <c r="AH481" s="450">
        <v>82.02</v>
      </c>
      <c r="AI481" s="450">
        <v>82.36</v>
      </c>
      <c r="AJ481" s="450">
        <v>82.6</v>
      </c>
      <c r="AK481" s="450">
        <v>82.74</v>
      </c>
      <c r="AL481" s="450">
        <v>82.81</v>
      </c>
      <c r="AM481" s="133"/>
      <c r="AN481" s="134">
        <v>44</v>
      </c>
      <c r="AO481" s="450">
        <v>81.31</v>
      </c>
      <c r="AP481" s="450">
        <v>81.430000000000007</v>
      </c>
      <c r="AQ481" s="450">
        <v>81.56</v>
      </c>
      <c r="AR481" s="450">
        <v>81.680000000000007</v>
      </c>
      <c r="AS481" s="450">
        <v>81.790000000000006</v>
      </c>
      <c r="AT481" s="450">
        <v>81.91</v>
      </c>
      <c r="AU481" s="450">
        <v>82.02</v>
      </c>
      <c r="AV481" s="450">
        <v>82.13</v>
      </c>
      <c r="AW481" s="450">
        <v>82.24</v>
      </c>
      <c r="AX481" s="450">
        <v>82.34</v>
      </c>
      <c r="AY481" s="450">
        <v>82.44</v>
      </c>
      <c r="AZ481" s="450">
        <v>82.54</v>
      </c>
      <c r="BA481" s="450">
        <v>82.98</v>
      </c>
      <c r="BB481" s="450">
        <v>83.33</v>
      </c>
      <c r="BC481" s="450">
        <v>83.57</v>
      </c>
      <c r="BD481" s="450">
        <v>83.72</v>
      </c>
      <c r="BE481" s="450">
        <v>83.8</v>
      </c>
    </row>
    <row r="482" spans="2:57" x14ac:dyDescent="0.25">
      <c r="B482" s="134">
        <v>45</v>
      </c>
      <c r="C482" s="450">
        <v>79.94</v>
      </c>
      <c r="D482" s="450">
        <v>80.06</v>
      </c>
      <c r="E482" s="450">
        <v>80.180000000000007</v>
      </c>
      <c r="F482" s="450">
        <v>80.3</v>
      </c>
      <c r="G482" s="450">
        <v>80.42</v>
      </c>
      <c r="H482" s="450">
        <v>80.53</v>
      </c>
      <c r="I482" s="450">
        <v>80.64</v>
      </c>
      <c r="J482" s="450">
        <v>80.75</v>
      </c>
      <c r="K482" s="450">
        <v>80.849999999999994</v>
      </c>
      <c r="L482" s="450">
        <v>80.95</v>
      </c>
      <c r="M482" s="450">
        <v>81.05</v>
      </c>
      <c r="N482" s="450">
        <v>81.150000000000006</v>
      </c>
      <c r="O482" s="450">
        <v>81.569999999999993</v>
      </c>
      <c r="P482" s="450">
        <v>81.91</v>
      </c>
      <c r="Q482" s="450">
        <v>82.14</v>
      </c>
      <c r="R482" s="450">
        <v>82.26</v>
      </c>
      <c r="S482" s="450">
        <v>82.33</v>
      </c>
      <c r="T482" s="133"/>
      <c r="U482" s="134">
        <v>45</v>
      </c>
      <c r="V482" s="450">
        <v>80.66</v>
      </c>
      <c r="W482" s="450">
        <v>80.78</v>
      </c>
      <c r="X482" s="450">
        <v>80.900000000000006</v>
      </c>
      <c r="Y482" s="450">
        <v>81.02</v>
      </c>
      <c r="Z482" s="450">
        <v>81.14</v>
      </c>
      <c r="AA482" s="450">
        <v>81.260000000000005</v>
      </c>
      <c r="AB482" s="450">
        <v>81.37</v>
      </c>
      <c r="AC482" s="450">
        <v>81.48</v>
      </c>
      <c r="AD482" s="450">
        <v>81.59</v>
      </c>
      <c r="AE482" s="450">
        <v>81.69</v>
      </c>
      <c r="AF482" s="450">
        <v>81.790000000000006</v>
      </c>
      <c r="AG482" s="450">
        <v>81.89</v>
      </c>
      <c r="AH482" s="450">
        <v>82.33</v>
      </c>
      <c r="AI482" s="450">
        <v>82.67</v>
      </c>
      <c r="AJ482" s="450">
        <v>82.91</v>
      </c>
      <c r="AK482" s="450">
        <v>83.05</v>
      </c>
      <c r="AL482" s="450">
        <v>83.12</v>
      </c>
      <c r="AM482" s="133"/>
      <c r="AN482" s="134">
        <v>45</v>
      </c>
      <c r="AO482" s="450">
        <v>81.569999999999993</v>
      </c>
      <c r="AP482" s="450">
        <v>81.7</v>
      </c>
      <c r="AQ482" s="450">
        <v>81.819999999999993</v>
      </c>
      <c r="AR482" s="450">
        <v>81.94</v>
      </c>
      <c r="AS482" s="450">
        <v>82.07</v>
      </c>
      <c r="AT482" s="450">
        <v>82.19</v>
      </c>
      <c r="AU482" s="450">
        <v>82.3</v>
      </c>
      <c r="AV482" s="450">
        <v>82.42</v>
      </c>
      <c r="AW482" s="450">
        <v>82.53</v>
      </c>
      <c r="AX482" s="450">
        <v>82.63</v>
      </c>
      <c r="AY482" s="450">
        <v>82.74</v>
      </c>
      <c r="AZ482" s="450">
        <v>82.84</v>
      </c>
      <c r="BA482" s="450">
        <v>83.3</v>
      </c>
      <c r="BB482" s="450">
        <v>83.65</v>
      </c>
      <c r="BC482" s="450">
        <v>83.9</v>
      </c>
      <c r="BD482" s="450">
        <v>84.04</v>
      </c>
      <c r="BE482" s="450">
        <v>84.11</v>
      </c>
    </row>
    <row r="483" spans="2:57" x14ac:dyDescent="0.25">
      <c r="B483" s="134">
        <v>46</v>
      </c>
      <c r="C483" s="450">
        <v>80.19</v>
      </c>
      <c r="D483" s="450">
        <v>80.319999999999993</v>
      </c>
      <c r="E483" s="450">
        <v>80.44</v>
      </c>
      <c r="F483" s="450">
        <v>80.569999999999993</v>
      </c>
      <c r="G483" s="450">
        <v>80.680000000000007</v>
      </c>
      <c r="H483" s="450">
        <v>80.8</v>
      </c>
      <c r="I483" s="450">
        <v>80.92</v>
      </c>
      <c r="J483" s="450">
        <v>81.03</v>
      </c>
      <c r="K483" s="450">
        <v>81.14</v>
      </c>
      <c r="L483" s="450">
        <v>81.239999999999995</v>
      </c>
      <c r="M483" s="450">
        <v>81.34</v>
      </c>
      <c r="N483" s="450">
        <v>81.44</v>
      </c>
      <c r="O483" s="450">
        <v>81.88</v>
      </c>
      <c r="P483" s="450">
        <v>82.22</v>
      </c>
      <c r="Q483" s="450">
        <v>82.45</v>
      </c>
      <c r="R483" s="450">
        <v>82.57</v>
      </c>
      <c r="S483" s="450">
        <v>82.63</v>
      </c>
      <c r="T483" s="133"/>
      <c r="U483" s="134">
        <v>46</v>
      </c>
      <c r="V483" s="450">
        <v>80.92</v>
      </c>
      <c r="W483" s="450">
        <v>81.040000000000006</v>
      </c>
      <c r="X483" s="450">
        <v>81.17</v>
      </c>
      <c r="Y483" s="450">
        <v>81.3</v>
      </c>
      <c r="Z483" s="450">
        <v>81.42</v>
      </c>
      <c r="AA483" s="450">
        <v>81.540000000000006</v>
      </c>
      <c r="AB483" s="450">
        <v>81.650000000000006</v>
      </c>
      <c r="AC483" s="450">
        <v>81.77</v>
      </c>
      <c r="AD483" s="450">
        <v>81.88</v>
      </c>
      <c r="AE483" s="450">
        <v>81.99</v>
      </c>
      <c r="AF483" s="450">
        <v>82.09</v>
      </c>
      <c r="AG483" s="450">
        <v>82.2</v>
      </c>
      <c r="AH483" s="450">
        <v>82.65</v>
      </c>
      <c r="AI483" s="450">
        <v>83</v>
      </c>
      <c r="AJ483" s="450">
        <v>83.23</v>
      </c>
      <c r="AK483" s="450">
        <v>83.36</v>
      </c>
      <c r="AL483" s="450">
        <v>83.43</v>
      </c>
      <c r="AM483" s="133"/>
      <c r="AN483" s="134">
        <v>46</v>
      </c>
      <c r="AO483" s="450">
        <v>81.83</v>
      </c>
      <c r="AP483" s="450">
        <v>81.97</v>
      </c>
      <c r="AQ483" s="450">
        <v>82.1</v>
      </c>
      <c r="AR483" s="450">
        <v>82.22</v>
      </c>
      <c r="AS483" s="450">
        <v>82.35</v>
      </c>
      <c r="AT483" s="450">
        <v>82.47</v>
      </c>
      <c r="AU483" s="450">
        <v>82.6</v>
      </c>
      <c r="AV483" s="450">
        <v>82.71</v>
      </c>
      <c r="AW483" s="450">
        <v>82.83</v>
      </c>
      <c r="AX483" s="450">
        <v>82.94</v>
      </c>
      <c r="AY483" s="450">
        <v>83.05</v>
      </c>
      <c r="AZ483" s="450">
        <v>83.16</v>
      </c>
      <c r="BA483" s="450">
        <v>83.63</v>
      </c>
      <c r="BB483" s="450">
        <v>83.99</v>
      </c>
      <c r="BC483" s="450">
        <v>84.23</v>
      </c>
      <c r="BD483" s="450">
        <v>84.37</v>
      </c>
      <c r="BE483" s="450">
        <v>84.43</v>
      </c>
    </row>
    <row r="484" spans="2:57" x14ac:dyDescent="0.25">
      <c r="B484" s="134">
        <v>47</v>
      </c>
      <c r="C484" s="450">
        <v>80.459999999999994</v>
      </c>
      <c r="D484" s="450">
        <v>80.59</v>
      </c>
      <c r="E484" s="450">
        <v>80.709999999999994</v>
      </c>
      <c r="F484" s="450">
        <v>80.84</v>
      </c>
      <c r="G484" s="450">
        <v>80.959999999999994</v>
      </c>
      <c r="H484" s="450">
        <v>81.09</v>
      </c>
      <c r="I484" s="450">
        <v>81.2</v>
      </c>
      <c r="J484" s="450">
        <v>81.319999999999993</v>
      </c>
      <c r="K484" s="450">
        <v>81.430000000000007</v>
      </c>
      <c r="L484" s="450">
        <v>81.540000000000006</v>
      </c>
      <c r="M484" s="450">
        <v>81.650000000000006</v>
      </c>
      <c r="N484" s="450">
        <v>81.75</v>
      </c>
      <c r="O484" s="450">
        <v>82.2</v>
      </c>
      <c r="P484" s="450">
        <v>82.54</v>
      </c>
      <c r="Q484" s="450">
        <v>82.76</v>
      </c>
      <c r="R484" s="450">
        <v>82.88</v>
      </c>
      <c r="S484" s="450">
        <v>82.93</v>
      </c>
      <c r="T484" s="133"/>
      <c r="U484" s="134">
        <v>47</v>
      </c>
      <c r="V484" s="450">
        <v>81.180000000000007</v>
      </c>
      <c r="W484" s="450">
        <v>81.319999999999993</v>
      </c>
      <c r="X484" s="450">
        <v>81.45</v>
      </c>
      <c r="Y484" s="450">
        <v>81.58</v>
      </c>
      <c r="Z484" s="450">
        <v>81.7</v>
      </c>
      <c r="AA484" s="450">
        <v>81.83</v>
      </c>
      <c r="AB484" s="450">
        <v>81.95</v>
      </c>
      <c r="AC484" s="450">
        <v>82.07</v>
      </c>
      <c r="AD484" s="450">
        <v>82.18</v>
      </c>
      <c r="AE484" s="450">
        <v>82.3</v>
      </c>
      <c r="AF484" s="450">
        <v>82.41</v>
      </c>
      <c r="AG484" s="450">
        <v>82.51</v>
      </c>
      <c r="AH484" s="450">
        <v>82.98</v>
      </c>
      <c r="AI484" s="450">
        <v>83.33</v>
      </c>
      <c r="AJ484" s="450">
        <v>83.56</v>
      </c>
      <c r="AK484" s="450">
        <v>83.69</v>
      </c>
      <c r="AL484" s="450">
        <v>83.74</v>
      </c>
      <c r="AM484" s="133"/>
      <c r="AN484" s="134">
        <v>47</v>
      </c>
      <c r="AO484" s="450">
        <v>82.11</v>
      </c>
      <c r="AP484" s="450">
        <v>82.25</v>
      </c>
      <c r="AQ484" s="450">
        <v>82.38</v>
      </c>
      <c r="AR484" s="450">
        <v>82.52</v>
      </c>
      <c r="AS484" s="450">
        <v>82.65</v>
      </c>
      <c r="AT484" s="450">
        <v>82.77</v>
      </c>
      <c r="AU484" s="450">
        <v>82.9</v>
      </c>
      <c r="AV484" s="450">
        <v>83.02</v>
      </c>
      <c r="AW484" s="450">
        <v>83.14</v>
      </c>
      <c r="AX484" s="450">
        <v>83.26</v>
      </c>
      <c r="AY484" s="450">
        <v>83.37</v>
      </c>
      <c r="AZ484" s="450">
        <v>83.48</v>
      </c>
      <c r="BA484" s="450">
        <v>83.97</v>
      </c>
      <c r="BB484" s="450">
        <v>84.33</v>
      </c>
      <c r="BC484" s="450">
        <v>84.57</v>
      </c>
      <c r="BD484" s="450">
        <v>84.7</v>
      </c>
      <c r="BE484" s="450">
        <v>84.76</v>
      </c>
    </row>
    <row r="485" spans="2:57" x14ac:dyDescent="0.25">
      <c r="B485" s="134">
        <v>48</v>
      </c>
      <c r="C485" s="450">
        <v>80.73</v>
      </c>
      <c r="D485" s="450">
        <v>80.86</v>
      </c>
      <c r="E485" s="450">
        <v>80.989999999999995</v>
      </c>
      <c r="F485" s="450">
        <v>81.13</v>
      </c>
      <c r="G485" s="450">
        <v>81.25</v>
      </c>
      <c r="H485" s="450">
        <v>81.38</v>
      </c>
      <c r="I485" s="450">
        <v>81.5</v>
      </c>
      <c r="J485" s="450">
        <v>81.62</v>
      </c>
      <c r="K485" s="450">
        <v>81.739999999999995</v>
      </c>
      <c r="L485" s="450">
        <v>81.849999999999994</v>
      </c>
      <c r="M485" s="450">
        <v>81.96</v>
      </c>
      <c r="N485" s="450">
        <v>82.07</v>
      </c>
      <c r="O485" s="450">
        <v>82.53</v>
      </c>
      <c r="P485" s="450">
        <v>82.88</v>
      </c>
      <c r="Q485" s="450">
        <v>83.09</v>
      </c>
      <c r="R485" s="450">
        <v>83.2</v>
      </c>
      <c r="S485" s="450">
        <v>83.25</v>
      </c>
      <c r="T485" s="133"/>
      <c r="U485" s="134">
        <v>48</v>
      </c>
      <c r="V485" s="450">
        <v>81.459999999999994</v>
      </c>
      <c r="W485" s="450">
        <v>81.599999999999994</v>
      </c>
      <c r="X485" s="450">
        <v>81.73</v>
      </c>
      <c r="Y485" s="450">
        <v>81.87</v>
      </c>
      <c r="Z485" s="450">
        <v>82</v>
      </c>
      <c r="AA485" s="450">
        <v>82.13</v>
      </c>
      <c r="AB485" s="450">
        <v>82.26</v>
      </c>
      <c r="AC485" s="450">
        <v>82.38</v>
      </c>
      <c r="AD485" s="450">
        <v>82.5</v>
      </c>
      <c r="AE485" s="450">
        <v>82.62</v>
      </c>
      <c r="AF485" s="450">
        <v>82.73</v>
      </c>
      <c r="AG485" s="450">
        <v>82.84</v>
      </c>
      <c r="AH485" s="450">
        <v>83.32</v>
      </c>
      <c r="AI485" s="450">
        <v>83.67</v>
      </c>
      <c r="AJ485" s="450">
        <v>83.9</v>
      </c>
      <c r="AK485" s="450">
        <v>84.02</v>
      </c>
      <c r="AL485" s="450">
        <v>84.07</v>
      </c>
      <c r="AM485" s="133"/>
      <c r="AN485" s="134">
        <v>48</v>
      </c>
      <c r="AO485" s="450">
        <v>82.39</v>
      </c>
      <c r="AP485" s="450">
        <v>82.54</v>
      </c>
      <c r="AQ485" s="450">
        <v>82.68</v>
      </c>
      <c r="AR485" s="450">
        <v>82.82</v>
      </c>
      <c r="AS485" s="450">
        <v>82.95</v>
      </c>
      <c r="AT485" s="450">
        <v>83.09</v>
      </c>
      <c r="AU485" s="450">
        <v>83.22</v>
      </c>
      <c r="AV485" s="450">
        <v>83.34</v>
      </c>
      <c r="AW485" s="450">
        <v>83.47</v>
      </c>
      <c r="AX485" s="450">
        <v>83.59</v>
      </c>
      <c r="AY485" s="450">
        <v>83.71</v>
      </c>
      <c r="AZ485" s="450">
        <v>83.82</v>
      </c>
      <c r="BA485" s="450">
        <v>84.32</v>
      </c>
      <c r="BB485" s="450">
        <v>84.69</v>
      </c>
      <c r="BC485" s="450">
        <v>84.92</v>
      </c>
      <c r="BD485" s="450">
        <v>85.04</v>
      </c>
      <c r="BE485" s="450">
        <v>85.09</v>
      </c>
    </row>
    <row r="486" spans="2:57" x14ac:dyDescent="0.25">
      <c r="B486" s="134">
        <v>49</v>
      </c>
      <c r="C486" s="450">
        <v>81.010000000000005</v>
      </c>
      <c r="D486" s="450">
        <v>81.150000000000006</v>
      </c>
      <c r="E486" s="450">
        <v>81.290000000000006</v>
      </c>
      <c r="F486" s="450">
        <v>81.42</v>
      </c>
      <c r="G486" s="450">
        <v>81.55</v>
      </c>
      <c r="H486" s="450">
        <v>81.680000000000007</v>
      </c>
      <c r="I486" s="450">
        <v>81.81</v>
      </c>
      <c r="J486" s="450">
        <v>81.94</v>
      </c>
      <c r="K486" s="450">
        <v>82.06</v>
      </c>
      <c r="L486" s="450">
        <v>82.18</v>
      </c>
      <c r="M486" s="450">
        <v>82.29</v>
      </c>
      <c r="N486" s="450">
        <v>82.4</v>
      </c>
      <c r="O486" s="450">
        <v>82.87</v>
      </c>
      <c r="P486" s="450">
        <v>83.22</v>
      </c>
      <c r="Q486" s="450">
        <v>83.42</v>
      </c>
      <c r="R486" s="450">
        <v>83.53</v>
      </c>
      <c r="S486" s="450">
        <v>83.56</v>
      </c>
      <c r="T486" s="133"/>
      <c r="U486" s="134">
        <v>49</v>
      </c>
      <c r="V486" s="450">
        <v>81.75</v>
      </c>
      <c r="W486" s="450">
        <v>81.89</v>
      </c>
      <c r="X486" s="450">
        <v>82.03</v>
      </c>
      <c r="Y486" s="450">
        <v>82.17</v>
      </c>
      <c r="Z486" s="450">
        <v>82.31</v>
      </c>
      <c r="AA486" s="450">
        <v>82.44</v>
      </c>
      <c r="AB486" s="450">
        <v>82.57</v>
      </c>
      <c r="AC486" s="450">
        <v>82.7</v>
      </c>
      <c r="AD486" s="450">
        <v>82.83</v>
      </c>
      <c r="AE486" s="450">
        <v>82.95</v>
      </c>
      <c r="AF486" s="450">
        <v>83.06</v>
      </c>
      <c r="AG486" s="450">
        <v>83.18</v>
      </c>
      <c r="AH486" s="450">
        <v>83.67</v>
      </c>
      <c r="AI486" s="450">
        <v>84.03</v>
      </c>
      <c r="AJ486" s="450">
        <v>84.24</v>
      </c>
      <c r="AK486" s="450">
        <v>84.35</v>
      </c>
      <c r="AL486" s="450">
        <v>84.39</v>
      </c>
      <c r="AM486" s="133"/>
      <c r="AN486" s="134">
        <v>49</v>
      </c>
      <c r="AO486" s="450">
        <v>82.69</v>
      </c>
      <c r="AP486" s="450">
        <v>82.84</v>
      </c>
      <c r="AQ486" s="450">
        <v>82.99</v>
      </c>
      <c r="AR486" s="450">
        <v>83.13</v>
      </c>
      <c r="AS486" s="450">
        <v>83.27</v>
      </c>
      <c r="AT486" s="450">
        <v>83.41</v>
      </c>
      <c r="AU486" s="450">
        <v>83.55</v>
      </c>
      <c r="AV486" s="450">
        <v>83.68</v>
      </c>
      <c r="AW486" s="450">
        <v>83.81</v>
      </c>
      <c r="AX486" s="450">
        <v>83.93</v>
      </c>
      <c r="AY486" s="450">
        <v>84.05</v>
      </c>
      <c r="AZ486" s="450">
        <v>84.17</v>
      </c>
      <c r="BA486" s="450">
        <v>84.68</v>
      </c>
      <c r="BB486" s="450">
        <v>85.06</v>
      </c>
      <c r="BC486" s="450">
        <v>85.28</v>
      </c>
      <c r="BD486" s="450">
        <v>85.39</v>
      </c>
      <c r="BE486" s="450">
        <v>85.43</v>
      </c>
    </row>
    <row r="487" spans="2:57" x14ac:dyDescent="0.25">
      <c r="B487" s="134">
        <v>50</v>
      </c>
      <c r="C487" s="450">
        <v>81.3</v>
      </c>
      <c r="D487" s="450">
        <v>81.44</v>
      </c>
      <c r="E487" s="450">
        <v>81.59</v>
      </c>
      <c r="F487" s="450">
        <v>81.73</v>
      </c>
      <c r="G487" s="450">
        <v>81.87</v>
      </c>
      <c r="H487" s="450">
        <v>82</v>
      </c>
      <c r="I487" s="450">
        <v>82.13</v>
      </c>
      <c r="J487" s="450">
        <v>82.26</v>
      </c>
      <c r="K487" s="450">
        <v>82.39</v>
      </c>
      <c r="L487" s="450">
        <v>82.51</v>
      </c>
      <c r="M487" s="450">
        <v>82.63</v>
      </c>
      <c r="N487" s="450">
        <v>82.74</v>
      </c>
      <c r="O487" s="450">
        <v>83.23</v>
      </c>
      <c r="P487" s="450">
        <v>83.57</v>
      </c>
      <c r="Q487" s="450">
        <v>83.76</v>
      </c>
      <c r="R487" s="450">
        <v>83.86</v>
      </c>
      <c r="S487" s="450">
        <v>83.89</v>
      </c>
      <c r="T487" s="133"/>
      <c r="U487" s="134">
        <v>50</v>
      </c>
      <c r="V487" s="450">
        <v>82.05</v>
      </c>
      <c r="W487" s="450">
        <v>82.19</v>
      </c>
      <c r="X487" s="450">
        <v>82.34</v>
      </c>
      <c r="Y487" s="450">
        <v>82.49</v>
      </c>
      <c r="Z487" s="450">
        <v>82.63</v>
      </c>
      <c r="AA487" s="450">
        <v>82.77</v>
      </c>
      <c r="AB487" s="450">
        <v>82.9</v>
      </c>
      <c r="AC487" s="450">
        <v>83.04</v>
      </c>
      <c r="AD487" s="450">
        <v>83.17</v>
      </c>
      <c r="AE487" s="450">
        <v>83.29</v>
      </c>
      <c r="AF487" s="450">
        <v>83.41</v>
      </c>
      <c r="AG487" s="450">
        <v>83.53</v>
      </c>
      <c r="AH487" s="450">
        <v>84.03</v>
      </c>
      <c r="AI487" s="450">
        <v>84.39</v>
      </c>
      <c r="AJ487" s="450">
        <v>84.6</v>
      </c>
      <c r="AK487" s="450">
        <v>84.7</v>
      </c>
      <c r="AL487" s="450">
        <v>84.73</v>
      </c>
      <c r="AM487" s="133"/>
      <c r="AN487" s="134">
        <v>50</v>
      </c>
      <c r="AO487" s="450">
        <v>83</v>
      </c>
      <c r="AP487" s="450">
        <v>83.15</v>
      </c>
      <c r="AQ487" s="450">
        <v>83.31</v>
      </c>
      <c r="AR487" s="450">
        <v>83.46</v>
      </c>
      <c r="AS487" s="450">
        <v>83.6</v>
      </c>
      <c r="AT487" s="450">
        <v>83.75</v>
      </c>
      <c r="AU487" s="450">
        <v>83.89</v>
      </c>
      <c r="AV487" s="450">
        <v>84.02</v>
      </c>
      <c r="AW487" s="450">
        <v>84.16</v>
      </c>
      <c r="AX487" s="450">
        <v>84.29</v>
      </c>
      <c r="AY487" s="450">
        <v>84.41</v>
      </c>
      <c r="AZ487" s="450">
        <v>84.53</v>
      </c>
      <c r="BA487" s="450">
        <v>85.06</v>
      </c>
      <c r="BB487" s="450">
        <v>85.43</v>
      </c>
      <c r="BC487" s="450">
        <v>85.64</v>
      </c>
      <c r="BD487" s="450">
        <v>85.75</v>
      </c>
      <c r="BE487" s="450">
        <v>85.78</v>
      </c>
    </row>
    <row r="488" spans="2:57" x14ac:dyDescent="0.25">
      <c r="B488" s="134">
        <v>51</v>
      </c>
      <c r="C488" s="450">
        <v>81.599999999999994</v>
      </c>
      <c r="D488" s="450">
        <v>81.75</v>
      </c>
      <c r="E488" s="450">
        <v>81.900000000000006</v>
      </c>
      <c r="F488" s="450">
        <v>82.05</v>
      </c>
      <c r="G488" s="450">
        <v>82.19</v>
      </c>
      <c r="H488" s="450">
        <v>82.33</v>
      </c>
      <c r="I488" s="450">
        <v>82.47</v>
      </c>
      <c r="J488" s="450">
        <v>82.6</v>
      </c>
      <c r="K488" s="450">
        <v>82.73</v>
      </c>
      <c r="L488" s="450">
        <v>82.86</v>
      </c>
      <c r="M488" s="450">
        <v>82.98</v>
      </c>
      <c r="N488" s="450">
        <v>83.09</v>
      </c>
      <c r="O488" s="450">
        <v>83.59</v>
      </c>
      <c r="P488" s="450">
        <v>83.93</v>
      </c>
      <c r="Q488" s="450">
        <v>84.12</v>
      </c>
      <c r="R488" s="450">
        <v>84.2</v>
      </c>
      <c r="S488" s="450">
        <v>84.22</v>
      </c>
      <c r="T488" s="133"/>
      <c r="U488" s="134">
        <v>51</v>
      </c>
      <c r="V488" s="450">
        <v>82.36</v>
      </c>
      <c r="W488" s="450">
        <v>82.51</v>
      </c>
      <c r="X488" s="450">
        <v>82.66</v>
      </c>
      <c r="Y488" s="450">
        <v>82.81</v>
      </c>
      <c r="Z488" s="450">
        <v>82.96</v>
      </c>
      <c r="AA488" s="450">
        <v>83.11</v>
      </c>
      <c r="AB488" s="450">
        <v>83.25</v>
      </c>
      <c r="AC488" s="450">
        <v>83.38</v>
      </c>
      <c r="AD488" s="450">
        <v>83.52</v>
      </c>
      <c r="AE488" s="450">
        <v>83.65</v>
      </c>
      <c r="AF488" s="450">
        <v>83.77</v>
      </c>
      <c r="AG488" s="450">
        <v>83.89</v>
      </c>
      <c r="AH488" s="450">
        <v>84.41</v>
      </c>
      <c r="AI488" s="450">
        <v>84.76</v>
      </c>
      <c r="AJ488" s="450">
        <v>84.96</v>
      </c>
      <c r="AK488" s="450">
        <v>85.06</v>
      </c>
      <c r="AL488" s="450">
        <v>85.08</v>
      </c>
      <c r="AM488" s="133"/>
      <c r="AN488" s="134">
        <v>51</v>
      </c>
      <c r="AO488" s="450">
        <v>83.32</v>
      </c>
      <c r="AP488" s="450">
        <v>83.48</v>
      </c>
      <c r="AQ488" s="450">
        <v>83.64</v>
      </c>
      <c r="AR488" s="450">
        <v>83.79</v>
      </c>
      <c r="AS488" s="450">
        <v>83.95</v>
      </c>
      <c r="AT488" s="450">
        <v>84.1</v>
      </c>
      <c r="AU488" s="450">
        <v>84.24</v>
      </c>
      <c r="AV488" s="450">
        <v>84.39</v>
      </c>
      <c r="AW488" s="450">
        <v>84.52</v>
      </c>
      <c r="AX488" s="450">
        <v>84.66</v>
      </c>
      <c r="AY488" s="450">
        <v>84.79</v>
      </c>
      <c r="AZ488" s="450">
        <v>84.91</v>
      </c>
      <c r="BA488" s="450">
        <v>85.45</v>
      </c>
      <c r="BB488" s="450">
        <v>85.82</v>
      </c>
      <c r="BC488" s="450">
        <v>86.02</v>
      </c>
      <c r="BD488" s="450">
        <v>86.12</v>
      </c>
      <c r="BE488" s="450">
        <v>86.14</v>
      </c>
    </row>
    <row r="489" spans="2:57" x14ac:dyDescent="0.25">
      <c r="B489" s="134">
        <v>52</v>
      </c>
      <c r="C489" s="450">
        <v>81.91</v>
      </c>
      <c r="D489" s="450">
        <v>82.07</v>
      </c>
      <c r="E489" s="450">
        <v>82.22</v>
      </c>
      <c r="F489" s="450">
        <v>82.38</v>
      </c>
      <c r="G489" s="450">
        <v>82.53</v>
      </c>
      <c r="H489" s="450">
        <v>82.67</v>
      </c>
      <c r="I489" s="450">
        <v>82.81</v>
      </c>
      <c r="J489" s="450">
        <v>82.95</v>
      </c>
      <c r="K489" s="450">
        <v>83.09</v>
      </c>
      <c r="L489" s="450">
        <v>83.22</v>
      </c>
      <c r="M489" s="450">
        <v>83.34</v>
      </c>
      <c r="N489" s="450">
        <v>83.46</v>
      </c>
      <c r="O489" s="450">
        <v>83.97</v>
      </c>
      <c r="P489" s="450">
        <v>84.3</v>
      </c>
      <c r="Q489" s="450">
        <v>84.48</v>
      </c>
      <c r="R489" s="450">
        <v>84.56</v>
      </c>
      <c r="S489" s="450">
        <v>84.57</v>
      </c>
      <c r="T489" s="133"/>
      <c r="U489" s="134">
        <v>52</v>
      </c>
      <c r="V489" s="450">
        <v>82.68</v>
      </c>
      <c r="W489" s="450">
        <v>82.84</v>
      </c>
      <c r="X489" s="450">
        <v>83</v>
      </c>
      <c r="Y489" s="450">
        <v>83.15</v>
      </c>
      <c r="Z489" s="450">
        <v>83.31</v>
      </c>
      <c r="AA489" s="450">
        <v>83.46</v>
      </c>
      <c r="AB489" s="450">
        <v>83.6</v>
      </c>
      <c r="AC489" s="450">
        <v>83.75</v>
      </c>
      <c r="AD489" s="450">
        <v>83.89</v>
      </c>
      <c r="AE489" s="450">
        <v>84.02</v>
      </c>
      <c r="AF489" s="450">
        <v>84.15</v>
      </c>
      <c r="AG489" s="450">
        <v>84.27</v>
      </c>
      <c r="AH489" s="450">
        <v>84.8</v>
      </c>
      <c r="AI489" s="450">
        <v>85.14</v>
      </c>
      <c r="AJ489" s="450">
        <v>85.34</v>
      </c>
      <c r="AK489" s="450">
        <v>85.43</v>
      </c>
      <c r="AL489" s="450">
        <v>85.44</v>
      </c>
      <c r="AM489" s="133"/>
      <c r="AN489" s="134">
        <v>52</v>
      </c>
      <c r="AO489" s="450">
        <v>83.65</v>
      </c>
      <c r="AP489" s="450">
        <v>83.82</v>
      </c>
      <c r="AQ489" s="450">
        <v>83.98</v>
      </c>
      <c r="AR489" s="450">
        <v>84.15</v>
      </c>
      <c r="AS489" s="450">
        <v>84.3</v>
      </c>
      <c r="AT489" s="450">
        <v>84.46</v>
      </c>
      <c r="AU489" s="450">
        <v>84.61</v>
      </c>
      <c r="AV489" s="450">
        <v>84.76</v>
      </c>
      <c r="AW489" s="450">
        <v>84.9</v>
      </c>
      <c r="AX489" s="450">
        <v>85.04</v>
      </c>
      <c r="AY489" s="450">
        <v>85.18</v>
      </c>
      <c r="AZ489" s="450">
        <v>85.31</v>
      </c>
      <c r="BA489" s="450">
        <v>85.85</v>
      </c>
      <c r="BB489" s="450">
        <v>86.21</v>
      </c>
      <c r="BC489" s="450">
        <v>86.42</v>
      </c>
      <c r="BD489" s="450">
        <v>86.5</v>
      </c>
      <c r="BE489" s="450">
        <v>86.51</v>
      </c>
    </row>
    <row r="490" spans="2:57" x14ac:dyDescent="0.25">
      <c r="B490" s="134">
        <v>53</v>
      </c>
      <c r="C490" s="450">
        <v>82.24</v>
      </c>
      <c r="D490" s="450">
        <v>82.4</v>
      </c>
      <c r="E490" s="450">
        <v>82.56</v>
      </c>
      <c r="F490" s="450">
        <v>82.72</v>
      </c>
      <c r="G490" s="450">
        <v>82.88</v>
      </c>
      <c r="H490" s="450">
        <v>83.03</v>
      </c>
      <c r="I490" s="450">
        <v>83.18</v>
      </c>
      <c r="J490" s="450">
        <v>83.32</v>
      </c>
      <c r="K490" s="450">
        <v>83.46</v>
      </c>
      <c r="L490" s="450">
        <v>83.59</v>
      </c>
      <c r="M490" s="450">
        <v>83.72</v>
      </c>
      <c r="N490" s="450">
        <v>83.84</v>
      </c>
      <c r="O490" s="450">
        <v>84.35</v>
      </c>
      <c r="P490" s="450">
        <v>84.68</v>
      </c>
      <c r="Q490" s="450">
        <v>84.86</v>
      </c>
      <c r="R490" s="450">
        <v>84.93</v>
      </c>
      <c r="S490" s="450">
        <v>84.93</v>
      </c>
      <c r="T490" s="133"/>
      <c r="U490" s="134">
        <v>53</v>
      </c>
      <c r="V490" s="450">
        <v>83.01</v>
      </c>
      <c r="W490" s="450">
        <v>83.18</v>
      </c>
      <c r="X490" s="450">
        <v>83.34</v>
      </c>
      <c r="Y490" s="450">
        <v>83.51</v>
      </c>
      <c r="Z490" s="450">
        <v>83.67</v>
      </c>
      <c r="AA490" s="450">
        <v>83.82</v>
      </c>
      <c r="AB490" s="450">
        <v>83.98</v>
      </c>
      <c r="AC490" s="450">
        <v>84.12</v>
      </c>
      <c r="AD490" s="450">
        <v>84.27</v>
      </c>
      <c r="AE490" s="450">
        <v>84.41</v>
      </c>
      <c r="AF490" s="450">
        <v>84.54</v>
      </c>
      <c r="AG490" s="450">
        <v>84.67</v>
      </c>
      <c r="AH490" s="450">
        <v>85.2</v>
      </c>
      <c r="AI490" s="450">
        <v>85.54</v>
      </c>
      <c r="AJ490" s="450">
        <v>85.73</v>
      </c>
      <c r="AK490" s="450">
        <v>85.81</v>
      </c>
      <c r="AL490" s="450">
        <v>85.81</v>
      </c>
      <c r="AM490" s="133"/>
      <c r="AN490" s="134">
        <v>53</v>
      </c>
      <c r="AO490" s="450">
        <v>84</v>
      </c>
      <c r="AP490" s="450">
        <v>84.17</v>
      </c>
      <c r="AQ490" s="450">
        <v>84.34</v>
      </c>
      <c r="AR490" s="450">
        <v>84.51</v>
      </c>
      <c r="AS490" s="450">
        <v>84.68</v>
      </c>
      <c r="AT490" s="450">
        <v>84.84</v>
      </c>
      <c r="AU490" s="450">
        <v>85</v>
      </c>
      <c r="AV490" s="450">
        <v>85.15</v>
      </c>
      <c r="AW490" s="450">
        <v>85.3</v>
      </c>
      <c r="AX490" s="450">
        <v>85.44</v>
      </c>
      <c r="AY490" s="450">
        <v>85.58</v>
      </c>
      <c r="AZ490" s="450">
        <v>85.71</v>
      </c>
      <c r="BA490" s="450">
        <v>86.27</v>
      </c>
      <c r="BB490" s="450">
        <v>86.63</v>
      </c>
      <c r="BC490" s="450">
        <v>86.82</v>
      </c>
      <c r="BD490" s="450">
        <v>86.9</v>
      </c>
      <c r="BE490" s="450">
        <v>86.9</v>
      </c>
    </row>
    <row r="491" spans="2:57" x14ac:dyDescent="0.25">
      <c r="B491" s="134">
        <v>54</v>
      </c>
      <c r="C491" s="450">
        <v>82.58</v>
      </c>
      <c r="D491" s="450">
        <v>82.75</v>
      </c>
      <c r="E491" s="450">
        <v>82.91</v>
      </c>
      <c r="F491" s="450">
        <v>83.08</v>
      </c>
      <c r="G491" s="450">
        <v>83.24</v>
      </c>
      <c r="H491" s="450">
        <v>83.4</v>
      </c>
      <c r="I491" s="450">
        <v>83.55</v>
      </c>
      <c r="J491" s="450">
        <v>83.7</v>
      </c>
      <c r="K491" s="450">
        <v>83.84</v>
      </c>
      <c r="L491" s="450">
        <v>83.98</v>
      </c>
      <c r="M491" s="450">
        <v>84.11</v>
      </c>
      <c r="N491" s="450">
        <v>84.24</v>
      </c>
      <c r="O491" s="450">
        <v>84.76</v>
      </c>
      <c r="P491" s="450">
        <v>85.08</v>
      </c>
      <c r="Q491" s="450">
        <v>85.25</v>
      </c>
      <c r="R491" s="450">
        <v>85.31</v>
      </c>
      <c r="S491" s="450">
        <v>85.3</v>
      </c>
      <c r="T491" s="133"/>
      <c r="U491" s="134">
        <v>54</v>
      </c>
      <c r="V491" s="450">
        <v>83.36</v>
      </c>
      <c r="W491" s="450">
        <v>83.53</v>
      </c>
      <c r="X491" s="450">
        <v>83.71</v>
      </c>
      <c r="Y491" s="450">
        <v>83.88</v>
      </c>
      <c r="Z491" s="450">
        <v>84.04</v>
      </c>
      <c r="AA491" s="450">
        <v>84.2</v>
      </c>
      <c r="AB491" s="450">
        <v>84.36</v>
      </c>
      <c r="AC491" s="450">
        <v>84.52</v>
      </c>
      <c r="AD491" s="450">
        <v>84.67</v>
      </c>
      <c r="AE491" s="450">
        <v>84.81</v>
      </c>
      <c r="AF491" s="450">
        <v>84.94</v>
      </c>
      <c r="AG491" s="450">
        <v>85.07</v>
      </c>
      <c r="AH491" s="450">
        <v>85.62</v>
      </c>
      <c r="AI491" s="450">
        <v>85.95</v>
      </c>
      <c r="AJ491" s="450">
        <v>86.14</v>
      </c>
      <c r="AK491" s="450">
        <v>86.21</v>
      </c>
      <c r="AL491" s="450">
        <v>86.2</v>
      </c>
      <c r="AM491" s="133"/>
      <c r="AN491" s="134">
        <v>54</v>
      </c>
      <c r="AO491" s="450">
        <v>84.36</v>
      </c>
      <c r="AP491" s="450">
        <v>84.54</v>
      </c>
      <c r="AQ491" s="450">
        <v>84.72</v>
      </c>
      <c r="AR491" s="450">
        <v>84.89</v>
      </c>
      <c r="AS491" s="450">
        <v>85.07</v>
      </c>
      <c r="AT491" s="450">
        <v>85.24</v>
      </c>
      <c r="AU491" s="450">
        <v>85.4</v>
      </c>
      <c r="AV491" s="450">
        <v>85.56</v>
      </c>
      <c r="AW491" s="450">
        <v>85.71</v>
      </c>
      <c r="AX491" s="450">
        <v>85.86</v>
      </c>
      <c r="AY491" s="450">
        <v>86</v>
      </c>
      <c r="AZ491" s="450">
        <v>86.14</v>
      </c>
      <c r="BA491" s="450">
        <v>86.7</v>
      </c>
      <c r="BB491" s="450">
        <v>87.05</v>
      </c>
      <c r="BC491" s="450">
        <v>87.24</v>
      </c>
      <c r="BD491" s="450">
        <v>87.31</v>
      </c>
      <c r="BE491" s="450">
        <v>87.31</v>
      </c>
    </row>
    <row r="492" spans="2:57" x14ac:dyDescent="0.25">
      <c r="B492" s="134">
        <v>55</v>
      </c>
      <c r="C492" s="450">
        <v>82.93</v>
      </c>
      <c r="D492" s="450">
        <v>83.11</v>
      </c>
      <c r="E492" s="450">
        <v>83.28</v>
      </c>
      <c r="F492" s="450">
        <v>83.45</v>
      </c>
      <c r="G492" s="450">
        <v>83.62</v>
      </c>
      <c r="H492" s="450">
        <v>83.78</v>
      </c>
      <c r="I492" s="450">
        <v>83.94</v>
      </c>
      <c r="J492" s="450">
        <v>84.1</v>
      </c>
      <c r="K492" s="450">
        <v>84.24</v>
      </c>
      <c r="L492" s="450">
        <v>84.39</v>
      </c>
      <c r="M492" s="450">
        <v>84.52</v>
      </c>
      <c r="N492" s="450">
        <v>84.65</v>
      </c>
      <c r="O492" s="450">
        <v>85.18</v>
      </c>
      <c r="P492" s="450">
        <v>85.49</v>
      </c>
      <c r="Q492" s="450">
        <v>85.65</v>
      </c>
      <c r="R492" s="450">
        <v>85.71</v>
      </c>
      <c r="S492" s="450">
        <v>85.7</v>
      </c>
      <c r="T492" s="133"/>
      <c r="U492" s="134">
        <v>55</v>
      </c>
      <c r="V492" s="450">
        <v>83.72</v>
      </c>
      <c r="W492" s="450">
        <v>83.9</v>
      </c>
      <c r="X492" s="450">
        <v>84.08</v>
      </c>
      <c r="Y492" s="450">
        <v>84.26</v>
      </c>
      <c r="Z492" s="450">
        <v>84.43</v>
      </c>
      <c r="AA492" s="450">
        <v>84.6</v>
      </c>
      <c r="AB492" s="450">
        <v>84.77</v>
      </c>
      <c r="AC492" s="450">
        <v>84.93</v>
      </c>
      <c r="AD492" s="450">
        <v>85.08</v>
      </c>
      <c r="AE492" s="450">
        <v>85.23</v>
      </c>
      <c r="AF492" s="450">
        <v>85.37</v>
      </c>
      <c r="AG492" s="450">
        <v>85.5</v>
      </c>
      <c r="AH492" s="450">
        <v>86.05</v>
      </c>
      <c r="AI492" s="450">
        <v>86.38</v>
      </c>
      <c r="AJ492" s="450">
        <v>86.56</v>
      </c>
      <c r="AK492" s="450">
        <v>86.62</v>
      </c>
      <c r="AL492" s="450">
        <v>86.61</v>
      </c>
      <c r="AM492" s="133"/>
      <c r="AN492" s="134">
        <v>55</v>
      </c>
      <c r="AO492" s="450">
        <v>84.74</v>
      </c>
      <c r="AP492" s="450">
        <v>84.92</v>
      </c>
      <c r="AQ492" s="450">
        <v>85.11</v>
      </c>
      <c r="AR492" s="450">
        <v>85.29</v>
      </c>
      <c r="AS492" s="450">
        <v>85.47</v>
      </c>
      <c r="AT492" s="450">
        <v>85.65</v>
      </c>
      <c r="AU492" s="450">
        <v>85.82</v>
      </c>
      <c r="AV492" s="450">
        <v>85.98</v>
      </c>
      <c r="AW492" s="450">
        <v>86.14</v>
      </c>
      <c r="AX492" s="450">
        <v>86.3</v>
      </c>
      <c r="AY492" s="450">
        <v>86.44</v>
      </c>
      <c r="AZ492" s="450">
        <v>86.58</v>
      </c>
      <c r="BA492" s="450">
        <v>87.15</v>
      </c>
      <c r="BB492" s="450">
        <v>87.5</v>
      </c>
      <c r="BC492" s="450">
        <v>87.68</v>
      </c>
      <c r="BD492" s="450">
        <v>87.75</v>
      </c>
      <c r="BE492" s="450">
        <v>87.73</v>
      </c>
    </row>
    <row r="493" spans="2:57" x14ac:dyDescent="0.25">
      <c r="B493" s="134">
        <v>56</v>
      </c>
      <c r="C493" s="450">
        <v>83.3</v>
      </c>
      <c r="D493" s="450">
        <v>83.48</v>
      </c>
      <c r="E493" s="450">
        <v>83.66</v>
      </c>
      <c r="F493" s="450">
        <v>83.84</v>
      </c>
      <c r="G493" s="450">
        <v>84.02</v>
      </c>
      <c r="H493" s="450">
        <v>84.19</v>
      </c>
      <c r="I493" s="450">
        <v>84.35</v>
      </c>
      <c r="J493" s="450">
        <v>84.51</v>
      </c>
      <c r="K493" s="450">
        <v>84.66</v>
      </c>
      <c r="L493" s="450">
        <v>84.81</v>
      </c>
      <c r="M493" s="450">
        <v>84.95</v>
      </c>
      <c r="N493" s="450">
        <v>85.08</v>
      </c>
      <c r="O493" s="450">
        <v>85.61</v>
      </c>
      <c r="P493" s="450">
        <v>85.92</v>
      </c>
      <c r="Q493" s="450">
        <v>86.08</v>
      </c>
      <c r="R493" s="450">
        <v>86.13</v>
      </c>
      <c r="S493" s="450">
        <v>86.11</v>
      </c>
      <c r="T493" s="133"/>
      <c r="U493" s="134">
        <v>56</v>
      </c>
      <c r="V493" s="450">
        <v>84.1</v>
      </c>
      <c r="W493" s="450">
        <v>84.29</v>
      </c>
      <c r="X493" s="450">
        <v>84.48</v>
      </c>
      <c r="Y493" s="450">
        <v>84.66</v>
      </c>
      <c r="Z493" s="450">
        <v>84.84</v>
      </c>
      <c r="AA493" s="450">
        <v>85.02</v>
      </c>
      <c r="AB493" s="450">
        <v>85.19</v>
      </c>
      <c r="AC493" s="450">
        <v>85.35</v>
      </c>
      <c r="AD493" s="450">
        <v>85.51</v>
      </c>
      <c r="AE493" s="450">
        <v>85.66</v>
      </c>
      <c r="AF493" s="450">
        <v>85.81</v>
      </c>
      <c r="AG493" s="450">
        <v>85.94</v>
      </c>
      <c r="AH493" s="450">
        <v>86.5</v>
      </c>
      <c r="AI493" s="450">
        <v>86.83</v>
      </c>
      <c r="AJ493" s="450">
        <v>87</v>
      </c>
      <c r="AK493" s="450">
        <v>87.06</v>
      </c>
      <c r="AL493" s="450">
        <v>87.04</v>
      </c>
      <c r="AM493" s="133"/>
      <c r="AN493" s="134">
        <v>56</v>
      </c>
      <c r="AO493" s="450">
        <v>85.13</v>
      </c>
      <c r="AP493" s="450">
        <v>85.32</v>
      </c>
      <c r="AQ493" s="450">
        <v>85.52</v>
      </c>
      <c r="AR493" s="450">
        <v>85.71</v>
      </c>
      <c r="AS493" s="450">
        <v>85.9</v>
      </c>
      <c r="AT493" s="450">
        <v>86.08</v>
      </c>
      <c r="AU493" s="450">
        <v>86.26</v>
      </c>
      <c r="AV493" s="450">
        <v>86.43</v>
      </c>
      <c r="AW493" s="450">
        <v>86.59</v>
      </c>
      <c r="AX493" s="450">
        <v>86.75</v>
      </c>
      <c r="AY493" s="450">
        <v>86.9</v>
      </c>
      <c r="AZ493" s="450">
        <v>87.04</v>
      </c>
      <c r="BA493" s="450">
        <v>87.62</v>
      </c>
      <c r="BB493" s="450">
        <v>87.96</v>
      </c>
      <c r="BC493" s="450">
        <v>88.14</v>
      </c>
      <c r="BD493" s="450">
        <v>88.19</v>
      </c>
      <c r="BE493" s="450">
        <v>88.17</v>
      </c>
    </row>
    <row r="494" spans="2:57" x14ac:dyDescent="0.25">
      <c r="B494" s="134">
        <v>57</v>
      </c>
      <c r="C494" s="450">
        <v>83.68</v>
      </c>
      <c r="D494" s="450">
        <v>83.87</v>
      </c>
      <c r="E494" s="450">
        <v>84.06</v>
      </c>
      <c r="F494" s="450">
        <v>84.25</v>
      </c>
      <c r="G494" s="450">
        <v>84.43</v>
      </c>
      <c r="H494" s="450">
        <v>84.61</v>
      </c>
      <c r="I494" s="450">
        <v>84.78</v>
      </c>
      <c r="J494" s="450">
        <v>84.94</v>
      </c>
      <c r="K494" s="450">
        <v>85.1</v>
      </c>
      <c r="L494" s="450">
        <v>85.25</v>
      </c>
      <c r="M494" s="450">
        <v>85.39</v>
      </c>
      <c r="N494" s="450">
        <v>85.52</v>
      </c>
      <c r="O494" s="450">
        <v>86.05</v>
      </c>
      <c r="P494" s="450">
        <v>86.36</v>
      </c>
      <c r="Q494" s="450">
        <v>86.52</v>
      </c>
      <c r="R494" s="450">
        <v>86.56</v>
      </c>
      <c r="S494" s="450">
        <v>86.53</v>
      </c>
      <c r="T494" s="133"/>
      <c r="U494" s="134">
        <v>57</v>
      </c>
      <c r="V494" s="450">
        <v>84.5</v>
      </c>
      <c r="W494" s="450">
        <v>84.69</v>
      </c>
      <c r="X494" s="450">
        <v>84.89</v>
      </c>
      <c r="Y494" s="450">
        <v>85.08</v>
      </c>
      <c r="Z494" s="450">
        <v>85.27</v>
      </c>
      <c r="AA494" s="450">
        <v>85.45</v>
      </c>
      <c r="AB494" s="450">
        <v>85.63</v>
      </c>
      <c r="AC494" s="450">
        <v>85.8</v>
      </c>
      <c r="AD494" s="450">
        <v>85.96</v>
      </c>
      <c r="AE494" s="450">
        <v>86.12</v>
      </c>
      <c r="AF494" s="450">
        <v>86.27</v>
      </c>
      <c r="AG494" s="450">
        <v>86.41</v>
      </c>
      <c r="AH494" s="450">
        <v>86.96</v>
      </c>
      <c r="AI494" s="450">
        <v>87.29</v>
      </c>
      <c r="AJ494" s="450">
        <v>87.46</v>
      </c>
      <c r="AK494" s="450">
        <v>87.51</v>
      </c>
      <c r="AL494" s="450">
        <v>87.49</v>
      </c>
      <c r="AM494" s="133"/>
      <c r="AN494" s="134">
        <v>57</v>
      </c>
      <c r="AO494" s="450">
        <v>85.54</v>
      </c>
      <c r="AP494" s="450">
        <v>85.74</v>
      </c>
      <c r="AQ494" s="450">
        <v>85.95</v>
      </c>
      <c r="AR494" s="450">
        <v>86.14</v>
      </c>
      <c r="AS494" s="450">
        <v>86.34</v>
      </c>
      <c r="AT494" s="450">
        <v>86.53</v>
      </c>
      <c r="AU494" s="450">
        <v>86.71</v>
      </c>
      <c r="AV494" s="450">
        <v>86.89</v>
      </c>
      <c r="AW494" s="450">
        <v>87.06</v>
      </c>
      <c r="AX494" s="450">
        <v>87.22</v>
      </c>
      <c r="AY494" s="450">
        <v>87.38</v>
      </c>
      <c r="AZ494" s="450">
        <v>87.52</v>
      </c>
      <c r="BA494" s="450">
        <v>88.1</v>
      </c>
      <c r="BB494" s="450">
        <v>88.44</v>
      </c>
      <c r="BC494" s="450">
        <v>88.62</v>
      </c>
      <c r="BD494" s="450">
        <v>88.66</v>
      </c>
      <c r="BE494" s="450">
        <v>88.63</v>
      </c>
    </row>
    <row r="495" spans="2:57" x14ac:dyDescent="0.25">
      <c r="B495" s="134">
        <v>58</v>
      </c>
      <c r="C495" s="450">
        <v>84.08</v>
      </c>
      <c r="D495" s="450">
        <v>84.28</v>
      </c>
      <c r="E495" s="450">
        <v>84.48</v>
      </c>
      <c r="F495" s="450">
        <v>84.67</v>
      </c>
      <c r="G495" s="450">
        <v>84.86</v>
      </c>
      <c r="H495" s="450">
        <v>85.04</v>
      </c>
      <c r="I495" s="450">
        <v>85.22</v>
      </c>
      <c r="J495" s="450">
        <v>85.39</v>
      </c>
      <c r="K495" s="450">
        <v>85.55</v>
      </c>
      <c r="L495" s="450">
        <v>85.7</v>
      </c>
      <c r="M495" s="450">
        <v>85.85</v>
      </c>
      <c r="N495" s="450">
        <v>85.99</v>
      </c>
      <c r="O495" s="450">
        <v>86.51</v>
      </c>
      <c r="P495" s="450">
        <v>86.82</v>
      </c>
      <c r="Q495" s="450">
        <v>86.97</v>
      </c>
      <c r="R495" s="450">
        <v>87</v>
      </c>
      <c r="S495" s="450">
        <v>86.97</v>
      </c>
      <c r="T495" s="133"/>
      <c r="U495" s="134">
        <v>58</v>
      </c>
      <c r="V495" s="450">
        <v>84.91</v>
      </c>
      <c r="W495" s="450">
        <v>85.12</v>
      </c>
      <c r="X495" s="450">
        <v>85.32</v>
      </c>
      <c r="Y495" s="450">
        <v>85.52</v>
      </c>
      <c r="Z495" s="450">
        <v>85.71</v>
      </c>
      <c r="AA495" s="450">
        <v>85.9</v>
      </c>
      <c r="AB495" s="450">
        <v>86.09</v>
      </c>
      <c r="AC495" s="450">
        <v>86.26</v>
      </c>
      <c r="AD495" s="450">
        <v>86.43</v>
      </c>
      <c r="AE495" s="450">
        <v>86.59</v>
      </c>
      <c r="AF495" s="450">
        <v>86.74</v>
      </c>
      <c r="AG495" s="450">
        <v>86.89</v>
      </c>
      <c r="AH495" s="450">
        <v>87.44</v>
      </c>
      <c r="AI495" s="450">
        <v>87.77</v>
      </c>
      <c r="AJ495" s="450">
        <v>87.93</v>
      </c>
      <c r="AK495" s="450">
        <v>87.97</v>
      </c>
      <c r="AL495" s="450">
        <v>87.95</v>
      </c>
      <c r="AM495" s="133"/>
      <c r="AN495" s="134">
        <v>58</v>
      </c>
      <c r="AO495" s="450">
        <v>85.97</v>
      </c>
      <c r="AP495" s="450">
        <v>86.18</v>
      </c>
      <c r="AQ495" s="450">
        <v>86.39</v>
      </c>
      <c r="AR495" s="450">
        <v>86.6</v>
      </c>
      <c r="AS495" s="450">
        <v>86.8</v>
      </c>
      <c r="AT495" s="450">
        <v>87</v>
      </c>
      <c r="AU495" s="450">
        <v>87.19</v>
      </c>
      <c r="AV495" s="450">
        <v>87.37</v>
      </c>
      <c r="AW495" s="450">
        <v>87.55</v>
      </c>
      <c r="AX495" s="450">
        <v>87.72</v>
      </c>
      <c r="AY495" s="450">
        <v>87.87</v>
      </c>
      <c r="AZ495" s="450">
        <v>88.02</v>
      </c>
      <c r="BA495" s="450">
        <v>88.6</v>
      </c>
      <c r="BB495" s="450">
        <v>88.94</v>
      </c>
      <c r="BC495" s="450">
        <v>89.11</v>
      </c>
      <c r="BD495" s="450">
        <v>89.14</v>
      </c>
      <c r="BE495" s="450">
        <v>89.1</v>
      </c>
    </row>
    <row r="496" spans="2:57" x14ac:dyDescent="0.25">
      <c r="B496" s="134">
        <v>59</v>
      </c>
      <c r="C496" s="450">
        <v>84.5</v>
      </c>
      <c r="D496" s="450">
        <v>84.71</v>
      </c>
      <c r="E496" s="450">
        <v>84.91</v>
      </c>
      <c r="F496" s="450">
        <v>85.11</v>
      </c>
      <c r="G496" s="450">
        <v>85.31</v>
      </c>
      <c r="H496" s="450">
        <v>85.5</v>
      </c>
      <c r="I496" s="450">
        <v>85.68</v>
      </c>
      <c r="J496" s="450">
        <v>85.85</v>
      </c>
      <c r="K496" s="450">
        <v>86.02</v>
      </c>
      <c r="L496" s="450">
        <v>86.18</v>
      </c>
      <c r="M496" s="450">
        <v>86.33</v>
      </c>
      <c r="N496" s="450">
        <v>86.46</v>
      </c>
      <c r="O496" s="450">
        <v>86.99</v>
      </c>
      <c r="P496" s="450">
        <v>87.29</v>
      </c>
      <c r="Q496" s="450">
        <v>87.43</v>
      </c>
      <c r="R496" s="450">
        <v>87.45</v>
      </c>
      <c r="S496" s="450">
        <v>87.41</v>
      </c>
      <c r="T496" s="133"/>
      <c r="U496" s="134">
        <v>59</v>
      </c>
      <c r="V496" s="450">
        <v>85.34</v>
      </c>
      <c r="W496" s="450">
        <v>85.56</v>
      </c>
      <c r="X496" s="450">
        <v>85.77</v>
      </c>
      <c r="Y496" s="450">
        <v>85.98</v>
      </c>
      <c r="Z496" s="450">
        <v>86.18</v>
      </c>
      <c r="AA496" s="450">
        <v>86.38</v>
      </c>
      <c r="AB496" s="450">
        <v>86.56</v>
      </c>
      <c r="AC496" s="450">
        <v>86.75</v>
      </c>
      <c r="AD496" s="450">
        <v>86.92</v>
      </c>
      <c r="AE496" s="450">
        <v>87.08</v>
      </c>
      <c r="AF496" s="450">
        <v>87.24</v>
      </c>
      <c r="AG496" s="450">
        <v>87.38</v>
      </c>
      <c r="AH496" s="450">
        <v>87.93</v>
      </c>
      <c r="AI496" s="450">
        <v>88.26</v>
      </c>
      <c r="AJ496" s="450">
        <v>88.41</v>
      </c>
      <c r="AK496" s="450">
        <v>88.45</v>
      </c>
      <c r="AL496" s="450">
        <v>88.41</v>
      </c>
      <c r="AM496" s="133"/>
      <c r="AN496" s="134">
        <v>59</v>
      </c>
      <c r="AO496" s="450">
        <v>86.41</v>
      </c>
      <c r="AP496" s="450">
        <v>86.64</v>
      </c>
      <c r="AQ496" s="450">
        <v>86.86</v>
      </c>
      <c r="AR496" s="450">
        <v>87.07</v>
      </c>
      <c r="AS496" s="450">
        <v>87.29</v>
      </c>
      <c r="AT496" s="450">
        <v>87.49</v>
      </c>
      <c r="AU496" s="450">
        <v>87.69</v>
      </c>
      <c r="AV496" s="450">
        <v>87.88</v>
      </c>
      <c r="AW496" s="450">
        <v>88.06</v>
      </c>
      <c r="AX496" s="450">
        <v>88.23</v>
      </c>
      <c r="AY496" s="450">
        <v>88.39</v>
      </c>
      <c r="AZ496" s="450">
        <v>88.54</v>
      </c>
      <c r="BA496" s="450">
        <v>89.11</v>
      </c>
      <c r="BB496" s="450">
        <v>89.45</v>
      </c>
      <c r="BC496" s="450">
        <v>89.61</v>
      </c>
      <c r="BD496" s="450">
        <v>89.63</v>
      </c>
      <c r="BE496" s="450">
        <v>89.59</v>
      </c>
    </row>
    <row r="497" spans="2:57" x14ac:dyDescent="0.25">
      <c r="B497" s="134">
        <v>60</v>
      </c>
      <c r="C497" s="450">
        <v>84.93</v>
      </c>
      <c r="D497" s="450">
        <v>85.15</v>
      </c>
      <c r="E497" s="450">
        <v>85.37</v>
      </c>
      <c r="F497" s="450">
        <v>85.57</v>
      </c>
      <c r="G497" s="450">
        <v>85.78</v>
      </c>
      <c r="H497" s="450">
        <v>85.97</v>
      </c>
      <c r="I497" s="450">
        <v>86.16</v>
      </c>
      <c r="J497" s="450">
        <v>86.34</v>
      </c>
      <c r="K497" s="450">
        <v>86.51</v>
      </c>
      <c r="L497" s="450">
        <v>86.67</v>
      </c>
      <c r="M497" s="450">
        <v>86.82</v>
      </c>
      <c r="N497" s="450">
        <v>86.96</v>
      </c>
      <c r="O497" s="450">
        <v>87.47</v>
      </c>
      <c r="P497" s="450">
        <v>87.77</v>
      </c>
      <c r="Q497" s="450">
        <v>87.9</v>
      </c>
      <c r="R497" s="450">
        <v>87.91</v>
      </c>
      <c r="S497" s="450">
        <v>87.86</v>
      </c>
      <c r="T497" s="133"/>
      <c r="U497" s="134">
        <v>60</v>
      </c>
      <c r="V497" s="450">
        <v>85.79</v>
      </c>
      <c r="W497" s="450">
        <v>86.02</v>
      </c>
      <c r="X497" s="450">
        <v>86.24</v>
      </c>
      <c r="Y497" s="450">
        <v>86.45</v>
      </c>
      <c r="Z497" s="450">
        <v>86.66</v>
      </c>
      <c r="AA497" s="450">
        <v>86.87</v>
      </c>
      <c r="AB497" s="450">
        <v>87.06</v>
      </c>
      <c r="AC497" s="450">
        <v>87.25</v>
      </c>
      <c r="AD497" s="450">
        <v>87.42</v>
      </c>
      <c r="AE497" s="450">
        <v>87.59</v>
      </c>
      <c r="AF497" s="450">
        <v>87.75</v>
      </c>
      <c r="AG497" s="450">
        <v>87.9</v>
      </c>
      <c r="AH497" s="450">
        <v>88.44</v>
      </c>
      <c r="AI497" s="450">
        <v>88.77</v>
      </c>
      <c r="AJ497" s="450">
        <v>88.91</v>
      </c>
      <c r="AK497" s="450">
        <v>88.93</v>
      </c>
      <c r="AL497" s="450">
        <v>88.89</v>
      </c>
      <c r="AM497" s="133"/>
      <c r="AN497" s="134">
        <v>60</v>
      </c>
      <c r="AO497" s="450">
        <v>86.88</v>
      </c>
      <c r="AP497" s="450">
        <v>87.12</v>
      </c>
      <c r="AQ497" s="450">
        <v>87.35</v>
      </c>
      <c r="AR497" s="450">
        <v>87.57</v>
      </c>
      <c r="AS497" s="450">
        <v>87.79</v>
      </c>
      <c r="AT497" s="450">
        <v>88</v>
      </c>
      <c r="AU497" s="450">
        <v>88.2</v>
      </c>
      <c r="AV497" s="450">
        <v>88.4</v>
      </c>
      <c r="AW497" s="450">
        <v>88.58</v>
      </c>
      <c r="AX497" s="450">
        <v>88.76</v>
      </c>
      <c r="AY497" s="450">
        <v>88.92</v>
      </c>
      <c r="AZ497" s="450">
        <v>89.07</v>
      </c>
      <c r="BA497" s="450">
        <v>89.64</v>
      </c>
      <c r="BB497" s="450">
        <v>89.98</v>
      </c>
      <c r="BC497" s="450">
        <v>90.12</v>
      </c>
      <c r="BD497" s="450">
        <v>90.13</v>
      </c>
      <c r="BE497" s="450">
        <v>90.07</v>
      </c>
    </row>
    <row r="498" spans="2:57" x14ac:dyDescent="0.25">
      <c r="B498" s="134">
        <v>61</v>
      </c>
      <c r="C498" s="450">
        <v>85.39</v>
      </c>
      <c r="D498" s="450">
        <v>85.61</v>
      </c>
      <c r="E498" s="450">
        <v>85.84</v>
      </c>
      <c r="F498" s="450">
        <v>86.05</v>
      </c>
      <c r="G498" s="450">
        <v>86.26</v>
      </c>
      <c r="H498" s="450">
        <v>86.46</v>
      </c>
      <c r="I498" s="450">
        <v>86.65</v>
      </c>
      <c r="J498" s="450">
        <v>86.84</v>
      </c>
      <c r="K498" s="450">
        <v>87.01</v>
      </c>
      <c r="L498" s="450">
        <v>87.17</v>
      </c>
      <c r="M498" s="450">
        <v>87.32</v>
      </c>
      <c r="N498" s="450">
        <v>87.46</v>
      </c>
      <c r="O498" s="450">
        <v>87.97</v>
      </c>
      <c r="P498" s="450">
        <v>88.26</v>
      </c>
      <c r="Q498" s="450">
        <v>88.37</v>
      </c>
      <c r="R498" s="450">
        <v>88.36</v>
      </c>
      <c r="S498" s="450">
        <v>88.31</v>
      </c>
      <c r="T498" s="133"/>
      <c r="U498" s="134">
        <v>61</v>
      </c>
      <c r="V498" s="450">
        <v>86.26</v>
      </c>
      <c r="W498" s="450">
        <v>86.49</v>
      </c>
      <c r="X498" s="450">
        <v>86.72</v>
      </c>
      <c r="Y498" s="450">
        <v>86.95</v>
      </c>
      <c r="Z498" s="450">
        <v>87.17</v>
      </c>
      <c r="AA498" s="450">
        <v>87.38</v>
      </c>
      <c r="AB498" s="450">
        <v>87.58</v>
      </c>
      <c r="AC498" s="450">
        <v>87.77</v>
      </c>
      <c r="AD498" s="450">
        <v>87.95</v>
      </c>
      <c r="AE498" s="450">
        <v>88.12</v>
      </c>
      <c r="AF498" s="450">
        <v>88.28</v>
      </c>
      <c r="AG498" s="450">
        <v>88.42</v>
      </c>
      <c r="AH498" s="450">
        <v>88.96</v>
      </c>
      <c r="AI498" s="450">
        <v>89.27</v>
      </c>
      <c r="AJ498" s="450">
        <v>89.4</v>
      </c>
      <c r="AK498" s="450">
        <v>89.41</v>
      </c>
      <c r="AL498" s="450">
        <v>89.36</v>
      </c>
      <c r="AM498" s="133"/>
      <c r="AN498" s="134">
        <v>61</v>
      </c>
      <c r="AO498" s="450">
        <v>87.37</v>
      </c>
      <c r="AP498" s="450">
        <v>87.61</v>
      </c>
      <c r="AQ498" s="450">
        <v>87.85</v>
      </c>
      <c r="AR498" s="450">
        <v>88.09</v>
      </c>
      <c r="AS498" s="450">
        <v>88.31</v>
      </c>
      <c r="AT498" s="450">
        <v>88.53</v>
      </c>
      <c r="AU498" s="450">
        <v>88.74</v>
      </c>
      <c r="AV498" s="450">
        <v>88.94</v>
      </c>
      <c r="AW498" s="450">
        <v>89.13</v>
      </c>
      <c r="AX498" s="450">
        <v>89.3</v>
      </c>
      <c r="AY498" s="450">
        <v>89.47</v>
      </c>
      <c r="AZ498" s="450">
        <v>89.62</v>
      </c>
      <c r="BA498" s="450">
        <v>90.19</v>
      </c>
      <c r="BB498" s="450">
        <v>90.51</v>
      </c>
      <c r="BC498" s="450">
        <v>90.63</v>
      </c>
      <c r="BD498" s="450">
        <v>90.62</v>
      </c>
      <c r="BE498" s="450">
        <v>90.56</v>
      </c>
    </row>
    <row r="499" spans="2:57" x14ac:dyDescent="0.25">
      <c r="B499" s="134">
        <v>62</v>
      </c>
      <c r="C499" s="450">
        <v>85.86</v>
      </c>
      <c r="D499" s="450">
        <v>86.09</v>
      </c>
      <c r="E499" s="450">
        <v>86.32</v>
      </c>
      <c r="F499" s="450">
        <v>86.55</v>
      </c>
      <c r="G499" s="450">
        <v>86.76</v>
      </c>
      <c r="H499" s="450">
        <v>86.97</v>
      </c>
      <c r="I499" s="450">
        <v>87.16</v>
      </c>
      <c r="J499" s="450">
        <v>87.35</v>
      </c>
      <c r="K499" s="450">
        <v>87.52</v>
      </c>
      <c r="L499" s="450">
        <v>87.69</v>
      </c>
      <c r="M499" s="450">
        <v>87.83</v>
      </c>
      <c r="N499" s="450">
        <v>87.96</v>
      </c>
      <c r="O499" s="450">
        <v>88.47</v>
      </c>
      <c r="P499" s="450">
        <v>88.74</v>
      </c>
      <c r="Q499" s="450">
        <v>88.83</v>
      </c>
      <c r="R499" s="450">
        <v>88.81</v>
      </c>
      <c r="S499" s="450">
        <v>88.74</v>
      </c>
      <c r="T499" s="133"/>
      <c r="U499" s="134">
        <v>62</v>
      </c>
      <c r="V499" s="450">
        <v>86.75</v>
      </c>
      <c r="W499" s="450">
        <v>86.99</v>
      </c>
      <c r="X499" s="450">
        <v>87.23</v>
      </c>
      <c r="Y499" s="450">
        <v>87.46</v>
      </c>
      <c r="Z499" s="450">
        <v>87.69</v>
      </c>
      <c r="AA499" s="450">
        <v>87.9</v>
      </c>
      <c r="AB499" s="450">
        <v>88.11</v>
      </c>
      <c r="AC499" s="450">
        <v>88.3</v>
      </c>
      <c r="AD499" s="450">
        <v>88.48</v>
      </c>
      <c r="AE499" s="450">
        <v>88.66</v>
      </c>
      <c r="AF499" s="450">
        <v>88.81</v>
      </c>
      <c r="AG499" s="450">
        <v>88.95</v>
      </c>
      <c r="AH499" s="450">
        <v>89.49</v>
      </c>
      <c r="AI499" s="450">
        <v>89.78</v>
      </c>
      <c r="AJ499" s="450">
        <v>89.89</v>
      </c>
      <c r="AK499" s="450">
        <v>89.88</v>
      </c>
      <c r="AL499" s="450">
        <v>89.81</v>
      </c>
      <c r="AM499" s="133"/>
      <c r="AN499" s="134">
        <v>62</v>
      </c>
      <c r="AO499" s="450">
        <v>87.88</v>
      </c>
      <c r="AP499" s="450">
        <v>88.13</v>
      </c>
      <c r="AQ499" s="450">
        <v>88.38</v>
      </c>
      <c r="AR499" s="450">
        <v>88.62</v>
      </c>
      <c r="AS499" s="450">
        <v>88.85</v>
      </c>
      <c r="AT499" s="450">
        <v>89.08</v>
      </c>
      <c r="AU499" s="450">
        <v>89.29</v>
      </c>
      <c r="AV499" s="450">
        <v>89.49</v>
      </c>
      <c r="AW499" s="450">
        <v>89.69</v>
      </c>
      <c r="AX499" s="450">
        <v>89.87</v>
      </c>
      <c r="AY499" s="450">
        <v>90.02</v>
      </c>
      <c r="AZ499" s="450">
        <v>90.17</v>
      </c>
      <c r="BA499" s="450">
        <v>90.74</v>
      </c>
      <c r="BB499" s="450">
        <v>91.03</v>
      </c>
      <c r="BC499" s="450">
        <v>91.13</v>
      </c>
      <c r="BD499" s="450">
        <v>91.11</v>
      </c>
      <c r="BE499" s="450">
        <v>91.03</v>
      </c>
    </row>
    <row r="500" spans="2:57" x14ac:dyDescent="0.25">
      <c r="B500" s="134">
        <v>63</v>
      </c>
      <c r="C500" s="450">
        <v>86.35</v>
      </c>
      <c r="D500" s="450">
        <v>86.59</v>
      </c>
      <c r="E500" s="450">
        <v>86.83</v>
      </c>
      <c r="F500" s="450">
        <v>87.06</v>
      </c>
      <c r="G500" s="450">
        <v>87.28</v>
      </c>
      <c r="H500" s="450">
        <v>87.48</v>
      </c>
      <c r="I500" s="450">
        <v>87.68</v>
      </c>
      <c r="J500" s="450">
        <v>87.87</v>
      </c>
      <c r="K500" s="450">
        <v>88.05</v>
      </c>
      <c r="L500" s="450">
        <v>88.2</v>
      </c>
      <c r="M500" s="450">
        <v>88.35</v>
      </c>
      <c r="N500" s="450">
        <v>88.48</v>
      </c>
      <c r="O500" s="450">
        <v>88.97</v>
      </c>
      <c r="P500" s="450">
        <v>89.21</v>
      </c>
      <c r="Q500" s="450">
        <v>89.27</v>
      </c>
      <c r="R500" s="450">
        <v>89.22</v>
      </c>
      <c r="S500" s="450">
        <v>89.14</v>
      </c>
      <c r="T500" s="133"/>
      <c r="U500" s="134">
        <v>63</v>
      </c>
      <c r="V500" s="450">
        <v>87.26</v>
      </c>
      <c r="W500" s="450">
        <v>87.51</v>
      </c>
      <c r="X500" s="450">
        <v>87.76</v>
      </c>
      <c r="Y500" s="450">
        <v>87.99</v>
      </c>
      <c r="Z500" s="450">
        <v>88.22</v>
      </c>
      <c r="AA500" s="450">
        <v>88.44</v>
      </c>
      <c r="AB500" s="450">
        <v>88.65</v>
      </c>
      <c r="AC500" s="450">
        <v>88.85</v>
      </c>
      <c r="AD500" s="450">
        <v>89.03</v>
      </c>
      <c r="AE500" s="450">
        <v>89.2</v>
      </c>
      <c r="AF500" s="450">
        <v>89.35</v>
      </c>
      <c r="AG500" s="450">
        <v>89.49</v>
      </c>
      <c r="AH500" s="450">
        <v>90.02</v>
      </c>
      <c r="AI500" s="450">
        <v>90.28</v>
      </c>
      <c r="AJ500" s="450">
        <v>90.36</v>
      </c>
      <c r="AK500" s="450">
        <v>90.32</v>
      </c>
      <c r="AL500" s="450">
        <v>90.25</v>
      </c>
      <c r="AM500" s="133"/>
      <c r="AN500" s="134">
        <v>63</v>
      </c>
      <c r="AO500" s="450">
        <v>88.41</v>
      </c>
      <c r="AP500" s="450">
        <v>88.67</v>
      </c>
      <c r="AQ500" s="450">
        <v>88.93</v>
      </c>
      <c r="AR500" s="450">
        <v>89.17</v>
      </c>
      <c r="AS500" s="450">
        <v>89.41</v>
      </c>
      <c r="AT500" s="450">
        <v>89.64</v>
      </c>
      <c r="AU500" s="450">
        <v>89.86</v>
      </c>
      <c r="AV500" s="450">
        <v>90.06</v>
      </c>
      <c r="AW500" s="450">
        <v>90.26</v>
      </c>
      <c r="AX500" s="450">
        <v>90.43</v>
      </c>
      <c r="AY500" s="450">
        <v>90.59</v>
      </c>
      <c r="AZ500" s="450">
        <v>90.73</v>
      </c>
      <c r="BA500" s="450">
        <v>91.28</v>
      </c>
      <c r="BB500" s="450">
        <v>91.55</v>
      </c>
      <c r="BC500" s="450">
        <v>91.62</v>
      </c>
      <c r="BD500" s="450">
        <v>91.57</v>
      </c>
      <c r="BE500" s="450">
        <v>91.47</v>
      </c>
    </row>
    <row r="501" spans="2:57" x14ac:dyDescent="0.25">
      <c r="B501" s="134">
        <v>64</v>
      </c>
      <c r="C501" s="450">
        <v>86.86</v>
      </c>
      <c r="D501" s="450">
        <v>87.11</v>
      </c>
      <c r="E501" s="450">
        <v>87.35</v>
      </c>
      <c r="F501" s="450">
        <v>87.58</v>
      </c>
      <c r="G501" s="450">
        <v>87.8</v>
      </c>
      <c r="H501" s="450">
        <v>88.01</v>
      </c>
      <c r="I501" s="450">
        <v>88.21</v>
      </c>
      <c r="J501" s="450">
        <v>88.4</v>
      </c>
      <c r="K501" s="450">
        <v>88.57</v>
      </c>
      <c r="L501" s="450">
        <v>88.72</v>
      </c>
      <c r="M501" s="450">
        <v>88.86</v>
      </c>
      <c r="N501" s="450">
        <v>88.99</v>
      </c>
      <c r="O501" s="450">
        <v>89.46</v>
      </c>
      <c r="P501" s="450">
        <v>89.66</v>
      </c>
      <c r="Q501" s="450">
        <v>89.69</v>
      </c>
      <c r="R501" s="450">
        <v>89.61</v>
      </c>
      <c r="S501" s="450">
        <v>89.43</v>
      </c>
      <c r="T501" s="133"/>
      <c r="U501" s="134">
        <v>64</v>
      </c>
      <c r="V501" s="450">
        <v>87.78</v>
      </c>
      <c r="W501" s="450">
        <v>88.05</v>
      </c>
      <c r="X501" s="450">
        <v>88.3</v>
      </c>
      <c r="Y501" s="450">
        <v>88.54</v>
      </c>
      <c r="Z501" s="450">
        <v>88.77</v>
      </c>
      <c r="AA501" s="450">
        <v>89</v>
      </c>
      <c r="AB501" s="450">
        <v>89.21</v>
      </c>
      <c r="AC501" s="450">
        <v>89.4</v>
      </c>
      <c r="AD501" s="450">
        <v>89.58</v>
      </c>
      <c r="AE501" s="450">
        <v>89.74</v>
      </c>
      <c r="AF501" s="450">
        <v>89.89</v>
      </c>
      <c r="AG501" s="450">
        <v>90.03</v>
      </c>
      <c r="AH501" s="450">
        <v>90.53</v>
      </c>
      <c r="AI501" s="450">
        <v>90.76</v>
      </c>
      <c r="AJ501" s="450">
        <v>90.8</v>
      </c>
      <c r="AK501" s="450">
        <v>90.74</v>
      </c>
      <c r="AL501" s="450">
        <v>90.57</v>
      </c>
      <c r="AM501" s="133"/>
      <c r="AN501" s="134">
        <v>64</v>
      </c>
      <c r="AO501" s="450">
        <v>88.96</v>
      </c>
      <c r="AP501" s="450">
        <v>89.23</v>
      </c>
      <c r="AQ501" s="450">
        <v>89.49</v>
      </c>
      <c r="AR501" s="450">
        <v>89.74</v>
      </c>
      <c r="AS501" s="450">
        <v>89.99</v>
      </c>
      <c r="AT501" s="450">
        <v>90.22</v>
      </c>
      <c r="AU501" s="450">
        <v>90.44</v>
      </c>
      <c r="AV501" s="450">
        <v>90.64</v>
      </c>
      <c r="AW501" s="450">
        <v>90.83</v>
      </c>
      <c r="AX501" s="450">
        <v>91</v>
      </c>
      <c r="AY501" s="450">
        <v>91.16</v>
      </c>
      <c r="AZ501" s="450">
        <v>91.3</v>
      </c>
      <c r="BA501" s="450">
        <v>91.82</v>
      </c>
      <c r="BB501" s="450">
        <v>92.05</v>
      </c>
      <c r="BC501" s="450">
        <v>92.08</v>
      </c>
      <c r="BD501" s="450">
        <v>92</v>
      </c>
      <c r="BE501" s="450">
        <v>91.81</v>
      </c>
    </row>
    <row r="502" spans="2:57" x14ac:dyDescent="0.25">
      <c r="B502" s="134">
        <v>65</v>
      </c>
      <c r="C502" s="450">
        <v>87.38</v>
      </c>
      <c r="D502" s="450">
        <v>87.63</v>
      </c>
      <c r="E502" s="450">
        <v>87.88</v>
      </c>
      <c r="F502" s="450">
        <v>88.11</v>
      </c>
      <c r="G502" s="450">
        <v>88.34</v>
      </c>
      <c r="H502" s="450">
        <v>88.55</v>
      </c>
      <c r="I502" s="450">
        <v>88.75</v>
      </c>
      <c r="J502" s="450">
        <v>88.93</v>
      </c>
      <c r="K502" s="450">
        <v>89.09</v>
      </c>
      <c r="L502" s="450">
        <v>89.24</v>
      </c>
      <c r="M502" s="450">
        <v>89.38</v>
      </c>
      <c r="N502" s="450">
        <v>89.5</v>
      </c>
      <c r="O502" s="450">
        <v>89.93</v>
      </c>
      <c r="P502" s="450">
        <v>90.09</v>
      </c>
      <c r="Q502" s="450">
        <v>90.07</v>
      </c>
      <c r="R502" s="450">
        <v>89.97</v>
      </c>
      <c r="S502" s="450" t="s">
        <v>556</v>
      </c>
      <c r="T502" s="133"/>
      <c r="U502" s="134">
        <v>65</v>
      </c>
      <c r="V502" s="450">
        <v>88.33</v>
      </c>
      <c r="W502" s="450">
        <v>88.59</v>
      </c>
      <c r="X502" s="450">
        <v>88.85</v>
      </c>
      <c r="Y502" s="450">
        <v>89.1</v>
      </c>
      <c r="Z502" s="450">
        <v>89.33</v>
      </c>
      <c r="AA502" s="450">
        <v>89.56</v>
      </c>
      <c r="AB502" s="450">
        <v>89.77</v>
      </c>
      <c r="AC502" s="450">
        <v>89.96</v>
      </c>
      <c r="AD502" s="450">
        <v>90.13</v>
      </c>
      <c r="AE502" s="450">
        <v>90.29</v>
      </c>
      <c r="AF502" s="450">
        <v>90.44</v>
      </c>
      <c r="AG502" s="450">
        <v>90.57</v>
      </c>
      <c r="AH502" s="450">
        <v>91.04</v>
      </c>
      <c r="AI502" s="450">
        <v>91.22</v>
      </c>
      <c r="AJ502" s="450">
        <v>91.22</v>
      </c>
      <c r="AK502" s="450">
        <v>91.13</v>
      </c>
      <c r="AL502" s="450" t="s">
        <v>556</v>
      </c>
      <c r="AM502" s="133"/>
      <c r="AN502" s="134">
        <v>65</v>
      </c>
      <c r="AO502" s="450">
        <v>89.52</v>
      </c>
      <c r="AP502" s="450">
        <v>89.8</v>
      </c>
      <c r="AQ502" s="450">
        <v>90.07</v>
      </c>
      <c r="AR502" s="450">
        <v>90.33</v>
      </c>
      <c r="AS502" s="450">
        <v>90.57</v>
      </c>
      <c r="AT502" s="450">
        <v>90.8</v>
      </c>
      <c r="AU502" s="450">
        <v>91.02</v>
      </c>
      <c r="AV502" s="450">
        <v>91.22</v>
      </c>
      <c r="AW502" s="450">
        <v>91.4</v>
      </c>
      <c r="AX502" s="450">
        <v>91.57</v>
      </c>
      <c r="AY502" s="450">
        <v>91.72</v>
      </c>
      <c r="AZ502" s="450">
        <v>91.86</v>
      </c>
      <c r="BA502" s="450">
        <v>92.35</v>
      </c>
      <c r="BB502" s="450">
        <v>92.53</v>
      </c>
      <c r="BC502" s="450">
        <v>92.52</v>
      </c>
      <c r="BD502" s="450">
        <v>92.4</v>
      </c>
      <c r="BE502" s="450" t="s">
        <v>556</v>
      </c>
    </row>
    <row r="503" spans="2:57" x14ac:dyDescent="0.25">
      <c r="B503" s="134">
        <v>66</v>
      </c>
      <c r="C503" s="450">
        <v>87.91</v>
      </c>
      <c r="D503" s="450">
        <v>88.17</v>
      </c>
      <c r="E503" s="450">
        <v>88.41</v>
      </c>
      <c r="F503" s="450">
        <v>88.65</v>
      </c>
      <c r="G503" s="450">
        <v>88.88</v>
      </c>
      <c r="H503" s="450">
        <v>89.09</v>
      </c>
      <c r="I503" s="450">
        <v>89.27</v>
      </c>
      <c r="J503" s="450">
        <v>89.45</v>
      </c>
      <c r="K503" s="450">
        <v>89.61</v>
      </c>
      <c r="L503" s="450">
        <v>89.75</v>
      </c>
      <c r="M503" s="450">
        <v>89.88</v>
      </c>
      <c r="N503" s="450">
        <v>90</v>
      </c>
      <c r="O503" s="450">
        <v>90.38</v>
      </c>
      <c r="P503" s="450">
        <v>90.48</v>
      </c>
      <c r="Q503" s="450">
        <v>90.41</v>
      </c>
      <c r="R503" s="450">
        <v>90.27</v>
      </c>
      <c r="S503" s="450" t="s">
        <v>556</v>
      </c>
      <c r="T503" s="133"/>
      <c r="U503" s="134">
        <v>66</v>
      </c>
      <c r="V503" s="450">
        <v>88.88</v>
      </c>
      <c r="W503" s="450">
        <v>89.15</v>
      </c>
      <c r="X503" s="450">
        <v>89.41</v>
      </c>
      <c r="Y503" s="450">
        <v>89.66</v>
      </c>
      <c r="Z503" s="450">
        <v>89.9</v>
      </c>
      <c r="AA503" s="450">
        <v>90.12</v>
      </c>
      <c r="AB503" s="450">
        <v>90.32</v>
      </c>
      <c r="AC503" s="450">
        <v>90.51</v>
      </c>
      <c r="AD503" s="450">
        <v>90.68</v>
      </c>
      <c r="AE503" s="450">
        <v>90.83</v>
      </c>
      <c r="AF503" s="450">
        <v>90.97</v>
      </c>
      <c r="AG503" s="450">
        <v>91.1</v>
      </c>
      <c r="AH503" s="450">
        <v>91.52</v>
      </c>
      <c r="AI503" s="450">
        <v>91.64</v>
      </c>
      <c r="AJ503" s="450">
        <v>91.59</v>
      </c>
      <c r="AK503" s="450">
        <v>91.47</v>
      </c>
      <c r="AL503" s="450" t="s">
        <v>556</v>
      </c>
      <c r="AM503" s="133"/>
      <c r="AN503" s="134">
        <v>66</v>
      </c>
      <c r="AO503" s="450">
        <v>90.1</v>
      </c>
      <c r="AP503" s="450">
        <v>90.38</v>
      </c>
      <c r="AQ503" s="450">
        <v>90.65</v>
      </c>
      <c r="AR503" s="450">
        <v>90.91</v>
      </c>
      <c r="AS503" s="450">
        <v>91.16</v>
      </c>
      <c r="AT503" s="450">
        <v>91.39</v>
      </c>
      <c r="AU503" s="450">
        <v>91.6</v>
      </c>
      <c r="AV503" s="450">
        <v>91.79</v>
      </c>
      <c r="AW503" s="450">
        <v>91.97</v>
      </c>
      <c r="AX503" s="450">
        <v>92.14</v>
      </c>
      <c r="AY503" s="450">
        <v>92.28</v>
      </c>
      <c r="AZ503" s="450">
        <v>92.41</v>
      </c>
      <c r="BA503" s="450">
        <v>92.85</v>
      </c>
      <c r="BB503" s="450">
        <v>92.97</v>
      </c>
      <c r="BC503" s="450">
        <v>92.91</v>
      </c>
      <c r="BD503" s="450">
        <v>92.76</v>
      </c>
      <c r="BE503" s="450" t="s">
        <v>556</v>
      </c>
    </row>
    <row r="504" spans="2:57" x14ac:dyDescent="0.25">
      <c r="B504" s="134">
        <v>67</v>
      </c>
      <c r="C504" s="450">
        <v>88.45</v>
      </c>
      <c r="D504" s="450">
        <v>88.71</v>
      </c>
      <c r="E504" s="450">
        <v>88.95</v>
      </c>
      <c r="F504" s="450">
        <v>89.19</v>
      </c>
      <c r="G504" s="450">
        <v>89.41</v>
      </c>
      <c r="H504" s="450">
        <v>89.61</v>
      </c>
      <c r="I504" s="450">
        <v>89.79</v>
      </c>
      <c r="J504" s="450">
        <v>89.96</v>
      </c>
      <c r="K504" s="450">
        <v>90.11</v>
      </c>
      <c r="L504" s="450">
        <v>90.25</v>
      </c>
      <c r="M504" s="450">
        <v>90.37</v>
      </c>
      <c r="N504" s="450">
        <v>90.47</v>
      </c>
      <c r="O504" s="450">
        <v>90.79</v>
      </c>
      <c r="P504" s="450">
        <v>90.83</v>
      </c>
      <c r="Q504" s="450">
        <v>90.7</v>
      </c>
      <c r="R504" s="450">
        <v>90.53</v>
      </c>
      <c r="S504" s="450" t="s">
        <v>556</v>
      </c>
      <c r="T504" s="133"/>
      <c r="U504" s="134">
        <v>67</v>
      </c>
      <c r="V504" s="450">
        <v>89.45</v>
      </c>
      <c r="W504" s="450">
        <v>89.72</v>
      </c>
      <c r="X504" s="450">
        <v>89.98</v>
      </c>
      <c r="Y504" s="450">
        <v>90.23</v>
      </c>
      <c r="Z504" s="450">
        <v>90.46</v>
      </c>
      <c r="AA504" s="450">
        <v>90.67</v>
      </c>
      <c r="AB504" s="450">
        <v>90.87</v>
      </c>
      <c r="AC504" s="450">
        <v>91.05</v>
      </c>
      <c r="AD504" s="450">
        <v>91.21</v>
      </c>
      <c r="AE504" s="450">
        <v>91.36</v>
      </c>
      <c r="AF504" s="450">
        <v>91.49</v>
      </c>
      <c r="AG504" s="450">
        <v>91.61</v>
      </c>
      <c r="AH504" s="450">
        <v>91.96</v>
      </c>
      <c r="AI504" s="450">
        <v>92.03</v>
      </c>
      <c r="AJ504" s="450">
        <v>91.92</v>
      </c>
      <c r="AK504" s="450">
        <v>91.76</v>
      </c>
      <c r="AL504" s="450" t="s">
        <v>556</v>
      </c>
      <c r="AM504" s="133"/>
      <c r="AN504" s="134">
        <v>67</v>
      </c>
      <c r="AO504" s="450">
        <v>90.69</v>
      </c>
      <c r="AP504" s="450">
        <v>90.97</v>
      </c>
      <c r="AQ504" s="450">
        <v>91.25</v>
      </c>
      <c r="AR504" s="450">
        <v>91.51</v>
      </c>
      <c r="AS504" s="450">
        <v>91.75</v>
      </c>
      <c r="AT504" s="450">
        <v>91.97</v>
      </c>
      <c r="AU504" s="450">
        <v>92.18</v>
      </c>
      <c r="AV504" s="450">
        <v>92.36</v>
      </c>
      <c r="AW504" s="450">
        <v>92.53</v>
      </c>
      <c r="AX504" s="450">
        <v>92.69</v>
      </c>
      <c r="AY504" s="450">
        <v>92.83</v>
      </c>
      <c r="AZ504" s="450">
        <v>92.95</v>
      </c>
      <c r="BA504" s="450">
        <v>93.32</v>
      </c>
      <c r="BB504" s="450">
        <v>93.37</v>
      </c>
      <c r="BC504" s="450">
        <v>93.25</v>
      </c>
      <c r="BD504" s="450">
        <v>93.06</v>
      </c>
      <c r="BE504" s="450" t="s">
        <v>556</v>
      </c>
    </row>
    <row r="505" spans="2:57" x14ac:dyDescent="0.25">
      <c r="B505" s="134">
        <v>68</v>
      </c>
      <c r="C505" s="450">
        <v>88.99</v>
      </c>
      <c r="D505" s="450">
        <v>89.25</v>
      </c>
      <c r="E505" s="450">
        <v>89.49</v>
      </c>
      <c r="F505" s="450">
        <v>89.72</v>
      </c>
      <c r="G505" s="450">
        <v>89.93</v>
      </c>
      <c r="H505" s="450">
        <v>90.12</v>
      </c>
      <c r="I505" s="450">
        <v>90.3</v>
      </c>
      <c r="J505" s="450">
        <v>90.45</v>
      </c>
      <c r="K505" s="450">
        <v>90.6</v>
      </c>
      <c r="L505" s="450">
        <v>90.72</v>
      </c>
      <c r="M505" s="450">
        <v>90.83</v>
      </c>
      <c r="N505" s="450">
        <v>90.92</v>
      </c>
      <c r="O505" s="450">
        <v>91.16</v>
      </c>
      <c r="P505" s="450">
        <v>91.12</v>
      </c>
      <c r="Q505" s="450">
        <v>90.94</v>
      </c>
      <c r="R505" s="450">
        <v>90.72</v>
      </c>
      <c r="S505" s="450" t="s">
        <v>556</v>
      </c>
      <c r="T505" s="133"/>
      <c r="U505" s="134">
        <v>68</v>
      </c>
      <c r="V505" s="450">
        <v>90.02</v>
      </c>
      <c r="W505" s="450">
        <v>90.29</v>
      </c>
      <c r="X505" s="450">
        <v>90.55</v>
      </c>
      <c r="Y505" s="450">
        <v>90.79</v>
      </c>
      <c r="Z505" s="450">
        <v>91.01</v>
      </c>
      <c r="AA505" s="450">
        <v>91.22</v>
      </c>
      <c r="AB505" s="450">
        <v>91.4</v>
      </c>
      <c r="AC505" s="450">
        <v>91.58</v>
      </c>
      <c r="AD505" s="450">
        <v>91.73</v>
      </c>
      <c r="AE505" s="450">
        <v>91.86</v>
      </c>
      <c r="AF505" s="450">
        <v>91.98</v>
      </c>
      <c r="AG505" s="450">
        <v>92.09</v>
      </c>
      <c r="AH505" s="450">
        <v>92.37</v>
      </c>
      <c r="AI505" s="450">
        <v>92.36</v>
      </c>
      <c r="AJ505" s="450">
        <v>92.19</v>
      </c>
      <c r="AK505" s="450">
        <v>91.99</v>
      </c>
      <c r="AL505" s="450" t="s">
        <v>556</v>
      </c>
      <c r="AM505" s="133"/>
      <c r="AN505" s="134">
        <v>68</v>
      </c>
      <c r="AO505" s="450">
        <v>91.28</v>
      </c>
      <c r="AP505" s="450">
        <v>91.57</v>
      </c>
      <c r="AQ505" s="450">
        <v>91.84</v>
      </c>
      <c r="AR505" s="450">
        <v>92.1</v>
      </c>
      <c r="AS505" s="450">
        <v>92.33</v>
      </c>
      <c r="AT505" s="450">
        <v>92.54</v>
      </c>
      <c r="AU505" s="450">
        <v>92.74</v>
      </c>
      <c r="AV505" s="450">
        <v>92.92</v>
      </c>
      <c r="AW505" s="450">
        <v>93.08</v>
      </c>
      <c r="AX505" s="450">
        <v>93.22</v>
      </c>
      <c r="AY505" s="450">
        <v>93.34</v>
      </c>
      <c r="AZ505" s="450">
        <v>93.45</v>
      </c>
      <c r="BA505" s="450">
        <v>93.74</v>
      </c>
      <c r="BB505" s="450">
        <v>93.72</v>
      </c>
      <c r="BC505" s="450">
        <v>93.53</v>
      </c>
      <c r="BD505" s="450">
        <v>93.3</v>
      </c>
      <c r="BE505" s="450" t="s">
        <v>556</v>
      </c>
    </row>
    <row r="506" spans="2:57" x14ac:dyDescent="0.25">
      <c r="B506" s="134">
        <v>69</v>
      </c>
      <c r="C506" s="450">
        <v>89.53</v>
      </c>
      <c r="D506" s="450">
        <v>89.78</v>
      </c>
      <c r="E506" s="450">
        <v>90.02</v>
      </c>
      <c r="F506" s="450">
        <v>90.24</v>
      </c>
      <c r="G506" s="450">
        <v>90.43</v>
      </c>
      <c r="H506" s="450">
        <v>90.61</v>
      </c>
      <c r="I506" s="450">
        <v>90.78</v>
      </c>
      <c r="J506" s="450">
        <v>90.92</v>
      </c>
      <c r="K506" s="450">
        <v>91.05</v>
      </c>
      <c r="L506" s="450">
        <v>91.16</v>
      </c>
      <c r="M506" s="450">
        <v>91.25</v>
      </c>
      <c r="N506" s="450">
        <v>91.33</v>
      </c>
      <c r="O506" s="450">
        <v>91.47</v>
      </c>
      <c r="P506" s="450">
        <v>91.35</v>
      </c>
      <c r="Q506" s="450">
        <v>91.1</v>
      </c>
      <c r="R506" s="450">
        <v>90.7</v>
      </c>
      <c r="S506" s="450" t="s">
        <v>556</v>
      </c>
      <c r="T506" s="133"/>
      <c r="U506" s="134">
        <v>69</v>
      </c>
      <c r="V506" s="450">
        <v>90.58</v>
      </c>
      <c r="W506" s="450">
        <v>90.85</v>
      </c>
      <c r="X506" s="450">
        <v>91.11</v>
      </c>
      <c r="Y506" s="450">
        <v>91.34</v>
      </c>
      <c r="Z506" s="450">
        <v>91.55</v>
      </c>
      <c r="AA506" s="450">
        <v>91.74</v>
      </c>
      <c r="AB506" s="450">
        <v>91.92</v>
      </c>
      <c r="AC506" s="450">
        <v>92.08</v>
      </c>
      <c r="AD506" s="450">
        <v>92.22</v>
      </c>
      <c r="AE506" s="450">
        <v>92.34</v>
      </c>
      <c r="AF506" s="450">
        <v>92.44</v>
      </c>
      <c r="AG506" s="450">
        <v>92.53</v>
      </c>
      <c r="AH506" s="450">
        <v>92.72</v>
      </c>
      <c r="AI506" s="450">
        <v>92.62</v>
      </c>
      <c r="AJ506" s="450">
        <v>92.39</v>
      </c>
      <c r="AK506" s="450">
        <v>92</v>
      </c>
      <c r="AL506" s="450" t="s">
        <v>556</v>
      </c>
      <c r="AM506" s="133"/>
      <c r="AN506" s="134">
        <v>69</v>
      </c>
      <c r="AO506" s="450">
        <v>91.87</v>
      </c>
      <c r="AP506" s="450">
        <v>92.16</v>
      </c>
      <c r="AQ506" s="450">
        <v>92.43</v>
      </c>
      <c r="AR506" s="450">
        <v>92.67</v>
      </c>
      <c r="AS506" s="450">
        <v>92.89</v>
      </c>
      <c r="AT506" s="450">
        <v>93.09</v>
      </c>
      <c r="AU506" s="450">
        <v>93.28</v>
      </c>
      <c r="AV506" s="450">
        <v>93.44</v>
      </c>
      <c r="AW506" s="450">
        <v>93.59</v>
      </c>
      <c r="AX506" s="450">
        <v>93.72</v>
      </c>
      <c r="AY506" s="450">
        <v>93.83</v>
      </c>
      <c r="AZ506" s="450">
        <v>93.91</v>
      </c>
      <c r="BA506" s="450">
        <v>94.11</v>
      </c>
      <c r="BB506" s="450">
        <v>94</v>
      </c>
      <c r="BC506" s="450">
        <v>93.75</v>
      </c>
      <c r="BD506" s="450">
        <v>93.32</v>
      </c>
      <c r="BE506" s="450" t="s">
        <v>556</v>
      </c>
    </row>
    <row r="507" spans="2:57" x14ac:dyDescent="0.25">
      <c r="B507" s="134">
        <v>70</v>
      </c>
      <c r="C507" s="450">
        <v>90.05</v>
      </c>
      <c r="D507" s="450">
        <v>90.3</v>
      </c>
      <c r="E507" s="450">
        <v>90.52</v>
      </c>
      <c r="F507" s="450">
        <v>90.73</v>
      </c>
      <c r="G507" s="450">
        <v>90.91</v>
      </c>
      <c r="H507" s="450">
        <v>91.08</v>
      </c>
      <c r="I507" s="450">
        <v>91.23</v>
      </c>
      <c r="J507" s="450">
        <v>91.36</v>
      </c>
      <c r="K507" s="450">
        <v>91.47</v>
      </c>
      <c r="L507" s="450">
        <v>91.56</v>
      </c>
      <c r="M507" s="450">
        <v>91.63</v>
      </c>
      <c r="N507" s="450">
        <v>91.68</v>
      </c>
      <c r="O507" s="450">
        <v>91.73</v>
      </c>
      <c r="P507" s="450">
        <v>91.51</v>
      </c>
      <c r="Q507" s="450">
        <v>91.19</v>
      </c>
      <c r="R507" s="450" t="s">
        <v>556</v>
      </c>
      <c r="S507" s="450" t="s">
        <v>556</v>
      </c>
      <c r="T507" s="133"/>
      <c r="U507" s="134">
        <v>70</v>
      </c>
      <c r="V507" s="450">
        <v>91.14</v>
      </c>
      <c r="W507" s="450">
        <v>91.41</v>
      </c>
      <c r="X507" s="450">
        <v>91.65</v>
      </c>
      <c r="Y507" s="450">
        <v>91.86</v>
      </c>
      <c r="Z507" s="450">
        <v>92.06</v>
      </c>
      <c r="AA507" s="450">
        <v>92.25</v>
      </c>
      <c r="AB507" s="450">
        <v>92.41</v>
      </c>
      <c r="AC507" s="450">
        <v>92.55</v>
      </c>
      <c r="AD507" s="450">
        <v>92.67</v>
      </c>
      <c r="AE507" s="450">
        <v>92.77</v>
      </c>
      <c r="AF507" s="450">
        <v>92.86</v>
      </c>
      <c r="AG507" s="450">
        <v>92.92</v>
      </c>
      <c r="AH507" s="450">
        <v>93.01</v>
      </c>
      <c r="AI507" s="450">
        <v>92.82</v>
      </c>
      <c r="AJ507" s="450">
        <v>92.52</v>
      </c>
      <c r="AK507" s="450" t="s">
        <v>556</v>
      </c>
      <c r="AL507" s="450" t="s">
        <v>556</v>
      </c>
      <c r="AM507" s="133"/>
      <c r="AN507" s="134">
        <v>70</v>
      </c>
      <c r="AO507" s="450">
        <v>92.46</v>
      </c>
      <c r="AP507" s="450">
        <v>92.74</v>
      </c>
      <c r="AQ507" s="450">
        <v>92.99</v>
      </c>
      <c r="AR507" s="450">
        <v>93.22</v>
      </c>
      <c r="AS507" s="450">
        <v>93.43</v>
      </c>
      <c r="AT507" s="450">
        <v>93.62</v>
      </c>
      <c r="AU507" s="450">
        <v>93.79</v>
      </c>
      <c r="AV507" s="450">
        <v>93.94</v>
      </c>
      <c r="AW507" s="450">
        <v>94.07</v>
      </c>
      <c r="AX507" s="450">
        <v>94.17</v>
      </c>
      <c r="AY507" s="450">
        <v>94.26</v>
      </c>
      <c r="AZ507" s="450">
        <v>94.33</v>
      </c>
      <c r="BA507" s="450">
        <v>94.42</v>
      </c>
      <c r="BB507" s="450">
        <v>94.21</v>
      </c>
      <c r="BC507" s="450">
        <v>93.89</v>
      </c>
      <c r="BD507" s="450" t="s">
        <v>556</v>
      </c>
      <c r="BE507" s="450" t="s">
        <v>556</v>
      </c>
    </row>
    <row r="508" spans="2:57" x14ac:dyDescent="0.25">
      <c r="B508" s="134">
        <v>71</v>
      </c>
      <c r="C508" s="450">
        <v>90.57</v>
      </c>
      <c r="D508" s="450">
        <v>90.8</v>
      </c>
      <c r="E508" s="450">
        <v>91</v>
      </c>
      <c r="F508" s="450">
        <v>91.19</v>
      </c>
      <c r="G508" s="450">
        <v>91.36</v>
      </c>
      <c r="H508" s="450">
        <v>91.51</v>
      </c>
      <c r="I508" s="450">
        <v>91.64</v>
      </c>
      <c r="J508" s="450">
        <v>91.75</v>
      </c>
      <c r="K508" s="450">
        <v>91.84</v>
      </c>
      <c r="L508" s="450">
        <v>91.9</v>
      </c>
      <c r="M508" s="450">
        <v>91.95</v>
      </c>
      <c r="N508" s="450">
        <v>91.98</v>
      </c>
      <c r="O508" s="450">
        <v>91.91</v>
      </c>
      <c r="P508" s="450">
        <v>91.59</v>
      </c>
      <c r="Q508" s="450">
        <v>91.2</v>
      </c>
      <c r="R508" s="450" t="s">
        <v>556</v>
      </c>
      <c r="S508" s="450" t="s">
        <v>556</v>
      </c>
      <c r="T508" s="133"/>
      <c r="U508" s="134">
        <v>71</v>
      </c>
      <c r="V508" s="450">
        <v>91.69</v>
      </c>
      <c r="W508" s="450">
        <v>91.93</v>
      </c>
      <c r="X508" s="450">
        <v>92.16</v>
      </c>
      <c r="Y508" s="450">
        <v>92.36</v>
      </c>
      <c r="Z508" s="450">
        <v>92.55</v>
      </c>
      <c r="AA508" s="450">
        <v>92.71</v>
      </c>
      <c r="AB508" s="450">
        <v>92.86</v>
      </c>
      <c r="AC508" s="450">
        <v>92.98</v>
      </c>
      <c r="AD508" s="450">
        <v>93.08</v>
      </c>
      <c r="AE508" s="450">
        <v>93.16</v>
      </c>
      <c r="AF508" s="450">
        <v>93.22</v>
      </c>
      <c r="AG508" s="450">
        <v>93.26</v>
      </c>
      <c r="AH508" s="450">
        <v>93.22</v>
      </c>
      <c r="AI508" s="450">
        <v>92.94</v>
      </c>
      <c r="AJ508" s="450">
        <v>92.57</v>
      </c>
      <c r="AK508" s="450" t="s">
        <v>556</v>
      </c>
      <c r="AL508" s="450" t="s">
        <v>556</v>
      </c>
      <c r="AM508" s="133"/>
      <c r="AN508" s="134">
        <v>71</v>
      </c>
      <c r="AO508" s="450">
        <v>93.03</v>
      </c>
      <c r="AP508" s="450">
        <v>93.29</v>
      </c>
      <c r="AQ508" s="450">
        <v>93.53</v>
      </c>
      <c r="AR508" s="450">
        <v>93.74</v>
      </c>
      <c r="AS508" s="450">
        <v>93.94</v>
      </c>
      <c r="AT508" s="450">
        <v>94.11</v>
      </c>
      <c r="AU508" s="450">
        <v>94.26</v>
      </c>
      <c r="AV508" s="450">
        <v>94.39</v>
      </c>
      <c r="AW508" s="450">
        <v>94.5</v>
      </c>
      <c r="AX508" s="450">
        <v>94.58</v>
      </c>
      <c r="AY508" s="450">
        <v>94.64</v>
      </c>
      <c r="AZ508" s="450">
        <v>94.69</v>
      </c>
      <c r="BA508" s="450">
        <v>94.65</v>
      </c>
      <c r="BB508" s="450">
        <v>94.34</v>
      </c>
      <c r="BC508" s="450">
        <v>93.94</v>
      </c>
      <c r="BD508" s="450" t="s">
        <v>556</v>
      </c>
      <c r="BE508" s="450" t="s">
        <v>556</v>
      </c>
    </row>
    <row r="509" spans="2:57" x14ac:dyDescent="0.25">
      <c r="B509" s="134">
        <v>72</v>
      </c>
      <c r="C509" s="450">
        <v>91.04</v>
      </c>
      <c r="D509" s="450">
        <v>91.25</v>
      </c>
      <c r="E509" s="450">
        <v>91.44</v>
      </c>
      <c r="F509" s="450">
        <v>91.61</v>
      </c>
      <c r="G509" s="450">
        <v>91.76</v>
      </c>
      <c r="H509" s="450">
        <v>91.89</v>
      </c>
      <c r="I509" s="450">
        <v>91.99</v>
      </c>
      <c r="J509" s="450">
        <v>92.07</v>
      </c>
      <c r="K509" s="450">
        <v>92.13</v>
      </c>
      <c r="L509" s="450">
        <v>92.17</v>
      </c>
      <c r="M509" s="450">
        <v>92.2</v>
      </c>
      <c r="N509" s="450">
        <v>92.2</v>
      </c>
      <c r="O509" s="450">
        <v>91.99</v>
      </c>
      <c r="P509" s="450">
        <v>91.56</v>
      </c>
      <c r="Q509" s="450">
        <v>91.11</v>
      </c>
      <c r="R509" s="450" t="s">
        <v>556</v>
      </c>
      <c r="S509" s="450" t="s">
        <v>556</v>
      </c>
      <c r="T509" s="133"/>
      <c r="U509" s="134">
        <v>72</v>
      </c>
      <c r="V509" s="450">
        <v>92.19</v>
      </c>
      <c r="W509" s="450">
        <v>92.42</v>
      </c>
      <c r="X509" s="450">
        <v>92.63</v>
      </c>
      <c r="Y509" s="450">
        <v>92.82</v>
      </c>
      <c r="Z509" s="450">
        <v>92.98</v>
      </c>
      <c r="AA509" s="450">
        <v>93.12</v>
      </c>
      <c r="AB509" s="450">
        <v>93.24</v>
      </c>
      <c r="AC509" s="450">
        <v>93.34</v>
      </c>
      <c r="AD509" s="450">
        <v>93.41</v>
      </c>
      <c r="AE509" s="450">
        <v>93.47</v>
      </c>
      <c r="AF509" s="450">
        <v>93.5</v>
      </c>
      <c r="AG509" s="450">
        <v>93.51</v>
      </c>
      <c r="AH509" s="450">
        <v>93.35</v>
      </c>
      <c r="AI509" s="450">
        <v>92.95</v>
      </c>
      <c r="AJ509" s="450">
        <v>92.51</v>
      </c>
      <c r="AK509" s="450" t="s">
        <v>556</v>
      </c>
      <c r="AL509" s="450" t="s">
        <v>556</v>
      </c>
      <c r="AM509" s="133"/>
      <c r="AN509" s="134">
        <v>72</v>
      </c>
      <c r="AO509" s="450">
        <v>93.56</v>
      </c>
      <c r="AP509" s="450">
        <v>93.8</v>
      </c>
      <c r="AQ509" s="450">
        <v>94.02</v>
      </c>
      <c r="AR509" s="450">
        <v>94.22</v>
      </c>
      <c r="AS509" s="450">
        <v>94.4</v>
      </c>
      <c r="AT509" s="450">
        <v>94.55</v>
      </c>
      <c r="AU509" s="450">
        <v>94.67</v>
      </c>
      <c r="AV509" s="450">
        <v>94.78</v>
      </c>
      <c r="AW509" s="450">
        <v>94.85</v>
      </c>
      <c r="AX509" s="450">
        <v>94.91</v>
      </c>
      <c r="AY509" s="450">
        <v>94.95</v>
      </c>
      <c r="AZ509" s="450">
        <v>94.96</v>
      </c>
      <c r="BA509" s="450">
        <v>94.79</v>
      </c>
      <c r="BB509" s="450">
        <v>94.37</v>
      </c>
      <c r="BC509" s="450">
        <v>93.89</v>
      </c>
      <c r="BD509" s="450" t="s">
        <v>556</v>
      </c>
      <c r="BE509" s="450" t="s">
        <v>556</v>
      </c>
    </row>
    <row r="510" spans="2:57" x14ac:dyDescent="0.25">
      <c r="B510" s="134">
        <v>73</v>
      </c>
      <c r="C510" s="450">
        <v>91.47</v>
      </c>
      <c r="D510" s="450">
        <v>91.66</v>
      </c>
      <c r="E510" s="450">
        <v>91.83</v>
      </c>
      <c r="F510" s="450">
        <v>91.98</v>
      </c>
      <c r="G510" s="450">
        <v>92.1</v>
      </c>
      <c r="H510" s="450">
        <v>92.2</v>
      </c>
      <c r="I510" s="450">
        <v>92.28</v>
      </c>
      <c r="J510" s="450">
        <v>92.33</v>
      </c>
      <c r="K510" s="450">
        <v>92.36</v>
      </c>
      <c r="L510" s="450">
        <v>92.37</v>
      </c>
      <c r="M510" s="450">
        <v>92.36</v>
      </c>
      <c r="N510" s="450">
        <v>92.33</v>
      </c>
      <c r="O510" s="450">
        <v>91.98</v>
      </c>
      <c r="P510" s="450">
        <v>91.44</v>
      </c>
      <c r="Q510" s="450">
        <v>90.91</v>
      </c>
      <c r="R510" s="450" t="s">
        <v>556</v>
      </c>
      <c r="S510" s="450" t="s">
        <v>556</v>
      </c>
      <c r="T510" s="133"/>
      <c r="U510" s="134">
        <v>73</v>
      </c>
      <c r="V510" s="450">
        <v>92.66</v>
      </c>
      <c r="W510" s="450">
        <v>92.87</v>
      </c>
      <c r="X510" s="450">
        <v>93.06</v>
      </c>
      <c r="Y510" s="450">
        <v>93.23</v>
      </c>
      <c r="Z510" s="450">
        <v>93.37</v>
      </c>
      <c r="AA510" s="450">
        <v>93.48</v>
      </c>
      <c r="AB510" s="450">
        <v>93.57</v>
      </c>
      <c r="AC510" s="450">
        <v>93.64</v>
      </c>
      <c r="AD510" s="450">
        <v>93.68</v>
      </c>
      <c r="AE510" s="450">
        <v>93.7</v>
      </c>
      <c r="AF510" s="450">
        <v>93.71</v>
      </c>
      <c r="AG510" s="450">
        <v>93.69</v>
      </c>
      <c r="AH510" s="450">
        <v>93.38</v>
      </c>
      <c r="AI510" s="450">
        <v>92.87</v>
      </c>
      <c r="AJ510" s="450">
        <v>92.36</v>
      </c>
      <c r="AK510" s="450" t="s">
        <v>556</v>
      </c>
      <c r="AL510" s="450" t="s">
        <v>556</v>
      </c>
      <c r="AM510" s="133"/>
      <c r="AN510" s="134">
        <v>73</v>
      </c>
      <c r="AO510" s="450">
        <v>94.06</v>
      </c>
      <c r="AP510" s="450">
        <v>94.28</v>
      </c>
      <c r="AQ510" s="450">
        <v>94.48</v>
      </c>
      <c r="AR510" s="450">
        <v>94.65</v>
      </c>
      <c r="AS510" s="450">
        <v>94.8</v>
      </c>
      <c r="AT510" s="450">
        <v>94.92</v>
      </c>
      <c r="AU510" s="450">
        <v>95.02</v>
      </c>
      <c r="AV510" s="450">
        <v>95.09</v>
      </c>
      <c r="AW510" s="450">
        <v>95.14</v>
      </c>
      <c r="AX510" s="450">
        <v>95.17</v>
      </c>
      <c r="AY510" s="450">
        <v>95.17</v>
      </c>
      <c r="AZ510" s="450">
        <v>95.16</v>
      </c>
      <c r="BA510" s="450">
        <v>94.84</v>
      </c>
      <c r="BB510" s="450">
        <v>94.29</v>
      </c>
      <c r="BC510" s="450">
        <v>93.74</v>
      </c>
      <c r="BD510" s="450" t="s">
        <v>556</v>
      </c>
      <c r="BE510" s="450" t="s">
        <v>556</v>
      </c>
    </row>
    <row r="511" spans="2:57" x14ac:dyDescent="0.25">
      <c r="B511" s="134">
        <v>74</v>
      </c>
      <c r="C511" s="450">
        <v>91.87</v>
      </c>
      <c r="D511" s="450">
        <v>92.03</v>
      </c>
      <c r="E511" s="450">
        <v>92.18</v>
      </c>
      <c r="F511" s="450">
        <v>92.29</v>
      </c>
      <c r="G511" s="450">
        <v>92.39</v>
      </c>
      <c r="H511" s="450">
        <v>92.45</v>
      </c>
      <c r="I511" s="450">
        <v>92.5</v>
      </c>
      <c r="J511" s="450">
        <v>92.51</v>
      </c>
      <c r="K511" s="450">
        <v>92.51</v>
      </c>
      <c r="L511" s="450">
        <v>92.48</v>
      </c>
      <c r="M511" s="450">
        <v>92.44</v>
      </c>
      <c r="N511" s="450">
        <v>92.38</v>
      </c>
      <c r="O511" s="450">
        <v>91.87</v>
      </c>
      <c r="P511" s="450">
        <v>91.21</v>
      </c>
      <c r="Q511" s="450">
        <v>90.38</v>
      </c>
      <c r="R511" s="450" t="s">
        <v>556</v>
      </c>
      <c r="S511" s="450" t="s">
        <v>556</v>
      </c>
      <c r="T511" s="133"/>
      <c r="U511" s="134">
        <v>74</v>
      </c>
      <c r="V511" s="450">
        <v>93.1</v>
      </c>
      <c r="W511" s="450">
        <v>93.28</v>
      </c>
      <c r="X511" s="450">
        <v>93.44</v>
      </c>
      <c r="Y511" s="450">
        <v>93.58</v>
      </c>
      <c r="Z511" s="450">
        <v>93.69</v>
      </c>
      <c r="AA511" s="450">
        <v>93.77</v>
      </c>
      <c r="AB511" s="450">
        <v>93.83</v>
      </c>
      <c r="AC511" s="450">
        <v>93.86</v>
      </c>
      <c r="AD511" s="450">
        <v>93.87</v>
      </c>
      <c r="AE511" s="450">
        <v>93.86</v>
      </c>
      <c r="AF511" s="450">
        <v>93.82</v>
      </c>
      <c r="AG511" s="450">
        <v>93.77</v>
      </c>
      <c r="AH511" s="450">
        <v>93.31</v>
      </c>
      <c r="AI511" s="450">
        <v>92.68</v>
      </c>
      <c r="AJ511" s="450">
        <v>91.86</v>
      </c>
      <c r="AK511" s="450" t="s">
        <v>556</v>
      </c>
      <c r="AL511" s="450" t="s">
        <v>556</v>
      </c>
      <c r="AM511" s="133"/>
      <c r="AN511" s="134">
        <v>74</v>
      </c>
      <c r="AO511" s="450">
        <v>94.51</v>
      </c>
      <c r="AP511" s="450">
        <v>94.71</v>
      </c>
      <c r="AQ511" s="450">
        <v>94.88</v>
      </c>
      <c r="AR511" s="450">
        <v>95.03</v>
      </c>
      <c r="AS511" s="450">
        <v>95.14</v>
      </c>
      <c r="AT511" s="450">
        <v>95.24</v>
      </c>
      <c r="AU511" s="450">
        <v>95.3</v>
      </c>
      <c r="AV511" s="450">
        <v>95.34</v>
      </c>
      <c r="AW511" s="450">
        <v>95.35</v>
      </c>
      <c r="AX511" s="450">
        <v>95.34</v>
      </c>
      <c r="AY511" s="450">
        <v>95.31</v>
      </c>
      <c r="AZ511" s="450">
        <v>95.26</v>
      </c>
      <c r="BA511" s="450">
        <v>94.78</v>
      </c>
      <c r="BB511" s="450">
        <v>94.11</v>
      </c>
      <c r="BC511" s="450">
        <v>93.24</v>
      </c>
      <c r="BD511" s="450" t="s">
        <v>556</v>
      </c>
      <c r="BE511" s="450" t="s">
        <v>556</v>
      </c>
    </row>
    <row r="512" spans="2:57" x14ac:dyDescent="0.25">
      <c r="B512" s="134">
        <v>75</v>
      </c>
      <c r="C512" s="450">
        <v>92.21</v>
      </c>
      <c r="D512" s="450">
        <v>92.34</v>
      </c>
      <c r="E512" s="450">
        <v>92.45</v>
      </c>
      <c r="F512" s="450">
        <v>92.54</v>
      </c>
      <c r="G512" s="450">
        <v>92.59</v>
      </c>
      <c r="H512" s="450">
        <v>92.62</v>
      </c>
      <c r="I512" s="450">
        <v>92.63</v>
      </c>
      <c r="J512" s="450">
        <v>92.61</v>
      </c>
      <c r="K512" s="450">
        <v>92.56</v>
      </c>
      <c r="L512" s="450">
        <v>92.5</v>
      </c>
      <c r="M512" s="450">
        <v>92.42</v>
      </c>
      <c r="N512" s="450">
        <v>92.32</v>
      </c>
      <c r="O512" s="450">
        <v>91.65</v>
      </c>
      <c r="P512" s="450">
        <v>90.87</v>
      </c>
      <c r="Q512" s="450" t="s">
        <v>556</v>
      </c>
      <c r="R512" s="450" t="s">
        <v>556</v>
      </c>
      <c r="S512" s="450" t="s">
        <v>556</v>
      </c>
      <c r="T512" s="133"/>
      <c r="U512" s="134">
        <v>75</v>
      </c>
      <c r="V512" s="450">
        <v>93.48</v>
      </c>
      <c r="W512" s="450">
        <v>93.63</v>
      </c>
      <c r="X512" s="450">
        <v>93.76</v>
      </c>
      <c r="Y512" s="450">
        <v>93.86</v>
      </c>
      <c r="Z512" s="450">
        <v>93.93</v>
      </c>
      <c r="AA512" s="450">
        <v>93.98</v>
      </c>
      <c r="AB512" s="450">
        <v>94</v>
      </c>
      <c r="AC512" s="450">
        <v>93.99</v>
      </c>
      <c r="AD512" s="450">
        <v>93.96</v>
      </c>
      <c r="AE512" s="450">
        <v>93.91</v>
      </c>
      <c r="AF512" s="450">
        <v>93.84</v>
      </c>
      <c r="AG512" s="450">
        <v>93.75</v>
      </c>
      <c r="AH512" s="450">
        <v>93.12</v>
      </c>
      <c r="AI512" s="450">
        <v>92.38</v>
      </c>
      <c r="AJ512" s="450" t="s">
        <v>556</v>
      </c>
      <c r="AK512" s="450" t="s">
        <v>556</v>
      </c>
      <c r="AL512" s="450" t="s">
        <v>556</v>
      </c>
      <c r="AM512" s="133"/>
      <c r="AN512" s="134">
        <v>75</v>
      </c>
      <c r="AO512" s="450">
        <v>94.91</v>
      </c>
      <c r="AP512" s="450">
        <v>95.08</v>
      </c>
      <c r="AQ512" s="450">
        <v>95.22</v>
      </c>
      <c r="AR512" s="450">
        <v>95.33</v>
      </c>
      <c r="AS512" s="450">
        <v>95.41</v>
      </c>
      <c r="AT512" s="450">
        <v>95.46</v>
      </c>
      <c r="AU512" s="450">
        <v>95.49</v>
      </c>
      <c r="AV512" s="450">
        <v>95.49</v>
      </c>
      <c r="AW512" s="450">
        <v>95.46</v>
      </c>
      <c r="AX512" s="450">
        <v>95.41</v>
      </c>
      <c r="AY512" s="450">
        <v>95.34</v>
      </c>
      <c r="AZ512" s="450">
        <v>95.25</v>
      </c>
      <c r="BA512" s="450">
        <v>94.6</v>
      </c>
      <c r="BB512" s="450">
        <v>93.81</v>
      </c>
      <c r="BC512" s="450" t="s">
        <v>556</v>
      </c>
      <c r="BD512" s="450" t="s">
        <v>556</v>
      </c>
      <c r="BE512" s="450" t="s">
        <v>556</v>
      </c>
    </row>
    <row r="513" spans="2:57" x14ac:dyDescent="0.25">
      <c r="B513" s="134">
        <v>76</v>
      </c>
      <c r="C513" s="450">
        <v>92.48</v>
      </c>
      <c r="D513" s="450">
        <v>92.58</v>
      </c>
      <c r="E513" s="450">
        <v>92.65</v>
      </c>
      <c r="F513" s="450">
        <v>92.7</v>
      </c>
      <c r="G513" s="450">
        <v>92.71</v>
      </c>
      <c r="H513" s="450">
        <v>92.7</v>
      </c>
      <c r="I513" s="450">
        <v>92.66</v>
      </c>
      <c r="J513" s="450">
        <v>92.6</v>
      </c>
      <c r="K513" s="450">
        <v>92.51</v>
      </c>
      <c r="L513" s="450">
        <v>92.41</v>
      </c>
      <c r="M513" s="450">
        <v>92.29</v>
      </c>
      <c r="N513" s="450">
        <v>92.15</v>
      </c>
      <c r="O513" s="450">
        <v>91.3</v>
      </c>
      <c r="P513" s="450">
        <v>90.42</v>
      </c>
      <c r="Q513" s="450" t="s">
        <v>556</v>
      </c>
      <c r="R513" s="450" t="s">
        <v>556</v>
      </c>
      <c r="S513" s="450" t="s">
        <v>556</v>
      </c>
      <c r="T513" s="133"/>
      <c r="U513" s="134">
        <v>76</v>
      </c>
      <c r="V513" s="450">
        <v>93.79</v>
      </c>
      <c r="W513" s="450">
        <v>93.91</v>
      </c>
      <c r="X513" s="450">
        <v>94</v>
      </c>
      <c r="Y513" s="450">
        <v>94.06</v>
      </c>
      <c r="Z513" s="450">
        <v>94.09</v>
      </c>
      <c r="AA513" s="450">
        <v>94.1</v>
      </c>
      <c r="AB513" s="450">
        <v>94.07</v>
      </c>
      <c r="AC513" s="450">
        <v>94.03</v>
      </c>
      <c r="AD513" s="450">
        <v>93.95</v>
      </c>
      <c r="AE513" s="450">
        <v>93.86</v>
      </c>
      <c r="AF513" s="450">
        <v>93.75</v>
      </c>
      <c r="AG513" s="450">
        <v>93.62</v>
      </c>
      <c r="AH513" s="450">
        <v>92.82</v>
      </c>
      <c r="AI513" s="450">
        <v>91.96</v>
      </c>
      <c r="AJ513" s="450" t="s">
        <v>556</v>
      </c>
      <c r="AK513" s="450" t="s">
        <v>556</v>
      </c>
      <c r="AL513" s="450" t="s">
        <v>556</v>
      </c>
      <c r="AM513" s="133"/>
      <c r="AN513" s="134">
        <v>76</v>
      </c>
      <c r="AO513" s="450">
        <v>95.25</v>
      </c>
      <c r="AP513" s="450">
        <v>95.38</v>
      </c>
      <c r="AQ513" s="450">
        <v>95.48</v>
      </c>
      <c r="AR513" s="450">
        <v>95.55</v>
      </c>
      <c r="AS513" s="450">
        <v>95.59</v>
      </c>
      <c r="AT513" s="450">
        <v>95.6</v>
      </c>
      <c r="AU513" s="450">
        <v>95.58</v>
      </c>
      <c r="AV513" s="450">
        <v>95.54</v>
      </c>
      <c r="AW513" s="450">
        <v>95.47</v>
      </c>
      <c r="AX513" s="450">
        <v>95.37</v>
      </c>
      <c r="AY513" s="450">
        <v>95.26</v>
      </c>
      <c r="AZ513" s="450">
        <v>95.13</v>
      </c>
      <c r="BA513" s="450">
        <v>94.3</v>
      </c>
      <c r="BB513" s="450">
        <v>93.4</v>
      </c>
      <c r="BC513" s="450" t="s">
        <v>556</v>
      </c>
      <c r="BD513" s="450" t="s">
        <v>556</v>
      </c>
      <c r="BE513" s="450" t="s">
        <v>556</v>
      </c>
    </row>
    <row r="514" spans="2:57" x14ac:dyDescent="0.25">
      <c r="B514" s="134">
        <v>77</v>
      </c>
      <c r="C514" s="450">
        <v>92.68</v>
      </c>
      <c r="D514" s="450">
        <v>92.74</v>
      </c>
      <c r="E514" s="450">
        <v>92.77</v>
      </c>
      <c r="F514" s="450">
        <v>92.76</v>
      </c>
      <c r="G514" s="450">
        <v>92.73</v>
      </c>
      <c r="H514" s="450">
        <v>92.67</v>
      </c>
      <c r="I514" s="450">
        <v>92.59</v>
      </c>
      <c r="J514" s="450">
        <v>92.48</v>
      </c>
      <c r="K514" s="450">
        <v>92.35</v>
      </c>
      <c r="L514" s="450">
        <v>92.2</v>
      </c>
      <c r="M514" s="450">
        <v>92.03</v>
      </c>
      <c r="N514" s="450">
        <v>91.85</v>
      </c>
      <c r="O514" s="450">
        <v>90.84</v>
      </c>
      <c r="P514" s="450">
        <v>89.84</v>
      </c>
      <c r="Q514" s="450" t="s">
        <v>556</v>
      </c>
      <c r="R514" s="450" t="s">
        <v>556</v>
      </c>
      <c r="S514" s="450" t="s">
        <v>556</v>
      </c>
      <c r="T514" s="133"/>
      <c r="U514" s="134">
        <v>77</v>
      </c>
      <c r="V514" s="450">
        <v>94.03</v>
      </c>
      <c r="W514" s="450">
        <v>94.11</v>
      </c>
      <c r="X514" s="450">
        <v>94.15</v>
      </c>
      <c r="Y514" s="450">
        <v>94.17</v>
      </c>
      <c r="Z514" s="450">
        <v>94.15</v>
      </c>
      <c r="AA514" s="450">
        <v>94.11</v>
      </c>
      <c r="AB514" s="450">
        <v>94.04</v>
      </c>
      <c r="AC514" s="450">
        <v>93.95</v>
      </c>
      <c r="AD514" s="450">
        <v>93.83</v>
      </c>
      <c r="AE514" s="450">
        <v>93.69</v>
      </c>
      <c r="AF514" s="450">
        <v>93.54</v>
      </c>
      <c r="AG514" s="450">
        <v>93.37</v>
      </c>
      <c r="AH514" s="450">
        <v>92.39</v>
      </c>
      <c r="AI514" s="450">
        <v>91.42</v>
      </c>
      <c r="AJ514" s="450" t="s">
        <v>556</v>
      </c>
      <c r="AK514" s="450" t="s">
        <v>556</v>
      </c>
      <c r="AL514" s="450" t="s">
        <v>556</v>
      </c>
      <c r="AM514" s="133"/>
      <c r="AN514" s="134">
        <v>77</v>
      </c>
      <c r="AO514" s="450">
        <v>95.51</v>
      </c>
      <c r="AP514" s="450">
        <v>95.6</v>
      </c>
      <c r="AQ514" s="450">
        <v>95.65</v>
      </c>
      <c r="AR514" s="450">
        <v>95.68</v>
      </c>
      <c r="AS514" s="450">
        <v>95.67</v>
      </c>
      <c r="AT514" s="450">
        <v>95.63</v>
      </c>
      <c r="AU514" s="450">
        <v>95.56</v>
      </c>
      <c r="AV514" s="450">
        <v>95.47</v>
      </c>
      <c r="AW514" s="450">
        <v>95.36</v>
      </c>
      <c r="AX514" s="450">
        <v>95.22</v>
      </c>
      <c r="AY514" s="450">
        <v>95.06</v>
      </c>
      <c r="AZ514" s="450">
        <v>94.89</v>
      </c>
      <c r="BA514" s="450">
        <v>93.88</v>
      </c>
      <c r="BB514" s="450">
        <v>92.85</v>
      </c>
      <c r="BC514" s="450" t="s">
        <v>556</v>
      </c>
      <c r="BD514" s="450" t="s">
        <v>556</v>
      </c>
      <c r="BE514" s="450" t="s">
        <v>556</v>
      </c>
    </row>
    <row r="515" spans="2:57" x14ac:dyDescent="0.25">
      <c r="B515" s="134">
        <v>78</v>
      </c>
      <c r="C515" s="450">
        <v>92.79</v>
      </c>
      <c r="D515" s="450">
        <v>92.8</v>
      </c>
      <c r="E515" s="450">
        <v>92.78</v>
      </c>
      <c r="F515" s="450">
        <v>92.72</v>
      </c>
      <c r="G515" s="450">
        <v>92.64</v>
      </c>
      <c r="H515" s="450">
        <v>92.53</v>
      </c>
      <c r="I515" s="450">
        <v>92.4</v>
      </c>
      <c r="J515" s="450">
        <v>92.24</v>
      </c>
      <c r="K515" s="450">
        <v>92.06</v>
      </c>
      <c r="L515" s="450">
        <v>91.87</v>
      </c>
      <c r="M515" s="450">
        <v>91.65</v>
      </c>
      <c r="N515" s="450">
        <v>91.43</v>
      </c>
      <c r="O515" s="450">
        <v>90.24</v>
      </c>
      <c r="P515" s="450">
        <v>89.13</v>
      </c>
      <c r="Q515" s="450" t="s">
        <v>556</v>
      </c>
      <c r="R515" s="450" t="s">
        <v>556</v>
      </c>
      <c r="S515" s="450" t="s">
        <v>556</v>
      </c>
      <c r="T515" s="133"/>
      <c r="U515" s="134">
        <v>78</v>
      </c>
      <c r="V515" s="450">
        <v>94.18</v>
      </c>
      <c r="W515" s="450">
        <v>94.21</v>
      </c>
      <c r="X515" s="450">
        <v>94.21</v>
      </c>
      <c r="Y515" s="450">
        <v>94.17</v>
      </c>
      <c r="Z515" s="450">
        <v>94.1</v>
      </c>
      <c r="AA515" s="450">
        <v>94.01</v>
      </c>
      <c r="AB515" s="450">
        <v>93.89</v>
      </c>
      <c r="AC515" s="450">
        <v>93.75</v>
      </c>
      <c r="AD515" s="450">
        <v>93.58</v>
      </c>
      <c r="AE515" s="450">
        <v>93.4</v>
      </c>
      <c r="AF515" s="450">
        <v>93.2</v>
      </c>
      <c r="AG515" s="450">
        <v>92.98</v>
      </c>
      <c r="AH515" s="450">
        <v>91.83</v>
      </c>
      <c r="AI515" s="450">
        <v>90.75</v>
      </c>
      <c r="AJ515" s="450" t="s">
        <v>556</v>
      </c>
      <c r="AK515" s="450" t="s">
        <v>556</v>
      </c>
      <c r="AL515" s="450" t="s">
        <v>556</v>
      </c>
      <c r="AM515" s="133"/>
      <c r="AN515" s="134">
        <v>78</v>
      </c>
      <c r="AO515" s="450">
        <v>95.68</v>
      </c>
      <c r="AP515" s="450">
        <v>95.72</v>
      </c>
      <c r="AQ515" s="450">
        <v>95.72</v>
      </c>
      <c r="AR515" s="450">
        <v>95.7</v>
      </c>
      <c r="AS515" s="450">
        <v>95.64</v>
      </c>
      <c r="AT515" s="450">
        <v>95.55</v>
      </c>
      <c r="AU515" s="450">
        <v>95.43</v>
      </c>
      <c r="AV515" s="450">
        <v>95.28</v>
      </c>
      <c r="AW515" s="450">
        <v>95.12</v>
      </c>
      <c r="AX515" s="450">
        <v>94.93</v>
      </c>
      <c r="AY515" s="450">
        <v>94.73</v>
      </c>
      <c r="AZ515" s="450">
        <v>94.51</v>
      </c>
      <c r="BA515" s="450">
        <v>93.31</v>
      </c>
      <c r="BB515" s="450">
        <v>92.18</v>
      </c>
      <c r="BC515" s="450" t="s">
        <v>556</v>
      </c>
      <c r="BD515" s="450" t="s">
        <v>556</v>
      </c>
      <c r="BE515" s="450" t="s">
        <v>556</v>
      </c>
    </row>
    <row r="516" spans="2:57" x14ac:dyDescent="0.25">
      <c r="B516" s="134">
        <v>79</v>
      </c>
      <c r="C516" s="450">
        <v>92.8</v>
      </c>
      <c r="D516" s="450">
        <v>92.76</v>
      </c>
      <c r="E516" s="450">
        <v>92.68</v>
      </c>
      <c r="F516" s="450">
        <v>92.57</v>
      </c>
      <c r="G516" s="450">
        <v>92.43</v>
      </c>
      <c r="H516" s="450">
        <v>92.27</v>
      </c>
      <c r="I516" s="450">
        <v>92.08</v>
      </c>
      <c r="J516" s="450">
        <v>91.87</v>
      </c>
      <c r="K516" s="450">
        <v>91.64</v>
      </c>
      <c r="L516" s="450">
        <v>91.4</v>
      </c>
      <c r="M516" s="450">
        <v>91.14</v>
      </c>
      <c r="N516" s="450">
        <v>90.87</v>
      </c>
      <c r="O516" s="450">
        <v>89.5</v>
      </c>
      <c r="P516" s="450">
        <v>87.95</v>
      </c>
      <c r="Q516" s="450" t="s">
        <v>556</v>
      </c>
      <c r="R516" s="450" t="s">
        <v>556</v>
      </c>
      <c r="S516" s="450" t="s">
        <v>556</v>
      </c>
      <c r="T516" s="133"/>
      <c r="U516" s="134">
        <v>79</v>
      </c>
      <c r="V516" s="450">
        <v>94.23</v>
      </c>
      <c r="W516" s="450">
        <v>94.21</v>
      </c>
      <c r="X516" s="450">
        <v>94.15</v>
      </c>
      <c r="Y516" s="450">
        <v>94.05</v>
      </c>
      <c r="Z516" s="450">
        <v>93.93</v>
      </c>
      <c r="AA516" s="450">
        <v>93.79</v>
      </c>
      <c r="AB516" s="450">
        <v>93.61</v>
      </c>
      <c r="AC516" s="450">
        <v>93.41</v>
      </c>
      <c r="AD516" s="450">
        <v>93.2</v>
      </c>
      <c r="AE516" s="450">
        <v>92.97</v>
      </c>
      <c r="AF516" s="450">
        <v>92.72</v>
      </c>
      <c r="AG516" s="450">
        <v>92.46</v>
      </c>
      <c r="AH516" s="450">
        <v>91.13</v>
      </c>
      <c r="AI516" s="450">
        <v>89.6</v>
      </c>
      <c r="AJ516" s="450" t="s">
        <v>556</v>
      </c>
      <c r="AK516" s="450" t="s">
        <v>556</v>
      </c>
      <c r="AL516" s="450" t="s">
        <v>556</v>
      </c>
      <c r="AM516" s="133"/>
      <c r="AN516" s="134">
        <v>79</v>
      </c>
      <c r="AO516" s="450">
        <v>95.75</v>
      </c>
      <c r="AP516" s="450">
        <v>95.73</v>
      </c>
      <c r="AQ516" s="450">
        <v>95.68</v>
      </c>
      <c r="AR516" s="450">
        <v>95.59</v>
      </c>
      <c r="AS516" s="450">
        <v>95.48</v>
      </c>
      <c r="AT516" s="450">
        <v>95.33</v>
      </c>
      <c r="AU516" s="450">
        <v>95.16</v>
      </c>
      <c r="AV516" s="450">
        <v>94.96</v>
      </c>
      <c r="AW516" s="450">
        <v>94.74</v>
      </c>
      <c r="AX516" s="450">
        <v>94.51</v>
      </c>
      <c r="AY516" s="450">
        <v>94.25</v>
      </c>
      <c r="AZ516" s="450">
        <v>93.99</v>
      </c>
      <c r="BA516" s="450">
        <v>92.62</v>
      </c>
      <c r="BB516" s="450">
        <v>91.02</v>
      </c>
      <c r="BC516" s="450" t="s">
        <v>556</v>
      </c>
      <c r="BD516" s="450" t="s">
        <v>556</v>
      </c>
      <c r="BE516" s="450" t="s">
        <v>556</v>
      </c>
    </row>
    <row r="517" spans="2:57" x14ac:dyDescent="0.25">
      <c r="B517" s="134">
        <v>80</v>
      </c>
      <c r="C517" s="450">
        <v>92.7</v>
      </c>
      <c r="D517" s="450">
        <v>92.59</v>
      </c>
      <c r="E517" s="450">
        <v>92.46</v>
      </c>
      <c r="F517" s="450">
        <v>92.29</v>
      </c>
      <c r="G517" s="450">
        <v>92.09</v>
      </c>
      <c r="H517" s="450">
        <v>91.87</v>
      </c>
      <c r="I517" s="450">
        <v>91.63</v>
      </c>
      <c r="J517" s="450">
        <v>91.36</v>
      </c>
      <c r="K517" s="450">
        <v>91.08</v>
      </c>
      <c r="L517" s="450">
        <v>90.79</v>
      </c>
      <c r="M517" s="450">
        <v>90.48</v>
      </c>
      <c r="N517" s="450">
        <v>90.17</v>
      </c>
      <c r="O517" s="450">
        <v>88.63</v>
      </c>
      <c r="P517" s="450" t="s">
        <v>556</v>
      </c>
      <c r="Q517" s="450" t="s">
        <v>556</v>
      </c>
      <c r="R517" s="450" t="s">
        <v>556</v>
      </c>
      <c r="S517" s="450" t="s">
        <v>556</v>
      </c>
      <c r="T517" s="133"/>
      <c r="U517" s="134">
        <v>80</v>
      </c>
      <c r="V517" s="450">
        <v>94.17</v>
      </c>
      <c r="W517" s="450">
        <v>94.08</v>
      </c>
      <c r="X517" s="450">
        <v>93.96</v>
      </c>
      <c r="Y517" s="450">
        <v>93.81</v>
      </c>
      <c r="Z517" s="450">
        <v>93.63</v>
      </c>
      <c r="AA517" s="450">
        <v>93.43</v>
      </c>
      <c r="AB517" s="450">
        <v>93.2</v>
      </c>
      <c r="AC517" s="450">
        <v>92.95</v>
      </c>
      <c r="AD517" s="450">
        <v>92.68</v>
      </c>
      <c r="AE517" s="450">
        <v>92.39</v>
      </c>
      <c r="AF517" s="450">
        <v>92.1</v>
      </c>
      <c r="AG517" s="450">
        <v>91.8</v>
      </c>
      <c r="AH517" s="450">
        <v>90.3</v>
      </c>
      <c r="AI517" s="450" t="s">
        <v>556</v>
      </c>
      <c r="AJ517" s="450" t="s">
        <v>556</v>
      </c>
      <c r="AK517" s="450" t="s">
        <v>556</v>
      </c>
      <c r="AL517" s="450" t="s">
        <v>556</v>
      </c>
      <c r="AM517" s="133"/>
      <c r="AN517" s="134">
        <v>80</v>
      </c>
      <c r="AO517" s="450">
        <v>95.7</v>
      </c>
      <c r="AP517" s="450">
        <v>95.62</v>
      </c>
      <c r="AQ517" s="450">
        <v>95.51</v>
      </c>
      <c r="AR517" s="450">
        <v>95.36</v>
      </c>
      <c r="AS517" s="450">
        <v>95.19</v>
      </c>
      <c r="AT517" s="450">
        <v>94.98</v>
      </c>
      <c r="AU517" s="450">
        <v>94.75</v>
      </c>
      <c r="AV517" s="450">
        <v>94.5</v>
      </c>
      <c r="AW517" s="450">
        <v>94.22</v>
      </c>
      <c r="AX517" s="450">
        <v>93.94</v>
      </c>
      <c r="AY517" s="450">
        <v>93.64</v>
      </c>
      <c r="AZ517" s="450">
        <v>93.33</v>
      </c>
      <c r="BA517" s="450">
        <v>91.78</v>
      </c>
      <c r="BB517" s="450" t="s">
        <v>556</v>
      </c>
      <c r="BC517" s="450" t="s">
        <v>556</v>
      </c>
      <c r="BD517" s="450" t="s">
        <v>556</v>
      </c>
      <c r="BE517" s="450" t="s">
        <v>556</v>
      </c>
    </row>
    <row r="518" spans="2:57" x14ac:dyDescent="0.25">
      <c r="B518" s="134">
        <v>81</v>
      </c>
      <c r="C518" s="450">
        <v>92.47</v>
      </c>
      <c r="D518" s="450">
        <v>92.3</v>
      </c>
      <c r="E518" s="450">
        <v>92.1</v>
      </c>
      <c r="F518" s="450">
        <v>91.87</v>
      </c>
      <c r="G518" s="450">
        <v>91.61</v>
      </c>
      <c r="H518" s="450">
        <v>91.33</v>
      </c>
      <c r="I518" s="450">
        <v>91.03</v>
      </c>
      <c r="J518" s="450">
        <v>90.71</v>
      </c>
      <c r="K518" s="450">
        <v>90.38</v>
      </c>
      <c r="L518" s="450">
        <v>90.04</v>
      </c>
      <c r="M518" s="450">
        <v>89.69</v>
      </c>
      <c r="N518" s="450">
        <v>89.33</v>
      </c>
      <c r="O518" s="450">
        <v>87.63</v>
      </c>
      <c r="P518" s="450" t="s">
        <v>556</v>
      </c>
      <c r="Q518" s="450" t="s">
        <v>556</v>
      </c>
      <c r="R518" s="450" t="s">
        <v>556</v>
      </c>
      <c r="S518" s="450" t="s">
        <v>556</v>
      </c>
      <c r="T518" s="133"/>
      <c r="U518" s="134">
        <v>81</v>
      </c>
      <c r="V518" s="450">
        <v>93.98</v>
      </c>
      <c r="W518" s="450">
        <v>93.83</v>
      </c>
      <c r="X518" s="450">
        <v>93.65</v>
      </c>
      <c r="Y518" s="450">
        <v>93.44</v>
      </c>
      <c r="Z518" s="450">
        <v>93.19</v>
      </c>
      <c r="AA518" s="450">
        <v>92.93</v>
      </c>
      <c r="AB518" s="450">
        <v>92.64</v>
      </c>
      <c r="AC518" s="450">
        <v>92.33</v>
      </c>
      <c r="AD518" s="450">
        <v>92.01</v>
      </c>
      <c r="AE518" s="450">
        <v>91.68</v>
      </c>
      <c r="AF518" s="450">
        <v>91.34</v>
      </c>
      <c r="AG518" s="450">
        <v>90.99</v>
      </c>
      <c r="AH518" s="450">
        <v>89.33</v>
      </c>
      <c r="AI518" s="450" t="s">
        <v>556</v>
      </c>
      <c r="AJ518" s="450" t="s">
        <v>556</v>
      </c>
      <c r="AK518" s="450" t="s">
        <v>556</v>
      </c>
      <c r="AL518" s="450" t="s">
        <v>556</v>
      </c>
      <c r="AM518" s="133"/>
      <c r="AN518" s="134">
        <v>81</v>
      </c>
      <c r="AO518" s="450">
        <v>95.53</v>
      </c>
      <c r="AP518" s="450">
        <v>95.38</v>
      </c>
      <c r="AQ518" s="450">
        <v>95.21</v>
      </c>
      <c r="AR518" s="450">
        <v>95</v>
      </c>
      <c r="AS518" s="450">
        <v>94.75</v>
      </c>
      <c r="AT518" s="450">
        <v>94.49</v>
      </c>
      <c r="AU518" s="450">
        <v>94.2</v>
      </c>
      <c r="AV518" s="450">
        <v>93.89</v>
      </c>
      <c r="AW518" s="450">
        <v>93.56</v>
      </c>
      <c r="AX518" s="450">
        <v>93.22</v>
      </c>
      <c r="AY518" s="450">
        <v>92.87</v>
      </c>
      <c r="AZ518" s="450">
        <v>92.52</v>
      </c>
      <c r="BA518" s="450">
        <v>90.8</v>
      </c>
      <c r="BB518" s="450" t="s">
        <v>556</v>
      </c>
      <c r="BC518" s="450" t="s">
        <v>556</v>
      </c>
      <c r="BD518" s="450" t="s">
        <v>556</v>
      </c>
      <c r="BE518" s="450" t="s">
        <v>556</v>
      </c>
    </row>
    <row r="519" spans="2:57" x14ac:dyDescent="0.25">
      <c r="B519" s="134">
        <v>82</v>
      </c>
      <c r="C519" s="450">
        <v>92.12</v>
      </c>
      <c r="D519" s="450">
        <v>91.88</v>
      </c>
      <c r="E519" s="450">
        <v>91.61</v>
      </c>
      <c r="F519" s="450">
        <v>91.31</v>
      </c>
      <c r="G519" s="450">
        <v>90.99</v>
      </c>
      <c r="H519" s="450">
        <v>90.65</v>
      </c>
      <c r="I519" s="450">
        <v>90.29</v>
      </c>
      <c r="J519" s="450">
        <v>89.91</v>
      </c>
      <c r="K519" s="450">
        <v>89.53</v>
      </c>
      <c r="L519" s="450">
        <v>89.14</v>
      </c>
      <c r="M519" s="450">
        <v>88.74</v>
      </c>
      <c r="N519" s="450">
        <v>88.35</v>
      </c>
      <c r="O519" s="450">
        <v>86.49</v>
      </c>
      <c r="P519" s="450" t="s">
        <v>556</v>
      </c>
      <c r="Q519" s="450" t="s">
        <v>556</v>
      </c>
      <c r="R519" s="450" t="s">
        <v>556</v>
      </c>
      <c r="S519" s="450" t="s">
        <v>556</v>
      </c>
      <c r="T519" s="133"/>
      <c r="U519" s="134">
        <v>82</v>
      </c>
      <c r="V519" s="450">
        <v>93.67</v>
      </c>
      <c r="W519" s="450">
        <v>93.45</v>
      </c>
      <c r="X519" s="450">
        <v>93.2</v>
      </c>
      <c r="Y519" s="450">
        <v>92.92</v>
      </c>
      <c r="Z519" s="450">
        <v>92.61</v>
      </c>
      <c r="AA519" s="450">
        <v>92.28</v>
      </c>
      <c r="AB519" s="450">
        <v>91.93</v>
      </c>
      <c r="AC519" s="450">
        <v>91.57</v>
      </c>
      <c r="AD519" s="450">
        <v>91.2</v>
      </c>
      <c r="AE519" s="450">
        <v>90.81</v>
      </c>
      <c r="AF519" s="450">
        <v>90.43</v>
      </c>
      <c r="AG519" s="450">
        <v>90.04</v>
      </c>
      <c r="AH519" s="450">
        <v>88.22</v>
      </c>
      <c r="AI519" s="450" t="s">
        <v>556</v>
      </c>
      <c r="AJ519" s="450" t="s">
        <v>556</v>
      </c>
      <c r="AK519" s="450" t="s">
        <v>556</v>
      </c>
      <c r="AL519" s="450" t="s">
        <v>556</v>
      </c>
      <c r="AM519" s="133"/>
      <c r="AN519" s="134">
        <v>82</v>
      </c>
      <c r="AO519" s="450">
        <v>95.22</v>
      </c>
      <c r="AP519" s="450">
        <v>95.01</v>
      </c>
      <c r="AQ519" s="450">
        <v>94.76</v>
      </c>
      <c r="AR519" s="450">
        <v>94.48</v>
      </c>
      <c r="AS519" s="450">
        <v>94.17</v>
      </c>
      <c r="AT519" s="450">
        <v>93.84</v>
      </c>
      <c r="AU519" s="450">
        <v>93.49</v>
      </c>
      <c r="AV519" s="450">
        <v>93.12</v>
      </c>
      <c r="AW519" s="450">
        <v>92.74</v>
      </c>
      <c r="AX519" s="450">
        <v>92.35</v>
      </c>
      <c r="AY519" s="450">
        <v>91.96</v>
      </c>
      <c r="AZ519" s="450">
        <v>91.57</v>
      </c>
      <c r="BA519" s="450">
        <v>89.69</v>
      </c>
      <c r="BB519" s="450" t="s">
        <v>556</v>
      </c>
      <c r="BC519" s="450" t="s">
        <v>556</v>
      </c>
      <c r="BD519" s="450" t="s">
        <v>556</v>
      </c>
      <c r="BE519" s="450" t="s">
        <v>556</v>
      </c>
    </row>
    <row r="520" spans="2:57" x14ac:dyDescent="0.25">
      <c r="B520" s="134">
        <v>83</v>
      </c>
      <c r="C520" s="450">
        <v>91.62</v>
      </c>
      <c r="D520" s="450">
        <v>91.31</v>
      </c>
      <c r="E520" s="450">
        <v>90.97</v>
      </c>
      <c r="F520" s="450">
        <v>90.61</v>
      </c>
      <c r="G520" s="450">
        <v>90.22</v>
      </c>
      <c r="H520" s="450">
        <v>89.82</v>
      </c>
      <c r="I520" s="450">
        <v>89.4</v>
      </c>
      <c r="J520" s="450">
        <v>88.97</v>
      </c>
      <c r="K520" s="450">
        <v>88.53</v>
      </c>
      <c r="L520" s="450">
        <v>88.09</v>
      </c>
      <c r="M520" s="450">
        <v>87.66</v>
      </c>
      <c r="N520" s="450">
        <v>87.22</v>
      </c>
      <c r="O520" s="450">
        <v>85.22</v>
      </c>
      <c r="P520" s="450" t="s">
        <v>556</v>
      </c>
      <c r="Q520" s="450" t="s">
        <v>556</v>
      </c>
      <c r="R520" s="450" t="s">
        <v>556</v>
      </c>
      <c r="S520" s="450" t="s">
        <v>556</v>
      </c>
      <c r="T520" s="133"/>
      <c r="U520" s="134">
        <v>83</v>
      </c>
      <c r="V520" s="450">
        <v>93.21</v>
      </c>
      <c r="W520" s="450">
        <v>92.92</v>
      </c>
      <c r="X520" s="450">
        <v>92.6</v>
      </c>
      <c r="Y520" s="450">
        <v>92.25</v>
      </c>
      <c r="Z520" s="450">
        <v>91.88</v>
      </c>
      <c r="AA520" s="450">
        <v>91.49</v>
      </c>
      <c r="AB520" s="450">
        <v>91.08</v>
      </c>
      <c r="AC520" s="450">
        <v>90.66</v>
      </c>
      <c r="AD520" s="450">
        <v>90.23</v>
      </c>
      <c r="AE520" s="450">
        <v>89.8</v>
      </c>
      <c r="AF520" s="450">
        <v>89.37</v>
      </c>
      <c r="AG520" s="450">
        <v>88.95</v>
      </c>
      <c r="AH520" s="450">
        <v>86.99</v>
      </c>
      <c r="AI520" s="450" t="s">
        <v>556</v>
      </c>
      <c r="AJ520" s="450" t="s">
        <v>556</v>
      </c>
      <c r="AK520" s="450" t="s">
        <v>556</v>
      </c>
      <c r="AL520" s="450" t="s">
        <v>556</v>
      </c>
      <c r="AM520" s="133"/>
      <c r="AN520" s="134">
        <v>83</v>
      </c>
      <c r="AO520" s="450">
        <v>94.77</v>
      </c>
      <c r="AP520" s="450">
        <v>94.48</v>
      </c>
      <c r="AQ520" s="450">
        <v>94.16</v>
      </c>
      <c r="AR520" s="450">
        <v>93.82</v>
      </c>
      <c r="AS520" s="450">
        <v>93.44</v>
      </c>
      <c r="AT520" s="450">
        <v>93.05</v>
      </c>
      <c r="AU520" s="450">
        <v>92.64</v>
      </c>
      <c r="AV520" s="450">
        <v>92.21</v>
      </c>
      <c r="AW520" s="450">
        <v>91.78</v>
      </c>
      <c r="AX520" s="450">
        <v>91.34</v>
      </c>
      <c r="AY520" s="450">
        <v>90.9</v>
      </c>
      <c r="AZ520" s="450">
        <v>90.46</v>
      </c>
      <c r="BA520" s="450">
        <v>88.45</v>
      </c>
      <c r="BB520" s="450" t="s">
        <v>556</v>
      </c>
      <c r="BC520" s="450" t="s">
        <v>556</v>
      </c>
      <c r="BD520" s="450" t="s">
        <v>556</v>
      </c>
      <c r="BE520" s="450" t="s">
        <v>556</v>
      </c>
    </row>
    <row r="521" spans="2:57" x14ac:dyDescent="0.25">
      <c r="B521" s="134">
        <v>84</v>
      </c>
      <c r="C521" s="450">
        <v>90.98</v>
      </c>
      <c r="D521" s="450">
        <v>90.6</v>
      </c>
      <c r="E521" s="450">
        <v>90.19</v>
      </c>
      <c r="F521" s="450">
        <v>89.76</v>
      </c>
      <c r="G521" s="450">
        <v>89.31</v>
      </c>
      <c r="H521" s="450">
        <v>88.84</v>
      </c>
      <c r="I521" s="450">
        <v>88.36</v>
      </c>
      <c r="J521" s="450">
        <v>87.88</v>
      </c>
      <c r="K521" s="450">
        <v>87.39</v>
      </c>
      <c r="L521" s="450">
        <v>86.91</v>
      </c>
      <c r="M521" s="450">
        <v>86.43</v>
      </c>
      <c r="N521" s="450">
        <v>85.96</v>
      </c>
      <c r="O521" s="450">
        <v>83.4</v>
      </c>
      <c r="P521" s="450" t="s">
        <v>556</v>
      </c>
      <c r="Q521" s="450" t="s">
        <v>556</v>
      </c>
      <c r="R521" s="450" t="s">
        <v>556</v>
      </c>
      <c r="S521" s="450" t="s">
        <v>556</v>
      </c>
      <c r="T521" s="133"/>
      <c r="U521" s="134">
        <v>84</v>
      </c>
      <c r="V521" s="450">
        <v>92.6</v>
      </c>
      <c r="W521" s="450">
        <v>92.24</v>
      </c>
      <c r="X521" s="450">
        <v>91.85</v>
      </c>
      <c r="Y521" s="450">
        <v>91.43</v>
      </c>
      <c r="Z521" s="450">
        <v>90.99</v>
      </c>
      <c r="AA521" s="450">
        <v>90.54</v>
      </c>
      <c r="AB521" s="450">
        <v>90.07</v>
      </c>
      <c r="AC521" s="450">
        <v>89.6</v>
      </c>
      <c r="AD521" s="450">
        <v>89.13</v>
      </c>
      <c r="AE521" s="450">
        <v>88.65</v>
      </c>
      <c r="AF521" s="450">
        <v>88.18</v>
      </c>
      <c r="AG521" s="450">
        <v>87.72</v>
      </c>
      <c r="AH521" s="450">
        <v>85.19</v>
      </c>
      <c r="AI521" s="450" t="s">
        <v>556</v>
      </c>
      <c r="AJ521" s="450" t="s">
        <v>556</v>
      </c>
      <c r="AK521" s="450" t="s">
        <v>556</v>
      </c>
      <c r="AL521" s="450" t="s">
        <v>556</v>
      </c>
      <c r="AM521" s="133"/>
      <c r="AN521" s="134">
        <v>84</v>
      </c>
      <c r="AO521" s="450">
        <v>94.16</v>
      </c>
      <c r="AP521" s="450">
        <v>93.8</v>
      </c>
      <c r="AQ521" s="450">
        <v>93.41</v>
      </c>
      <c r="AR521" s="450">
        <v>93</v>
      </c>
      <c r="AS521" s="450">
        <v>92.56</v>
      </c>
      <c r="AT521" s="450">
        <v>92.1</v>
      </c>
      <c r="AU521" s="450">
        <v>91.63</v>
      </c>
      <c r="AV521" s="450">
        <v>91.15</v>
      </c>
      <c r="AW521" s="450">
        <v>90.66</v>
      </c>
      <c r="AX521" s="450">
        <v>90.18</v>
      </c>
      <c r="AY521" s="450">
        <v>89.7</v>
      </c>
      <c r="AZ521" s="450">
        <v>89.22</v>
      </c>
      <c r="BA521" s="450">
        <v>86.62</v>
      </c>
      <c r="BB521" s="450" t="s">
        <v>556</v>
      </c>
      <c r="BC521" s="450" t="s">
        <v>556</v>
      </c>
      <c r="BD521" s="450" t="s">
        <v>556</v>
      </c>
      <c r="BE521" s="450" t="s">
        <v>556</v>
      </c>
    </row>
    <row r="522" spans="2:57" x14ac:dyDescent="0.25">
      <c r="B522" s="134">
        <v>85</v>
      </c>
      <c r="C522" s="450">
        <v>90.19</v>
      </c>
      <c r="D522" s="450">
        <v>89.73</v>
      </c>
      <c r="E522" s="450">
        <v>89.25</v>
      </c>
      <c r="F522" s="450">
        <v>88.75</v>
      </c>
      <c r="G522" s="450">
        <v>88.24</v>
      </c>
      <c r="H522" s="450">
        <v>87.71</v>
      </c>
      <c r="I522" s="450">
        <v>87.18</v>
      </c>
      <c r="J522" s="450">
        <v>86.65</v>
      </c>
      <c r="K522" s="450">
        <v>86.11</v>
      </c>
      <c r="L522" s="450">
        <v>85.59</v>
      </c>
      <c r="M522" s="450">
        <v>85.07</v>
      </c>
      <c r="N522" s="450">
        <v>84.56</v>
      </c>
      <c r="O522" s="450" t="s">
        <v>556</v>
      </c>
      <c r="P522" s="450" t="s">
        <v>556</v>
      </c>
      <c r="Q522" s="450" t="s">
        <v>556</v>
      </c>
      <c r="R522" s="450" t="s">
        <v>556</v>
      </c>
      <c r="S522" s="450" t="s">
        <v>556</v>
      </c>
      <c r="T522" s="133"/>
      <c r="U522" s="134">
        <v>85</v>
      </c>
      <c r="V522" s="450">
        <v>91.85</v>
      </c>
      <c r="W522" s="450">
        <v>91.41</v>
      </c>
      <c r="X522" s="450">
        <v>90.94</v>
      </c>
      <c r="Y522" s="450">
        <v>90.46</v>
      </c>
      <c r="Z522" s="450">
        <v>89.96</v>
      </c>
      <c r="AA522" s="450">
        <v>89.44</v>
      </c>
      <c r="AB522" s="450">
        <v>88.92</v>
      </c>
      <c r="AC522" s="450">
        <v>88.4</v>
      </c>
      <c r="AD522" s="450">
        <v>87.88</v>
      </c>
      <c r="AE522" s="450">
        <v>87.36</v>
      </c>
      <c r="AF522" s="450">
        <v>86.85</v>
      </c>
      <c r="AG522" s="450">
        <v>86.35</v>
      </c>
      <c r="AH522" s="450" t="s">
        <v>556</v>
      </c>
      <c r="AI522" s="450" t="s">
        <v>556</v>
      </c>
      <c r="AJ522" s="450" t="s">
        <v>556</v>
      </c>
      <c r="AK522" s="450" t="s">
        <v>556</v>
      </c>
      <c r="AL522" s="450" t="s">
        <v>556</v>
      </c>
      <c r="AM522" s="133"/>
      <c r="AN522" s="134">
        <v>85</v>
      </c>
      <c r="AO522" s="450">
        <v>93.41</v>
      </c>
      <c r="AP522" s="450">
        <v>92.97</v>
      </c>
      <c r="AQ522" s="450">
        <v>92.51</v>
      </c>
      <c r="AR522" s="450">
        <v>92.02</v>
      </c>
      <c r="AS522" s="450">
        <v>91.52</v>
      </c>
      <c r="AT522" s="450">
        <v>91</v>
      </c>
      <c r="AU522" s="450">
        <v>90.47</v>
      </c>
      <c r="AV522" s="450">
        <v>89.94</v>
      </c>
      <c r="AW522" s="450">
        <v>89.4</v>
      </c>
      <c r="AX522" s="450">
        <v>88.87</v>
      </c>
      <c r="AY522" s="450">
        <v>88.35</v>
      </c>
      <c r="AZ522" s="450">
        <v>87.84</v>
      </c>
      <c r="BA522" s="450" t="s">
        <v>556</v>
      </c>
      <c r="BB522" s="450" t="s">
        <v>556</v>
      </c>
      <c r="BC522" s="450" t="s">
        <v>556</v>
      </c>
      <c r="BD522" s="450" t="s">
        <v>556</v>
      </c>
      <c r="BE522" s="450" t="s">
        <v>556</v>
      </c>
    </row>
    <row r="523" spans="2:57" x14ac:dyDescent="0.25">
      <c r="B523" s="134">
        <v>86</v>
      </c>
      <c r="C523" s="450">
        <v>89.25</v>
      </c>
      <c r="D523" s="450">
        <v>88.72</v>
      </c>
      <c r="E523" s="450">
        <v>88.17</v>
      </c>
      <c r="F523" s="450">
        <v>87.6</v>
      </c>
      <c r="G523" s="450">
        <v>87.03</v>
      </c>
      <c r="H523" s="450">
        <v>86.44</v>
      </c>
      <c r="I523" s="450">
        <v>85.86</v>
      </c>
      <c r="J523" s="450">
        <v>85.28</v>
      </c>
      <c r="K523" s="450">
        <v>84.7</v>
      </c>
      <c r="L523" s="450">
        <v>84.13</v>
      </c>
      <c r="M523" s="450">
        <v>83.58</v>
      </c>
      <c r="N523" s="450">
        <v>83.04</v>
      </c>
      <c r="O523" s="450" t="s">
        <v>556</v>
      </c>
      <c r="P523" s="450" t="s">
        <v>556</v>
      </c>
      <c r="Q523" s="450" t="s">
        <v>556</v>
      </c>
      <c r="R523" s="450" t="s">
        <v>556</v>
      </c>
      <c r="S523" s="450" t="s">
        <v>556</v>
      </c>
      <c r="T523" s="133"/>
      <c r="U523" s="134">
        <v>86</v>
      </c>
      <c r="V523" s="450">
        <v>90.94</v>
      </c>
      <c r="W523" s="450">
        <v>90.42</v>
      </c>
      <c r="X523" s="450">
        <v>89.89</v>
      </c>
      <c r="Y523" s="450">
        <v>89.34</v>
      </c>
      <c r="Z523" s="450">
        <v>88.77</v>
      </c>
      <c r="AA523" s="450">
        <v>88.2</v>
      </c>
      <c r="AB523" s="450">
        <v>87.63</v>
      </c>
      <c r="AC523" s="450">
        <v>87.06</v>
      </c>
      <c r="AD523" s="450">
        <v>86.49</v>
      </c>
      <c r="AE523" s="450">
        <v>85.93</v>
      </c>
      <c r="AF523" s="450">
        <v>85.39</v>
      </c>
      <c r="AG523" s="450">
        <v>84.86</v>
      </c>
      <c r="AH523" s="450" t="s">
        <v>556</v>
      </c>
      <c r="AI523" s="450" t="s">
        <v>556</v>
      </c>
      <c r="AJ523" s="450" t="s">
        <v>556</v>
      </c>
      <c r="AK523" s="450" t="s">
        <v>556</v>
      </c>
      <c r="AL523" s="450" t="s">
        <v>556</v>
      </c>
      <c r="AM523" s="133"/>
      <c r="AN523" s="134">
        <v>86</v>
      </c>
      <c r="AO523" s="450">
        <v>92.5</v>
      </c>
      <c r="AP523" s="450">
        <v>91.99</v>
      </c>
      <c r="AQ523" s="450">
        <v>91.45</v>
      </c>
      <c r="AR523" s="450">
        <v>90.89</v>
      </c>
      <c r="AS523" s="450">
        <v>90.33</v>
      </c>
      <c r="AT523" s="450">
        <v>89.75</v>
      </c>
      <c r="AU523" s="450">
        <v>89.16</v>
      </c>
      <c r="AV523" s="450">
        <v>88.58</v>
      </c>
      <c r="AW523" s="450">
        <v>88</v>
      </c>
      <c r="AX523" s="450">
        <v>87.44</v>
      </c>
      <c r="AY523" s="450">
        <v>86.88</v>
      </c>
      <c r="AZ523" s="450">
        <v>86.34</v>
      </c>
      <c r="BA523" s="450" t="s">
        <v>556</v>
      </c>
      <c r="BB523" s="450" t="s">
        <v>556</v>
      </c>
      <c r="BC523" s="450" t="s">
        <v>556</v>
      </c>
      <c r="BD523" s="450" t="s">
        <v>556</v>
      </c>
      <c r="BE523" s="450" t="s">
        <v>556</v>
      </c>
    </row>
    <row r="524" spans="2:57" x14ac:dyDescent="0.25">
      <c r="B524" s="134">
        <v>87</v>
      </c>
      <c r="C524" s="450">
        <v>88.16</v>
      </c>
      <c r="D524" s="450">
        <v>87.55</v>
      </c>
      <c r="E524" s="450">
        <v>86.93</v>
      </c>
      <c r="F524" s="450">
        <v>86.31</v>
      </c>
      <c r="G524" s="450">
        <v>85.67</v>
      </c>
      <c r="H524" s="450">
        <v>85.03</v>
      </c>
      <c r="I524" s="450">
        <v>84.4</v>
      </c>
      <c r="J524" s="450">
        <v>83.77</v>
      </c>
      <c r="K524" s="450">
        <v>83.16</v>
      </c>
      <c r="L524" s="450">
        <v>82.55</v>
      </c>
      <c r="M524" s="450">
        <v>81.97</v>
      </c>
      <c r="N524" s="450">
        <v>81.400000000000006</v>
      </c>
      <c r="O524" s="450" t="s">
        <v>556</v>
      </c>
      <c r="P524" s="450" t="s">
        <v>556</v>
      </c>
      <c r="Q524" s="450" t="s">
        <v>556</v>
      </c>
      <c r="R524" s="450" t="s">
        <v>556</v>
      </c>
      <c r="S524" s="450" t="s">
        <v>556</v>
      </c>
      <c r="T524" s="133"/>
      <c r="U524" s="134">
        <v>87</v>
      </c>
      <c r="V524" s="450">
        <v>89.88</v>
      </c>
      <c r="W524" s="450">
        <v>89.29</v>
      </c>
      <c r="X524" s="450">
        <v>88.69</v>
      </c>
      <c r="Y524" s="450">
        <v>88.07</v>
      </c>
      <c r="Z524" s="450">
        <v>87.45</v>
      </c>
      <c r="AA524" s="450">
        <v>86.82</v>
      </c>
      <c r="AB524" s="450">
        <v>86.2</v>
      </c>
      <c r="AC524" s="450">
        <v>85.58</v>
      </c>
      <c r="AD524" s="450">
        <v>84.97</v>
      </c>
      <c r="AE524" s="450">
        <v>84.38</v>
      </c>
      <c r="AF524" s="450">
        <v>83.8</v>
      </c>
      <c r="AG524" s="450">
        <v>83.25</v>
      </c>
      <c r="AH524" s="450" t="s">
        <v>556</v>
      </c>
      <c r="AI524" s="450" t="s">
        <v>556</v>
      </c>
      <c r="AJ524" s="450" t="s">
        <v>556</v>
      </c>
      <c r="AK524" s="450" t="s">
        <v>556</v>
      </c>
      <c r="AL524" s="450" t="s">
        <v>556</v>
      </c>
      <c r="AM524" s="133"/>
      <c r="AN524" s="134">
        <v>87</v>
      </c>
      <c r="AO524" s="450">
        <v>91.43</v>
      </c>
      <c r="AP524" s="450">
        <v>90.85</v>
      </c>
      <c r="AQ524" s="450">
        <v>90.24</v>
      </c>
      <c r="AR524" s="450">
        <v>89.62</v>
      </c>
      <c r="AS524" s="450">
        <v>88.99</v>
      </c>
      <c r="AT524" s="450">
        <v>88.36</v>
      </c>
      <c r="AU524" s="450">
        <v>87.72</v>
      </c>
      <c r="AV524" s="450">
        <v>87.09</v>
      </c>
      <c r="AW524" s="450">
        <v>86.47</v>
      </c>
      <c r="AX524" s="450">
        <v>85.87</v>
      </c>
      <c r="AY524" s="450">
        <v>85.28</v>
      </c>
      <c r="AZ524" s="450">
        <v>84.71</v>
      </c>
      <c r="BA524" s="450" t="s">
        <v>556</v>
      </c>
      <c r="BB524" s="450" t="s">
        <v>556</v>
      </c>
      <c r="BC524" s="450" t="s">
        <v>556</v>
      </c>
      <c r="BD524" s="450" t="s">
        <v>556</v>
      </c>
      <c r="BE524" s="450" t="s">
        <v>556</v>
      </c>
    </row>
    <row r="525" spans="2:57" x14ac:dyDescent="0.25">
      <c r="B525" s="134">
        <v>88</v>
      </c>
      <c r="C525" s="450">
        <v>86.92</v>
      </c>
      <c r="D525" s="450">
        <v>86.24</v>
      </c>
      <c r="E525" s="450">
        <v>85.56</v>
      </c>
      <c r="F525" s="450">
        <v>84.87</v>
      </c>
      <c r="G525" s="450">
        <v>84.18</v>
      </c>
      <c r="H525" s="450">
        <v>83.49</v>
      </c>
      <c r="I525" s="450">
        <v>82.82</v>
      </c>
      <c r="J525" s="450">
        <v>82.15</v>
      </c>
      <c r="K525" s="450">
        <v>81.489999999999995</v>
      </c>
      <c r="L525" s="450">
        <v>80.86</v>
      </c>
      <c r="M525" s="450">
        <v>80.25</v>
      </c>
      <c r="N525" s="450">
        <v>79.66</v>
      </c>
      <c r="O525" s="450" t="s">
        <v>556</v>
      </c>
      <c r="P525" s="450" t="s">
        <v>556</v>
      </c>
      <c r="Q525" s="450" t="s">
        <v>556</v>
      </c>
      <c r="R525" s="450" t="s">
        <v>556</v>
      </c>
      <c r="S525" s="450" t="s">
        <v>556</v>
      </c>
      <c r="T525" s="133"/>
      <c r="U525" s="134">
        <v>88</v>
      </c>
      <c r="V525" s="450">
        <v>88.67</v>
      </c>
      <c r="W525" s="450">
        <v>88.01</v>
      </c>
      <c r="X525" s="450">
        <v>87.34</v>
      </c>
      <c r="Y525" s="450">
        <v>86.67</v>
      </c>
      <c r="Z525" s="450">
        <v>85.99</v>
      </c>
      <c r="AA525" s="450">
        <v>85.31</v>
      </c>
      <c r="AB525" s="450">
        <v>84.64</v>
      </c>
      <c r="AC525" s="450">
        <v>83.98</v>
      </c>
      <c r="AD525" s="450">
        <v>83.34</v>
      </c>
      <c r="AE525" s="450">
        <v>82.71</v>
      </c>
      <c r="AF525" s="450">
        <v>82.11</v>
      </c>
      <c r="AG525" s="450">
        <v>81.53</v>
      </c>
      <c r="AH525" s="450" t="s">
        <v>556</v>
      </c>
      <c r="AI525" s="450" t="s">
        <v>556</v>
      </c>
      <c r="AJ525" s="450" t="s">
        <v>556</v>
      </c>
      <c r="AK525" s="450" t="s">
        <v>556</v>
      </c>
      <c r="AL525" s="450" t="s">
        <v>556</v>
      </c>
      <c r="AM525" s="133"/>
      <c r="AN525" s="134">
        <v>88</v>
      </c>
      <c r="AO525" s="450">
        <v>90.22</v>
      </c>
      <c r="AP525" s="450">
        <v>89.56</v>
      </c>
      <c r="AQ525" s="450">
        <v>88.88</v>
      </c>
      <c r="AR525" s="450">
        <v>88.2</v>
      </c>
      <c r="AS525" s="450">
        <v>87.52</v>
      </c>
      <c r="AT525" s="450">
        <v>86.83</v>
      </c>
      <c r="AU525" s="450">
        <v>86.15</v>
      </c>
      <c r="AV525" s="450">
        <v>85.48</v>
      </c>
      <c r="AW525" s="450">
        <v>84.82</v>
      </c>
      <c r="AX525" s="450">
        <v>84.19</v>
      </c>
      <c r="AY525" s="450">
        <v>83.57</v>
      </c>
      <c r="AZ525" s="450">
        <v>82.98</v>
      </c>
      <c r="BA525" s="450" t="s">
        <v>556</v>
      </c>
      <c r="BB525" s="450" t="s">
        <v>556</v>
      </c>
      <c r="BC525" s="450" t="s">
        <v>556</v>
      </c>
      <c r="BD525" s="450" t="s">
        <v>556</v>
      </c>
      <c r="BE525" s="450" t="s">
        <v>556</v>
      </c>
    </row>
    <row r="526" spans="2:57" x14ac:dyDescent="0.25">
      <c r="B526" s="134">
        <v>89</v>
      </c>
      <c r="C526" s="450">
        <v>85.54</v>
      </c>
      <c r="D526" s="450">
        <v>84.8</v>
      </c>
      <c r="E526" s="450">
        <v>84.05</v>
      </c>
      <c r="F526" s="450">
        <v>83.31</v>
      </c>
      <c r="G526" s="450">
        <v>82.57</v>
      </c>
      <c r="H526" s="450">
        <v>81.83</v>
      </c>
      <c r="I526" s="450">
        <v>81.11</v>
      </c>
      <c r="J526" s="450">
        <v>80.41</v>
      </c>
      <c r="K526" s="450">
        <v>79.72</v>
      </c>
      <c r="L526" s="450">
        <v>79.06</v>
      </c>
      <c r="M526" s="450">
        <v>78.42</v>
      </c>
      <c r="N526" s="450">
        <v>77.319999999999993</v>
      </c>
      <c r="O526" s="450" t="s">
        <v>556</v>
      </c>
      <c r="P526" s="450" t="s">
        <v>556</v>
      </c>
      <c r="Q526" s="450" t="s">
        <v>556</v>
      </c>
      <c r="R526" s="450" t="s">
        <v>556</v>
      </c>
      <c r="S526" s="450" t="s">
        <v>556</v>
      </c>
      <c r="T526" s="133"/>
      <c r="U526" s="134">
        <v>89</v>
      </c>
      <c r="V526" s="450">
        <v>87.32</v>
      </c>
      <c r="W526" s="450">
        <v>86.6</v>
      </c>
      <c r="X526" s="450">
        <v>85.86</v>
      </c>
      <c r="Y526" s="450">
        <v>85.13</v>
      </c>
      <c r="Z526" s="450">
        <v>84.4</v>
      </c>
      <c r="AA526" s="450">
        <v>83.68</v>
      </c>
      <c r="AB526" s="450">
        <v>82.96</v>
      </c>
      <c r="AC526" s="450">
        <v>82.27</v>
      </c>
      <c r="AD526" s="450">
        <v>81.59</v>
      </c>
      <c r="AE526" s="450">
        <v>80.94</v>
      </c>
      <c r="AF526" s="450">
        <v>80.31</v>
      </c>
      <c r="AG526" s="450">
        <v>79.209999999999994</v>
      </c>
      <c r="AH526" s="450" t="s">
        <v>556</v>
      </c>
      <c r="AI526" s="450" t="s">
        <v>556</v>
      </c>
      <c r="AJ526" s="450" t="s">
        <v>556</v>
      </c>
      <c r="AK526" s="450" t="s">
        <v>556</v>
      </c>
      <c r="AL526" s="450" t="s">
        <v>556</v>
      </c>
      <c r="AM526" s="133"/>
      <c r="AN526" s="134">
        <v>89</v>
      </c>
      <c r="AO526" s="450">
        <v>88.86</v>
      </c>
      <c r="AP526" s="450">
        <v>88.13</v>
      </c>
      <c r="AQ526" s="450">
        <v>87.39</v>
      </c>
      <c r="AR526" s="450">
        <v>86.65</v>
      </c>
      <c r="AS526" s="450">
        <v>85.91</v>
      </c>
      <c r="AT526" s="450">
        <v>85.18</v>
      </c>
      <c r="AU526" s="450">
        <v>84.46</v>
      </c>
      <c r="AV526" s="450">
        <v>83.75</v>
      </c>
      <c r="AW526" s="450">
        <v>83.06</v>
      </c>
      <c r="AX526" s="450">
        <v>82.4</v>
      </c>
      <c r="AY526" s="450">
        <v>81.75</v>
      </c>
      <c r="AZ526" s="450">
        <v>80.63</v>
      </c>
      <c r="BA526" s="450" t="s">
        <v>556</v>
      </c>
      <c r="BB526" s="450" t="s">
        <v>556</v>
      </c>
      <c r="BC526" s="450" t="s">
        <v>556</v>
      </c>
      <c r="BD526" s="450" t="s">
        <v>556</v>
      </c>
      <c r="BE526" s="450" t="s">
        <v>556</v>
      </c>
    </row>
    <row r="527" spans="2:57" x14ac:dyDescent="0.25">
      <c r="B527" s="134">
        <v>90</v>
      </c>
      <c r="C527" s="450">
        <v>84.03</v>
      </c>
      <c r="D527" s="450">
        <v>83.22</v>
      </c>
      <c r="E527" s="450">
        <v>82.42</v>
      </c>
      <c r="F527" s="450">
        <v>81.62</v>
      </c>
      <c r="G527" s="450">
        <v>80.84</v>
      </c>
      <c r="H527" s="450">
        <v>80.06</v>
      </c>
      <c r="I527" s="450">
        <v>79.3</v>
      </c>
      <c r="J527" s="450">
        <v>78.569999999999993</v>
      </c>
      <c r="K527" s="450">
        <v>77.849999999999994</v>
      </c>
      <c r="L527" s="450">
        <v>77.16</v>
      </c>
      <c r="M527" s="450">
        <v>76</v>
      </c>
      <c r="N527" s="450" t="s">
        <v>556</v>
      </c>
      <c r="O527" s="450" t="s">
        <v>556</v>
      </c>
      <c r="P527" s="450" t="s">
        <v>556</v>
      </c>
      <c r="Q527" s="450" t="s">
        <v>556</v>
      </c>
      <c r="R527" s="450" t="s">
        <v>556</v>
      </c>
      <c r="S527" s="450" t="s">
        <v>556</v>
      </c>
      <c r="T527" s="133"/>
      <c r="U527" s="134">
        <v>90</v>
      </c>
      <c r="V527" s="450">
        <v>85.84</v>
      </c>
      <c r="W527" s="450">
        <v>85.05</v>
      </c>
      <c r="X527" s="450">
        <v>84.26</v>
      </c>
      <c r="Y527" s="450">
        <v>83.47</v>
      </c>
      <c r="Z527" s="450">
        <v>82.69</v>
      </c>
      <c r="AA527" s="450">
        <v>81.93</v>
      </c>
      <c r="AB527" s="450">
        <v>81.180000000000007</v>
      </c>
      <c r="AC527" s="450">
        <v>80.45</v>
      </c>
      <c r="AD527" s="450">
        <v>79.75</v>
      </c>
      <c r="AE527" s="450">
        <v>79.069999999999993</v>
      </c>
      <c r="AF527" s="450">
        <v>77.91</v>
      </c>
      <c r="AG527" s="450" t="s">
        <v>556</v>
      </c>
      <c r="AH527" s="450" t="s">
        <v>556</v>
      </c>
      <c r="AI527" s="450" t="s">
        <v>556</v>
      </c>
      <c r="AJ527" s="450" t="s">
        <v>556</v>
      </c>
      <c r="AK527" s="450" t="s">
        <v>556</v>
      </c>
      <c r="AL527" s="450" t="s">
        <v>556</v>
      </c>
      <c r="AM527" s="133"/>
      <c r="AN527" s="134">
        <v>90</v>
      </c>
      <c r="AO527" s="450">
        <v>87.36</v>
      </c>
      <c r="AP527" s="450">
        <v>86.56</v>
      </c>
      <c r="AQ527" s="450">
        <v>85.77</v>
      </c>
      <c r="AR527" s="450">
        <v>84.98</v>
      </c>
      <c r="AS527" s="450">
        <v>84.19</v>
      </c>
      <c r="AT527" s="450">
        <v>83.41</v>
      </c>
      <c r="AU527" s="450">
        <v>82.65</v>
      </c>
      <c r="AV527" s="450">
        <v>81.91</v>
      </c>
      <c r="AW527" s="450">
        <v>81.2</v>
      </c>
      <c r="AX527" s="450">
        <v>80.510000000000005</v>
      </c>
      <c r="AY527" s="450">
        <v>79.319999999999993</v>
      </c>
      <c r="AZ527" s="450" t="s">
        <v>556</v>
      </c>
      <c r="BA527" s="450" t="s">
        <v>556</v>
      </c>
      <c r="BB527" s="450" t="s">
        <v>556</v>
      </c>
      <c r="BC527" s="450" t="s">
        <v>556</v>
      </c>
      <c r="BD527" s="450" t="s">
        <v>556</v>
      </c>
      <c r="BE527" s="450" t="s">
        <v>556</v>
      </c>
    </row>
    <row r="528" spans="2:57" x14ac:dyDescent="0.25">
      <c r="B528" s="134">
        <v>91</v>
      </c>
      <c r="C528" s="450">
        <v>82.39</v>
      </c>
      <c r="D528" s="450">
        <v>81.53</v>
      </c>
      <c r="E528" s="450">
        <v>80.67</v>
      </c>
      <c r="F528" s="450">
        <v>79.83</v>
      </c>
      <c r="G528" s="450">
        <v>79</v>
      </c>
      <c r="H528" s="450">
        <v>78.19</v>
      </c>
      <c r="I528" s="450">
        <v>77.400000000000006</v>
      </c>
      <c r="J528" s="450">
        <v>76.63</v>
      </c>
      <c r="K528" s="450">
        <v>75.89</v>
      </c>
      <c r="L528" s="450">
        <v>74.67</v>
      </c>
      <c r="M528" s="450" t="s">
        <v>556</v>
      </c>
      <c r="N528" s="450" t="s">
        <v>556</v>
      </c>
      <c r="O528" s="450" t="s">
        <v>556</v>
      </c>
      <c r="P528" s="450" t="s">
        <v>556</v>
      </c>
      <c r="Q528" s="450" t="s">
        <v>556</v>
      </c>
      <c r="R528" s="450" t="s">
        <v>556</v>
      </c>
      <c r="S528" s="450" t="s">
        <v>556</v>
      </c>
      <c r="T528" s="133"/>
      <c r="U528" s="134">
        <v>91</v>
      </c>
      <c r="V528" s="450">
        <v>84.22</v>
      </c>
      <c r="W528" s="450">
        <v>83.37</v>
      </c>
      <c r="X528" s="450">
        <v>82.53</v>
      </c>
      <c r="Y528" s="450">
        <v>81.7</v>
      </c>
      <c r="Z528" s="450">
        <v>80.88</v>
      </c>
      <c r="AA528" s="450">
        <v>80.08</v>
      </c>
      <c r="AB528" s="450">
        <v>79.3</v>
      </c>
      <c r="AC528" s="450">
        <v>78.540000000000006</v>
      </c>
      <c r="AD528" s="450">
        <v>77.81</v>
      </c>
      <c r="AE528" s="450">
        <v>76.599999999999994</v>
      </c>
      <c r="AF528" s="450" t="s">
        <v>556</v>
      </c>
      <c r="AG528" s="450" t="s">
        <v>556</v>
      </c>
      <c r="AH528" s="450" t="s">
        <v>556</v>
      </c>
      <c r="AI528" s="450" t="s">
        <v>556</v>
      </c>
      <c r="AJ528" s="450" t="s">
        <v>556</v>
      </c>
      <c r="AK528" s="450" t="s">
        <v>556</v>
      </c>
      <c r="AL528" s="450" t="s">
        <v>556</v>
      </c>
      <c r="AM528" s="133"/>
      <c r="AN528" s="134">
        <v>91</v>
      </c>
      <c r="AO528" s="450">
        <v>85.73</v>
      </c>
      <c r="AP528" s="450">
        <v>84.88</v>
      </c>
      <c r="AQ528" s="450">
        <v>84.03</v>
      </c>
      <c r="AR528" s="450">
        <v>83.19</v>
      </c>
      <c r="AS528" s="450">
        <v>82.36</v>
      </c>
      <c r="AT528" s="450">
        <v>81.55</v>
      </c>
      <c r="AU528" s="450">
        <v>80.75</v>
      </c>
      <c r="AV528" s="450">
        <v>79.989999999999995</v>
      </c>
      <c r="AW528" s="450">
        <v>79.239999999999995</v>
      </c>
      <c r="AX528" s="450">
        <v>78</v>
      </c>
      <c r="AY528" s="450" t="s">
        <v>556</v>
      </c>
      <c r="AZ528" s="450" t="s">
        <v>556</v>
      </c>
      <c r="BA528" s="450" t="s">
        <v>556</v>
      </c>
      <c r="BB528" s="450" t="s">
        <v>556</v>
      </c>
      <c r="BC528" s="450" t="s">
        <v>556</v>
      </c>
      <c r="BD528" s="450" t="s">
        <v>556</v>
      </c>
      <c r="BE528" s="450" t="s">
        <v>556</v>
      </c>
    </row>
    <row r="529" spans="2:57" x14ac:dyDescent="0.25">
      <c r="B529" s="134">
        <v>92</v>
      </c>
      <c r="C529" s="450">
        <v>80.63</v>
      </c>
      <c r="D529" s="450">
        <v>79.72</v>
      </c>
      <c r="E529" s="450">
        <v>78.819999999999993</v>
      </c>
      <c r="F529" s="450">
        <v>77.930000000000007</v>
      </c>
      <c r="G529" s="450">
        <v>77.069999999999993</v>
      </c>
      <c r="H529" s="450">
        <v>76.22</v>
      </c>
      <c r="I529" s="450">
        <v>75.400000000000006</v>
      </c>
      <c r="J529" s="450">
        <v>74.61</v>
      </c>
      <c r="K529" s="450">
        <v>73.34</v>
      </c>
      <c r="L529" s="450" t="s">
        <v>556</v>
      </c>
      <c r="M529" s="450" t="s">
        <v>556</v>
      </c>
      <c r="N529" s="450" t="s">
        <v>556</v>
      </c>
      <c r="O529" s="450" t="s">
        <v>556</v>
      </c>
      <c r="P529" s="450" t="s">
        <v>556</v>
      </c>
      <c r="Q529" s="450" t="s">
        <v>556</v>
      </c>
      <c r="R529" s="450" t="s">
        <v>556</v>
      </c>
      <c r="S529" s="450" t="s">
        <v>556</v>
      </c>
      <c r="T529" s="133"/>
      <c r="U529" s="134">
        <v>92</v>
      </c>
      <c r="V529" s="450">
        <v>82.49</v>
      </c>
      <c r="W529" s="450">
        <v>81.59</v>
      </c>
      <c r="X529" s="450">
        <v>80.7</v>
      </c>
      <c r="Y529" s="450">
        <v>79.83</v>
      </c>
      <c r="Z529" s="450">
        <v>78.97</v>
      </c>
      <c r="AA529" s="450">
        <v>78.14</v>
      </c>
      <c r="AB529" s="450">
        <v>77.33</v>
      </c>
      <c r="AC529" s="450">
        <v>76.55</v>
      </c>
      <c r="AD529" s="450">
        <v>75.28</v>
      </c>
      <c r="AE529" s="450" t="s">
        <v>556</v>
      </c>
      <c r="AF529" s="450" t="s">
        <v>556</v>
      </c>
      <c r="AG529" s="450" t="s">
        <v>556</v>
      </c>
      <c r="AH529" s="450" t="s">
        <v>556</v>
      </c>
      <c r="AI529" s="450" t="s">
        <v>556</v>
      </c>
      <c r="AJ529" s="450" t="s">
        <v>556</v>
      </c>
      <c r="AK529" s="450" t="s">
        <v>556</v>
      </c>
      <c r="AL529" s="450" t="s">
        <v>556</v>
      </c>
      <c r="AM529" s="133"/>
      <c r="AN529" s="134">
        <v>92</v>
      </c>
      <c r="AO529" s="450">
        <v>83.98</v>
      </c>
      <c r="AP529" s="450">
        <v>83.08</v>
      </c>
      <c r="AQ529" s="450">
        <v>82.18</v>
      </c>
      <c r="AR529" s="450">
        <v>81.3</v>
      </c>
      <c r="AS529" s="450">
        <v>80.430000000000007</v>
      </c>
      <c r="AT529" s="450">
        <v>79.59</v>
      </c>
      <c r="AU529" s="450">
        <v>78.77</v>
      </c>
      <c r="AV529" s="450">
        <v>77.97</v>
      </c>
      <c r="AW529" s="450">
        <v>76.67</v>
      </c>
      <c r="AX529" s="450" t="s">
        <v>556</v>
      </c>
      <c r="AY529" s="450" t="s">
        <v>556</v>
      </c>
      <c r="AZ529" s="450" t="s">
        <v>556</v>
      </c>
      <c r="BA529" s="450" t="s">
        <v>556</v>
      </c>
      <c r="BB529" s="450" t="s">
        <v>556</v>
      </c>
      <c r="BC529" s="450" t="s">
        <v>556</v>
      </c>
      <c r="BD529" s="450" t="s">
        <v>556</v>
      </c>
      <c r="BE529" s="450" t="s">
        <v>556</v>
      </c>
    </row>
    <row r="530" spans="2:57" x14ac:dyDescent="0.25">
      <c r="B530" s="134">
        <v>93</v>
      </c>
      <c r="C530" s="450">
        <v>78.77</v>
      </c>
      <c r="D530" s="450">
        <v>77.81</v>
      </c>
      <c r="E530" s="450">
        <v>76.87</v>
      </c>
      <c r="F530" s="450">
        <v>75.95</v>
      </c>
      <c r="G530" s="450">
        <v>75.05</v>
      </c>
      <c r="H530" s="450">
        <v>74.180000000000007</v>
      </c>
      <c r="I530" s="450">
        <v>73.33</v>
      </c>
      <c r="J530" s="450">
        <v>72</v>
      </c>
      <c r="K530" s="450" t="s">
        <v>556</v>
      </c>
      <c r="L530" s="450" t="s">
        <v>556</v>
      </c>
      <c r="M530" s="450" t="s">
        <v>556</v>
      </c>
      <c r="N530" s="450" t="s">
        <v>556</v>
      </c>
      <c r="O530" s="450" t="s">
        <v>556</v>
      </c>
      <c r="P530" s="450" t="s">
        <v>556</v>
      </c>
      <c r="Q530" s="450" t="s">
        <v>556</v>
      </c>
      <c r="R530" s="450" t="s">
        <v>556</v>
      </c>
      <c r="S530" s="450" t="s">
        <v>556</v>
      </c>
      <c r="T530" s="133"/>
      <c r="U530" s="134">
        <v>93</v>
      </c>
      <c r="V530" s="450">
        <v>80.66</v>
      </c>
      <c r="W530" s="450">
        <v>79.709999999999994</v>
      </c>
      <c r="X530" s="450">
        <v>78.78</v>
      </c>
      <c r="Y530" s="450">
        <v>77.87</v>
      </c>
      <c r="Z530" s="450">
        <v>76.98</v>
      </c>
      <c r="AA530" s="450">
        <v>76.12</v>
      </c>
      <c r="AB530" s="450">
        <v>75.290000000000006</v>
      </c>
      <c r="AC530" s="450">
        <v>73.95</v>
      </c>
      <c r="AD530" s="450" t="s">
        <v>556</v>
      </c>
      <c r="AE530" s="450" t="s">
        <v>556</v>
      </c>
      <c r="AF530" s="450" t="s">
        <v>556</v>
      </c>
      <c r="AG530" s="450" t="s">
        <v>556</v>
      </c>
      <c r="AH530" s="450" t="s">
        <v>556</v>
      </c>
      <c r="AI530" s="450" t="s">
        <v>556</v>
      </c>
      <c r="AJ530" s="450" t="s">
        <v>556</v>
      </c>
      <c r="AK530" s="450" t="s">
        <v>556</v>
      </c>
      <c r="AL530" s="450" t="s">
        <v>556</v>
      </c>
      <c r="AM530" s="133"/>
      <c r="AN530" s="134">
        <v>93</v>
      </c>
      <c r="AO530" s="450">
        <v>82.13</v>
      </c>
      <c r="AP530" s="450">
        <v>81.180000000000007</v>
      </c>
      <c r="AQ530" s="450">
        <v>80.239999999999995</v>
      </c>
      <c r="AR530" s="450">
        <v>79.319999999999993</v>
      </c>
      <c r="AS530" s="450">
        <v>78.42</v>
      </c>
      <c r="AT530" s="450">
        <v>77.55</v>
      </c>
      <c r="AU530" s="450">
        <v>76.7</v>
      </c>
      <c r="AV530" s="450">
        <v>75.349999999999994</v>
      </c>
      <c r="AW530" s="450" t="s">
        <v>556</v>
      </c>
      <c r="AX530" s="450" t="s">
        <v>556</v>
      </c>
      <c r="AY530" s="450" t="s">
        <v>556</v>
      </c>
      <c r="AZ530" s="450" t="s">
        <v>556</v>
      </c>
      <c r="BA530" s="450" t="s">
        <v>556</v>
      </c>
      <c r="BB530" s="450" t="s">
        <v>556</v>
      </c>
      <c r="BC530" s="450" t="s">
        <v>556</v>
      </c>
      <c r="BD530" s="450" t="s">
        <v>556</v>
      </c>
      <c r="BE530" s="450" t="s">
        <v>556</v>
      </c>
    </row>
    <row r="531" spans="2:57" x14ac:dyDescent="0.25">
      <c r="B531" s="134">
        <v>94</v>
      </c>
      <c r="C531" s="450">
        <v>76.819999999999993</v>
      </c>
      <c r="D531" s="450">
        <v>75.819999999999993</v>
      </c>
      <c r="E531" s="450">
        <v>74.84</v>
      </c>
      <c r="F531" s="450">
        <v>73.89</v>
      </c>
      <c r="G531" s="450">
        <v>72.959999999999994</v>
      </c>
      <c r="H531" s="450">
        <v>72.06</v>
      </c>
      <c r="I531" s="450">
        <v>70.67</v>
      </c>
      <c r="J531" s="450" t="s">
        <v>556</v>
      </c>
      <c r="K531" s="450" t="s">
        <v>556</v>
      </c>
      <c r="L531" s="450" t="s">
        <v>556</v>
      </c>
      <c r="M531" s="450" t="s">
        <v>556</v>
      </c>
      <c r="N531" s="450" t="s">
        <v>556</v>
      </c>
      <c r="O531" s="450" t="s">
        <v>556</v>
      </c>
      <c r="P531" s="450" t="s">
        <v>556</v>
      </c>
      <c r="Q531" s="450" t="s">
        <v>556</v>
      </c>
      <c r="R531" s="450" t="s">
        <v>556</v>
      </c>
      <c r="S531" s="450" t="s">
        <v>556</v>
      </c>
      <c r="T531" s="133"/>
      <c r="U531" s="134">
        <v>94</v>
      </c>
      <c r="V531" s="450">
        <v>78.73</v>
      </c>
      <c r="W531" s="450">
        <v>77.739999999999995</v>
      </c>
      <c r="X531" s="450">
        <v>76.77</v>
      </c>
      <c r="Y531" s="450">
        <v>75.83</v>
      </c>
      <c r="Z531" s="450">
        <v>74.91</v>
      </c>
      <c r="AA531" s="450">
        <v>74.03</v>
      </c>
      <c r="AB531" s="450">
        <v>72.64</v>
      </c>
      <c r="AC531" s="450" t="s">
        <v>556</v>
      </c>
      <c r="AD531" s="450" t="s">
        <v>556</v>
      </c>
      <c r="AE531" s="450" t="s">
        <v>556</v>
      </c>
      <c r="AF531" s="450" t="s">
        <v>556</v>
      </c>
      <c r="AG531" s="450" t="s">
        <v>556</v>
      </c>
      <c r="AH531" s="450" t="s">
        <v>556</v>
      </c>
      <c r="AI531" s="450" t="s">
        <v>556</v>
      </c>
      <c r="AJ531" s="450" t="s">
        <v>556</v>
      </c>
      <c r="AK531" s="450" t="s">
        <v>556</v>
      </c>
      <c r="AL531" s="450" t="s">
        <v>556</v>
      </c>
      <c r="AM531" s="133"/>
      <c r="AN531" s="134">
        <v>94</v>
      </c>
      <c r="AO531" s="450">
        <v>80.180000000000007</v>
      </c>
      <c r="AP531" s="450">
        <v>79.180000000000007</v>
      </c>
      <c r="AQ531" s="450">
        <v>78.209999999999994</v>
      </c>
      <c r="AR531" s="450">
        <v>77.260000000000005</v>
      </c>
      <c r="AS531" s="450">
        <v>76.33</v>
      </c>
      <c r="AT531" s="450">
        <v>75.430000000000007</v>
      </c>
      <c r="AU531" s="450">
        <v>74.02</v>
      </c>
      <c r="AV531" s="450" t="s">
        <v>556</v>
      </c>
      <c r="AW531" s="450" t="s">
        <v>556</v>
      </c>
      <c r="AX531" s="450" t="s">
        <v>556</v>
      </c>
      <c r="AY531" s="450" t="s">
        <v>556</v>
      </c>
      <c r="AZ531" s="450" t="s">
        <v>556</v>
      </c>
      <c r="BA531" s="450" t="s">
        <v>556</v>
      </c>
      <c r="BB531" s="450" t="s">
        <v>556</v>
      </c>
      <c r="BC531" s="450" t="s">
        <v>556</v>
      </c>
      <c r="BD531" s="450" t="s">
        <v>556</v>
      </c>
      <c r="BE531" s="450" t="s">
        <v>556</v>
      </c>
    </row>
    <row r="532" spans="2:57" x14ac:dyDescent="0.25">
      <c r="B532" s="134">
        <v>95</v>
      </c>
      <c r="C532" s="450">
        <v>74.78</v>
      </c>
      <c r="D532" s="450">
        <v>73.75</v>
      </c>
      <c r="E532" s="450">
        <v>72.73</v>
      </c>
      <c r="F532" s="450">
        <v>71.75</v>
      </c>
      <c r="G532" s="450">
        <v>70.790000000000006</v>
      </c>
      <c r="H532" s="450">
        <v>69.349999999999994</v>
      </c>
      <c r="I532" s="450" t="s">
        <v>556</v>
      </c>
      <c r="J532" s="450" t="s">
        <v>556</v>
      </c>
      <c r="K532" s="450" t="s">
        <v>556</v>
      </c>
      <c r="L532" s="450" t="s">
        <v>556</v>
      </c>
      <c r="M532" s="450" t="s">
        <v>556</v>
      </c>
      <c r="N532" s="450" t="s">
        <v>556</v>
      </c>
      <c r="O532" s="450" t="s">
        <v>556</v>
      </c>
      <c r="P532" s="450" t="s">
        <v>556</v>
      </c>
      <c r="Q532" s="450" t="s">
        <v>556</v>
      </c>
      <c r="R532" s="450" t="s">
        <v>556</v>
      </c>
      <c r="S532" s="450" t="s">
        <v>556</v>
      </c>
      <c r="T532" s="133"/>
      <c r="U532" s="134">
        <v>95</v>
      </c>
      <c r="V532" s="450">
        <v>76.72</v>
      </c>
      <c r="W532" s="450">
        <v>75.69</v>
      </c>
      <c r="X532" s="450">
        <v>74.69</v>
      </c>
      <c r="Y532" s="450">
        <v>73.72</v>
      </c>
      <c r="Z532" s="450">
        <v>72.78</v>
      </c>
      <c r="AA532" s="450">
        <v>71.34</v>
      </c>
      <c r="AB532" s="450" t="s">
        <v>556</v>
      </c>
      <c r="AC532" s="450" t="s">
        <v>556</v>
      </c>
      <c r="AD532" s="450" t="s">
        <v>556</v>
      </c>
      <c r="AE532" s="450" t="s">
        <v>556</v>
      </c>
      <c r="AF532" s="450" t="s">
        <v>556</v>
      </c>
      <c r="AG532" s="450" t="s">
        <v>556</v>
      </c>
      <c r="AH532" s="450" t="s">
        <v>556</v>
      </c>
      <c r="AI532" s="450" t="s">
        <v>556</v>
      </c>
      <c r="AJ532" s="450" t="s">
        <v>556</v>
      </c>
      <c r="AK532" s="450" t="s">
        <v>556</v>
      </c>
      <c r="AL532" s="450" t="s">
        <v>556</v>
      </c>
      <c r="AM532" s="133"/>
      <c r="AN532" s="134">
        <v>95</v>
      </c>
      <c r="AO532" s="450">
        <v>78.14</v>
      </c>
      <c r="AP532" s="450">
        <v>77.12</v>
      </c>
      <c r="AQ532" s="450">
        <v>76.11</v>
      </c>
      <c r="AR532" s="450">
        <v>75.13</v>
      </c>
      <c r="AS532" s="450">
        <v>74.180000000000007</v>
      </c>
      <c r="AT532" s="450">
        <v>72.709999999999994</v>
      </c>
      <c r="AU532" s="450" t="s">
        <v>556</v>
      </c>
      <c r="AV532" s="450" t="s">
        <v>556</v>
      </c>
      <c r="AW532" s="450" t="s">
        <v>556</v>
      </c>
      <c r="AX532" s="450" t="s">
        <v>556</v>
      </c>
      <c r="AY532" s="450" t="s">
        <v>556</v>
      </c>
      <c r="AZ532" s="450" t="s">
        <v>556</v>
      </c>
      <c r="BA532" s="450" t="s">
        <v>556</v>
      </c>
      <c r="BB532" s="450" t="s">
        <v>556</v>
      </c>
      <c r="BC532" s="450" t="s">
        <v>556</v>
      </c>
      <c r="BD532" s="450" t="s">
        <v>556</v>
      </c>
      <c r="BE532" s="450" t="s">
        <v>556</v>
      </c>
    </row>
    <row r="533" spans="2:57" x14ac:dyDescent="0.25">
      <c r="B533" s="134">
        <v>96</v>
      </c>
      <c r="C533" s="450">
        <v>72.67</v>
      </c>
      <c r="D533" s="450">
        <v>71.599999999999994</v>
      </c>
      <c r="E533" s="450">
        <v>70.56</v>
      </c>
      <c r="F533" s="450">
        <v>69.55</v>
      </c>
      <c r="G533" s="450">
        <v>68.05</v>
      </c>
      <c r="H533" s="450" t="s">
        <v>556</v>
      </c>
      <c r="I533" s="450" t="s">
        <v>556</v>
      </c>
      <c r="J533" s="450" t="s">
        <v>556</v>
      </c>
      <c r="K533" s="450" t="s">
        <v>556</v>
      </c>
      <c r="L533" s="450" t="s">
        <v>556</v>
      </c>
      <c r="M533" s="450" t="s">
        <v>556</v>
      </c>
      <c r="N533" s="450" t="s">
        <v>556</v>
      </c>
      <c r="O533" s="450" t="s">
        <v>556</v>
      </c>
      <c r="P533" s="450" t="s">
        <v>556</v>
      </c>
      <c r="Q533" s="450" t="s">
        <v>556</v>
      </c>
      <c r="R533" s="450" t="s">
        <v>556</v>
      </c>
      <c r="S533" s="450" t="s">
        <v>556</v>
      </c>
      <c r="T533" s="133"/>
      <c r="U533" s="134">
        <v>96</v>
      </c>
      <c r="V533" s="450">
        <v>74.63</v>
      </c>
      <c r="W533" s="450">
        <v>73.569999999999993</v>
      </c>
      <c r="X533" s="450">
        <v>72.55</v>
      </c>
      <c r="Y533" s="450">
        <v>71.55</v>
      </c>
      <c r="Z533" s="450">
        <v>70.05</v>
      </c>
      <c r="AA533" s="450" t="s">
        <v>556</v>
      </c>
      <c r="AB533" s="450" t="s">
        <v>556</v>
      </c>
      <c r="AC533" s="450" t="s">
        <v>556</v>
      </c>
      <c r="AD533" s="450" t="s">
        <v>556</v>
      </c>
      <c r="AE533" s="450" t="s">
        <v>556</v>
      </c>
      <c r="AF533" s="450" t="s">
        <v>556</v>
      </c>
      <c r="AG533" s="450" t="s">
        <v>556</v>
      </c>
      <c r="AH533" s="450" t="s">
        <v>556</v>
      </c>
      <c r="AI533" s="450" t="s">
        <v>556</v>
      </c>
      <c r="AJ533" s="450" t="s">
        <v>556</v>
      </c>
      <c r="AK533" s="450" t="s">
        <v>556</v>
      </c>
      <c r="AL533" s="450" t="s">
        <v>556</v>
      </c>
      <c r="AM533" s="133"/>
      <c r="AN533" s="134">
        <v>96</v>
      </c>
      <c r="AO533" s="450">
        <v>76.040000000000006</v>
      </c>
      <c r="AP533" s="450">
        <v>74.98</v>
      </c>
      <c r="AQ533" s="450">
        <v>73.94</v>
      </c>
      <c r="AR533" s="450">
        <v>72.94</v>
      </c>
      <c r="AS533" s="450">
        <v>71.42</v>
      </c>
      <c r="AT533" s="450" t="s">
        <v>556</v>
      </c>
      <c r="AU533" s="450" t="s">
        <v>556</v>
      </c>
      <c r="AV533" s="450" t="s">
        <v>556</v>
      </c>
      <c r="AW533" s="450" t="s">
        <v>556</v>
      </c>
      <c r="AX533" s="450" t="s">
        <v>556</v>
      </c>
      <c r="AY533" s="450" t="s">
        <v>556</v>
      </c>
      <c r="AZ533" s="450" t="s">
        <v>556</v>
      </c>
      <c r="BA533" s="450" t="s">
        <v>556</v>
      </c>
      <c r="BB533" s="450" t="s">
        <v>556</v>
      </c>
      <c r="BC533" s="450" t="s">
        <v>556</v>
      </c>
      <c r="BD533" s="450" t="s">
        <v>556</v>
      </c>
      <c r="BE533" s="450" t="s">
        <v>556</v>
      </c>
    </row>
    <row r="534" spans="2:57" x14ac:dyDescent="0.25">
      <c r="B534" s="134">
        <v>97</v>
      </c>
      <c r="C534" s="450">
        <v>70.489999999999995</v>
      </c>
      <c r="D534" s="450">
        <v>69.39</v>
      </c>
      <c r="E534" s="450">
        <v>68.319999999999993</v>
      </c>
      <c r="F534" s="450">
        <v>66.77</v>
      </c>
      <c r="G534" s="450" t="s">
        <v>556</v>
      </c>
      <c r="H534" s="450" t="s">
        <v>556</v>
      </c>
      <c r="I534" s="450" t="s">
        <v>556</v>
      </c>
      <c r="J534" s="450" t="s">
        <v>556</v>
      </c>
      <c r="K534" s="450" t="s">
        <v>556</v>
      </c>
      <c r="L534" s="450" t="s">
        <v>556</v>
      </c>
      <c r="M534" s="450" t="s">
        <v>556</v>
      </c>
      <c r="N534" s="450" t="s">
        <v>556</v>
      </c>
      <c r="O534" s="450" t="s">
        <v>556</v>
      </c>
      <c r="P534" s="450" t="s">
        <v>556</v>
      </c>
      <c r="Q534" s="450" t="s">
        <v>556</v>
      </c>
      <c r="R534" s="450" t="s">
        <v>556</v>
      </c>
      <c r="S534" s="450" t="s">
        <v>556</v>
      </c>
      <c r="T534" s="133"/>
      <c r="U534" s="134">
        <v>97</v>
      </c>
      <c r="V534" s="450">
        <v>72.48</v>
      </c>
      <c r="W534" s="450">
        <v>71.39</v>
      </c>
      <c r="X534" s="450">
        <v>70.34</v>
      </c>
      <c r="Y534" s="450">
        <v>68.790000000000006</v>
      </c>
      <c r="Z534" s="450" t="s">
        <v>556</v>
      </c>
      <c r="AA534" s="450" t="s">
        <v>556</v>
      </c>
      <c r="AB534" s="450" t="s">
        <v>556</v>
      </c>
      <c r="AC534" s="450" t="s">
        <v>556</v>
      </c>
      <c r="AD534" s="450" t="s">
        <v>556</v>
      </c>
      <c r="AE534" s="450" t="s">
        <v>556</v>
      </c>
      <c r="AF534" s="450" t="s">
        <v>556</v>
      </c>
      <c r="AG534" s="450" t="s">
        <v>556</v>
      </c>
      <c r="AH534" s="450" t="s">
        <v>556</v>
      </c>
      <c r="AI534" s="450" t="s">
        <v>556</v>
      </c>
      <c r="AJ534" s="450" t="s">
        <v>556</v>
      </c>
      <c r="AK534" s="450" t="s">
        <v>556</v>
      </c>
      <c r="AL534" s="450" t="s">
        <v>556</v>
      </c>
      <c r="AM534" s="133"/>
      <c r="AN534" s="134">
        <v>97</v>
      </c>
      <c r="AO534" s="450">
        <v>73.86</v>
      </c>
      <c r="AP534" s="450">
        <v>72.77</v>
      </c>
      <c r="AQ534" s="450">
        <v>71.709999999999994</v>
      </c>
      <c r="AR534" s="450">
        <v>70.14</v>
      </c>
      <c r="AS534" s="450" t="s">
        <v>556</v>
      </c>
      <c r="AT534" s="450" t="s">
        <v>556</v>
      </c>
      <c r="AU534" s="450" t="s">
        <v>556</v>
      </c>
      <c r="AV534" s="450" t="s">
        <v>556</v>
      </c>
      <c r="AW534" s="450" t="s">
        <v>556</v>
      </c>
      <c r="AX534" s="450" t="s">
        <v>556</v>
      </c>
      <c r="AY534" s="450" t="s">
        <v>556</v>
      </c>
      <c r="AZ534" s="450" t="s">
        <v>556</v>
      </c>
      <c r="BA534" s="450" t="s">
        <v>556</v>
      </c>
      <c r="BB534" s="450" t="s">
        <v>556</v>
      </c>
      <c r="BC534" s="450" t="s">
        <v>556</v>
      </c>
      <c r="BD534" s="450" t="s">
        <v>556</v>
      </c>
      <c r="BE534" s="450" t="s">
        <v>556</v>
      </c>
    </row>
    <row r="535" spans="2:57" x14ac:dyDescent="0.25">
      <c r="B535" s="134">
        <v>98</v>
      </c>
      <c r="C535" s="450">
        <v>68.25</v>
      </c>
      <c r="D535" s="450">
        <v>67.12</v>
      </c>
      <c r="E535" s="450">
        <v>65.5</v>
      </c>
      <c r="F535" s="450" t="s">
        <v>556</v>
      </c>
      <c r="G535" s="450" t="s">
        <v>556</v>
      </c>
      <c r="H535" s="450" t="s">
        <v>556</v>
      </c>
      <c r="I535" s="450" t="s">
        <v>556</v>
      </c>
      <c r="J535" s="450" t="s">
        <v>556</v>
      </c>
      <c r="K535" s="450" t="s">
        <v>556</v>
      </c>
      <c r="L535" s="450" t="s">
        <v>556</v>
      </c>
      <c r="M535" s="450" t="s">
        <v>556</v>
      </c>
      <c r="N535" s="450" t="s">
        <v>556</v>
      </c>
      <c r="O535" s="450" t="s">
        <v>556</v>
      </c>
      <c r="P535" s="450" t="s">
        <v>556</v>
      </c>
      <c r="Q535" s="450" t="s">
        <v>556</v>
      </c>
      <c r="R535" s="450" t="s">
        <v>556</v>
      </c>
      <c r="S535" s="450" t="s">
        <v>556</v>
      </c>
      <c r="T535" s="133"/>
      <c r="U535" s="134">
        <v>98</v>
      </c>
      <c r="V535" s="450">
        <v>70.260000000000005</v>
      </c>
      <c r="W535" s="450">
        <v>69.150000000000006</v>
      </c>
      <c r="X535" s="450">
        <v>67.540000000000006</v>
      </c>
      <c r="Y535" s="450" t="s">
        <v>556</v>
      </c>
      <c r="Z535" s="450" t="s">
        <v>556</v>
      </c>
      <c r="AA535" s="450" t="s">
        <v>556</v>
      </c>
      <c r="AB535" s="450" t="s">
        <v>556</v>
      </c>
      <c r="AC535" s="450" t="s">
        <v>556</v>
      </c>
      <c r="AD535" s="450" t="s">
        <v>556</v>
      </c>
      <c r="AE535" s="450" t="s">
        <v>556</v>
      </c>
      <c r="AF535" s="450" t="s">
        <v>556</v>
      </c>
      <c r="AG535" s="450" t="s">
        <v>556</v>
      </c>
      <c r="AH535" s="450" t="s">
        <v>556</v>
      </c>
      <c r="AI535" s="450" t="s">
        <v>556</v>
      </c>
      <c r="AJ535" s="450" t="s">
        <v>556</v>
      </c>
      <c r="AK535" s="450" t="s">
        <v>556</v>
      </c>
      <c r="AL535" s="450" t="s">
        <v>556</v>
      </c>
      <c r="AM535" s="133"/>
      <c r="AN535" s="134">
        <v>98</v>
      </c>
      <c r="AO535" s="450">
        <v>71.63</v>
      </c>
      <c r="AP535" s="450">
        <v>70.510000000000005</v>
      </c>
      <c r="AQ535" s="450">
        <v>68.89</v>
      </c>
      <c r="AR535" s="450" t="s">
        <v>556</v>
      </c>
      <c r="AS535" s="450" t="s">
        <v>556</v>
      </c>
      <c r="AT535" s="450" t="s">
        <v>556</v>
      </c>
      <c r="AU535" s="450" t="s">
        <v>556</v>
      </c>
      <c r="AV535" s="450" t="s">
        <v>556</v>
      </c>
      <c r="AW535" s="450" t="s">
        <v>556</v>
      </c>
      <c r="AX535" s="450" t="s">
        <v>556</v>
      </c>
      <c r="AY535" s="450" t="s">
        <v>556</v>
      </c>
      <c r="AZ535" s="450" t="s">
        <v>556</v>
      </c>
      <c r="BA535" s="450" t="s">
        <v>556</v>
      </c>
      <c r="BB535" s="450" t="s">
        <v>556</v>
      </c>
      <c r="BC535" s="450" t="s">
        <v>556</v>
      </c>
      <c r="BD535" s="450" t="s">
        <v>556</v>
      </c>
      <c r="BE535" s="450" t="s">
        <v>556</v>
      </c>
    </row>
    <row r="536" spans="2:57" x14ac:dyDescent="0.25">
      <c r="B536" s="134">
        <v>99</v>
      </c>
      <c r="C536" s="450">
        <v>65.930000000000007</v>
      </c>
      <c r="D536" s="450">
        <v>64.260000000000005</v>
      </c>
      <c r="E536" s="450" t="s">
        <v>556</v>
      </c>
      <c r="F536" s="450" t="s">
        <v>556</v>
      </c>
      <c r="G536" s="450" t="s">
        <v>556</v>
      </c>
      <c r="H536" s="450" t="s">
        <v>556</v>
      </c>
      <c r="I536" s="450" t="s">
        <v>556</v>
      </c>
      <c r="J536" s="450" t="s">
        <v>556</v>
      </c>
      <c r="K536" s="450" t="s">
        <v>556</v>
      </c>
      <c r="L536" s="450" t="s">
        <v>556</v>
      </c>
      <c r="M536" s="450" t="s">
        <v>556</v>
      </c>
      <c r="N536" s="450" t="s">
        <v>556</v>
      </c>
      <c r="O536" s="450" t="s">
        <v>556</v>
      </c>
      <c r="P536" s="450" t="s">
        <v>556</v>
      </c>
      <c r="Q536" s="450" t="s">
        <v>556</v>
      </c>
      <c r="R536" s="450" t="s">
        <v>556</v>
      </c>
      <c r="S536" s="450" t="s">
        <v>556</v>
      </c>
      <c r="T536" s="133"/>
      <c r="U536" s="134">
        <v>99</v>
      </c>
      <c r="V536" s="450">
        <v>67.989999999999995</v>
      </c>
      <c r="W536" s="450">
        <v>66.319999999999993</v>
      </c>
      <c r="X536" s="450" t="s">
        <v>556</v>
      </c>
      <c r="Y536" s="450" t="s">
        <v>556</v>
      </c>
      <c r="Z536" s="450" t="s">
        <v>556</v>
      </c>
      <c r="AA536" s="450" t="s">
        <v>556</v>
      </c>
      <c r="AB536" s="450" t="s">
        <v>556</v>
      </c>
      <c r="AC536" s="450" t="s">
        <v>556</v>
      </c>
      <c r="AD536" s="450" t="s">
        <v>556</v>
      </c>
      <c r="AE536" s="450" t="s">
        <v>556</v>
      </c>
      <c r="AF536" s="450" t="s">
        <v>556</v>
      </c>
      <c r="AG536" s="450" t="s">
        <v>556</v>
      </c>
      <c r="AH536" s="450" t="s">
        <v>556</v>
      </c>
      <c r="AI536" s="450" t="s">
        <v>556</v>
      </c>
      <c r="AJ536" s="450" t="s">
        <v>556</v>
      </c>
      <c r="AK536" s="450" t="s">
        <v>556</v>
      </c>
      <c r="AL536" s="450" t="s">
        <v>556</v>
      </c>
      <c r="AM536" s="133"/>
      <c r="AN536" s="134">
        <v>99</v>
      </c>
      <c r="AO536" s="450">
        <v>69.33</v>
      </c>
      <c r="AP536" s="450">
        <v>67.650000000000006</v>
      </c>
      <c r="AQ536" s="450" t="s">
        <v>556</v>
      </c>
      <c r="AR536" s="450" t="s">
        <v>556</v>
      </c>
      <c r="AS536" s="450" t="s">
        <v>556</v>
      </c>
      <c r="AT536" s="450" t="s">
        <v>556</v>
      </c>
      <c r="AU536" s="450" t="s">
        <v>556</v>
      </c>
      <c r="AV536" s="450" t="s">
        <v>556</v>
      </c>
      <c r="AW536" s="450" t="s">
        <v>556</v>
      </c>
      <c r="AX536" s="450" t="s">
        <v>556</v>
      </c>
      <c r="AY536" s="450" t="s">
        <v>556</v>
      </c>
      <c r="AZ536" s="450" t="s">
        <v>556</v>
      </c>
      <c r="BA536" s="450" t="s">
        <v>556</v>
      </c>
      <c r="BB536" s="450" t="s">
        <v>556</v>
      </c>
      <c r="BC536" s="450" t="s">
        <v>556</v>
      </c>
      <c r="BD536" s="450" t="s">
        <v>556</v>
      </c>
      <c r="BE536" s="450" t="s">
        <v>556</v>
      </c>
    </row>
    <row r="537" spans="2:57" x14ac:dyDescent="0.25">
      <c r="B537" s="134">
        <v>100</v>
      </c>
      <c r="C537" s="450">
        <v>62.44</v>
      </c>
      <c r="D537" s="450" t="s">
        <v>556</v>
      </c>
      <c r="E537" s="450" t="s">
        <v>556</v>
      </c>
      <c r="F537" s="450" t="s">
        <v>556</v>
      </c>
      <c r="G537" s="450" t="s">
        <v>556</v>
      </c>
      <c r="H537" s="450" t="s">
        <v>556</v>
      </c>
      <c r="I537" s="450" t="s">
        <v>556</v>
      </c>
      <c r="J537" s="450" t="s">
        <v>556</v>
      </c>
      <c r="K537" s="450" t="s">
        <v>556</v>
      </c>
      <c r="L537" s="450" t="s">
        <v>556</v>
      </c>
      <c r="M537" s="450" t="s">
        <v>556</v>
      </c>
      <c r="N537" s="450" t="s">
        <v>556</v>
      </c>
      <c r="O537" s="450" t="s">
        <v>556</v>
      </c>
      <c r="P537" s="450" t="s">
        <v>556</v>
      </c>
      <c r="Q537" s="450" t="s">
        <v>556</v>
      </c>
      <c r="R537" s="450" t="s">
        <v>556</v>
      </c>
      <c r="S537" s="450" t="s">
        <v>556</v>
      </c>
      <c r="T537" s="133"/>
      <c r="U537" s="134">
        <v>100</v>
      </c>
      <c r="V537" s="450">
        <v>64.5</v>
      </c>
      <c r="W537" s="450" t="s">
        <v>556</v>
      </c>
      <c r="X537" s="450" t="s">
        <v>556</v>
      </c>
      <c r="Y537" s="450" t="s">
        <v>556</v>
      </c>
      <c r="Z537" s="450" t="s">
        <v>556</v>
      </c>
      <c r="AA537" s="450" t="s">
        <v>556</v>
      </c>
      <c r="AB537" s="450" t="s">
        <v>556</v>
      </c>
      <c r="AC537" s="450" t="s">
        <v>556</v>
      </c>
      <c r="AD537" s="450" t="s">
        <v>556</v>
      </c>
      <c r="AE537" s="450" t="s">
        <v>556</v>
      </c>
      <c r="AF537" s="450" t="s">
        <v>556</v>
      </c>
      <c r="AG537" s="450" t="s">
        <v>556</v>
      </c>
      <c r="AH537" s="450" t="s">
        <v>556</v>
      </c>
      <c r="AI537" s="450" t="s">
        <v>556</v>
      </c>
      <c r="AJ537" s="450" t="s">
        <v>556</v>
      </c>
      <c r="AK537" s="450" t="s">
        <v>556</v>
      </c>
      <c r="AL537" s="450" t="s">
        <v>556</v>
      </c>
      <c r="AM537" s="133"/>
      <c r="AN537" s="134">
        <v>100</v>
      </c>
      <c r="AO537" s="450">
        <v>65.8</v>
      </c>
      <c r="AP537" s="450" t="s">
        <v>556</v>
      </c>
      <c r="AQ537" s="450" t="s">
        <v>556</v>
      </c>
      <c r="AR537" s="450" t="s">
        <v>556</v>
      </c>
      <c r="AS537" s="450" t="s">
        <v>556</v>
      </c>
      <c r="AT537" s="450" t="s">
        <v>556</v>
      </c>
      <c r="AU537" s="450" t="s">
        <v>556</v>
      </c>
      <c r="AV537" s="450" t="s">
        <v>556</v>
      </c>
      <c r="AW537" s="450" t="s">
        <v>556</v>
      </c>
      <c r="AX537" s="450" t="s">
        <v>556</v>
      </c>
      <c r="AY537" s="450" t="s">
        <v>556</v>
      </c>
      <c r="AZ537" s="450" t="s">
        <v>556</v>
      </c>
      <c r="BA537" s="450" t="s">
        <v>556</v>
      </c>
      <c r="BB537" s="450" t="s">
        <v>556</v>
      </c>
      <c r="BC537" s="450" t="s">
        <v>556</v>
      </c>
      <c r="BD537" s="450" t="s">
        <v>556</v>
      </c>
      <c r="BE537" s="450" t="s">
        <v>556</v>
      </c>
    </row>
    <row r="541" spans="2:57" ht="20.45" customHeight="1" x14ac:dyDescent="0.25">
      <c r="B541" s="444" t="s">
        <v>193</v>
      </c>
      <c r="C541" s="526" t="s">
        <v>231</v>
      </c>
      <c r="D541" s="527"/>
      <c r="E541" s="527"/>
      <c r="F541" s="527"/>
      <c r="G541" s="527"/>
      <c r="H541" s="527"/>
      <c r="I541" s="527"/>
      <c r="J541" s="527"/>
      <c r="K541" s="527"/>
      <c r="L541" s="527"/>
      <c r="M541" s="527"/>
      <c r="N541" s="527"/>
      <c r="O541" s="527"/>
      <c r="P541" s="527"/>
      <c r="Q541" s="527"/>
      <c r="R541" s="527"/>
      <c r="S541" s="527"/>
      <c r="V541" s="526" t="s">
        <v>231</v>
      </c>
      <c r="W541" s="527"/>
      <c r="X541" s="527"/>
      <c r="Y541" s="527"/>
      <c r="Z541" s="527"/>
      <c r="AA541" s="527"/>
      <c r="AB541" s="527"/>
      <c r="AC541" s="527"/>
      <c r="AD541" s="527"/>
      <c r="AE541" s="527"/>
      <c r="AF541" s="527"/>
      <c r="AG541" s="527"/>
      <c r="AH541" s="527"/>
      <c r="AI541" s="527"/>
      <c r="AJ541" s="527"/>
      <c r="AK541" s="527"/>
      <c r="AL541" s="527"/>
      <c r="AO541" s="526" t="s">
        <v>231</v>
      </c>
      <c r="AP541" s="527"/>
      <c r="AQ541" s="527"/>
      <c r="AR541" s="527"/>
      <c r="AS541" s="527"/>
      <c r="AT541" s="527"/>
      <c r="AU541" s="527"/>
      <c r="AV541" s="527"/>
      <c r="AW541" s="527"/>
      <c r="AX541" s="527"/>
      <c r="AY541" s="527"/>
      <c r="AZ541" s="527"/>
      <c r="BA541" s="527"/>
      <c r="BB541" s="527"/>
      <c r="BC541" s="527"/>
      <c r="BD541" s="527"/>
      <c r="BE541" s="527"/>
    </row>
    <row r="542" spans="2:57" x14ac:dyDescent="0.25">
      <c r="B542" s="444"/>
      <c r="V542" s="444"/>
      <c r="AO542" s="444"/>
    </row>
    <row r="543" spans="2:57" x14ac:dyDescent="0.25">
      <c r="C543" s="528" t="s">
        <v>173</v>
      </c>
      <c r="D543" s="528"/>
      <c r="E543" s="528"/>
      <c r="F543" s="528"/>
      <c r="G543" s="528"/>
      <c r="H543" s="528"/>
      <c r="I543" s="528"/>
      <c r="J543" s="528"/>
      <c r="K543" s="528"/>
      <c r="L543" s="528"/>
      <c r="M543" s="528"/>
      <c r="N543" s="528"/>
      <c r="O543" s="528"/>
      <c r="P543" s="528"/>
      <c r="Q543" s="528"/>
      <c r="R543" s="528"/>
      <c r="S543" s="528"/>
      <c r="V543" s="528" t="s">
        <v>165</v>
      </c>
      <c r="W543" s="528"/>
      <c r="X543" s="528"/>
      <c r="Y543" s="528"/>
      <c r="Z543" s="528"/>
      <c r="AA543" s="528"/>
      <c r="AB543" s="528"/>
      <c r="AC543" s="528"/>
      <c r="AD543" s="528"/>
      <c r="AE543" s="528"/>
      <c r="AF543" s="528"/>
      <c r="AG543" s="528"/>
      <c r="AH543" s="528"/>
      <c r="AI543" s="528"/>
      <c r="AJ543" s="528"/>
      <c r="AK543" s="528"/>
      <c r="AL543" s="528"/>
      <c r="AO543" s="528" t="s">
        <v>166</v>
      </c>
      <c r="AP543" s="528"/>
      <c r="AQ543" s="528"/>
      <c r="AR543" s="528"/>
      <c r="AS543" s="528"/>
      <c r="AT543" s="528"/>
      <c r="AU543" s="528"/>
      <c r="AV543" s="528"/>
      <c r="AW543" s="528"/>
      <c r="AX543" s="528"/>
      <c r="AY543" s="528"/>
      <c r="AZ543" s="528"/>
      <c r="BA543" s="528"/>
      <c r="BB543" s="528"/>
      <c r="BC543" s="528"/>
      <c r="BD543" s="528"/>
      <c r="BE543" s="528"/>
    </row>
    <row r="544" spans="2:57" ht="195" x14ac:dyDescent="0.25">
      <c r="B544" s="445" t="s">
        <v>14</v>
      </c>
      <c r="C544" s="446">
        <v>0</v>
      </c>
      <c r="D544" s="447">
        <v>1</v>
      </c>
      <c r="E544" s="447">
        <v>2</v>
      </c>
      <c r="F544" s="447">
        <v>3</v>
      </c>
      <c r="G544" s="447">
        <v>4</v>
      </c>
      <c r="H544" s="447">
        <v>5</v>
      </c>
      <c r="I544" s="447">
        <v>6</v>
      </c>
      <c r="J544" s="447">
        <v>7</v>
      </c>
      <c r="K544" s="447">
        <v>8</v>
      </c>
      <c r="L544" s="447">
        <v>9</v>
      </c>
      <c r="M544" s="447">
        <v>10</v>
      </c>
      <c r="N544" s="448" t="s">
        <v>15</v>
      </c>
      <c r="O544" s="447" t="s">
        <v>16</v>
      </c>
      <c r="P544" s="447" t="s">
        <v>17</v>
      </c>
      <c r="Q544" s="447" t="s">
        <v>18</v>
      </c>
      <c r="R544" s="447" t="s">
        <v>19</v>
      </c>
      <c r="S544" s="447" t="s">
        <v>20</v>
      </c>
      <c r="T544" s="449"/>
      <c r="U544" s="445" t="s">
        <v>14</v>
      </c>
      <c r="V544" s="446">
        <v>0</v>
      </c>
      <c r="W544" s="447">
        <v>1</v>
      </c>
      <c r="X544" s="447">
        <v>2</v>
      </c>
      <c r="Y544" s="447">
        <v>3</v>
      </c>
      <c r="Z544" s="447">
        <v>4</v>
      </c>
      <c r="AA544" s="447">
        <v>5</v>
      </c>
      <c r="AB544" s="447">
        <v>6</v>
      </c>
      <c r="AC544" s="447">
        <v>7</v>
      </c>
      <c r="AD544" s="447">
        <v>8</v>
      </c>
      <c r="AE544" s="447">
        <v>9</v>
      </c>
      <c r="AF544" s="447">
        <v>10</v>
      </c>
      <c r="AG544" s="448" t="s">
        <v>15</v>
      </c>
      <c r="AH544" s="447" t="s">
        <v>16</v>
      </c>
      <c r="AI544" s="447" t="s">
        <v>17</v>
      </c>
      <c r="AJ544" s="447" t="s">
        <v>18</v>
      </c>
      <c r="AK544" s="447" t="s">
        <v>19</v>
      </c>
      <c r="AL544" s="447" t="s">
        <v>20</v>
      </c>
      <c r="AM544" s="449"/>
      <c r="AN544" s="445" t="s">
        <v>14</v>
      </c>
      <c r="AO544" s="446">
        <v>0</v>
      </c>
      <c r="AP544" s="447">
        <v>1</v>
      </c>
      <c r="AQ544" s="447">
        <v>2</v>
      </c>
      <c r="AR544" s="447">
        <v>3</v>
      </c>
      <c r="AS544" s="447">
        <v>4</v>
      </c>
      <c r="AT544" s="447">
        <v>5</v>
      </c>
      <c r="AU544" s="447">
        <v>6</v>
      </c>
      <c r="AV544" s="447">
        <v>7</v>
      </c>
      <c r="AW544" s="447">
        <v>8</v>
      </c>
      <c r="AX544" s="447">
        <v>9</v>
      </c>
      <c r="AY544" s="447">
        <v>10</v>
      </c>
      <c r="AZ544" s="448" t="s">
        <v>15</v>
      </c>
      <c r="BA544" s="447" t="s">
        <v>16</v>
      </c>
      <c r="BB544" s="447" t="s">
        <v>17</v>
      </c>
      <c r="BC544" s="447" t="s">
        <v>18</v>
      </c>
      <c r="BD544" s="447" t="s">
        <v>19</v>
      </c>
      <c r="BE544" s="447" t="s">
        <v>225</v>
      </c>
    </row>
    <row r="545" spans="2:57" x14ac:dyDescent="0.25">
      <c r="B545" s="134">
        <v>18</v>
      </c>
      <c r="C545" s="450">
        <v>80.52</v>
      </c>
      <c r="D545" s="450">
        <v>80.56</v>
      </c>
      <c r="E545" s="450">
        <v>80.599999999999994</v>
      </c>
      <c r="F545" s="450">
        <v>80.64</v>
      </c>
      <c r="G545" s="450">
        <v>80.69</v>
      </c>
      <c r="H545" s="450">
        <v>80.73</v>
      </c>
      <c r="I545" s="450">
        <v>80.77</v>
      </c>
      <c r="J545" s="450">
        <v>80.81</v>
      </c>
      <c r="K545" s="450">
        <v>80.849999999999994</v>
      </c>
      <c r="L545" s="450">
        <v>80.88</v>
      </c>
      <c r="M545" s="450">
        <v>80.92</v>
      </c>
      <c r="N545" s="450">
        <v>80.959999999999994</v>
      </c>
      <c r="O545" s="450">
        <v>81.13</v>
      </c>
      <c r="P545" s="450">
        <v>81.28</v>
      </c>
      <c r="Q545" s="450">
        <v>81.41</v>
      </c>
      <c r="R545" s="450">
        <v>81.510000000000005</v>
      </c>
      <c r="S545" s="450">
        <v>81.59</v>
      </c>
      <c r="T545" s="133"/>
      <c r="U545" s="134">
        <v>18</v>
      </c>
      <c r="V545" s="450">
        <v>81.260000000000005</v>
      </c>
      <c r="W545" s="450">
        <v>81.3</v>
      </c>
      <c r="X545" s="450">
        <v>81.349999999999994</v>
      </c>
      <c r="Y545" s="450">
        <v>81.39</v>
      </c>
      <c r="Z545" s="450">
        <v>81.430000000000007</v>
      </c>
      <c r="AA545" s="450">
        <v>81.47</v>
      </c>
      <c r="AB545" s="450">
        <v>81.510000000000005</v>
      </c>
      <c r="AC545" s="450">
        <v>81.55</v>
      </c>
      <c r="AD545" s="450">
        <v>81.59</v>
      </c>
      <c r="AE545" s="450">
        <v>81.63</v>
      </c>
      <c r="AF545" s="450">
        <v>81.67</v>
      </c>
      <c r="AG545" s="450">
        <v>81.709999999999994</v>
      </c>
      <c r="AH545" s="450">
        <v>81.89</v>
      </c>
      <c r="AI545" s="450">
        <v>82.04</v>
      </c>
      <c r="AJ545" s="450">
        <v>82.17</v>
      </c>
      <c r="AK545" s="450">
        <v>82.27</v>
      </c>
      <c r="AL545" s="450">
        <v>82.35</v>
      </c>
      <c r="AM545" s="133"/>
      <c r="AN545" s="134">
        <v>18</v>
      </c>
      <c r="AO545" s="450">
        <v>82.14</v>
      </c>
      <c r="AP545" s="450">
        <v>82.18</v>
      </c>
      <c r="AQ545" s="450">
        <v>82.22</v>
      </c>
      <c r="AR545" s="450">
        <v>82.27</v>
      </c>
      <c r="AS545" s="450">
        <v>82.31</v>
      </c>
      <c r="AT545" s="450">
        <v>82.35</v>
      </c>
      <c r="AU545" s="450">
        <v>82.39</v>
      </c>
      <c r="AV545" s="450">
        <v>82.44</v>
      </c>
      <c r="AW545" s="450">
        <v>82.48</v>
      </c>
      <c r="AX545" s="450">
        <v>82.52</v>
      </c>
      <c r="AY545" s="450">
        <v>82.56</v>
      </c>
      <c r="AZ545" s="450">
        <v>82.6</v>
      </c>
      <c r="BA545" s="450">
        <v>82.78</v>
      </c>
      <c r="BB545" s="450">
        <v>82.94</v>
      </c>
      <c r="BC545" s="450">
        <v>83.07</v>
      </c>
      <c r="BD545" s="450">
        <v>83.17</v>
      </c>
      <c r="BE545" s="450">
        <v>83.26</v>
      </c>
    </row>
    <row r="546" spans="2:57" x14ac:dyDescent="0.25">
      <c r="B546" s="134">
        <v>19</v>
      </c>
      <c r="C546" s="450">
        <v>80.61</v>
      </c>
      <c r="D546" s="450">
        <v>80.650000000000006</v>
      </c>
      <c r="E546" s="450">
        <v>80.7</v>
      </c>
      <c r="F546" s="450">
        <v>80.739999999999995</v>
      </c>
      <c r="G546" s="450">
        <v>80.78</v>
      </c>
      <c r="H546" s="450">
        <v>80.819999999999993</v>
      </c>
      <c r="I546" s="450">
        <v>80.87</v>
      </c>
      <c r="J546" s="450">
        <v>80.91</v>
      </c>
      <c r="K546" s="450">
        <v>80.95</v>
      </c>
      <c r="L546" s="450">
        <v>80.989999999999995</v>
      </c>
      <c r="M546" s="450">
        <v>81.03</v>
      </c>
      <c r="N546" s="450">
        <v>81.069999999999993</v>
      </c>
      <c r="O546" s="450">
        <v>81.25</v>
      </c>
      <c r="P546" s="450">
        <v>81.41</v>
      </c>
      <c r="Q546" s="450">
        <v>81.540000000000006</v>
      </c>
      <c r="R546" s="450">
        <v>81.64</v>
      </c>
      <c r="S546" s="450">
        <v>81.73</v>
      </c>
      <c r="T546" s="133"/>
      <c r="U546" s="134">
        <v>19</v>
      </c>
      <c r="V546" s="450">
        <v>81.349999999999994</v>
      </c>
      <c r="W546" s="450">
        <v>81.39</v>
      </c>
      <c r="X546" s="450">
        <v>81.44</v>
      </c>
      <c r="Y546" s="450">
        <v>81.48</v>
      </c>
      <c r="Z546" s="450">
        <v>81.53</v>
      </c>
      <c r="AA546" s="450">
        <v>81.569999999999993</v>
      </c>
      <c r="AB546" s="450">
        <v>81.61</v>
      </c>
      <c r="AC546" s="450">
        <v>81.66</v>
      </c>
      <c r="AD546" s="450">
        <v>81.7</v>
      </c>
      <c r="AE546" s="450">
        <v>81.739999999999995</v>
      </c>
      <c r="AF546" s="450">
        <v>81.78</v>
      </c>
      <c r="AG546" s="450">
        <v>81.819999999999993</v>
      </c>
      <c r="AH546" s="450">
        <v>82</v>
      </c>
      <c r="AI546" s="450">
        <v>82.17</v>
      </c>
      <c r="AJ546" s="450">
        <v>82.3</v>
      </c>
      <c r="AK546" s="450">
        <v>82.41</v>
      </c>
      <c r="AL546" s="450">
        <v>82.49</v>
      </c>
      <c r="AM546" s="133"/>
      <c r="AN546" s="134">
        <v>19</v>
      </c>
      <c r="AO546" s="450">
        <v>82.23</v>
      </c>
      <c r="AP546" s="450">
        <v>82.27</v>
      </c>
      <c r="AQ546" s="450">
        <v>82.32</v>
      </c>
      <c r="AR546" s="450">
        <v>82.37</v>
      </c>
      <c r="AS546" s="450">
        <v>82.41</v>
      </c>
      <c r="AT546" s="450">
        <v>82.46</v>
      </c>
      <c r="AU546" s="450">
        <v>82.5</v>
      </c>
      <c r="AV546" s="450">
        <v>82.54</v>
      </c>
      <c r="AW546" s="450">
        <v>82.59</v>
      </c>
      <c r="AX546" s="450">
        <v>82.63</v>
      </c>
      <c r="AY546" s="450">
        <v>82.67</v>
      </c>
      <c r="AZ546" s="450">
        <v>82.71</v>
      </c>
      <c r="BA546" s="450">
        <v>82.9</v>
      </c>
      <c r="BB546" s="450">
        <v>83.07</v>
      </c>
      <c r="BC546" s="450">
        <v>83.2</v>
      </c>
      <c r="BD546" s="450">
        <v>83.31</v>
      </c>
      <c r="BE546" s="450">
        <v>83.4</v>
      </c>
    </row>
    <row r="547" spans="2:57" x14ac:dyDescent="0.25">
      <c r="B547" s="134">
        <v>20</v>
      </c>
      <c r="C547" s="450">
        <v>80.7</v>
      </c>
      <c r="D547" s="450">
        <v>80.75</v>
      </c>
      <c r="E547" s="450">
        <v>80.790000000000006</v>
      </c>
      <c r="F547" s="450">
        <v>80.84</v>
      </c>
      <c r="G547" s="450">
        <v>80.88</v>
      </c>
      <c r="H547" s="450">
        <v>80.930000000000007</v>
      </c>
      <c r="I547" s="450">
        <v>80.97</v>
      </c>
      <c r="J547" s="450">
        <v>81.010000000000005</v>
      </c>
      <c r="K547" s="450">
        <v>81.06</v>
      </c>
      <c r="L547" s="450">
        <v>81.099999999999994</v>
      </c>
      <c r="M547" s="450">
        <v>81.14</v>
      </c>
      <c r="N547" s="450">
        <v>81.180000000000007</v>
      </c>
      <c r="O547" s="450">
        <v>81.37</v>
      </c>
      <c r="P547" s="450">
        <v>81.540000000000006</v>
      </c>
      <c r="Q547" s="450">
        <v>81.67</v>
      </c>
      <c r="R547" s="450">
        <v>81.78</v>
      </c>
      <c r="S547" s="450">
        <v>81.87</v>
      </c>
      <c r="T547" s="133"/>
      <c r="U547" s="134">
        <v>20</v>
      </c>
      <c r="V547" s="450">
        <v>81.44</v>
      </c>
      <c r="W547" s="450">
        <v>81.489999999999995</v>
      </c>
      <c r="X547" s="450">
        <v>81.540000000000006</v>
      </c>
      <c r="Y547" s="450">
        <v>81.58</v>
      </c>
      <c r="Z547" s="450">
        <v>81.63</v>
      </c>
      <c r="AA547" s="450">
        <v>81.680000000000007</v>
      </c>
      <c r="AB547" s="450">
        <v>81.72</v>
      </c>
      <c r="AC547" s="450">
        <v>81.77</v>
      </c>
      <c r="AD547" s="450">
        <v>81.81</v>
      </c>
      <c r="AE547" s="450">
        <v>81.849999999999994</v>
      </c>
      <c r="AF547" s="450">
        <v>81.89</v>
      </c>
      <c r="AG547" s="450">
        <v>81.94</v>
      </c>
      <c r="AH547" s="450">
        <v>82.13</v>
      </c>
      <c r="AI547" s="450">
        <v>82.3</v>
      </c>
      <c r="AJ547" s="450">
        <v>82.44</v>
      </c>
      <c r="AK547" s="450">
        <v>82.55</v>
      </c>
      <c r="AL547" s="450">
        <v>82.64</v>
      </c>
      <c r="AM547" s="133"/>
      <c r="AN547" s="134">
        <v>20</v>
      </c>
      <c r="AO547" s="450">
        <v>82.33</v>
      </c>
      <c r="AP547" s="450">
        <v>82.37</v>
      </c>
      <c r="AQ547" s="450">
        <v>82.42</v>
      </c>
      <c r="AR547" s="450">
        <v>82.47</v>
      </c>
      <c r="AS547" s="450">
        <v>82.52</v>
      </c>
      <c r="AT547" s="450">
        <v>82.56</v>
      </c>
      <c r="AU547" s="450">
        <v>82.61</v>
      </c>
      <c r="AV547" s="450">
        <v>82.65</v>
      </c>
      <c r="AW547" s="450">
        <v>82.7</v>
      </c>
      <c r="AX547" s="450">
        <v>82.74</v>
      </c>
      <c r="AY547" s="450">
        <v>82.79</v>
      </c>
      <c r="AZ547" s="450">
        <v>82.83</v>
      </c>
      <c r="BA547" s="450">
        <v>83.03</v>
      </c>
      <c r="BB547" s="450">
        <v>83.2</v>
      </c>
      <c r="BC547" s="450">
        <v>83.34</v>
      </c>
      <c r="BD547" s="450">
        <v>83.46</v>
      </c>
      <c r="BE547" s="450">
        <v>83.55</v>
      </c>
    </row>
    <row r="548" spans="2:57" x14ac:dyDescent="0.25">
      <c r="B548" s="134">
        <v>21</v>
      </c>
      <c r="C548" s="450">
        <v>80.8</v>
      </c>
      <c r="D548" s="450">
        <v>80.84</v>
      </c>
      <c r="E548" s="450">
        <v>80.89</v>
      </c>
      <c r="F548" s="450">
        <v>80.94</v>
      </c>
      <c r="G548" s="450">
        <v>80.989999999999995</v>
      </c>
      <c r="H548" s="450">
        <v>81.03</v>
      </c>
      <c r="I548" s="450">
        <v>81.08</v>
      </c>
      <c r="J548" s="450">
        <v>81.13</v>
      </c>
      <c r="K548" s="450">
        <v>81.17</v>
      </c>
      <c r="L548" s="450">
        <v>81.22</v>
      </c>
      <c r="M548" s="450">
        <v>81.260000000000005</v>
      </c>
      <c r="N548" s="450">
        <v>81.3</v>
      </c>
      <c r="O548" s="450">
        <v>81.5</v>
      </c>
      <c r="P548" s="450">
        <v>81.67</v>
      </c>
      <c r="Q548" s="450">
        <v>81.81</v>
      </c>
      <c r="R548" s="450">
        <v>81.93</v>
      </c>
      <c r="S548" s="450">
        <v>82.01</v>
      </c>
      <c r="T548" s="133"/>
      <c r="U548" s="134">
        <v>21</v>
      </c>
      <c r="V548" s="450">
        <v>81.540000000000006</v>
      </c>
      <c r="W548" s="450">
        <v>81.59</v>
      </c>
      <c r="X548" s="450">
        <v>81.64</v>
      </c>
      <c r="Y548" s="450">
        <v>81.69</v>
      </c>
      <c r="Z548" s="450">
        <v>81.739999999999995</v>
      </c>
      <c r="AA548" s="450">
        <v>81.790000000000006</v>
      </c>
      <c r="AB548" s="450">
        <v>81.83</v>
      </c>
      <c r="AC548" s="450">
        <v>81.88</v>
      </c>
      <c r="AD548" s="450">
        <v>81.93</v>
      </c>
      <c r="AE548" s="450">
        <v>81.97</v>
      </c>
      <c r="AF548" s="450">
        <v>82.01</v>
      </c>
      <c r="AG548" s="450">
        <v>82.06</v>
      </c>
      <c r="AH548" s="450">
        <v>82.26</v>
      </c>
      <c r="AI548" s="450">
        <v>82.44</v>
      </c>
      <c r="AJ548" s="450">
        <v>82.58</v>
      </c>
      <c r="AK548" s="450">
        <v>82.7</v>
      </c>
      <c r="AL548" s="450">
        <v>82.79</v>
      </c>
      <c r="AM548" s="133"/>
      <c r="AN548" s="134">
        <v>21</v>
      </c>
      <c r="AO548" s="450">
        <v>82.43</v>
      </c>
      <c r="AP548" s="450">
        <v>82.48</v>
      </c>
      <c r="AQ548" s="450">
        <v>82.53</v>
      </c>
      <c r="AR548" s="450">
        <v>82.58</v>
      </c>
      <c r="AS548" s="450">
        <v>82.63</v>
      </c>
      <c r="AT548" s="450">
        <v>82.68</v>
      </c>
      <c r="AU548" s="450">
        <v>82.72</v>
      </c>
      <c r="AV548" s="450">
        <v>82.77</v>
      </c>
      <c r="AW548" s="450">
        <v>82.82</v>
      </c>
      <c r="AX548" s="450">
        <v>82.87</v>
      </c>
      <c r="AY548" s="450">
        <v>82.91</v>
      </c>
      <c r="AZ548" s="450">
        <v>82.96</v>
      </c>
      <c r="BA548" s="450">
        <v>83.16</v>
      </c>
      <c r="BB548" s="450">
        <v>83.34</v>
      </c>
      <c r="BC548" s="450">
        <v>83.49</v>
      </c>
      <c r="BD548" s="450">
        <v>83.61</v>
      </c>
      <c r="BE548" s="450">
        <v>83.7</v>
      </c>
    </row>
    <row r="549" spans="2:57" x14ac:dyDescent="0.25">
      <c r="B549" s="134">
        <v>22</v>
      </c>
      <c r="C549" s="450">
        <v>80.900000000000006</v>
      </c>
      <c r="D549" s="450">
        <v>80.95</v>
      </c>
      <c r="E549" s="450">
        <v>81</v>
      </c>
      <c r="F549" s="450">
        <v>81.05</v>
      </c>
      <c r="G549" s="450">
        <v>81.099999999999994</v>
      </c>
      <c r="H549" s="450">
        <v>81.150000000000006</v>
      </c>
      <c r="I549" s="450">
        <v>81.2</v>
      </c>
      <c r="J549" s="450">
        <v>81.239999999999995</v>
      </c>
      <c r="K549" s="450">
        <v>81.290000000000006</v>
      </c>
      <c r="L549" s="450">
        <v>81.34</v>
      </c>
      <c r="M549" s="450">
        <v>81.38</v>
      </c>
      <c r="N549" s="450">
        <v>81.430000000000007</v>
      </c>
      <c r="O549" s="450">
        <v>81.64</v>
      </c>
      <c r="P549" s="450">
        <v>81.819999999999993</v>
      </c>
      <c r="Q549" s="450">
        <v>81.96</v>
      </c>
      <c r="R549" s="450">
        <v>82.08</v>
      </c>
      <c r="S549" s="450">
        <v>82.17</v>
      </c>
      <c r="T549" s="133"/>
      <c r="U549" s="134">
        <v>22</v>
      </c>
      <c r="V549" s="450">
        <v>81.650000000000006</v>
      </c>
      <c r="W549" s="450">
        <v>81.7</v>
      </c>
      <c r="X549" s="450">
        <v>81.75</v>
      </c>
      <c r="Y549" s="450">
        <v>81.8</v>
      </c>
      <c r="Z549" s="450">
        <v>81.849999999999994</v>
      </c>
      <c r="AA549" s="450">
        <v>81.900000000000006</v>
      </c>
      <c r="AB549" s="450">
        <v>81.95</v>
      </c>
      <c r="AC549" s="450">
        <v>82</v>
      </c>
      <c r="AD549" s="450">
        <v>82.05</v>
      </c>
      <c r="AE549" s="450">
        <v>82.09</v>
      </c>
      <c r="AF549" s="450">
        <v>82.14</v>
      </c>
      <c r="AG549" s="450">
        <v>82.19</v>
      </c>
      <c r="AH549" s="450">
        <v>82.4</v>
      </c>
      <c r="AI549" s="450">
        <v>82.58</v>
      </c>
      <c r="AJ549" s="450">
        <v>82.73</v>
      </c>
      <c r="AK549" s="450">
        <v>82.85</v>
      </c>
      <c r="AL549" s="450">
        <v>82.94</v>
      </c>
      <c r="AM549" s="133"/>
      <c r="AN549" s="134">
        <v>22</v>
      </c>
      <c r="AO549" s="450">
        <v>82.53</v>
      </c>
      <c r="AP549" s="450">
        <v>82.59</v>
      </c>
      <c r="AQ549" s="450">
        <v>82.64</v>
      </c>
      <c r="AR549" s="450">
        <v>82.69</v>
      </c>
      <c r="AS549" s="450">
        <v>82.74</v>
      </c>
      <c r="AT549" s="450">
        <v>82.79</v>
      </c>
      <c r="AU549" s="450">
        <v>82.84</v>
      </c>
      <c r="AV549" s="450">
        <v>82.9</v>
      </c>
      <c r="AW549" s="450">
        <v>82.94</v>
      </c>
      <c r="AX549" s="450">
        <v>82.99</v>
      </c>
      <c r="AY549" s="450">
        <v>83.04</v>
      </c>
      <c r="AZ549" s="450">
        <v>83.09</v>
      </c>
      <c r="BA549" s="450">
        <v>83.31</v>
      </c>
      <c r="BB549" s="450">
        <v>83.49</v>
      </c>
      <c r="BC549" s="450">
        <v>83.65</v>
      </c>
      <c r="BD549" s="450">
        <v>83.77</v>
      </c>
      <c r="BE549" s="450">
        <v>83.87</v>
      </c>
    </row>
    <row r="550" spans="2:57" x14ac:dyDescent="0.25">
      <c r="B550" s="134">
        <v>23</v>
      </c>
      <c r="C550" s="450">
        <v>81</v>
      </c>
      <c r="D550" s="450">
        <v>81.06</v>
      </c>
      <c r="E550" s="450">
        <v>81.11</v>
      </c>
      <c r="F550" s="450">
        <v>81.16</v>
      </c>
      <c r="G550" s="450">
        <v>81.209999999999994</v>
      </c>
      <c r="H550" s="450">
        <v>81.27</v>
      </c>
      <c r="I550" s="450">
        <v>81.319999999999993</v>
      </c>
      <c r="J550" s="450">
        <v>81.37</v>
      </c>
      <c r="K550" s="450">
        <v>81.42</v>
      </c>
      <c r="L550" s="450">
        <v>81.47</v>
      </c>
      <c r="M550" s="450">
        <v>81.510000000000005</v>
      </c>
      <c r="N550" s="450">
        <v>81.56</v>
      </c>
      <c r="O550" s="450">
        <v>81.78</v>
      </c>
      <c r="P550" s="450">
        <v>81.96</v>
      </c>
      <c r="Q550" s="450">
        <v>82.12</v>
      </c>
      <c r="R550" s="450">
        <v>82.24</v>
      </c>
      <c r="S550" s="450">
        <v>82.33</v>
      </c>
      <c r="T550" s="133"/>
      <c r="U550" s="134">
        <v>23</v>
      </c>
      <c r="V550" s="450">
        <v>81.75</v>
      </c>
      <c r="W550" s="450">
        <v>81.81</v>
      </c>
      <c r="X550" s="450">
        <v>81.86</v>
      </c>
      <c r="Y550" s="450">
        <v>81.92</v>
      </c>
      <c r="Z550" s="450">
        <v>81.97</v>
      </c>
      <c r="AA550" s="450">
        <v>82.02</v>
      </c>
      <c r="AB550" s="450">
        <v>82.07</v>
      </c>
      <c r="AC550" s="450">
        <v>82.12</v>
      </c>
      <c r="AD550" s="450">
        <v>82.18</v>
      </c>
      <c r="AE550" s="450">
        <v>82.22</v>
      </c>
      <c r="AF550" s="450">
        <v>82.27</v>
      </c>
      <c r="AG550" s="450">
        <v>82.32</v>
      </c>
      <c r="AH550" s="450">
        <v>82.54</v>
      </c>
      <c r="AI550" s="450">
        <v>82.73</v>
      </c>
      <c r="AJ550" s="450">
        <v>82.89</v>
      </c>
      <c r="AK550" s="450">
        <v>83.01</v>
      </c>
      <c r="AL550" s="450">
        <v>83.11</v>
      </c>
      <c r="AM550" s="133"/>
      <c r="AN550" s="134">
        <v>23</v>
      </c>
      <c r="AO550" s="450">
        <v>82.64</v>
      </c>
      <c r="AP550" s="450">
        <v>82.7</v>
      </c>
      <c r="AQ550" s="450">
        <v>82.75</v>
      </c>
      <c r="AR550" s="450">
        <v>82.81</v>
      </c>
      <c r="AS550" s="450">
        <v>82.86</v>
      </c>
      <c r="AT550" s="450">
        <v>82.92</v>
      </c>
      <c r="AU550" s="450">
        <v>82.97</v>
      </c>
      <c r="AV550" s="450">
        <v>83.02</v>
      </c>
      <c r="AW550" s="450">
        <v>83.08</v>
      </c>
      <c r="AX550" s="450">
        <v>83.13</v>
      </c>
      <c r="AY550" s="450">
        <v>83.18</v>
      </c>
      <c r="AZ550" s="450">
        <v>83.23</v>
      </c>
      <c r="BA550" s="450">
        <v>83.45</v>
      </c>
      <c r="BB550" s="450">
        <v>83.65</v>
      </c>
      <c r="BC550" s="450">
        <v>83.81</v>
      </c>
      <c r="BD550" s="450">
        <v>83.94</v>
      </c>
      <c r="BE550" s="450">
        <v>84.04</v>
      </c>
    </row>
    <row r="551" spans="2:57" x14ac:dyDescent="0.25">
      <c r="B551" s="134">
        <v>24</v>
      </c>
      <c r="C551" s="450">
        <v>81.12</v>
      </c>
      <c r="D551" s="450">
        <v>81.17</v>
      </c>
      <c r="E551" s="450">
        <v>81.23</v>
      </c>
      <c r="F551" s="450">
        <v>81.28</v>
      </c>
      <c r="G551" s="450">
        <v>81.34</v>
      </c>
      <c r="H551" s="450">
        <v>81.39</v>
      </c>
      <c r="I551" s="450">
        <v>81.44</v>
      </c>
      <c r="J551" s="450">
        <v>81.5</v>
      </c>
      <c r="K551" s="450">
        <v>81.55</v>
      </c>
      <c r="L551" s="450">
        <v>81.599999999999994</v>
      </c>
      <c r="M551" s="450">
        <v>81.650000000000006</v>
      </c>
      <c r="N551" s="450">
        <v>81.7</v>
      </c>
      <c r="O551" s="450">
        <v>81.93</v>
      </c>
      <c r="P551" s="450">
        <v>82.12</v>
      </c>
      <c r="Q551" s="450">
        <v>82.28</v>
      </c>
      <c r="R551" s="450">
        <v>82.4</v>
      </c>
      <c r="S551" s="450">
        <v>82.5</v>
      </c>
      <c r="T551" s="133"/>
      <c r="U551" s="134">
        <v>24</v>
      </c>
      <c r="V551" s="450">
        <v>81.87</v>
      </c>
      <c r="W551" s="450">
        <v>81.92</v>
      </c>
      <c r="X551" s="450">
        <v>81.98</v>
      </c>
      <c r="Y551" s="450">
        <v>82.04</v>
      </c>
      <c r="Z551" s="450">
        <v>82.09</v>
      </c>
      <c r="AA551" s="450">
        <v>82.15</v>
      </c>
      <c r="AB551" s="450">
        <v>82.2</v>
      </c>
      <c r="AC551" s="450">
        <v>82.26</v>
      </c>
      <c r="AD551" s="450">
        <v>82.31</v>
      </c>
      <c r="AE551" s="450">
        <v>82.36</v>
      </c>
      <c r="AF551" s="450">
        <v>82.41</v>
      </c>
      <c r="AG551" s="450">
        <v>82.46</v>
      </c>
      <c r="AH551" s="450">
        <v>82.69</v>
      </c>
      <c r="AI551" s="450">
        <v>82.89</v>
      </c>
      <c r="AJ551" s="450">
        <v>83.05</v>
      </c>
      <c r="AK551" s="450">
        <v>83.18</v>
      </c>
      <c r="AL551" s="450">
        <v>83.28</v>
      </c>
      <c r="AM551" s="133"/>
      <c r="AN551" s="134">
        <v>24</v>
      </c>
      <c r="AO551" s="450">
        <v>82.76</v>
      </c>
      <c r="AP551" s="450">
        <v>82.82</v>
      </c>
      <c r="AQ551" s="450">
        <v>82.88</v>
      </c>
      <c r="AR551" s="450">
        <v>82.93</v>
      </c>
      <c r="AS551" s="450">
        <v>82.99</v>
      </c>
      <c r="AT551" s="450">
        <v>83.05</v>
      </c>
      <c r="AU551" s="450">
        <v>83.1</v>
      </c>
      <c r="AV551" s="450">
        <v>83.16</v>
      </c>
      <c r="AW551" s="450">
        <v>83.21</v>
      </c>
      <c r="AX551" s="450">
        <v>83.27</v>
      </c>
      <c r="AY551" s="450">
        <v>83.32</v>
      </c>
      <c r="AZ551" s="450">
        <v>83.37</v>
      </c>
      <c r="BA551" s="450">
        <v>83.61</v>
      </c>
      <c r="BB551" s="450">
        <v>83.81</v>
      </c>
      <c r="BC551" s="450">
        <v>83.98</v>
      </c>
      <c r="BD551" s="450">
        <v>84.11</v>
      </c>
      <c r="BE551" s="450">
        <v>84.21</v>
      </c>
    </row>
    <row r="552" spans="2:57" x14ac:dyDescent="0.25">
      <c r="B552" s="134">
        <v>25</v>
      </c>
      <c r="C552" s="450">
        <v>81.23</v>
      </c>
      <c r="D552" s="450">
        <v>81.290000000000006</v>
      </c>
      <c r="E552" s="450">
        <v>81.349999999999994</v>
      </c>
      <c r="F552" s="450">
        <v>81.41</v>
      </c>
      <c r="G552" s="450">
        <v>81.459999999999994</v>
      </c>
      <c r="H552" s="450">
        <v>81.52</v>
      </c>
      <c r="I552" s="450">
        <v>81.58</v>
      </c>
      <c r="J552" s="450">
        <v>81.63</v>
      </c>
      <c r="K552" s="450">
        <v>81.69</v>
      </c>
      <c r="L552" s="450">
        <v>81.739999999999995</v>
      </c>
      <c r="M552" s="450">
        <v>81.790000000000006</v>
      </c>
      <c r="N552" s="450">
        <v>81.84</v>
      </c>
      <c r="O552" s="450">
        <v>82.08</v>
      </c>
      <c r="P552" s="450">
        <v>82.28</v>
      </c>
      <c r="Q552" s="450">
        <v>82.45</v>
      </c>
      <c r="R552" s="450">
        <v>82.58</v>
      </c>
      <c r="S552" s="450">
        <v>82.67</v>
      </c>
      <c r="T552" s="133"/>
      <c r="U552" s="134">
        <v>25</v>
      </c>
      <c r="V552" s="450">
        <v>81.99</v>
      </c>
      <c r="W552" s="450">
        <v>82.05</v>
      </c>
      <c r="X552" s="450">
        <v>82.11</v>
      </c>
      <c r="Y552" s="450">
        <v>82.16</v>
      </c>
      <c r="Z552" s="450">
        <v>82.22</v>
      </c>
      <c r="AA552" s="450">
        <v>82.28</v>
      </c>
      <c r="AB552" s="450">
        <v>82.34</v>
      </c>
      <c r="AC552" s="450">
        <v>82.39</v>
      </c>
      <c r="AD552" s="450">
        <v>82.45</v>
      </c>
      <c r="AE552" s="450">
        <v>82.5</v>
      </c>
      <c r="AF552" s="450">
        <v>82.56</v>
      </c>
      <c r="AG552" s="450">
        <v>82.61</v>
      </c>
      <c r="AH552" s="450">
        <v>82.85</v>
      </c>
      <c r="AI552" s="450">
        <v>83.06</v>
      </c>
      <c r="AJ552" s="450">
        <v>83.23</v>
      </c>
      <c r="AK552" s="450">
        <v>83.36</v>
      </c>
      <c r="AL552" s="450">
        <v>83.46</v>
      </c>
      <c r="AM552" s="133"/>
      <c r="AN552" s="134">
        <v>25</v>
      </c>
      <c r="AO552" s="450">
        <v>82.88</v>
      </c>
      <c r="AP552" s="450">
        <v>82.94</v>
      </c>
      <c r="AQ552" s="450">
        <v>83</v>
      </c>
      <c r="AR552" s="450">
        <v>83.07</v>
      </c>
      <c r="AS552" s="450">
        <v>83.13</v>
      </c>
      <c r="AT552" s="450">
        <v>83.18</v>
      </c>
      <c r="AU552" s="450">
        <v>83.24</v>
      </c>
      <c r="AV552" s="450">
        <v>83.3</v>
      </c>
      <c r="AW552" s="450">
        <v>83.36</v>
      </c>
      <c r="AX552" s="450">
        <v>83.41</v>
      </c>
      <c r="AY552" s="450">
        <v>83.47</v>
      </c>
      <c r="AZ552" s="450">
        <v>83.52</v>
      </c>
      <c r="BA552" s="450">
        <v>83.77</v>
      </c>
      <c r="BB552" s="450">
        <v>83.99</v>
      </c>
      <c r="BC552" s="450">
        <v>84.16</v>
      </c>
      <c r="BD552" s="450">
        <v>84.29</v>
      </c>
      <c r="BE552" s="450">
        <v>84.4</v>
      </c>
    </row>
    <row r="553" spans="2:57" x14ac:dyDescent="0.25">
      <c r="B553" s="134">
        <v>26</v>
      </c>
      <c r="C553" s="450">
        <v>81.349999999999994</v>
      </c>
      <c r="D553" s="450">
        <v>81.42</v>
      </c>
      <c r="E553" s="450">
        <v>81.48</v>
      </c>
      <c r="F553" s="450">
        <v>81.540000000000006</v>
      </c>
      <c r="G553" s="450">
        <v>81.599999999999994</v>
      </c>
      <c r="H553" s="450">
        <v>81.66</v>
      </c>
      <c r="I553" s="450">
        <v>81.72</v>
      </c>
      <c r="J553" s="450">
        <v>81.77</v>
      </c>
      <c r="K553" s="450">
        <v>81.83</v>
      </c>
      <c r="L553" s="450">
        <v>81.89</v>
      </c>
      <c r="M553" s="450">
        <v>81.94</v>
      </c>
      <c r="N553" s="450">
        <v>82</v>
      </c>
      <c r="O553" s="450">
        <v>82.24</v>
      </c>
      <c r="P553" s="450">
        <v>82.45</v>
      </c>
      <c r="Q553" s="450">
        <v>82.62</v>
      </c>
      <c r="R553" s="450">
        <v>82.76</v>
      </c>
      <c r="S553" s="450">
        <v>82.86</v>
      </c>
      <c r="T553" s="133"/>
      <c r="U553" s="134">
        <v>26</v>
      </c>
      <c r="V553" s="450">
        <v>82.11</v>
      </c>
      <c r="W553" s="450">
        <v>82.17</v>
      </c>
      <c r="X553" s="450">
        <v>82.24</v>
      </c>
      <c r="Y553" s="450">
        <v>82.3</v>
      </c>
      <c r="Z553" s="450">
        <v>82.36</v>
      </c>
      <c r="AA553" s="450">
        <v>82.42</v>
      </c>
      <c r="AB553" s="450">
        <v>82.48</v>
      </c>
      <c r="AC553" s="450">
        <v>82.54</v>
      </c>
      <c r="AD553" s="450">
        <v>82.6</v>
      </c>
      <c r="AE553" s="450">
        <v>82.65</v>
      </c>
      <c r="AF553" s="450">
        <v>82.71</v>
      </c>
      <c r="AG553" s="450">
        <v>82.77</v>
      </c>
      <c r="AH553" s="450">
        <v>83.02</v>
      </c>
      <c r="AI553" s="450">
        <v>83.23</v>
      </c>
      <c r="AJ553" s="450">
        <v>83.41</v>
      </c>
      <c r="AK553" s="450">
        <v>83.54</v>
      </c>
      <c r="AL553" s="450">
        <v>83.65</v>
      </c>
      <c r="AM553" s="133"/>
      <c r="AN553" s="134">
        <v>26</v>
      </c>
      <c r="AO553" s="450">
        <v>83.01</v>
      </c>
      <c r="AP553" s="450">
        <v>83.08</v>
      </c>
      <c r="AQ553" s="450">
        <v>83.14</v>
      </c>
      <c r="AR553" s="450">
        <v>83.2</v>
      </c>
      <c r="AS553" s="450">
        <v>83.27</v>
      </c>
      <c r="AT553" s="450">
        <v>83.33</v>
      </c>
      <c r="AU553" s="450">
        <v>83.39</v>
      </c>
      <c r="AV553" s="450">
        <v>83.45</v>
      </c>
      <c r="AW553" s="450">
        <v>83.51</v>
      </c>
      <c r="AX553" s="450">
        <v>83.57</v>
      </c>
      <c r="AY553" s="450">
        <v>83.63</v>
      </c>
      <c r="AZ553" s="450">
        <v>83.68</v>
      </c>
      <c r="BA553" s="450">
        <v>83.94</v>
      </c>
      <c r="BB553" s="450">
        <v>84.16</v>
      </c>
      <c r="BC553" s="450">
        <v>84.34</v>
      </c>
      <c r="BD553" s="450">
        <v>84.49</v>
      </c>
      <c r="BE553" s="450">
        <v>84.59</v>
      </c>
    </row>
    <row r="554" spans="2:57" x14ac:dyDescent="0.25">
      <c r="B554" s="134">
        <v>27</v>
      </c>
      <c r="C554" s="450">
        <v>81.48</v>
      </c>
      <c r="D554" s="450">
        <v>81.55</v>
      </c>
      <c r="E554" s="450">
        <v>81.61</v>
      </c>
      <c r="F554" s="450">
        <v>81.680000000000007</v>
      </c>
      <c r="G554" s="450">
        <v>81.739999999999995</v>
      </c>
      <c r="H554" s="450">
        <v>81.8</v>
      </c>
      <c r="I554" s="450">
        <v>81.86</v>
      </c>
      <c r="J554" s="450">
        <v>81.92</v>
      </c>
      <c r="K554" s="450">
        <v>81.98</v>
      </c>
      <c r="L554" s="450">
        <v>82.04</v>
      </c>
      <c r="M554" s="450">
        <v>82.1</v>
      </c>
      <c r="N554" s="450">
        <v>82.16</v>
      </c>
      <c r="O554" s="450">
        <v>82.41</v>
      </c>
      <c r="P554" s="450">
        <v>82.63</v>
      </c>
      <c r="Q554" s="450">
        <v>82.81</v>
      </c>
      <c r="R554" s="450">
        <v>82.95</v>
      </c>
      <c r="S554" s="450">
        <v>83.05</v>
      </c>
      <c r="T554" s="133"/>
      <c r="U554" s="134">
        <v>27</v>
      </c>
      <c r="V554" s="450">
        <v>82.24</v>
      </c>
      <c r="W554" s="450">
        <v>82.31</v>
      </c>
      <c r="X554" s="450">
        <v>82.37</v>
      </c>
      <c r="Y554" s="450">
        <v>82.44</v>
      </c>
      <c r="Z554" s="450">
        <v>82.5</v>
      </c>
      <c r="AA554" s="450">
        <v>82.57</v>
      </c>
      <c r="AB554" s="450">
        <v>82.63</v>
      </c>
      <c r="AC554" s="450">
        <v>82.69</v>
      </c>
      <c r="AD554" s="450">
        <v>82.75</v>
      </c>
      <c r="AE554" s="450">
        <v>82.81</v>
      </c>
      <c r="AF554" s="450">
        <v>82.87</v>
      </c>
      <c r="AG554" s="450">
        <v>82.93</v>
      </c>
      <c r="AH554" s="450">
        <v>83.19</v>
      </c>
      <c r="AI554" s="450">
        <v>83.42</v>
      </c>
      <c r="AJ554" s="450">
        <v>83.6</v>
      </c>
      <c r="AK554" s="450">
        <v>83.74</v>
      </c>
      <c r="AL554" s="450">
        <v>83.84</v>
      </c>
      <c r="AM554" s="133"/>
      <c r="AN554" s="134">
        <v>27</v>
      </c>
      <c r="AO554" s="450">
        <v>83.15</v>
      </c>
      <c r="AP554" s="450">
        <v>83.21</v>
      </c>
      <c r="AQ554" s="450">
        <v>83.28</v>
      </c>
      <c r="AR554" s="450">
        <v>83.35</v>
      </c>
      <c r="AS554" s="450">
        <v>83.41</v>
      </c>
      <c r="AT554" s="450">
        <v>83.48</v>
      </c>
      <c r="AU554" s="450">
        <v>83.54</v>
      </c>
      <c r="AV554" s="450">
        <v>83.61</v>
      </c>
      <c r="AW554" s="450">
        <v>83.67</v>
      </c>
      <c r="AX554" s="450">
        <v>83.73</v>
      </c>
      <c r="AY554" s="450">
        <v>83.79</v>
      </c>
      <c r="AZ554" s="450">
        <v>83.85</v>
      </c>
      <c r="BA554" s="450">
        <v>84.12</v>
      </c>
      <c r="BB554" s="450">
        <v>84.35</v>
      </c>
      <c r="BC554" s="450">
        <v>84.54</v>
      </c>
      <c r="BD554" s="450">
        <v>84.68</v>
      </c>
      <c r="BE554" s="450">
        <v>84.79</v>
      </c>
    </row>
    <row r="555" spans="2:57" x14ac:dyDescent="0.25">
      <c r="B555" s="134">
        <v>28</v>
      </c>
      <c r="C555" s="450">
        <v>81.62</v>
      </c>
      <c r="D555" s="450">
        <v>81.69</v>
      </c>
      <c r="E555" s="450">
        <v>81.75</v>
      </c>
      <c r="F555" s="450">
        <v>81.819999999999993</v>
      </c>
      <c r="G555" s="450">
        <v>81.89</v>
      </c>
      <c r="H555" s="450">
        <v>81.95</v>
      </c>
      <c r="I555" s="450">
        <v>82.02</v>
      </c>
      <c r="J555" s="450">
        <v>82.08</v>
      </c>
      <c r="K555" s="450">
        <v>82.14</v>
      </c>
      <c r="L555" s="450">
        <v>82.2</v>
      </c>
      <c r="M555" s="450">
        <v>82.26</v>
      </c>
      <c r="N555" s="450">
        <v>82.32</v>
      </c>
      <c r="O555" s="450">
        <v>82.59</v>
      </c>
      <c r="P555" s="450">
        <v>82.82</v>
      </c>
      <c r="Q555" s="450">
        <v>83</v>
      </c>
      <c r="R555" s="450">
        <v>83.15</v>
      </c>
      <c r="S555" s="450">
        <v>83.25</v>
      </c>
      <c r="T555" s="133"/>
      <c r="U555" s="134">
        <v>28</v>
      </c>
      <c r="V555" s="450">
        <v>82.38</v>
      </c>
      <c r="W555" s="450">
        <v>82.45</v>
      </c>
      <c r="X555" s="450">
        <v>82.52</v>
      </c>
      <c r="Y555" s="450">
        <v>82.59</v>
      </c>
      <c r="Z555" s="450">
        <v>82.65</v>
      </c>
      <c r="AA555" s="450">
        <v>82.72</v>
      </c>
      <c r="AB555" s="450">
        <v>82.79</v>
      </c>
      <c r="AC555" s="450">
        <v>82.85</v>
      </c>
      <c r="AD555" s="450">
        <v>82.91</v>
      </c>
      <c r="AE555" s="450">
        <v>82.98</v>
      </c>
      <c r="AF555" s="450">
        <v>83.04</v>
      </c>
      <c r="AG555" s="450">
        <v>83.1</v>
      </c>
      <c r="AH555" s="450">
        <v>83.38</v>
      </c>
      <c r="AI555" s="450">
        <v>83.61</v>
      </c>
      <c r="AJ555" s="450">
        <v>83.8</v>
      </c>
      <c r="AK555" s="450">
        <v>83.94</v>
      </c>
      <c r="AL555" s="450">
        <v>84.05</v>
      </c>
      <c r="AM555" s="133"/>
      <c r="AN555" s="134">
        <v>28</v>
      </c>
      <c r="AO555" s="450">
        <v>83.29</v>
      </c>
      <c r="AP555" s="450">
        <v>83.36</v>
      </c>
      <c r="AQ555" s="450">
        <v>83.43</v>
      </c>
      <c r="AR555" s="450">
        <v>83.5</v>
      </c>
      <c r="AS555" s="450">
        <v>83.57</v>
      </c>
      <c r="AT555" s="450">
        <v>83.64</v>
      </c>
      <c r="AU555" s="450">
        <v>83.7</v>
      </c>
      <c r="AV555" s="450">
        <v>83.77</v>
      </c>
      <c r="AW555" s="450">
        <v>83.84</v>
      </c>
      <c r="AX555" s="450">
        <v>83.9</v>
      </c>
      <c r="AY555" s="450">
        <v>83.96</v>
      </c>
      <c r="AZ555" s="450">
        <v>84.03</v>
      </c>
      <c r="BA555" s="450">
        <v>84.31</v>
      </c>
      <c r="BB555" s="450">
        <v>84.55</v>
      </c>
      <c r="BC555" s="450">
        <v>84.74</v>
      </c>
      <c r="BD555" s="450">
        <v>84.89</v>
      </c>
      <c r="BE555" s="450">
        <v>85</v>
      </c>
    </row>
    <row r="556" spans="2:57" x14ac:dyDescent="0.25">
      <c r="B556" s="134">
        <v>29</v>
      </c>
      <c r="C556" s="450">
        <v>81.760000000000005</v>
      </c>
      <c r="D556" s="450">
        <v>81.83</v>
      </c>
      <c r="E556" s="450">
        <v>81.900000000000006</v>
      </c>
      <c r="F556" s="450">
        <v>81.97</v>
      </c>
      <c r="G556" s="450">
        <v>82.04</v>
      </c>
      <c r="H556" s="450">
        <v>82.11</v>
      </c>
      <c r="I556" s="450">
        <v>82.18</v>
      </c>
      <c r="J556" s="450">
        <v>82.24</v>
      </c>
      <c r="K556" s="450">
        <v>82.31</v>
      </c>
      <c r="L556" s="450">
        <v>82.37</v>
      </c>
      <c r="M556" s="450">
        <v>82.44</v>
      </c>
      <c r="N556" s="450">
        <v>82.5</v>
      </c>
      <c r="O556" s="450">
        <v>82.78</v>
      </c>
      <c r="P556" s="450">
        <v>83.02</v>
      </c>
      <c r="Q556" s="450">
        <v>83.21</v>
      </c>
      <c r="R556" s="450">
        <v>83.35</v>
      </c>
      <c r="S556" s="450">
        <v>83.46</v>
      </c>
      <c r="T556" s="133"/>
      <c r="U556" s="134">
        <v>29</v>
      </c>
      <c r="V556" s="450">
        <v>82.52</v>
      </c>
      <c r="W556" s="450">
        <v>82.6</v>
      </c>
      <c r="X556" s="450">
        <v>82.67</v>
      </c>
      <c r="Y556" s="450">
        <v>82.74</v>
      </c>
      <c r="Z556" s="450">
        <v>82.81</v>
      </c>
      <c r="AA556" s="450">
        <v>82.88</v>
      </c>
      <c r="AB556" s="450">
        <v>82.95</v>
      </c>
      <c r="AC556" s="450">
        <v>83.02</v>
      </c>
      <c r="AD556" s="450">
        <v>83.09</v>
      </c>
      <c r="AE556" s="450">
        <v>83.15</v>
      </c>
      <c r="AF556" s="450">
        <v>83.21</v>
      </c>
      <c r="AG556" s="450">
        <v>83.28</v>
      </c>
      <c r="AH556" s="450">
        <v>83.57</v>
      </c>
      <c r="AI556" s="450">
        <v>83.81</v>
      </c>
      <c r="AJ556" s="450">
        <v>84</v>
      </c>
      <c r="AK556" s="450">
        <v>84.15</v>
      </c>
      <c r="AL556" s="450">
        <v>84.26</v>
      </c>
      <c r="AM556" s="133"/>
      <c r="AN556" s="134">
        <v>29</v>
      </c>
      <c r="AO556" s="450">
        <v>83.44</v>
      </c>
      <c r="AP556" s="450">
        <v>83.51</v>
      </c>
      <c r="AQ556" s="450">
        <v>83.58</v>
      </c>
      <c r="AR556" s="450">
        <v>83.66</v>
      </c>
      <c r="AS556" s="450">
        <v>83.73</v>
      </c>
      <c r="AT556" s="450">
        <v>83.8</v>
      </c>
      <c r="AU556" s="450">
        <v>83.87</v>
      </c>
      <c r="AV556" s="450">
        <v>83.94</v>
      </c>
      <c r="AW556" s="450">
        <v>84.01</v>
      </c>
      <c r="AX556" s="450">
        <v>84.08</v>
      </c>
      <c r="AY556" s="450">
        <v>84.14</v>
      </c>
      <c r="AZ556" s="450">
        <v>84.21</v>
      </c>
      <c r="BA556" s="450">
        <v>84.51</v>
      </c>
      <c r="BB556" s="450">
        <v>84.76</v>
      </c>
      <c r="BC556" s="450">
        <v>84.96</v>
      </c>
      <c r="BD556" s="450">
        <v>85.11</v>
      </c>
      <c r="BE556" s="450">
        <v>85.22</v>
      </c>
    </row>
    <row r="557" spans="2:57" x14ac:dyDescent="0.25">
      <c r="B557" s="134">
        <v>30</v>
      </c>
      <c r="C557" s="450">
        <v>81.91</v>
      </c>
      <c r="D557" s="450">
        <v>81.98</v>
      </c>
      <c r="E557" s="450">
        <v>82.06</v>
      </c>
      <c r="F557" s="450">
        <v>82.13</v>
      </c>
      <c r="G557" s="450">
        <v>82.2</v>
      </c>
      <c r="H557" s="450">
        <v>82.27</v>
      </c>
      <c r="I557" s="450">
        <v>82.35</v>
      </c>
      <c r="J557" s="450">
        <v>82.42</v>
      </c>
      <c r="K557" s="450">
        <v>82.48</v>
      </c>
      <c r="L557" s="450">
        <v>82.55</v>
      </c>
      <c r="M557" s="450">
        <v>82.62</v>
      </c>
      <c r="N557" s="450">
        <v>82.68</v>
      </c>
      <c r="O557" s="450">
        <v>82.98</v>
      </c>
      <c r="P557" s="450">
        <v>83.22</v>
      </c>
      <c r="Q557" s="450">
        <v>83.42</v>
      </c>
      <c r="R557" s="450">
        <v>83.57</v>
      </c>
      <c r="S557" s="450">
        <v>83.68</v>
      </c>
      <c r="T557" s="133"/>
      <c r="U557" s="134">
        <v>30</v>
      </c>
      <c r="V557" s="450">
        <v>82.68</v>
      </c>
      <c r="W557" s="450">
        <v>82.75</v>
      </c>
      <c r="X557" s="450">
        <v>82.83</v>
      </c>
      <c r="Y557" s="450">
        <v>82.9</v>
      </c>
      <c r="Z557" s="450">
        <v>82.98</v>
      </c>
      <c r="AA557" s="450">
        <v>83.05</v>
      </c>
      <c r="AB557" s="450">
        <v>83.12</v>
      </c>
      <c r="AC557" s="450">
        <v>83.19</v>
      </c>
      <c r="AD557" s="450">
        <v>83.26</v>
      </c>
      <c r="AE557" s="450">
        <v>83.33</v>
      </c>
      <c r="AF557" s="450">
        <v>83.4</v>
      </c>
      <c r="AG557" s="450">
        <v>83.47</v>
      </c>
      <c r="AH557" s="450">
        <v>83.77</v>
      </c>
      <c r="AI557" s="450">
        <v>84.02</v>
      </c>
      <c r="AJ557" s="450">
        <v>84.22</v>
      </c>
      <c r="AK557" s="450">
        <v>84.38</v>
      </c>
      <c r="AL557" s="450">
        <v>84.48</v>
      </c>
      <c r="AM557" s="133"/>
      <c r="AN557" s="134">
        <v>30</v>
      </c>
      <c r="AO557" s="450">
        <v>83.59</v>
      </c>
      <c r="AP557" s="450">
        <v>83.67</v>
      </c>
      <c r="AQ557" s="450">
        <v>83.75</v>
      </c>
      <c r="AR557" s="450">
        <v>83.82</v>
      </c>
      <c r="AS557" s="450">
        <v>83.9</v>
      </c>
      <c r="AT557" s="450">
        <v>83.97</v>
      </c>
      <c r="AU557" s="450">
        <v>84.05</v>
      </c>
      <c r="AV557" s="450">
        <v>84.12</v>
      </c>
      <c r="AW557" s="450">
        <v>84.19</v>
      </c>
      <c r="AX557" s="450">
        <v>84.27</v>
      </c>
      <c r="AY557" s="450">
        <v>84.33</v>
      </c>
      <c r="AZ557" s="450">
        <v>84.4</v>
      </c>
      <c r="BA557" s="450">
        <v>84.71</v>
      </c>
      <c r="BB557" s="450">
        <v>84.97</v>
      </c>
      <c r="BC557" s="450">
        <v>85.18</v>
      </c>
      <c r="BD557" s="450">
        <v>85.34</v>
      </c>
      <c r="BE557" s="450">
        <v>85.45</v>
      </c>
    </row>
    <row r="558" spans="2:57" x14ac:dyDescent="0.25">
      <c r="B558" s="134">
        <v>31</v>
      </c>
      <c r="C558" s="450">
        <v>82.06</v>
      </c>
      <c r="D558" s="450">
        <v>82.14</v>
      </c>
      <c r="E558" s="450">
        <v>82.22</v>
      </c>
      <c r="F558" s="450">
        <v>82.3</v>
      </c>
      <c r="G558" s="450">
        <v>82.37</v>
      </c>
      <c r="H558" s="450">
        <v>82.45</v>
      </c>
      <c r="I558" s="450">
        <v>82.52</v>
      </c>
      <c r="J558" s="450">
        <v>82.6</v>
      </c>
      <c r="K558" s="450">
        <v>82.67</v>
      </c>
      <c r="L558" s="450">
        <v>82.74</v>
      </c>
      <c r="M558" s="450">
        <v>82.81</v>
      </c>
      <c r="N558" s="450">
        <v>82.87</v>
      </c>
      <c r="O558" s="450">
        <v>83.18</v>
      </c>
      <c r="P558" s="450">
        <v>83.44</v>
      </c>
      <c r="Q558" s="450">
        <v>83.64</v>
      </c>
      <c r="R558" s="450">
        <v>83.8</v>
      </c>
      <c r="S558" s="450">
        <v>83.9</v>
      </c>
      <c r="T558" s="133"/>
      <c r="U558" s="134">
        <v>31</v>
      </c>
      <c r="V558" s="450">
        <v>82.83</v>
      </c>
      <c r="W558" s="450">
        <v>82.91</v>
      </c>
      <c r="X558" s="450">
        <v>82.99</v>
      </c>
      <c r="Y558" s="450">
        <v>83.07</v>
      </c>
      <c r="Z558" s="450">
        <v>83.15</v>
      </c>
      <c r="AA558" s="450">
        <v>83.23</v>
      </c>
      <c r="AB558" s="450">
        <v>83.3</v>
      </c>
      <c r="AC558" s="450">
        <v>83.38</v>
      </c>
      <c r="AD558" s="450">
        <v>83.45</v>
      </c>
      <c r="AE558" s="450">
        <v>83.52</v>
      </c>
      <c r="AF558" s="450">
        <v>83.59</v>
      </c>
      <c r="AG558" s="450">
        <v>83.66</v>
      </c>
      <c r="AH558" s="450">
        <v>83.98</v>
      </c>
      <c r="AI558" s="450">
        <v>84.24</v>
      </c>
      <c r="AJ558" s="450">
        <v>84.45</v>
      </c>
      <c r="AK558" s="450">
        <v>84.61</v>
      </c>
      <c r="AL558" s="450">
        <v>84.72</v>
      </c>
      <c r="AM558" s="133"/>
      <c r="AN558" s="134">
        <v>31</v>
      </c>
      <c r="AO558" s="450">
        <v>83.75</v>
      </c>
      <c r="AP558" s="450">
        <v>83.84</v>
      </c>
      <c r="AQ558" s="450">
        <v>83.92</v>
      </c>
      <c r="AR558" s="450">
        <v>84</v>
      </c>
      <c r="AS558" s="450">
        <v>84.08</v>
      </c>
      <c r="AT558" s="450">
        <v>84.16</v>
      </c>
      <c r="AU558" s="450">
        <v>84.24</v>
      </c>
      <c r="AV558" s="450">
        <v>84.31</v>
      </c>
      <c r="AW558" s="450">
        <v>84.39</v>
      </c>
      <c r="AX558" s="450">
        <v>84.46</v>
      </c>
      <c r="AY558" s="450">
        <v>84.53</v>
      </c>
      <c r="AZ558" s="450">
        <v>84.6</v>
      </c>
      <c r="BA558" s="450">
        <v>84.93</v>
      </c>
      <c r="BB558" s="450">
        <v>85.2</v>
      </c>
      <c r="BC558" s="450">
        <v>85.41</v>
      </c>
      <c r="BD558" s="450">
        <v>85.58</v>
      </c>
      <c r="BE558" s="450">
        <v>85.69</v>
      </c>
    </row>
    <row r="559" spans="2:57" x14ac:dyDescent="0.25">
      <c r="B559" s="134">
        <v>32</v>
      </c>
      <c r="C559" s="450">
        <v>82.23</v>
      </c>
      <c r="D559" s="450">
        <v>82.31</v>
      </c>
      <c r="E559" s="450">
        <v>82.39</v>
      </c>
      <c r="F559" s="450">
        <v>82.47</v>
      </c>
      <c r="G559" s="450">
        <v>82.55</v>
      </c>
      <c r="H559" s="450">
        <v>82.63</v>
      </c>
      <c r="I559" s="450">
        <v>82.71</v>
      </c>
      <c r="J559" s="450">
        <v>82.78</v>
      </c>
      <c r="K559" s="450">
        <v>82.86</v>
      </c>
      <c r="L559" s="450">
        <v>82.93</v>
      </c>
      <c r="M559" s="450">
        <v>83.01</v>
      </c>
      <c r="N559" s="450">
        <v>83.08</v>
      </c>
      <c r="O559" s="450">
        <v>83.4</v>
      </c>
      <c r="P559" s="450">
        <v>83.66</v>
      </c>
      <c r="Q559" s="450">
        <v>83.87</v>
      </c>
      <c r="R559" s="450">
        <v>84.03</v>
      </c>
      <c r="S559" s="450">
        <v>84.14</v>
      </c>
      <c r="T559" s="133"/>
      <c r="U559" s="134">
        <v>32</v>
      </c>
      <c r="V559" s="450">
        <v>83</v>
      </c>
      <c r="W559" s="450">
        <v>83.08</v>
      </c>
      <c r="X559" s="450">
        <v>83.17</v>
      </c>
      <c r="Y559" s="450">
        <v>83.25</v>
      </c>
      <c r="Z559" s="450">
        <v>83.33</v>
      </c>
      <c r="AA559" s="450">
        <v>83.41</v>
      </c>
      <c r="AB559" s="450">
        <v>83.49</v>
      </c>
      <c r="AC559" s="450">
        <v>83.57</v>
      </c>
      <c r="AD559" s="450">
        <v>83.65</v>
      </c>
      <c r="AE559" s="450">
        <v>83.72</v>
      </c>
      <c r="AF559" s="450">
        <v>83.8</v>
      </c>
      <c r="AG559" s="450">
        <v>83.87</v>
      </c>
      <c r="AH559" s="450">
        <v>84.19</v>
      </c>
      <c r="AI559" s="450">
        <v>84.47</v>
      </c>
      <c r="AJ559" s="450">
        <v>84.68</v>
      </c>
      <c r="AK559" s="450">
        <v>84.85</v>
      </c>
      <c r="AL559" s="450">
        <v>84.96</v>
      </c>
      <c r="AM559" s="133"/>
      <c r="AN559" s="134">
        <v>32</v>
      </c>
      <c r="AO559" s="450">
        <v>83.92</v>
      </c>
      <c r="AP559" s="450">
        <v>84.01</v>
      </c>
      <c r="AQ559" s="450">
        <v>84.1</v>
      </c>
      <c r="AR559" s="450">
        <v>84.18</v>
      </c>
      <c r="AS559" s="450">
        <v>84.26</v>
      </c>
      <c r="AT559" s="450">
        <v>84.35</v>
      </c>
      <c r="AU559" s="450">
        <v>84.43</v>
      </c>
      <c r="AV559" s="450">
        <v>84.51</v>
      </c>
      <c r="AW559" s="450">
        <v>84.59</v>
      </c>
      <c r="AX559" s="450">
        <v>84.67</v>
      </c>
      <c r="AY559" s="450">
        <v>84.74</v>
      </c>
      <c r="AZ559" s="450">
        <v>84.82</v>
      </c>
      <c r="BA559" s="450">
        <v>85.15</v>
      </c>
      <c r="BB559" s="450">
        <v>85.43</v>
      </c>
      <c r="BC559" s="450">
        <v>85.66</v>
      </c>
      <c r="BD559" s="450">
        <v>85.83</v>
      </c>
      <c r="BE559" s="450">
        <v>85.94</v>
      </c>
    </row>
    <row r="560" spans="2:57" x14ac:dyDescent="0.25">
      <c r="B560" s="134">
        <v>33</v>
      </c>
      <c r="C560" s="450">
        <v>82.4</v>
      </c>
      <c r="D560" s="450">
        <v>82.48</v>
      </c>
      <c r="E560" s="450">
        <v>82.57</v>
      </c>
      <c r="F560" s="450">
        <v>82.65</v>
      </c>
      <c r="G560" s="450">
        <v>82.74</v>
      </c>
      <c r="H560" s="450">
        <v>82.82</v>
      </c>
      <c r="I560" s="450">
        <v>82.9</v>
      </c>
      <c r="J560" s="450">
        <v>82.98</v>
      </c>
      <c r="K560" s="450">
        <v>83.06</v>
      </c>
      <c r="L560" s="450">
        <v>83.14</v>
      </c>
      <c r="M560" s="450">
        <v>83.21</v>
      </c>
      <c r="N560" s="450">
        <v>83.29</v>
      </c>
      <c r="O560" s="450">
        <v>83.62</v>
      </c>
      <c r="P560" s="450">
        <v>83.9</v>
      </c>
      <c r="Q560" s="450">
        <v>84.12</v>
      </c>
      <c r="R560" s="450">
        <v>84.28</v>
      </c>
      <c r="S560" s="450">
        <v>84.39</v>
      </c>
      <c r="T560" s="133"/>
      <c r="U560" s="134">
        <v>33</v>
      </c>
      <c r="V560" s="450">
        <v>83.18</v>
      </c>
      <c r="W560" s="450">
        <v>83.26</v>
      </c>
      <c r="X560" s="450">
        <v>83.35</v>
      </c>
      <c r="Y560" s="450">
        <v>83.44</v>
      </c>
      <c r="Z560" s="450">
        <v>83.52</v>
      </c>
      <c r="AA560" s="450">
        <v>83.61</v>
      </c>
      <c r="AB560" s="450">
        <v>83.69</v>
      </c>
      <c r="AC560" s="450">
        <v>83.77</v>
      </c>
      <c r="AD560" s="450">
        <v>83.85</v>
      </c>
      <c r="AE560" s="450">
        <v>83.93</v>
      </c>
      <c r="AF560" s="450">
        <v>84.01</v>
      </c>
      <c r="AG560" s="450">
        <v>84.08</v>
      </c>
      <c r="AH560" s="450">
        <v>84.42</v>
      </c>
      <c r="AI560" s="450">
        <v>84.71</v>
      </c>
      <c r="AJ560" s="450">
        <v>84.93</v>
      </c>
      <c r="AK560" s="450">
        <v>85.1</v>
      </c>
      <c r="AL560" s="450">
        <v>85.21</v>
      </c>
      <c r="AM560" s="133"/>
      <c r="AN560" s="134">
        <v>33</v>
      </c>
      <c r="AO560" s="450">
        <v>84.1</v>
      </c>
      <c r="AP560" s="450">
        <v>84.19</v>
      </c>
      <c r="AQ560" s="450">
        <v>84.28</v>
      </c>
      <c r="AR560" s="450">
        <v>84.37</v>
      </c>
      <c r="AS560" s="450">
        <v>84.46</v>
      </c>
      <c r="AT560" s="450">
        <v>84.55</v>
      </c>
      <c r="AU560" s="450">
        <v>84.63</v>
      </c>
      <c r="AV560" s="450">
        <v>84.72</v>
      </c>
      <c r="AW560" s="450">
        <v>84.8</v>
      </c>
      <c r="AX560" s="450">
        <v>84.88</v>
      </c>
      <c r="AY560" s="450">
        <v>84.96</v>
      </c>
      <c r="AZ560" s="450">
        <v>85.04</v>
      </c>
      <c r="BA560" s="450">
        <v>85.39</v>
      </c>
      <c r="BB560" s="450">
        <v>85.68</v>
      </c>
      <c r="BC560" s="450">
        <v>85.91</v>
      </c>
      <c r="BD560" s="450">
        <v>86.09</v>
      </c>
      <c r="BE560" s="450">
        <v>86.2</v>
      </c>
    </row>
    <row r="561" spans="2:57" x14ac:dyDescent="0.25">
      <c r="B561" s="134">
        <v>34</v>
      </c>
      <c r="C561" s="450">
        <v>82.58</v>
      </c>
      <c r="D561" s="450">
        <v>82.67</v>
      </c>
      <c r="E561" s="450">
        <v>82.76</v>
      </c>
      <c r="F561" s="450">
        <v>82.85</v>
      </c>
      <c r="G561" s="450">
        <v>82.93</v>
      </c>
      <c r="H561" s="450">
        <v>83.02</v>
      </c>
      <c r="I561" s="450">
        <v>83.11</v>
      </c>
      <c r="J561" s="450">
        <v>83.19</v>
      </c>
      <c r="K561" s="450">
        <v>83.27</v>
      </c>
      <c r="L561" s="450">
        <v>83.35</v>
      </c>
      <c r="M561" s="450">
        <v>83.43</v>
      </c>
      <c r="N561" s="450">
        <v>83.51</v>
      </c>
      <c r="O561" s="450">
        <v>83.85</v>
      </c>
      <c r="P561" s="450">
        <v>84.14</v>
      </c>
      <c r="Q561" s="450">
        <v>84.37</v>
      </c>
      <c r="R561" s="450">
        <v>84.54</v>
      </c>
      <c r="S561" s="450">
        <v>84.64</v>
      </c>
      <c r="T561" s="133"/>
      <c r="U561" s="134">
        <v>34</v>
      </c>
      <c r="V561" s="450">
        <v>83.36</v>
      </c>
      <c r="W561" s="450">
        <v>83.45</v>
      </c>
      <c r="X561" s="450">
        <v>83.54</v>
      </c>
      <c r="Y561" s="450">
        <v>83.63</v>
      </c>
      <c r="Z561" s="450">
        <v>83.72</v>
      </c>
      <c r="AA561" s="450">
        <v>83.81</v>
      </c>
      <c r="AB561" s="450">
        <v>83.9</v>
      </c>
      <c r="AC561" s="450">
        <v>83.98</v>
      </c>
      <c r="AD561" s="450">
        <v>84.07</v>
      </c>
      <c r="AE561" s="450">
        <v>84.15</v>
      </c>
      <c r="AF561" s="450">
        <v>84.23</v>
      </c>
      <c r="AG561" s="450">
        <v>84.31</v>
      </c>
      <c r="AH561" s="450">
        <v>84.66</v>
      </c>
      <c r="AI561" s="450">
        <v>84.96</v>
      </c>
      <c r="AJ561" s="450">
        <v>85.19</v>
      </c>
      <c r="AK561" s="450">
        <v>85.36</v>
      </c>
      <c r="AL561" s="450">
        <v>85.47</v>
      </c>
      <c r="AM561" s="133"/>
      <c r="AN561" s="134">
        <v>34</v>
      </c>
      <c r="AO561" s="450">
        <v>84.29</v>
      </c>
      <c r="AP561" s="450">
        <v>84.39</v>
      </c>
      <c r="AQ561" s="450">
        <v>84.48</v>
      </c>
      <c r="AR561" s="450">
        <v>84.57</v>
      </c>
      <c r="AS561" s="450">
        <v>84.67</v>
      </c>
      <c r="AT561" s="450">
        <v>84.76</v>
      </c>
      <c r="AU561" s="450">
        <v>84.85</v>
      </c>
      <c r="AV561" s="450">
        <v>84.94</v>
      </c>
      <c r="AW561" s="450">
        <v>85.02</v>
      </c>
      <c r="AX561" s="450">
        <v>85.11</v>
      </c>
      <c r="AY561" s="450">
        <v>85.19</v>
      </c>
      <c r="AZ561" s="450">
        <v>85.27</v>
      </c>
      <c r="BA561" s="450">
        <v>85.64</v>
      </c>
      <c r="BB561" s="450">
        <v>85.94</v>
      </c>
      <c r="BC561" s="450">
        <v>86.18</v>
      </c>
      <c r="BD561" s="450">
        <v>86.36</v>
      </c>
      <c r="BE561" s="450">
        <v>86.47</v>
      </c>
    </row>
    <row r="562" spans="2:57" x14ac:dyDescent="0.25">
      <c r="B562" s="134">
        <v>35</v>
      </c>
      <c r="C562" s="450">
        <v>82.77</v>
      </c>
      <c r="D562" s="450">
        <v>82.86</v>
      </c>
      <c r="E562" s="450">
        <v>82.95</v>
      </c>
      <c r="F562" s="450">
        <v>83.05</v>
      </c>
      <c r="G562" s="450">
        <v>83.14</v>
      </c>
      <c r="H562" s="450">
        <v>83.23</v>
      </c>
      <c r="I562" s="450">
        <v>83.32</v>
      </c>
      <c r="J562" s="450">
        <v>83.41</v>
      </c>
      <c r="K562" s="450">
        <v>83.49</v>
      </c>
      <c r="L562" s="450">
        <v>83.58</v>
      </c>
      <c r="M562" s="450">
        <v>83.66</v>
      </c>
      <c r="N562" s="450">
        <v>83.74</v>
      </c>
      <c r="O562" s="450">
        <v>84.1</v>
      </c>
      <c r="P562" s="450">
        <v>84.4</v>
      </c>
      <c r="Q562" s="450">
        <v>84.63</v>
      </c>
      <c r="R562" s="450">
        <v>84.8</v>
      </c>
      <c r="S562" s="450">
        <v>84.91</v>
      </c>
      <c r="T562" s="133"/>
      <c r="U562" s="134">
        <v>35</v>
      </c>
      <c r="V562" s="450">
        <v>83.55</v>
      </c>
      <c r="W562" s="450">
        <v>83.65</v>
      </c>
      <c r="X562" s="450">
        <v>83.74</v>
      </c>
      <c r="Y562" s="450">
        <v>83.84</v>
      </c>
      <c r="Z562" s="450">
        <v>83.93</v>
      </c>
      <c r="AA562" s="450">
        <v>84.02</v>
      </c>
      <c r="AB562" s="450">
        <v>84.12</v>
      </c>
      <c r="AC562" s="450">
        <v>84.21</v>
      </c>
      <c r="AD562" s="450">
        <v>84.29</v>
      </c>
      <c r="AE562" s="450">
        <v>84.38</v>
      </c>
      <c r="AF562" s="450">
        <v>84.46</v>
      </c>
      <c r="AG562" s="450">
        <v>84.54</v>
      </c>
      <c r="AH562" s="450">
        <v>84.91</v>
      </c>
      <c r="AI562" s="450">
        <v>85.22</v>
      </c>
      <c r="AJ562" s="450">
        <v>85.46</v>
      </c>
      <c r="AK562" s="450">
        <v>85.63</v>
      </c>
      <c r="AL562" s="450">
        <v>85.74</v>
      </c>
      <c r="AM562" s="133"/>
      <c r="AN562" s="134">
        <v>35</v>
      </c>
      <c r="AO562" s="450">
        <v>84.49</v>
      </c>
      <c r="AP562" s="450">
        <v>84.59</v>
      </c>
      <c r="AQ562" s="450">
        <v>84.69</v>
      </c>
      <c r="AR562" s="450">
        <v>84.79</v>
      </c>
      <c r="AS562" s="450">
        <v>84.88</v>
      </c>
      <c r="AT562" s="450">
        <v>84.98</v>
      </c>
      <c r="AU562" s="450">
        <v>85.07</v>
      </c>
      <c r="AV562" s="450">
        <v>85.16</v>
      </c>
      <c r="AW562" s="450">
        <v>85.25</v>
      </c>
      <c r="AX562" s="450">
        <v>85.34</v>
      </c>
      <c r="AY562" s="450">
        <v>85.43</v>
      </c>
      <c r="AZ562" s="450">
        <v>85.51</v>
      </c>
      <c r="BA562" s="450">
        <v>85.89</v>
      </c>
      <c r="BB562" s="450">
        <v>86.21</v>
      </c>
      <c r="BC562" s="450">
        <v>86.46</v>
      </c>
      <c r="BD562" s="450">
        <v>86.64</v>
      </c>
      <c r="BE562" s="450">
        <v>86.75</v>
      </c>
    </row>
    <row r="563" spans="2:57" x14ac:dyDescent="0.25">
      <c r="B563" s="134">
        <v>36</v>
      </c>
      <c r="C563" s="450">
        <v>82.96</v>
      </c>
      <c r="D563" s="450">
        <v>83.06</v>
      </c>
      <c r="E563" s="450">
        <v>83.16</v>
      </c>
      <c r="F563" s="450">
        <v>83.26</v>
      </c>
      <c r="G563" s="450">
        <v>83.35</v>
      </c>
      <c r="H563" s="450">
        <v>83.45</v>
      </c>
      <c r="I563" s="450">
        <v>83.54</v>
      </c>
      <c r="J563" s="450">
        <v>83.63</v>
      </c>
      <c r="K563" s="450">
        <v>83.72</v>
      </c>
      <c r="L563" s="450">
        <v>83.81</v>
      </c>
      <c r="M563" s="450">
        <v>83.9</v>
      </c>
      <c r="N563" s="450">
        <v>83.98</v>
      </c>
      <c r="O563" s="450">
        <v>84.36</v>
      </c>
      <c r="P563" s="450">
        <v>84.67</v>
      </c>
      <c r="Q563" s="450">
        <v>84.91</v>
      </c>
      <c r="R563" s="450">
        <v>85.08</v>
      </c>
      <c r="S563" s="450">
        <v>85.18</v>
      </c>
      <c r="T563" s="133"/>
      <c r="U563" s="134">
        <v>36</v>
      </c>
      <c r="V563" s="450">
        <v>83.75</v>
      </c>
      <c r="W563" s="450">
        <v>83.85</v>
      </c>
      <c r="X563" s="450">
        <v>83.95</v>
      </c>
      <c r="Y563" s="450">
        <v>84.05</v>
      </c>
      <c r="Z563" s="450">
        <v>84.15</v>
      </c>
      <c r="AA563" s="450">
        <v>84.25</v>
      </c>
      <c r="AB563" s="450">
        <v>84.34</v>
      </c>
      <c r="AC563" s="450">
        <v>84.44</v>
      </c>
      <c r="AD563" s="450">
        <v>84.53</v>
      </c>
      <c r="AE563" s="450">
        <v>84.62</v>
      </c>
      <c r="AF563" s="450">
        <v>84.7</v>
      </c>
      <c r="AG563" s="450">
        <v>84.79</v>
      </c>
      <c r="AH563" s="450">
        <v>85.18</v>
      </c>
      <c r="AI563" s="450">
        <v>85.49</v>
      </c>
      <c r="AJ563" s="450">
        <v>85.74</v>
      </c>
      <c r="AK563" s="450">
        <v>85.92</v>
      </c>
      <c r="AL563" s="450">
        <v>86.03</v>
      </c>
      <c r="AM563" s="133"/>
      <c r="AN563" s="134">
        <v>36</v>
      </c>
      <c r="AO563" s="450">
        <v>84.7</v>
      </c>
      <c r="AP563" s="450">
        <v>84.8</v>
      </c>
      <c r="AQ563" s="450">
        <v>84.9</v>
      </c>
      <c r="AR563" s="450">
        <v>85.01</v>
      </c>
      <c r="AS563" s="450">
        <v>85.11</v>
      </c>
      <c r="AT563" s="450">
        <v>85.21</v>
      </c>
      <c r="AU563" s="450">
        <v>85.31</v>
      </c>
      <c r="AV563" s="450">
        <v>85.4</v>
      </c>
      <c r="AW563" s="450">
        <v>85.5</v>
      </c>
      <c r="AX563" s="450">
        <v>85.59</v>
      </c>
      <c r="AY563" s="450">
        <v>85.68</v>
      </c>
      <c r="AZ563" s="450">
        <v>85.77</v>
      </c>
      <c r="BA563" s="450">
        <v>86.16</v>
      </c>
      <c r="BB563" s="450">
        <v>86.49</v>
      </c>
      <c r="BC563" s="450">
        <v>86.75</v>
      </c>
      <c r="BD563" s="450">
        <v>86.93</v>
      </c>
      <c r="BE563" s="450">
        <v>87.04</v>
      </c>
    </row>
    <row r="564" spans="2:57" x14ac:dyDescent="0.25">
      <c r="B564" s="134">
        <v>37</v>
      </c>
      <c r="C564" s="450">
        <v>83.17</v>
      </c>
      <c r="D564" s="450">
        <v>83.27</v>
      </c>
      <c r="E564" s="450">
        <v>83.38</v>
      </c>
      <c r="F564" s="450">
        <v>83.48</v>
      </c>
      <c r="G564" s="450">
        <v>83.58</v>
      </c>
      <c r="H564" s="450">
        <v>83.68</v>
      </c>
      <c r="I564" s="450">
        <v>83.78</v>
      </c>
      <c r="J564" s="450">
        <v>83.87</v>
      </c>
      <c r="K564" s="450">
        <v>83.96</v>
      </c>
      <c r="L564" s="450">
        <v>84.06</v>
      </c>
      <c r="M564" s="450">
        <v>84.14</v>
      </c>
      <c r="N564" s="450">
        <v>84.23</v>
      </c>
      <c r="O564" s="450">
        <v>84.62</v>
      </c>
      <c r="P564" s="450">
        <v>84.95</v>
      </c>
      <c r="Q564" s="450">
        <v>85.19</v>
      </c>
      <c r="R564" s="450">
        <v>85.36</v>
      </c>
      <c r="S564" s="450">
        <v>85.46</v>
      </c>
      <c r="T564" s="133"/>
      <c r="U564" s="134">
        <v>37</v>
      </c>
      <c r="V564" s="450">
        <v>83.96</v>
      </c>
      <c r="W564" s="450">
        <v>84.07</v>
      </c>
      <c r="X564" s="450">
        <v>84.17</v>
      </c>
      <c r="Y564" s="450">
        <v>84.28</v>
      </c>
      <c r="Z564" s="450">
        <v>84.38</v>
      </c>
      <c r="AA564" s="450">
        <v>84.48</v>
      </c>
      <c r="AB564" s="450">
        <v>84.58</v>
      </c>
      <c r="AC564" s="450">
        <v>84.68</v>
      </c>
      <c r="AD564" s="450">
        <v>84.77</v>
      </c>
      <c r="AE564" s="450">
        <v>84.87</v>
      </c>
      <c r="AF564" s="450">
        <v>84.96</v>
      </c>
      <c r="AG564" s="450">
        <v>85.05</v>
      </c>
      <c r="AH564" s="450">
        <v>85.45</v>
      </c>
      <c r="AI564" s="450">
        <v>85.78</v>
      </c>
      <c r="AJ564" s="450">
        <v>86.03</v>
      </c>
      <c r="AK564" s="450">
        <v>86.21</v>
      </c>
      <c r="AL564" s="450">
        <v>86.32</v>
      </c>
      <c r="AM564" s="133"/>
      <c r="AN564" s="134">
        <v>37</v>
      </c>
      <c r="AO564" s="450">
        <v>84.91</v>
      </c>
      <c r="AP564" s="450">
        <v>85.02</v>
      </c>
      <c r="AQ564" s="450">
        <v>85.13</v>
      </c>
      <c r="AR564" s="450">
        <v>85.24</v>
      </c>
      <c r="AS564" s="450">
        <v>85.34</v>
      </c>
      <c r="AT564" s="450">
        <v>85.45</v>
      </c>
      <c r="AU564" s="450">
        <v>85.55</v>
      </c>
      <c r="AV564" s="450">
        <v>85.65</v>
      </c>
      <c r="AW564" s="450">
        <v>85.75</v>
      </c>
      <c r="AX564" s="450">
        <v>85.85</v>
      </c>
      <c r="AY564" s="450">
        <v>85.94</v>
      </c>
      <c r="AZ564" s="450">
        <v>86.03</v>
      </c>
      <c r="BA564" s="450">
        <v>86.44</v>
      </c>
      <c r="BB564" s="450">
        <v>86.79</v>
      </c>
      <c r="BC564" s="450">
        <v>87.05</v>
      </c>
      <c r="BD564" s="450">
        <v>87.23</v>
      </c>
      <c r="BE564" s="450">
        <v>87.34</v>
      </c>
    </row>
    <row r="565" spans="2:57" x14ac:dyDescent="0.25">
      <c r="B565" s="134">
        <v>38</v>
      </c>
      <c r="C565" s="450">
        <v>83.39</v>
      </c>
      <c r="D565" s="450">
        <v>83.5</v>
      </c>
      <c r="E565" s="450">
        <v>83.6</v>
      </c>
      <c r="F565" s="450">
        <v>83.71</v>
      </c>
      <c r="G565" s="450">
        <v>83.81</v>
      </c>
      <c r="H565" s="450">
        <v>83.92</v>
      </c>
      <c r="I565" s="450">
        <v>84.02</v>
      </c>
      <c r="J565" s="450">
        <v>84.12</v>
      </c>
      <c r="K565" s="450">
        <v>84.22</v>
      </c>
      <c r="L565" s="450">
        <v>84.31</v>
      </c>
      <c r="M565" s="450">
        <v>84.4</v>
      </c>
      <c r="N565" s="450">
        <v>84.49</v>
      </c>
      <c r="O565" s="450">
        <v>84.9</v>
      </c>
      <c r="P565" s="450">
        <v>85.24</v>
      </c>
      <c r="Q565" s="450">
        <v>85.49</v>
      </c>
      <c r="R565" s="450">
        <v>85.66</v>
      </c>
      <c r="S565" s="450">
        <v>85.76</v>
      </c>
      <c r="T565" s="133"/>
      <c r="U565" s="134">
        <v>38</v>
      </c>
      <c r="V565" s="450">
        <v>84.18</v>
      </c>
      <c r="W565" s="450">
        <v>84.3</v>
      </c>
      <c r="X565" s="450">
        <v>84.41</v>
      </c>
      <c r="Y565" s="450">
        <v>84.51</v>
      </c>
      <c r="Z565" s="450">
        <v>84.62</v>
      </c>
      <c r="AA565" s="450">
        <v>84.73</v>
      </c>
      <c r="AB565" s="450">
        <v>84.83</v>
      </c>
      <c r="AC565" s="450">
        <v>84.93</v>
      </c>
      <c r="AD565" s="450">
        <v>85.03</v>
      </c>
      <c r="AE565" s="450">
        <v>85.13</v>
      </c>
      <c r="AF565" s="450">
        <v>85.22</v>
      </c>
      <c r="AG565" s="450">
        <v>85.32</v>
      </c>
      <c r="AH565" s="450">
        <v>85.73</v>
      </c>
      <c r="AI565" s="450">
        <v>86.08</v>
      </c>
      <c r="AJ565" s="450">
        <v>86.34</v>
      </c>
      <c r="AK565" s="450">
        <v>86.52</v>
      </c>
      <c r="AL565" s="450">
        <v>86.62</v>
      </c>
      <c r="AM565" s="133"/>
      <c r="AN565" s="134">
        <v>38</v>
      </c>
      <c r="AO565" s="450">
        <v>85.14</v>
      </c>
      <c r="AP565" s="450">
        <v>85.26</v>
      </c>
      <c r="AQ565" s="450">
        <v>85.37</v>
      </c>
      <c r="AR565" s="450">
        <v>85.48</v>
      </c>
      <c r="AS565" s="450">
        <v>85.59</v>
      </c>
      <c r="AT565" s="450">
        <v>85.7</v>
      </c>
      <c r="AU565" s="450">
        <v>85.81</v>
      </c>
      <c r="AV565" s="450">
        <v>85.91</v>
      </c>
      <c r="AW565" s="450">
        <v>86.01</v>
      </c>
      <c r="AX565" s="450">
        <v>86.11</v>
      </c>
      <c r="AY565" s="450">
        <v>86.21</v>
      </c>
      <c r="AZ565" s="450">
        <v>86.31</v>
      </c>
      <c r="BA565" s="450">
        <v>86.74</v>
      </c>
      <c r="BB565" s="450">
        <v>87.09</v>
      </c>
      <c r="BC565" s="450">
        <v>87.36</v>
      </c>
      <c r="BD565" s="450">
        <v>87.55</v>
      </c>
      <c r="BE565" s="450">
        <v>87.65</v>
      </c>
    </row>
    <row r="566" spans="2:57" x14ac:dyDescent="0.25">
      <c r="B566" s="134">
        <v>39</v>
      </c>
      <c r="C566" s="450">
        <v>83.61</v>
      </c>
      <c r="D566" s="450">
        <v>83.73</v>
      </c>
      <c r="E566" s="450">
        <v>83.84</v>
      </c>
      <c r="F566" s="450">
        <v>83.95</v>
      </c>
      <c r="G566" s="450">
        <v>84.06</v>
      </c>
      <c r="H566" s="450">
        <v>84.17</v>
      </c>
      <c r="I566" s="450">
        <v>84.27</v>
      </c>
      <c r="J566" s="450">
        <v>84.38</v>
      </c>
      <c r="K566" s="450">
        <v>84.48</v>
      </c>
      <c r="L566" s="450">
        <v>84.58</v>
      </c>
      <c r="M566" s="450">
        <v>84.67</v>
      </c>
      <c r="N566" s="450">
        <v>84.77</v>
      </c>
      <c r="O566" s="450">
        <v>85.19</v>
      </c>
      <c r="P566" s="450">
        <v>85.54</v>
      </c>
      <c r="Q566" s="450">
        <v>85.8</v>
      </c>
      <c r="R566" s="450">
        <v>85.97</v>
      </c>
      <c r="S566" s="450">
        <v>86.06</v>
      </c>
      <c r="T566" s="133"/>
      <c r="U566" s="134">
        <v>39</v>
      </c>
      <c r="V566" s="450">
        <v>84.42</v>
      </c>
      <c r="W566" s="450">
        <v>84.53</v>
      </c>
      <c r="X566" s="450">
        <v>84.65</v>
      </c>
      <c r="Y566" s="450">
        <v>84.76</v>
      </c>
      <c r="Z566" s="450">
        <v>84.87</v>
      </c>
      <c r="AA566" s="450">
        <v>84.98</v>
      </c>
      <c r="AB566" s="450">
        <v>85.09</v>
      </c>
      <c r="AC566" s="450">
        <v>85.2</v>
      </c>
      <c r="AD566" s="450">
        <v>85.3</v>
      </c>
      <c r="AE566" s="450">
        <v>85.4</v>
      </c>
      <c r="AF566" s="450">
        <v>85.5</v>
      </c>
      <c r="AG566" s="450">
        <v>85.6</v>
      </c>
      <c r="AH566" s="450">
        <v>86.03</v>
      </c>
      <c r="AI566" s="450">
        <v>86.39</v>
      </c>
      <c r="AJ566" s="450">
        <v>86.65</v>
      </c>
      <c r="AK566" s="450">
        <v>86.83</v>
      </c>
      <c r="AL566" s="450">
        <v>86.93</v>
      </c>
      <c r="AM566" s="133"/>
      <c r="AN566" s="134">
        <v>39</v>
      </c>
      <c r="AO566" s="450">
        <v>85.38</v>
      </c>
      <c r="AP566" s="450">
        <v>85.5</v>
      </c>
      <c r="AQ566" s="450">
        <v>85.62</v>
      </c>
      <c r="AR566" s="450">
        <v>85.73</v>
      </c>
      <c r="AS566" s="450">
        <v>85.85</v>
      </c>
      <c r="AT566" s="450">
        <v>85.96</v>
      </c>
      <c r="AU566" s="450">
        <v>86.08</v>
      </c>
      <c r="AV566" s="450">
        <v>86.18</v>
      </c>
      <c r="AW566" s="450">
        <v>86.29</v>
      </c>
      <c r="AX566" s="450">
        <v>86.4</v>
      </c>
      <c r="AY566" s="450">
        <v>86.5</v>
      </c>
      <c r="AZ566" s="450">
        <v>86.6</v>
      </c>
      <c r="BA566" s="450">
        <v>87.04</v>
      </c>
      <c r="BB566" s="450">
        <v>87.41</v>
      </c>
      <c r="BC566" s="450">
        <v>87.69</v>
      </c>
      <c r="BD566" s="450">
        <v>87.87</v>
      </c>
      <c r="BE566" s="450">
        <v>87.97</v>
      </c>
    </row>
    <row r="567" spans="2:57" x14ac:dyDescent="0.25">
      <c r="B567" s="134">
        <v>40</v>
      </c>
      <c r="C567" s="450">
        <v>83.85</v>
      </c>
      <c r="D567" s="450">
        <v>83.97</v>
      </c>
      <c r="E567" s="450">
        <v>84.09</v>
      </c>
      <c r="F567" s="450">
        <v>84.2</v>
      </c>
      <c r="G567" s="450">
        <v>84.32</v>
      </c>
      <c r="H567" s="450">
        <v>84.43</v>
      </c>
      <c r="I567" s="450">
        <v>84.54</v>
      </c>
      <c r="J567" s="450">
        <v>84.65</v>
      </c>
      <c r="K567" s="450">
        <v>84.75</v>
      </c>
      <c r="L567" s="450">
        <v>84.86</v>
      </c>
      <c r="M567" s="450">
        <v>84.96</v>
      </c>
      <c r="N567" s="450">
        <v>85.05</v>
      </c>
      <c r="O567" s="450">
        <v>85.5</v>
      </c>
      <c r="P567" s="450">
        <v>85.85</v>
      </c>
      <c r="Q567" s="450">
        <v>86.11</v>
      </c>
      <c r="R567" s="450">
        <v>86.29</v>
      </c>
      <c r="S567" s="450">
        <v>86.37</v>
      </c>
      <c r="T567" s="133"/>
      <c r="U567" s="134">
        <v>40</v>
      </c>
      <c r="V567" s="450">
        <v>84.66</v>
      </c>
      <c r="W567" s="450">
        <v>84.78</v>
      </c>
      <c r="X567" s="450">
        <v>84.9</v>
      </c>
      <c r="Y567" s="450">
        <v>85.02</v>
      </c>
      <c r="Z567" s="450">
        <v>85.13</v>
      </c>
      <c r="AA567" s="450">
        <v>85.25</v>
      </c>
      <c r="AB567" s="450">
        <v>85.36</v>
      </c>
      <c r="AC567" s="450">
        <v>85.47</v>
      </c>
      <c r="AD567" s="450">
        <v>85.58</v>
      </c>
      <c r="AE567" s="450">
        <v>85.69</v>
      </c>
      <c r="AF567" s="450">
        <v>85.79</v>
      </c>
      <c r="AG567" s="450">
        <v>85.89</v>
      </c>
      <c r="AH567" s="450">
        <v>86.34</v>
      </c>
      <c r="AI567" s="450">
        <v>86.71</v>
      </c>
      <c r="AJ567" s="450">
        <v>86.98</v>
      </c>
      <c r="AK567" s="450">
        <v>87.16</v>
      </c>
      <c r="AL567" s="450">
        <v>87.25</v>
      </c>
      <c r="AM567" s="133"/>
      <c r="AN567" s="134">
        <v>40</v>
      </c>
      <c r="AO567" s="450">
        <v>85.63</v>
      </c>
      <c r="AP567" s="450">
        <v>85.75</v>
      </c>
      <c r="AQ567" s="450">
        <v>85.88</v>
      </c>
      <c r="AR567" s="450">
        <v>86</v>
      </c>
      <c r="AS567" s="450">
        <v>86.12</v>
      </c>
      <c r="AT567" s="450">
        <v>86.24</v>
      </c>
      <c r="AU567" s="450">
        <v>86.36</v>
      </c>
      <c r="AV567" s="450">
        <v>86.47</v>
      </c>
      <c r="AW567" s="450">
        <v>86.58</v>
      </c>
      <c r="AX567" s="450">
        <v>86.69</v>
      </c>
      <c r="AY567" s="450">
        <v>86.8</v>
      </c>
      <c r="AZ567" s="450">
        <v>86.9</v>
      </c>
      <c r="BA567" s="450">
        <v>87.36</v>
      </c>
      <c r="BB567" s="450">
        <v>87.74</v>
      </c>
      <c r="BC567" s="450">
        <v>88.02</v>
      </c>
      <c r="BD567" s="450">
        <v>88.21</v>
      </c>
      <c r="BE567" s="450">
        <v>88.3</v>
      </c>
    </row>
    <row r="568" spans="2:57" x14ac:dyDescent="0.25">
      <c r="B568" s="134">
        <v>41</v>
      </c>
      <c r="C568" s="450">
        <v>84.1</v>
      </c>
      <c r="D568" s="450">
        <v>84.22</v>
      </c>
      <c r="E568" s="450">
        <v>84.34</v>
      </c>
      <c r="F568" s="450">
        <v>84.47</v>
      </c>
      <c r="G568" s="450">
        <v>84.58</v>
      </c>
      <c r="H568" s="450">
        <v>84.7</v>
      </c>
      <c r="I568" s="450">
        <v>84.82</v>
      </c>
      <c r="J568" s="450">
        <v>84.93</v>
      </c>
      <c r="K568" s="450">
        <v>85.04</v>
      </c>
      <c r="L568" s="450">
        <v>85.15</v>
      </c>
      <c r="M568" s="450">
        <v>85.25</v>
      </c>
      <c r="N568" s="450">
        <v>85.35</v>
      </c>
      <c r="O568" s="450">
        <v>85.81</v>
      </c>
      <c r="P568" s="450">
        <v>86.18</v>
      </c>
      <c r="Q568" s="450">
        <v>86.44</v>
      </c>
      <c r="R568" s="450">
        <v>86.61</v>
      </c>
      <c r="S568" s="450">
        <v>86.69</v>
      </c>
      <c r="T568" s="133"/>
      <c r="U568" s="134">
        <v>41</v>
      </c>
      <c r="V568" s="450">
        <v>84.91</v>
      </c>
      <c r="W568" s="450">
        <v>85.04</v>
      </c>
      <c r="X568" s="450">
        <v>85.16</v>
      </c>
      <c r="Y568" s="450">
        <v>85.29</v>
      </c>
      <c r="Z568" s="450">
        <v>85.41</v>
      </c>
      <c r="AA568" s="450">
        <v>85.53</v>
      </c>
      <c r="AB568" s="450">
        <v>85.65</v>
      </c>
      <c r="AC568" s="450">
        <v>85.76</v>
      </c>
      <c r="AD568" s="450">
        <v>85.87</v>
      </c>
      <c r="AE568" s="450">
        <v>85.98</v>
      </c>
      <c r="AF568" s="450">
        <v>86.09</v>
      </c>
      <c r="AG568" s="450">
        <v>86.19</v>
      </c>
      <c r="AH568" s="450">
        <v>86.66</v>
      </c>
      <c r="AI568" s="450">
        <v>87.04</v>
      </c>
      <c r="AJ568" s="450">
        <v>87.32</v>
      </c>
      <c r="AK568" s="450">
        <v>87.49</v>
      </c>
      <c r="AL568" s="450">
        <v>87.57</v>
      </c>
      <c r="AM568" s="133"/>
      <c r="AN568" s="134">
        <v>41</v>
      </c>
      <c r="AO568" s="450">
        <v>85.89</v>
      </c>
      <c r="AP568" s="450">
        <v>86.02</v>
      </c>
      <c r="AQ568" s="450">
        <v>86.15</v>
      </c>
      <c r="AR568" s="450">
        <v>86.28</v>
      </c>
      <c r="AS568" s="450">
        <v>86.4</v>
      </c>
      <c r="AT568" s="450">
        <v>86.53</v>
      </c>
      <c r="AU568" s="450">
        <v>86.65</v>
      </c>
      <c r="AV568" s="450">
        <v>86.77</v>
      </c>
      <c r="AW568" s="450">
        <v>86.88</v>
      </c>
      <c r="AX568" s="450">
        <v>87</v>
      </c>
      <c r="AY568" s="450">
        <v>87.11</v>
      </c>
      <c r="AZ568" s="450">
        <v>87.21</v>
      </c>
      <c r="BA568" s="450">
        <v>87.7</v>
      </c>
      <c r="BB568" s="450">
        <v>88.09</v>
      </c>
      <c r="BC568" s="450">
        <v>88.37</v>
      </c>
      <c r="BD568" s="450">
        <v>88.55</v>
      </c>
      <c r="BE568" s="450">
        <v>88.64</v>
      </c>
    </row>
    <row r="569" spans="2:57" x14ac:dyDescent="0.25">
      <c r="B569" s="134">
        <v>42</v>
      </c>
      <c r="C569" s="450">
        <v>84.36</v>
      </c>
      <c r="D569" s="450">
        <v>84.49</v>
      </c>
      <c r="E569" s="450">
        <v>84.61</v>
      </c>
      <c r="F569" s="450">
        <v>84.74</v>
      </c>
      <c r="G569" s="450">
        <v>84.86</v>
      </c>
      <c r="H569" s="450">
        <v>84.99</v>
      </c>
      <c r="I569" s="450">
        <v>85.11</v>
      </c>
      <c r="J569" s="450">
        <v>85.22</v>
      </c>
      <c r="K569" s="450">
        <v>85.34</v>
      </c>
      <c r="L569" s="450">
        <v>85.45</v>
      </c>
      <c r="M569" s="450">
        <v>85.56</v>
      </c>
      <c r="N569" s="450">
        <v>85.66</v>
      </c>
      <c r="O569" s="450">
        <v>86.14</v>
      </c>
      <c r="P569" s="450">
        <v>86.51</v>
      </c>
      <c r="Q569" s="450">
        <v>86.78</v>
      </c>
      <c r="R569" s="450">
        <v>86.94</v>
      </c>
      <c r="S569" s="450">
        <v>87.02</v>
      </c>
      <c r="T569" s="133"/>
      <c r="U569" s="134">
        <v>42</v>
      </c>
      <c r="V569" s="450">
        <v>85.17</v>
      </c>
      <c r="W569" s="450">
        <v>85.31</v>
      </c>
      <c r="X569" s="450">
        <v>85.44</v>
      </c>
      <c r="Y569" s="450">
        <v>85.57</v>
      </c>
      <c r="Z569" s="450">
        <v>85.69</v>
      </c>
      <c r="AA569" s="450">
        <v>85.82</v>
      </c>
      <c r="AB569" s="450">
        <v>85.94</v>
      </c>
      <c r="AC569" s="450">
        <v>86.06</v>
      </c>
      <c r="AD569" s="450">
        <v>86.18</v>
      </c>
      <c r="AE569" s="450">
        <v>86.29</v>
      </c>
      <c r="AF569" s="450">
        <v>86.4</v>
      </c>
      <c r="AG569" s="450">
        <v>86.51</v>
      </c>
      <c r="AH569" s="450">
        <v>87</v>
      </c>
      <c r="AI569" s="450">
        <v>87.39</v>
      </c>
      <c r="AJ569" s="450">
        <v>87.66</v>
      </c>
      <c r="AK569" s="450">
        <v>87.83</v>
      </c>
      <c r="AL569" s="450">
        <v>87.91</v>
      </c>
      <c r="AM569" s="133"/>
      <c r="AN569" s="134">
        <v>42</v>
      </c>
      <c r="AO569" s="450">
        <v>86.16</v>
      </c>
      <c r="AP569" s="450">
        <v>86.3</v>
      </c>
      <c r="AQ569" s="450">
        <v>86.43</v>
      </c>
      <c r="AR569" s="450">
        <v>86.57</v>
      </c>
      <c r="AS569" s="450">
        <v>86.7</v>
      </c>
      <c r="AT569" s="450">
        <v>86.83</v>
      </c>
      <c r="AU569" s="450">
        <v>86.95</v>
      </c>
      <c r="AV569" s="450">
        <v>87.08</v>
      </c>
      <c r="AW569" s="450">
        <v>87.2</v>
      </c>
      <c r="AX569" s="450">
        <v>87.31</v>
      </c>
      <c r="AY569" s="450">
        <v>87.43</v>
      </c>
      <c r="AZ569" s="450">
        <v>87.54</v>
      </c>
      <c r="BA569" s="450">
        <v>88.04</v>
      </c>
      <c r="BB569" s="450">
        <v>88.44</v>
      </c>
      <c r="BC569" s="450">
        <v>88.73</v>
      </c>
      <c r="BD569" s="450">
        <v>88.9</v>
      </c>
      <c r="BE569" s="450">
        <v>88.99</v>
      </c>
    </row>
    <row r="570" spans="2:57" x14ac:dyDescent="0.25">
      <c r="B570" s="134">
        <v>43</v>
      </c>
      <c r="C570" s="450">
        <v>84.63</v>
      </c>
      <c r="D570" s="450">
        <v>84.76</v>
      </c>
      <c r="E570" s="450">
        <v>84.89</v>
      </c>
      <c r="F570" s="450">
        <v>85.03</v>
      </c>
      <c r="G570" s="450">
        <v>85.16</v>
      </c>
      <c r="H570" s="450">
        <v>85.28</v>
      </c>
      <c r="I570" s="450">
        <v>85.41</v>
      </c>
      <c r="J570" s="450">
        <v>85.53</v>
      </c>
      <c r="K570" s="450">
        <v>85.65</v>
      </c>
      <c r="L570" s="450">
        <v>85.76</v>
      </c>
      <c r="M570" s="450">
        <v>85.88</v>
      </c>
      <c r="N570" s="450">
        <v>85.99</v>
      </c>
      <c r="O570" s="450">
        <v>86.48</v>
      </c>
      <c r="P570" s="450">
        <v>86.86</v>
      </c>
      <c r="Q570" s="450">
        <v>87.13</v>
      </c>
      <c r="R570" s="450">
        <v>87.28</v>
      </c>
      <c r="S570" s="450">
        <v>87.35</v>
      </c>
      <c r="T570" s="133"/>
      <c r="U570" s="134">
        <v>43</v>
      </c>
      <c r="V570" s="450">
        <v>85.45</v>
      </c>
      <c r="W570" s="450">
        <v>85.59</v>
      </c>
      <c r="X570" s="450">
        <v>85.72</v>
      </c>
      <c r="Y570" s="450">
        <v>85.86</v>
      </c>
      <c r="Z570" s="450">
        <v>85.99</v>
      </c>
      <c r="AA570" s="450">
        <v>86.12</v>
      </c>
      <c r="AB570" s="450">
        <v>86.25</v>
      </c>
      <c r="AC570" s="450">
        <v>86.37</v>
      </c>
      <c r="AD570" s="450">
        <v>86.5</v>
      </c>
      <c r="AE570" s="450">
        <v>86.62</v>
      </c>
      <c r="AF570" s="450">
        <v>86.73</v>
      </c>
      <c r="AG570" s="450">
        <v>86.84</v>
      </c>
      <c r="AH570" s="450">
        <v>87.35</v>
      </c>
      <c r="AI570" s="450">
        <v>87.74</v>
      </c>
      <c r="AJ570" s="450">
        <v>88.02</v>
      </c>
      <c r="AK570" s="450">
        <v>88.18</v>
      </c>
      <c r="AL570" s="450">
        <v>88.26</v>
      </c>
      <c r="AM570" s="133"/>
      <c r="AN570" s="134">
        <v>43</v>
      </c>
      <c r="AO570" s="450">
        <v>86.44</v>
      </c>
      <c r="AP570" s="450">
        <v>86.59</v>
      </c>
      <c r="AQ570" s="450">
        <v>86.73</v>
      </c>
      <c r="AR570" s="450">
        <v>86.87</v>
      </c>
      <c r="AS570" s="450">
        <v>87</v>
      </c>
      <c r="AT570" s="450">
        <v>87.14</v>
      </c>
      <c r="AU570" s="450">
        <v>87.27</v>
      </c>
      <c r="AV570" s="450">
        <v>87.4</v>
      </c>
      <c r="AW570" s="450">
        <v>87.52</v>
      </c>
      <c r="AX570" s="450">
        <v>87.65</v>
      </c>
      <c r="AY570" s="450">
        <v>87.77</v>
      </c>
      <c r="AZ570" s="450">
        <v>87.88</v>
      </c>
      <c r="BA570" s="450">
        <v>88.4</v>
      </c>
      <c r="BB570" s="450">
        <v>88.81</v>
      </c>
      <c r="BC570" s="450">
        <v>89.1</v>
      </c>
      <c r="BD570" s="450">
        <v>89.27</v>
      </c>
      <c r="BE570" s="450">
        <v>89.34</v>
      </c>
    </row>
    <row r="571" spans="2:57" x14ac:dyDescent="0.25">
      <c r="B571" s="134">
        <v>44</v>
      </c>
      <c r="C571" s="450">
        <v>84.91</v>
      </c>
      <c r="D571" s="450">
        <v>85.05</v>
      </c>
      <c r="E571" s="450">
        <v>85.19</v>
      </c>
      <c r="F571" s="450">
        <v>85.32</v>
      </c>
      <c r="G571" s="450">
        <v>85.46</v>
      </c>
      <c r="H571" s="450">
        <v>85.59</v>
      </c>
      <c r="I571" s="450">
        <v>85.72</v>
      </c>
      <c r="J571" s="450">
        <v>85.85</v>
      </c>
      <c r="K571" s="450">
        <v>85.97</v>
      </c>
      <c r="L571" s="450">
        <v>86.09</v>
      </c>
      <c r="M571" s="450">
        <v>86.21</v>
      </c>
      <c r="N571" s="450">
        <v>86.32</v>
      </c>
      <c r="O571" s="450">
        <v>86.83</v>
      </c>
      <c r="P571" s="450">
        <v>87.22</v>
      </c>
      <c r="Q571" s="450">
        <v>87.49</v>
      </c>
      <c r="R571" s="450">
        <v>87.63</v>
      </c>
      <c r="S571" s="450">
        <v>87.69</v>
      </c>
      <c r="T571" s="133"/>
      <c r="U571" s="134">
        <v>44</v>
      </c>
      <c r="V571" s="450">
        <v>85.74</v>
      </c>
      <c r="W571" s="450">
        <v>85.88</v>
      </c>
      <c r="X571" s="450">
        <v>86.02</v>
      </c>
      <c r="Y571" s="450">
        <v>86.16</v>
      </c>
      <c r="Z571" s="450">
        <v>86.3</v>
      </c>
      <c r="AA571" s="450">
        <v>86.44</v>
      </c>
      <c r="AB571" s="450">
        <v>86.57</v>
      </c>
      <c r="AC571" s="450">
        <v>86.7</v>
      </c>
      <c r="AD571" s="450">
        <v>86.83</v>
      </c>
      <c r="AE571" s="450">
        <v>86.95</v>
      </c>
      <c r="AF571" s="450">
        <v>87.07</v>
      </c>
      <c r="AG571" s="450">
        <v>87.19</v>
      </c>
      <c r="AH571" s="450">
        <v>87.71</v>
      </c>
      <c r="AI571" s="450">
        <v>88.11</v>
      </c>
      <c r="AJ571" s="450">
        <v>88.39</v>
      </c>
      <c r="AK571" s="450">
        <v>88.54</v>
      </c>
      <c r="AL571" s="450">
        <v>88.61</v>
      </c>
      <c r="AM571" s="133"/>
      <c r="AN571" s="134">
        <v>44</v>
      </c>
      <c r="AO571" s="450">
        <v>86.74</v>
      </c>
      <c r="AP571" s="450">
        <v>86.89</v>
      </c>
      <c r="AQ571" s="450">
        <v>87.04</v>
      </c>
      <c r="AR571" s="450">
        <v>87.18</v>
      </c>
      <c r="AS571" s="450">
        <v>87.32</v>
      </c>
      <c r="AT571" s="450">
        <v>87.46</v>
      </c>
      <c r="AU571" s="450">
        <v>87.6</v>
      </c>
      <c r="AV571" s="450">
        <v>87.73</v>
      </c>
      <c r="AW571" s="450">
        <v>87.87</v>
      </c>
      <c r="AX571" s="450">
        <v>87.99</v>
      </c>
      <c r="AY571" s="450">
        <v>88.12</v>
      </c>
      <c r="AZ571" s="450">
        <v>88.24</v>
      </c>
      <c r="BA571" s="450">
        <v>88.78</v>
      </c>
      <c r="BB571" s="450">
        <v>89.2</v>
      </c>
      <c r="BC571" s="450">
        <v>89.48</v>
      </c>
      <c r="BD571" s="450">
        <v>89.64</v>
      </c>
      <c r="BE571" s="450">
        <v>89.71</v>
      </c>
    </row>
    <row r="572" spans="2:57" x14ac:dyDescent="0.25">
      <c r="B572" s="134">
        <v>45</v>
      </c>
      <c r="C572" s="450">
        <v>85.2</v>
      </c>
      <c r="D572" s="450">
        <v>85.35</v>
      </c>
      <c r="E572" s="450">
        <v>85.49</v>
      </c>
      <c r="F572" s="450">
        <v>85.63</v>
      </c>
      <c r="G572" s="450">
        <v>85.77</v>
      </c>
      <c r="H572" s="450">
        <v>85.91</v>
      </c>
      <c r="I572" s="450">
        <v>86.05</v>
      </c>
      <c r="J572" s="450">
        <v>86.18</v>
      </c>
      <c r="K572" s="450">
        <v>86.31</v>
      </c>
      <c r="L572" s="450">
        <v>86.43</v>
      </c>
      <c r="M572" s="450">
        <v>86.55</v>
      </c>
      <c r="N572" s="450">
        <v>86.67</v>
      </c>
      <c r="O572" s="450">
        <v>87.2</v>
      </c>
      <c r="P572" s="450">
        <v>87.59</v>
      </c>
      <c r="Q572" s="450">
        <v>87.86</v>
      </c>
      <c r="R572" s="450">
        <v>87.99</v>
      </c>
      <c r="S572" s="450">
        <v>88.04</v>
      </c>
      <c r="T572" s="133"/>
      <c r="U572" s="134">
        <v>45</v>
      </c>
      <c r="V572" s="450">
        <v>86.04</v>
      </c>
      <c r="W572" s="450">
        <v>86.19</v>
      </c>
      <c r="X572" s="450">
        <v>86.34</v>
      </c>
      <c r="Y572" s="450">
        <v>86.48</v>
      </c>
      <c r="Z572" s="450">
        <v>86.63</v>
      </c>
      <c r="AA572" s="450">
        <v>86.77</v>
      </c>
      <c r="AB572" s="450">
        <v>86.9</v>
      </c>
      <c r="AC572" s="450">
        <v>87.04</v>
      </c>
      <c r="AD572" s="450">
        <v>87.17</v>
      </c>
      <c r="AE572" s="450">
        <v>87.3</v>
      </c>
      <c r="AF572" s="450">
        <v>87.43</v>
      </c>
      <c r="AG572" s="450">
        <v>87.55</v>
      </c>
      <c r="AH572" s="450">
        <v>88.09</v>
      </c>
      <c r="AI572" s="450">
        <v>88.5</v>
      </c>
      <c r="AJ572" s="450">
        <v>88.77</v>
      </c>
      <c r="AK572" s="450">
        <v>88.91</v>
      </c>
      <c r="AL572" s="450">
        <v>88.97</v>
      </c>
      <c r="AM572" s="133"/>
      <c r="AN572" s="134">
        <v>45</v>
      </c>
      <c r="AO572" s="450">
        <v>87.05</v>
      </c>
      <c r="AP572" s="450">
        <v>87.2</v>
      </c>
      <c r="AQ572" s="450">
        <v>87.36</v>
      </c>
      <c r="AR572" s="450">
        <v>87.51</v>
      </c>
      <c r="AS572" s="450">
        <v>87.66</v>
      </c>
      <c r="AT572" s="450">
        <v>87.8</v>
      </c>
      <c r="AU572" s="450">
        <v>87.94</v>
      </c>
      <c r="AV572" s="450">
        <v>88.08</v>
      </c>
      <c r="AW572" s="450">
        <v>88.22</v>
      </c>
      <c r="AX572" s="450">
        <v>88.35</v>
      </c>
      <c r="AY572" s="450">
        <v>88.48</v>
      </c>
      <c r="AZ572" s="450">
        <v>88.61</v>
      </c>
      <c r="BA572" s="450">
        <v>89.17</v>
      </c>
      <c r="BB572" s="450">
        <v>89.59</v>
      </c>
      <c r="BC572" s="450">
        <v>89.87</v>
      </c>
      <c r="BD572" s="450">
        <v>90.02</v>
      </c>
      <c r="BE572" s="450">
        <v>90.08</v>
      </c>
    </row>
    <row r="573" spans="2:57" x14ac:dyDescent="0.25">
      <c r="B573" s="134">
        <v>46</v>
      </c>
      <c r="C573" s="450">
        <v>85.5</v>
      </c>
      <c r="D573" s="450">
        <v>85.66</v>
      </c>
      <c r="E573" s="450">
        <v>85.81</v>
      </c>
      <c r="F573" s="450">
        <v>85.96</v>
      </c>
      <c r="G573" s="450">
        <v>86.1</v>
      </c>
      <c r="H573" s="450">
        <v>86.25</v>
      </c>
      <c r="I573" s="450">
        <v>86.39</v>
      </c>
      <c r="J573" s="450">
        <v>86.52</v>
      </c>
      <c r="K573" s="450">
        <v>86.66</v>
      </c>
      <c r="L573" s="450">
        <v>86.79</v>
      </c>
      <c r="M573" s="450">
        <v>86.91</v>
      </c>
      <c r="N573" s="450">
        <v>87.04</v>
      </c>
      <c r="O573" s="450">
        <v>87.58</v>
      </c>
      <c r="P573" s="450">
        <v>87.98</v>
      </c>
      <c r="Q573" s="450">
        <v>88.23</v>
      </c>
      <c r="R573" s="450">
        <v>88.35</v>
      </c>
      <c r="S573" s="450">
        <v>88.39</v>
      </c>
      <c r="T573" s="133"/>
      <c r="U573" s="134">
        <v>46</v>
      </c>
      <c r="V573" s="450">
        <v>86.35</v>
      </c>
      <c r="W573" s="450">
        <v>86.51</v>
      </c>
      <c r="X573" s="450">
        <v>86.66</v>
      </c>
      <c r="Y573" s="450">
        <v>86.81</v>
      </c>
      <c r="Z573" s="450">
        <v>86.96</v>
      </c>
      <c r="AA573" s="450">
        <v>87.11</v>
      </c>
      <c r="AB573" s="450">
        <v>87.25</v>
      </c>
      <c r="AC573" s="450">
        <v>87.39</v>
      </c>
      <c r="AD573" s="450">
        <v>87.53</v>
      </c>
      <c r="AE573" s="450">
        <v>87.66</v>
      </c>
      <c r="AF573" s="450">
        <v>87.79</v>
      </c>
      <c r="AG573" s="450">
        <v>87.92</v>
      </c>
      <c r="AH573" s="450">
        <v>88.48</v>
      </c>
      <c r="AI573" s="450">
        <v>88.89</v>
      </c>
      <c r="AJ573" s="450">
        <v>89.15</v>
      </c>
      <c r="AK573" s="450">
        <v>89.28</v>
      </c>
      <c r="AL573" s="450">
        <v>89.33</v>
      </c>
      <c r="AM573" s="133"/>
      <c r="AN573" s="134">
        <v>46</v>
      </c>
      <c r="AO573" s="450">
        <v>87.37</v>
      </c>
      <c r="AP573" s="450">
        <v>87.53</v>
      </c>
      <c r="AQ573" s="450">
        <v>87.69</v>
      </c>
      <c r="AR573" s="450">
        <v>87.85</v>
      </c>
      <c r="AS573" s="450">
        <v>88</v>
      </c>
      <c r="AT573" s="450">
        <v>88.15</v>
      </c>
      <c r="AU573" s="450">
        <v>88.3</v>
      </c>
      <c r="AV573" s="450">
        <v>88.45</v>
      </c>
      <c r="AW573" s="450">
        <v>88.59</v>
      </c>
      <c r="AX573" s="450">
        <v>88.73</v>
      </c>
      <c r="AY573" s="450">
        <v>88.86</v>
      </c>
      <c r="AZ573" s="450">
        <v>88.99</v>
      </c>
      <c r="BA573" s="450">
        <v>89.57</v>
      </c>
      <c r="BB573" s="450">
        <v>90</v>
      </c>
      <c r="BC573" s="450">
        <v>90.27</v>
      </c>
      <c r="BD573" s="450">
        <v>90.41</v>
      </c>
      <c r="BE573" s="450">
        <v>90.46</v>
      </c>
    </row>
    <row r="574" spans="2:57" x14ac:dyDescent="0.25">
      <c r="B574" s="134">
        <v>47</v>
      </c>
      <c r="C574" s="450">
        <v>85.82</v>
      </c>
      <c r="D574" s="450">
        <v>85.98</v>
      </c>
      <c r="E574" s="450">
        <v>86.14</v>
      </c>
      <c r="F574" s="450">
        <v>86.29</v>
      </c>
      <c r="G574" s="450">
        <v>86.44</v>
      </c>
      <c r="H574" s="450">
        <v>86.59</v>
      </c>
      <c r="I574" s="450">
        <v>86.74</v>
      </c>
      <c r="J574" s="450">
        <v>86.88</v>
      </c>
      <c r="K574" s="450">
        <v>87.02</v>
      </c>
      <c r="L574" s="450">
        <v>87.16</v>
      </c>
      <c r="M574" s="450">
        <v>87.29</v>
      </c>
      <c r="N574" s="450">
        <v>87.41</v>
      </c>
      <c r="O574" s="450">
        <v>87.97</v>
      </c>
      <c r="P574" s="450">
        <v>88.37</v>
      </c>
      <c r="Q574" s="450">
        <v>88.61</v>
      </c>
      <c r="R574" s="450">
        <v>88.72</v>
      </c>
      <c r="S574" s="450">
        <v>88.75</v>
      </c>
      <c r="T574" s="133"/>
      <c r="U574" s="134">
        <v>47</v>
      </c>
      <c r="V574" s="450">
        <v>86.67</v>
      </c>
      <c r="W574" s="450">
        <v>86.84</v>
      </c>
      <c r="X574" s="450">
        <v>87</v>
      </c>
      <c r="Y574" s="450">
        <v>87.16</v>
      </c>
      <c r="Z574" s="450">
        <v>87.31</v>
      </c>
      <c r="AA574" s="450">
        <v>87.46</v>
      </c>
      <c r="AB574" s="450">
        <v>87.61</v>
      </c>
      <c r="AC574" s="450">
        <v>87.76</v>
      </c>
      <c r="AD574" s="450">
        <v>87.9</v>
      </c>
      <c r="AE574" s="450">
        <v>88.04</v>
      </c>
      <c r="AF574" s="450">
        <v>88.18</v>
      </c>
      <c r="AG574" s="450">
        <v>88.31</v>
      </c>
      <c r="AH574" s="450">
        <v>88.88</v>
      </c>
      <c r="AI574" s="450">
        <v>89.3</v>
      </c>
      <c r="AJ574" s="450">
        <v>89.55</v>
      </c>
      <c r="AK574" s="450">
        <v>89.67</v>
      </c>
      <c r="AL574" s="450">
        <v>89.71</v>
      </c>
      <c r="AM574" s="133"/>
      <c r="AN574" s="134">
        <v>47</v>
      </c>
      <c r="AO574" s="450">
        <v>87.71</v>
      </c>
      <c r="AP574" s="450">
        <v>87.87</v>
      </c>
      <c r="AQ574" s="450">
        <v>88.04</v>
      </c>
      <c r="AR574" s="450">
        <v>88.2</v>
      </c>
      <c r="AS574" s="450">
        <v>88.36</v>
      </c>
      <c r="AT574" s="450">
        <v>88.52</v>
      </c>
      <c r="AU574" s="450">
        <v>88.68</v>
      </c>
      <c r="AV574" s="450">
        <v>88.83</v>
      </c>
      <c r="AW574" s="450">
        <v>88.98</v>
      </c>
      <c r="AX574" s="450">
        <v>89.12</v>
      </c>
      <c r="AY574" s="450">
        <v>89.26</v>
      </c>
      <c r="AZ574" s="450">
        <v>89.39</v>
      </c>
      <c r="BA574" s="450">
        <v>89.98</v>
      </c>
      <c r="BB574" s="450">
        <v>90.42</v>
      </c>
      <c r="BC574" s="450">
        <v>90.68</v>
      </c>
      <c r="BD574" s="450">
        <v>90.8</v>
      </c>
      <c r="BE574" s="450">
        <v>90.84</v>
      </c>
    </row>
    <row r="575" spans="2:57" x14ac:dyDescent="0.25">
      <c r="B575" s="134">
        <v>48</v>
      </c>
      <c r="C575" s="450">
        <v>86.15</v>
      </c>
      <c r="D575" s="450">
        <v>86.32</v>
      </c>
      <c r="E575" s="450">
        <v>86.48</v>
      </c>
      <c r="F575" s="450">
        <v>86.64</v>
      </c>
      <c r="G575" s="450">
        <v>86.8</v>
      </c>
      <c r="H575" s="450">
        <v>86.95</v>
      </c>
      <c r="I575" s="450">
        <v>87.11</v>
      </c>
      <c r="J575" s="450">
        <v>87.26</v>
      </c>
      <c r="K575" s="450">
        <v>87.4</v>
      </c>
      <c r="L575" s="450">
        <v>87.54</v>
      </c>
      <c r="M575" s="450">
        <v>87.68</v>
      </c>
      <c r="N575" s="450">
        <v>87.81</v>
      </c>
      <c r="O575" s="450">
        <v>88.37</v>
      </c>
      <c r="P575" s="450">
        <v>88.77</v>
      </c>
      <c r="Q575" s="450">
        <v>89</v>
      </c>
      <c r="R575" s="450">
        <v>89.1</v>
      </c>
      <c r="S575" s="450">
        <v>89.12</v>
      </c>
      <c r="T575" s="133"/>
      <c r="U575" s="134">
        <v>48</v>
      </c>
      <c r="V575" s="450">
        <v>87.01</v>
      </c>
      <c r="W575" s="450">
        <v>87.18</v>
      </c>
      <c r="X575" s="450">
        <v>87.35</v>
      </c>
      <c r="Y575" s="450">
        <v>87.51</v>
      </c>
      <c r="Z575" s="450">
        <v>87.68</v>
      </c>
      <c r="AA575" s="450">
        <v>87.84</v>
      </c>
      <c r="AB575" s="450">
        <v>87.99</v>
      </c>
      <c r="AC575" s="450">
        <v>88.14</v>
      </c>
      <c r="AD575" s="450">
        <v>88.29</v>
      </c>
      <c r="AE575" s="450">
        <v>88.44</v>
      </c>
      <c r="AF575" s="450">
        <v>88.58</v>
      </c>
      <c r="AG575" s="450">
        <v>88.71</v>
      </c>
      <c r="AH575" s="450">
        <v>89.3</v>
      </c>
      <c r="AI575" s="450">
        <v>89.71</v>
      </c>
      <c r="AJ575" s="450">
        <v>89.95</v>
      </c>
      <c r="AK575" s="450">
        <v>90.06</v>
      </c>
      <c r="AL575" s="450">
        <v>90.09</v>
      </c>
      <c r="AM575" s="133"/>
      <c r="AN575" s="134">
        <v>48</v>
      </c>
      <c r="AO575" s="450">
        <v>88.06</v>
      </c>
      <c r="AP575" s="450">
        <v>88.23</v>
      </c>
      <c r="AQ575" s="450">
        <v>88.4</v>
      </c>
      <c r="AR575" s="450">
        <v>88.57</v>
      </c>
      <c r="AS575" s="450">
        <v>88.74</v>
      </c>
      <c r="AT575" s="450">
        <v>88.91</v>
      </c>
      <c r="AU575" s="450">
        <v>89.07</v>
      </c>
      <c r="AV575" s="450">
        <v>89.22</v>
      </c>
      <c r="AW575" s="450">
        <v>89.38</v>
      </c>
      <c r="AX575" s="450">
        <v>89.53</v>
      </c>
      <c r="AY575" s="450">
        <v>89.67</v>
      </c>
      <c r="AZ575" s="450">
        <v>89.81</v>
      </c>
      <c r="BA575" s="450">
        <v>90.42</v>
      </c>
      <c r="BB575" s="450">
        <v>90.85</v>
      </c>
      <c r="BC575" s="450">
        <v>91.1</v>
      </c>
      <c r="BD575" s="450">
        <v>91.21</v>
      </c>
      <c r="BE575" s="450">
        <v>91.23</v>
      </c>
    </row>
    <row r="576" spans="2:57" x14ac:dyDescent="0.25">
      <c r="B576" s="134">
        <v>49</v>
      </c>
      <c r="C576" s="450">
        <v>86.5</v>
      </c>
      <c r="D576" s="450">
        <v>86.67</v>
      </c>
      <c r="E576" s="450">
        <v>86.84</v>
      </c>
      <c r="F576" s="450">
        <v>87</v>
      </c>
      <c r="G576" s="450">
        <v>87.17</v>
      </c>
      <c r="H576" s="450">
        <v>87.33</v>
      </c>
      <c r="I576" s="450">
        <v>87.49</v>
      </c>
      <c r="J576" s="450">
        <v>87.64</v>
      </c>
      <c r="K576" s="450">
        <v>87.79</v>
      </c>
      <c r="L576" s="450">
        <v>87.94</v>
      </c>
      <c r="M576" s="450">
        <v>88.08</v>
      </c>
      <c r="N576" s="450">
        <v>88.21</v>
      </c>
      <c r="O576" s="450">
        <v>88.79</v>
      </c>
      <c r="P576" s="450">
        <v>89.19</v>
      </c>
      <c r="Q576" s="450">
        <v>89.4</v>
      </c>
      <c r="R576" s="450">
        <v>89.49</v>
      </c>
      <c r="S576" s="450">
        <v>89.5</v>
      </c>
      <c r="T576" s="133"/>
      <c r="U576" s="134">
        <v>49</v>
      </c>
      <c r="V576" s="450">
        <v>87.36</v>
      </c>
      <c r="W576" s="450">
        <v>87.54</v>
      </c>
      <c r="X576" s="450">
        <v>87.72</v>
      </c>
      <c r="Y576" s="450">
        <v>87.89</v>
      </c>
      <c r="Z576" s="450">
        <v>88.06</v>
      </c>
      <c r="AA576" s="450">
        <v>88.22</v>
      </c>
      <c r="AB576" s="450">
        <v>88.38</v>
      </c>
      <c r="AC576" s="450">
        <v>88.54</v>
      </c>
      <c r="AD576" s="450">
        <v>88.7</v>
      </c>
      <c r="AE576" s="450">
        <v>88.85</v>
      </c>
      <c r="AF576" s="450">
        <v>88.99</v>
      </c>
      <c r="AG576" s="450">
        <v>89.13</v>
      </c>
      <c r="AH576" s="450">
        <v>89.73</v>
      </c>
      <c r="AI576" s="450">
        <v>90.14</v>
      </c>
      <c r="AJ576" s="450">
        <v>90.37</v>
      </c>
      <c r="AK576" s="450">
        <v>90.46</v>
      </c>
      <c r="AL576" s="450">
        <v>90.48</v>
      </c>
      <c r="AM576" s="133"/>
      <c r="AN576" s="134">
        <v>49</v>
      </c>
      <c r="AO576" s="450">
        <v>88.42</v>
      </c>
      <c r="AP576" s="450">
        <v>88.6</v>
      </c>
      <c r="AQ576" s="450">
        <v>88.78</v>
      </c>
      <c r="AR576" s="450">
        <v>88.96</v>
      </c>
      <c r="AS576" s="450">
        <v>89.13</v>
      </c>
      <c r="AT576" s="450">
        <v>89.3</v>
      </c>
      <c r="AU576" s="450">
        <v>89.47</v>
      </c>
      <c r="AV576" s="450">
        <v>89.64</v>
      </c>
      <c r="AW576" s="450">
        <v>89.8</v>
      </c>
      <c r="AX576" s="450">
        <v>89.95</v>
      </c>
      <c r="AY576" s="450">
        <v>90.1</v>
      </c>
      <c r="AZ576" s="450">
        <v>90.24</v>
      </c>
      <c r="BA576" s="450">
        <v>90.86</v>
      </c>
      <c r="BB576" s="450">
        <v>91.29</v>
      </c>
      <c r="BC576" s="450">
        <v>91.53</v>
      </c>
      <c r="BD576" s="450">
        <v>91.63</v>
      </c>
      <c r="BE576" s="450">
        <v>91.64</v>
      </c>
    </row>
    <row r="577" spans="2:57" x14ac:dyDescent="0.25">
      <c r="B577" s="134">
        <v>50</v>
      </c>
      <c r="C577" s="450">
        <v>86.85</v>
      </c>
      <c r="D577" s="450">
        <v>87.03</v>
      </c>
      <c r="E577" s="450">
        <v>87.21</v>
      </c>
      <c r="F577" s="450">
        <v>87.38</v>
      </c>
      <c r="G577" s="450">
        <v>87.56</v>
      </c>
      <c r="H577" s="450">
        <v>87.72</v>
      </c>
      <c r="I577" s="450">
        <v>87.89</v>
      </c>
      <c r="J577" s="450">
        <v>88.05</v>
      </c>
      <c r="K577" s="450">
        <v>88.2</v>
      </c>
      <c r="L577" s="450">
        <v>88.35</v>
      </c>
      <c r="M577" s="450">
        <v>88.5</v>
      </c>
      <c r="N577" s="450">
        <v>88.64</v>
      </c>
      <c r="O577" s="450">
        <v>89.22</v>
      </c>
      <c r="P577" s="450">
        <v>89.62</v>
      </c>
      <c r="Q577" s="450">
        <v>89.81</v>
      </c>
      <c r="R577" s="450">
        <v>89.89</v>
      </c>
      <c r="S577" s="450">
        <v>89.88</v>
      </c>
      <c r="T577" s="133"/>
      <c r="U577" s="134">
        <v>50</v>
      </c>
      <c r="V577" s="450">
        <v>87.73</v>
      </c>
      <c r="W577" s="450">
        <v>87.92</v>
      </c>
      <c r="X577" s="450">
        <v>88.1</v>
      </c>
      <c r="Y577" s="450">
        <v>88.28</v>
      </c>
      <c r="Z577" s="450">
        <v>88.45</v>
      </c>
      <c r="AA577" s="450">
        <v>88.62</v>
      </c>
      <c r="AB577" s="450">
        <v>88.79</v>
      </c>
      <c r="AC577" s="450">
        <v>88.96</v>
      </c>
      <c r="AD577" s="450">
        <v>89.12</v>
      </c>
      <c r="AE577" s="450">
        <v>89.27</v>
      </c>
      <c r="AF577" s="450">
        <v>89.42</v>
      </c>
      <c r="AG577" s="450">
        <v>89.57</v>
      </c>
      <c r="AH577" s="450">
        <v>90.17</v>
      </c>
      <c r="AI577" s="450">
        <v>90.58</v>
      </c>
      <c r="AJ577" s="450">
        <v>90.8</v>
      </c>
      <c r="AK577" s="450">
        <v>90.88</v>
      </c>
      <c r="AL577" s="450">
        <v>90.88</v>
      </c>
      <c r="AM577" s="133"/>
      <c r="AN577" s="134">
        <v>50</v>
      </c>
      <c r="AO577" s="450">
        <v>88.8</v>
      </c>
      <c r="AP577" s="450">
        <v>88.99</v>
      </c>
      <c r="AQ577" s="450">
        <v>89.17</v>
      </c>
      <c r="AR577" s="450">
        <v>89.36</v>
      </c>
      <c r="AS577" s="450">
        <v>89.54</v>
      </c>
      <c r="AT577" s="450">
        <v>89.72</v>
      </c>
      <c r="AU577" s="450">
        <v>89.9</v>
      </c>
      <c r="AV577" s="450">
        <v>90.07</v>
      </c>
      <c r="AW577" s="450">
        <v>90.23</v>
      </c>
      <c r="AX577" s="450">
        <v>90.39</v>
      </c>
      <c r="AY577" s="450">
        <v>90.55</v>
      </c>
      <c r="AZ577" s="450">
        <v>90.69</v>
      </c>
      <c r="BA577" s="450">
        <v>91.32</v>
      </c>
      <c r="BB577" s="450">
        <v>91.75</v>
      </c>
      <c r="BC577" s="450">
        <v>91.97</v>
      </c>
      <c r="BD577" s="450">
        <v>92.06</v>
      </c>
      <c r="BE577" s="450">
        <v>92.05</v>
      </c>
    </row>
    <row r="578" spans="2:57" x14ac:dyDescent="0.25">
      <c r="B578" s="134">
        <v>51</v>
      </c>
      <c r="C578" s="450">
        <v>87.23</v>
      </c>
      <c r="D578" s="450">
        <v>87.41</v>
      </c>
      <c r="E578" s="450">
        <v>87.6</v>
      </c>
      <c r="F578" s="450">
        <v>87.78</v>
      </c>
      <c r="G578" s="450">
        <v>87.96</v>
      </c>
      <c r="H578" s="450">
        <v>88.13</v>
      </c>
      <c r="I578" s="450">
        <v>88.3</v>
      </c>
      <c r="J578" s="450">
        <v>88.47</v>
      </c>
      <c r="K578" s="450">
        <v>88.63</v>
      </c>
      <c r="L578" s="450">
        <v>88.78</v>
      </c>
      <c r="M578" s="450">
        <v>88.93</v>
      </c>
      <c r="N578" s="450">
        <v>89.08</v>
      </c>
      <c r="O578" s="450">
        <v>89.67</v>
      </c>
      <c r="P578" s="450">
        <v>90.05</v>
      </c>
      <c r="Q578" s="450">
        <v>90.24</v>
      </c>
      <c r="R578" s="450">
        <v>90.3</v>
      </c>
      <c r="S578" s="450">
        <v>90.29</v>
      </c>
      <c r="T578" s="133"/>
      <c r="U578" s="134">
        <v>51</v>
      </c>
      <c r="V578" s="450">
        <v>88.11</v>
      </c>
      <c r="W578" s="450">
        <v>88.31</v>
      </c>
      <c r="X578" s="450">
        <v>88.49</v>
      </c>
      <c r="Y578" s="450">
        <v>88.68</v>
      </c>
      <c r="Z578" s="450">
        <v>88.87</v>
      </c>
      <c r="AA578" s="450">
        <v>89.05</v>
      </c>
      <c r="AB578" s="450">
        <v>89.22</v>
      </c>
      <c r="AC578" s="450">
        <v>89.39</v>
      </c>
      <c r="AD578" s="450">
        <v>89.56</v>
      </c>
      <c r="AE578" s="450">
        <v>89.72</v>
      </c>
      <c r="AF578" s="450">
        <v>89.87</v>
      </c>
      <c r="AG578" s="450">
        <v>90.02</v>
      </c>
      <c r="AH578" s="450">
        <v>90.63</v>
      </c>
      <c r="AI578" s="450">
        <v>91.04</v>
      </c>
      <c r="AJ578" s="450">
        <v>91.24</v>
      </c>
      <c r="AK578" s="450">
        <v>91.31</v>
      </c>
      <c r="AL578" s="450">
        <v>91.3</v>
      </c>
      <c r="AM578" s="133"/>
      <c r="AN578" s="134">
        <v>51</v>
      </c>
      <c r="AO578" s="450">
        <v>89.19</v>
      </c>
      <c r="AP578" s="450">
        <v>89.39</v>
      </c>
      <c r="AQ578" s="450">
        <v>89.59</v>
      </c>
      <c r="AR578" s="450">
        <v>89.78</v>
      </c>
      <c r="AS578" s="450">
        <v>89.97</v>
      </c>
      <c r="AT578" s="450">
        <v>90.16</v>
      </c>
      <c r="AU578" s="450">
        <v>90.34</v>
      </c>
      <c r="AV578" s="450">
        <v>90.51</v>
      </c>
      <c r="AW578" s="450">
        <v>90.69</v>
      </c>
      <c r="AX578" s="450">
        <v>90.85</v>
      </c>
      <c r="AY578" s="450">
        <v>91.01</v>
      </c>
      <c r="AZ578" s="450">
        <v>91.16</v>
      </c>
      <c r="BA578" s="450">
        <v>91.8</v>
      </c>
      <c r="BB578" s="450">
        <v>92.22</v>
      </c>
      <c r="BC578" s="450">
        <v>92.43</v>
      </c>
      <c r="BD578" s="450">
        <v>92.5</v>
      </c>
      <c r="BE578" s="450">
        <v>92.48</v>
      </c>
    </row>
    <row r="579" spans="2:57" x14ac:dyDescent="0.25">
      <c r="B579" s="134">
        <v>52</v>
      </c>
      <c r="C579" s="450">
        <v>87.61</v>
      </c>
      <c r="D579" s="450">
        <v>87.81</v>
      </c>
      <c r="E579" s="450">
        <v>88</v>
      </c>
      <c r="F579" s="450">
        <v>88.19</v>
      </c>
      <c r="G579" s="450">
        <v>88.38</v>
      </c>
      <c r="H579" s="450">
        <v>88.56</v>
      </c>
      <c r="I579" s="450">
        <v>88.74</v>
      </c>
      <c r="J579" s="450">
        <v>88.91</v>
      </c>
      <c r="K579" s="450">
        <v>89.07</v>
      </c>
      <c r="L579" s="450">
        <v>89.23</v>
      </c>
      <c r="M579" s="450">
        <v>89.39</v>
      </c>
      <c r="N579" s="450">
        <v>89.53</v>
      </c>
      <c r="O579" s="450">
        <v>90.13</v>
      </c>
      <c r="P579" s="450">
        <v>90.5</v>
      </c>
      <c r="Q579" s="450">
        <v>90.68</v>
      </c>
      <c r="R579" s="450">
        <v>90.73</v>
      </c>
      <c r="S579" s="450">
        <v>90.7</v>
      </c>
      <c r="T579" s="133"/>
      <c r="U579" s="134">
        <v>52</v>
      </c>
      <c r="V579" s="450">
        <v>88.51</v>
      </c>
      <c r="W579" s="450">
        <v>88.71</v>
      </c>
      <c r="X579" s="450">
        <v>88.91</v>
      </c>
      <c r="Y579" s="450">
        <v>89.1</v>
      </c>
      <c r="Z579" s="450">
        <v>89.3</v>
      </c>
      <c r="AA579" s="450">
        <v>89.48</v>
      </c>
      <c r="AB579" s="450">
        <v>89.67</v>
      </c>
      <c r="AC579" s="450">
        <v>89.84</v>
      </c>
      <c r="AD579" s="450">
        <v>90.02</v>
      </c>
      <c r="AE579" s="450">
        <v>90.18</v>
      </c>
      <c r="AF579" s="450">
        <v>90.34</v>
      </c>
      <c r="AG579" s="450">
        <v>90.49</v>
      </c>
      <c r="AH579" s="450">
        <v>91.11</v>
      </c>
      <c r="AI579" s="450">
        <v>91.5</v>
      </c>
      <c r="AJ579" s="450">
        <v>91.69</v>
      </c>
      <c r="AK579" s="450">
        <v>91.75</v>
      </c>
      <c r="AL579" s="450">
        <v>91.73</v>
      </c>
      <c r="AM579" s="133"/>
      <c r="AN579" s="134">
        <v>52</v>
      </c>
      <c r="AO579" s="450">
        <v>89.6</v>
      </c>
      <c r="AP579" s="450">
        <v>89.81</v>
      </c>
      <c r="AQ579" s="450">
        <v>90.02</v>
      </c>
      <c r="AR579" s="450">
        <v>90.22</v>
      </c>
      <c r="AS579" s="450">
        <v>90.41</v>
      </c>
      <c r="AT579" s="450">
        <v>90.61</v>
      </c>
      <c r="AU579" s="450">
        <v>90.8</v>
      </c>
      <c r="AV579" s="450">
        <v>90.98</v>
      </c>
      <c r="AW579" s="450">
        <v>91.16</v>
      </c>
      <c r="AX579" s="450">
        <v>91.33</v>
      </c>
      <c r="AY579" s="450">
        <v>91.49</v>
      </c>
      <c r="AZ579" s="450">
        <v>91.65</v>
      </c>
      <c r="BA579" s="450">
        <v>92.3</v>
      </c>
      <c r="BB579" s="450">
        <v>92.7</v>
      </c>
      <c r="BC579" s="450">
        <v>92.9</v>
      </c>
      <c r="BD579" s="450">
        <v>92.96</v>
      </c>
      <c r="BE579" s="450">
        <v>92.93</v>
      </c>
    </row>
    <row r="580" spans="2:57" x14ac:dyDescent="0.25">
      <c r="B580" s="134">
        <v>53</v>
      </c>
      <c r="C580" s="450">
        <v>88.02</v>
      </c>
      <c r="D580" s="450">
        <v>88.22</v>
      </c>
      <c r="E580" s="450">
        <v>88.42</v>
      </c>
      <c r="F580" s="450">
        <v>88.62</v>
      </c>
      <c r="G580" s="450">
        <v>88.81</v>
      </c>
      <c r="H580" s="450">
        <v>89</v>
      </c>
      <c r="I580" s="450">
        <v>89.19</v>
      </c>
      <c r="J580" s="450">
        <v>89.36</v>
      </c>
      <c r="K580" s="450">
        <v>89.54</v>
      </c>
      <c r="L580" s="450">
        <v>89.7</v>
      </c>
      <c r="M580" s="450">
        <v>89.86</v>
      </c>
      <c r="N580" s="450">
        <v>90.01</v>
      </c>
      <c r="O580" s="450">
        <v>90.61</v>
      </c>
      <c r="P580" s="450">
        <v>90.97</v>
      </c>
      <c r="Q580" s="450">
        <v>91.14</v>
      </c>
      <c r="R580" s="450">
        <v>91.17</v>
      </c>
      <c r="S580" s="450">
        <v>91.13</v>
      </c>
      <c r="T580" s="133"/>
      <c r="U580" s="134">
        <v>53</v>
      </c>
      <c r="V580" s="450">
        <v>88.93</v>
      </c>
      <c r="W580" s="450">
        <v>89.14</v>
      </c>
      <c r="X580" s="450">
        <v>89.34</v>
      </c>
      <c r="Y580" s="450">
        <v>89.55</v>
      </c>
      <c r="Z580" s="450">
        <v>89.75</v>
      </c>
      <c r="AA580" s="450">
        <v>89.94</v>
      </c>
      <c r="AB580" s="450">
        <v>90.13</v>
      </c>
      <c r="AC580" s="450">
        <v>90.31</v>
      </c>
      <c r="AD580" s="450">
        <v>90.49</v>
      </c>
      <c r="AE580" s="450">
        <v>90.66</v>
      </c>
      <c r="AF580" s="450">
        <v>90.82</v>
      </c>
      <c r="AG580" s="450">
        <v>90.98</v>
      </c>
      <c r="AH580" s="450">
        <v>91.61</v>
      </c>
      <c r="AI580" s="450">
        <v>91.99</v>
      </c>
      <c r="AJ580" s="450">
        <v>92.17</v>
      </c>
      <c r="AK580" s="450">
        <v>92.21</v>
      </c>
      <c r="AL580" s="450">
        <v>92.18</v>
      </c>
      <c r="AM580" s="133"/>
      <c r="AN580" s="134">
        <v>53</v>
      </c>
      <c r="AO580" s="450">
        <v>90.03</v>
      </c>
      <c r="AP580" s="450">
        <v>90.25</v>
      </c>
      <c r="AQ580" s="450">
        <v>90.46</v>
      </c>
      <c r="AR580" s="450">
        <v>90.67</v>
      </c>
      <c r="AS580" s="450">
        <v>90.88</v>
      </c>
      <c r="AT580" s="450">
        <v>91.08</v>
      </c>
      <c r="AU580" s="450">
        <v>91.28</v>
      </c>
      <c r="AV580" s="450">
        <v>91.47</v>
      </c>
      <c r="AW580" s="450">
        <v>91.65</v>
      </c>
      <c r="AX580" s="450">
        <v>91.83</v>
      </c>
      <c r="AY580" s="450">
        <v>92</v>
      </c>
      <c r="AZ580" s="450">
        <v>92.16</v>
      </c>
      <c r="BA580" s="450">
        <v>92.81</v>
      </c>
      <c r="BB580" s="450">
        <v>93.21</v>
      </c>
      <c r="BC580" s="450">
        <v>93.39</v>
      </c>
      <c r="BD580" s="450">
        <v>93.44</v>
      </c>
      <c r="BE580" s="450">
        <v>93.39</v>
      </c>
    </row>
    <row r="581" spans="2:57" x14ac:dyDescent="0.25">
      <c r="B581" s="134">
        <v>54</v>
      </c>
      <c r="C581" s="450">
        <v>88.44</v>
      </c>
      <c r="D581" s="450">
        <v>88.65</v>
      </c>
      <c r="E581" s="450">
        <v>88.86</v>
      </c>
      <c r="F581" s="450">
        <v>89.07</v>
      </c>
      <c r="G581" s="450">
        <v>89.27</v>
      </c>
      <c r="H581" s="450">
        <v>89.47</v>
      </c>
      <c r="I581" s="450">
        <v>89.66</v>
      </c>
      <c r="J581" s="450">
        <v>89.84</v>
      </c>
      <c r="K581" s="450">
        <v>90.02</v>
      </c>
      <c r="L581" s="450">
        <v>90.19</v>
      </c>
      <c r="M581" s="450">
        <v>90.35</v>
      </c>
      <c r="N581" s="450">
        <v>90.5</v>
      </c>
      <c r="O581" s="450">
        <v>91.11</v>
      </c>
      <c r="P581" s="450">
        <v>91.45</v>
      </c>
      <c r="Q581" s="450">
        <v>91.61</v>
      </c>
      <c r="R581" s="450">
        <v>91.63</v>
      </c>
      <c r="S581" s="450">
        <v>91.58</v>
      </c>
      <c r="T581" s="133"/>
      <c r="U581" s="134">
        <v>54</v>
      </c>
      <c r="V581" s="450">
        <v>89.36</v>
      </c>
      <c r="W581" s="450">
        <v>89.58</v>
      </c>
      <c r="X581" s="450">
        <v>89.8</v>
      </c>
      <c r="Y581" s="450">
        <v>90.01</v>
      </c>
      <c r="Z581" s="450">
        <v>90.22</v>
      </c>
      <c r="AA581" s="450">
        <v>90.42</v>
      </c>
      <c r="AB581" s="450">
        <v>90.62</v>
      </c>
      <c r="AC581" s="450">
        <v>90.81</v>
      </c>
      <c r="AD581" s="450">
        <v>90.99</v>
      </c>
      <c r="AE581" s="450">
        <v>91.16</v>
      </c>
      <c r="AF581" s="450">
        <v>91.33</v>
      </c>
      <c r="AG581" s="450">
        <v>91.49</v>
      </c>
      <c r="AH581" s="450">
        <v>92.12</v>
      </c>
      <c r="AI581" s="450">
        <v>92.49</v>
      </c>
      <c r="AJ581" s="450">
        <v>92.66</v>
      </c>
      <c r="AK581" s="450">
        <v>92.69</v>
      </c>
      <c r="AL581" s="450">
        <v>92.65</v>
      </c>
      <c r="AM581" s="133"/>
      <c r="AN581" s="134">
        <v>54</v>
      </c>
      <c r="AO581" s="450">
        <v>90.48</v>
      </c>
      <c r="AP581" s="450">
        <v>90.71</v>
      </c>
      <c r="AQ581" s="450">
        <v>90.93</v>
      </c>
      <c r="AR581" s="450">
        <v>91.15</v>
      </c>
      <c r="AS581" s="450">
        <v>91.37</v>
      </c>
      <c r="AT581" s="450">
        <v>91.58</v>
      </c>
      <c r="AU581" s="450">
        <v>91.78</v>
      </c>
      <c r="AV581" s="450">
        <v>91.98</v>
      </c>
      <c r="AW581" s="450">
        <v>92.17</v>
      </c>
      <c r="AX581" s="450">
        <v>92.35</v>
      </c>
      <c r="AY581" s="450">
        <v>92.52</v>
      </c>
      <c r="AZ581" s="450">
        <v>92.68</v>
      </c>
      <c r="BA581" s="450">
        <v>93.34</v>
      </c>
      <c r="BB581" s="450">
        <v>93.73</v>
      </c>
      <c r="BC581" s="450">
        <v>93.9</v>
      </c>
      <c r="BD581" s="450">
        <v>93.93</v>
      </c>
      <c r="BE581" s="450">
        <v>93.88</v>
      </c>
    </row>
    <row r="582" spans="2:57" x14ac:dyDescent="0.25">
      <c r="B582" s="134">
        <v>55</v>
      </c>
      <c r="C582" s="450">
        <v>88.88</v>
      </c>
      <c r="D582" s="450">
        <v>89.1</v>
      </c>
      <c r="E582" s="450">
        <v>89.32</v>
      </c>
      <c r="F582" s="450">
        <v>89.54</v>
      </c>
      <c r="G582" s="450">
        <v>89.75</v>
      </c>
      <c r="H582" s="450">
        <v>89.95</v>
      </c>
      <c r="I582" s="450">
        <v>90.15</v>
      </c>
      <c r="J582" s="450">
        <v>90.34</v>
      </c>
      <c r="K582" s="450">
        <v>90.52</v>
      </c>
      <c r="L582" s="450">
        <v>90.69</v>
      </c>
      <c r="M582" s="450">
        <v>90.85</v>
      </c>
      <c r="N582" s="450">
        <v>91.01</v>
      </c>
      <c r="O582" s="450">
        <v>91.62</v>
      </c>
      <c r="P582" s="450">
        <v>91.95</v>
      </c>
      <c r="Q582" s="450">
        <v>92.09</v>
      </c>
      <c r="R582" s="450">
        <v>92.11</v>
      </c>
      <c r="S582" s="450">
        <v>92.05</v>
      </c>
      <c r="T582" s="133"/>
      <c r="U582" s="134">
        <v>55</v>
      </c>
      <c r="V582" s="450">
        <v>89.82</v>
      </c>
      <c r="W582" s="450">
        <v>90.04</v>
      </c>
      <c r="X582" s="450">
        <v>90.27</v>
      </c>
      <c r="Y582" s="450">
        <v>90.49</v>
      </c>
      <c r="Z582" s="450">
        <v>90.71</v>
      </c>
      <c r="AA582" s="450">
        <v>90.92</v>
      </c>
      <c r="AB582" s="450">
        <v>91.12</v>
      </c>
      <c r="AC582" s="450">
        <v>91.32</v>
      </c>
      <c r="AD582" s="450">
        <v>91.51</v>
      </c>
      <c r="AE582" s="450">
        <v>91.68</v>
      </c>
      <c r="AF582" s="450">
        <v>91.85</v>
      </c>
      <c r="AG582" s="450">
        <v>92.01</v>
      </c>
      <c r="AH582" s="450">
        <v>92.65</v>
      </c>
      <c r="AI582" s="450">
        <v>93.01</v>
      </c>
      <c r="AJ582" s="450">
        <v>93.16</v>
      </c>
      <c r="AK582" s="450">
        <v>93.19</v>
      </c>
      <c r="AL582" s="450">
        <v>93.13</v>
      </c>
      <c r="AM582" s="133"/>
      <c r="AN582" s="134">
        <v>55</v>
      </c>
      <c r="AO582" s="450">
        <v>90.95</v>
      </c>
      <c r="AP582" s="450">
        <v>91.19</v>
      </c>
      <c r="AQ582" s="450">
        <v>91.42</v>
      </c>
      <c r="AR582" s="450">
        <v>91.65</v>
      </c>
      <c r="AS582" s="450">
        <v>91.87</v>
      </c>
      <c r="AT582" s="450">
        <v>92.09</v>
      </c>
      <c r="AU582" s="450">
        <v>92.3</v>
      </c>
      <c r="AV582" s="450">
        <v>92.51</v>
      </c>
      <c r="AW582" s="450">
        <v>92.7</v>
      </c>
      <c r="AX582" s="450">
        <v>92.89</v>
      </c>
      <c r="AY582" s="450">
        <v>93.06</v>
      </c>
      <c r="AZ582" s="450">
        <v>93.23</v>
      </c>
      <c r="BA582" s="450">
        <v>93.9</v>
      </c>
      <c r="BB582" s="450">
        <v>94.26</v>
      </c>
      <c r="BC582" s="450">
        <v>94.42</v>
      </c>
      <c r="BD582" s="450">
        <v>94.44</v>
      </c>
      <c r="BE582" s="450">
        <v>94.38</v>
      </c>
    </row>
    <row r="583" spans="2:57" x14ac:dyDescent="0.25">
      <c r="B583" s="134">
        <v>56</v>
      </c>
      <c r="C583" s="450">
        <v>89.34</v>
      </c>
      <c r="D583" s="450">
        <v>89.57</v>
      </c>
      <c r="E583" s="450">
        <v>89.8</v>
      </c>
      <c r="F583" s="450">
        <v>90.02</v>
      </c>
      <c r="G583" s="450">
        <v>90.24</v>
      </c>
      <c r="H583" s="450">
        <v>90.45</v>
      </c>
      <c r="I583" s="450">
        <v>90.66</v>
      </c>
      <c r="J583" s="450">
        <v>90.85</v>
      </c>
      <c r="K583" s="450">
        <v>91.04</v>
      </c>
      <c r="L583" s="450">
        <v>91.21</v>
      </c>
      <c r="M583" s="450">
        <v>91.38</v>
      </c>
      <c r="N583" s="450">
        <v>91.54</v>
      </c>
      <c r="O583" s="450">
        <v>92.14</v>
      </c>
      <c r="P583" s="450">
        <v>92.46</v>
      </c>
      <c r="Q583" s="450">
        <v>92.59</v>
      </c>
      <c r="R583" s="450">
        <v>92.6</v>
      </c>
      <c r="S583" s="450">
        <v>92.53</v>
      </c>
      <c r="T583" s="133"/>
      <c r="U583" s="134">
        <v>56</v>
      </c>
      <c r="V583" s="450">
        <v>90.29</v>
      </c>
      <c r="W583" s="450">
        <v>90.53</v>
      </c>
      <c r="X583" s="450">
        <v>90.76</v>
      </c>
      <c r="Y583" s="450">
        <v>90.99</v>
      </c>
      <c r="Z583" s="450">
        <v>91.22</v>
      </c>
      <c r="AA583" s="450">
        <v>91.44</v>
      </c>
      <c r="AB583" s="450">
        <v>91.65</v>
      </c>
      <c r="AC583" s="450">
        <v>91.85</v>
      </c>
      <c r="AD583" s="450">
        <v>92.04</v>
      </c>
      <c r="AE583" s="450">
        <v>92.23</v>
      </c>
      <c r="AF583" s="450">
        <v>92.4</v>
      </c>
      <c r="AG583" s="450">
        <v>92.56</v>
      </c>
      <c r="AH583" s="450">
        <v>93.2</v>
      </c>
      <c r="AI583" s="450">
        <v>93.54</v>
      </c>
      <c r="AJ583" s="450">
        <v>93.69</v>
      </c>
      <c r="AK583" s="450">
        <v>93.7</v>
      </c>
      <c r="AL583" s="450">
        <v>93.64</v>
      </c>
      <c r="AM583" s="133"/>
      <c r="AN583" s="134">
        <v>56</v>
      </c>
      <c r="AO583" s="450">
        <v>91.44</v>
      </c>
      <c r="AP583" s="450">
        <v>91.69</v>
      </c>
      <c r="AQ583" s="450">
        <v>91.93</v>
      </c>
      <c r="AR583" s="450">
        <v>92.17</v>
      </c>
      <c r="AS583" s="450">
        <v>92.4</v>
      </c>
      <c r="AT583" s="450">
        <v>92.63</v>
      </c>
      <c r="AU583" s="450">
        <v>92.85</v>
      </c>
      <c r="AV583" s="450">
        <v>93.06</v>
      </c>
      <c r="AW583" s="450">
        <v>93.26</v>
      </c>
      <c r="AX583" s="450">
        <v>93.45</v>
      </c>
      <c r="AY583" s="450">
        <v>93.63</v>
      </c>
      <c r="AZ583" s="450">
        <v>93.8</v>
      </c>
      <c r="BA583" s="450">
        <v>94.46</v>
      </c>
      <c r="BB583" s="450">
        <v>94.82</v>
      </c>
      <c r="BC583" s="450">
        <v>94.97</v>
      </c>
      <c r="BD583" s="450">
        <v>94.97</v>
      </c>
      <c r="BE583" s="450">
        <v>94.9</v>
      </c>
    </row>
    <row r="584" spans="2:57" x14ac:dyDescent="0.25">
      <c r="B584" s="134">
        <v>57</v>
      </c>
      <c r="C584" s="450">
        <v>89.82</v>
      </c>
      <c r="D584" s="450">
        <v>90.06</v>
      </c>
      <c r="E584" s="450">
        <v>90.3</v>
      </c>
      <c r="F584" s="450">
        <v>90.53</v>
      </c>
      <c r="G584" s="450">
        <v>90.76</v>
      </c>
      <c r="H584" s="450">
        <v>90.98</v>
      </c>
      <c r="I584" s="450">
        <v>91.18</v>
      </c>
      <c r="J584" s="450">
        <v>91.39</v>
      </c>
      <c r="K584" s="450">
        <v>91.58</v>
      </c>
      <c r="L584" s="450">
        <v>91.76</v>
      </c>
      <c r="M584" s="450">
        <v>91.92</v>
      </c>
      <c r="N584" s="450">
        <v>92.08</v>
      </c>
      <c r="O584" s="450">
        <v>92.68</v>
      </c>
      <c r="P584" s="450">
        <v>92.99</v>
      </c>
      <c r="Q584" s="450">
        <v>93.11</v>
      </c>
      <c r="R584" s="450">
        <v>93.09</v>
      </c>
      <c r="S584" s="450">
        <v>93.02</v>
      </c>
      <c r="T584" s="133"/>
      <c r="U584" s="134">
        <v>57</v>
      </c>
      <c r="V584" s="450">
        <v>90.79</v>
      </c>
      <c r="W584" s="450">
        <v>91.04</v>
      </c>
      <c r="X584" s="450">
        <v>91.28</v>
      </c>
      <c r="Y584" s="450">
        <v>91.52</v>
      </c>
      <c r="Z584" s="450">
        <v>91.75</v>
      </c>
      <c r="AA584" s="450">
        <v>91.98</v>
      </c>
      <c r="AB584" s="450">
        <v>92.19</v>
      </c>
      <c r="AC584" s="450">
        <v>92.4</v>
      </c>
      <c r="AD584" s="450">
        <v>92.6</v>
      </c>
      <c r="AE584" s="450">
        <v>92.79</v>
      </c>
      <c r="AF584" s="450">
        <v>92.96</v>
      </c>
      <c r="AG584" s="450">
        <v>93.13</v>
      </c>
      <c r="AH584" s="450">
        <v>93.75</v>
      </c>
      <c r="AI584" s="450">
        <v>94.09</v>
      </c>
      <c r="AJ584" s="450">
        <v>94.22</v>
      </c>
      <c r="AK584" s="450">
        <v>94.22</v>
      </c>
      <c r="AL584" s="450">
        <v>94.15</v>
      </c>
      <c r="AM584" s="133"/>
      <c r="AN584" s="134">
        <v>57</v>
      </c>
      <c r="AO584" s="450">
        <v>91.96</v>
      </c>
      <c r="AP584" s="450">
        <v>92.21</v>
      </c>
      <c r="AQ584" s="450">
        <v>92.47</v>
      </c>
      <c r="AR584" s="450">
        <v>92.72</v>
      </c>
      <c r="AS584" s="450">
        <v>92.96</v>
      </c>
      <c r="AT584" s="450">
        <v>93.19</v>
      </c>
      <c r="AU584" s="450">
        <v>93.42</v>
      </c>
      <c r="AV584" s="450">
        <v>93.63</v>
      </c>
      <c r="AW584" s="450">
        <v>93.84</v>
      </c>
      <c r="AX584" s="450">
        <v>94.03</v>
      </c>
      <c r="AY584" s="450">
        <v>94.22</v>
      </c>
      <c r="AZ584" s="450">
        <v>94.39</v>
      </c>
      <c r="BA584" s="450">
        <v>95.04</v>
      </c>
      <c r="BB584" s="450">
        <v>95.39</v>
      </c>
      <c r="BC584" s="450">
        <v>95.52</v>
      </c>
      <c r="BD584" s="450">
        <v>95.51</v>
      </c>
      <c r="BE584" s="450">
        <v>95.43</v>
      </c>
    </row>
    <row r="585" spans="2:57" x14ac:dyDescent="0.25">
      <c r="B585" s="134">
        <v>58</v>
      </c>
      <c r="C585" s="450">
        <v>90.33</v>
      </c>
      <c r="D585" s="450">
        <v>90.58</v>
      </c>
      <c r="E585" s="450">
        <v>90.82</v>
      </c>
      <c r="F585" s="450">
        <v>91.06</v>
      </c>
      <c r="G585" s="450">
        <v>91.29</v>
      </c>
      <c r="H585" s="450">
        <v>91.52</v>
      </c>
      <c r="I585" s="450">
        <v>91.73</v>
      </c>
      <c r="J585" s="450">
        <v>91.94</v>
      </c>
      <c r="K585" s="450">
        <v>92.13</v>
      </c>
      <c r="L585" s="450">
        <v>92.31</v>
      </c>
      <c r="M585" s="450">
        <v>92.49</v>
      </c>
      <c r="N585" s="450">
        <v>92.64</v>
      </c>
      <c r="O585" s="450">
        <v>93.23</v>
      </c>
      <c r="P585" s="450">
        <v>93.52</v>
      </c>
      <c r="Q585" s="450">
        <v>93.62</v>
      </c>
      <c r="R585" s="450">
        <v>93.6</v>
      </c>
      <c r="S585" s="450">
        <v>93.51</v>
      </c>
      <c r="T585" s="133"/>
      <c r="U585" s="134">
        <v>58</v>
      </c>
      <c r="V585" s="450">
        <v>91.3</v>
      </c>
      <c r="W585" s="450">
        <v>91.56</v>
      </c>
      <c r="X585" s="450">
        <v>91.82</v>
      </c>
      <c r="Y585" s="450">
        <v>92.07</v>
      </c>
      <c r="Z585" s="450">
        <v>92.31</v>
      </c>
      <c r="AA585" s="450">
        <v>92.54</v>
      </c>
      <c r="AB585" s="450">
        <v>92.76</v>
      </c>
      <c r="AC585" s="450">
        <v>92.98</v>
      </c>
      <c r="AD585" s="450">
        <v>93.18</v>
      </c>
      <c r="AE585" s="450">
        <v>93.37</v>
      </c>
      <c r="AF585" s="450">
        <v>93.55</v>
      </c>
      <c r="AG585" s="450">
        <v>93.71</v>
      </c>
      <c r="AH585" s="450">
        <v>94.33</v>
      </c>
      <c r="AI585" s="450">
        <v>94.65</v>
      </c>
      <c r="AJ585" s="450">
        <v>94.76</v>
      </c>
      <c r="AK585" s="450">
        <v>94.75</v>
      </c>
      <c r="AL585" s="450">
        <v>94.67</v>
      </c>
      <c r="AM585" s="133"/>
      <c r="AN585" s="134">
        <v>58</v>
      </c>
      <c r="AO585" s="450">
        <v>92.49</v>
      </c>
      <c r="AP585" s="450">
        <v>92.76</v>
      </c>
      <c r="AQ585" s="450">
        <v>93.02</v>
      </c>
      <c r="AR585" s="450">
        <v>93.28</v>
      </c>
      <c r="AS585" s="450">
        <v>93.53</v>
      </c>
      <c r="AT585" s="450">
        <v>93.77</v>
      </c>
      <c r="AU585" s="450">
        <v>94.01</v>
      </c>
      <c r="AV585" s="450">
        <v>94.23</v>
      </c>
      <c r="AW585" s="450">
        <v>94.44</v>
      </c>
      <c r="AX585" s="450">
        <v>94.64</v>
      </c>
      <c r="AY585" s="450">
        <v>94.82</v>
      </c>
      <c r="AZ585" s="450">
        <v>94.99</v>
      </c>
      <c r="BA585" s="450">
        <v>95.63</v>
      </c>
      <c r="BB585" s="450">
        <v>95.97</v>
      </c>
      <c r="BC585" s="450">
        <v>96.08</v>
      </c>
      <c r="BD585" s="450">
        <v>96.05</v>
      </c>
      <c r="BE585" s="450">
        <v>95.96</v>
      </c>
    </row>
    <row r="586" spans="2:57" x14ac:dyDescent="0.25">
      <c r="B586" s="134">
        <v>59</v>
      </c>
      <c r="C586" s="450">
        <v>90.85</v>
      </c>
      <c r="D586" s="450">
        <v>91.11</v>
      </c>
      <c r="E586" s="450">
        <v>91.36</v>
      </c>
      <c r="F586" s="450">
        <v>91.61</v>
      </c>
      <c r="G586" s="450">
        <v>91.85</v>
      </c>
      <c r="H586" s="450">
        <v>92.08</v>
      </c>
      <c r="I586" s="450">
        <v>92.3</v>
      </c>
      <c r="J586" s="450">
        <v>92.51</v>
      </c>
      <c r="K586" s="450">
        <v>92.71</v>
      </c>
      <c r="L586" s="450">
        <v>92.89</v>
      </c>
      <c r="M586" s="450">
        <v>93.06</v>
      </c>
      <c r="N586" s="450">
        <v>93.22</v>
      </c>
      <c r="O586" s="450">
        <v>93.78</v>
      </c>
      <c r="P586" s="450">
        <v>94.06</v>
      </c>
      <c r="Q586" s="450">
        <v>94.14</v>
      </c>
      <c r="R586" s="450">
        <v>94.09</v>
      </c>
      <c r="S586" s="450">
        <v>94</v>
      </c>
      <c r="T586" s="133"/>
      <c r="U586" s="134">
        <v>59</v>
      </c>
      <c r="V586" s="450">
        <v>91.84</v>
      </c>
      <c r="W586" s="450">
        <v>92.11</v>
      </c>
      <c r="X586" s="450">
        <v>92.38</v>
      </c>
      <c r="Y586" s="450">
        <v>92.63</v>
      </c>
      <c r="Z586" s="450">
        <v>92.88</v>
      </c>
      <c r="AA586" s="450">
        <v>93.12</v>
      </c>
      <c r="AB586" s="450">
        <v>93.35</v>
      </c>
      <c r="AC586" s="450">
        <v>93.57</v>
      </c>
      <c r="AD586" s="450">
        <v>93.77</v>
      </c>
      <c r="AE586" s="450">
        <v>93.97</v>
      </c>
      <c r="AF586" s="450">
        <v>94.14</v>
      </c>
      <c r="AG586" s="450">
        <v>94.31</v>
      </c>
      <c r="AH586" s="450">
        <v>94.91</v>
      </c>
      <c r="AI586" s="450">
        <v>95.21</v>
      </c>
      <c r="AJ586" s="450">
        <v>95.3</v>
      </c>
      <c r="AK586" s="450">
        <v>95.27</v>
      </c>
      <c r="AL586" s="450">
        <v>95.18</v>
      </c>
      <c r="AM586" s="133"/>
      <c r="AN586" s="134">
        <v>59</v>
      </c>
      <c r="AO586" s="450">
        <v>93.05</v>
      </c>
      <c r="AP586" s="450">
        <v>93.33</v>
      </c>
      <c r="AQ586" s="450">
        <v>93.61</v>
      </c>
      <c r="AR586" s="450">
        <v>93.87</v>
      </c>
      <c r="AS586" s="450">
        <v>94.13</v>
      </c>
      <c r="AT586" s="450">
        <v>94.38</v>
      </c>
      <c r="AU586" s="450">
        <v>94.62</v>
      </c>
      <c r="AV586" s="450">
        <v>94.84</v>
      </c>
      <c r="AW586" s="450">
        <v>95.06</v>
      </c>
      <c r="AX586" s="450">
        <v>95.26</v>
      </c>
      <c r="AY586" s="450">
        <v>95.44</v>
      </c>
      <c r="AZ586" s="450">
        <v>95.61</v>
      </c>
      <c r="BA586" s="450">
        <v>96.24</v>
      </c>
      <c r="BB586" s="450">
        <v>96.55</v>
      </c>
      <c r="BC586" s="450">
        <v>96.64</v>
      </c>
      <c r="BD586" s="450">
        <v>96.59</v>
      </c>
      <c r="BE586" s="450">
        <v>96.49</v>
      </c>
    </row>
    <row r="587" spans="2:57" x14ac:dyDescent="0.25">
      <c r="B587" s="134">
        <v>60</v>
      </c>
      <c r="C587" s="450">
        <v>91.39</v>
      </c>
      <c r="D587" s="450">
        <v>91.66</v>
      </c>
      <c r="E587" s="450">
        <v>91.92</v>
      </c>
      <c r="F587" s="450">
        <v>92.18</v>
      </c>
      <c r="G587" s="450">
        <v>92.42</v>
      </c>
      <c r="H587" s="450">
        <v>92.66</v>
      </c>
      <c r="I587" s="450">
        <v>92.88</v>
      </c>
      <c r="J587" s="450">
        <v>93.09</v>
      </c>
      <c r="K587" s="450">
        <v>93.29</v>
      </c>
      <c r="L587" s="450">
        <v>93.48</v>
      </c>
      <c r="M587" s="450">
        <v>93.65</v>
      </c>
      <c r="N587" s="450">
        <v>93.8</v>
      </c>
      <c r="O587" s="450">
        <v>94.34</v>
      </c>
      <c r="P587" s="450">
        <v>94.6</v>
      </c>
      <c r="Q587" s="450">
        <v>94.65</v>
      </c>
      <c r="R587" s="450">
        <v>94.58</v>
      </c>
      <c r="S587" s="450">
        <v>94.48</v>
      </c>
      <c r="T587" s="133"/>
      <c r="U587" s="134">
        <v>60</v>
      </c>
      <c r="V587" s="450">
        <v>92.41</v>
      </c>
      <c r="W587" s="450">
        <v>92.68</v>
      </c>
      <c r="X587" s="450">
        <v>92.96</v>
      </c>
      <c r="Y587" s="450">
        <v>93.22</v>
      </c>
      <c r="Z587" s="450">
        <v>93.48</v>
      </c>
      <c r="AA587" s="450">
        <v>93.72</v>
      </c>
      <c r="AB587" s="450">
        <v>93.96</v>
      </c>
      <c r="AC587" s="450">
        <v>94.18</v>
      </c>
      <c r="AD587" s="450">
        <v>94.38</v>
      </c>
      <c r="AE587" s="450">
        <v>94.58</v>
      </c>
      <c r="AF587" s="450">
        <v>94.76</v>
      </c>
      <c r="AG587" s="450">
        <v>94.92</v>
      </c>
      <c r="AH587" s="450">
        <v>95.49</v>
      </c>
      <c r="AI587" s="450">
        <v>95.77</v>
      </c>
      <c r="AJ587" s="450">
        <v>95.84</v>
      </c>
      <c r="AK587" s="450">
        <v>95.79</v>
      </c>
      <c r="AL587" s="450">
        <v>95.69</v>
      </c>
      <c r="AM587" s="133"/>
      <c r="AN587" s="134">
        <v>60</v>
      </c>
      <c r="AO587" s="450">
        <v>93.63</v>
      </c>
      <c r="AP587" s="450">
        <v>93.92</v>
      </c>
      <c r="AQ587" s="450">
        <v>94.21</v>
      </c>
      <c r="AR587" s="450">
        <v>94.48</v>
      </c>
      <c r="AS587" s="450">
        <v>94.75</v>
      </c>
      <c r="AT587" s="450">
        <v>95</v>
      </c>
      <c r="AU587" s="450">
        <v>95.24</v>
      </c>
      <c r="AV587" s="450">
        <v>95.47</v>
      </c>
      <c r="AW587" s="450">
        <v>95.69</v>
      </c>
      <c r="AX587" s="450">
        <v>95.89</v>
      </c>
      <c r="AY587" s="450">
        <v>96.08</v>
      </c>
      <c r="AZ587" s="450">
        <v>96.25</v>
      </c>
      <c r="BA587" s="450">
        <v>96.85</v>
      </c>
      <c r="BB587" s="450">
        <v>97.13</v>
      </c>
      <c r="BC587" s="450">
        <v>97.19</v>
      </c>
      <c r="BD587" s="450">
        <v>97.13</v>
      </c>
      <c r="BE587" s="450">
        <v>97.01</v>
      </c>
    </row>
    <row r="588" spans="2:57" x14ac:dyDescent="0.25">
      <c r="B588" s="134">
        <v>61</v>
      </c>
      <c r="C588" s="450">
        <v>91.95</v>
      </c>
      <c r="D588" s="450">
        <v>92.23</v>
      </c>
      <c r="E588" s="450">
        <v>92.5</v>
      </c>
      <c r="F588" s="450">
        <v>92.76</v>
      </c>
      <c r="G588" s="450">
        <v>93.01</v>
      </c>
      <c r="H588" s="450">
        <v>93.25</v>
      </c>
      <c r="I588" s="450">
        <v>93.48</v>
      </c>
      <c r="J588" s="450">
        <v>93.69</v>
      </c>
      <c r="K588" s="450">
        <v>93.89</v>
      </c>
      <c r="L588" s="450">
        <v>94.07</v>
      </c>
      <c r="M588" s="450">
        <v>94.24</v>
      </c>
      <c r="N588" s="450">
        <v>94.38</v>
      </c>
      <c r="O588" s="450">
        <v>94.9</v>
      </c>
      <c r="P588" s="450">
        <v>95.12</v>
      </c>
      <c r="Q588" s="450">
        <v>95.14</v>
      </c>
      <c r="R588" s="450">
        <v>95.05</v>
      </c>
      <c r="S588" s="450">
        <v>94.93</v>
      </c>
      <c r="T588" s="133"/>
      <c r="U588" s="134">
        <v>61</v>
      </c>
      <c r="V588" s="450">
        <v>92.99</v>
      </c>
      <c r="W588" s="450">
        <v>93.28</v>
      </c>
      <c r="X588" s="450">
        <v>93.56</v>
      </c>
      <c r="Y588" s="450">
        <v>93.83</v>
      </c>
      <c r="Z588" s="450">
        <v>94.09</v>
      </c>
      <c r="AA588" s="450">
        <v>94.34</v>
      </c>
      <c r="AB588" s="450">
        <v>94.58</v>
      </c>
      <c r="AC588" s="450">
        <v>94.8</v>
      </c>
      <c r="AD588" s="450">
        <v>95.01</v>
      </c>
      <c r="AE588" s="450">
        <v>95.2</v>
      </c>
      <c r="AF588" s="450">
        <v>95.37</v>
      </c>
      <c r="AG588" s="450">
        <v>95.53</v>
      </c>
      <c r="AH588" s="450">
        <v>96.08</v>
      </c>
      <c r="AI588" s="450">
        <v>96.33</v>
      </c>
      <c r="AJ588" s="450">
        <v>96.36</v>
      </c>
      <c r="AK588" s="450">
        <v>96.28</v>
      </c>
      <c r="AL588" s="450">
        <v>96.17</v>
      </c>
      <c r="AM588" s="133"/>
      <c r="AN588" s="134">
        <v>61</v>
      </c>
      <c r="AO588" s="450">
        <v>94.24</v>
      </c>
      <c r="AP588" s="450">
        <v>94.54</v>
      </c>
      <c r="AQ588" s="450">
        <v>94.83</v>
      </c>
      <c r="AR588" s="450">
        <v>95.11</v>
      </c>
      <c r="AS588" s="450">
        <v>95.38</v>
      </c>
      <c r="AT588" s="450">
        <v>95.64</v>
      </c>
      <c r="AU588" s="450">
        <v>95.89</v>
      </c>
      <c r="AV588" s="450">
        <v>96.12</v>
      </c>
      <c r="AW588" s="450">
        <v>96.34</v>
      </c>
      <c r="AX588" s="450">
        <v>96.54</v>
      </c>
      <c r="AY588" s="450">
        <v>96.72</v>
      </c>
      <c r="AZ588" s="450">
        <v>96.88</v>
      </c>
      <c r="BA588" s="450">
        <v>97.45</v>
      </c>
      <c r="BB588" s="450">
        <v>97.71</v>
      </c>
      <c r="BC588" s="450">
        <v>97.73</v>
      </c>
      <c r="BD588" s="450">
        <v>97.64</v>
      </c>
      <c r="BE588" s="450">
        <v>97.5</v>
      </c>
    </row>
    <row r="589" spans="2:57" x14ac:dyDescent="0.25">
      <c r="B589" s="134">
        <v>62</v>
      </c>
      <c r="C589" s="450">
        <v>92.53</v>
      </c>
      <c r="D589" s="450">
        <v>92.82</v>
      </c>
      <c r="E589" s="450">
        <v>93.1</v>
      </c>
      <c r="F589" s="450">
        <v>93.36</v>
      </c>
      <c r="G589" s="450">
        <v>93.62</v>
      </c>
      <c r="H589" s="450">
        <v>93.86</v>
      </c>
      <c r="I589" s="450">
        <v>94.08</v>
      </c>
      <c r="J589" s="450">
        <v>94.29</v>
      </c>
      <c r="K589" s="450">
        <v>94.49</v>
      </c>
      <c r="L589" s="450">
        <v>94.67</v>
      </c>
      <c r="M589" s="450">
        <v>94.82</v>
      </c>
      <c r="N589" s="450">
        <v>94.96</v>
      </c>
      <c r="O589" s="450">
        <v>95.44</v>
      </c>
      <c r="P589" s="450">
        <v>95.62</v>
      </c>
      <c r="Q589" s="450">
        <v>95.6</v>
      </c>
      <c r="R589" s="450">
        <v>95.48</v>
      </c>
      <c r="S589" s="450">
        <v>95.28</v>
      </c>
      <c r="T589" s="133"/>
      <c r="U589" s="134">
        <v>62</v>
      </c>
      <c r="V589" s="450">
        <v>93.59</v>
      </c>
      <c r="W589" s="450">
        <v>93.89</v>
      </c>
      <c r="X589" s="450">
        <v>94.18</v>
      </c>
      <c r="Y589" s="450">
        <v>94.45</v>
      </c>
      <c r="Z589" s="450">
        <v>94.72</v>
      </c>
      <c r="AA589" s="450">
        <v>94.97</v>
      </c>
      <c r="AB589" s="450">
        <v>95.21</v>
      </c>
      <c r="AC589" s="450">
        <v>95.43</v>
      </c>
      <c r="AD589" s="450">
        <v>95.63</v>
      </c>
      <c r="AE589" s="450">
        <v>95.82</v>
      </c>
      <c r="AF589" s="450">
        <v>95.99</v>
      </c>
      <c r="AG589" s="450">
        <v>96.13</v>
      </c>
      <c r="AH589" s="450">
        <v>96.65</v>
      </c>
      <c r="AI589" s="450">
        <v>96.86</v>
      </c>
      <c r="AJ589" s="450">
        <v>96.85</v>
      </c>
      <c r="AK589" s="450">
        <v>96.75</v>
      </c>
      <c r="AL589" s="450">
        <v>96.55</v>
      </c>
      <c r="AM589" s="133"/>
      <c r="AN589" s="134">
        <v>62</v>
      </c>
      <c r="AO589" s="450">
        <v>94.86</v>
      </c>
      <c r="AP589" s="450">
        <v>95.17</v>
      </c>
      <c r="AQ589" s="450">
        <v>95.47</v>
      </c>
      <c r="AR589" s="450">
        <v>95.76</v>
      </c>
      <c r="AS589" s="450">
        <v>96.04</v>
      </c>
      <c r="AT589" s="450">
        <v>96.3</v>
      </c>
      <c r="AU589" s="450">
        <v>96.54</v>
      </c>
      <c r="AV589" s="450">
        <v>96.77</v>
      </c>
      <c r="AW589" s="450">
        <v>96.99</v>
      </c>
      <c r="AX589" s="450">
        <v>97.19</v>
      </c>
      <c r="AY589" s="450">
        <v>97.36</v>
      </c>
      <c r="AZ589" s="450">
        <v>97.51</v>
      </c>
      <c r="BA589" s="450">
        <v>98.05</v>
      </c>
      <c r="BB589" s="450">
        <v>98.26</v>
      </c>
      <c r="BC589" s="450">
        <v>98.24</v>
      </c>
      <c r="BD589" s="450">
        <v>98.12</v>
      </c>
      <c r="BE589" s="450">
        <v>97.89</v>
      </c>
    </row>
    <row r="590" spans="2:57" x14ac:dyDescent="0.25">
      <c r="B590" s="134">
        <v>63</v>
      </c>
      <c r="C590" s="450">
        <v>93.13</v>
      </c>
      <c r="D590" s="450">
        <v>93.42</v>
      </c>
      <c r="E590" s="450">
        <v>93.7</v>
      </c>
      <c r="F590" s="450">
        <v>93.97</v>
      </c>
      <c r="G590" s="450">
        <v>94.22</v>
      </c>
      <c r="H590" s="450">
        <v>94.46</v>
      </c>
      <c r="I590" s="450">
        <v>94.69</v>
      </c>
      <c r="J590" s="450">
        <v>94.9</v>
      </c>
      <c r="K590" s="450">
        <v>95.09</v>
      </c>
      <c r="L590" s="450">
        <v>95.25</v>
      </c>
      <c r="M590" s="450">
        <v>95.4</v>
      </c>
      <c r="N590" s="450">
        <v>95.53</v>
      </c>
      <c r="O590" s="450">
        <v>95.96</v>
      </c>
      <c r="P590" s="450">
        <v>96.09</v>
      </c>
      <c r="Q590" s="450">
        <v>96.02</v>
      </c>
      <c r="R590" s="450">
        <v>95.87</v>
      </c>
      <c r="S590" s="450">
        <v>95.55</v>
      </c>
      <c r="T590" s="133"/>
      <c r="U590" s="134">
        <v>63</v>
      </c>
      <c r="V590" s="450">
        <v>94.21</v>
      </c>
      <c r="W590" s="450">
        <v>94.51</v>
      </c>
      <c r="X590" s="450">
        <v>94.81</v>
      </c>
      <c r="Y590" s="450">
        <v>95.09</v>
      </c>
      <c r="Z590" s="450">
        <v>95.35</v>
      </c>
      <c r="AA590" s="450">
        <v>95.61</v>
      </c>
      <c r="AB590" s="450">
        <v>95.84</v>
      </c>
      <c r="AC590" s="450">
        <v>96.06</v>
      </c>
      <c r="AD590" s="450">
        <v>96.26</v>
      </c>
      <c r="AE590" s="450">
        <v>96.43</v>
      </c>
      <c r="AF590" s="450">
        <v>96.59</v>
      </c>
      <c r="AG590" s="450">
        <v>96.73</v>
      </c>
      <c r="AH590" s="450">
        <v>97.21</v>
      </c>
      <c r="AI590" s="450">
        <v>97.36</v>
      </c>
      <c r="AJ590" s="450">
        <v>97.3</v>
      </c>
      <c r="AK590" s="450">
        <v>97.17</v>
      </c>
      <c r="AL590" s="450">
        <v>96.85</v>
      </c>
      <c r="AM590" s="133"/>
      <c r="AN590" s="134">
        <v>63</v>
      </c>
      <c r="AO590" s="450">
        <v>95.51</v>
      </c>
      <c r="AP590" s="450">
        <v>95.82</v>
      </c>
      <c r="AQ590" s="450">
        <v>96.13</v>
      </c>
      <c r="AR590" s="450">
        <v>96.42</v>
      </c>
      <c r="AS590" s="450">
        <v>96.7</v>
      </c>
      <c r="AT590" s="450">
        <v>96.96</v>
      </c>
      <c r="AU590" s="450">
        <v>97.2</v>
      </c>
      <c r="AV590" s="450">
        <v>97.43</v>
      </c>
      <c r="AW590" s="450">
        <v>97.64</v>
      </c>
      <c r="AX590" s="450">
        <v>97.82</v>
      </c>
      <c r="AY590" s="450">
        <v>97.99</v>
      </c>
      <c r="AZ590" s="450">
        <v>98.14</v>
      </c>
      <c r="BA590" s="450">
        <v>98.63</v>
      </c>
      <c r="BB590" s="450">
        <v>98.78</v>
      </c>
      <c r="BC590" s="450">
        <v>98.71</v>
      </c>
      <c r="BD590" s="450">
        <v>98.55</v>
      </c>
      <c r="BE590" s="450">
        <v>98.2</v>
      </c>
    </row>
    <row r="591" spans="2:57" x14ac:dyDescent="0.25">
      <c r="B591" s="134">
        <v>64</v>
      </c>
      <c r="C591" s="450">
        <v>93.74</v>
      </c>
      <c r="D591" s="450">
        <v>94.03</v>
      </c>
      <c r="E591" s="450">
        <v>94.31</v>
      </c>
      <c r="F591" s="450">
        <v>94.58</v>
      </c>
      <c r="G591" s="450">
        <v>94.84</v>
      </c>
      <c r="H591" s="450">
        <v>95.07</v>
      </c>
      <c r="I591" s="450">
        <v>95.29</v>
      </c>
      <c r="J591" s="450">
        <v>95.49</v>
      </c>
      <c r="K591" s="450">
        <v>95.66</v>
      </c>
      <c r="L591" s="450">
        <v>95.82</v>
      </c>
      <c r="M591" s="450">
        <v>95.96</v>
      </c>
      <c r="N591" s="450">
        <v>96.08</v>
      </c>
      <c r="O591" s="450">
        <v>96.45</v>
      </c>
      <c r="P591" s="450">
        <v>96.51</v>
      </c>
      <c r="Q591" s="450">
        <v>96.38</v>
      </c>
      <c r="R591" s="450">
        <v>96.2</v>
      </c>
      <c r="S591" s="450">
        <v>95.74</v>
      </c>
      <c r="T591" s="133"/>
      <c r="U591" s="134">
        <v>64</v>
      </c>
      <c r="V591" s="450">
        <v>94.84</v>
      </c>
      <c r="W591" s="450">
        <v>95.15</v>
      </c>
      <c r="X591" s="450">
        <v>95.45</v>
      </c>
      <c r="Y591" s="450">
        <v>95.73</v>
      </c>
      <c r="Z591" s="450">
        <v>95.99</v>
      </c>
      <c r="AA591" s="450">
        <v>96.24</v>
      </c>
      <c r="AB591" s="450">
        <v>96.47</v>
      </c>
      <c r="AC591" s="450">
        <v>96.68</v>
      </c>
      <c r="AD591" s="450">
        <v>96.87</v>
      </c>
      <c r="AE591" s="450">
        <v>97.04</v>
      </c>
      <c r="AF591" s="450">
        <v>97.18</v>
      </c>
      <c r="AG591" s="450">
        <v>97.32</v>
      </c>
      <c r="AH591" s="450">
        <v>97.73</v>
      </c>
      <c r="AI591" s="450">
        <v>97.81</v>
      </c>
      <c r="AJ591" s="450">
        <v>97.7</v>
      </c>
      <c r="AK591" s="450">
        <v>97.53</v>
      </c>
      <c r="AL591" s="450">
        <v>97.07</v>
      </c>
      <c r="AM591" s="133"/>
      <c r="AN591" s="134">
        <v>64</v>
      </c>
      <c r="AO591" s="450">
        <v>96.16</v>
      </c>
      <c r="AP591" s="450">
        <v>96.49</v>
      </c>
      <c r="AQ591" s="450">
        <v>96.79</v>
      </c>
      <c r="AR591" s="450">
        <v>97.09</v>
      </c>
      <c r="AS591" s="450">
        <v>97.36</v>
      </c>
      <c r="AT591" s="450">
        <v>97.62</v>
      </c>
      <c r="AU591" s="450">
        <v>97.86</v>
      </c>
      <c r="AV591" s="450">
        <v>98.08</v>
      </c>
      <c r="AW591" s="450">
        <v>98.28</v>
      </c>
      <c r="AX591" s="450">
        <v>98.45</v>
      </c>
      <c r="AY591" s="450">
        <v>98.61</v>
      </c>
      <c r="AZ591" s="450">
        <v>98.74</v>
      </c>
      <c r="BA591" s="450">
        <v>99.17</v>
      </c>
      <c r="BB591" s="450">
        <v>99.25</v>
      </c>
      <c r="BC591" s="450">
        <v>99.12</v>
      </c>
      <c r="BD591" s="450">
        <v>98.92</v>
      </c>
      <c r="BE591" s="450">
        <v>98.43</v>
      </c>
    </row>
    <row r="592" spans="2:57" x14ac:dyDescent="0.25">
      <c r="B592" s="134">
        <v>65</v>
      </c>
      <c r="C592" s="450">
        <v>94.35</v>
      </c>
      <c r="D592" s="450">
        <v>94.65</v>
      </c>
      <c r="E592" s="450">
        <v>94.93</v>
      </c>
      <c r="F592" s="450">
        <v>95.19</v>
      </c>
      <c r="G592" s="450">
        <v>95.44</v>
      </c>
      <c r="H592" s="450">
        <v>95.67</v>
      </c>
      <c r="I592" s="450">
        <v>95.88</v>
      </c>
      <c r="J592" s="450">
        <v>96.06</v>
      </c>
      <c r="K592" s="450">
        <v>96.22</v>
      </c>
      <c r="L592" s="450">
        <v>96.37</v>
      </c>
      <c r="M592" s="450">
        <v>96.49</v>
      </c>
      <c r="N592" s="450">
        <v>96.6</v>
      </c>
      <c r="O592" s="450">
        <v>96.89</v>
      </c>
      <c r="P592" s="450">
        <v>96.87</v>
      </c>
      <c r="Q592" s="450">
        <v>96.68</v>
      </c>
      <c r="R592" s="450">
        <v>96.45</v>
      </c>
      <c r="S592" s="450" t="s">
        <v>556</v>
      </c>
      <c r="T592" s="133"/>
      <c r="U592" s="134">
        <v>65</v>
      </c>
      <c r="V592" s="450">
        <v>95.48</v>
      </c>
      <c r="W592" s="450">
        <v>95.79</v>
      </c>
      <c r="X592" s="450">
        <v>96.09</v>
      </c>
      <c r="Y592" s="450">
        <v>96.37</v>
      </c>
      <c r="Z592" s="450">
        <v>96.63</v>
      </c>
      <c r="AA592" s="450">
        <v>96.87</v>
      </c>
      <c r="AB592" s="450">
        <v>97.09</v>
      </c>
      <c r="AC592" s="450">
        <v>97.29</v>
      </c>
      <c r="AD592" s="450">
        <v>97.46</v>
      </c>
      <c r="AE592" s="450">
        <v>97.61</v>
      </c>
      <c r="AF592" s="450">
        <v>97.75</v>
      </c>
      <c r="AG592" s="450">
        <v>97.87</v>
      </c>
      <c r="AH592" s="450">
        <v>98.2</v>
      </c>
      <c r="AI592" s="450">
        <v>98.2</v>
      </c>
      <c r="AJ592" s="450">
        <v>98.04</v>
      </c>
      <c r="AK592" s="450">
        <v>97.82</v>
      </c>
      <c r="AL592" s="450" t="s">
        <v>556</v>
      </c>
      <c r="AM592" s="133"/>
      <c r="AN592" s="134">
        <v>65</v>
      </c>
      <c r="AO592" s="450">
        <v>96.83</v>
      </c>
      <c r="AP592" s="450">
        <v>97.15</v>
      </c>
      <c r="AQ592" s="450">
        <v>97.46</v>
      </c>
      <c r="AR592" s="450">
        <v>97.75</v>
      </c>
      <c r="AS592" s="450">
        <v>98.02</v>
      </c>
      <c r="AT592" s="450">
        <v>98.28</v>
      </c>
      <c r="AU592" s="450">
        <v>98.51</v>
      </c>
      <c r="AV592" s="450">
        <v>98.71</v>
      </c>
      <c r="AW592" s="450">
        <v>98.89</v>
      </c>
      <c r="AX592" s="450">
        <v>99.06</v>
      </c>
      <c r="AY592" s="450">
        <v>99.2</v>
      </c>
      <c r="AZ592" s="450">
        <v>99.32</v>
      </c>
      <c r="BA592" s="450">
        <v>99.67</v>
      </c>
      <c r="BB592" s="450">
        <v>99.66</v>
      </c>
      <c r="BC592" s="450">
        <v>99.47</v>
      </c>
      <c r="BD592" s="450">
        <v>99.22</v>
      </c>
      <c r="BE592" s="450" t="s">
        <v>556</v>
      </c>
    </row>
    <row r="593" spans="2:57" x14ac:dyDescent="0.25">
      <c r="B593" s="134">
        <v>66</v>
      </c>
      <c r="C593" s="450">
        <v>94.96</v>
      </c>
      <c r="D593" s="450">
        <v>95.26</v>
      </c>
      <c r="E593" s="450">
        <v>95.53</v>
      </c>
      <c r="F593" s="450">
        <v>95.79</v>
      </c>
      <c r="G593" s="450">
        <v>96.03</v>
      </c>
      <c r="H593" s="450">
        <v>96.25</v>
      </c>
      <c r="I593" s="450">
        <v>96.44</v>
      </c>
      <c r="J593" s="450">
        <v>96.6</v>
      </c>
      <c r="K593" s="450">
        <v>96.75</v>
      </c>
      <c r="L593" s="450">
        <v>96.88</v>
      </c>
      <c r="M593" s="450">
        <v>96.99</v>
      </c>
      <c r="N593" s="450">
        <v>97.08</v>
      </c>
      <c r="O593" s="450">
        <v>97.27</v>
      </c>
      <c r="P593" s="450">
        <v>97.16</v>
      </c>
      <c r="Q593" s="450">
        <v>96.9</v>
      </c>
      <c r="R593" s="450">
        <v>96.63</v>
      </c>
      <c r="S593" s="450" t="s">
        <v>556</v>
      </c>
      <c r="T593" s="133"/>
      <c r="U593" s="134">
        <v>66</v>
      </c>
      <c r="V593" s="450">
        <v>96.13</v>
      </c>
      <c r="W593" s="450">
        <v>96.43</v>
      </c>
      <c r="X593" s="450">
        <v>96.73</v>
      </c>
      <c r="Y593" s="450">
        <v>97</v>
      </c>
      <c r="Z593" s="450">
        <v>97.25</v>
      </c>
      <c r="AA593" s="450">
        <v>97.48</v>
      </c>
      <c r="AB593" s="450">
        <v>97.68</v>
      </c>
      <c r="AC593" s="450">
        <v>97.86</v>
      </c>
      <c r="AD593" s="450">
        <v>98.02</v>
      </c>
      <c r="AE593" s="450">
        <v>98.16</v>
      </c>
      <c r="AF593" s="450">
        <v>98.28</v>
      </c>
      <c r="AG593" s="450">
        <v>98.38</v>
      </c>
      <c r="AH593" s="450">
        <v>98.62</v>
      </c>
      <c r="AI593" s="450">
        <v>98.53</v>
      </c>
      <c r="AJ593" s="450">
        <v>98.29</v>
      </c>
      <c r="AK593" s="450">
        <v>98.03</v>
      </c>
      <c r="AL593" s="450" t="s">
        <v>556</v>
      </c>
      <c r="AM593" s="133"/>
      <c r="AN593" s="134">
        <v>66</v>
      </c>
      <c r="AO593" s="450">
        <v>97.5</v>
      </c>
      <c r="AP593" s="450">
        <v>97.82</v>
      </c>
      <c r="AQ593" s="450">
        <v>98.13</v>
      </c>
      <c r="AR593" s="450">
        <v>98.41</v>
      </c>
      <c r="AS593" s="450">
        <v>98.67</v>
      </c>
      <c r="AT593" s="450">
        <v>98.92</v>
      </c>
      <c r="AU593" s="450">
        <v>99.13</v>
      </c>
      <c r="AV593" s="450">
        <v>99.31</v>
      </c>
      <c r="AW593" s="450">
        <v>99.48</v>
      </c>
      <c r="AX593" s="450">
        <v>99.63</v>
      </c>
      <c r="AY593" s="450">
        <v>99.75</v>
      </c>
      <c r="AZ593" s="450">
        <v>99.86</v>
      </c>
      <c r="BA593" s="450">
        <v>100.1</v>
      </c>
      <c r="BB593" s="450">
        <v>100.01</v>
      </c>
      <c r="BC593" s="450">
        <v>99.74</v>
      </c>
      <c r="BD593" s="450">
        <v>99.45</v>
      </c>
      <c r="BE593" s="450" t="s">
        <v>556</v>
      </c>
    </row>
    <row r="594" spans="2:57" x14ac:dyDescent="0.25">
      <c r="B594" s="134">
        <v>67</v>
      </c>
      <c r="C594" s="450">
        <v>95.57</v>
      </c>
      <c r="D594" s="450">
        <v>95.86</v>
      </c>
      <c r="E594" s="450">
        <v>96.12</v>
      </c>
      <c r="F594" s="450">
        <v>96.37</v>
      </c>
      <c r="G594" s="450">
        <v>96.6</v>
      </c>
      <c r="H594" s="450">
        <v>96.79</v>
      </c>
      <c r="I594" s="450">
        <v>96.96</v>
      </c>
      <c r="J594" s="450">
        <v>97.11</v>
      </c>
      <c r="K594" s="450">
        <v>97.24</v>
      </c>
      <c r="L594" s="450">
        <v>97.35</v>
      </c>
      <c r="M594" s="450">
        <v>97.44</v>
      </c>
      <c r="N594" s="450">
        <v>97.5</v>
      </c>
      <c r="O594" s="450">
        <v>97.59</v>
      </c>
      <c r="P594" s="450">
        <v>97.37</v>
      </c>
      <c r="Q594" s="450">
        <v>97.04</v>
      </c>
      <c r="R594" s="450">
        <v>96.6</v>
      </c>
      <c r="S594" s="450" t="s">
        <v>556</v>
      </c>
      <c r="T594" s="133"/>
      <c r="U594" s="134">
        <v>67</v>
      </c>
      <c r="V594" s="450">
        <v>96.76</v>
      </c>
      <c r="W594" s="450">
        <v>97.07</v>
      </c>
      <c r="X594" s="450">
        <v>97.35</v>
      </c>
      <c r="Y594" s="450">
        <v>97.61</v>
      </c>
      <c r="Z594" s="450">
        <v>97.85</v>
      </c>
      <c r="AA594" s="450">
        <v>98.06</v>
      </c>
      <c r="AB594" s="450">
        <v>98.24</v>
      </c>
      <c r="AC594" s="450">
        <v>98.41</v>
      </c>
      <c r="AD594" s="450">
        <v>98.55</v>
      </c>
      <c r="AE594" s="450">
        <v>98.67</v>
      </c>
      <c r="AF594" s="450">
        <v>98.77</v>
      </c>
      <c r="AG594" s="450">
        <v>98.84</v>
      </c>
      <c r="AH594" s="450">
        <v>98.97</v>
      </c>
      <c r="AI594" s="450">
        <v>98.78</v>
      </c>
      <c r="AJ594" s="450">
        <v>98.47</v>
      </c>
      <c r="AK594" s="450">
        <v>98.04</v>
      </c>
      <c r="AL594" s="450" t="s">
        <v>556</v>
      </c>
      <c r="AM594" s="133"/>
      <c r="AN594" s="134">
        <v>67</v>
      </c>
      <c r="AO594" s="450">
        <v>98.16</v>
      </c>
      <c r="AP594" s="450">
        <v>98.48</v>
      </c>
      <c r="AQ594" s="450">
        <v>98.78</v>
      </c>
      <c r="AR594" s="450">
        <v>99.05</v>
      </c>
      <c r="AS594" s="450">
        <v>99.3</v>
      </c>
      <c r="AT594" s="450">
        <v>99.52</v>
      </c>
      <c r="AU594" s="450">
        <v>99.71</v>
      </c>
      <c r="AV594" s="450">
        <v>99.88</v>
      </c>
      <c r="AW594" s="450">
        <v>100.03</v>
      </c>
      <c r="AX594" s="450">
        <v>100.16</v>
      </c>
      <c r="AY594" s="450">
        <v>100.26</v>
      </c>
      <c r="AZ594" s="450">
        <v>100.34</v>
      </c>
      <c r="BA594" s="450">
        <v>100.47</v>
      </c>
      <c r="BB594" s="450">
        <v>100.27</v>
      </c>
      <c r="BC594" s="450">
        <v>99.93</v>
      </c>
      <c r="BD594" s="450">
        <v>99.46</v>
      </c>
      <c r="BE594" s="450" t="s">
        <v>556</v>
      </c>
    </row>
    <row r="595" spans="2:57" x14ac:dyDescent="0.25">
      <c r="B595" s="134">
        <v>68</v>
      </c>
      <c r="C595" s="450">
        <v>96.16</v>
      </c>
      <c r="D595" s="450">
        <v>96.44</v>
      </c>
      <c r="E595" s="450">
        <v>96.69</v>
      </c>
      <c r="F595" s="450">
        <v>96.92</v>
      </c>
      <c r="G595" s="450">
        <v>97.12</v>
      </c>
      <c r="H595" s="450">
        <v>97.29</v>
      </c>
      <c r="I595" s="450">
        <v>97.44</v>
      </c>
      <c r="J595" s="450">
        <v>97.57</v>
      </c>
      <c r="K595" s="450">
        <v>97.68</v>
      </c>
      <c r="L595" s="450">
        <v>97.76</v>
      </c>
      <c r="M595" s="450">
        <v>97.82</v>
      </c>
      <c r="N595" s="450">
        <v>97.86</v>
      </c>
      <c r="O595" s="450">
        <v>97.82</v>
      </c>
      <c r="P595" s="450">
        <v>97.49</v>
      </c>
      <c r="Q595" s="450">
        <v>97.09</v>
      </c>
      <c r="R595" s="450">
        <v>96.44</v>
      </c>
      <c r="S595" s="450" t="s">
        <v>556</v>
      </c>
      <c r="T595" s="133"/>
      <c r="U595" s="134">
        <v>68</v>
      </c>
      <c r="V595" s="450">
        <v>97.39</v>
      </c>
      <c r="W595" s="450">
        <v>97.68</v>
      </c>
      <c r="X595" s="450">
        <v>97.95</v>
      </c>
      <c r="Y595" s="450">
        <v>98.2</v>
      </c>
      <c r="Z595" s="450">
        <v>98.41</v>
      </c>
      <c r="AA595" s="450">
        <v>98.6</v>
      </c>
      <c r="AB595" s="450">
        <v>98.76</v>
      </c>
      <c r="AC595" s="450">
        <v>98.9</v>
      </c>
      <c r="AD595" s="450">
        <v>99.02</v>
      </c>
      <c r="AE595" s="450">
        <v>99.12</v>
      </c>
      <c r="AF595" s="450">
        <v>99.19</v>
      </c>
      <c r="AG595" s="450">
        <v>99.24</v>
      </c>
      <c r="AH595" s="450">
        <v>99.24</v>
      </c>
      <c r="AI595" s="450">
        <v>98.94</v>
      </c>
      <c r="AJ595" s="450">
        <v>98.55</v>
      </c>
      <c r="AK595" s="450">
        <v>97.9</v>
      </c>
      <c r="AL595" s="450" t="s">
        <v>556</v>
      </c>
      <c r="AM595" s="133"/>
      <c r="AN595" s="134">
        <v>68</v>
      </c>
      <c r="AO595" s="450">
        <v>98.82</v>
      </c>
      <c r="AP595" s="450">
        <v>99.12</v>
      </c>
      <c r="AQ595" s="450">
        <v>99.4</v>
      </c>
      <c r="AR595" s="450">
        <v>99.66</v>
      </c>
      <c r="AS595" s="450">
        <v>99.88</v>
      </c>
      <c r="AT595" s="450">
        <v>100.08</v>
      </c>
      <c r="AU595" s="450">
        <v>100.26</v>
      </c>
      <c r="AV595" s="450">
        <v>100.4</v>
      </c>
      <c r="AW595" s="450">
        <v>100.53</v>
      </c>
      <c r="AX595" s="450">
        <v>100.63</v>
      </c>
      <c r="AY595" s="450">
        <v>100.71</v>
      </c>
      <c r="AZ595" s="450">
        <v>100.76</v>
      </c>
      <c r="BA595" s="450">
        <v>100.76</v>
      </c>
      <c r="BB595" s="450">
        <v>100.44</v>
      </c>
      <c r="BC595" s="450">
        <v>100.02</v>
      </c>
      <c r="BD595" s="450">
        <v>99.32</v>
      </c>
      <c r="BE595" s="450" t="s">
        <v>556</v>
      </c>
    </row>
    <row r="596" spans="2:57" x14ac:dyDescent="0.25">
      <c r="B596" s="134">
        <v>69</v>
      </c>
      <c r="C596" s="450">
        <v>96.73</v>
      </c>
      <c r="D596" s="450">
        <v>96.99</v>
      </c>
      <c r="E596" s="450">
        <v>97.22</v>
      </c>
      <c r="F596" s="450">
        <v>97.42</v>
      </c>
      <c r="G596" s="450">
        <v>97.6</v>
      </c>
      <c r="H596" s="450">
        <v>97.75</v>
      </c>
      <c r="I596" s="450">
        <v>97.87</v>
      </c>
      <c r="J596" s="450">
        <v>97.97</v>
      </c>
      <c r="K596" s="450">
        <v>98.05</v>
      </c>
      <c r="L596" s="450">
        <v>98.1</v>
      </c>
      <c r="M596" s="450">
        <v>98.13</v>
      </c>
      <c r="N596" s="450">
        <v>98.15</v>
      </c>
      <c r="O596" s="450">
        <v>97.95</v>
      </c>
      <c r="P596" s="450">
        <v>97.51</v>
      </c>
      <c r="Q596" s="450">
        <v>97.02</v>
      </c>
      <c r="R596" s="450">
        <v>96.13</v>
      </c>
      <c r="S596" s="450" t="s">
        <v>556</v>
      </c>
      <c r="T596" s="133"/>
      <c r="U596" s="134">
        <v>69</v>
      </c>
      <c r="V596" s="450">
        <v>97.99</v>
      </c>
      <c r="W596" s="450">
        <v>98.26</v>
      </c>
      <c r="X596" s="450">
        <v>98.51</v>
      </c>
      <c r="Y596" s="450">
        <v>98.73</v>
      </c>
      <c r="Z596" s="450">
        <v>98.92</v>
      </c>
      <c r="AA596" s="450">
        <v>99.09</v>
      </c>
      <c r="AB596" s="450">
        <v>99.23</v>
      </c>
      <c r="AC596" s="450">
        <v>99.34</v>
      </c>
      <c r="AD596" s="450">
        <v>99.43</v>
      </c>
      <c r="AE596" s="450">
        <v>99.5</v>
      </c>
      <c r="AF596" s="450">
        <v>99.54</v>
      </c>
      <c r="AG596" s="450">
        <v>99.56</v>
      </c>
      <c r="AH596" s="450">
        <v>99.41</v>
      </c>
      <c r="AI596" s="450">
        <v>98.99</v>
      </c>
      <c r="AJ596" s="450">
        <v>98.52</v>
      </c>
      <c r="AK596" s="450">
        <v>97.63</v>
      </c>
      <c r="AL596" s="450" t="s">
        <v>556</v>
      </c>
      <c r="AM596" s="133"/>
      <c r="AN596" s="134">
        <v>69</v>
      </c>
      <c r="AO596" s="450">
        <v>99.44</v>
      </c>
      <c r="AP596" s="450">
        <v>99.73</v>
      </c>
      <c r="AQ596" s="450">
        <v>99.99</v>
      </c>
      <c r="AR596" s="450">
        <v>100.22</v>
      </c>
      <c r="AS596" s="450">
        <v>100.42</v>
      </c>
      <c r="AT596" s="450">
        <v>100.6</v>
      </c>
      <c r="AU596" s="450">
        <v>100.74</v>
      </c>
      <c r="AV596" s="450">
        <v>100.86</v>
      </c>
      <c r="AW596" s="450">
        <v>100.96</v>
      </c>
      <c r="AX596" s="450">
        <v>101.03</v>
      </c>
      <c r="AY596" s="450">
        <v>101.08</v>
      </c>
      <c r="AZ596" s="450">
        <v>101.1</v>
      </c>
      <c r="BA596" s="450">
        <v>100.95</v>
      </c>
      <c r="BB596" s="450">
        <v>100.51</v>
      </c>
      <c r="BC596" s="450">
        <v>100</v>
      </c>
      <c r="BD596" s="450">
        <v>99.05</v>
      </c>
      <c r="BE596" s="450" t="s">
        <v>556</v>
      </c>
    </row>
    <row r="597" spans="2:57" x14ac:dyDescent="0.25">
      <c r="B597" s="134">
        <v>70</v>
      </c>
      <c r="C597" s="450">
        <v>97.26</v>
      </c>
      <c r="D597" s="450">
        <v>97.49</v>
      </c>
      <c r="E597" s="450">
        <v>97.69</v>
      </c>
      <c r="F597" s="450">
        <v>97.87</v>
      </c>
      <c r="G597" s="450">
        <v>98.01</v>
      </c>
      <c r="H597" s="450">
        <v>98.13</v>
      </c>
      <c r="I597" s="450">
        <v>98.23</v>
      </c>
      <c r="J597" s="450">
        <v>98.3</v>
      </c>
      <c r="K597" s="450">
        <v>98.34</v>
      </c>
      <c r="L597" s="450">
        <v>98.36</v>
      </c>
      <c r="M597" s="450">
        <v>98.36</v>
      </c>
      <c r="N597" s="450">
        <v>98.34</v>
      </c>
      <c r="O597" s="450">
        <v>97.98</v>
      </c>
      <c r="P597" s="450">
        <v>97.42</v>
      </c>
      <c r="Q597" s="450">
        <v>96.85</v>
      </c>
      <c r="R597" s="450" t="s">
        <v>556</v>
      </c>
      <c r="S597" s="450" t="s">
        <v>556</v>
      </c>
      <c r="T597" s="133"/>
      <c r="U597" s="134">
        <v>70</v>
      </c>
      <c r="V597" s="450">
        <v>98.55</v>
      </c>
      <c r="W597" s="450">
        <v>98.81</v>
      </c>
      <c r="X597" s="450">
        <v>99.02</v>
      </c>
      <c r="Y597" s="450">
        <v>99.21</v>
      </c>
      <c r="Z597" s="450">
        <v>99.38</v>
      </c>
      <c r="AA597" s="450">
        <v>99.51</v>
      </c>
      <c r="AB597" s="450">
        <v>99.62</v>
      </c>
      <c r="AC597" s="450">
        <v>99.7</v>
      </c>
      <c r="AD597" s="450">
        <v>99.76</v>
      </c>
      <c r="AE597" s="450">
        <v>99.79</v>
      </c>
      <c r="AF597" s="450">
        <v>99.8</v>
      </c>
      <c r="AG597" s="450">
        <v>99.79</v>
      </c>
      <c r="AH597" s="450">
        <v>99.48</v>
      </c>
      <c r="AI597" s="450">
        <v>98.93</v>
      </c>
      <c r="AJ597" s="450">
        <v>98.39</v>
      </c>
      <c r="AK597" s="450" t="s">
        <v>556</v>
      </c>
      <c r="AL597" s="450" t="s">
        <v>556</v>
      </c>
      <c r="AM597" s="133"/>
      <c r="AN597" s="134">
        <v>70</v>
      </c>
      <c r="AO597" s="450">
        <v>100.03</v>
      </c>
      <c r="AP597" s="450">
        <v>100.3</v>
      </c>
      <c r="AQ597" s="450">
        <v>100.53</v>
      </c>
      <c r="AR597" s="450">
        <v>100.73</v>
      </c>
      <c r="AS597" s="450">
        <v>100.9</v>
      </c>
      <c r="AT597" s="450">
        <v>101.05</v>
      </c>
      <c r="AU597" s="450">
        <v>101.16</v>
      </c>
      <c r="AV597" s="450">
        <v>101.25</v>
      </c>
      <c r="AW597" s="450">
        <v>101.31</v>
      </c>
      <c r="AX597" s="450">
        <v>101.35</v>
      </c>
      <c r="AY597" s="450">
        <v>101.36</v>
      </c>
      <c r="AZ597" s="450">
        <v>101.35</v>
      </c>
      <c r="BA597" s="450">
        <v>101.03</v>
      </c>
      <c r="BB597" s="450">
        <v>100.46</v>
      </c>
      <c r="BC597" s="450">
        <v>99.86</v>
      </c>
      <c r="BD597" s="450" t="s">
        <v>556</v>
      </c>
      <c r="BE597" s="450" t="s">
        <v>556</v>
      </c>
    </row>
    <row r="598" spans="2:57" x14ac:dyDescent="0.25">
      <c r="B598" s="134">
        <v>71</v>
      </c>
      <c r="C598" s="450">
        <v>97.74</v>
      </c>
      <c r="D598" s="450">
        <v>97.94</v>
      </c>
      <c r="E598" s="450">
        <v>98.11</v>
      </c>
      <c r="F598" s="450">
        <v>98.25</v>
      </c>
      <c r="G598" s="450">
        <v>98.36</v>
      </c>
      <c r="H598" s="450">
        <v>98.45</v>
      </c>
      <c r="I598" s="450">
        <v>98.5</v>
      </c>
      <c r="J598" s="450">
        <v>98.53</v>
      </c>
      <c r="K598" s="450">
        <v>98.54</v>
      </c>
      <c r="L598" s="450">
        <v>98.52</v>
      </c>
      <c r="M598" s="450">
        <v>98.48</v>
      </c>
      <c r="N598" s="450">
        <v>98.42</v>
      </c>
      <c r="O598" s="450">
        <v>97.9</v>
      </c>
      <c r="P598" s="450">
        <v>97.2</v>
      </c>
      <c r="Q598" s="450">
        <v>96.56</v>
      </c>
      <c r="R598" s="450" t="s">
        <v>556</v>
      </c>
      <c r="S598" s="450" t="s">
        <v>556</v>
      </c>
      <c r="T598" s="133"/>
      <c r="U598" s="134">
        <v>71</v>
      </c>
      <c r="V598" s="450">
        <v>99.07</v>
      </c>
      <c r="W598" s="450">
        <v>99.29</v>
      </c>
      <c r="X598" s="450">
        <v>99.48</v>
      </c>
      <c r="Y598" s="450">
        <v>99.63</v>
      </c>
      <c r="Z598" s="450">
        <v>99.76</v>
      </c>
      <c r="AA598" s="450">
        <v>99.86</v>
      </c>
      <c r="AB598" s="450">
        <v>99.94</v>
      </c>
      <c r="AC598" s="450">
        <v>99.98</v>
      </c>
      <c r="AD598" s="450">
        <v>100</v>
      </c>
      <c r="AE598" s="450">
        <v>99.99</v>
      </c>
      <c r="AF598" s="450">
        <v>99.96</v>
      </c>
      <c r="AG598" s="450">
        <v>99.91</v>
      </c>
      <c r="AH598" s="450">
        <v>99.43</v>
      </c>
      <c r="AI598" s="450">
        <v>98.76</v>
      </c>
      <c r="AJ598" s="450">
        <v>98.13</v>
      </c>
      <c r="AK598" s="450" t="s">
        <v>556</v>
      </c>
      <c r="AL598" s="450" t="s">
        <v>556</v>
      </c>
      <c r="AM598" s="133"/>
      <c r="AN598" s="134">
        <v>71</v>
      </c>
      <c r="AO598" s="450">
        <v>100.58</v>
      </c>
      <c r="AP598" s="450">
        <v>100.81</v>
      </c>
      <c r="AQ598" s="450">
        <v>101.01</v>
      </c>
      <c r="AR598" s="450">
        <v>101.17</v>
      </c>
      <c r="AS598" s="450">
        <v>101.31</v>
      </c>
      <c r="AT598" s="450">
        <v>101.42</v>
      </c>
      <c r="AU598" s="450">
        <v>101.5</v>
      </c>
      <c r="AV598" s="450">
        <v>101.55</v>
      </c>
      <c r="AW598" s="450">
        <v>101.57</v>
      </c>
      <c r="AX598" s="450">
        <v>101.57</v>
      </c>
      <c r="AY598" s="450">
        <v>101.54</v>
      </c>
      <c r="AZ598" s="450">
        <v>101.49</v>
      </c>
      <c r="BA598" s="450">
        <v>100.99</v>
      </c>
      <c r="BB598" s="450">
        <v>100.28</v>
      </c>
      <c r="BC598" s="450">
        <v>99.61</v>
      </c>
      <c r="BD598" s="450" t="s">
        <v>556</v>
      </c>
      <c r="BE598" s="450" t="s">
        <v>556</v>
      </c>
    </row>
    <row r="599" spans="2:57" x14ac:dyDescent="0.25">
      <c r="B599" s="134">
        <v>72</v>
      </c>
      <c r="C599" s="450">
        <v>98.14</v>
      </c>
      <c r="D599" s="450">
        <v>98.31</v>
      </c>
      <c r="E599" s="450">
        <v>98.44</v>
      </c>
      <c r="F599" s="450">
        <v>98.54</v>
      </c>
      <c r="G599" s="450">
        <v>98.62</v>
      </c>
      <c r="H599" s="450">
        <v>98.66</v>
      </c>
      <c r="I599" s="450">
        <v>98.67</v>
      </c>
      <c r="J599" s="450">
        <v>98.66</v>
      </c>
      <c r="K599" s="450">
        <v>98.62</v>
      </c>
      <c r="L599" s="450">
        <v>98.56</v>
      </c>
      <c r="M599" s="450">
        <v>98.48</v>
      </c>
      <c r="N599" s="450">
        <v>98.38</v>
      </c>
      <c r="O599" s="450">
        <v>97.67</v>
      </c>
      <c r="P599" s="450">
        <v>96.84</v>
      </c>
      <c r="Q599" s="450">
        <v>95.93</v>
      </c>
      <c r="R599" s="450" t="s">
        <v>556</v>
      </c>
      <c r="S599" s="450" t="s">
        <v>556</v>
      </c>
      <c r="T599" s="133"/>
      <c r="U599" s="134">
        <v>72</v>
      </c>
      <c r="V599" s="450">
        <v>99.51</v>
      </c>
      <c r="W599" s="450">
        <v>99.7</v>
      </c>
      <c r="X599" s="450">
        <v>99.85</v>
      </c>
      <c r="Y599" s="450">
        <v>99.97</v>
      </c>
      <c r="Z599" s="450">
        <v>100.06</v>
      </c>
      <c r="AA599" s="450">
        <v>100.12</v>
      </c>
      <c r="AB599" s="450">
        <v>100.14</v>
      </c>
      <c r="AC599" s="450">
        <v>100.15</v>
      </c>
      <c r="AD599" s="450">
        <v>100.12</v>
      </c>
      <c r="AE599" s="450">
        <v>100.07</v>
      </c>
      <c r="AF599" s="450">
        <v>100</v>
      </c>
      <c r="AG599" s="450">
        <v>99.91</v>
      </c>
      <c r="AH599" s="450">
        <v>99.24</v>
      </c>
      <c r="AI599" s="450">
        <v>98.44</v>
      </c>
      <c r="AJ599" s="450">
        <v>97.53</v>
      </c>
      <c r="AK599" s="450" t="s">
        <v>556</v>
      </c>
      <c r="AL599" s="450" t="s">
        <v>556</v>
      </c>
      <c r="AM599" s="133"/>
      <c r="AN599" s="134">
        <v>72</v>
      </c>
      <c r="AO599" s="450">
        <v>101.04</v>
      </c>
      <c r="AP599" s="450">
        <v>101.24</v>
      </c>
      <c r="AQ599" s="450">
        <v>101.4</v>
      </c>
      <c r="AR599" s="450">
        <v>101.53</v>
      </c>
      <c r="AS599" s="450">
        <v>101.63</v>
      </c>
      <c r="AT599" s="450">
        <v>101.69</v>
      </c>
      <c r="AU599" s="450">
        <v>101.73</v>
      </c>
      <c r="AV599" s="450">
        <v>101.73</v>
      </c>
      <c r="AW599" s="450">
        <v>101.71</v>
      </c>
      <c r="AX599" s="450">
        <v>101.66</v>
      </c>
      <c r="AY599" s="450">
        <v>101.59</v>
      </c>
      <c r="AZ599" s="450">
        <v>101.5</v>
      </c>
      <c r="BA599" s="450">
        <v>100.81</v>
      </c>
      <c r="BB599" s="450">
        <v>99.96</v>
      </c>
      <c r="BC599" s="450">
        <v>99</v>
      </c>
      <c r="BD599" s="450" t="s">
        <v>556</v>
      </c>
      <c r="BE599" s="450" t="s">
        <v>556</v>
      </c>
    </row>
    <row r="600" spans="2:57" x14ac:dyDescent="0.25">
      <c r="B600" s="134">
        <v>73</v>
      </c>
      <c r="C600" s="450">
        <v>98.47</v>
      </c>
      <c r="D600" s="450">
        <v>98.59</v>
      </c>
      <c r="E600" s="450">
        <v>98.68</v>
      </c>
      <c r="F600" s="450">
        <v>98.74</v>
      </c>
      <c r="G600" s="450">
        <v>98.77</v>
      </c>
      <c r="H600" s="450">
        <v>98.77</v>
      </c>
      <c r="I600" s="450">
        <v>98.73</v>
      </c>
      <c r="J600" s="450">
        <v>98.68</v>
      </c>
      <c r="K600" s="450">
        <v>98.59</v>
      </c>
      <c r="L600" s="450">
        <v>98.48</v>
      </c>
      <c r="M600" s="450">
        <v>98.35</v>
      </c>
      <c r="N600" s="450">
        <v>98.21</v>
      </c>
      <c r="O600" s="450">
        <v>97.31</v>
      </c>
      <c r="P600" s="450">
        <v>96.36</v>
      </c>
      <c r="Q600" s="450">
        <v>95.11</v>
      </c>
      <c r="R600" s="450" t="s">
        <v>556</v>
      </c>
      <c r="S600" s="450" t="s">
        <v>556</v>
      </c>
      <c r="T600" s="133"/>
      <c r="U600" s="134">
        <v>73</v>
      </c>
      <c r="V600" s="450">
        <v>99.88</v>
      </c>
      <c r="W600" s="450">
        <v>100.02</v>
      </c>
      <c r="X600" s="450">
        <v>100.13</v>
      </c>
      <c r="Y600" s="450">
        <v>100.21</v>
      </c>
      <c r="Z600" s="450">
        <v>100.25</v>
      </c>
      <c r="AA600" s="450">
        <v>100.26</v>
      </c>
      <c r="AB600" s="450">
        <v>100.25</v>
      </c>
      <c r="AC600" s="450">
        <v>100.2</v>
      </c>
      <c r="AD600" s="450">
        <v>100.13</v>
      </c>
      <c r="AE600" s="450">
        <v>100.03</v>
      </c>
      <c r="AF600" s="450">
        <v>99.91</v>
      </c>
      <c r="AG600" s="450">
        <v>99.78</v>
      </c>
      <c r="AH600" s="450">
        <v>98.92</v>
      </c>
      <c r="AI600" s="450">
        <v>97.98</v>
      </c>
      <c r="AJ600" s="450">
        <v>96.74</v>
      </c>
      <c r="AK600" s="450" t="s">
        <v>556</v>
      </c>
      <c r="AL600" s="450" t="s">
        <v>556</v>
      </c>
      <c r="AM600" s="133"/>
      <c r="AN600" s="134">
        <v>73</v>
      </c>
      <c r="AO600" s="450">
        <v>101.43</v>
      </c>
      <c r="AP600" s="450">
        <v>101.59</v>
      </c>
      <c r="AQ600" s="450">
        <v>101.7</v>
      </c>
      <c r="AR600" s="450">
        <v>101.79</v>
      </c>
      <c r="AS600" s="450">
        <v>101.84</v>
      </c>
      <c r="AT600" s="450">
        <v>101.86</v>
      </c>
      <c r="AU600" s="450">
        <v>101.84</v>
      </c>
      <c r="AV600" s="450">
        <v>101.8</v>
      </c>
      <c r="AW600" s="450">
        <v>101.73</v>
      </c>
      <c r="AX600" s="450">
        <v>101.63</v>
      </c>
      <c r="AY600" s="450">
        <v>101.52</v>
      </c>
      <c r="AZ600" s="450">
        <v>101.38</v>
      </c>
      <c r="BA600" s="450">
        <v>100.49</v>
      </c>
      <c r="BB600" s="450">
        <v>99.51</v>
      </c>
      <c r="BC600" s="450">
        <v>98.21</v>
      </c>
      <c r="BD600" s="450" t="s">
        <v>556</v>
      </c>
      <c r="BE600" s="450" t="s">
        <v>556</v>
      </c>
    </row>
    <row r="601" spans="2:57" x14ac:dyDescent="0.25">
      <c r="B601" s="134">
        <v>74</v>
      </c>
      <c r="C601" s="450">
        <v>98.72</v>
      </c>
      <c r="D601" s="450">
        <v>98.79</v>
      </c>
      <c r="E601" s="450">
        <v>98.83</v>
      </c>
      <c r="F601" s="450">
        <v>98.84</v>
      </c>
      <c r="G601" s="450">
        <v>98.82</v>
      </c>
      <c r="H601" s="450">
        <v>98.76</v>
      </c>
      <c r="I601" s="450">
        <v>98.68</v>
      </c>
      <c r="J601" s="450">
        <v>98.56</v>
      </c>
      <c r="K601" s="450">
        <v>98.43</v>
      </c>
      <c r="L601" s="450">
        <v>98.27</v>
      </c>
      <c r="M601" s="450">
        <v>98.1</v>
      </c>
      <c r="N601" s="450">
        <v>97.9</v>
      </c>
      <c r="O601" s="450">
        <v>96.81</v>
      </c>
      <c r="P601" s="450">
        <v>95.73</v>
      </c>
      <c r="Q601" s="450">
        <v>94.11</v>
      </c>
      <c r="R601" s="450" t="s">
        <v>556</v>
      </c>
      <c r="S601" s="450" t="s">
        <v>556</v>
      </c>
      <c r="T601" s="133"/>
      <c r="U601" s="134">
        <v>74</v>
      </c>
      <c r="V601" s="450">
        <v>100.16</v>
      </c>
      <c r="W601" s="450">
        <v>100.26</v>
      </c>
      <c r="X601" s="450">
        <v>100.32</v>
      </c>
      <c r="Y601" s="450">
        <v>100.34</v>
      </c>
      <c r="Z601" s="450">
        <v>100.34</v>
      </c>
      <c r="AA601" s="450">
        <v>100.3</v>
      </c>
      <c r="AB601" s="450">
        <v>100.22</v>
      </c>
      <c r="AC601" s="450">
        <v>100.13</v>
      </c>
      <c r="AD601" s="450">
        <v>100</v>
      </c>
      <c r="AE601" s="450">
        <v>99.86</v>
      </c>
      <c r="AF601" s="450">
        <v>99.69</v>
      </c>
      <c r="AG601" s="450">
        <v>99.51</v>
      </c>
      <c r="AH601" s="450">
        <v>98.45</v>
      </c>
      <c r="AI601" s="450">
        <v>97.39</v>
      </c>
      <c r="AJ601" s="450">
        <v>95.77</v>
      </c>
      <c r="AK601" s="450" t="s">
        <v>556</v>
      </c>
      <c r="AL601" s="450" t="s">
        <v>556</v>
      </c>
      <c r="AM601" s="133"/>
      <c r="AN601" s="134">
        <v>74</v>
      </c>
      <c r="AO601" s="450">
        <v>101.74</v>
      </c>
      <c r="AP601" s="450">
        <v>101.84</v>
      </c>
      <c r="AQ601" s="450">
        <v>101.91</v>
      </c>
      <c r="AR601" s="450">
        <v>101.94</v>
      </c>
      <c r="AS601" s="450">
        <v>101.94</v>
      </c>
      <c r="AT601" s="450">
        <v>101.91</v>
      </c>
      <c r="AU601" s="450">
        <v>101.84</v>
      </c>
      <c r="AV601" s="450">
        <v>101.74</v>
      </c>
      <c r="AW601" s="450">
        <v>101.62</v>
      </c>
      <c r="AX601" s="450">
        <v>101.47</v>
      </c>
      <c r="AY601" s="450">
        <v>101.3</v>
      </c>
      <c r="AZ601" s="450">
        <v>101.12</v>
      </c>
      <c r="BA601" s="450">
        <v>100.03</v>
      </c>
      <c r="BB601" s="450">
        <v>98.92</v>
      </c>
      <c r="BC601" s="450">
        <v>97.23</v>
      </c>
      <c r="BD601" s="450" t="s">
        <v>556</v>
      </c>
      <c r="BE601" s="450" t="s">
        <v>556</v>
      </c>
    </row>
    <row r="602" spans="2:57" x14ac:dyDescent="0.25">
      <c r="B602" s="134">
        <v>75</v>
      </c>
      <c r="C602" s="450">
        <v>98.86</v>
      </c>
      <c r="D602" s="450">
        <v>98.88</v>
      </c>
      <c r="E602" s="450">
        <v>98.87</v>
      </c>
      <c r="F602" s="450">
        <v>98.82</v>
      </c>
      <c r="G602" s="450">
        <v>98.74</v>
      </c>
      <c r="H602" s="450">
        <v>98.62</v>
      </c>
      <c r="I602" s="450">
        <v>98.48</v>
      </c>
      <c r="J602" s="450">
        <v>98.32</v>
      </c>
      <c r="K602" s="450">
        <v>98.13</v>
      </c>
      <c r="L602" s="450">
        <v>97.92</v>
      </c>
      <c r="M602" s="450">
        <v>97.69</v>
      </c>
      <c r="N602" s="450">
        <v>97.45</v>
      </c>
      <c r="O602" s="450">
        <v>96.16</v>
      </c>
      <c r="P602" s="450">
        <v>94.96</v>
      </c>
      <c r="Q602" s="450" t="s">
        <v>556</v>
      </c>
      <c r="R602" s="450" t="s">
        <v>556</v>
      </c>
      <c r="S602" s="450" t="s">
        <v>556</v>
      </c>
      <c r="T602" s="133"/>
      <c r="U602" s="134">
        <v>75</v>
      </c>
      <c r="V602" s="450">
        <v>100.35</v>
      </c>
      <c r="W602" s="450">
        <v>100.39</v>
      </c>
      <c r="X602" s="450">
        <v>100.39</v>
      </c>
      <c r="Y602" s="450">
        <v>100.36</v>
      </c>
      <c r="Z602" s="450">
        <v>100.3</v>
      </c>
      <c r="AA602" s="450">
        <v>100.2</v>
      </c>
      <c r="AB602" s="450">
        <v>100.07</v>
      </c>
      <c r="AC602" s="450">
        <v>99.92</v>
      </c>
      <c r="AD602" s="450">
        <v>99.74</v>
      </c>
      <c r="AE602" s="450">
        <v>99.54</v>
      </c>
      <c r="AF602" s="450">
        <v>99.32</v>
      </c>
      <c r="AG602" s="450">
        <v>99.09</v>
      </c>
      <c r="AH602" s="450">
        <v>97.84</v>
      </c>
      <c r="AI602" s="450">
        <v>96.66</v>
      </c>
      <c r="AJ602" s="450" t="s">
        <v>556</v>
      </c>
      <c r="AK602" s="450" t="s">
        <v>556</v>
      </c>
      <c r="AL602" s="450" t="s">
        <v>556</v>
      </c>
      <c r="AM602" s="133"/>
      <c r="AN602" s="134">
        <v>75</v>
      </c>
      <c r="AO602" s="450">
        <v>101.94</v>
      </c>
      <c r="AP602" s="450">
        <v>101.99</v>
      </c>
      <c r="AQ602" s="450">
        <v>102</v>
      </c>
      <c r="AR602" s="450">
        <v>101.98</v>
      </c>
      <c r="AS602" s="450">
        <v>101.92</v>
      </c>
      <c r="AT602" s="450">
        <v>101.82</v>
      </c>
      <c r="AU602" s="450">
        <v>101.7</v>
      </c>
      <c r="AV602" s="450">
        <v>101.54</v>
      </c>
      <c r="AW602" s="450">
        <v>101.36</v>
      </c>
      <c r="AX602" s="450">
        <v>101.16</v>
      </c>
      <c r="AY602" s="450">
        <v>100.94</v>
      </c>
      <c r="AZ602" s="450">
        <v>100.71</v>
      </c>
      <c r="BA602" s="450">
        <v>99.41</v>
      </c>
      <c r="BB602" s="450">
        <v>98.18</v>
      </c>
      <c r="BC602" s="450" t="s">
        <v>556</v>
      </c>
      <c r="BD602" s="450" t="s">
        <v>556</v>
      </c>
      <c r="BE602" s="450" t="s">
        <v>556</v>
      </c>
    </row>
    <row r="603" spans="2:57" x14ac:dyDescent="0.25">
      <c r="B603" s="134">
        <v>76</v>
      </c>
      <c r="C603" s="450">
        <v>98.89</v>
      </c>
      <c r="D603" s="450">
        <v>98.85</v>
      </c>
      <c r="E603" s="450">
        <v>98.78</v>
      </c>
      <c r="F603" s="450">
        <v>98.67</v>
      </c>
      <c r="G603" s="450">
        <v>98.52</v>
      </c>
      <c r="H603" s="450">
        <v>98.35</v>
      </c>
      <c r="I603" s="450">
        <v>98.15</v>
      </c>
      <c r="J603" s="450">
        <v>97.92</v>
      </c>
      <c r="K603" s="450">
        <v>97.68</v>
      </c>
      <c r="L603" s="450">
        <v>97.41</v>
      </c>
      <c r="M603" s="450">
        <v>97.14</v>
      </c>
      <c r="N603" s="450">
        <v>96.85</v>
      </c>
      <c r="O603" s="450">
        <v>95.37</v>
      </c>
      <c r="P603" s="450">
        <v>94.06</v>
      </c>
      <c r="Q603" s="450" t="s">
        <v>556</v>
      </c>
      <c r="R603" s="450" t="s">
        <v>556</v>
      </c>
      <c r="S603" s="450" t="s">
        <v>556</v>
      </c>
      <c r="T603" s="133"/>
      <c r="U603" s="134">
        <v>76</v>
      </c>
      <c r="V603" s="450">
        <v>100.42</v>
      </c>
      <c r="W603" s="450">
        <v>100.4</v>
      </c>
      <c r="X603" s="450">
        <v>100.34</v>
      </c>
      <c r="Y603" s="450">
        <v>100.25</v>
      </c>
      <c r="Z603" s="450">
        <v>100.12</v>
      </c>
      <c r="AA603" s="450">
        <v>99.96</v>
      </c>
      <c r="AB603" s="450">
        <v>99.77</v>
      </c>
      <c r="AC603" s="450">
        <v>99.56</v>
      </c>
      <c r="AD603" s="450">
        <v>99.32</v>
      </c>
      <c r="AE603" s="450">
        <v>99.07</v>
      </c>
      <c r="AF603" s="450">
        <v>98.8</v>
      </c>
      <c r="AG603" s="450">
        <v>98.52</v>
      </c>
      <c r="AH603" s="450">
        <v>97.07</v>
      </c>
      <c r="AI603" s="450">
        <v>95.78</v>
      </c>
      <c r="AJ603" s="450" t="s">
        <v>556</v>
      </c>
      <c r="AK603" s="450" t="s">
        <v>556</v>
      </c>
      <c r="AL603" s="450" t="s">
        <v>556</v>
      </c>
      <c r="AM603" s="133"/>
      <c r="AN603" s="134">
        <v>76</v>
      </c>
      <c r="AO603" s="450">
        <v>102.03</v>
      </c>
      <c r="AP603" s="450">
        <v>102.02</v>
      </c>
      <c r="AQ603" s="450">
        <v>101.96</v>
      </c>
      <c r="AR603" s="450">
        <v>101.88</v>
      </c>
      <c r="AS603" s="450">
        <v>101.75</v>
      </c>
      <c r="AT603" s="450">
        <v>101.59</v>
      </c>
      <c r="AU603" s="450">
        <v>101.41</v>
      </c>
      <c r="AV603" s="450">
        <v>101.19</v>
      </c>
      <c r="AW603" s="450">
        <v>100.95</v>
      </c>
      <c r="AX603" s="450">
        <v>100.7</v>
      </c>
      <c r="AY603" s="450">
        <v>100.42</v>
      </c>
      <c r="AZ603" s="450">
        <v>100.14</v>
      </c>
      <c r="BA603" s="450">
        <v>98.64</v>
      </c>
      <c r="BB603" s="450">
        <v>97.29</v>
      </c>
      <c r="BC603" s="450" t="s">
        <v>556</v>
      </c>
      <c r="BD603" s="450" t="s">
        <v>556</v>
      </c>
      <c r="BE603" s="450" t="s">
        <v>556</v>
      </c>
    </row>
    <row r="604" spans="2:57" x14ac:dyDescent="0.25">
      <c r="B604" s="134">
        <v>77</v>
      </c>
      <c r="C604" s="450">
        <v>98.8</v>
      </c>
      <c r="D604" s="450">
        <v>98.69</v>
      </c>
      <c r="E604" s="450">
        <v>98.55</v>
      </c>
      <c r="F604" s="450">
        <v>98.37</v>
      </c>
      <c r="G604" s="450">
        <v>98.16</v>
      </c>
      <c r="H604" s="450">
        <v>97.92</v>
      </c>
      <c r="I604" s="450">
        <v>97.66</v>
      </c>
      <c r="J604" s="450">
        <v>97.38</v>
      </c>
      <c r="K604" s="450">
        <v>97.07</v>
      </c>
      <c r="L604" s="450">
        <v>96.75</v>
      </c>
      <c r="M604" s="450">
        <v>96.43</v>
      </c>
      <c r="N604" s="450">
        <v>96.09</v>
      </c>
      <c r="O604" s="450">
        <v>94.42</v>
      </c>
      <c r="P604" s="450">
        <v>92.73</v>
      </c>
      <c r="Q604" s="450" t="s">
        <v>556</v>
      </c>
      <c r="R604" s="450" t="s">
        <v>556</v>
      </c>
      <c r="S604" s="450" t="s">
        <v>556</v>
      </c>
      <c r="T604" s="133"/>
      <c r="U604" s="134">
        <v>77</v>
      </c>
      <c r="V604" s="450">
        <v>100.37</v>
      </c>
      <c r="W604" s="450">
        <v>100.28</v>
      </c>
      <c r="X604" s="450">
        <v>100.15</v>
      </c>
      <c r="Y604" s="450">
        <v>99.99</v>
      </c>
      <c r="Z604" s="450">
        <v>99.8</v>
      </c>
      <c r="AA604" s="450">
        <v>99.57</v>
      </c>
      <c r="AB604" s="450">
        <v>99.32</v>
      </c>
      <c r="AC604" s="450">
        <v>99.05</v>
      </c>
      <c r="AD604" s="450">
        <v>98.75</v>
      </c>
      <c r="AE604" s="450">
        <v>98.44</v>
      </c>
      <c r="AF604" s="450">
        <v>98.12</v>
      </c>
      <c r="AG604" s="450">
        <v>97.8</v>
      </c>
      <c r="AH604" s="450">
        <v>96.16</v>
      </c>
      <c r="AI604" s="450">
        <v>94.48</v>
      </c>
      <c r="AJ604" s="450" t="s">
        <v>556</v>
      </c>
      <c r="AK604" s="450" t="s">
        <v>556</v>
      </c>
      <c r="AL604" s="450" t="s">
        <v>556</v>
      </c>
      <c r="AM604" s="133"/>
      <c r="AN604" s="134">
        <v>77</v>
      </c>
      <c r="AO604" s="450">
        <v>101.99</v>
      </c>
      <c r="AP604" s="450">
        <v>101.91</v>
      </c>
      <c r="AQ604" s="450">
        <v>101.79</v>
      </c>
      <c r="AR604" s="450">
        <v>101.63</v>
      </c>
      <c r="AS604" s="450">
        <v>101.44</v>
      </c>
      <c r="AT604" s="450">
        <v>101.21</v>
      </c>
      <c r="AU604" s="450">
        <v>100.96</v>
      </c>
      <c r="AV604" s="450">
        <v>100.68</v>
      </c>
      <c r="AW604" s="450">
        <v>100.39</v>
      </c>
      <c r="AX604" s="450">
        <v>100.07</v>
      </c>
      <c r="AY604" s="450">
        <v>99.75</v>
      </c>
      <c r="AZ604" s="450">
        <v>99.41</v>
      </c>
      <c r="BA604" s="450">
        <v>97.72</v>
      </c>
      <c r="BB604" s="450">
        <v>95.98</v>
      </c>
      <c r="BC604" s="450" t="s">
        <v>556</v>
      </c>
      <c r="BD604" s="450" t="s">
        <v>556</v>
      </c>
      <c r="BE604" s="450" t="s">
        <v>556</v>
      </c>
    </row>
    <row r="605" spans="2:57" x14ac:dyDescent="0.25">
      <c r="B605" s="134">
        <v>78</v>
      </c>
      <c r="C605" s="450">
        <v>98.57</v>
      </c>
      <c r="D605" s="450">
        <v>98.39</v>
      </c>
      <c r="E605" s="450">
        <v>98.17</v>
      </c>
      <c r="F605" s="450">
        <v>97.93</v>
      </c>
      <c r="G605" s="450">
        <v>97.65</v>
      </c>
      <c r="H605" s="450">
        <v>97.34</v>
      </c>
      <c r="I605" s="450">
        <v>97.02</v>
      </c>
      <c r="J605" s="450">
        <v>96.67</v>
      </c>
      <c r="K605" s="450">
        <v>96.31</v>
      </c>
      <c r="L605" s="450">
        <v>95.94</v>
      </c>
      <c r="M605" s="450">
        <v>95.56</v>
      </c>
      <c r="N605" s="450">
        <v>95.17</v>
      </c>
      <c r="O605" s="450">
        <v>93.33</v>
      </c>
      <c r="P605" s="450">
        <v>91.2</v>
      </c>
      <c r="Q605" s="450" t="s">
        <v>556</v>
      </c>
      <c r="R605" s="450" t="s">
        <v>556</v>
      </c>
      <c r="S605" s="450" t="s">
        <v>556</v>
      </c>
      <c r="T605" s="133"/>
      <c r="U605" s="134">
        <v>78</v>
      </c>
      <c r="V605" s="450">
        <v>100.17</v>
      </c>
      <c r="W605" s="450">
        <v>100.01</v>
      </c>
      <c r="X605" s="450">
        <v>99.81</v>
      </c>
      <c r="Y605" s="450">
        <v>99.58</v>
      </c>
      <c r="Z605" s="450">
        <v>99.32</v>
      </c>
      <c r="AA605" s="450">
        <v>99.02</v>
      </c>
      <c r="AB605" s="450">
        <v>98.71</v>
      </c>
      <c r="AC605" s="450">
        <v>98.37</v>
      </c>
      <c r="AD605" s="450">
        <v>98.02</v>
      </c>
      <c r="AE605" s="450">
        <v>97.66</v>
      </c>
      <c r="AF605" s="450">
        <v>97.29</v>
      </c>
      <c r="AG605" s="450">
        <v>96.91</v>
      </c>
      <c r="AH605" s="450">
        <v>95.09</v>
      </c>
      <c r="AI605" s="450">
        <v>92.98</v>
      </c>
      <c r="AJ605" s="450" t="s">
        <v>556</v>
      </c>
      <c r="AK605" s="450" t="s">
        <v>556</v>
      </c>
      <c r="AL605" s="450" t="s">
        <v>556</v>
      </c>
      <c r="AM605" s="133"/>
      <c r="AN605" s="134">
        <v>78</v>
      </c>
      <c r="AO605" s="450">
        <v>101.8</v>
      </c>
      <c r="AP605" s="450">
        <v>101.65</v>
      </c>
      <c r="AQ605" s="450">
        <v>101.46</v>
      </c>
      <c r="AR605" s="450">
        <v>101.23</v>
      </c>
      <c r="AS605" s="450">
        <v>100.96</v>
      </c>
      <c r="AT605" s="450">
        <v>100.67</v>
      </c>
      <c r="AU605" s="450">
        <v>100.35</v>
      </c>
      <c r="AV605" s="450">
        <v>100.01</v>
      </c>
      <c r="AW605" s="450">
        <v>99.65</v>
      </c>
      <c r="AX605" s="450">
        <v>99.28</v>
      </c>
      <c r="AY605" s="450">
        <v>98.9</v>
      </c>
      <c r="AZ605" s="450">
        <v>98.52</v>
      </c>
      <c r="BA605" s="450">
        <v>96.65</v>
      </c>
      <c r="BB605" s="450">
        <v>94.45</v>
      </c>
      <c r="BC605" s="450" t="s">
        <v>556</v>
      </c>
      <c r="BD605" s="450" t="s">
        <v>556</v>
      </c>
      <c r="BE605" s="450" t="s">
        <v>556</v>
      </c>
    </row>
    <row r="606" spans="2:57" x14ac:dyDescent="0.25">
      <c r="B606" s="134">
        <v>79</v>
      </c>
      <c r="C606" s="450">
        <v>98.19</v>
      </c>
      <c r="D606" s="450">
        <v>97.93</v>
      </c>
      <c r="E606" s="450">
        <v>97.64</v>
      </c>
      <c r="F606" s="450">
        <v>97.32</v>
      </c>
      <c r="G606" s="450">
        <v>96.97</v>
      </c>
      <c r="H606" s="450">
        <v>96.6</v>
      </c>
      <c r="I606" s="450">
        <v>96.21</v>
      </c>
      <c r="J606" s="450">
        <v>95.8</v>
      </c>
      <c r="K606" s="450">
        <v>95.38</v>
      </c>
      <c r="L606" s="450">
        <v>94.96</v>
      </c>
      <c r="M606" s="450">
        <v>94.53</v>
      </c>
      <c r="N606" s="450">
        <v>94.1</v>
      </c>
      <c r="O606" s="450">
        <v>92.09</v>
      </c>
      <c r="P606" s="450">
        <v>89.48</v>
      </c>
      <c r="Q606" s="450" t="s">
        <v>556</v>
      </c>
      <c r="R606" s="450" t="s">
        <v>556</v>
      </c>
      <c r="S606" s="450" t="s">
        <v>556</v>
      </c>
      <c r="T606" s="133"/>
      <c r="U606" s="134">
        <v>79</v>
      </c>
      <c r="V606" s="450">
        <v>99.83</v>
      </c>
      <c r="W606" s="450">
        <v>99.59</v>
      </c>
      <c r="X606" s="450">
        <v>99.32</v>
      </c>
      <c r="Y606" s="450">
        <v>99.01</v>
      </c>
      <c r="Z606" s="450">
        <v>98.67</v>
      </c>
      <c r="AA606" s="450">
        <v>98.31</v>
      </c>
      <c r="AB606" s="450">
        <v>97.93</v>
      </c>
      <c r="AC606" s="450">
        <v>97.53</v>
      </c>
      <c r="AD606" s="450">
        <v>97.12</v>
      </c>
      <c r="AE606" s="450">
        <v>96.71</v>
      </c>
      <c r="AF606" s="450">
        <v>96.29</v>
      </c>
      <c r="AG606" s="450">
        <v>95.86</v>
      </c>
      <c r="AH606" s="450">
        <v>93.88</v>
      </c>
      <c r="AI606" s="450">
        <v>91.27</v>
      </c>
      <c r="AJ606" s="450" t="s">
        <v>556</v>
      </c>
      <c r="AK606" s="450" t="s">
        <v>556</v>
      </c>
      <c r="AL606" s="450" t="s">
        <v>556</v>
      </c>
      <c r="AM606" s="133"/>
      <c r="AN606" s="134">
        <v>79</v>
      </c>
      <c r="AO606" s="450">
        <v>101.47</v>
      </c>
      <c r="AP606" s="450">
        <v>101.24</v>
      </c>
      <c r="AQ606" s="450">
        <v>100.96</v>
      </c>
      <c r="AR606" s="450">
        <v>100.66</v>
      </c>
      <c r="AS606" s="450">
        <v>100.32</v>
      </c>
      <c r="AT606" s="450">
        <v>99.96</v>
      </c>
      <c r="AU606" s="450">
        <v>99.57</v>
      </c>
      <c r="AV606" s="450">
        <v>99.17</v>
      </c>
      <c r="AW606" s="450">
        <v>98.75</v>
      </c>
      <c r="AX606" s="450">
        <v>98.33</v>
      </c>
      <c r="AY606" s="450">
        <v>97.9</v>
      </c>
      <c r="AZ606" s="450">
        <v>97.47</v>
      </c>
      <c r="BA606" s="450">
        <v>95.42</v>
      </c>
      <c r="BB606" s="450">
        <v>92.73</v>
      </c>
      <c r="BC606" s="450" t="s">
        <v>556</v>
      </c>
      <c r="BD606" s="450" t="s">
        <v>556</v>
      </c>
      <c r="BE606" s="450" t="s">
        <v>556</v>
      </c>
    </row>
    <row r="607" spans="2:57" x14ac:dyDescent="0.25">
      <c r="B607" s="134">
        <v>80</v>
      </c>
      <c r="C607" s="450">
        <v>97.65</v>
      </c>
      <c r="D607" s="450">
        <v>97.32</v>
      </c>
      <c r="E607" s="450">
        <v>96.95</v>
      </c>
      <c r="F607" s="450">
        <v>96.55</v>
      </c>
      <c r="G607" s="450">
        <v>96.13</v>
      </c>
      <c r="H607" s="450">
        <v>95.69</v>
      </c>
      <c r="I607" s="450">
        <v>95.24</v>
      </c>
      <c r="J607" s="450">
        <v>94.77</v>
      </c>
      <c r="K607" s="450">
        <v>94.29</v>
      </c>
      <c r="L607" s="450">
        <v>93.82</v>
      </c>
      <c r="M607" s="450">
        <v>93.34</v>
      </c>
      <c r="N607" s="450">
        <v>92.87</v>
      </c>
      <c r="O607" s="450">
        <v>90.71</v>
      </c>
      <c r="P607" s="450" t="s">
        <v>556</v>
      </c>
      <c r="Q607" s="450" t="s">
        <v>556</v>
      </c>
      <c r="R607" s="450" t="s">
        <v>556</v>
      </c>
      <c r="S607" s="450" t="s">
        <v>556</v>
      </c>
      <c r="T607" s="133"/>
      <c r="U607" s="134">
        <v>80</v>
      </c>
      <c r="V607" s="450">
        <v>99.33</v>
      </c>
      <c r="W607" s="450">
        <v>99.01</v>
      </c>
      <c r="X607" s="450">
        <v>98.66</v>
      </c>
      <c r="Y607" s="450">
        <v>98.27</v>
      </c>
      <c r="Z607" s="450">
        <v>97.87</v>
      </c>
      <c r="AA607" s="450">
        <v>97.44</v>
      </c>
      <c r="AB607" s="450">
        <v>96.99</v>
      </c>
      <c r="AC607" s="450">
        <v>96.53</v>
      </c>
      <c r="AD607" s="450">
        <v>96.07</v>
      </c>
      <c r="AE607" s="450">
        <v>95.6</v>
      </c>
      <c r="AF607" s="450">
        <v>95.13</v>
      </c>
      <c r="AG607" s="450">
        <v>94.66</v>
      </c>
      <c r="AH607" s="450">
        <v>92.53</v>
      </c>
      <c r="AI607" s="450" t="s">
        <v>556</v>
      </c>
      <c r="AJ607" s="450" t="s">
        <v>556</v>
      </c>
      <c r="AK607" s="450" t="s">
        <v>556</v>
      </c>
      <c r="AL607" s="450" t="s">
        <v>556</v>
      </c>
      <c r="AM607" s="133"/>
      <c r="AN607" s="134">
        <v>80</v>
      </c>
      <c r="AO607" s="450">
        <v>100.97</v>
      </c>
      <c r="AP607" s="450">
        <v>100.66</v>
      </c>
      <c r="AQ607" s="450">
        <v>100.31</v>
      </c>
      <c r="AR607" s="450">
        <v>99.92</v>
      </c>
      <c r="AS607" s="450">
        <v>99.51</v>
      </c>
      <c r="AT607" s="450">
        <v>99.08</v>
      </c>
      <c r="AU607" s="450">
        <v>98.63</v>
      </c>
      <c r="AV607" s="450">
        <v>98.16</v>
      </c>
      <c r="AW607" s="450">
        <v>97.69</v>
      </c>
      <c r="AX607" s="450">
        <v>97.21</v>
      </c>
      <c r="AY607" s="450">
        <v>96.73</v>
      </c>
      <c r="AZ607" s="450">
        <v>96.25</v>
      </c>
      <c r="BA607" s="450">
        <v>94.06</v>
      </c>
      <c r="BB607" s="450" t="s">
        <v>556</v>
      </c>
      <c r="BC607" s="450" t="s">
        <v>556</v>
      </c>
      <c r="BD607" s="450" t="s">
        <v>556</v>
      </c>
      <c r="BE607" s="450" t="s">
        <v>556</v>
      </c>
    </row>
    <row r="608" spans="2:57" x14ac:dyDescent="0.25">
      <c r="B608" s="134">
        <v>81</v>
      </c>
      <c r="C608" s="450">
        <v>96.95</v>
      </c>
      <c r="D608" s="450">
        <v>96.54</v>
      </c>
      <c r="E608" s="450">
        <v>96.09</v>
      </c>
      <c r="F608" s="450">
        <v>95.62</v>
      </c>
      <c r="G608" s="450">
        <v>95.13</v>
      </c>
      <c r="H608" s="450">
        <v>94.62</v>
      </c>
      <c r="I608" s="450">
        <v>94.1</v>
      </c>
      <c r="J608" s="450">
        <v>93.58</v>
      </c>
      <c r="K608" s="450">
        <v>93.05</v>
      </c>
      <c r="L608" s="450">
        <v>92.53</v>
      </c>
      <c r="M608" s="450">
        <v>92.01</v>
      </c>
      <c r="N608" s="450">
        <v>91.5</v>
      </c>
      <c r="O608" s="450">
        <v>89.21</v>
      </c>
      <c r="P608" s="450" t="s">
        <v>556</v>
      </c>
      <c r="Q608" s="450" t="s">
        <v>556</v>
      </c>
      <c r="R608" s="450" t="s">
        <v>556</v>
      </c>
      <c r="S608" s="450" t="s">
        <v>556</v>
      </c>
      <c r="T608" s="133"/>
      <c r="U608" s="134">
        <v>81</v>
      </c>
      <c r="V608" s="450">
        <v>98.66</v>
      </c>
      <c r="W608" s="450">
        <v>98.26</v>
      </c>
      <c r="X608" s="450">
        <v>97.83</v>
      </c>
      <c r="Y608" s="450">
        <v>97.37</v>
      </c>
      <c r="Z608" s="450">
        <v>96.89</v>
      </c>
      <c r="AA608" s="450">
        <v>96.39</v>
      </c>
      <c r="AB608" s="450">
        <v>95.89</v>
      </c>
      <c r="AC608" s="450">
        <v>95.37</v>
      </c>
      <c r="AD608" s="450">
        <v>94.85</v>
      </c>
      <c r="AE608" s="450">
        <v>94.33</v>
      </c>
      <c r="AF608" s="450">
        <v>93.82</v>
      </c>
      <c r="AG608" s="450">
        <v>93.31</v>
      </c>
      <c r="AH608" s="450">
        <v>91.05</v>
      </c>
      <c r="AI608" s="450" t="s">
        <v>556</v>
      </c>
      <c r="AJ608" s="450" t="s">
        <v>556</v>
      </c>
      <c r="AK608" s="450" t="s">
        <v>556</v>
      </c>
      <c r="AL608" s="450" t="s">
        <v>556</v>
      </c>
      <c r="AM608" s="133"/>
      <c r="AN608" s="134">
        <v>81</v>
      </c>
      <c r="AO608" s="450">
        <v>100.31</v>
      </c>
      <c r="AP608" s="450">
        <v>99.91</v>
      </c>
      <c r="AQ608" s="450">
        <v>99.48</v>
      </c>
      <c r="AR608" s="450">
        <v>99.02</v>
      </c>
      <c r="AS608" s="450">
        <v>98.53</v>
      </c>
      <c r="AT608" s="450">
        <v>98.03</v>
      </c>
      <c r="AU608" s="450">
        <v>97.51</v>
      </c>
      <c r="AV608" s="450">
        <v>96.99</v>
      </c>
      <c r="AW608" s="450">
        <v>96.46</v>
      </c>
      <c r="AX608" s="450">
        <v>95.93</v>
      </c>
      <c r="AY608" s="450">
        <v>95.41</v>
      </c>
      <c r="AZ608" s="450">
        <v>94.89</v>
      </c>
      <c r="BA608" s="450">
        <v>92.56</v>
      </c>
      <c r="BB608" s="450" t="s">
        <v>556</v>
      </c>
      <c r="BC608" s="450" t="s">
        <v>556</v>
      </c>
      <c r="BD608" s="450" t="s">
        <v>556</v>
      </c>
      <c r="BE608" s="450" t="s">
        <v>556</v>
      </c>
    </row>
    <row r="609" spans="2:57" x14ac:dyDescent="0.25">
      <c r="B609" s="134">
        <v>82</v>
      </c>
      <c r="C609" s="450">
        <v>96.09</v>
      </c>
      <c r="D609" s="450">
        <v>95.59</v>
      </c>
      <c r="E609" s="450">
        <v>95.07</v>
      </c>
      <c r="F609" s="450">
        <v>94.52</v>
      </c>
      <c r="G609" s="450">
        <v>93.96</v>
      </c>
      <c r="H609" s="450">
        <v>93.39</v>
      </c>
      <c r="I609" s="450">
        <v>92.81</v>
      </c>
      <c r="J609" s="450">
        <v>92.23</v>
      </c>
      <c r="K609" s="450">
        <v>91.66</v>
      </c>
      <c r="L609" s="450">
        <v>91.09</v>
      </c>
      <c r="M609" s="450">
        <v>90.53</v>
      </c>
      <c r="N609" s="450">
        <v>89.98</v>
      </c>
      <c r="O609" s="450">
        <v>87.25</v>
      </c>
      <c r="P609" s="450" t="s">
        <v>556</v>
      </c>
      <c r="Q609" s="450" t="s">
        <v>556</v>
      </c>
      <c r="R609" s="450" t="s">
        <v>556</v>
      </c>
      <c r="S609" s="450" t="s">
        <v>556</v>
      </c>
      <c r="T609" s="133"/>
      <c r="U609" s="134">
        <v>82</v>
      </c>
      <c r="V609" s="450">
        <v>97.83</v>
      </c>
      <c r="W609" s="450">
        <v>97.35</v>
      </c>
      <c r="X609" s="450">
        <v>96.84</v>
      </c>
      <c r="Y609" s="450">
        <v>96.3</v>
      </c>
      <c r="Z609" s="450">
        <v>95.75</v>
      </c>
      <c r="AA609" s="450">
        <v>95.19</v>
      </c>
      <c r="AB609" s="450">
        <v>94.62</v>
      </c>
      <c r="AC609" s="450">
        <v>94.05</v>
      </c>
      <c r="AD609" s="450">
        <v>93.48</v>
      </c>
      <c r="AE609" s="450">
        <v>92.91</v>
      </c>
      <c r="AF609" s="450">
        <v>92.36</v>
      </c>
      <c r="AG609" s="450">
        <v>91.82</v>
      </c>
      <c r="AH609" s="450">
        <v>89.11</v>
      </c>
      <c r="AI609" s="450" t="s">
        <v>556</v>
      </c>
      <c r="AJ609" s="450" t="s">
        <v>556</v>
      </c>
      <c r="AK609" s="450" t="s">
        <v>556</v>
      </c>
      <c r="AL609" s="450" t="s">
        <v>556</v>
      </c>
      <c r="AM609" s="133"/>
      <c r="AN609" s="134">
        <v>82</v>
      </c>
      <c r="AO609" s="450">
        <v>99.47</v>
      </c>
      <c r="AP609" s="450">
        <v>98.99</v>
      </c>
      <c r="AQ609" s="450">
        <v>98.48</v>
      </c>
      <c r="AR609" s="450">
        <v>97.94</v>
      </c>
      <c r="AS609" s="450">
        <v>97.39</v>
      </c>
      <c r="AT609" s="450">
        <v>96.82</v>
      </c>
      <c r="AU609" s="450">
        <v>96.24</v>
      </c>
      <c r="AV609" s="450">
        <v>95.66</v>
      </c>
      <c r="AW609" s="450">
        <v>95.08</v>
      </c>
      <c r="AX609" s="450">
        <v>94.5</v>
      </c>
      <c r="AY609" s="450">
        <v>93.94</v>
      </c>
      <c r="AZ609" s="450">
        <v>93.38</v>
      </c>
      <c r="BA609" s="450">
        <v>90.59</v>
      </c>
      <c r="BB609" s="450" t="s">
        <v>556</v>
      </c>
      <c r="BC609" s="450" t="s">
        <v>556</v>
      </c>
      <c r="BD609" s="450" t="s">
        <v>556</v>
      </c>
      <c r="BE609" s="450" t="s">
        <v>556</v>
      </c>
    </row>
    <row r="610" spans="2:57" x14ac:dyDescent="0.25">
      <c r="B610" s="134">
        <v>83</v>
      </c>
      <c r="C610" s="450">
        <v>95.06</v>
      </c>
      <c r="D610" s="450">
        <v>94.48</v>
      </c>
      <c r="E610" s="450">
        <v>93.88</v>
      </c>
      <c r="F610" s="450">
        <v>93.27</v>
      </c>
      <c r="G610" s="450">
        <v>92.64</v>
      </c>
      <c r="H610" s="450">
        <v>92.01</v>
      </c>
      <c r="I610" s="450">
        <v>91.37</v>
      </c>
      <c r="J610" s="450">
        <v>90.74</v>
      </c>
      <c r="K610" s="450">
        <v>90.12</v>
      </c>
      <c r="L610" s="450">
        <v>89.51</v>
      </c>
      <c r="M610" s="450">
        <v>88.92</v>
      </c>
      <c r="N610" s="450">
        <v>88.34</v>
      </c>
      <c r="O610" s="450">
        <v>85.1</v>
      </c>
      <c r="P610" s="450" t="s">
        <v>556</v>
      </c>
      <c r="Q610" s="450" t="s">
        <v>556</v>
      </c>
      <c r="R610" s="450" t="s">
        <v>556</v>
      </c>
      <c r="S610" s="450" t="s">
        <v>556</v>
      </c>
      <c r="T610" s="133"/>
      <c r="U610" s="134">
        <v>83</v>
      </c>
      <c r="V610" s="450">
        <v>96.83</v>
      </c>
      <c r="W610" s="450">
        <v>96.26</v>
      </c>
      <c r="X610" s="450">
        <v>95.67</v>
      </c>
      <c r="Y610" s="450">
        <v>95.07</v>
      </c>
      <c r="Z610" s="450">
        <v>94.45</v>
      </c>
      <c r="AA610" s="450">
        <v>93.83</v>
      </c>
      <c r="AB610" s="450">
        <v>93.2</v>
      </c>
      <c r="AC610" s="450">
        <v>92.58</v>
      </c>
      <c r="AD610" s="450">
        <v>91.96</v>
      </c>
      <c r="AE610" s="450">
        <v>91.36</v>
      </c>
      <c r="AF610" s="450">
        <v>90.77</v>
      </c>
      <c r="AG610" s="450">
        <v>90.2</v>
      </c>
      <c r="AH610" s="450">
        <v>86.97</v>
      </c>
      <c r="AI610" s="450" t="s">
        <v>556</v>
      </c>
      <c r="AJ610" s="450" t="s">
        <v>556</v>
      </c>
      <c r="AK610" s="450" t="s">
        <v>556</v>
      </c>
      <c r="AL610" s="450" t="s">
        <v>556</v>
      </c>
      <c r="AM610" s="133"/>
      <c r="AN610" s="134">
        <v>83</v>
      </c>
      <c r="AO610" s="450">
        <v>98.46</v>
      </c>
      <c r="AP610" s="450">
        <v>97.9</v>
      </c>
      <c r="AQ610" s="450">
        <v>97.31</v>
      </c>
      <c r="AR610" s="450">
        <v>96.7</v>
      </c>
      <c r="AS610" s="450">
        <v>96.07</v>
      </c>
      <c r="AT610" s="450">
        <v>95.44</v>
      </c>
      <c r="AU610" s="450">
        <v>94.81</v>
      </c>
      <c r="AV610" s="450">
        <v>94.17</v>
      </c>
      <c r="AW610" s="450">
        <v>93.55</v>
      </c>
      <c r="AX610" s="450">
        <v>92.93</v>
      </c>
      <c r="AY610" s="450">
        <v>92.33</v>
      </c>
      <c r="AZ610" s="450">
        <v>91.74</v>
      </c>
      <c r="BA610" s="450">
        <v>88.43</v>
      </c>
      <c r="BB610" s="450" t="s">
        <v>556</v>
      </c>
      <c r="BC610" s="450" t="s">
        <v>556</v>
      </c>
      <c r="BD610" s="450" t="s">
        <v>556</v>
      </c>
      <c r="BE610" s="450" t="s">
        <v>556</v>
      </c>
    </row>
    <row r="611" spans="2:57" x14ac:dyDescent="0.25">
      <c r="B611" s="134">
        <v>84</v>
      </c>
      <c r="C611" s="450">
        <v>93.87</v>
      </c>
      <c r="D611" s="450">
        <v>93.21</v>
      </c>
      <c r="E611" s="450">
        <v>92.54</v>
      </c>
      <c r="F611" s="450">
        <v>91.85</v>
      </c>
      <c r="G611" s="450">
        <v>91.16</v>
      </c>
      <c r="H611" s="450">
        <v>90.48</v>
      </c>
      <c r="I611" s="450">
        <v>89.79</v>
      </c>
      <c r="J611" s="450">
        <v>89.12</v>
      </c>
      <c r="K611" s="450">
        <v>88.45</v>
      </c>
      <c r="L611" s="450">
        <v>87.81</v>
      </c>
      <c r="M611" s="450">
        <v>87.18</v>
      </c>
      <c r="N611" s="450">
        <v>86.58</v>
      </c>
      <c r="O611" s="450">
        <v>82.79</v>
      </c>
      <c r="P611" s="450" t="s">
        <v>556</v>
      </c>
      <c r="Q611" s="450" t="s">
        <v>556</v>
      </c>
      <c r="R611" s="450" t="s">
        <v>556</v>
      </c>
      <c r="S611" s="450" t="s">
        <v>556</v>
      </c>
      <c r="T611" s="133"/>
      <c r="U611" s="134">
        <v>84</v>
      </c>
      <c r="V611" s="450">
        <v>95.66</v>
      </c>
      <c r="W611" s="450">
        <v>95.02</v>
      </c>
      <c r="X611" s="450">
        <v>94.35</v>
      </c>
      <c r="Y611" s="450">
        <v>93.68</v>
      </c>
      <c r="Z611" s="450">
        <v>93</v>
      </c>
      <c r="AA611" s="450">
        <v>92.32</v>
      </c>
      <c r="AB611" s="450">
        <v>91.64</v>
      </c>
      <c r="AC611" s="450">
        <v>90.97</v>
      </c>
      <c r="AD611" s="450">
        <v>90.32</v>
      </c>
      <c r="AE611" s="450">
        <v>89.68</v>
      </c>
      <c r="AF611" s="450">
        <v>89.06</v>
      </c>
      <c r="AG611" s="450">
        <v>88.46</v>
      </c>
      <c r="AH611" s="450">
        <v>84.68</v>
      </c>
      <c r="AI611" s="450" t="s">
        <v>556</v>
      </c>
      <c r="AJ611" s="450" t="s">
        <v>556</v>
      </c>
      <c r="AK611" s="450" t="s">
        <v>556</v>
      </c>
      <c r="AL611" s="450" t="s">
        <v>556</v>
      </c>
      <c r="AM611" s="133"/>
      <c r="AN611" s="134">
        <v>84</v>
      </c>
      <c r="AO611" s="450">
        <v>97.29</v>
      </c>
      <c r="AP611" s="450">
        <v>96.64</v>
      </c>
      <c r="AQ611" s="450">
        <v>95.98</v>
      </c>
      <c r="AR611" s="450">
        <v>95.3</v>
      </c>
      <c r="AS611" s="450">
        <v>94.61</v>
      </c>
      <c r="AT611" s="450">
        <v>93.92</v>
      </c>
      <c r="AU611" s="450">
        <v>93.23</v>
      </c>
      <c r="AV611" s="450">
        <v>92.55</v>
      </c>
      <c r="AW611" s="450">
        <v>91.88</v>
      </c>
      <c r="AX611" s="450">
        <v>91.23</v>
      </c>
      <c r="AY611" s="450">
        <v>90.59</v>
      </c>
      <c r="AZ611" s="450">
        <v>89.98</v>
      </c>
      <c r="BA611" s="450">
        <v>86.1</v>
      </c>
      <c r="BB611" s="450" t="s">
        <v>556</v>
      </c>
      <c r="BC611" s="450" t="s">
        <v>556</v>
      </c>
      <c r="BD611" s="450" t="s">
        <v>556</v>
      </c>
      <c r="BE611" s="450" t="s">
        <v>556</v>
      </c>
    </row>
    <row r="612" spans="2:57" x14ac:dyDescent="0.25">
      <c r="B612" s="134">
        <v>85</v>
      </c>
      <c r="C612" s="450">
        <v>92.52</v>
      </c>
      <c r="D612" s="450">
        <v>91.78</v>
      </c>
      <c r="E612" s="450">
        <v>91.04</v>
      </c>
      <c r="F612" s="450">
        <v>90.3</v>
      </c>
      <c r="G612" s="450">
        <v>89.55</v>
      </c>
      <c r="H612" s="450">
        <v>88.81</v>
      </c>
      <c r="I612" s="450">
        <v>88.08</v>
      </c>
      <c r="J612" s="450">
        <v>87.36</v>
      </c>
      <c r="K612" s="450">
        <v>86.66</v>
      </c>
      <c r="L612" s="450">
        <v>85.99</v>
      </c>
      <c r="M612" s="450">
        <v>85.34</v>
      </c>
      <c r="N612" s="450">
        <v>84.72</v>
      </c>
      <c r="O612" s="450" t="s">
        <v>556</v>
      </c>
      <c r="P612" s="450" t="s">
        <v>556</v>
      </c>
      <c r="Q612" s="450" t="s">
        <v>556</v>
      </c>
      <c r="R612" s="450" t="s">
        <v>556</v>
      </c>
      <c r="S612" s="450" t="s">
        <v>556</v>
      </c>
      <c r="T612" s="133"/>
      <c r="U612" s="134">
        <v>85</v>
      </c>
      <c r="V612" s="450">
        <v>94.33</v>
      </c>
      <c r="W612" s="450">
        <v>93.61</v>
      </c>
      <c r="X612" s="450">
        <v>92.88</v>
      </c>
      <c r="Y612" s="450">
        <v>92.14</v>
      </c>
      <c r="Z612" s="450">
        <v>91.41</v>
      </c>
      <c r="AA612" s="450">
        <v>90.67</v>
      </c>
      <c r="AB612" s="450">
        <v>89.95</v>
      </c>
      <c r="AC612" s="450">
        <v>89.24</v>
      </c>
      <c r="AD612" s="450">
        <v>88.55</v>
      </c>
      <c r="AE612" s="450">
        <v>87.88</v>
      </c>
      <c r="AF612" s="450">
        <v>87.23</v>
      </c>
      <c r="AG612" s="450">
        <v>86.62</v>
      </c>
      <c r="AH612" s="450" t="s">
        <v>556</v>
      </c>
      <c r="AI612" s="450" t="s">
        <v>556</v>
      </c>
      <c r="AJ612" s="450" t="s">
        <v>556</v>
      </c>
      <c r="AK612" s="450" t="s">
        <v>556</v>
      </c>
      <c r="AL612" s="450" t="s">
        <v>556</v>
      </c>
      <c r="AM612" s="133"/>
      <c r="AN612" s="134">
        <v>85</v>
      </c>
      <c r="AO612" s="450">
        <v>95.95</v>
      </c>
      <c r="AP612" s="450">
        <v>95.23</v>
      </c>
      <c r="AQ612" s="450">
        <v>94.49</v>
      </c>
      <c r="AR612" s="450">
        <v>93.74</v>
      </c>
      <c r="AS612" s="450">
        <v>93</v>
      </c>
      <c r="AT612" s="450">
        <v>92.25</v>
      </c>
      <c r="AU612" s="450">
        <v>91.52</v>
      </c>
      <c r="AV612" s="450">
        <v>90.79</v>
      </c>
      <c r="AW612" s="450">
        <v>90.09</v>
      </c>
      <c r="AX612" s="450">
        <v>89.41</v>
      </c>
      <c r="AY612" s="450">
        <v>88.75</v>
      </c>
      <c r="AZ612" s="450">
        <v>88.11</v>
      </c>
      <c r="BA612" s="450" t="s">
        <v>556</v>
      </c>
      <c r="BB612" s="450" t="s">
        <v>556</v>
      </c>
      <c r="BC612" s="450" t="s">
        <v>556</v>
      </c>
      <c r="BD612" s="450" t="s">
        <v>556</v>
      </c>
      <c r="BE612" s="450" t="s">
        <v>556</v>
      </c>
    </row>
    <row r="613" spans="2:57" x14ac:dyDescent="0.25">
      <c r="B613" s="134">
        <v>86</v>
      </c>
      <c r="C613" s="450">
        <v>91.01</v>
      </c>
      <c r="D613" s="450">
        <v>90.21</v>
      </c>
      <c r="E613" s="450">
        <v>89.41</v>
      </c>
      <c r="F613" s="450">
        <v>88.6</v>
      </c>
      <c r="G613" s="450">
        <v>87.81</v>
      </c>
      <c r="H613" s="450">
        <v>87.02</v>
      </c>
      <c r="I613" s="450">
        <v>86.25</v>
      </c>
      <c r="J613" s="450">
        <v>85.5</v>
      </c>
      <c r="K613" s="450">
        <v>84.77</v>
      </c>
      <c r="L613" s="450">
        <v>84.07</v>
      </c>
      <c r="M613" s="450">
        <v>83.4</v>
      </c>
      <c r="N613" s="450">
        <v>82.76</v>
      </c>
      <c r="O613" s="450" t="s">
        <v>556</v>
      </c>
      <c r="P613" s="450" t="s">
        <v>556</v>
      </c>
      <c r="Q613" s="450" t="s">
        <v>556</v>
      </c>
      <c r="R613" s="450" t="s">
        <v>556</v>
      </c>
      <c r="S613" s="450" t="s">
        <v>556</v>
      </c>
      <c r="T613" s="133"/>
      <c r="U613" s="134">
        <v>86</v>
      </c>
      <c r="V613" s="450">
        <v>92.86</v>
      </c>
      <c r="W613" s="450">
        <v>92.06</v>
      </c>
      <c r="X613" s="450">
        <v>91.27</v>
      </c>
      <c r="Y613" s="450">
        <v>90.47</v>
      </c>
      <c r="Z613" s="450">
        <v>89.68</v>
      </c>
      <c r="AA613" s="450">
        <v>88.9</v>
      </c>
      <c r="AB613" s="450">
        <v>88.14</v>
      </c>
      <c r="AC613" s="450">
        <v>87.39</v>
      </c>
      <c r="AD613" s="450">
        <v>86.67</v>
      </c>
      <c r="AE613" s="450">
        <v>85.98</v>
      </c>
      <c r="AF613" s="450">
        <v>85.31</v>
      </c>
      <c r="AG613" s="450">
        <v>84.68</v>
      </c>
      <c r="AH613" s="450" t="s">
        <v>556</v>
      </c>
      <c r="AI613" s="450" t="s">
        <v>556</v>
      </c>
      <c r="AJ613" s="450" t="s">
        <v>556</v>
      </c>
      <c r="AK613" s="450" t="s">
        <v>556</v>
      </c>
      <c r="AL613" s="450" t="s">
        <v>556</v>
      </c>
      <c r="AM613" s="133"/>
      <c r="AN613" s="134">
        <v>86</v>
      </c>
      <c r="AO613" s="450">
        <v>94.46</v>
      </c>
      <c r="AP613" s="450">
        <v>93.66</v>
      </c>
      <c r="AQ613" s="450">
        <v>92.86</v>
      </c>
      <c r="AR613" s="450">
        <v>92.05</v>
      </c>
      <c r="AS613" s="450">
        <v>91.25</v>
      </c>
      <c r="AT613" s="450">
        <v>90.46</v>
      </c>
      <c r="AU613" s="450">
        <v>89.68</v>
      </c>
      <c r="AV613" s="450">
        <v>88.93</v>
      </c>
      <c r="AW613" s="450">
        <v>88.19</v>
      </c>
      <c r="AX613" s="450">
        <v>87.48</v>
      </c>
      <c r="AY613" s="450">
        <v>86.8</v>
      </c>
      <c r="AZ613" s="450">
        <v>86.15</v>
      </c>
      <c r="BA613" s="450" t="s">
        <v>556</v>
      </c>
      <c r="BB613" s="450" t="s">
        <v>556</v>
      </c>
      <c r="BC613" s="450" t="s">
        <v>556</v>
      </c>
      <c r="BD613" s="450" t="s">
        <v>556</v>
      </c>
      <c r="BE613" s="450" t="s">
        <v>556</v>
      </c>
    </row>
    <row r="614" spans="2:57" x14ac:dyDescent="0.25">
      <c r="B614" s="134">
        <v>87</v>
      </c>
      <c r="C614" s="450">
        <v>89.37</v>
      </c>
      <c r="D614" s="450">
        <v>88.51</v>
      </c>
      <c r="E614" s="450">
        <v>87.65</v>
      </c>
      <c r="F614" s="450">
        <v>86.79</v>
      </c>
      <c r="G614" s="450">
        <v>85.95</v>
      </c>
      <c r="H614" s="450">
        <v>85.12</v>
      </c>
      <c r="I614" s="450">
        <v>84.32</v>
      </c>
      <c r="J614" s="450">
        <v>83.54</v>
      </c>
      <c r="K614" s="450">
        <v>82.78</v>
      </c>
      <c r="L614" s="450">
        <v>82.06</v>
      </c>
      <c r="M614" s="450">
        <v>81.37</v>
      </c>
      <c r="N614" s="450">
        <v>80.36</v>
      </c>
      <c r="O614" s="450" t="s">
        <v>556</v>
      </c>
      <c r="P614" s="450" t="s">
        <v>556</v>
      </c>
      <c r="Q614" s="450" t="s">
        <v>556</v>
      </c>
      <c r="R614" s="450" t="s">
        <v>556</v>
      </c>
      <c r="S614" s="450" t="s">
        <v>556</v>
      </c>
      <c r="T614" s="133"/>
      <c r="U614" s="134">
        <v>87</v>
      </c>
      <c r="V614" s="450">
        <v>91.23</v>
      </c>
      <c r="W614" s="450">
        <v>90.38</v>
      </c>
      <c r="X614" s="450">
        <v>89.52</v>
      </c>
      <c r="Y614" s="450">
        <v>88.67</v>
      </c>
      <c r="Z614" s="450">
        <v>87.84</v>
      </c>
      <c r="AA614" s="450">
        <v>87.02</v>
      </c>
      <c r="AB614" s="450">
        <v>86.22</v>
      </c>
      <c r="AC614" s="450">
        <v>85.45</v>
      </c>
      <c r="AD614" s="450">
        <v>84.7</v>
      </c>
      <c r="AE614" s="450">
        <v>83.99</v>
      </c>
      <c r="AF614" s="450">
        <v>83.3</v>
      </c>
      <c r="AG614" s="450">
        <v>82.29</v>
      </c>
      <c r="AH614" s="450" t="s">
        <v>556</v>
      </c>
      <c r="AI614" s="450" t="s">
        <v>556</v>
      </c>
      <c r="AJ614" s="450" t="s">
        <v>556</v>
      </c>
      <c r="AK614" s="450" t="s">
        <v>556</v>
      </c>
      <c r="AL614" s="450" t="s">
        <v>556</v>
      </c>
      <c r="AM614" s="133"/>
      <c r="AN614" s="134">
        <v>87</v>
      </c>
      <c r="AO614" s="450">
        <v>92.82</v>
      </c>
      <c r="AP614" s="450">
        <v>91.96</v>
      </c>
      <c r="AQ614" s="450">
        <v>91.09</v>
      </c>
      <c r="AR614" s="450">
        <v>90.24</v>
      </c>
      <c r="AS614" s="450">
        <v>89.39</v>
      </c>
      <c r="AT614" s="450">
        <v>88.56</v>
      </c>
      <c r="AU614" s="450">
        <v>87.75</v>
      </c>
      <c r="AV614" s="450">
        <v>86.96</v>
      </c>
      <c r="AW614" s="450">
        <v>86.2</v>
      </c>
      <c r="AX614" s="450">
        <v>85.47</v>
      </c>
      <c r="AY614" s="450">
        <v>84.77</v>
      </c>
      <c r="AZ614" s="450">
        <v>83.73</v>
      </c>
      <c r="BA614" s="450" t="s">
        <v>556</v>
      </c>
      <c r="BB614" s="450" t="s">
        <v>556</v>
      </c>
      <c r="BC614" s="450" t="s">
        <v>556</v>
      </c>
      <c r="BD614" s="450" t="s">
        <v>556</v>
      </c>
      <c r="BE614" s="450" t="s">
        <v>556</v>
      </c>
    </row>
    <row r="615" spans="2:57" x14ac:dyDescent="0.25">
      <c r="B615" s="134">
        <v>88</v>
      </c>
      <c r="C615" s="450">
        <v>87.6</v>
      </c>
      <c r="D615" s="450">
        <v>86.68</v>
      </c>
      <c r="E615" s="450">
        <v>85.77</v>
      </c>
      <c r="F615" s="450">
        <v>84.87</v>
      </c>
      <c r="G615" s="450">
        <v>83.99</v>
      </c>
      <c r="H615" s="450">
        <v>83.13</v>
      </c>
      <c r="I615" s="450">
        <v>82.29</v>
      </c>
      <c r="J615" s="450">
        <v>81.489999999999995</v>
      </c>
      <c r="K615" s="450">
        <v>80.72</v>
      </c>
      <c r="L615" s="450">
        <v>79.98</v>
      </c>
      <c r="M615" s="450">
        <v>78.92</v>
      </c>
      <c r="N615" s="450">
        <v>77.819999999999993</v>
      </c>
      <c r="O615" s="450" t="s">
        <v>556</v>
      </c>
      <c r="P615" s="450" t="s">
        <v>556</v>
      </c>
      <c r="Q615" s="450" t="s">
        <v>556</v>
      </c>
      <c r="R615" s="450" t="s">
        <v>556</v>
      </c>
      <c r="S615" s="450" t="s">
        <v>556</v>
      </c>
      <c r="T615" s="133"/>
      <c r="U615" s="134">
        <v>88</v>
      </c>
      <c r="V615" s="450">
        <v>89.48</v>
      </c>
      <c r="W615" s="450">
        <v>88.57</v>
      </c>
      <c r="X615" s="450">
        <v>87.66</v>
      </c>
      <c r="Y615" s="450">
        <v>86.77</v>
      </c>
      <c r="Z615" s="450">
        <v>85.89</v>
      </c>
      <c r="AA615" s="450">
        <v>85.04</v>
      </c>
      <c r="AB615" s="450">
        <v>84.21</v>
      </c>
      <c r="AC615" s="450">
        <v>83.42</v>
      </c>
      <c r="AD615" s="450">
        <v>82.65</v>
      </c>
      <c r="AE615" s="450">
        <v>81.92</v>
      </c>
      <c r="AF615" s="450">
        <v>80.86</v>
      </c>
      <c r="AG615" s="450">
        <v>79.75</v>
      </c>
      <c r="AH615" s="450" t="s">
        <v>556</v>
      </c>
      <c r="AI615" s="450" t="s">
        <v>556</v>
      </c>
      <c r="AJ615" s="450" t="s">
        <v>556</v>
      </c>
      <c r="AK615" s="450" t="s">
        <v>556</v>
      </c>
      <c r="AL615" s="450" t="s">
        <v>556</v>
      </c>
      <c r="AM615" s="133"/>
      <c r="AN615" s="134">
        <v>88</v>
      </c>
      <c r="AO615" s="450">
        <v>91.05</v>
      </c>
      <c r="AP615" s="450">
        <v>90.13</v>
      </c>
      <c r="AQ615" s="450">
        <v>89.21</v>
      </c>
      <c r="AR615" s="450">
        <v>88.31</v>
      </c>
      <c r="AS615" s="450">
        <v>87.42</v>
      </c>
      <c r="AT615" s="450">
        <v>86.56</v>
      </c>
      <c r="AU615" s="450">
        <v>85.72</v>
      </c>
      <c r="AV615" s="450">
        <v>84.9</v>
      </c>
      <c r="AW615" s="450">
        <v>84.12</v>
      </c>
      <c r="AX615" s="450">
        <v>83.38</v>
      </c>
      <c r="AY615" s="450">
        <v>82.29</v>
      </c>
      <c r="AZ615" s="450">
        <v>81.16</v>
      </c>
      <c r="BA615" s="450" t="s">
        <v>556</v>
      </c>
      <c r="BB615" s="450" t="s">
        <v>556</v>
      </c>
      <c r="BC615" s="450" t="s">
        <v>556</v>
      </c>
      <c r="BD615" s="450" t="s">
        <v>556</v>
      </c>
      <c r="BE615" s="450" t="s">
        <v>556</v>
      </c>
    </row>
    <row r="616" spans="2:57" x14ac:dyDescent="0.25">
      <c r="B616" s="134">
        <v>89</v>
      </c>
      <c r="C616" s="450">
        <v>85.72</v>
      </c>
      <c r="D616" s="450">
        <v>84.75</v>
      </c>
      <c r="E616" s="450">
        <v>83.79</v>
      </c>
      <c r="F616" s="450">
        <v>82.85</v>
      </c>
      <c r="G616" s="450">
        <v>81.94</v>
      </c>
      <c r="H616" s="450">
        <v>81.05</v>
      </c>
      <c r="I616" s="450">
        <v>80.2</v>
      </c>
      <c r="J616" s="450">
        <v>79.37</v>
      </c>
      <c r="K616" s="450">
        <v>78.58</v>
      </c>
      <c r="L616" s="450">
        <v>77.47</v>
      </c>
      <c r="M616" s="450">
        <v>76.319999999999993</v>
      </c>
      <c r="N616" s="450">
        <v>75.16</v>
      </c>
      <c r="O616" s="450" t="s">
        <v>556</v>
      </c>
      <c r="P616" s="450" t="s">
        <v>556</v>
      </c>
      <c r="Q616" s="450" t="s">
        <v>556</v>
      </c>
      <c r="R616" s="450" t="s">
        <v>556</v>
      </c>
      <c r="S616" s="450" t="s">
        <v>556</v>
      </c>
      <c r="T616" s="133"/>
      <c r="U616" s="134">
        <v>89</v>
      </c>
      <c r="V616" s="450">
        <v>87.62</v>
      </c>
      <c r="W616" s="450">
        <v>86.65</v>
      </c>
      <c r="X616" s="450">
        <v>85.7</v>
      </c>
      <c r="Y616" s="450">
        <v>84.77</v>
      </c>
      <c r="Z616" s="450">
        <v>83.86</v>
      </c>
      <c r="AA616" s="450">
        <v>82.98</v>
      </c>
      <c r="AB616" s="450">
        <v>82.13</v>
      </c>
      <c r="AC616" s="450">
        <v>81.319999999999993</v>
      </c>
      <c r="AD616" s="450">
        <v>80.540000000000006</v>
      </c>
      <c r="AE616" s="450">
        <v>79.42</v>
      </c>
      <c r="AF616" s="450">
        <v>78.27</v>
      </c>
      <c r="AG616" s="450">
        <v>77.099999999999994</v>
      </c>
      <c r="AH616" s="450" t="s">
        <v>556</v>
      </c>
      <c r="AI616" s="450" t="s">
        <v>556</v>
      </c>
      <c r="AJ616" s="450" t="s">
        <v>556</v>
      </c>
      <c r="AK616" s="450" t="s">
        <v>556</v>
      </c>
      <c r="AL616" s="450" t="s">
        <v>556</v>
      </c>
      <c r="AM616" s="133"/>
      <c r="AN616" s="134">
        <v>89</v>
      </c>
      <c r="AO616" s="450">
        <v>89.16</v>
      </c>
      <c r="AP616" s="450">
        <v>88.19</v>
      </c>
      <c r="AQ616" s="450">
        <v>87.23</v>
      </c>
      <c r="AR616" s="450">
        <v>86.28</v>
      </c>
      <c r="AS616" s="450">
        <v>85.36</v>
      </c>
      <c r="AT616" s="450">
        <v>84.47</v>
      </c>
      <c r="AU616" s="450">
        <v>83.61</v>
      </c>
      <c r="AV616" s="450">
        <v>82.78</v>
      </c>
      <c r="AW616" s="450">
        <v>81.98</v>
      </c>
      <c r="AX616" s="450">
        <v>80.849999999999994</v>
      </c>
      <c r="AY616" s="450">
        <v>79.67</v>
      </c>
      <c r="AZ616" s="450">
        <v>78.47</v>
      </c>
      <c r="BA616" s="450" t="s">
        <v>556</v>
      </c>
      <c r="BB616" s="450" t="s">
        <v>556</v>
      </c>
      <c r="BC616" s="450" t="s">
        <v>556</v>
      </c>
      <c r="BD616" s="450" t="s">
        <v>556</v>
      </c>
      <c r="BE616" s="450" t="s">
        <v>556</v>
      </c>
    </row>
    <row r="617" spans="2:57" x14ac:dyDescent="0.25">
      <c r="B617" s="134">
        <v>90</v>
      </c>
      <c r="C617" s="450">
        <v>83.74</v>
      </c>
      <c r="D617" s="450">
        <v>82.72</v>
      </c>
      <c r="E617" s="450">
        <v>81.73</v>
      </c>
      <c r="F617" s="450">
        <v>80.760000000000005</v>
      </c>
      <c r="G617" s="450">
        <v>79.819999999999993</v>
      </c>
      <c r="H617" s="450">
        <v>78.91</v>
      </c>
      <c r="I617" s="450">
        <v>78.03</v>
      </c>
      <c r="J617" s="450">
        <v>77.2</v>
      </c>
      <c r="K617" s="450">
        <v>76.040000000000006</v>
      </c>
      <c r="L617" s="450">
        <v>74.84</v>
      </c>
      <c r="M617" s="450">
        <v>73.62</v>
      </c>
      <c r="N617" s="450" t="s">
        <v>556</v>
      </c>
      <c r="O617" s="450" t="s">
        <v>556</v>
      </c>
      <c r="P617" s="450" t="s">
        <v>556</v>
      </c>
      <c r="Q617" s="450" t="s">
        <v>556</v>
      </c>
      <c r="R617" s="450" t="s">
        <v>556</v>
      </c>
      <c r="S617" s="450" t="s">
        <v>556</v>
      </c>
      <c r="T617" s="133"/>
      <c r="U617" s="134">
        <v>90</v>
      </c>
      <c r="V617" s="450">
        <v>85.65</v>
      </c>
      <c r="W617" s="450">
        <v>84.64</v>
      </c>
      <c r="X617" s="450">
        <v>83.65</v>
      </c>
      <c r="Y617" s="450">
        <v>82.69</v>
      </c>
      <c r="Z617" s="450">
        <v>81.760000000000005</v>
      </c>
      <c r="AA617" s="450">
        <v>80.849999999999994</v>
      </c>
      <c r="AB617" s="450">
        <v>79.989999999999995</v>
      </c>
      <c r="AC617" s="450">
        <v>79.16</v>
      </c>
      <c r="AD617" s="450">
        <v>78</v>
      </c>
      <c r="AE617" s="450">
        <v>76.8</v>
      </c>
      <c r="AF617" s="450">
        <v>75.58</v>
      </c>
      <c r="AG617" s="450" t="s">
        <v>556</v>
      </c>
      <c r="AH617" s="450" t="s">
        <v>556</v>
      </c>
      <c r="AI617" s="450" t="s">
        <v>556</v>
      </c>
      <c r="AJ617" s="450" t="s">
        <v>556</v>
      </c>
      <c r="AK617" s="450" t="s">
        <v>556</v>
      </c>
      <c r="AL617" s="450" t="s">
        <v>556</v>
      </c>
      <c r="AM617" s="133"/>
      <c r="AN617" s="134">
        <v>90</v>
      </c>
      <c r="AO617" s="450">
        <v>87.17</v>
      </c>
      <c r="AP617" s="450">
        <v>86.15</v>
      </c>
      <c r="AQ617" s="450">
        <v>85.15</v>
      </c>
      <c r="AR617" s="450">
        <v>84.18</v>
      </c>
      <c r="AS617" s="450">
        <v>83.23</v>
      </c>
      <c r="AT617" s="450">
        <v>82.32</v>
      </c>
      <c r="AU617" s="450">
        <v>81.44</v>
      </c>
      <c r="AV617" s="450">
        <v>80.59</v>
      </c>
      <c r="AW617" s="450">
        <v>79.41</v>
      </c>
      <c r="AX617" s="450">
        <v>78.180000000000007</v>
      </c>
      <c r="AY617" s="450">
        <v>76.94</v>
      </c>
      <c r="AZ617" s="450" t="s">
        <v>556</v>
      </c>
      <c r="BA617" s="450" t="s">
        <v>556</v>
      </c>
      <c r="BB617" s="450" t="s">
        <v>556</v>
      </c>
      <c r="BC617" s="450" t="s">
        <v>556</v>
      </c>
      <c r="BD617" s="450" t="s">
        <v>556</v>
      </c>
      <c r="BE617" s="450" t="s">
        <v>556</v>
      </c>
    </row>
    <row r="618" spans="2:57" x14ac:dyDescent="0.25">
      <c r="B618" s="134">
        <v>91</v>
      </c>
      <c r="C618" s="450">
        <v>81.67</v>
      </c>
      <c r="D618" s="450">
        <v>80.62</v>
      </c>
      <c r="E618" s="450">
        <v>79.59</v>
      </c>
      <c r="F618" s="450">
        <v>78.599999999999994</v>
      </c>
      <c r="G618" s="450">
        <v>77.64</v>
      </c>
      <c r="H618" s="450">
        <v>76.709999999999994</v>
      </c>
      <c r="I618" s="450">
        <v>75.819999999999993</v>
      </c>
      <c r="J618" s="450">
        <v>74.61</v>
      </c>
      <c r="K618" s="450">
        <v>73.37</v>
      </c>
      <c r="L618" s="450">
        <v>72.099999999999994</v>
      </c>
      <c r="M618" s="450" t="s">
        <v>556</v>
      </c>
      <c r="N618" s="450" t="s">
        <v>556</v>
      </c>
      <c r="O618" s="450" t="s">
        <v>556</v>
      </c>
      <c r="P618" s="450" t="s">
        <v>556</v>
      </c>
      <c r="Q618" s="450" t="s">
        <v>556</v>
      </c>
      <c r="R618" s="450" t="s">
        <v>556</v>
      </c>
      <c r="S618" s="450" t="s">
        <v>556</v>
      </c>
      <c r="T618" s="133"/>
      <c r="U618" s="134">
        <v>91</v>
      </c>
      <c r="V618" s="450">
        <v>83.6</v>
      </c>
      <c r="W618" s="450">
        <v>82.55</v>
      </c>
      <c r="X618" s="450">
        <v>81.53</v>
      </c>
      <c r="Y618" s="450">
        <v>80.55</v>
      </c>
      <c r="Z618" s="450">
        <v>79.59</v>
      </c>
      <c r="AA618" s="450">
        <v>78.67</v>
      </c>
      <c r="AB618" s="450">
        <v>77.790000000000006</v>
      </c>
      <c r="AC618" s="450">
        <v>76.58</v>
      </c>
      <c r="AD618" s="450">
        <v>75.34</v>
      </c>
      <c r="AE618" s="450">
        <v>74.069999999999993</v>
      </c>
      <c r="AF618" s="450" t="s">
        <v>556</v>
      </c>
      <c r="AG618" s="450" t="s">
        <v>556</v>
      </c>
      <c r="AH618" s="450" t="s">
        <v>556</v>
      </c>
      <c r="AI618" s="450" t="s">
        <v>556</v>
      </c>
      <c r="AJ618" s="450" t="s">
        <v>556</v>
      </c>
      <c r="AK618" s="450" t="s">
        <v>556</v>
      </c>
      <c r="AL618" s="450" t="s">
        <v>556</v>
      </c>
      <c r="AM618" s="133"/>
      <c r="AN618" s="134">
        <v>91</v>
      </c>
      <c r="AO618" s="450">
        <v>85.09</v>
      </c>
      <c r="AP618" s="450">
        <v>84.04</v>
      </c>
      <c r="AQ618" s="450">
        <v>83.01</v>
      </c>
      <c r="AR618" s="450">
        <v>82.01</v>
      </c>
      <c r="AS618" s="450">
        <v>81.040000000000006</v>
      </c>
      <c r="AT618" s="450">
        <v>80.11</v>
      </c>
      <c r="AU618" s="450">
        <v>79.22</v>
      </c>
      <c r="AV618" s="450">
        <v>77.98</v>
      </c>
      <c r="AW618" s="450">
        <v>76.709999999999994</v>
      </c>
      <c r="AX618" s="450">
        <v>75.42</v>
      </c>
      <c r="AY618" s="450" t="s">
        <v>556</v>
      </c>
      <c r="AZ618" s="450" t="s">
        <v>556</v>
      </c>
      <c r="BA618" s="450" t="s">
        <v>556</v>
      </c>
      <c r="BB618" s="450" t="s">
        <v>556</v>
      </c>
      <c r="BC618" s="450" t="s">
        <v>556</v>
      </c>
      <c r="BD618" s="450" t="s">
        <v>556</v>
      </c>
      <c r="BE618" s="450" t="s">
        <v>556</v>
      </c>
    </row>
    <row r="619" spans="2:57" x14ac:dyDescent="0.25">
      <c r="B619" s="134">
        <v>92</v>
      </c>
      <c r="C619" s="450">
        <v>79.53</v>
      </c>
      <c r="D619" s="450">
        <v>78.45</v>
      </c>
      <c r="E619" s="450">
        <v>77.400000000000006</v>
      </c>
      <c r="F619" s="450">
        <v>76.39</v>
      </c>
      <c r="G619" s="450">
        <v>75.41</v>
      </c>
      <c r="H619" s="450">
        <v>74.47</v>
      </c>
      <c r="I619" s="450">
        <v>73.209999999999994</v>
      </c>
      <c r="J619" s="450">
        <v>71.92</v>
      </c>
      <c r="K619" s="450">
        <v>70.599999999999994</v>
      </c>
      <c r="L619" s="450" t="s">
        <v>556</v>
      </c>
      <c r="M619" s="450" t="s">
        <v>556</v>
      </c>
      <c r="N619" s="450" t="s">
        <v>556</v>
      </c>
      <c r="O619" s="450" t="s">
        <v>556</v>
      </c>
      <c r="P619" s="450" t="s">
        <v>556</v>
      </c>
      <c r="Q619" s="450" t="s">
        <v>556</v>
      </c>
      <c r="R619" s="450" t="s">
        <v>556</v>
      </c>
      <c r="S619" s="450" t="s">
        <v>556</v>
      </c>
      <c r="T619" s="133"/>
      <c r="U619" s="134">
        <v>92</v>
      </c>
      <c r="V619" s="450">
        <v>81.47</v>
      </c>
      <c r="W619" s="450">
        <v>80.400000000000006</v>
      </c>
      <c r="X619" s="450">
        <v>79.36</v>
      </c>
      <c r="Y619" s="450">
        <v>78.349999999999994</v>
      </c>
      <c r="Z619" s="450">
        <v>77.38</v>
      </c>
      <c r="AA619" s="450">
        <v>76.45</v>
      </c>
      <c r="AB619" s="450">
        <v>75.19</v>
      </c>
      <c r="AC619" s="450">
        <v>73.900000000000006</v>
      </c>
      <c r="AD619" s="450">
        <v>72.58</v>
      </c>
      <c r="AE619" s="450" t="s">
        <v>556</v>
      </c>
      <c r="AF619" s="450" t="s">
        <v>556</v>
      </c>
      <c r="AG619" s="450" t="s">
        <v>556</v>
      </c>
      <c r="AH619" s="450" t="s">
        <v>556</v>
      </c>
      <c r="AI619" s="450" t="s">
        <v>556</v>
      </c>
      <c r="AJ619" s="450" t="s">
        <v>556</v>
      </c>
      <c r="AK619" s="450" t="s">
        <v>556</v>
      </c>
      <c r="AL619" s="450" t="s">
        <v>556</v>
      </c>
      <c r="AM619" s="133"/>
      <c r="AN619" s="134">
        <v>92</v>
      </c>
      <c r="AO619" s="450">
        <v>82.94</v>
      </c>
      <c r="AP619" s="450">
        <v>81.86</v>
      </c>
      <c r="AQ619" s="450">
        <v>80.8</v>
      </c>
      <c r="AR619" s="450">
        <v>79.790000000000006</v>
      </c>
      <c r="AS619" s="450">
        <v>78.8</v>
      </c>
      <c r="AT619" s="450">
        <v>77.86</v>
      </c>
      <c r="AU619" s="450">
        <v>76.58</v>
      </c>
      <c r="AV619" s="450">
        <v>75.260000000000005</v>
      </c>
      <c r="AW619" s="450">
        <v>73.92</v>
      </c>
      <c r="AX619" s="450" t="s">
        <v>556</v>
      </c>
      <c r="AY619" s="450" t="s">
        <v>556</v>
      </c>
      <c r="AZ619" s="450" t="s">
        <v>556</v>
      </c>
      <c r="BA619" s="450" t="s">
        <v>556</v>
      </c>
      <c r="BB619" s="450" t="s">
        <v>556</v>
      </c>
      <c r="BC619" s="450" t="s">
        <v>556</v>
      </c>
      <c r="BD619" s="450" t="s">
        <v>556</v>
      </c>
      <c r="BE619" s="450" t="s">
        <v>556</v>
      </c>
    </row>
    <row r="620" spans="2:57" x14ac:dyDescent="0.25">
      <c r="B620" s="134">
        <v>93</v>
      </c>
      <c r="C620" s="450">
        <v>77.33</v>
      </c>
      <c r="D620" s="450">
        <v>76.23</v>
      </c>
      <c r="E620" s="450">
        <v>75.16</v>
      </c>
      <c r="F620" s="450">
        <v>74.13</v>
      </c>
      <c r="G620" s="450">
        <v>73.14</v>
      </c>
      <c r="H620" s="450">
        <v>71.84</v>
      </c>
      <c r="I620" s="450">
        <v>70.5</v>
      </c>
      <c r="J620" s="450">
        <v>69.13</v>
      </c>
      <c r="K620" s="450" t="s">
        <v>556</v>
      </c>
      <c r="L620" s="450" t="s">
        <v>556</v>
      </c>
      <c r="M620" s="450" t="s">
        <v>556</v>
      </c>
      <c r="N620" s="450" t="s">
        <v>556</v>
      </c>
      <c r="O620" s="450" t="s">
        <v>556</v>
      </c>
      <c r="P620" s="450" t="s">
        <v>556</v>
      </c>
      <c r="Q620" s="450" t="s">
        <v>556</v>
      </c>
      <c r="R620" s="450" t="s">
        <v>556</v>
      </c>
      <c r="S620" s="450" t="s">
        <v>556</v>
      </c>
      <c r="T620" s="133"/>
      <c r="U620" s="134">
        <v>93</v>
      </c>
      <c r="V620" s="450">
        <v>79.290000000000006</v>
      </c>
      <c r="W620" s="450">
        <v>78.19</v>
      </c>
      <c r="X620" s="450">
        <v>77.13</v>
      </c>
      <c r="Y620" s="450">
        <v>76.11</v>
      </c>
      <c r="Z620" s="450">
        <v>75.13</v>
      </c>
      <c r="AA620" s="450">
        <v>73.83</v>
      </c>
      <c r="AB620" s="450">
        <v>72.489999999999995</v>
      </c>
      <c r="AC620" s="450">
        <v>71.12</v>
      </c>
      <c r="AD620" s="450" t="s">
        <v>556</v>
      </c>
      <c r="AE620" s="450" t="s">
        <v>556</v>
      </c>
      <c r="AF620" s="450" t="s">
        <v>556</v>
      </c>
      <c r="AG620" s="450" t="s">
        <v>556</v>
      </c>
      <c r="AH620" s="450" t="s">
        <v>556</v>
      </c>
      <c r="AI620" s="450" t="s">
        <v>556</v>
      </c>
      <c r="AJ620" s="450" t="s">
        <v>556</v>
      </c>
      <c r="AK620" s="450" t="s">
        <v>556</v>
      </c>
      <c r="AL620" s="450" t="s">
        <v>556</v>
      </c>
      <c r="AM620" s="133"/>
      <c r="AN620" s="134">
        <v>93</v>
      </c>
      <c r="AO620" s="450">
        <v>80.73</v>
      </c>
      <c r="AP620" s="450">
        <v>79.63</v>
      </c>
      <c r="AQ620" s="450">
        <v>78.56</v>
      </c>
      <c r="AR620" s="450">
        <v>77.52</v>
      </c>
      <c r="AS620" s="450">
        <v>76.53</v>
      </c>
      <c r="AT620" s="450">
        <v>75.209999999999994</v>
      </c>
      <c r="AU620" s="450">
        <v>73.84</v>
      </c>
      <c r="AV620" s="450">
        <v>72.45</v>
      </c>
      <c r="AW620" s="450" t="s">
        <v>556</v>
      </c>
      <c r="AX620" s="450" t="s">
        <v>556</v>
      </c>
      <c r="AY620" s="450" t="s">
        <v>556</v>
      </c>
      <c r="AZ620" s="450" t="s">
        <v>556</v>
      </c>
      <c r="BA620" s="450" t="s">
        <v>556</v>
      </c>
      <c r="BB620" s="450" t="s">
        <v>556</v>
      </c>
      <c r="BC620" s="450" t="s">
        <v>556</v>
      </c>
      <c r="BD620" s="450" t="s">
        <v>556</v>
      </c>
      <c r="BE620" s="450" t="s">
        <v>556</v>
      </c>
    </row>
    <row r="621" spans="2:57" x14ac:dyDescent="0.25">
      <c r="B621" s="134">
        <v>94</v>
      </c>
      <c r="C621" s="450">
        <v>75.09</v>
      </c>
      <c r="D621" s="450">
        <v>73.97</v>
      </c>
      <c r="E621" s="450">
        <v>72.89</v>
      </c>
      <c r="F621" s="450">
        <v>71.849999999999994</v>
      </c>
      <c r="G621" s="450">
        <v>70.5</v>
      </c>
      <c r="H621" s="450">
        <v>69.11</v>
      </c>
      <c r="I621" s="450">
        <v>67.69</v>
      </c>
      <c r="J621" s="450" t="s">
        <v>556</v>
      </c>
      <c r="K621" s="450" t="s">
        <v>556</v>
      </c>
      <c r="L621" s="450" t="s">
        <v>556</v>
      </c>
      <c r="M621" s="450" t="s">
        <v>556</v>
      </c>
      <c r="N621" s="450" t="s">
        <v>556</v>
      </c>
      <c r="O621" s="450" t="s">
        <v>556</v>
      </c>
      <c r="P621" s="450" t="s">
        <v>556</v>
      </c>
      <c r="Q621" s="450" t="s">
        <v>556</v>
      </c>
      <c r="R621" s="450" t="s">
        <v>556</v>
      </c>
      <c r="S621" s="450" t="s">
        <v>556</v>
      </c>
      <c r="T621" s="133"/>
      <c r="U621" s="134">
        <v>94</v>
      </c>
      <c r="V621" s="450">
        <v>77.069999999999993</v>
      </c>
      <c r="W621" s="450">
        <v>75.95</v>
      </c>
      <c r="X621" s="450">
        <v>74.88</v>
      </c>
      <c r="Y621" s="450">
        <v>73.849999999999994</v>
      </c>
      <c r="Z621" s="450">
        <v>72.5</v>
      </c>
      <c r="AA621" s="450">
        <v>71.099999999999994</v>
      </c>
      <c r="AB621" s="450">
        <v>69.69</v>
      </c>
      <c r="AC621" s="450" t="s">
        <v>556</v>
      </c>
      <c r="AD621" s="450" t="s">
        <v>556</v>
      </c>
      <c r="AE621" s="450" t="s">
        <v>556</v>
      </c>
      <c r="AF621" s="450" t="s">
        <v>556</v>
      </c>
      <c r="AG621" s="450" t="s">
        <v>556</v>
      </c>
      <c r="AH621" s="450" t="s">
        <v>556</v>
      </c>
      <c r="AI621" s="450" t="s">
        <v>556</v>
      </c>
      <c r="AJ621" s="450" t="s">
        <v>556</v>
      </c>
      <c r="AK621" s="450" t="s">
        <v>556</v>
      </c>
      <c r="AL621" s="450" t="s">
        <v>556</v>
      </c>
      <c r="AM621" s="133"/>
      <c r="AN621" s="134">
        <v>94</v>
      </c>
      <c r="AO621" s="450">
        <v>78.48</v>
      </c>
      <c r="AP621" s="450">
        <v>77.36</v>
      </c>
      <c r="AQ621" s="450">
        <v>76.27</v>
      </c>
      <c r="AR621" s="450">
        <v>75.23</v>
      </c>
      <c r="AS621" s="450">
        <v>73.86</v>
      </c>
      <c r="AT621" s="450">
        <v>72.45</v>
      </c>
      <c r="AU621" s="450">
        <v>71.010000000000005</v>
      </c>
      <c r="AV621" s="450" t="s">
        <v>556</v>
      </c>
      <c r="AW621" s="450" t="s">
        <v>556</v>
      </c>
      <c r="AX621" s="450" t="s">
        <v>556</v>
      </c>
      <c r="AY621" s="450" t="s">
        <v>556</v>
      </c>
      <c r="AZ621" s="450" t="s">
        <v>556</v>
      </c>
      <c r="BA621" s="450" t="s">
        <v>556</v>
      </c>
      <c r="BB621" s="450" t="s">
        <v>556</v>
      </c>
      <c r="BC621" s="450" t="s">
        <v>556</v>
      </c>
      <c r="BD621" s="450" t="s">
        <v>556</v>
      </c>
      <c r="BE621" s="450" t="s">
        <v>556</v>
      </c>
    </row>
    <row r="622" spans="2:57" x14ac:dyDescent="0.25">
      <c r="B622" s="134">
        <v>95</v>
      </c>
      <c r="C622" s="450">
        <v>72.81</v>
      </c>
      <c r="D622" s="450">
        <v>71.680000000000007</v>
      </c>
      <c r="E622" s="450">
        <v>70.59</v>
      </c>
      <c r="F622" s="450">
        <v>69.19</v>
      </c>
      <c r="G622" s="450">
        <v>67.75</v>
      </c>
      <c r="H622" s="450">
        <v>66.290000000000006</v>
      </c>
      <c r="I622" s="450" t="s">
        <v>556</v>
      </c>
      <c r="J622" s="450" t="s">
        <v>556</v>
      </c>
      <c r="K622" s="450" t="s">
        <v>556</v>
      </c>
      <c r="L622" s="450" t="s">
        <v>556</v>
      </c>
      <c r="M622" s="450" t="s">
        <v>556</v>
      </c>
      <c r="N622" s="450" t="s">
        <v>556</v>
      </c>
      <c r="O622" s="450" t="s">
        <v>556</v>
      </c>
      <c r="P622" s="450" t="s">
        <v>556</v>
      </c>
      <c r="Q622" s="450" t="s">
        <v>556</v>
      </c>
      <c r="R622" s="450" t="s">
        <v>556</v>
      </c>
      <c r="S622" s="450" t="s">
        <v>556</v>
      </c>
      <c r="T622" s="133"/>
      <c r="U622" s="134">
        <v>95</v>
      </c>
      <c r="V622" s="450">
        <v>74.81</v>
      </c>
      <c r="W622" s="450">
        <v>73.680000000000007</v>
      </c>
      <c r="X622" s="450">
        <v>72.599999999999994</v>
      </c>
      <c r="Y622" s="450">
        <v>71.2</v>
      </c>
      <c r="Z622" s="450">
        <v>69.760000000000005</v>
      </c>
      <c r="AA622" s="450">
        <v>68.3</v>
      </c>
      <c r="AB622" s="450" t="s">
        <v>556</v>
      </c>
      <c r="AC622" s="450" t="s">
        <v>556</v>
      </c>
      <c r="AD622" s="450" t="s">
        <v>556</v>
      </c>
      <c r="AE622" s="450" t="s">
        <v>556</v>
      </c>
      <c r="AF622" s="450" t="s">
        <v>556</v>
      </c>
      <c r="AG622" s="450" t="s">
        <v>556</v>
      </c>
      <c r="AH622" s="450" t="s">
        <v>556</v>
      </c>
      <c r="AI622" s="450" t="s">
        <v>556</v>
      </c>
      <c r="AJ622" s="450" t="s">
        <v>556</v>
      </c>
      <c r="AK622" s="450" t="s">
        <v>556</v>
      </c>
      <c r="AL622" s="450" t="s">
        <v>556</v>
      </c>
      <c r="AM622" s="133"/>
      <c r="AN622" s="134">
        <v>95</v>
      </c>
      <c r="AO622" s="450">
        <v>76.19</v>
      </c>
      <c r="AP622" s="450">
        <v>75.06</v>
      </c>
      <c r="AQ622" s="450">
        <v>73.97</v>
      </c>
      <c r="AR622" s="450">
        <v>72.55</v>
      </c>
      <c r="AS622" s="450">
        <v>71.09</v>
      </c>
      <c r="AT622" s="450">
        <v>69.599999999999994</v>
      </c>
      <c r="AU622" s="450" t="s">
        <v>556</v>
      </c>
      <c r="AV622" s="450" t="s">
        <v>556</v>
      </c>
      <c r="AW622" s="450" t="s">
        <v>556</v>
      </c>
      <c r="AX622" s="450" t="s">
        <v>556</v>
      </c>
      <c r="AY622" s="450" t="s">
        <v>556</v>
      </c>
      <c r="AZ622" s="450" t="s">
        <v>556</v>
      </c>
      <c r="BA622" s="450" t="s">
        <v>556</v>
      </c>
      <c r="BB622" s="450" t="s">
        <v>556</v>
      </c>
      <c r="BC622" s="450" t="s">
        <v>556</v>
      </c>
      <c r="BD622" s="450" t="s">
        <v>556</v>
      </c>
      <c r="BE622" s="450" t="s">
        <v>556</v>
      </c>
    </row>
    <row r="623" spans="2:57" x14ac:dyDescent="0.25">
      <c r="B623" s="134">
        <v>96</v>
      </c>
      <c r="C623" s="450">
        <v>70.510000000000005</v>
      </c>
      <c r="D623" s="450">
        <v>69.36</v>
      </c>
      <c r="E623" s="450">
        <v>67.92</v>
      </c>
      <c r="F623" s="450">
        <v>66.430000000000007</v>
      </c>
      <c r="G623" s="450">
        <v>64.92</v>
      </c>
      <c r="H623" s="450" t="s">
        <v>556</v>
      </c>
      <c r="I623" s="450" t="s">
        <v>556</v>
      </c>
      <c r="J623" s="450" t="s">
        <v>556</v>
      </c>
      <c r="K623" s="450" t="s">
        <v>556</v>
      </c>
      <c r="L623" s="450" t="s">
        <v>556</v>
      </c>
      <c r="M623" s="450" t="s">
        <v>556</v>
      </c>
      <c r="N623" s="450" t="s">
        <v>556</v>
      </c>
      <c r="O623" s="450" t="s">
        <v>556</v>
      </c>
      <c r="P623" s="450" t="s">
        <v>556</v>
      </c>
      <c r="Q623" s="450" t="s">
        <v>556</v>
      </c>
      <c r="R623" s="450" t="s">
        <v>556</v>
      </c>
      <c r="S623" s="450" t="s">
        <v>556</v>
      </c>
      <c r="T623" s="133"/>
      <c r="U623" s="134">
        <v>96</v>
      </c>
      <c r="V623" s="450">
        <v>72.52</v>
      </c>
      <c r="W623" s="450">
        <v>71.38</v>
      </c>
      <c r="X623" s="450">
        <v>69.94</v>
      </c>
      <c r="Y623" s="450">
        <v>68.45</v>
      </c>
      <c r="Z623" s="450">
        <v>66.94</v>
      </c>
      <c r="AA623" s="450" t="s">
        <v>556</v>
      </c>
      <c r="AB623" s="450" t="s">
        <v>556</v>
      </c>
      <c r="AC623" s="450" t="s">
        <v>556</v>
      </c>
      <c r="AD623" s="450" t="s">
        <v>556</v>
      </c>
      <c r="AE623" s="450" t="s">
        <v>556</v>
      </c>
      <c r="AF623" s="450" t="s">
        <v>556</v>
      </c>
      <c r="AG623" s="450" t="s">
        <v>556</v>
      </c>
      <c r="AH623" s="450" t="s">
        <v>556</v>
      </c>
      <c r="AI623" s="450" t="s">
        <v>556</v>
      </c>
      <c r="AJ623" s="450" t="s">
        <v>556</v>
      </c>
      <c r="AK623" s="450" t="s">
        <v>556</v>
      </c>
      <c r="AL623" s="450" t="s">
        <v>556</v>
      </c>
      <c r="AM623" s="133"/>
      <c r="AN623" s="134">
        <v>96</v>
      </c>
      <c r="AO623" s="450">
        <v>73.88</v>
      </c>
      <c r="AP623" s="450">
        <v>72.739999999999995</v>
      </c>
      <c r="AQ623" s="450">
        <v>71.27</v>
      </c>
      <c r="AR623" s="450">
        <v>69.77</v>
      </c>
      <c r="AS623" s="450">
        <v>68.239999999999995</v>
      </c>
      <c r="AT623" s="450" t="s">
        <v>556</v>
      </c>
      <c r="AU623" s="450" t="s">
        <v>556</v>
      </c>
      <c r="AV623" s="450" t="s">
        <v>556</v>
      </c>
      <c r="AW623" s="450" t="s">
        <v>556</v>
      </c>
      <c r="AX623" s="450" t="s">
        <v>556</v>
      </c>
      <c r="AY623" s="450" t="s">
        <v>556</v>
      </c>
      <c r="AZ623" s="450" t="s">
        <v>556</v>
      </c>
      <c r="BA623" s="450" t="s">
        <v>556</v>
      </c>
      <c r="BB623" s="450" t="s">
        <v>556</v>
      </c>
      <c r="BC623" s="450" t="s">
        <v>556</v>
      </c>
      <c r="BD623" s="450" t="s">
        <v>556</v>
      </c>
      <c r="BE623" s="450" t="s">
        <v>556</v>
      </c>
    </row>
    <row r="624" spans="2:57" x14ac:dyDescent="0.25">
      <c r="B624" s="134">
        <v>97</v>
      </c>
      <c r="C624" s="450">
        <v>68.180000000000007</v>
      </c>
      <c r="D624" s="450">
        <v>66.680000000000007</v>
      </c>
      <c r="E624" s="450">
        <v>65.150000000000006</v>
      </c>
      <c r="F624" s="450">
        <v>63.59</v>
      </c>
      <c r="G624" s="450" t="s">
        <v>556</v>
      </c>
      <c r="H624" s="450" t="s">
        <v>556</v>
      </c>
      <c r="I624" s="450" t="s">
        <v>556</v>
      </c>
      <c r="J624" s="450" t="s">
        <v>556</v>
      </c>
      <c r="K624" s="450" t="s">
        <v>556</v>
      </c>
      <c r="L624" s="450" t="s">
        <v>556</v>
      </c>
      <c r="M624" s="450" t="s">
        <v>556</v>
      </c>
      <c r="N624" s="450" t="s">
        <v>556</v>
      </c>
      <c r="O624" s="450" t="s">
        <v>556</v>
      </c>
      <c r="P624" s="450" t="s">
        <v>556</v>
      </c>
      <c r="Q624" s="450" t="s">
        <v>556</v>
      </c>
      <c r="R624" s="450" t="s">
        <v>556</v>
      </c>
      <c r="S624" s="450" t="s">
        <v>556</v>
      </c>
      <c r="T624" s="133"/>
      <c r="U624" s="134">
        <v>97</v>
      </c>
      <c r="V624" s="450">
        <v>70.209999999999994</v>
      </c>
      <c r="W624" s="450">
        <v>68.72</v>
      </c>
      <c r="X624" s="450">
        <v>67.19</v>
      </c>
      <c r="Y624" s="450">
        <v>65.63</v>
      </c>
      <c r="Z624" s="450" t="s">
        <v>556</v>
      </c>
      <c r="AA624" s="450" t="s">
        <v>556</v>
      </c>
      <c r="AB624" s="450" t="s">
        <v>556</v>
      </c>
      <c r="AC624" s="450" t="s">
        <v>556</v>
      </c>
      <c r="AD624" s="450" t="s">
        <v>556</v>
      </c>
      <c r="AE624" s="450" t="s">
        <v>556</v>
      </c>
      <c r="AF624" s="450" t="s">
        <v>556</v>
      </c>
      <c r="AG624" s="450" t="s">
        <v>556</v>
      </c>
      <c r="AH624" s="450" t="s">
        <v>556</v>
      </c>
      <c r="AI624" s="450" t="s">
        <v>556</v>
      </c>
      <c r="AJ624" s="450" t="s">
        <v>556</v>
      </c>
      <c r="AK624" s="450" t="s">
        <v>556</v>
      </c>
      <c r="AL624" s="450" t="s">
        <v>556</v>
      </c>
      <c r="AM624" s="133"/>
      <c r="AN624" s="134">
        <v>97</v>
      </c>
      <c r="AO624" s="450">
        <v>71.55</v>
      </c>
      <c r="AP624" s="450">
        <v>70.040000000000006</v>
      </c>
      <c r="AQ624" s="450">
        <v>68.489999999999995</v>
      </c>
      <c r="AR624" s="450">
        <v>66.91</v>
      </c>
      <c r="AS624" s="450" t="s">
        <v>556</v>
      </c>
      <c r="AT624" s="450" t="s">
        <v>556</v>
      </c>
      <c r="AU624" s="450" t="s">
        <v>556</v>
      </c>
      <c r="AV624" s="450" t="s">
        <v>556</v>
      </c>
      <c r="AW624" s="450" t="s">
        <v>556</v>
      </c>
      <c r="AX624" s="450" t="s">
        <v>556</v>
      </c>
      <c r="AY624" s="450" t="s">
        <v>556</v>
      </c>
      <c r="AZ624" s="450" t="s">
        <v>556</v>
      </c>
      <c r="BA624" s="450" t="s">
        <v>556</v>
      </c>
      <c r="BB624" s="450" t="s">
        <v>556</v>
      </c>
      <c r="BC624" s="450" t="s">
        <v>556</v>
      </c>
      <c r="BD624" s="450" t="s">
        <v>556</v>
      </c>
      <c r="BE624" s="450" t="s">
        <v>556</v>
      </c>
    </row>
    <row r="625" spans="2:57" x14ac:dyDescent="0.25">
      <c r="B625" s="134">
        <v>98</v>
      </c>
      <c r="C625" s="450">
        <v>65.09</v>
      </c>
      <c r="D625" s="450">
        <v>63.53</v>
      </c>
      <c r="E625" s="450">
        <v>61.94</v>
      </c>
      <c r="F625" s="450" t="s">
        <v>556</v>
      </c>
      <c r="G625" s="450" t="s">
        <v>556</v>
      </c>
      <c r="H625" s="450" t="s">
        <v>556</v>
      </c>
      <c r="I625" s="450" t="s">
        <v>556</v>
      </c>
      <c r="J625" s="450" t="s">
        <v>556</v>
      </c>
      <c r="K625" s="450" t="s">
        <v>556</v>
      </c>
      <c r="L625" s="450" t="s">
        <v>556</v>
      </c>
      <c r="M625" s="450" t="s">
        <v>556</v>
      </c>
      <c r="N625" s="450" t="s">
        <v>556</v>
      </c>
      <c r="O625" s="450" t="s">
        <v>556</v>
      </c>
      <c r="P625" s="450" t="s">
        <v>556</v>
      </c>
      <c r="Q625" s="450" t="s">
        <v>556</v>
      </c>
      <c r="R625" s="450" t="s">
        <v>556</v>
      </c>
      <c r="S625" s="450" t="s">
        <v>556</v>
      </c>
      <c r="T625" s="133"/>
      <c r="U625" s="134">
        <v>98</v>
      </c>
      <c r="V625" s="450">
        <v>67.13</v>
      </c>
      <c r="W625" s="450">
        <v>65.569999999999993</v>
      </c>
      <c r="X625" s="450">
        <v>63.98</v>
      </c>
      <c r="Y625" s="450" t="s">
        <v>556</v>
      </c>
      <c r="Z625" s="450" t="s">
        <v>556</v>
      </c>
      <c r="AA625" s="450" t="s">
        <v>556</v>
      </c>
      <c r="AB625" s="450" t="s">
        <v>556</v>
      </c>
      <c r="AC625" s="450" t="s">
        <v>556</v>
      </c>
      <c r="AD625" s="450" t="s">
        <v>556</v>
      </c>
      <c r="AE625" s="450" t="s">
        <v>556</v>
      </c>
      <c r="AF625" s="450" t="s">
        <v>556</v>
      </c>
      <c r="AG625" s="450" t="s">
        <v>556</v>
      </c>
      <c r="AH625" s="450" t="s">
        <v>556</v>
      </c>
      <c r="AI625" s="450" t="s">
        <v>556</v>
      </c>
      <c r="AJ625" s="450" t="s">
        <v>556</v>
      </c>
      <c r="AK625" s="450" t="s">
        <v>556</v>
      </c>
      <c r="AL625" s="450" t="s">
        <v>556</v>
      </c>
      <c r="AM625" s="133"/>
      <c r="AN625" s="134">
        <v>98</v>
      </c>
      <c r="AO625" s="450">
        <v>68.42</v>
      </c>
      <c r="AP625" s="450">
        <v>66.849999999999994</v>
      </c>
      <c r="AQ625" s="450">
        <v>65.239999999999995</v>
      </c>
      <c r="AR625" s="450" t="s">
        <v>556</v>
      </c>
      <c r="AS625" s="450" t="s">
        <v>556</v>
      </c>
      <c r="AT625" s="450" t="s">
        <v>556</v>
      </c>
      <c r="AU625" s="450" t="s">
        <v>556</v>
      </c>
      <c r="AV625" s="450" t="s">
        <v>556</v>
      </c>
      <c r="AW625" s="450" t="s">
        <v>556</v>
      </c>
      <c r="AX625" s="450" t="s">
        <v>556</v>
      </c>
      <c r="AY625" s="450" t="s">
        <v>556</v>
      </c>
      <c r="AZ625" s="450" t="s">
        <v>556</v>
      </c>
      <c r="BA625" s="450" t="s">
        <v>556</v>
      </c>
      <c r="BB625" s="450" t="s">
        <v>556</v>
      </c>
      <c r="BC625" s="450" t="s">
        <v>556</v>
      </c>
      <c r="BD625" s="450" t="s">
        <v>556</v>
      </c>
      <c r="BE625" s="450" t="s">
        <v>556</v>
      </c>
    </row>
    <row r="626" spans="2:57" x14ac:dyDescent="0.25">
      <c r="B626" s="134">
        <v>99</v>
      </c>
      <c r="C626" s="450">
        <v>61.84</v>
      </c>
      <c r="D626" s="450">
        <v>60.23</v>
      </c>
      <c r="E626" s="450" t="s">
        <v>556</v>
      </c>
      <c r="F626" s="450" t="s">
        <v>556</v>
      </c>
      <c r="G626" s="450" t="s">
        <v>556</v>
      </c>
      <c r="H626" s="450" t="s">
        <v>556</v>
      </c>
      <c r="I626" s="450" t="s">
        <v>556</v>
      </c>
      <c r="J626" s="450" t="s">
        <v>556</v>
      </c>
      <c r="K626" s="450" t="s">
        <v>556</v>
      </c>
      <c r="L626" s="450" t="s">
        <v>556</v>
      </c>
      <c r="M626" s="450" t="s">
        <v>556</v>
      </c>
      <c r="N626" s="450" t="s">
        <v>556</v>
      </c>
      <c r="O626" s="450" t="s">
        <v>556</v>
      </c>
      <c r="P626" s="450" t="s">
        <v>556</v>
      </c>
      <c r="Q626" s="450" t="s">
        <v>556</v>
      </c>
      <c r="R626" s="450" t="s">
        <v>556</v>
      </c>
      <c r="S626" s="450" t="s">
        <v>556</v>
      </c>
      <c r="T626" s="133"/>
      <c r="U626" s="134">
        <v>99</v>
      </c>
      <c r="V626" s="450">
        <v>63.88</v>
      </c>
      <c r="W626" s="450">
        <v>62.27</v>
      </c>
      <c r="X626" s="450" t="s">
        <v>556</v>
      </c>
      <c r="Y626" s="450" t="s">
        <v>556</v>
      </c>
      <c r="Z626" s="450" t="s">
        <v>556</v>
      </c>
      <c r="AA626" s="450" t="s">
        <v>556</v>
      </c>
      <c r="AB626" s="450" t="s">
        <v>556</v>
      </c>
      <c r="AC626" s="450" t="s">
        <v>556</v>
      </c>
      <c r="AD626" s="450" t="s">
        <v>556</v>
      </c>
      <c r="AE626" s="450" t="s">
        <v>556</v>
      </c>
      <c r="AF626" s="450" t="s">
        <v>556</v>
      </c>
      <c r="AG626" s="450" t="s">
        <v>556</v>
      </c>
      <c r="AH626" s="450" t="s">
        <v>556</v>
      </c>
      <c r="AI626" s="450" t="s">
        <v>556</v>
      </c>
      <c r="AJ626" s="450" t="s">
        <v>556</v>
      </c>
      <c r="AK626" s="450" t="s">
        <v>556</v>
      </c>
      <c r="AL626" s="450" t="s">
        <v>556</v>
      </c>
      <c r="AM626" s="133"/>
      <c r="AN626" s="134">
        <v>99</v>
      </c>
      <c r="AO626" s="450">
        <v>65.14</v>
      </c>
      <c r="AP626" s="450">
        <v>63.51</v>
      </c>
      <c r="AQ626" s="450" t="s">
        <v>556</v>
      </c>
      <c r="AR626" s="450" t="s">
        <v>556</v>
      </c>
      <c r="AS626" s="450" t="s">
        <v>556</v>
      </c>
      <c r="AT626" s="450" t="s">
        <v>556</v>
      </c>
      <c r="AU626" s="450" t="s">
        <v>556</v>
      </c>
      <c r="AV626" s="450" t="s">
        <v>556</v>
      </c>
      <c r="AW626" s="450" t="s">
        <v>556</v>
      </c>
      <c r="AX626" s="450" t="s">
        <v>556</v>
      </c>
      <c r="AY626" s="450" t="s">
        <v>556</v>
      </c>
      <c r="AZ626" s="450" t="s">
        <v>556</v>
      </c>
      <c r="BA626" s="450" t="s">
        <v>556</v>
      </c>
      <c r="BB626" s="450" t="s">
        <v>556</v>
      </c>
      <c r="BC626" s="450" t="s">
        <v>556</v>
      </c>
      <c r="BD626" s="450" t="s">
        <v>556</v>
      </c>
      <c r="BE626" s="450" t="s">
        <v>556</v>
      </c>
    </row>
    <row r="627" spans="2:57" x14ac:dyDescent="0.25">
      <c r="B627" s="134">
        <v>100</v>
      </c>
      <c r="C627" s="450">
        <v>58.46</v>
      </c>
      <c r="D627" s="450" t="s">
        <v>556</v>
      </c>
      <c r="E627" s="450" t="s">
        <v>556</v>
      </c>
      <c r="F627" s="450" t="s">
        <v>556</v>
      </c>
      <c r="G627" s="450" t="s">
        <v>556</v>
      </c>
      <c r="H627" s="450" t="s">
        <v>556</v>
      </c>
      <c r="I627" s="450" t="s">
        <v>556</v>
      </c>
      <c r="J627" s="450" t="s">
        <v>556</v>
      </c>
      <c r="K627" s="450" t="s">
        <v>556</v>
      </c>
      <c r="L627" s="450" t="s">
        <v>556</v>
      </c>
      <c r="M627" s="450" t="s">
        <v>556</v>
      </c>
      <c r="N627" s="450" t="s">
        <v>556</v>
      </c>
      <c r="O627" s="450" t="s">
        <v>556</v>
      </c>
      <c r="P627" s="450" t="s">
        <v>556</v>
      </c>
      <c r="Q627" s="450" t="s">
        <v>556</v>
      </c>
      <c r="R627" s="450" t="s">
        <v>556</v>
      </c>
      <c r="S627" s="450" t="s">
        <v>556</v>
      </c>
      <c r="T627" s="133"/>
      <c r="U627" s="134">
        <v>100</v>
      </c>
      <c r="V627" s="450">
        <v>60.5</v>
      </c>
      <c r="W627" s="450" t="s">
        <v>556</v>
      </c>
      <c r="X627" s="450" t="s">
        <v>556</v>
      </c>
      <c r="Y627" s="450" t="s">
        <v>556</v>
      </c>
      <c r="Z627" s="450" t="s">
        <v>556</v>
      </c>
      <c r="AA627" s="450" t="s">
        <v>556</v>
      </c>
      <c r="AB627" s="450" t="s">
        <v>556</v>
      </c>
      <c r="AC627" s="450" t="s">
        <v>556</v>
      </c>
      <c r="AD627" s="450" t="s">
        <v>556</v>
      </c>
      <c r="AE627" s="450" t="s">
        <v>556</v>
      </c>
      <c r="AF627" s="450" t="s">
        <v>556</v>
      </c>
      <c r="AG627" s="450" t="s">
        <v>556</v>
      </c>
      <c r="AH627" s="450" t="s">
        <v>556</v>
      </c>
      <c r="AI627" s="450" t="s">
        <v>556</v>
      </c>
      <c r="AJ627" s="450" t="s">
        <v>556</v>
      </c>
      <c r="AK627" s="450" t="s">
        <v>556</v>
      </c>
      <c r="AL627" s="450" t="s">
        <v>556</v>
      </c>
      <c r="AM627" s="133"/>
      <c r="AN627" s="134">
        <v>100</v>
      </c>
      <c r="AO627" s="450">
        <v>61.71</v>
      </c>
      <c r="AP627" s="450" t="s">
        <v>556</v>
      </c>
      <c r="AQ627" s="450" t="s">
        <v>556</v>
      </c>
      <c r="AR627" s="450" t="s">
        <v>556</v>
      </c>
      <c r="AS627" s="450" t="s">
        <v>556</v>
      </c>
      <c r="AT627" s="450" t="s">
        <v>556</v>
      </c>
      <c r="AU627" s="450" t="s">
        <v>556</v>
      </c>
      <c r="AV627" s="450" t="s">
        <v>556</v>
      </c>
      <c r="AW627" s="450" t="s">
        <v>556</v>
      </c>
      <c r="AX627" s="450" t="s">
        <v>556</v>
      </c>
      <c r="AY627" s="450" t="s">
        <v>556</v>
      </c>
      <c r="AZ627" s="450" t="s">
        <v>556</v>
      </c>
      <c r="BA627" s="450" t="s">
        <v>556</v>
      </c>
      <c r="BB627" s="450" t="s">
        <v>556</v>
      </c>
      <c r="BC627" s="450" t="s">
        <v>556</v>
      </c>
      <c r="BD627" s="450" t="s">
        <v>556</v>
      </c>
      <c r="BE627" s="450" t="s">
        <v>556</v>
      </c>
    </row>
    <row r="631" spans="2:57" ht="20.45" customHeight="1" x14ac:dyDescent="0.25">
      <c r="B631" s="444" t="s">
        <v>195</v>
      </c>
      <c r="C631" s="526" t="s">
        <v>232</v>
      </c>
      <c r="D631" s="527"/>
      <c r="E631" s="527"/>
      <c r="F631" s="527"/>
      <c r="G631" s="527"/>
      <c r="H631" s="527"/>
      <c r="I631" s="527"/>
      <c r="J631" s="527"/>
      <c r="K631" s="527"/>
      <c r="L631" s="527"/>
      <c r="M631" s="527"/>
      <c r="N631" s="527"/>
      <c r="O631" s="527"/>
      <c r="P631" s="527"/>
      <c r="Q631" s="527"/>
      <c r="R631" s="527"/>
      <c r="S631" s="527"/>
      <c r="V631" s="526" t="s">
        <v>232</v>
      </c>
      <c r="W631" s="527"/>
      <c r="X631" s="527"/>
      <c r="Y631" s="527"/>
      <c r="Z631" s="527"/>
      <c r="AA631" s="527"/>
      <c r="AB631" s="527"/>
      <c r="AC631" s="527"/>
      <c r="AD631" s="527"/>
      <c r="AE631" s="527"/>
      <c r="AF631" s="527"/>
      <c r="AG631" s="527"/>
      <c r="AH631" s="527"/>
      <c r="AI631" s="527"/>
      <c r="AJ631" s="527"/>
      <c r="AK631" s="527"/>
      <c r="AL631" s="527"/>
      <c r="AO631" s="526" t="s">
        <v>232</v>
      </c>
      <c r="AP631" s="527"/>
      <c r="AQ631" s="527"/>
      <c r="AR631" s="527"/>
      <c r="AS631" s="527"/>
      <c r="AT631" s="527"/>
      <c r="AU631" s="527"/>
      <c r="AV631" s="527"/>
      <c r="AW631" s="527"/>
      <c r="AX631" s="527"/>
      <c r="AY631" s="527"/>
      <c r="AZ631" s="527"/>
      <c r="BA631" s="527"/>
      <c r="BB631" s="527"/>
      <c r="BC631" s="527"/>
      <c r="BD631" s="527"/>
      <c r="BE631" s="527"/>
    </row>
    <row r="632" spans="2:57" x14ac:dyDescent="0.25">
      <c r="B632" s="444"/>
      <c r="V632" s="444"/>
      <c r="AO632" s="444"/>
    </row>
    <row r="633" spans="2:57" x14ac:dyDescent="0.25">
      <c r="C633" s="528" t="s">
        <v>173</v>
      </c>
      <c r="D633" s="528"/>
      <c r="E633" s="528"/>
      <c r="F633" s="528"/>
      <c r="G633" s="528"/>
      <c r="H633" s="528"/>
      <c r="I633" s="528"/>
      <c r="J633" s="528"/>
      <c r="K633" s="528"/>
      <c r="L633" s="528"/>
      <c r="M633" s="528"/>
      <c r="N633" s="528"/>
      <c r="O633" s="528"/>
      <c r="P633" s="528"/>
      <c r="Q633" s="528"/>
      <c r="R633" s="528"/>
      <c r="S633" s="528"/>
      <c r="V633" s="528" t="s">
        <v>165</v>
      </c>
      <c r="W633" s="528"/>
      <c r="X633" s="528"/>
      <c r="Y633" s="528"/>
      <c r="Z633" s="528"/>
      <c r="AA633" s="528"/>
      <c r="AB633" s="528"/>
      <c r="AC633" s="528"/>
      <c r="AD633" s="528"/>
      <c r="AE633" s="528"/>
      <c r="AF633" s="528"/>
      <c r="AG633" s="528"/>
      <c r="AH633" s="528"/>
      <c r="AI633" s="528"/>
      <c r="AJ633" s="528"/>
      <c r="AK633" s="528"/>
      <c r="AL633" s="528"/>
      <c r="AO633" s="528" t="s">
        <v>166</v>
      </c>
      <c r="AP633" s="528"/>
      <c r="AQ633" s="528"/>
      <c r="AR633" s="528"/>
      <c r="AS633" s="528"/>
      <c r="AT633" s="528"/>
      <c r="AU633" s="528"/>
      <c r="AV633" s="528"/>
      <c r="AW633" s="528"/>
      <c r="AX633" s="528"/>
      <c r="AY633" s="528"/>
      <c r="AZ633" s="528"/>
      <c r="BA633" s="528"/>
      <c r="BB633" s="528"/>
      <c r="BC633" s="528"/>
      <c r="BD633" s="528"/>
      <c r="BE633" s="528"/>
    </row>
    <row r="634" spans="2:57" ht="195" x14ac:dyDescent="0.25">
      <c r="B634" s="445" t="s">
        <v>14</v>
      </c>
      <c r="C634" s="446">
        <v>0</v>
      </c>
      <c r="D634" s="447">
        <v>1</v>
      </c>
      <c r="E634" s="447">
        <v>2</v>
      </c>
      <c r="F634" s="447">
        <v>3</v>
      </c>
      <c r="G634" s="447">
        <v>4</v>
      </c>
      <c r="H634" s="447">
        <v>5</v>
      </c>
      <c r="I634" s="447">
        <v>6</v>
      </c>
      <c r="J634" s="447">
        <v>7</v>
      </c>
      <c r="K634" s="447">
        <v>8</v>
      </c>
      <c r="L634" s="447">
        <v>9</v>
      </c>
      <c r="M634" s="447">
        <v>10</v>
      </c>
      <c r="N634" s="448" t="s">
        <v>15</v>
      </c>
      <c r="O634" s="447" t="s">
        <v>16</v>
      </c>
      <c r="P634" s="447" t="s">
        <v>17</v>
      </c>
      <c r="Q634" s="447" t="s">
        <v>18</v>
      </c>
      <c r="R634" s="447" t="s">
        <v>19</v>
      </c>
      <c r="S634" s="447" t="s">
        <v>20</v>
      </c>
      <c r="T634" s="449"/>
      <c r="U634" s="445" t="s">
        <v>14</v>
      </c>
      <c r="V634" s="446">
        <v>0</v>
      </c>
      <c r="W634" s="447">
        <v>1</v>
      </c>
      <c r="X634" s="447">
        <v>2</v>
      </c>
      <c r="Y634" s="447">
        <v>3</v>
      </c>
      <c r="Z634" s="447">
        <v>4</v>
      </c>
      <c r="AA634" s="447">
        <v>5</v>
      </c>
      <c r="AB634" s="447">
        <v>6</v>
      </c>
      <c r="AC634" s="447">
        <v>7</v>
      </c>
      <c r="AD634" s="447">
        <v>8</v>
      </c>
      <c r="AE634" s="447">
        <v>9</v>
      </c>
      <c r="AF634" s="447">
        <v>10</v>
      </c>
      <c r="AG634" s="448" t="s">
        <v>15</v>
      </c>
      <c r="AH634" s="447" t="s">
        <v>16</v>
      </c>
      <c r="AI634" s="447" t="s">
        <v>17</v>
      </c>
      <c r="AJ634" s="447" t="s">
        <v>18</v>
      </c>
      <c r="AK634" s="447" t="s">
        <v>19</v>
      </c>
      <c r="AL634" s="447" t="s">
        <v>20</v>
      </c>
      <c r="AM634" s="449"/>
      <c r="AN634" s="445" t="s">
        <v>14</v>
      </c>
      <c r="AO634" s="446">
        <v>0</v>
      </c>
      <c r="AP634" s="447">
        <v>1</v>
      </c>
      <c r="AQ634" s="447">
        <v>2</v>
      </c>
      <c r="AR634" s="447">
        <v>3</v>
      </c>
      <c r="AS634" s="447">
        <v>4</v>
      </c>
      <c r="AT634" s="447">
        <v>5</v>
      </c>
      <c r="AU634" s="447">
        <v>6</v>
      </c>
      <c r="AV634" s="447">
        <v>7</v>
      </c>
      <c r="AW634" s="447">
        <v>8</v>
      </c>
      <c r="AX634" s="447">
        <v>9</v>
      </c>
      <c r="AY634" s="447">
        <v>10</v>
      </c>
      <c r="AZ634" s="448" t="s">
        <v>15</v>
      </c>
      <c r="BA634" s="447" t="s">
        <v>16</v>
      </c>
      <c r="BB634" s="447" t="s">
        <v>17</v>
      </c>
      <c r="BC634" s="447" t="s">
        <v>18</v>
      </c>
      <c r="BD634" s="447" t="s">
        <v>19</v>
      </c>
      <c r="BE634" s="447" t="s">
        <v>225</v>
      </c>
    </row>
    <row r="635" spans="2:57" x14ac:dyDescent="0.25">
      <c r="B635" s="134">
        <v>18</v>
      </c>
      <c r="C635" s="450">
        <v>83.32</v>
      </c>
      <c r="D635" s="450">
        <v>83.37</v>
      </c>
      <c r="E635" s="450">
        <v>83.42</v>
      </c>
      <c r="F635" s="450">
        <v>83.47</v>
      </c>
      <c r="G635" s="450">
        <v>83.51</v>
      </c>
      <c r="H635" s="450">
        <v>83.56</v>
      </c>
      <c r="I635" s="450">
        <v>83.61</v>
      </c>
      <c r="J635" s="450">
        <v>83.65</v>
      </c>
      <c r="K635" s="450">
        <v>83.7</v>
      </c>
      <c r="L635" s="450">
        <v>83.74</v>
      </c>
      <c r="M635" s="450">
        <v>83.78</v>
      </c>
      <c r="N635" s="450">
        <v>83.83</v>
      </c>
      <c r="O635" s="450">
        <v>84.03</v>
      </c>
      <c r="P635" s="450">
        <v>84.2</v>
      </c>
      <c r="Q635" s="450">
        <v>84.34</v>
      </c>
      <c r="R635" s="450">
        <v>84.46</v>
      </c>
      <c r="S635" s="450">
        <v>84.55</v>
      </c>
      <c r="T635" s="133"/>
      <c r="U635" s="134">
        <v>18</v>
      </c>
      <c r="V635" s="450">
        <v>84.16</v>
      </c>
      <c r="W635" s="450">
        <v>84.21</v>
      </c>
      <c r="X635" s="450">
        <v>84.25</v>
      </c>
      <c r="Y635" s="450">
        <v>84.3</v>
      </c>
      <c r="Z635" s="450">
        <v>84.35</v>
      </c>
      <c r="AA635" s="450">
        <v>84.4</v>
      </c>
      <c r="AB635" s="450">
        <v>84.45</v>
      </c>
      <c r="AC635" s="450">
        <v>84.49</v>
      </c>
      <c r="AD635" s="450">
        <v>84.54</v>
      </c>
      <c r="AE635" s="450">
        <v>84.58</v>
      </c>
      <c r="AF635" s="450">
        <v>84.63</v>
      </c>
      <c r="AG635" s="450">
        <v>84.67</v>
      </c>
      <c r="AH635" s="450">
        <v>84.87</v>
      </c>
      <c r="AI635" s="450">
        <v>85.05</v>
      </c>
      <c r="AJ635" s="450">
        <v>85.2</v>
      </c>
      <c r="AK635" s="450">
        <v>85.32</v>
      </c>
      <c r="AL635" s="450">
        <v>85.41</v>
      </c>
      <c r="AM635" s="133"/>
      <c r="AN635" s="134">
        <v>18</v>
      </c>
      <c r="AO635" s="450">
        <v>85.1</v>
      </c>
      <c r="AP635" s="450">
        <v>85.15</v>
      </c>
      <c r="AQ635" s="450">
        <v>85.2</v>
      </c>
      <c r="AR635" s="450">
        <v>85.25</v>
      </c>
      <c r="AS635" s="450">
        <v>85.3</v>
      </c>
      <c r="AT635" s="450">
        <v>85.34</v>
      </c>
      <c r="AU635" s="450">
        <v>85.39</v>
      </c>
      <c r="AV635" s="450">
        <v>85.44</v>
      </c>
      <c r="AW635" s="450">
        <v>85.49</v>
      </c>
      <c r="AX635" s="450">
        <v>85.53</v>
      </c>
      <c r="AY635" s="450">
        <v>85.58</v>
      </c>
      <c r="AZ635" s="450">
        <v>85.62</v>
      </c>
      <c r="BA635" s="450">
        <v>85.83</v>
      </c>
      <c r="BB635" s="450">
        <v>86.02</v>
      </c>
      <c r="BC635" s="450">
        <v>86.17</v>
      </c>
      <c r="BD635" s="450">
        <v>86.29</v>
      </c>
      <c r="BE635" s="450">
        <v>86.39</v>
      </c>
    </row>
    <row r="636" spans="2:57" x14ac:dyDescent="0.25">
      <c r="B636" s="134">
        <v>19</v>
      </c>
      <c r="C636" s="450">
        <v>83.42</v>
      </c>
      <c r="D636" s="450">
        <v>83.47</v>
      </c>
      <c r="E636" s="450">
        <v>83.52</v>
      </c>
      <c r="F636" s="450">
        <v>83.57</v>
      </c>
      <c r="G636" s="450">
        <v>83.62</v>
      </c>
      <c r="H636" s="450">
        <v>83.67</v>
      </c>
      <c r="I636" s="450">
        <v>83.72</v>
      </c>
      <c r="J636" s="450">
        <v>83.77</v>
      </c>
      <c r="K636" s="450">
        <v>83.82</v>
      </c>
      <c r="L636" s="450">
        <v>83.86</v>
      </c>
      <c r="M636" s="450">
        <v>83.91</v>
      </c>
      <c r="N636" s="450">
        <v>83.95</v>
      </c>
      <c r="O636" s="450">
        <v>84.16</v>
      </c>
      <c r="P636" s="450">
        <v>84.34</v>
      </c>
      <c r="Q636" s="450">
        <v>84.49</v>
      </c>
      <c r="R636" s="450">
        <v>84.61</v>
      </c>
      <c r="S636" s="450">
        <v>84.71</v>
      </c>
      <c r="T636" s="133"/>
      <c r="U636" s="134">
        <v>19</v>
      </c>
      <c r="V636" s="450">
        <v>84.26</v>
      </c>
      <c r="W636" s="450">
        <v>84.31</v>
      </c>
      <c r="X636" s="450">
        <v>84.36</v>
      </c>
      <c r="Y636" s="450">
        <v>84.41</v>
      </c>
      <c r="Z636" s="450">
        <v>84.46</v>
      </c>
      <c r="AA636" s="450">
        <v>84.51</v>
      </c>
      <c r="AB636" s="450">
        <v>84.56</v>
      </c>
      <c r="AC636" s="450">
        <v>84.61</v>
      </c>
      <c r="AD636" s="450">
        <v>84.66</v>
      </c>
      <c r="AE636" s="450">
        <v>84.71</v>
      </c>
      <c r="AF636" s="450">
        <v>84.75</v>
      </c>
      <c r="AG636" s="450">
        <v>84.8</v>
      </c>
      <c r="AH636" s="450">
        <v>85.01</v>
      </c>
      <c r="AI636" s="450">
        <v>85.2</v>
      </c>
      <c r="AJ636" s="450">
        <v>85.35</v>
      </c>
      <c r="AK636" s="450">
        <v>85.47</v>
      </c>
      <c r="AL636" s="450">
        <v>85.57</v>
      </c>
      <c r="AM636" s="133"/>
      <c r="AN636" s="134">
        <v>19</v>
      </c>
      <c r="AO636" s="450">
        <v>85.2</v>
      </c>
      <c r="AP636" s="450">
        <v>85.25</v>
      </c>
      <c r="AQ636" s="450">
        <v>85.31</v>
      </c>
      <c r="AR636" s="450">
        <v>85.36</v>
      </c>
      <c r="AS636" s="450">
        <v>85.41</v>
      </c>
      <c r="AT636" s="450">
        <v>85.46</v>
      </c>
      <c r="AU636" s="450">
        <v>85.51</v>
      </c>
      <c r="AV636" s="450">
        <v>85.56</v>
      </c>
      <c r="AW636" s="450">
        <v>85.61</v>
      </c>
      <c r="AX636" s="450">
        <v>85.66</v>
      </c>
      <c r="AY636" s="450">
        <v>85.71</v>
      </c>
      <c r="AZ636" s="450">
        <v>85.76</v>
      </c>
      <c r="BA636" s="450">
        <v>85.98</v>
      </c>
      <c r="BB636" s="450">
        <v>86.17</v>
      </c>
      <c r="BC636" s="450">
        <v>86.32</v>
      </c>
      <c r="BD636" s="450">
        <v>86.45</v>
      </c>
      <c r="BE636" s="450">
        <v>86.55</v>
      </c>
    </row>
    <row r="637" spans="2:57" x14ac:dyDescent="0.25">
      <c r="B637" s="134">
        <v>20</v>
      </c>
      <c r="C637" s="450">
        <v>83.53</v>
      </c>
      <c r="D637" s="450">
        <v>83.58</v>
      </c>
      <c r="E637" s="450">
        <v>83.64</v>
      </c>
      <c r="F637" s="450">
        <v>83.69</v>
      </c>
      <c r="G637" s="450">
        <v>83.74</v>
      </c>
      <c r="H637" s="450">
        <v>83.79</v>
      </c>
      <c r="I637" s="450">
        <v>83.84</v>
      </c>
      <c r="J637" s="450">
        <v>83.89</v>
      </c>
      <c r="K637" s="450">
        <v>83.94</v>
      </c>
      <c r="L637" s="450">
        <v>83.99</v>
      </c>
      <c r="M637" s="450">
        <v>84.04</v>
      </c>
      <c r="N637" s="450">
        <v>84.08</v>
      </c>
      <c r="O637" s="450">
        <v>84.3</v>
      </c>
      <c r="P637" s="450">
        <v>84.49</v>
      </c>
      <c r="Q637" s="450">
        <v>84.65</v>
      </c>
      <c r="R637" s="450">
        <v>84.77</v>
      </c>
      <c r="S637" s="450">
        <v>84.87</v>
      </c>
      <c r="T637" s="133"/>
      <c r="U637" s="134">
        <v>20</v>
      </c>
      <c r="V637" s="450">
        <v>84.37</v>
      </c>
      <c r="W637" s="450">
        <v>84.42</v>
      </c>
      <c r="X637" s="450">
        <v>84.48</v>
      </c>
      <c r="Y637" s="450">
        <v>84.53</v>
      </c>
      <c r="Z637" s="450">
        <v>84.58</v>
      </c>
      <c r="AA637" s="450">
        <v>84.63</v>
      </c>
      <c r="AB637" s="450">
        <v>84.69</v>
      </c>
      <c r="AC637" s="450">
        <v>84.74</v>
      </c>
      <c r="AD637" s="450">
        <v>84.79</v>
      </c>
      <c r="AE637" s="450">
        <v>84.84</v>
      </c>
      <c r="AF637" s="450">
        <v>84.89</v>
      </c>
      <c r="AG637" s="450">
        <v>84.93</v>
      </c>
      <c r="AH637" s="450">
        <v>85.16</v>
      </c>
      <c r="AI637" s="450">
        <v>85.35</v>
      </c>
      <c r="AJ637" s="450">
        <v>85.51</v>
      </c>
      <c r="AK637" s="450">
        <v>85.64</v>
      </c>
      <c r="AL637" s="450">
        <v>85.74</v>
      </c>
      <c r="AM637" s="133"/>
      <c r="AN637" s="134">
        <v>20</v>
      </c>
      <c r="AO637" s="450">
        <v>85.31</v>
      </c>
      <c r="AP637" s="450">
        <v>85.37</v>
      </c>
      <c r="AQ637" s="450">
        <v>85.42</v>
      </c>
      <c r="AR637" s="450">
        <v>85.48</v>
      </c>
      <c r="AS637" s="450">
        <v>85.53</v>
      </c>
      <c r="AT637" s="450">
        <v>85.59</v>
      </c>
      <c r="AU637" s="450">
        <v>85.64</v>
      </c>
      <c r="AV637" s="450">
        <v>85.69</v>
      </c>
      <c r="AW637" s="450">
        <v>85.74</v>
      </c>
      <c r="AX637" s="450">
        <v>85.8</v>
      </c>
      <c r="AY637" s="450">
        <v>85.85</v>
      </c>
      <c r="AZ637" s="450">
        <v>85.89</v>
      </c>
      <c r="BA637" s="450">
        <v>86.12</v>
      </c>
      <c r="BB637" s="450">
        <v>86.32</v>
      </c>
      <c r="BC637" s="450">
        <v>86.49</v>
      </c>
      <c r="BD637" s="450">
        <v>86.62</v>
      </c>
      <c r="BE637" s="450">
        <v>86.72</v>
      </c>
    </row>
    <row r="638" spans="2:57" x14ac:dyDescent="0.25">
      <c r="B638" s="134">
        <v>21</v>
      </c>
      <c r="C638" s="450">
        <v>83.64</v>
      </c>
      <c r="D638" s="450">
        <v>83.7</v>
      </c>
      <c r="E638" s="450">
        <v>83.75</v>
      </c>
      <c r="F638" s="450">
        <v>83.81</v>
      </c>
      <c r="G638" s="450">
        <v>83.86</v>
      </c>
      <c r="H638" s="450">
        <v>83.91</v>
      </c>
      <c r="I638" s="450">
        <v>83.97</v>
      </c>
      <c r="J638" s="450">
        <v>84.02</v>
      </c>
      <c r="K638" s="450">
        <v>84.07</v>
      </c>
      <c r="L638" s="450">
        <v>84.12</v>
      </c>
      <c r="M638" s="450">
        <v>84.17</v>
      </c>
      <c r="N638" s="450">
        <v>84.22</v>
      </c>
      <c r="O638" s="450">
        <v>84.45</v>
      </c>
      <c r="P638" s="450">
        <v>84.65</v>
      </c>
      <c r="Q638" s="450">
        <v>84.81</v>
      </c>
      <c r="R638" s="450">
        <v>84.94</v>
      </c>
      <c r="S638" s="450">
        <v>85.04</v>
      </c>
      <c r="T638" s="133"/>
      <c r="U638" s="134">
        <v>21</v>
      </c>
      <c r="V638" s="450">
        <v>84.48</v>
      </c>
      <c r="W638" s="450">
        <v>84.54</v>
      </c>
      <c r="X638" s="450">
        <v>84.59</v>
      </c>
      <c r="Y638" s="450">
        <v>84.65</v>
      </c>
      <c r="Z638" s="450">
        <v>84.71</v>
      </c>
      <c r="AA638" s="450">
        <v>84.76</v>
      </c>
      <c r="AB638" s="450">
        <v>84.81</v>
      </c>
      <c r="AC638" s="450">
        <v>84.87</v>
      </c>
      <c r="AD638" s="450">
        <v>84.92</v>
      </c>
      <c r="AE638" s="450">
        <v>84.97</v>
      </c>
      <c r="AF638" s="450">
        <v>85.02</v>
      </c>
      <c r="AG638" s="450">
        <v>85.07</v>
      </c>
      <c r="AH638" s="450">
        <v>85.31</v>
      </c>
      <c r="AI638" s="450">
        <v>85.51</v>
      </c>
      <c r="AJ638" s="450">
        <v>85.68</v>
      </c>
      <c r="AK638" s="450">
        <v>85.81</v>
      </c>
      <c r="AL638" s="450">
        <v>85.91</v>
      </c>
      <c r="AM638" s="133"/>
      <c r="AN638" s="134">
        <v>21</v>
      </c>
      <c r="AO638" s="450">
        <v>85.43</v>
      </c>
      <c r="AP638" s="450">
        <v>85.49</v>
      </c>
      <c r="AQ638" s="450">
        <v>85.55</v>
      </c>
      <c r="AR638" s="450">
        <v>85.6</v>
      </c>
      <c r="AS638" s="450">
        <v>85.66</v>
      </c>
      <c r="AT638" s="450">
        <v>85.72</v>
      </c>
      <c r="AU638" s="450">
        <v>85.77</v>
      </c>
      <c r="AV638" s="450">
        <v>85.83</v>
      </c>
      <c r="AW638" s="450">
        <v>85.88</v>
      </c>
      <c r="AX638" s="450">
        <v>85.94</v>
      </c>
      <c r="AY638" s="450">
        <v>85.99</v>
      </c>
      <c r="AZ638" s="450">
        <v>86.04</v>
      </c>
      <c r="BA638" s="450">
        <v>86.28</v>
      </c>
      <c r="BB638" s="450">
        <v>86.49</v>
      </c>
      <c r="BC638" s="450">
        <v>86.66</v>
      </c>
      <c r="BD638" s="450">
        <v>86.79</v>
      </c>
      <c r="BE638" s="450">
        <v>86.9</v>
      </c>
    </row>
    <row r="639" spans="2:57" x14ac:dyDescent="0.25">
      <c r="B639" s="134">
        <v>22</v>
      </c>
      <c r="C639" s="450">
        <v>83.76</v>
      </c>
      <c r="D639" s="450">
        <v>83.82</v>
      </c>
      <c r="E639" s="450">
        <v>83.87</v>
      </c>
      <c r="F639" s="450">
        <v>83.93</v>
      </c>
      <c r="G639" s="450">
        <v>83.99</v>
      </c>
      <c r="H639" s="450">
        <v>84.04</v>
      </c>
      <c r="I639" s="450">
        <v>84.1</v>
      </c>
      <c r="J639" s="450">
        <v>84.16</v>
      </c>
      <c r="K639" s="450">
        <v>84.21</v>
      </c>
      <c r="L639" s="450">
        <v>84.26</v>
      </c>
      <c r="M639" s="450">
        <v>84.32</v>
      </c>
      <c r="N639" s="450">
        <v>84.37</v>
      </c>
      <c r="O639" s="450">
        <v>84.61</v>
      </c>
      <c r="P639" s="450">
        <v>84.81</v>
      </c>
      <c r="Q639" s="450">
        <v>84.98</v>
      </c>
      <c r="R639" s="450">
        <v>85.12</v>
      </c>
      <c r="S639" s="450">
        <v>85.22</v>
      </c>
      <c r="T639" s="133"/>
      <c r="U639" s="134">
        <v>22</v>
      </c>
      <c r="V639" s="450">
        <v>84.6</v>
      </c>
      <c r="W639" s="450">
        <v>84.66</v>
      </c>
      <c r="X639" s="450">
        <v>84.72</v>
      </c>
      <c r="Y639" s="450">
        <v>84.78</v>
      </c>
      <c r="Z639" s="450">
        <v>84.83</v>
      </c>
      <c r="AA639" s="450">
        <v>84.89</v>
      </c>
      <c r="AB639" s="450">
        <v>84.95</v>
      </c>
      <c r="AC639" s="450">
        <v>85.01</v>
      </c>
      <c r="AD639" s="450">
        <v>85.06</v>
      </c>
      <c r="AE639" s="450">
        <v>85.12</v>
      </c>
      <c r="AF639" s="450">
        <v>85.17</v>
      </c>
      <c r="AG639" s="450">
        <v>85.22</v>
      </c>
      <c r="AH639" s="450">
        <v>85.47</v>
      </c>
      <c r="AI639" s="450">
        <v>85.68</v>
      </c>
      <c r="AJ639" s="450">
        <v>85.85</v>
      </c>
      <c r="AK639" s="450">
        <v>85.99</v>
      </c>
      <c r="AL639" s="450">
        <v>86.09</v>
      </c>
      <c r="AM639" s="133"/>
      <c r="AN639" s="134">
        <v>22</v>
      </c>
      <c r="AO639" s="450">
        <v>85.55</v>
      </c>
      <c r="AP639" s="450">
        <v>85.61</v>
      </c>
      <c r="AQ639" s="450">
        <v>85.67</v>
      </c>
      <c r="AR639" s="450">
        <v>85.73</v>
      </c>
      <c r="AS639" s="450">
        <v>85.79</v>
      </c>
      <c r="AT639" s="450">
        <v>85.85</v>
      </c>
      <c r="AU639" s="450">
        <v>85.91</v>
      </c>
      <c r="AV639" s="450">
        <v>85.97</v>
      </c>
      <c r="AW639" s="450">
        <v>86.03</v>
      </c>
      <c r="AX639" s="450">
        <v>86.08</v>
      </c>
      <c r="AY639" s="450">
        <v>86.14</v>
      </c>
      <c r="AZ639" s="450">
        <v>86.19</v>
      </c>
      <c r="BA639" s="450">
        <v>86.44</v>
      </c>
      <c r="BB639" s="450">
        <v>86.66</v>
      </c>
      <c r="BC639" s="450">
        <v>86.84</v>
      </c>
      <c r="BD639" s="450">
        <v>86.98</v>
      </c>
      <c r="BE639" s="450">
        <v>87.09</v>
      </c>
    </row>
    <row r="640" spans="2:57" x14ac:dyDescent="0.25">
      <c r="B640" s="134">
        <v>23</v>
      </c>
      <c r="C640" s="450">
        <v>83.88</v>
      </c>
      <c r="D640" s="450">
        <v>83.94</v>
      </c>
      <c r="E640" s="450">
        <v>84</v>
      </c>
      <c r="F640" s="450">
        <v>84.06</v>
      </c>
      <c r="G640" s="450">
        <v>84.12</v>
      </c>
      <c r="H640" s="450">
        <v>84.18</v>
      </c>
      <c r="I640" s="450">
        <v>84.24</v>
      </c>
      <c r="J640" s="450">
        <v>84.3</v>
      </c>
      <c r="K640" s="450">
        <v>84.35</v>
      </c>
      <c r="L640" s="450">
        <v>84.41</v>
      </c>
      <c r="M640" s="450">
        <v>84.47</v>
      </c>
      <c r="N640" s="450">
        <v>84.52</v>
      </c>
      <c r="O640" s="450">
        <v>84.77</v>
      </c>
      <c r="P640" s="450">
        <v>84.98</v>
      </c>
      <c r="Q640" s="450">
        <v>85.16</v>
      </c>
      <c r="R640" s="450">
        <v>85.3</v>
      </c>
      <c r="S640" s="450">
        <v>85.41</v>
      </c>
      <c r="T640" s="133"/>
      <c r="U640" s="134">
        <v>23</v>
      </c>
      <c r="V640" s="450">
        <v>84.72</v>
      </c>
      <c r="W640" s="450">
        <v>84.79</v>
      </c>
      <c r="X640" s="450">
        <v>84.85</v>
      </c>
      <c r="Y640" s="450">
        <v>84.91</v>
      </c>
      <c r="Z640" s="450">
        <v>84.97</v>
      </c>
      <c r="AA640" s="450">
        <v>85.03</v>
      </c>
      <c r="AB640" s="450">
        <v>85.09</v>
      </c>
      <c r="AC640" s="450">
        <v>85.15</v>
      </c>
      <c r="AD640" s="450">
        <v>85.21</v>
      </c>
      <c r="AE640" s="450">
        <v>85.27</v>
      </c>
      <c r="AF640" s="450">
        <v>85.32</v>
      </c>
      <c r="AG640" s="450">
        <v>85.38</v>
      </c>
      <c r="AH640" s="450">
        <v>85.63</v>
      </c>
      <c r="AI640" s="450">
        <v>85.85</v>
      </c>
      <c r="AJ640" s="450">
        <v>86.03</v>
      </c>
      <c r="AK640" s="450">
        <v>86.18</v>
      </c>
      <c r="AL640" s="450">
        <v>86.28</v>
      </c>
      <c r="AM640" s="133"/>
      <c r="AN640" s="134">
        <v>23</v>
      </c>
      <c r="AO640" s="450">
        <v>85.68</v>
      </c>
      <c r="AP640" s="450">
        <v>85.74</v>
      </c>
      <c r="AQ640" s="450">
        <v>85.81</v>
      </c>
      <c r="AR640" s="450">
        <v>85.87</v>
      </c>
      <c r="AS640" s="450">
        <v>85.93</v>
      </c>
      <c r="AT640" s="450">
        <v>86</v>
      </c>
      <c r="AU640" s="450">
        <v>86.06</v>
      </c>
      <c r="AV640" s="450">
        <v>86.12</v>
      </c>
      <c r="AW640" s="450">
        <v>86.18</v>
      </c>
      <c r="AX640" s="450">
        <v>86.24</v>
      </c>
      <c r="AY640" s="450">
        <v>86.29</v>
      </c>
      <c r="AZ640" s="450">
        <v>86.35</v>
      </c>
      <c r="BA640" s="450">
        <v>86.61</v>
      </c>
      <c r="BB640" s="450">
        <v>86.84</v>
      </c>
      <c r="BC640" s="450">
        <v>87.02</v>
      </c>
      <c r="BD640" s="450">
        <v>87.17</v>
      </c>
      <c r="BE640" s="450">
        <v>87.28</v>
      </c>
    </row>
    <row r="641" spans="2:57" x14ac:dyDescent="0.25">
      <c r="B641" s="134">
        <v>24</v>
      </c>
      <c r="C641" s="450">
        <v>84.01</v>
      </c>
      <c r="D641" s="450">
        <v>84.07</v>
      </c>
      <c r="E641" s="450">
        <v>84.14</v>
      </c>
      <c r="F641" s="450">
        <v>84.2</v>
      </c>
      <c r="G641" s="450">
        <v>84.26</v>
      </c>
      <c r="H641" s="450">
        <v>84.32</v>
      </c>
      <c r="I641" s="450">
        <v>84.39</v>
      </c>
      <c r="J641" s="450">
        <v>84.45</v>
      </c>
      <c r="K641" s="450">
        <v>84.51</v>
      </c>
      <c r="L641" s="450">
        <v>84.56</v>
      </c>
      <c r="M641" s="450">
        <v>84.62</v>
      </c>
      <c r="N641" s="450">
        <v>84.68</v>
      </c>
      <c r="O641" s="450">
        <v>84.94</v>
      </c>
      <c r="P641" s="450">
        <v>85.16</v>
      </c>
      <c r="Q641" s="450">
        <v>85.35</v>
      </c>
      <c r="R641" s="450">
        <v>85.49</v>
      </c>
      <c r="S641" s="450">
        <v>85.6</v>
      </c>
      <c r="T641" s="133"/>
      <c r="U641" s="134">
        <v>24</v>
      </c>
      <c r="V641" s="450">
        <v>84.85</v>
      </c>
      <c r="W641" s="450">
        <v>84.92</v>
      </c>
      <c r="X641" s="450">
        <v>84.99</v>
      </c>
      <c r="Y641" s="450">
        <v>85.05</v>
      </c>
      <c r="Z641" s="450">
        <v>85.11</v>
      </c>
      <c r="AA641" s="450">
        <v>85.18</v>
      </c>
      <c r="AB641" s="450">
        <v>85.24</v>
      </c>
      <c r="AC641" s="450">
        <v>85.3</v>
      </c>
      <c r="AD641" s="450">
        <v>85.36</v>
      </c>
      <c r="AE641" s="450">
        <v>85.42</v>
      </c>
      <c r="AF641" s="450">
        <v>85.48</v>
      </c>
      <c r="AG641" s="450">
        <v>85.54</v>
      </c>
      <c r="AH641" s="450">
        <v>85.81</v>
      </c>
      <c r="AI641" s="450">
        <v>86.04</v>
      </c>
      <c r="AJ641" s="450">
        <v>86.22</v>
      </c>
      <c r="AK641" s="450">
        <v>86.37</v>
      </c>
      <c r="AL641" s="450">
        <v>86.48</v>
      </c>
      <c r="AM641" s="133"/>
      <c r="AN641" s="134">
        <v>24</v>
      </c>
      <c r="AO641" s="450">
        <v>85.81</v>
      </c>
      <c r="AP641" s="450">
        <v>85.88</v>
      </c>
      <c r="AQ641" s="450">
        <v>85.95</v>
      </c>
      <c r="AR641" s="450">
        <v>86.01</v>
      </c>
      <c r="AS641" s="450">
        <v>86.08</v>
      </c>
      <c r="AT641" s="450">
        <v>86.15</v>
      </c>
      <c r="AU641" s="450">
        <v>86.21</v>
      </c>
      <c r="AV641" s="450">
        <v>86.27</v>
      </c>
      <c r="AW641" s="450">
        <v>86.34</v>
      </c>
      <c r="AX641" s="450">
        <v>86.4</v>
      </c>
      <c r="AY641" s="450">
        <v>86.46</v>
      </c>
      <c r="AZ641" s="450">
        <v>86.52</v>
      </c>
      <c r="BA641" s="450">
        <v>86.79</v>
      </c>
      <c r="BB641" s="450">
        <v>87.03</v>
      </c>
      <c r="BC641" s="450">
        <v>87.22</v>
      </c>
      <c r="BD641" s="450">
        <v>87.37</v>
      </c>
      <c r="BE641" s="450">
        <v>87.49</v>
      </c>
    </row>
    <row r="642" spans="2:57" x14ac:dyDescent="0.25">
      <c r="B642" s="134">
        <v>25</v>
      </c>
      <c r="C642" s="450">
        <v>84.14</v>
      </c>
      <c r="D642" s="450">
        <v>84.21</v>
      </c>
      <c r="E642" s="450">
        <v>84.28</v>
      </c>
      <c r="F642" s="450">
        <v>84.34</v>
      </c>
      <c r="G642" s="450">
        <v>84.41</v>
      </c>
      <c r="H642" s="450">
        <v>84.47</v>
      </c>
      <c r="I642" s="450">
        <v>84.54</v>
      </c>
      <c r="J642" s="450">
        <v>84.6</v>
      </c>
      <c r="K642" s="450">
        <v>84.67</v>
      </c>
      <c r="L642" s="450">
        <v>84.73</v>
      </c>
      <c r="M642" s="450">
        <v>84.79</v>
      </c>
      <c r="N642" s="450">
        <v>84.85</v>
      </c>
      <c r="O642" s="450">
        <v>85.12</v>
      </c>
      <c r="P642" s="450">
        <v>85.35</v>
      </c>
      <c r="Q642" s="450">
        <v>85.54</v>
      </c>
      <c r="R642" s="450">
        <v>85.69</v>
      </c>
      <c r="S642" s="450">
        <v>85.8</v>
      </c>
      <c r="T642" s="133"/>
      <c r="U642" s="134">
        <v>25</v>
      </c>
      <c r="V642" s="450">
        <v>84.99</v>
      </c>
      <c r="W642" s="450">
        <v>85.06</v>
      </c>
      <c r="X642" s="450">
        <v>85.13</v>
      </c>
      <c r="Y642" s="450">
        <v>85.2</v>
      </c>
      <c r="Z642" s="450">
        <v>85.26</v>
      </c>
      <c r="AA642" s="450">
        <v>85.33</v>
      </c>
      <c r="AB642" s="450">
        <v>85.4</v>
      </c>
      <c r="AC642" s="450">
        <v>85.46</v>
      </c>
      <c r="AD642" s="450">
        <v>85.53</v>
      </c>
      <c r="AE642" s="450">
        <v>85.59</v>
      </c>
      <c r="AF642" s="450">
        <v>85.65</v>
      </c>
      <c r="AG642" s="450">
        <v>85.71</v>
      </c>
      <c r="AH642" s="450">
        <v>85.99</v>
      </c>
      <c r="AI642" s="450">
        <v>86.23</v>
      </c>
      <c r="AJ642" s="450">
        <v>86.42</v>
      </c>
      <c r="AK642" s="450">
        <v>86.58</v>
      </c>
      <c r="AL642" s="450">
        <v>86.69</v>
      </c>
      <c r="AM642" s="133"/>
      <c r="AN642" s="134">
        <v>25</v>
      </c>
      <c r="AO642" s="450">
        <v>85.95</v>
      </c>
      <c r="AP642" s="450">
        <v>86.03</v>
      </c>
      <c r="AQ642" s="450">
        <v>86.1</v>
      </c>
      <c r="AR642" s="450">
        <v>86.17</v>
      </c>
      <c r="AS642" s="450">
        <v>86.23</v>
      </c>
      <c r="AT642" s="450">
        <v>86.3</v>
      </c>
      <c r="AU642" s="450">
        <v>86.37</v>
      </c>
      <c r="AV642" s="450">
        <v>86.44</v>
      </c>
      <c r="AW642" s="450">
        <v>86.5</v>
      </c>
      <c r="AX642" s="450">
        <v>86.57</v>
      </c>
      <c r="AY642" s="450">
        <v>86.63</v>
      </c>
      <c r="AZ642" s="450">
        <v>86.69</v>
      </c>
      <c r="BA642" s="450">
        <v>86.98</v>
      </c>
      <c r="BB642" s="450">
        <v>87.23</v>
      </c>
      <c r="BC642" s="450">
        <v>87.43</v>
      </c>
      <c r="BD642" s="450">
        <v>87.59</v>
      </c>
      <c r="BE642" s="450">
        <v>87.7</v>
      </c>
    </row>
    <row r="643" spans="2:57" x14ac:dyDescent="0.25">
      <c r="B643" s="134">
        <v>26</v>
      </c>
      <c r="C643" s="450">
        <v>84.28</v>
      </c>
      <c r="D643" s="450">
        <v>84.35</v>
      </c>
      <c r="E643" s="450">
        <v>84.42</v>
      </c>
      <c r="F643" s="450">
        <v>84.49</v>
      </c>
      <c r="G643" s="450">
        <v>84.56</v>
      </c>
      <c r="H643" s="450">
        <v>84.63</v>
      </c>
      <c r="I643" s="450">
        <v>84.7</v>
      </c>
      <c r="J643" s="450">
        <v>84.77</v>
      </c>
      <c r="K643" s="450">
        <v>84.83</v>
      </c>
      <c r="L643" s="450">
        <v>84.9</v>
      </c>
      <c r="M643" s="450">
        <v>84.96</v>
      </c>
      <c r="N643" s="450">
        <v>85.02</v>
      </c>
      <c r="O643" s="450">
        <v>85.31</v>
      </c>
      <c r="P643" s="450">
        <v>85.55</v>
      </c>
      <c r="Q643" s="450">
        <v>85.75</v>
      </c>
      <c r="R643" s="450">
        <v>85.9</v>
      </c>
      <c r="S643" s="450">
        <v>86.02</v>
      </c>
      <c r="T643" s="133"/>
      <c r="U643" s="134">
        <v>26</v>
      </c>
      <c r="V643" s="450">
        <v>85.14</v>
      </c>
      <c r="W643" s="450">
        <v>85.21</v>
      </c>
      <c r="X643" s="450">
        <v>85.28</v>
      </c>
      <c r="Y643" s="450">
        <v>85.35</v>
      </c>
      <c r="Z643" s="450">
        <v>85.42</v>
      </c>
      <c r="AA643" s="450">
        <v>85.49</v>
      </c>
      <c r="AB643" s="450">
        <v>85.56</v>
      </c>
      <c r="AC643" s="450">
        <v>85.63</v>
      </c>
      <c r="AD643" s="450">
        <v>85.7</v>
      </c>
      <c r="AE643" s="450">
        <v>85.76</v>
      </c>
      <c r="AF643" s="450">
        <v>85.83</v>
      </c>
      <c r="AG643" s="450">
        <v>85.89</v>
      </c>
      <c r="AH643" s="450">
        <v>86.18</v>
      </c>
      <c r="AI643" s="450">
        <v>86.43</v>
      </c>
      <c r="AJ643" s="450">
        <v>86.63</v>
      </c>
      <c r="AK643" s="450">
        <v>86.79</v>
      </c>
      <c r="AL643" s="450">
        <v>86.91</v>
      </c>
      <c r="AM643" s="133"/>
      <c r="AN643" s="134">
        <v>26</v>
      </c>
      <c r="AO643" s="450">
        <v>86.1</v>
      </c>
      <c r="AP643" s="450">
        <v>86.18</v>
      </c>
      <c r="AQ643" s="450">
        <v>86.25</v>
      </c>
      <c r="AR643" s="450">
        <v>86.32</v>
      </c>
      <c r="AS643" s="450">
        <v>86.4</v>
      </c>
      <c r="AT643" s="450">
        <v>86.47</v>
      </c>
      <c r="AU643" s="450">
        <v>86.54</v>
      </c>
      <c r="AV643" s="450">
        <v>86.61</v>
      </c>
      <c r="AW643" s="450">
        <v>86.68</v>
      </c>
      <c r="AX643" s="450">
        <v>86.75</v>
      </c>
      <c r="AY643" s="450">
        <v>86.81</v>
      </c>
      <c r="AZ643" s="450">
        <v>86.88</v>
      </c>
      <c r="BA643" s="450">
        <v>87.18</v>
      </c>
      <c r="BB643" s="450">
        <v>87.44</v>
      </c>
      <c r="BC643" s="450">
        <v>87.64</v>
      </c>
      <c r="BD643" s="450">
        <v>87.81</v>
      </c>
      <c r="BE643" s="450">
        <v>87.93</v>
      </c>
    </row>
    <row r="644" spans="2:57" x14ac:dyDescent="0.25">
      <c r="B644" s="134">
        <v>27</v>
      </c>
      <c r="C644" s="450">
        <v>84.43</v>
      </c>
      <c r="D644" s="450">
        <v>84.51</v>
      </c>
      <c r="E644" s="450">
        <v>84.58</v>
      </c>
      <c r="F644" s="450">
        <v>84.65</v>
      </c>
      <c r="G644" s="450">
        <v>84.72</v>
      </c>
      <c r="H644" s="450">
        <v>84.8</v>
      </c>
      <c r="I644" s="450">
        <v>84.87</v>
      </c>
      <c r="J644" s="450">
        <v>84.94</v>
      </c>
      <c r="K644" s="450">
        <v>85.01</v>
      </c>
      <c r="L644" s="450">
        <v>85.07</v>
      </c>
      <c r="M644" s="450">
        <v>85.14</v>
      </c>
      <c r="N644" s="450">
        <v>85.21</v>
      </c>
      <c r="O644" s="450">
        <v>85.51</v>
      </c>
      <c r="P644" s="450">
        <v>85.76</v>
      </c>
      <c r="Q644" s="450">
        <v>85.96</v>
      </c>
      <c r="R644" s="450">
        <v>86.12</v>
      </c>
      <c r="S644" s="450">
        <v>86.24</v>
      </c>
      <c r="T644" s="133"/>
      <c r="U644" s="134">
        <v>27</v>
      </c>
      <c r="V644" s="450">
        <v>85.29</v>
      </c>
      <c r="W644" s="450">
        <v>85.36</v>
      </c>
      <c r="X644" s="450">
        <v>85.44</v>
      </c>
      <c r="Y644" s="450">
        <v>85.51</v>
      </c>
      <c r="Z644" s="450">
        <v>85.59</v>
      </c>
      <c r="AA644" s="450">
        <v>85.66</v>
      </c>
      <c r="AB644" s="450">
        <v>85.73</v>
      </c>
      <c r="AC644" s="450">
        <v>85.8</v>
      </c>
      <c r="AD644" s="450">
        <v>85.87</v>
      </c>
      <c r="AE644" s="450">
        <v>85.94</v>
      </c>
      <c r="AF644" s="450">
        <v>86.01</v>
      </c>
      <c r="AG644" s="450">
        <v>86.08</v>
      </c>
      <c r="AH644" s="450">
        <v>86.38</v>
      </c>
      <c r="AI644" s="450">
        <v>86.64</v>
      </c>
      <c r="AJ644" s="450">
        <v>86.85</v>
      </c>
      <c r="AK644" s="450">
        <v>87.02</v>
      </c>
      <c r="AL644" s="450">
        <v>87.14</v>
      </c>
      <c r="AM644" s="133"/>
      <c r="AN644" s="134">
        <v>27</v>
      </c>
      <c r="AO644" s="450">
        <v>86.26</v>
      </c>
      <c r="AP644" s="450">
        <v>86.34</v>
      </c>
      <c r="AQ644" s="450">
        <v>86.41</v>
      </c>
      <c r="AR644" s="450">
        <v>86.49</v>
      </c>
      <c r="AS644" s="450">
        <v>86.57</v>
      </c>
      <c r="AT644" s="450">
        <v>86.64</v>
      </c>
      <c r="AU644" s="450">
        <v>86.72</v>
      </c>
      <c r="AV644" s="450">
        <v>86.79</v>
      </c>
      <c r="AW644" s="450">
        <v>86.86</v>
      </c>
      <c r="AX644" s="450">
        <v>86.93</v>
      </c>
      <c r="AY644" s="450">
        <v>87</v>
      </c>
      <c r="AZ644" s="450">
        <v>87.07</v>
      </c>
      <c r="BA644" s="450">
        <v>87.39</v>
      </c>
      <c r="BB644" s="450">
        <v>87.65</v>
      </c>
      <c r="BC644" s="450">
        <v>87.87</v>
      </c>
      <c r="BD644" s="450">
        <v>88.04</v>
      </c>
      <c r="BE644" s="450">
        <v>88.16</v>
      </c>
    </row>
    <row r="645" spans="2:57" x14ac:dyDescent="0.25">
      <c r="B645" s="134">
        <v>28</v>
      </c>
      <c r="C645" s="450">
        <v>84.59</v>
      </c>
      <c r="D645" s="450">
        <v>84.66</v>
      </c>
      <c r="E645" s="450">
        <v>84.74</v>
      </c>
      <c r="F645" s="450">
        <v>84.82</v>
      </c>
      <c r="G645" s="450">
        <v>84.89</v>
      </c>
      <c r="H645" s="450">
        <v>84.97</v>
      </c>
      <c r="I645" s="450">
        <v>85.05</v>
      </c>
      <c r="J645" s="450">
        <v>85.12</v>
      </c>
      <c r="K645" s="450">
        <v>85.19</v>
      </c>
      <c r="L645" s="450">
        <v>85.26</v>
      </c>
      <c r="M645" s="450">
        <v>85.33</v>
      </c>
      <c r="N645" s="450">
        <v>85.4</v>
      </c>
      <c r="O645" s="450">
        <v>85.71</v>
      </c>
      <c r="P645" s="450">
        <v>85.98</v>
      </c>
      <c r="Q645" s="450">
        <v>86.19</v>
      </c>
      <c r="R645" s="450">
        <v>86.35</v>
      </c>
      <c r="S645" s="450">
        <v>86.47</v>
      </c>
      <c r="T645" s="133"/>
      <c r="U645" s="134">
        <v>28</v>
      </c>
      <c r="V645" s="450">
        <v>85.45</v>
      </c>
      <c r="W645" s="450">
        <v>85.52</v>
      </c>
      <c r="X645" s="450">
        <v>85.6</v>
      </c>
      <c r="Y645" s="450">
        <v>85.68</v>
      </c>
      <c r="Z645" s="450">
        <v>85.76</v>
      </c>
      <c r="AA645" s="450">
        <v>85.84</v>
      </c>
      <c r="AB645" s="450">
        <v>85.91</v>
      </c>
      <c r="AC645" s="450">
        <v>85.99</v>
      </c>
      <c r="AD645" s="450">
        <v>86.06</v>
      </c>
      <c r="AE645" s="450">
        <v>86.14</v>
      </c>
      <c r="AF645" s="450">
        <v>86.21</v>
      </c>
      <c r="AG645" s="450">
        <v>86.28</v>
      </c>
      <c r="AH645" s="450">
        <v>86.6</v>
      </c>
      <c r="AI645" s="450">
        <v>86.87</v>
      </c>
      <c r="AJ645" s="450">
        <v>87.08</v>
      </c>
      <c r="AK645" s="450">
        <v>87.25</v>
      </c>
      <c r="AL645" s="450">
        <v>87.37</v>
      </c>
      <c r="AM645" s="133"/>
      <c r="AN645" s="134">
        <v>28</v>
      </c>
      <c r="AO645" s="450">
        <v>86.42</v>
      </c>
      <c r="AP645" s="450">
        <v>86.5</v>
      </c>
      <c r="AQ645" s="450">
        <v>86.58</v>
      </c>
      <c r="AR645" s="450">
        <v>86.66</v>
      </c>
      <c r="AS645" s="450">
        <v>86.74</v>
      </c>
      <c r="AT645" s="450">
        <v>86.82</v>
      </c>
      <c r="AU645" s="450">
        <v>86.9</v>
      </c>
      <c r="AV645" s="450">
        <v>86.98</v>
      </c>
      <c r="AW645" s="450">
        <v>87.06</v>
      </c>
      <c r="AX645" s="450">
        <v>87.13</v>
      </c>
      <c r="AY645" s="450">
        <v>87.2</v>
      </c>
      <c r="AZ645" s="450">
        <v>87.27</v>
      </c>
      <c r="BA645" s="450">
        <v>87.6</v>
      </c>
      <c r="BB645" s="450">
        <v>87.88</v>
      </c>
      <c r="BC645" s="450">
        <v>88.11</v>
      </c>
      <c r="BD645" s="450">
        <v>88.28</v>
      </c>
      <c r="BE645" s="450">
        <v>88.4</v>
      </c>
    </row>
    <row r="646" spans="2:57" x14ac:dyDescent="0.25">
      <c r="B646" s="134">
        <v>29</v>
      </c>
      <c r="C646" s="450">
        <v>84.75</v>
      </c>
      <c r="D646" s="450">
        <v>84.83</v>
      </c>
      <c r="E646" s="450">
        <v>84.91</v>
      </c>
      <c r="F646" s="450">
        <v>84.99</v>
      </c>
      <c r="G646" s="450">
        <v>85.07</v>
      </c>
      <c r="H646" s="450">
        <v>85.15</v>
      </c>
      <c r="I646" s="450">
        <v>85.23</v>
      </c>
      <c r="J646" s="450">
        <v>85.31</v>
      </c>
      <c r="K646" s="450">
        <v>85.38</v>
      </c>
      <c r="L646" s="450">
        <v>85.46</v>
      </c>
      <c r="M646" s="450">
        <v>85.53</v>
      </c>
      <c r="N646" s="450">
        <v>85.6</v>
      </c>
      <c r="O646" s="450">
        <v>85.93</v>
      </c>
      <c r="P646" s="450">
        <v>86.2</v>
      </c>
      <c r="Q646" s="450">
        <v>86.43</v>
      </c>
      <c r="R646" s="450">
        <v>86.6</v>
      </c>
      <c r="S646" s="450">
        <v>86.71</v>
      </c>
      <c r="T646" s="133"/>
      <c r="U646" s="134">
        <v>29</v>
      </c>
      <c r="V646" s="450">
        <v>85.61</v>
      </c>
      <c r="W646" s="450">
        <v>85.7</v>
      </c>
      <c r="X646" s="450">
        <v>85.78</v>
      </c>
      <c r="Y646" s="450">
        <v>85.86</v>
      </c>
      <c r="Z646" s="450">
        <v>85.94</v>
      </c>
      <c r="AA646" s="450">
        <v>86.02</v>
      </c>
      <c r="AB646" s="450">
        <v>86.1</v>
      </c>
      <c r="AC646" s="450">
        <v>86.18</v>
      </c>
      <c r="AD646" s="450">
        <v>86.26</v>
      </c>
      <c r="AE646" s="450">
        <v>86.34</v>
      </c>
      <c r="AF646" s="450">
        <v>86.41</v>
      </c>
      <c r="AG646" s="450">
        <v>86.48</v>
      </c>
      <c r="AH646" s="450">
        <v>86.82</v>
      </c>
      <c r="AI646" s="450">
        <v>87.1</v>
      </c>
      <c r="AJ646" s="450">
        <v>87.33</v>
      </c>
      <c r="AK646" s="450">
        <v>87.5</v>
      </c>
      <c r="AL646" s="450">
        <v>87.62</v>
      </c>
      <c r="AM646" s="133"/>
      <c r="AN646" s="134">
        <v>29</v>
      </c>
      <c r="AO646" s="450">
        <v>86.59</v>
      </c>
      <c r="AP646" s="450">
        <v>86.68</v>
      </c>
      <c r="AQ646" s="450">
        <v>86.76</v>
      </c>
      <c r="AR646" s="450">
        <v>86.85</v>
      </c>
      <c r="AS646" s="450">
        <v>86.93</v>
      </c>
      <c r="AT646" s="450">
        <v>87.02</v>
      </c>
      <c r="AU646" s="450">
        <v>87.1</v>
      </c>
      <c r="AV646" s="450">
        <v>87.18</v>
      </c>
      <c r="AW646" s="450">
        <v>87.26</v>
      </c>
      <c r="AX646" s="450">
        <v>87.34</v>
      </c>
      <c r="AY646" s="450">
        <v>87.41</v>
      </c>
      <c r="AZ646" s="450">
        <v>87.49</v>
      </c>
      <c r="BA646" s="450">
        <v>87.83</v>
      </c>
      <c r="BB646" s="450">
        <v>88.12</v>
      </c>
      <c r="BC646" s="450">
        <v>88.36</v>
      </c>
      <c r="BD646" s="450">
        <v>88.53</v>
      </c>
      <c r="BE646" s="450">
        <v>88.66</v>
      </c>
    </row>
    <row r="647" spans="2:57" x14ac:dyDescent="0.25">
      <c r="B647" s="134">
        <v>30</v>
      </c>
      <c r="C647" s="450">
        <v>84.92</v>
      </c>
      <c r="D647" s="450">
        <v>85.01</v>
      </c>
      <c r="E647" s="450">
        <v>85.09</v>
      </c>
      <c r="F647" s="450">
        <v>85.18</v>
      </c>
      <c r="G647" s="450">
        <v>85.26</v>
      </c>
      <c r="H647" s="450">
        <v>85.34</v>
      </c>
      <c r="I647" s="450">
        <v>85.43</v>
      </c>
      <c r="J647" s="450">
        <v>85.51</v>
      </c>
      <c r="K647" s="450">
        <v>85.59</v>
      </c>
      <c r="L647" s="450">
        <v>85.66</v>
      </c>
      <c r="M647" s="450">
        <v>85.74</v>
      </c>
      <c r="N647" s="450">
        <v>85.81</v>
      </c>
      <c r="O647" s="450">
        <v>86.16</v>
      </c>
      <c r="P647" s="450">
        <v>86.44</v>
      </c>
      <c r="Q647" s="450">
        <v>86.67</v>
      </c>
      <c r="R647" s="450">
        <v>86.85</v>
      </c>
      <c r="S647" s="450">
        <v>86.96</v>
      </c>
      <c r="T647" s="133"/>
      <c r="U647" s="134">
        <v>30</v>
      </c>
      <c r="V647" s="450">
        <v>85.79</v>
      </c>
      <c r="W647" s="450">
        <v>85.87</v>
      </c>
      <c r="X647" s="450">
        <v>85.96</v>
      </c>
      <c r="Y647" s="450">
        <v>86.05</v>
      </c>
      <c r="Z647" s="450">
        <v>86.13</v>
      </c>
      <c r="AA647" s="450">
        <v>86.22</v>
      </c>
      <c r="AB647" s="450">
        <v>86.3</v>
      </c>
      <c r="AC647" s="450">
        <v>86.38</v>
      </c>
      <c r="AD647" s="450">
        <v>86.47</v>
      </c>
      <c r="AE647" s="450">
        <v>86.55</v>
      </c>
      <c r="AF647" s="450">
        <v>86.62</v>
      </c>
      <c r="AG647" s="450">
        <v>86.7</v>
      </c>
      <c r="AH647" s="450">
        <v>87.05</v>
      </c>
      <c r="AI647" s="450">
        <v>87.34</v>
      </c>
      <c r="AJ647" s="450">
        <v>87.58</v>
      </c>
      <c r="AK647" s="450">
        <v>87.76</v>
      </c>
      <c r="AL647" s="450">
        <v>87.88</v>
      </c>
      <c r="AM647" s="133"/>
      <c r="AN647" s="134">
        <v>30</v>
      </c>
      <c r="AO647" s="450">
        <v>86.77</v>
      </c>
      <c r="AP647" s="450">
        <v>86.86</v>
      </c>
      <c r="AQ647" s="450">
        <v>86.95</v>
      </c>
      <c r="AR647" s="450">
        <v>87.04</v>
      </c>
      <c r="AS647" s="450">
        <v>87.13</v>
      </c>
      <c r="AT647" s="450">
        <v>87.22</v>
      </c>
      <c r="AU647" s="450">
        <v>87.3</v>
      </c>
      <c r="AV647" s="450">
        <v>87.39</v>
      </c>
      <c r="AW647" s="450">
        <v>87.47</v>
      </c>
      <c r="AX647" s="450">
        <v>87.55</v>
      </c>
      <c r="AY647" s="450">
        <v>87.63</v>
      </c>
      <c r="AZ647" s="450">
        <v>87.71</v>
      </c>
      <c r="BA647" s="450">
        <v>88.07</v>
      </c>
      <c r="BB647" s="450">
        <v>88.37</v>
      </c>
      <c r="BC647" s="450">
        <v>88.62</v>
      </c>
      <c r="BD647" s="450">
        <v>88.8</v>
      </c>
      <c r="BE647" s="450">
        <v>88.93</v>
      </c>
    </row>
    <row r="648" spans="2:57" x14ac:dyDescent="0.25">
      <c r="B648" s="134">
        <v>31</v>
      </c>
      <c r="C648" s="450">
        <v>85.1</v>
      </c>
      <c r="D648" s="450">
        <v>85.19</v>
      </c>
      <c r="E648" s="450">
        <v>85.28</v>
      </c>
      <c r="F648" s="450">
        <v>85.37</v>
      </c>
      <c r="G648" s="450">
        <v>85.46</v>
      </c>
      <c r="H648" s="450">
        <v>85.54</v>
      </c>
      <c r="I648" s="450">
        <v>85.63</v>
      </c>
      <c r="J648" s="450">
        <v>85.72</v>
      </c>
      <c r="K648" s="450">
        <v>85.8</v>
      </c>
      <c r="L648" s="450">
        <v>85.88</v>
      </c>
      <c r="M648" s="450">
        <v>85.96</v>
      </c>
      <c r="N648" s="450">
        <v>86.04</v>
      </c>
      <c r="O648" s="450">
        <v>86.39</v>
      </c>
      <c r="P648" s="450">
        <v>86.69</v>
      </c>
      <c r="Q648" s="450">
        <v>86.93</v>
      </c>
      <c r="R648" s="450">
        <v>87.11</v>
      </c>
      <c r="S648" s="450">
        <v>87.23</v>
      </c>
      <c r="T648" s="133"/>
      <c r="U648" s="134">
        <v>31</v>
      </c>
      <c r="V648" s="450">
        <v>85.97</v>
      </c>
      <c r="W648" s="450">
        <v>86.06</v>
      </c>
      <c r="X648" s="450">
        <v>86.15</v>
      </c>
      <c r="Y648" s="450">
        <v>86.24</v>
      </c>
      <c r="Z648" s="450">
        <v>86.33</v>
      </c>
      <c r="AA648" s="450">
        <v>86.42</v>
      </c>
      <c r="AB648" s="450">
        <v>86.51</v>
      </c>
      <c r="AC648" s="450">
        <v>86.6</v>
      </c>
      <c r="AD648" s="450">
        <v>86.68</v>
      </c>
      <c r="AE648" s="450">
        <v>86.77</v>
      </c>
      <c r="AF648" s="450">
        <v>86.85</v>
      </c>
      <c r="AG648" s="450">
        <v>86.93</v>
      </c>
      <c r="AH648" s="450">
        <v>87.29</v>
      </c>
      <c r="AI648" s="450">
        <v>87.6</v>
      </c>
      <c r="AJ648" s="450">
        <v>87.84</v>
      </c>
      <c r="AK648" s="450">
        <v>88.02</v>
      </c>
      <c r="AL648" s="450">
        <v>88.15</v>
      </c>
      <c r="AM648" s="133"/>
      <c r="AN648" s="134">
        <v>31</v>
      </c>
      <c r="AO648" s="450">
        <v>86.96</v>
      </c>
      <c r="AP648" s="450">
        <v>87.05</v>
      </c>
      <c r="AQ648" s="450">
        <v>87.15</v>
      </c>
      <c r="AR648" s="450">
        <v>87.24</v>
      </c>
      <c r="AS648" s="450">
        <v>87.34</v>
      </c>
      <c r="AT648" s="450">
        <v>87.43</v>
      </c>
      <c r="AU648" s="450">
        <v>87.52</v>
      </c>
      <c r="AV648" s="450">
        <v>87.61</v>
      </c>
      <c r="AW648" s="450">
        <v>87.69</v>
      </c>
      <c r="AX648" s="450">
        <v>87.78</v>
      </c>
      <c r="AY648" s="450">
        <v>87.86</v>
      </c>
      <c r="AZ648" s="450">
        <v>87.94</v>
      </c>
      <c r="BA648" s="450">
        <v>88.32</v>
      </c>
      <c r="BB648" s="450">
        <v>88.63</v>
      </c>
      <c r="BC648" s="450">
        <v>88.89</v>
      </c>
      <c r="BD648" s="450">
        <v>89.08</v>
      </c>
      <c r="BE648" s="450">
        <v>89.2</v>
      </c>
    </row>
    <row r="649" spans="2:57" x14ac:dyDescent="0.25">
      <c r="B649" s="134">
        <v>32</v>
      </c>
      <c r="C649" s="450">
        <v>85.29</v>
      </c>
      <c r="D649" s="450">
        <v>85.38</v>
      </c>
      <c r="E649" s="450">
        <v>85.48</v>
      </c>
      <c r="F649" s="450">
        <v>85.57</v>
      </c>
      <c r="G649" s="450">
        <v>85.66</v>
      </c>
      <c r="H649" s="450">
        <v>85.76</v>
      </c>
      <c r="I649" s="450">
        <v>85.85</v>
      </c>
      <c r="J649" s="450">
        <v>85.93</v>
      </c>
      <c r="K649" s="450">
        <v>86.02</v>
      </c>
      <c r="L649" s="450">
        <v>86.11</v>
      </c>
      <c r="M649" s="450">
        <v>86.19</v>
      </c>
      <c r="N649" s="450">
        <v>86.27</v>
      </c>
      <c r="O649" s="450">
        <v>86.64</v>
      </c>
      <c r="P649" s="450">
        <v>86.95</v>
      </c>
      <c r="Q649" s="450">
        <v>87.2</v>
      </c>
      <c r="R649" s="450">
        <v>87.38</v>
      </c>
      <c r="S649" s="450">
        <v>87.5</v>
      </c>
      <c r="T649" s="133"/>
      <c r="U649" s="134">
        <v>32</v>
      </c>
      <c r="V649" s="450">
        <v>86.16</v>
      </c>
      <c r="W649" s="450">
        <v>86.26</v>
      </c>
      <c r="X649" s="450">
        <v>86.36</v>
      </c>
      <c r="Y649" s="450">
        <v>86.45</v>
      </c>
      <c r="Z649" s="450">
        <v>86.55</v>
      </c>
      <c r="AA649" s="450">
        <v>86.64</v>
      </c>
      <c r="AB649" s="450">
        <v>86.73</v>
      </c>
      <c r="AC649" s="450">
        <v>86.82</v>
      </c>
      <c r="AD649" s="450">
        <v>86.91</v>
      </c>
      <c r="AE649" s="450">
        <v>87</v>
      </c>
      <c r="AF649" s="450">
        <v>87.08</v>
      </c>
      <c r="AG649" s="450">
        <v>87.17</v>
      </c>
      <c r="AH649" s="450">
        <v>87.55</v>
      </c>
      <c r="AI649" s="450">
        <v>87.86</v>
      </c>
      <c r="AJ649" s="450">
        <v>88.12</v>
      </c>
      <c r="AK649" s="450">
        <v>88.31</v>
      </c>
      <c r="AL649" s="450">
        <v>88.43</v>
      </c>
      <c r="AM649" s="133"/>
      <c r="AN649" s="134">
        <v>32</v>
      </c>
      <c r="AO649" s="450">
        <v>87.16</v>
      </c>
      <c r="AP649" s="450">
        <v>87.26</v>
      </c>
      <c r="AQ649" s="450">
        <v>87.36</v>
      </c>
      <c r="AR649" s="450">
        <v>87.45</v>
      </c>
      <c r="AS649" s="450">
        <v>87.55</v>
      </c>
      <c r="AT649" s="450">
        <v>87.65</v>
      </c>
      <c r="AU649" s="450">
        <v>87.74</v>
      </c>
      <c r="AV649" s="450">
        <v>87.84</v>
      </c>
      <c r="AW649" s="450">
        <v>87.93</v>
      </c>
      <c r="AX649" s="450">
        <v>88.02</v>
      </c>
      <c r="AY649" s="450">
        <v>88.1</v>
      </c>
      <c r="AZ649" s="450">
        <v>88.19</v>
      </c>
      <c r="BA649" s="450">
        <v>88.58</v>
      </c>
      <c r="BB649" s="450">
        <v>88.91</v>
      </c>
      <c r="BC649" s="450">
        <v>89.17</v>
      </c>
      <c r="BD649" s="450">
        <v>89.37</v>
      </c>
      <c r="BE649" s="450">
        <v>89.49</v>
      </c>
    </row>
    <row r="650" spans="2:57" x14ac:dyDescent="0.25">
      <c r="B650" s="134">
        <v>33</v>
      </c>
      <c r="C650" s="450">
        <v>85.49</v>
      </c>
      <c r="D650" s="450">
        <v>85.59</v>
      </c>
      <c r="E650" s="450">
        <v>85.68</v>
      </c>
      <c r="F650" s="450">
        <v>85.78</v>
      </c>
      <c r="G650" s="450">
        <v>85.88</v>
      </c>
      <c r="H650" s="450">
        <v>85.98</v>
      </c>
      <c r="I650" s="450">
        <v>86.07</v>
      </c>
      <c r="J650" s="450">
        <v>86.16</v>
      </c>
      <c r="K650" s="450">
        <v>86.25</v>
      </c>
      <c r="L650" s="450">
        <v>86.34</v>
      </c>
      <c r="M650" s="450">
        <v>86.43</v>
      </c>
      <c r="N650" s="450">
        <v>86.52</v>
      </c>
      <c r="O650" s="450">
        <v>86.9</v>
      </c>
      <c r="P650" s="450">
        <v>87.23</v>
      </c>
      <c r="Q650" s="450">
        <v>87.48</v>
      </c>
      <c r="R650" s="450">
        <v>87.67</v>
      </c>
      <c r="S650" s="450">
        <v>87.79</v>
      </c>
      <c r="T650" s="133"/>
      <c r="U650" s="134">
        <v>33</v>
      </c>
      <c r="V650" s="450">
        <v>86.36</v>
      </c>
      <c r="W650" s="450">
        <v>86.47</v>
      </c>
      <c r="X650" s="450">
        <v>86.57</v>
      </c>
      <c r="Y650" s="450">
        <v>86.67</v>
      </c>
      <c r="Z650" s="450">
        <v>86.77</v>
      </c>
      <c r="AA650" s="450">
        <v>86.86</v>
      </c>
      <c r="AB650" s="450">
        <v>86.96</v>
      </c>
      <c r="AC650" s="450">
        <v>87.06</v>
      </c>
      <c r="AD650" s="450">
        <v>87.15</v>
      </c>
      <c r="AE650" s="450">
        <v>87.24</v>
      </c>
      <c r="AF650" s="450">
        <v>87.33</v>
      </c>
      <c r="AG650" s="450">
        <v>87.42</v>
      </c>
      <c r="AH650" s="450">
        <v>87.81</v>
      </c>
      <c r="AI650" s="450">
        <v>88.14</v>
      </c>
      <c r="AJ650" s="450">
        <v>88.41</v>
      </c>
      <c r="AK650" s="450">
        <v>88.6</v>
      </c>
      <c r="AL650" s="450">
        <v>88.72</v>
      </c>
      <c r="AM650" s="133"/>
      <c r="AN650" s="134">
        <v>33</v>
      </c>
      <c r="AO650" s="450">
        <v>87.37</v>
      </c>
      <c r="AP650" s="450">
        <v>87.47</v>
      </c>
      <c r="AQ650" s="450">
        <v>87.57</v>
      </c>
      <c r="AR650" s="450">
        <v>87.68</v>
      </c>
      <c r="AS650" s="450">
        <v>87.78</v>
      </c>
      <c r="AT650" s="450">
        <v>87.88</v>
      </c>
      <c r="AU650" s="450">
        <v>87.98</v>
      </c>
      <c r="AV650" s="450">
        <v>88.08</v>
      </c>
      <c r="AW650" s="450">
        <v>88.17</v>
      </c>
      <c r="AX650" s="450">
        <v>88.27</v>
      </c>
      <c r="AY650" s="450">
        <v>88.36</v>
      </c>
      <c r="AZ650" s="450">
        <v>88.45</v>
      </c>
      <c r="BA650" s="450">
        <v>88.86</v>
      </c>
      <c r="BB650" s="450">
        <v>89.2</v>
      </c>
      <c r="BC650" s="450">
        <v>89.47</v>
      </c>
      <c r="BD650" s="450">
        <v>89.67</v>
      </c>
      <c r="BE650" s="450">
        <v>89.79</v>
      </c>
    </row>
    <row r="651" spans="2:57" x14ac:dyDescent="0.25">
      <c r="B651" s="134">
        <v>34</v>
      </c>
      <c r="C651" s="450">
        <v>85.69</v>
      </c>
      <c r="D651" s="450">
        <v>85.8</v>
      </c>
      <c r="E651" s="450">
        <v>85.9</v>
      </c>
      <c r="F651" s="450">
        <v>86.01</v>
      </c>
      <c r="G651" s="450">
        <v>86.11</v>
      </c>
      <c r="H651" s="450">
        <v>86.21</v>
      </c>
      <c r="I651" s="450">
        <v>86.31</v>
      </c>
      <c r="J651" s="450">
        <v>86.4</v>
      </c>
      <c r="K651" s="450">
        <v>86.5</v>
      </c>
      <c r="L651" s="450">
        <v>86.59</v>
      </c>
      <c r="M651" s="450">
        <v>86.68</v>
      </c>
      <c r="N651" s="450">
        <v>86.77</v>
      </c>
      <c r="O651" s="450">
        <v>87.18</v>
      </c>
      <c r="P651" s="450">
        <v>87.51</v>
      </c>
      <c r="Q651" s="450">
        <v>87.78</v>
      </c>
      <c r="R651" s="450">
        <v>87.97</v>
      </c>
      <c r="S651" s="450">
        <v>88.08</v>
      </c>
      <c r="T651" s="133"/>
      <c r="U651" s="134">
        <v>34</v>
      </c>
      <c r="V651" s="450">
        <v>86.58</v>
      </c>
      <c r="W651" s="450">
        <v>86.68</v>
      </c>
      <c r="X651" s="450">
        <v>86.79</v>
      </c>
      <c r="Y651" s="450">
        <v>86.89</v>
      </c>
      <c r="Z651" s="450">
        <v>87</v>
      </c>
      <c r="AA651" s="450">
        <v>87.1</v>
      </c>
      <c r="AB651" s="450">
        <v>87.2</v>
      </c>
      <c r="AC651" s="450">
        <v>87.3</v>
      </c>
      <c r="AD651" s="450">
        <v>87.4</v>
      </c>
      <c r="AE651" s="450">
        <v>87.49</v>
      </c>
      <c r="AF651" s="450">
        <v>87.59</v>
      </c>
      <c r="AG651" s="450">
        <v>87.68</v>
      </c>
      <c r="AH651" s="450">
        <v>88.09</v>
      </c>
      <c r="AI651" s="450">
        <v>88.44</v>
      </c>
      <c r="AJ651" s="450">
        <v>88.71</v>
      </c>
      <c r="AK651" s="450">
        <v>88.9</v>
      </c>
      <c r="AL651" s="450">
        <v>89.02</v>
      </c>
      <c r="AM651" s="133"/>
      <c r="AN651" s="134">
        <v>34</v>
      </c>
      <c r="AO651" s="450">
        <v>87.58</v>
      </c>
      <c r="AP651" s="450">
        <v>87.69</v>
      </c>
      <c r="AQ651" s="450">
        <v>87.8</v>
      </c>
      <c r="AR651" s="450">
        <v>87.91</v>
      </c>
      <c r="AS651" s="450">
        <v>88.02</v>
      </c>
      <c r="AT651" s="450">
        <v>88.12</v>
      </c>
      <c r="AU651" s="450">
        <v>88.23</v>
      </c>
      <c r="AV651" s="450">
        <v>88.33</v>
      </c>
      <c r="AW651" s="450">
        <v>88.43</v>
      </c>
      <c r="AX651" s="450">
        <v>88.53</v>
      </c>
      <c r="AY651" s="450">
        <v>88.62</v>
      </c>
      <c r="AZ651" s="450">
        <v>88.72</v>
      </c>
      <c r="BA651" s="450">
        <v>89.14</v>
      </c>
      <c r="BB651" s="450">
        <v>89.5</v>
      </c>
      <c r="BC651" s="450">
        <v>89.78</v>
      </c>
      <c r="BD651" s="450">
        <v>89.98</v>
      </c>
      <c r="BE651" s="450">
        <v>90.1</v>
      </c>
    </row>
    <row r="652" spans="2:57" x14ac:dyDescent="0.25">
      <c r="B652" s="134">
        <v>35</v>
      </c>
      <c r="C652" s="450">
        <v>85.91</v>
      </c>
      <c r="D652" s="450">
        <v>86.02</v>
      </c>
      <c r="E652" s="450">
        <v>86.13</v>
      </c>
      <c r="F652" s="450">
        <v>86.24</v>
      </c>
      <c r="G652" s="450">
        <v>86.35</v>
      </c>
      <c r="H652" s="450">
        <v>86.45</v>
      </c>
      <c r="I652" s="450">
        <v>86.55</v>
      </c>
      <c r="J652" s="450">
        <v>86.66</v>
      </c>
      <c r="K652" s="450">
        <v>86.76</v>
      </c>
      <c r="L652" s="450">
        <v>86.85</v>
      </c>
      <c r="M652" s="450">
        <v>86.95</v>
      </c>
      <c r="N652" s="450">
        <v>87.04</v>
      </c>
      <c r="O652" s="450">
        <v>87.46</v>
      </c>
      <c r="P652" s="450">
        <v>87.81</v>
      </c>
      <c r="Q652" s="450">
        <v>88.08</v>
      </c>
      <c r="R652" s="450">
        <v>88.27</v>
      </c>
      <c r="S652" s="450">
        <v>88.39</v>
      </c>
      <c r="T652" s="133"/>
      <c r="U652" s="134">
        <v>35</v>
      </c>
      <c r="V652" s="450">
        <v>86.8</v>
      </c>
      <c r="W652" s="450">
        <v>86.91</v>
      </c>
      <c r="X652" s="450">
        <v>87.02</v>
      </c>
      <c r="Y652" s="450">
        <v>87.13</v>
      </c>
      <c r="Z652" s="450">
        <v>87.24</v>
      </c>
      <c r="AA652" s="450">
        <v>87.35</v>
      </c>
      <c r="AB652" s="450">
        <v>87.45</v>
      </c>
      <c r="AC652" s="450">
        <v>87.56</v>
      </c>
      <c r="AD652" s="450">
        <v>87.66</v>
      </c>
      <c r="AE652" s="450">
        <v>87.76</v>
      </c>
      <c r="AF652" s="450">
        <v>87.86</v>
      </c>
      <c r="AG652" s="450">
        <v>87.95</v>
      </c>
      <c r="AH652" s="450">
        <v>88.39</v>
      </c>
      <c r="AI652" s="450">
        <v>88.74</v>
      </c>
      <c r="AJ652" s="450">
        <v>89.02</v>
      </c>
      <c r="AK652" s="450">
        <v>89.22</v>
      </c>
      <c r="AL652" s="450">
        <v>89.34</v>
      </c>
      <c r="AM652" s="133"/>
      <c r="AN652" s="134">
        <v>35</v>
      </c>
      <c r="AO652" s="450">
        <v>87.81</v>
      </c>
      <c r="AP652" s="450">
        <v>87.93</v>
      </c>
      <c r="AQ652" s="450">
        <v>88.04</v>
      </c>
      <c r="AR652" s="450">
        <v>88.16</v>
      </c>
      <c r="AS652" s="450">
        <v>88.27</v>
      </c>
      <c r="AT652" s="450">
        <v>88.38</v>
      </c>
      <c r="AU652" s="450">
        <v>88.49</v>
      </c>
      <c r="AV652" s="450">
        <v>88.59</v>
      </c>
      <c r="AW652" s="450">
        <v>88.7</v>
      </c>
      <c r="AX652" s="450">
        <v>88.8</v>
      </c>
      <c r="AY652" s="450">
        <v>88.9</v>
      </c>
      <c r="AZ652" s="450">
        <v>89</v>
      </c>
      <c r="BA652" s="450">
        <v>89.45</v>
      </c>
      <c r="BB652" s="450">
        <v>89.82</v>
      </c>
      <c r="BC652" s="450">
        <v>90.1</v>
      </c>
      <c r="BD652" s="450">
        <v>90.31</v>
      </c>
      <c r="BE652" s="450">
        <v>90.43</v>
      </c>
    </row>
    <row r="653" spans="2:57" x14ac:dyDescent="0.25">
      <c r="B653" s="134">
        <v>36</v>
      </c>
      <c r="C653" s="450">
        <v>86.14</v>
      </c>
      <c r="D653" s="450">
        <v>86.26</v>
      </c>
      <c r="E653" s="450">
        <v>86.37</v>
      </c>
      <c r="F653" s="450">
        <v>86.48</v>
      </c>
      <c r="G653" s="450">
        <v>86.59</v>
      </c>
      <c r="H653" s="450">
        <v>86.7</v>
      </c>
      <c r="I653" s="450">
        <v>86.81</v>
      </c>
      <c r="J653" s="450">
        <v>86.92</v>
      </c>
      <c r="K653" s="450">
        <v>87.02</v>
      </c>
      <c r="L653" s="450">
        <v>87.13</v>
      </c>
      <c r="M653" s="450">
        <v>87.22</v>
      </c>
      <c r="N653" s="450">
        <v>87.32</v>
      </c>
      <c r="O653" s="450">
        <v>87.76</v>
      </c>
      <c r="P653" s="450">
        <v>88.13</v>
      </c>
      <c r="Q653" s="450">
        <v>88.4</v>
      </c>
      <c r="R653" s="450">
        <v>88.59</v>
      </c>
      <c r="S653" s="450">
        <v>88.7</v>
      </c>
      <c r="T653" s="133"/>
      <c r="U653" s="134">
        <v>36</v>
      </c>
      <c r="V653" s="450">
        <v>87.03</v>
      </c>
      <c r="W653" s="450">
        <v>87.15</v>
      </c>
      <c r="X653" s="450">
        <v>87.27</v>
      </c>
      <c r="Y653" s="450">
        <v>87.38</v>
      </c>
      <c r="Z653" s="450">
        <v>87.5</v>
      </c>
      <c r="AA653" s="450">
        <v>87.61</v>
      </c>
      <c r="AB653" s="450">
        <v>87.72</v>
      </c>
      <c r="AC653" s="450">
        <v>87.83</v>
      </c>
      <c r="AD653" s="450">
        <v>87.93</v>
      </c>
      <c r="AE653" s="450">
        <v>88.04</v>
      </c>
      <c r="AF653" s="450">
        <v>88.14</v>
      </c>
      <c r="AG653" s="450">
        <v>88.24</v>
      </c>
      <c r="AH653" s="450">
        <v>88.69</v>
      </c>
      <c r="AI653" s="450">
        <v>89.06</v>
      </c>
      <c r="AJ653" s="450">
        <v>89.35</v>
      </c>
      <c r="AK653" s="450">
        <v>89.55</v>
      </c>
      <c r="AL653" s="450">
        <v>89.66</v>
      </c>
      <c r="AM653" s="133"/>
      <c r="AN653" s="134">
        <v>36</v>
      </c>
      <c r="AO653" s="450">
        <v>88.05</v>
      </c>
      <c r="AP653" s="450">
        <v>88.17</v>
      </c>
      <c r="AQ653" s="450">
        <v>88.29</v>
      </c>
      <c r="AR653" s="450">
        <v>88.41</v>
      </c>
      <c r="AS653" s="450">
        <v>88.53</v>
      </c>
      <c r="AT653" s="450">
        <v>88.65</v>
      </c>
      <c r="AU653" s="450">
        <v>88.76</v>
      </c>
      <c r="AV653" s="450">
        <v>88.87</v>
      </c>
      <c r="AW653" s="450">
        <v>88.98</v>
      </c>
      <c r="AX653" s="450">
        <v>89.09</v>
      </c>
      <c r="AY653" s="450">
        <v>89.19</v>
      </c>
      <c r="AZ653" s="450">
        <v>89.3</v>
      </c>
      <c r="BA653" s="450">
        <v>89.76</v>
      </c>
      <c r="BB653" s="450">
        <v>90.15</v>
      </c>
      <c r="BC653" s="450">
        <v>90.44</v>
      </c>
      <c r="BD653" s="450">
        <v>90.64</v>
      </c>
      <c r="BE653" s="450">
        <v>90.76</v>
      </c>
    </row>
    <row r="654" spans="2:57" x14ac:dyDescent="0.25">
      <c r="B654" s="134">
        <v>37</v>
      </c>
      <c r="C654" s="450">
        <v>86.38</v>
      </c>
      <c r="D654" s="450">
        <v>86.5</v>
      </c>
      <c r="E654" s="450">
        <v>86.62</v>
      </c>
      <c r="F654" s="450">
        <v>86.74</v>
      </c>
      <c r="G654" s="450">
        <v>86.86</v>
      </c>
      <c r="H654" s="450">
        <v>86.97</v>
      </c>
      <c r="I654" s="450">
        <v>87.08</v>
      </c>
      <c r="J654" s="450">
        <v>87.2</v>
      </c>
      <c r="K654" s="450">
        <v>87.3</v>
      </c>
      <c r="L654" s="450">
        <v>87.41</v>
      </c>
      <c r="M654" s="450">
        <v>87.51</v>
      </c>
      <c r="N654" s="450">
        <v>87.62</v>
      </c>
      <c r="O654" s="450">
        <v>88.08</v>
      </c>
      <c r="P654" s="450">
        <v>88.45</v>
      </c>
      <c r="Q654" s="450">
        <v>88.74</v>
      </c>
      <c r="R654" s="450">
        <v>88.93</v>
      </c>
      <c r="S654" s="450">
        <v>89.03</v>
      </c>
      <c r="T654" s="133"/>
      <c r="U654" s="134">
        <v>37</v>
      </c>
      <c r="V654" s="450">
        <v>87.28</v>
      </c>
      <c r="W654" s="450">
        <v>87.4</v>
      </c>
      <c r="X654" s="450">
        <v>87.52</v>
      </c>
      <c r="Y654" s="450">
        <v>87.64</v>
      </c>
      <c r="Z654" s="450">
        <v>87.76</v>
      </c>
      <c r="AA654" s="450">
        <v>87.88</v>
      </c>
      <c r="AB654" s="450">
        <v>88</v>
      </c>
      <c r="AC654" s="450">
        <v>88.11</v>
      </c>
      <c r="AD654" s="450">
        <v>88.22</v>
      </c>
      <c r="AE654" s="450">
        <v>88.33</v>
      </c>
      <c r="AF654" s="450">
        <v>88.44</v>
      </c>
      <c r="AG654" s="450">
        <v>88.54</v>
      </c>
      <c r="AH654" s="450">
        <v>89.01</v>
      </c>
      <c r="AI654" s="450">
        <v>89.4</v>
      </c>
      <c r="AJ654" s="450">
        <v>89.69</v>
      </c>
      <c r="AK654" s="450">
        <v>89.89</v>
      </c>
      <c r="AL654" s="450">
        <v>89.99</v>
      </c>
      <c r="AM654" s="133"/>
      <c r="AN654" s="134">
        <v>37</v>
      </c>
      <c r="AO654" s="450">
        <v>88.31</v>
      </c>
      <c r="AP654" s="450">
        <v>88.43</v>
      </c>
      <c r="AQ654" s="450">
        <v>88.56</v>
      </c>
      <c r="AR654" s="450">
        <v>88.68</v>
      </c>
      <c r="AS654" s="450">
        <v>88.8</v>
      </c>
      <c r="AT654" s="450">
        <v>88.93</v>
      </c>
      <c r="AU654" s="450">
        <v>89.05</v>
      </c>
      <c r="AV654" s="450">
        <v>89.16</v>
      </c>
      <c r="AW654" s="450">
        <v>89.28</v>
      </c>
      <c r="AX654" s="450">
        <v>89.39</v>
      </c>
      <c r="AY654" s="450">
        <v>89.5</v>
      </c>
      <c r="AZ654" s="450">
        <v>89.6</v>
      </c>
      <c r="BA654" s="450">
        <v>90.09</v>
      </c>
      <c r="BB654" s="450">
        <v>90.49</v>
      </c>
      <c r="BC654" s="450">
        <v>90.79</v>
      </c>
      <c r="BD654" s="450">
        <v>91</v>
      </c>
      <c r="BE654" s="450">
        <v>91.11</v>
      </c>
    </row>
    <row r="655" spans="2:57" x14ac:dyDescent="0.25">
      <c r="B655" s="134">
        <v>38</v>
      </c>
      <c r="C655" s="450">
        <v>86.63</v>
      </c>
      <c r="D655" s="450">
        <v>86.76</v>
      </c>
      <c r="E655" s="450">
        <v>86.88</v>
      </c>
      <c r="F655" s="450">
        <v>87.01</v>
      </c>
      <c r="G655" s="450">
        <v>87.13</v>
      </c>
      <c r="H655" s="450">
        <v>87.25</v>
      </c>
      <c r="I655" s="450">
        <v>87.37</v>
      </c>
      <c r="J655" s="450">
        <v>87.48</v>
      </c>
      <c r="K655" s="450">
        <v>87.6</v>
      </c>
      <c r="L655" s="450">
        <v>87.71</v>
      </c>
      <c r="M655" s="450">
        <v>87.82</v>
      </c>
      <c r="N655" s="450">
        <v>87.92</v>
      </c>
      <c r="O655" s="450">
        <v>88.4</v>
      </c>
      <c r="P655" s="450">
        <v>88.79</v>
      </c>
      <c r="Q655" s="450">
        <v>89.08</v>
      </c>
      <c r="R655" s="450">
        <v>89.27</v>
      </c>
      <c r="S655" s="450">
        <v>89.36</v>
      </c>
      <c r="T655" s="133"/>
      <c r="U655" s="134">
        <v>38</v>
      </c>
      <c r="V655" s="450">
        <v>87.53</v>
      </c>
      <c r="W655" s="450">
        <v>87.66</v>
      </c>
      <c r="X655" s="450">
        <v>87.79</v>
      </c>
      <c r="Y655" s="450">
        <v>87.92</v>
      </c>
      <c r="Z655" s="450">
        <v>88.04</v>
      </c>
      <c r="AA655" s="450">
        <v>88.17</v>
      </c>
      <c r="AB655" s="450">
        <v>88.29</v>
      </c>
      <c r="AC655" s="450">
        <v>88.41</v>
      </c>
      <c r="AD655" s="450">
        <v>88.52</v>
      </c>
      <c r="AE655" s="450">
        <v>88.64</v>
      </c>
      <c r="AF655" s="450">
        <v>88.75</v>
      </c>
      <c r="AG655" s="450">
        <v>88.85</v>
      </c>
      <c r="AH655" s="450">
        <v>89.34</v>
      </c>
      <c r="AI655" s="450">
        <v>89.74</v>
      </c>
      <c r="AJ655" s="450">
        <v>90.04</v>
      </c>
      <c r="AK655" s="450">
        <v>90.24</v>
      </c>
      <c r="AL655" s="450">
        <v>90.34</v>
      </c>
      <c r="AM655" s="133"/>
      <c r="AN655" s="134">
        <v>38</v>
      </c>
      <c r="AO655" s="450">
        <v>88.57</v>
      </c>
      <c r="AP655" s="450">
        <v>88.7</v>
      </c>
      <c r="AQ655" s="450">
        <v>88.83</v>
      </c>
      <c r="AR655" s="450">
        <v>88.96</v>
      </c>
      <c r="AS655" s="450">
        <v>89.09</v>
      </c>
      <c r="AT655" s="450">
        <v>89.22</v>
      </c>
      <c r="AU655" s="450">
        <v>89.34</v>
      </c>
      <c r="AV655" s="450">
        <v>89.47</v>
      </c>
      <c r="AW655" s="450">
        <v>89.59</v>
      </c>
      <c r="AX655" s="450">
        <v>89.7</v>
      </c>
      <c r="AY655" s="450">
        <v>89.82</v>
      </c>
      <c r="AZ655" s="450">
        <v>89.93</v>
      </c>
      <c r="BA655" s="450">
        <v>90.43</v>
      </c>
      <c r="BB655" s="450">
        <v>90.85</v>
      </c>
      <c r="BC655" s="450">
        <v>91.16</v>
      </c>
      <c r="BD655" s="450">
        <v>91.36</v>
      </c>
      <c r="BE655" s="450">
        <v>91.46</v>
      </c>
    </row>
    <row r="656" spans="2:57" x14ac:dyDescent="0.25">
      <c r="B656" s="134">
        <v>39</v>
      </c>
      <c r="C656" s="450">
        <v>86.9</v>
      </c>
      <c r="D656" s="450">
        <v>87.03</v>
      </c>
      <c r="E656" s="450">
        <v>87.16</v>
      </c>
      <c r="F656" s="450">
        <v>87.29</v>
      </c>
      <c r="G656" s="450">
        <v>87.42</v>
      </c>
      <c r="H656" s="450">
        <v>87.54</v>
      </c>
      <c r="I656" s="450">
        <v>87.67</v>
      </c>
      <c r="J656" s="450">
        <v>87.79</v>
      </c>
      <c r="K656" s="450">
        <v>87.91</v>
      </c>
      <c r="L656" s="450">
        <v>88.02</v>
      </c>
      <c r="M656" s="450">
        <v>88.13</v>
      </c>
      <c r="N656" s="450">
        <v>88.24</v>
      </c>
      <c r="O656" s="450">
        <v>88.74</v>
      </c>
      <c r="P656" s="450">
        <v>89.14</v>
      </c>
      <c r="Q656" s="450">
        <v>89.44</v>
      </c>
      <c r="R656" s="450">
        <v>89.62</v>
      </c>
      <c r="S656" s="450">
        <v>89.71</v>
      </c>
      <c r="T656" s="133"/>
      <c r="U656" s="134">
        <v>39</v>
      </c>
      <c r="V656" s="450">
        <v>87.8</v>
      </c>
      <c r="W656" s="450">
        <v>87.94</v>
      </c>
      <c r="X656" s="450">
        <v>88.07</v>
      </c>
      <c r="Y656" s="450">
        <v>88.2</v>
      </c>
      <c r="Z656" s="450">
        <v>88.34</v>
      </c>
      <c r="AA656" s="450">
        <v>88.46</v>
      </c>
      <c r="AB656" s="450">
        <v>88.59</v>
      </c>
      <c r="AC656" s="450">
        <v>88.71</v>
      </c>
      <c r="AD656" s="450">
        <v>88.84</v>
      </c>
      <c r="AE656" s="450">
        <v>88.95</v>
      </c>
      <c r="AF656" s="450">
        <v>89.07</v>
      </c>
      <c r="AG656" s="450">
        <v>89.18</v>
      </c>
      <c r="AH656" s="450">
        <v>89.69</v>
      </c>
      <c r="AI656" s="450">
        <v>90.11</v>
      </c>
      <c r="AJ656" s="450">
        <v>90.41</v>
      </c>
      <c r="AK656" s="450">
        <v>90.6</v>
      </c>
      <c r="AL656" s="450">
        <v>90.69</v>
      </c>
      <c r="AM656" s="133"/>
      <c r="AN656" s="134">
        <v>39</v>
      </c>
      <c r="AO656" s="450">
        <v>88.85</v>
      </c>
      <c r="AP656" s="450">
        <v>88.98</v>
      </c>
      <c r="AQ656" s="450">
        <v>89.12</v>
      </c>
      <c r="AR656" s="450">
        <v>89.26</v>
      </c>
      <c r="AS656" s="450">
        <v>89.39</v>
      </c>
      <c r="AT656" s="450">
        <v>89.53</v>
      </c>
      <c r="AU656" s="450">
        <v>89.66</v>
      </c>
      <c r="AV656" s="450">
        <v>89.78</v>
      </c>
      <c r="AW656" s="450">
        <v>89.91</v>
      </c>
      <c r="AX656" s="450">
        <v>90.03</v>
      </c>
      <c r="AY656" s="450">
        <v>90.15</v>
      </c>
      <c r="AZ656" s="450">
        <v>90.27</v>
      </c>
      <c r="BA656" s="450">
        <v>90.79</v>
      </c>
      <c r="BB656" s="450">
        <v>91.22</v>
      </c>
      <c r="BC656" s="450">
        <v>91.53</v>
      </c>
      <c r="BD656" s="450">
        <v>91.73</v>
      </c>
      <c r="BE656" s="450">
        <v>91.83</v>
      </c>
    </row>
    <row r="657" spans="2:57" x14ac:dyDescent="0.25">
      <c r="B657" s="134">
        <v>40</v>
      </c>
      <c r="C657" s="450">
        <v>87.17</v>
      </c>
      <c r="D657" s="450">
        <v>87.31</v>
      </c>
      <c r="E657" s="450">
        <v>87.45</v>
      </c>
      <c r="F657" s="450">
        <v>87.58</v>
      </c>
      <c r="G657" s="450">
        <v>87.71</v>
      </c>
      <c r="H657" s="450">
        <v>87.85</v>
      </c>
      <c r="I657" s="450">
        <v>87.98</v>
      </c>
      <c r="J657" s="450">
        <v>88.1</v>
      </c>
      <c r="K657" s="450">
        <v>88.23</v>
      </c>
      <c r="L657" s="450">
        <v>88.35</v>
      </c>
      <c r="M657" s="450">
        <v>88.46</v>
      </c>
      <c r="N657" s="450">
        <v>88.58</v>
      </c>
      <c r="O657" s="450">
        <v>89.1</v>
      </c>
      <c r="P657" s="450">
        <v>89.51</v>
      </c>
      <c r="Q657" s="450">
        <v>89.81</v>
      </c>
      <c r="R657" s="450">
        <v>89.99</v>
      </c>
      <c r="S657" s="450">
        <v>90.06</v>
      </c>
      <c r="T657" s="133"/>
      <c r="U657" s="134">
        <v>40</v>
      </c>
      <c r="V657" s="450">
        <v>88.08</v>
      </c>
      <c r="W657" s="450">
        <v>88.23</v>
      </c>
      <c r="X657" s="450">
        <v>88.37</v>
      </c>
      <c r="Y657" s="450">
        <v>88.5</v>
      </c>
      <c r="Z657" s="450">
        <v>88.64</v>
      </c>
      <c r="AA657" s="450">
        <v>88.78</v>
      </c>
      <c r="AB657" s="450">
        <v>88.91</v>
      </c>
      <c r="AC657" s="450">
        <v>89.04</v>
      </c>
      <c r="AD657" s="450">
        <v>89.16</v>
      </c>
      <c r="AE657" s="450">
        <v>89.29</v>
      </c>
      <c r="AF657" s="450">
        <v>89.41</v>
      </c>
      <c r="AG657" s="450">
        <v>89.53</v>
      </c>
      <c r="AH657" s="450">
        <v>90.06</v>
      </c>
      <c r="AI657" s="450">
        <v>90.48</v>
      </c>
      <c r="AJ657" s="450">
        <v>90.79</v>
      </c>
      <c r="AK657" s="450">
        <v>90.98</v>
      </c>
      <c r="AL657" s="450">
        <v>91.06</v>
      </c>
      <c r="AM657" s="133"/>
      <c r="AN657" s="134">
        <v>40</v>
      </c>
      <c r="AO657" s="450">
        <v>89.14</v>
      </c>
      <c r="AP657" s="450">
        <v>89.28</v>
      </c>
      <c r="AQ657" s="450">
        <v>89.43</v>
      </c>
      <c r="AR657" s="450">
        <v>89.57</v>
      </c>
      <c r="AS657" s="450">
        <v>89.71</v>
      </c>
      <c r="AT657" s="450">
        <v>89.85</v>
      </c>
      <c r="AU657" s="450">
        <v>89.98</v>
      </c>
      <c r="AV657" s="450">
        <v>90.12</v>
      </c>
      <c r="AW657" s="450">
        <v>90.25</v>
      </c>
      <c r="AX657" s="450">
        <v>90.38</v>
      </c>
      <c r="AY657" s="450">
        <v>90.5</v>
      </c>
      <c r="AZ657" s="450">
        <v>90.62</v>
      </c>
      <c r="BA657" s="450">
        <v>91.17</v>
      </c>
      <c r="BB657" s="450">
        <v>91.61</v>
      </c>
      <c r="BC657" s="450">
        <v>91.92</v>
      </c>
      <c r="BD657" s="450">
        <v>92.12</v>
      </c>
      <c r="BE657" s="450">
        <v>92.21</v>
      </c>
    </row>
    <row r="658" spans="2:57" x14ac:dyDescent="0.25">
      <c r="B658" s="134">
        <v>41</v>
      </c>
      <c r="C658" s="450">
        <v>87.46</v>
      </c>
      <c r="D658" s="450">
        <v>87.6</v>
      </c>
      <c r="E658" s="450">
        <v>87.75</v>
      </c>
      <c r="F658" s="450">
        <v>87.89</v>
      </c>
      <c r="G658" s="450">
        <v>88.03</v>
      </c>
      <c r="H658" s="450">
        <v>88.16</v>
      </c>
      <c r="I658" s="450">
        <v>88.3</v>
      </c>
      <c r="J658" s="450">
        <v>88.43</v>
      </c>
      <c r="K658" s="450">
        <v>88.56</v>
      </c>
      <c r="L658" s="450">
        <v>88.69</v>
      </c>
      <c r="M658" s="450">
        <v>88.81</v>
      </c>
      <c r="N658" s="450">
        <v>88.93</v>
      </c>
      <c r="O658" s="450">
        <v>89.47</v>
      </c>
      <c r="P658" s="450">
        <v>89.89</v>
      </c>
      <c r="Q658" s="450">
        <v>90.19</v>
      </c>
      <c r="R658" s="450">
        <v>90.36</v>
      </c>
      <c r="S658" s="450">
        <v>90.43</v>
      </c>
      <c r="T658" s="133"/>
      <c r="U658" s="134">
        <v>41</v>
      </c>
      <c r="V658" s="450">
        <v>88.38</v>
      </c>
      <c r="W658" s="450">
        <v>88.53</v>
      </c>
      <c r="X658" s="450">
        <v>88.67</v>
      </c>
      <c r="Y658" s="450">
        <v>88.82</v>
      </c>
      <c r="Z658" s="450">
        <v>88.96</v>
      </c>
      <c r="AA658" s="450">
        <v>89.1</v>
      </c>
      <c r="AB658" s="450">
        <v>89.24</v>
      </c>
      <c r="AC658" s="450">
        <v>89.37</v>
      </c>
      <c r="AD658" s="450">
        <v>89.51</v>
      </c>
      <c r="AE658" s="450">
        <v>89.64</v>
      </c>
      <c r="AF658" s="450">
        <v>89.76</v>
      </c>
      <c r="AG658" s="450">
        <v>89.88</v>
      </c>
      <c r="AH658" s="450">
        <v>90.44</v>
      </c>
      <c r="AI658" s="450">
        <v>90.87</v>
      </c>
      <c r="AJ658" s="450">
        <v>91.18</v>
      </c>
      <c r="AK658" s="450">
        <v>91.36</v>
      </c>
      <c r="AL658" s="450">
        <v>91.43</v>
      </c>
      <c r="AM658" s="133"/>
      <c r="AN658" s="134">
        <v>41</v>
      </c>
      <c r="AO658" s="450">
        <v>89.44</v>
      </c>
      <c r="AP658" s="450">
        <v>89.59</v>
      </c>
      <c r="AQ658" s="450">
        <v>89.74</v>
      </c>
      <c r="AR658" s="450">
        <v>89.89</v>
      </c>
      <c r="AS658" s="450">
        <v>90.04</v>
      </c>
      <c r="AT658" s="450">
        <v>90.18</v>
      </c>
      <c r="AU658" s="450">
        <v>90.33</v>
      </c>
      <c r="AV658" s="450">
        <v>90.46</v>
      </c>
      <c r="AW658" s="450">
        <v>90.6</v>
      </c>
      <c r="AX658" s="450">
        <v>90.73</v>
      </c>
      <c r="AY658" s="450">
        <v>90.86</v>
      </c>
      <c r="AZ658" s="450">
        <v>90.99</v>
      </c>
      <c r="BA658" s="450">
        <v>91.56</v>
      </c>
      <c r="BB658" s="450">
        <v>92.01</v>
      </c>
      <c r="BC658" s="450">
        <v>92.33</v>
      </c>
      <c r="BD658" s="450">
        <v>92.51</v>
      </c>
      <c r="BE658" s="450">
        <v>92.59</v>
      </c>
    </row>
    <row r="659" spans="2:57" x14ac:dyDescent="0.25">
      <c r="B659" s="134">
        <v>42</v>
      </c>
      <c r="C659" s="450">
        <v>87.76</v>
      </c>
      <c r="D659" s="450">
        <v>87.91</v>
      </c>
      <c r="E659" s="450">
        <v>88.06</v>
      </c>
      <c r="F659" s="450">
        <v>88.21</v>
      </c>
      <c r="G659" s="450">
        <v>88.35</v>
      </c>
      <c r="H659" s="450">
        <v>88.5</v>
      </c>
      <c r="I659" s="450">
        <v>88.64</v>
      </c>
      <c r="J659" s="450">
        <v>88.78</v>
      </c>
      <c r="K659" s="450">
        <v>88.91</v>
      </c>
      <c r="L659" s="450">
        <v>89.04</v>
      </c>
      <c r="M659" s="450">
        <v>89.17</v>
      </c>
      <c r="N659" s="450">
        <v>89.29</v>
      </c>
      <c r="O659" s="450">
        <v>89.85</v>
      </c>
      <c r="P659" s="450">
        <v>90.28</v>
      </c>
      <c r="Q659" s="450">
        <v>90.58</v>
      </c>
      <c r="R659" s="450">
        <v>90.74</v>
      </c>
      <c r="S659" s="450">
        <v>90.8</v>
      </c>
      <c r="T659" s="133"/>
      <c r="U659" s="134">
        <v>42</v>
      </c>
      <c r="V659" s="450">
        <v>88.69</v>
      </c>
      <c r="W659" s="450">
        <v>88.84</v>
      </c>
      <c r="X659" s="450">
        <v>88.99</v>
      </c>
      <c r="Y659" s="450">
        <v>89.15</v>
      </c>
      <c r="Z659" s="450">
        <v>89.29</v>
      </c>
      <c r="AA659" s="450">
        <v>89.44</v>
      </c>
      <c r="AB659" s="450">
        <v>89.59</v>
      </c>
      <c r="AC659" s="450">
        <v>89.73</v>
      </c>
      <c r="AD659" s="450">
        <v>89.86</v>
      </c>
      <c r="AE659" s="450">
        <v>90</v>
      </c>
      <c r="AF659" s="450">
        <v>90.13</v>
      </c>
      <c r="AG659" s="450">
        <v>90.26</v>
      </c>
      <c r="AH659" s="450">
        <v>90.83</v>
      </c>
      <c r="AI659" s="450">
        <v>91.28</v>
      </c>
      <c r="AJ659" s="450">
        <v>91.58</v>
      </c>
      <c r="AK659" s="450">
        <v>91.75</v>
      </c>
      <c r="AL659" s="450">
        <v>91.82</v>
      </c>
      <c r="AM659" s="133"/>
      <c r="AN659" s="134">
        <v>42</v>
      </c>
      <c r="AO659" s="450">
        <v>89.76</v>
      </c>
      <c r="AP659" s="450">
        <v>89.92</v>
      </c>
      <c r="AQ659" s="450">
        <v>90.07</v>
      </c>
      <c r="AR659" s="450">
        <v>90.23</v>
      </c>
      <c r="AS659" s="450">
        <v>90.38</v>
      </c>
      <c r="AT659" s="450">
        <v>90.53</v>
      </c>
      <c r="AU659" s="450">
        <v>90.68</v>
      </c>
      <c r="AV659" s="450">
        <v>90.83</v>
      </c>
      <c r="AW659" s="450">
        <v>90.97</v>
      </c>
      <c r="AX659" s="450">
        <v>91.11</v>
      </c>
      <c r="AY659" s="450">
        <v>91.24</v>
      </c>
      <c r="AZ659" s="450">
        <v>91.38</v>
      </c>
      <c r="BA659" s="450">
        <v>91.97</v>
      </c>
      <c r="BB659" s="450">
        <v>92.43</v>
      </c>
      <c r="BC659" s="450">
        <v>92.74</v>
      </c>
      <c r="BD659" s="450">
        <v>92.92</v>
      </c>
      <c r="BE659" s="450">
        <v>92.99</v>
      </c>
    </row>
    <row r="660" spans="2:57" x14ac:dyDescent="0.25">
      <c r="B660" s="134">
        <v>43</v>
      </c>
      <c r="C660" s="450">
        <v>88.07</v>
      </c>
      <c r="D660" s="450">
        <v>88.23</v>
      </c>
      <c r="E660" s="450">
        <v>88.39</v>
      </c>
      <c r="F660" s="450">
        <v>88.54</v>
      </c>
      <c r="G660" s="450">
        <v>88.69</v>
      </c>
      <c r="H660" s="450">
        <v>88.84</v>
      </c>
      <c r="I660" s="450">
        <v>88.99</v>
      </c>
      <c r="J660" s="450">
        <v>89.13</v>
      </c>
      <c r="K660" s="450">
        <v>89.28</v>
      </c>
      <c r="L660" s="450">
        <v>89.41</v>
      </c>
      <c r="M660" s="450">
        <v>89.54</v>
      </c>
      <c r="N660" s="450">
        <v>89.67</v>
      </c>
      <c r="O660" s="450">
        <v>90.25</v>
      </c>
      <c r="P660" s="450">
        <v>90.69</v>
      </c>
      <c r="Q660" s="450">
        <v>90.98</v>
      </c>
      <c r="R660" s="450">
        <v>91.13</v>
      </c>
      <c r="S660" s="450">
        <v>91.18</v>
      </c>
      <c r="T660" s="133"/>
      <c r="U660" s="134">
        <v>43</v>
      </c>
      <c r="V660" s="450">
        <v>89.01</v>
      </c>
      <c r="W660" s="450">
        <v>89.17</v>
      </c>
      <c r="X660" s="450">
        <v>89.33</v>
      </c>
      <c r="Y660" s="450">
        <v>89.49</v>
      </c>
      <c r="Z660" s="450">
        <v>89.64</v>
      </c>
      <c r="AA660" s="450">
        <v>89.8</v>
      </c>
      <c r="AB660" s="450">
        <v>89.95</v>
      </c>
      <c r="AC660" s="450">
        <v>90.09</v>
      </c>
      <c r="AD660" s="450">
        <v>90.24</v>
      </c>
      <c r="AE660" s="450">
        <v>90.38</v>
      </c>
      <c r="AF660" s="450">
        <v>90.52</v>
      </c>
      <c r="AG660" s="450">
        <v>90.65</v>
      </c>
      <c r="AH660" s="450">
        <v>91.24</v>
      </c>
      <c r="AI660" s="450">
        <v>91.69</v>
      </c>
      <c r="AJ660" s="450">
        <v>91.99</v>
      </c>
      <c r="AK660" s="450">
        <v>92.15</v>
      </c>
      <c r="AL660" s="450">
        <v>92.21</v>
      </c>
      <c r="AM660" s="133"/>
      <c r="AN660" s="134">
        <v>43</v>
      </c>
      <c r="AO660" s="450">
        <v>90.09</v>
      </c>
      <c r="AP660" s="450">
        <v>90.25</v>
      </c>
      <c r="AQ660" s="450">
        <v>90.42</v>
      </c>
      <c r="AR660" s="450">
        <v>90.58</v>
      </c>
      <c r="AS660" s="450">
        <v>90.74</v>
      </c>
      <c r="AT660" s="450">
        <v>90.9</v>
      </c>
      <c r="AU660" s="450">
        <v>91.06</v>
      </c>
      <c r="AV660" s="450">
        <v>91.21</v>
      </c>
      <c r="AW660" s="450">
        <v>91.36</v>
      </c>
      <c r="AX660" s="450">
        <v>91.5</v>
      </c>
      <c r="AY660" s="450">
        <v>91.64</v>
      </c>
      <c r="AZ660" s="450">
        <v>91.78</v>
      </c>
      <c r="BA660" s="450">
        <v>92.39</v>
      </c>
      <c r="BB660" s="450">
        <v>92.86</v>
      </c>
      <c r="BC660" s="450">
        <v>93.17</v>
      </c>
      <c r="BD660" s="450">
        <v>93.33</v>
      </c>
      <c r="BE660" s="450">
        <v>93.39</v>
      </c>
    </row>
    <row r="661" spans="2:57" x14ac:dyDescent="0.25">
      <c r="B661" s="134">
        <v>44</v>
      </c>
      <c r="C661" s="450">
        <v>88.4</v>
      </c>
      <c r="D661" s="450">
        <v>88.57</v>
      </c>
      <c r="E661" s="450">
        <v>88.73</v>
      </c>
      <c r="F661" s="450">
        <v>88.89</v>
      </c>
      <c r="G661" s="450">
        <v>89.05</v>
      </c>
      <c r="H661" s="450">
        <v>89.21</v>
      </c>
      <c r="I661" s="450">
        <v>89.36</v>
      </c>
      <c r="J661" s="450">
        <v>89.51</v>
      </c>
      <c r="K661" s="450">
        <v>89.66</v>
      </c>
      <c r="L661" s="450">
        <v>89.8</v>
      </c>
      <c r="M661" s="450">
        <v>89.94</v>
      </c>
      <c r="N661" s="450">
        <v>90.07</v>
      </c>
      <c r="O661" s="450">
        <v>90.66</v>
      </c>
      <c r="P661" s="450">
        <v>91.11</v>
      </c>
      <c r="Q661" s="450">
        <v>91.39</v>
      </c>
      <c r="R661" s="450">
        <v>91.52</v>
      </c>
      <c r="S661" s="450">
        <v>91.56</v>
      </c>
      <c r="T661" s="133"/>
      <c r="U661" s="134">
        <v>44</v>
      </c>
      <c r="V661" s="450">
        <v>89.35</v>
      </c>
      <c r="W661" s="450">
        <v>89.51</v>
      </c>
      <c r="X661" s="450">
        <v>89.68</v>
      </c>
      <c r="Y661" s="450">
        <v>89.85</v>
      </c>
      <c r="Z661" s="450">
        <v>90.01</v>
      </c>
      <c r="AA661" s="450">
        <v>90.17</v>
      </c>
      <c r="AB661" s="450">
        <v>90.32</v>
      </c>
      <c r="AC661" s="450">
        <v>90.48</v>
      </c>
      <c r="AD661" s="450">
        <v>90.63</v>
      </c>
      <c r="AE661" s="450">
        <v>90.77</v>
      </c>
      <c r="AF661" s="450">
        <v>90.92</v>
      </c>
      <c r="AG661" s="450">
        <v>91.05</v>
      </c>
      <c r="AH661" s="450">
        <v>91.66</v>
      </c>
      <c r="AI661" s="450">
        <v>92.12</v>
      </c>
      <c r="AJ661" s="450">
        <v>92.42</v>
      </c>
      <c r="AK661" s="450">
        <v>92.56</v>
      </c>
      <c r="AL661" s="450">
        <v>92.6</v>
      </c>
      <c r="AM661" s="133"/>
      <c r="AN661" s="134">
        <v>44</v>
      </c>
      <c r="AO661" s="450">
        <v>90.43</v>
      </c>
      <c r="AP661" s="450">
        <v>90.61</v>
      </c>
      <c r="AQ661" s="450">
        <v>90.78</v>
      </c>
      <c r="AR661" s="450">
        <v>90.95</v>
      </c>
      <c r="AS661" s="450">
        <v>91.12</v>
      </c>
      <c r="AT661" s="450">
        <v>91.28</v>
      </c>
      <c r="AU661" s="450">
        <v>91.44</v>
      </c>
      <c r="AV661" s="450">
        <v>91.6</v>
      </c>
      <c r="AW661" s="450">
        <v>91.76</v>
      </c>
      <c r="AX661" s="450">
        <v>91.91</v>
      </c>
      <c r="AY661" s="450">
        <v>92.05</v>
      </c>
      <c r="AZ661" s="450">
        <v>92.2</v>
      </c>
      <c r="BA661" s="450">
        <v>92.83</v>
      </c>
      <c r="BB661" s="450">
        <v>93.3</v>
      </c>
      <c r="BC661" s="450">
        <v>93.61</v>
      </c>
      <c r="BD661" s="450">
        <v>93.76</v>
      </c>
      <c r="BE661" s="450">
        <v>93.8</v>
      </c>
    </row>
    <row r="662" spans="2:57" x14ac:dyDescent="0.25">
      <c r="B662" s="134">
        <v>45</v>
      </c>
      <c r="C662" s="450">
        <v>88.75</v>
      </c>
      <c r="D662" s="450">
        <v>88.92</v>
      </c>
      <c r="E662" s="450">
        <v>89.09</v>
      </c>
      <c r="F662" s="450">
        <v>89.26</v>
      </c>
      <c r="G662" s="450">
        <v>89.42</v>
      </c>
      <c r="H662" s="450">
        <v>89.58</v>
      </c>
      <c r="I662" s="450">
        <v>89.74</v>
      </c>
      <c r="J662" s="450">
        <v>89.9</v>
      </c>
      <c r="K662" s="450">
        <v>90.05</v>
      </c>
      <c r="L662" s="450">
        <v>90.2</v>
      </c>
      <c r="M662" s="450">
        <v>90.34</v>
      </c>
      <c r="N662" s="450">
        <v>90.48</v>
      </c>
      <c r="O662" s="450">
        <v>91.09</v>
      </c>
      <c r="P662" s="450">
        <v>91.54</v>
      </c>
      <c r="Q662" s="450">
        <v>91.81</v>
      </c>
      <c r="R662" s="450">
        <v>91.93</v>
      </c>
      <c r="S662" s="450">
        <v>91.95</v>
      </c>
      <c r="T662" s="133"/>
      <c r="U662" s="134">
        <v>45</v>
      </c>
      <c r="V662" s="450">
        <v>89.7</v>
      </c>
      <c r="W662" s="450">
        <v>89.87</v>
      </c>
      <c r="X662" s="450">
        <v>90.05</v>
      </c>
      <c r="Y662" s="450">
        <v>90.22</v>
      </c>
      <c r="Z662" s="450">
        <v>90.39</v>
      </c>
      <c r="AA662" s="450">
        <v>90.56</v>
      </c>
      <c r="AB662" s="450">
        <v>90.72</v>
      </c>
      <c r="AC662" s="450">
        <v>90.88</v>
      </c>
      <c r="AD662" s="450">
        <v>91.04</v>
      </c>
      <c r="AE662" s="450">
        <v>91.19</v>
      </c>
      <c r="AF662" s="450">
        <v>91.33</v>
      </c>
      <c r="AG662" s="450">
        <v>91.48</v>
      </c>
      <c r="AH662" s="450">
        <v>92.11</v>
      </c>
      <c r="AI662" s="450">
        <v>92.57</v>
      </c>
      <c r="AJ662" s="450">
        <v>92.85</v>
      </c>
      <c r="AK662" s="450">
        <v>92.98</v>
      </c>
      <c r="AL662" s="450">
        <v>93.01</v>
      </c>
      <c r="AM662" s="133"/>
      <c r="AN662" s="134">
        <v>45</v>
      </c>
      <c r="AO662" s="450">
        <v>90.8</v>
      </c>
      <c r="AP662" s="450">
        <v>90.98</v>
      </c>
      <c r="AQ662" s="450">
        <v>91.16</v>
      </c>
      <c r="AR662" s="450">
        <v>91.33</v>
      </c>
      <c r="AS662" s="450">
        <v>91.51</v>
      </c>
      <c r="AT662" s="450">
        <v>91.68</v>
      </c>
      <c r="AU662" s="450">
        <v>91.85</v>
      </c>
      <c r="AV662" s="450">
        <v>92.02</v>
      </c>
      <c r="AW662" s="450">
        <v>92.18</v>
      </c>
      <c r="AX662" s="450">
        <v>92.33</v>
      </c>
      <c r="AY662" s="450">
        <v>92.49</v>
      </c>
      <c r="AZ662" s="450">
        <v>92.63</v>
      </c>
      <c r="BA662" s="450">
        <v>93.28</v>
      </c>
      <c r="BB662" s="450">
        <v>93.76</v>
      </c>
      <c r="BC662" s="450">
        <v>94.06</v>
      </c>
      <c r="BD662" s="450">
        <v>94.19</v>
      </c>
      <c r="BE662" s="450">
        <v>94.22</v>
      </c>
    </row>
    <row r="663" spans="2:57" x14ac:dyDescent="0.25">
      <c r="B663" s="134">
        <v>46</v>
      </c>
      <c r="C663" s="450">
        <v>89.1</v>
      </c>
      <c r="D663" s="450">
        <v>89.28</v>
      </c>
      <c r="E663" s="450">
        <v>89.46</v>
      </c>
      <c r="F663" s="450">
        <v>89.64</v>
      </c>
      <c r="G663" s="450">
        <v>89.81</v>
      </c>
      <c r="H663" s="450">
        <v>89.98</v>
      </c>
      <c r="I663" s="450">
        <v>90.14</v>
      </c>
      <c r="J663" s="450">
        <v>90.31</v>
      </c>
      <c r="K663" s="450">
        <v>90.47</v>
      </c>
      <c r="L663" s="450">
        <v>90.62</v>
      </c>
      <c r="M663" s="450">
        <v>90.77</v>
      </c>
      <c r="N663" s="450">
        <v>90.91</v>
      </c>
      <c r="O663" s="450">
        <v>91.54</v>
      </c>
      <c r="P663" s="450">
        <v>91.98</v>
      </c>
      <c r="Q663" s="450">
        <v>92.24</v>
      </c>
      <c r="R663" s="450">
        <v>92.34</v>
      </c>
      <c r="S663" s="450">
        <v>92.35</v>
      </c>
      <c r="T663" s="133"/>
      <c r="U663" s="134">
        <v>46</v>
      </c>
      <c r="V663" s="450">
        <v>90.06</v>
      </c>
      <c r="W663" s="450">
        <v>90.25</v>
      </c>
      <c r="X663" s="450">
        <v>90.43</v>
      </c>
      <c r="Y663" s="450">
        <v>90.61</v>
      </c>
      <c r="Z663" s="450">
        <v>90.79</v>
      </c>
      <c r="AA663" s="450">
        <v>90.96</v>
      </c>
      <c r="AB663" s="450">
        <v>91.13</v>
      </c>
      <c r="AC663" s="450">
        <v>91.3</v>
      </c>
      <c r="AD663" s="450">
        <v>91.46</v>
      </c>
      <c r="AE663" s="450">
        <v>91.62</v>
      </c>
      <c r="AF663" s="450">
        <v>91.77</v>
      </c>
      <c r="AG663" s="450">
        <v>91.92</v>
      </c>
      <c r="AH663" s="450">
        <v>92.56</v>
      </c>
      <c r="AI663" s="450">
        <v>93.02</v>
      </c>
      <c r="AJ663" s="450">
        <v>93.29</v>
      </c>
      <c r="AK663" s="450">
        <v>93.4</v>
      </c>
      <c r="AL663" s="450">
        <v>93.42</v>
      </c>
      <c r="AM663" s="133"/>
      <c r="AN663" s="134">
        <v>46</v>
      </c>
      <c r="AO663" s="450">
        <v>91.17</v>
      </c>
      <c r="AP663" s="450">
        <v>91.36</v>
      </c>
      <c r="AQ663" s="450">
        <v>91.55</v>
      </c>
      <c r="AR663" s="450">
        <v>91.74</v>
      </c>
      <c r="AS663" s="450">
        <v>91.92</v>
      </c>
      <c r="AT663" s="450">
        <v>92.1</v>
      </c>
      <c r="AU663" s="450">
        <v>92.27</v>
      </c>
      <c r="AV663" s="450">
        <v>92.45</v>
      </c>
      <c r="AW663" s="450">
        <v>92.61</v>
      </c>
      <c r="AX663" s="450">
        <v>92.78</v>
      </c>
      <c r="AY663" s="450">
        <v>92.94</v>
      </c>
      <c r="AZ663" s="450">
        <v>93.09</v>
      </c>
      <c r="BA663" s="450">
        <v>93.76</v>
      </c>
      <c r="BB663" s="450">
        <v>94.23</v>
      </c>
      <c r="BC663" s="450">
        <v>94.52</v>
      </c>
      <c r="BD663" s="450">
        <v>94.63</v>
      </c>
      <c r="BE663" s="450">
        <v>94.65</v>
      </c>
    </row>
    <row r="664" spans="2:57" x14ac:dyDescent="0.25">
      <c r="B664" s="134">
        <v>47</v>
      </c>
      <c r="C664" s="450">
        <v>89.48</v>
      </c>
      <c r="D664" s="450">
        <v>89.66</v>
      </c>
      <c r="E664" s="450">
        <v>89.85</v>
      </c>
      <c r="F664" s="450">
        <v>90.03</v>
      </c>
      <c r="G664" s="450">
        <v>90.21</v>
      </c>
      <c r="H664" s="450">
        <v>90.39</v>
      </c>
      <c r="I664" s="450">
        <v>90.56</v>
      </c>
      <c r="J664" s="450">
        <v>90.73</v>
      </c>
      <c r="K664" s="450">
        <v>90.9</v>
      </c>
      <c r="L664" s="450">
        <v>91.06</v>
      </c>
      <c r="M664" s="450">
        <v>91.21</v>
      </c>
      <c r="N664" s="450">
        <v>91.36</v>
      </c>
      <c r="O664" s="450">
        <v>92</v>
      </c>
      <c r="P664" s="450">
        <v>92.44</v>
      </c>
      <c r="Q664" s="450">
        <v>92.68</v>
      </c>
      <c r="R664" s="450">
        <v>92.76</v>
      </c>
      <c r="S664" s="450">
        <v>92.76</v>
      </c>
      <c r="T664" s="133"/>
      <c r="U664" s="134">
        <v>47</v>
      </c>
      <c r="V664" s="450">
        <v>90.45</v>
      </c>
      <c r="W664" s="450">
        <v>90.64</v>
      </c>
      <c r="X664" s="450">
        <v>90.83</v>
      </c>
      <c r="Y664" s="450">
        <v>91.01</v>
      </c>
      <c r="Z664" s="450">
        <v>91.2</v>
      </c>
      <c r="AA664" s="450">
        <v>91.38</v>
      </c>
      <c r="AB664" s="450">
        <v>91.56</v>
      </c>
      <c r="AC664" s="450">
        <v>91.73</v>
      </c>
      <c r="AD664" s="450">
        <v>91.9</v>
      </c>
      <c r="AE664" s="450">
        <v>92.07</v>
      </c>
      <c r="AF664" s="450">
        <v>92.22</v>
      </c>
      <c r="AG664" s="450">
        <v>92.38</v>
      </c>
      <c r="AH664" s="450">
        <v>93.04</v>
      </c>
      <c r="AI664" s="450">
        <v>93.49</v>
      </c>
      <c r="AJ664" s="450">
        <v>93.75</v>
      </c>
      <c r="AK664" s="450">
        <v>93.84</v>
      </c>
      <c r="AL664" s="450">
        <v>93.84</v>
      </c>
      <c r="AM664" s="133"/>
      <c r="AN664" s="134">
        <v>47</v>
      </c>
      <c r="AO664" s="450">
        <v>91.57</v>
      </c>
      <c r="AP664" s="450">
        <v>91.77</v>
      </c>
      <c r="AQ664" s="450">
        <v>91.96</v>
      </c>
      <c r="AR664" s="450">
        <v>92.16</v>
      </c>
      <c r="AS664" s="450">
        <v>92.35</v>
      </c>
      <c r="AT664" s="450">
        <v>92.53</v>
      </c>
      <c r="AU664" s="450">
        <v>92.72</v>
      </c>
      <c r="AV664" s="450">
        <v>92.9</v>
      </c>
      <c r="AW664" s="450">
        <v>93.07</v>
      </c>
      <c r="AX664" s="450">
        <v>93.24</v>
      </c>
      <c r="AY664" s="450">
        <v>93.41</v>
      </c>
      <c r="AZ664" s="450">
        <v>93.56</v>
      </c>
      <c r="BA664" s="450">
        <v>94.24</v>
      </c>
      <c r="BB664" s="450">
        <v>94.72</v>
      </c>
      <c r="BC664" s="450">
        <v>94.98</v>
      </c>
      <c r="BD664" s="450">
        <v>95.08</v>
      </c>
      <c r="BE664" s="450">
        <v>95.08</v>
      </c>
    </row>
    <row r="665" spans="2:57" x14ac:dyDescent="0.25">
      <c r="B665" s="134">
        <v>48</v>
      </c>
      <c r="C665" s="450">
        <v>89.87</v>
      </c>
      <c r="D665" s="450">
        <v>90.06</v>
      </c>
      <c r="E665" s="450">
        <v>90.26</v>
      </c>
      <c r="F665" s="450">
        <v>90.45</v>
      </c>
      <c r="G665" s="450">
        <v>90.63</v>
      </c>
      <c r="H665" s="450">
        <v>90.82</v>
      </c>
      <c r="I665" s="450">
        <v>91</v>
      </c>
      <c r="J665" s="450">
        <v>91.17</v>
      </c>
      <c r="K665" s="450">
        <v>91.35</v>
      </c>
      <c r="L665" s="450">
        <v>91.51</v>
      </c>
      <c r="M665" s="450">
        <v>91.67</v>
      </c>
      <c r="N665" s="450">
        <v>91.82</v>
      </c>
      <c r="O665" s="450">
        <v>92.47</v>
      </c>
      <c r="P665" s="450">
        <v>92.91</v>
      </c>
      <c r="Q665" s="450">
        <v>93.13</v>
      </c>
      <c r="R665" s="450">
        <v>93.2</v>
      </c>
      <c r="S665" s="450">
        <v>93.18</v>
      </c>
      <c r="T665" s="133"/>
      <c r="U665" s="134">
        <v>48</v>
      </c>
      <c r="V665" s="450">
        <v>90.84</v>
      </c>
      <c r="W665" s="450">
        <v>91.05</v>
      </c>
      <c r="X665" s="450">
        <v>91.24</v>
      </c>
      <c r="Y665" s="450">
        <v>91.44</v>
      </c>
      <c r="Z665" s="450">
        <v>91.63</v>
      </c>
      <c r="AA665" s="450">
        <v>91.82</v>
      </c>
      <c r="AB665" s="450">
        <v>92.01</v>
      </c>
      <c r="AC665" s="450">
        <v>92.19</v>
      </c>
      <c r="AD665" s="450">
        <v>92.36</v>
      </c>
      <c r="AE665" s="450">
        <v>92.53</v>
      </c>
      <c r="AF665" s="450">
        <v>92.7</v>
      </c>
      <c r="AG665" s="450">
        <v>92.85</v>
      </c>
      <c r="AH665" s="450">
        <v>93.52</v>
      </c>
      <c r="AI665" s="450">
        <v>93.98</v>
      </c>
      <c r="AJ665" s="450">
        <v>94.21</v>
      </c>
      <c r="AK665" s="450">
        <v>94.29</v>
      </c>
      <c r="AL665" s="450">
        <v>94.28</v>
      </c>
      <c r="AM665" s="133"/>
      <c r="AN665" s="134">
        <v>48</v>
      </c>
      <c r="AO665" s="450">
        <v>91.98</v>
      </c>
      <c r="AP665" s="450">
        <v>92.19</v>
      </c>
      <c r="AQ665" s="450">
        <v>92.39</v>
      </c>
      <c r="AR665" s="450">
        <v>92.59</v>
      </c>
      <c r="AS665" s="450">
        <v>92.79</v>
      </c>
      <c r="AT665" s="450">
        <v>92.99</v>
      </c>
      <c r="AU665" s="450">
        <v>93.18</v>
      </c>
      <c r="AV665" s="450">
        <v>93.37</v>
      </c>
      <c r="AW665" s="450">
        <v>93.55</v>
      </c>
      <c r="AX665" s="450">
        <v>93.72</v>
      </c>
      <c r="AY665" s="450">
        <v>93.89</v>
      </c>
      <c r="AZ665" s="450">
        <v>94.06</v>
      </c>
      <c r="BA665" s="450">
        <v>94.75</v>
      </c>
      <c r="BB665" s="450">
        <v>95.22</v>
      </c>
      <c r="BC665" s="450">
        <v>95.47</v>
      </c>
      <c r="BD665" s="450">
        <v>95.55</v>
      </c>
      <c r="BE665" s="450">
        <v>95.53</v>
      </c>
    </row>
    <row r="666" spans="2:57" x14ac:dyDescent="0.25">
      <c r="B666" s="134">
        <v>49</v>
      </c>
      <c r="C666" s="450">
        <v>90.27</v>
      </c>
      <c r="D666" s="450">
        <v>90.48</v>
      </c>
      <c r="E666" s="450">
        <v>90.68</v>
      </c>
      <c r="F666" s="450">
        <v>90.88</v>
      </c>
      <c r="G666" s="450">
        <v>91.07</v>
      </c>
      <c r="H666" s="450">
        <v>91.27</v>
      </c>
      <c r="I666" s="450">
        <v>91.45</v>
      </c>
      <c r="J666" s="450">
        <v>91.64</v>
      </c>
      <c r="K666" s="450">
        <v>91.81</v>
      </c>
      <c r="L666" s="450">
        <v>91.98</v>
      </c>
      <c r="M666" s="450">
        <v>92.15</v>
      </c>
      <c r="N666" s="450">
        <v>92.3</v>
      </c>
      <c r="O666" s="450">
        <v>92.96</v>
      </c>
      <c r="P666" s="450">
        <v>93.39</v>
      </c>
      <c r="Q666" s="450">
        <v>93.59</v>
      </c>
      <c r="R666" s="450">
        <v>93.64</v>
      </c>
      <c r="S666" s="450">
        <v>93.6</v>
      </c>
      <c r="T666" s="133"/>
      <c r="U666" s="134">
        <v>49</v>
      </c>
      <c r="V666" s="450">
        <v>91.26</v>
      </c>
      <c r="W666" s="450">
        <v>91.47</v>
      </c>
      <c r="X666" s="450">
        <v>91.68</v>
      </c>
      <c r="Y666" s="450">
        <v>91.88</v>
      </c>
      <c r="Z666" s="450">
        <v>92.08</v>
      </c>
      <c r="AA666" s="450">
        <v>92.28</v>
      </c>
      <c r="AB666" s="450">
        <v>92.47</v>
      </c>
      <c r="AC666" s="450">
        <v>92.66</v>
      </c>
      <c r="AD666" s="450">
        <v>92.84</v>
      </c>
      <c r="AE666" s="450">
        <v>93.02</v>
      </c>
      <c r="AF666" s="450">
        <v>93.19</v>
      </c>
      <c r="AG666" s="450">
        <v>93.35</v>
      </c>
      <c r="AH666" s="450">
        <v>94.03</v>
      </c>
      <c r="AI666" s="450">
        <v>94.48</v>
      </c>
      <c r="AJ666" s="450">
        <v>94.69</v>
      </c>
      <c r="AK666" s="450">
        <v>94.75</v>
      </c>
      <c r="AL666" s="450">
        <v>94.72</v>
      </c>
      <c r="AM666" s="133"/>
      <c r="AN666" s="134">
        <v>49</v>
      </c>
      <c r="AO666" s="450">
        <v>92.41</v>
      </c>
      <c r="AP666" s="450">
        <v>92.63</v>
      </c>
      <c r="AQ666" s="450">
        <v>92.84</v>
      </c>
      <c r="AR666" s="450">
        <v>93.05</v>
      </c>
      <c r="AS666" s="450">
        <v>93.26</v>
      </c>
      <c r="AT666" s="450">
        <v>93.46</v>
      </c>
      <c r="AU666" s="450">
        <v>93.66</v>
      </c>
      <c r="AV666" s="450">
        <v>93.86</v>
      </c>
      <c r="AW666" s="450">
        <v>94.04</v>
      </c>
      <c r="AX666" s="450">
        <v>94.23</v>
      </c>
      <c r="AY666" s="450">
        <v>94.4</v>
      </c>
      <c r="AZ666" s="450">
        <v>94.57</v>
      </c>
      <c r="BA666" s="450">
        <v>95.27</v>
      </c>
      <c r="BB666" s="450">
        <v>95.74</v>
      </c>
      <c r="BC666" s="450">
        <v>95.96</v>
      </c>
      <c r="BD666" s="450">
        <v>96.02</v>
      </c>
      <c r="BE666" s="450">
        <v>95.99</v>
      </c>
    </row>
    <row r="667" spans="2:57" x14ac:dyDescent="0.25">
      <c r="B667" s="134">
        <v>50</v>
      </c>
      <c r="C667" s="450">
        <v>90.7</v>
      </c>
      <c r="D667" s="450">
        <v>90.91</v>
      </c>
      <c r="E667" s="450">
        <v>91.12</v>
      </c>
      <c r="F667" s="450">
        <v>91.33</v>
      </c>
      <c r="G667" s="450">
        <v>91.53</v>
      </c>
      <c r="H667" s="450">
        <v>91.73</v>
      </c>
      <c r="I667" s="450">
        <v>91.93</v>
      </c>
      <c r="J667" s="450">
        <v>92.12</v>
      </c>
      <c r="K667" s="450">
        <v>92.3</v>
      </c>
      <c r="L667" s="450">
        <v>92.48</v>
      </c>
      <c r="M667" s="450">
        <v>92.65</v>
      </c>
      <c r="N667" s="450">
        <v>92.81</v>
      </c>
      <c r="O667" s="450">
        <v>93.47</v>
      </c>
      <c r="P667" s="450">
        <v>93.88</v>
      </c>
      <c r="Q667" s="450">
        <v>94.06</v>
      </c>
      <c r="R667" s="450">
        <v>94.1</v>
      </c>
      <c r="S667" s="450">
        <v>94.05</v>
      </c>
      <c r="T667" s="133"/>
      <c r="U667" s="134">
        <v>50</v>
      </c>
      <c r="V667" s="450">
        <v>91.7</v>
      </c>
      <c r="W667" s="450">
        <v>91.92</v>
      </c>
      <c r="X667" s="450">
        <v>92.13</v>
      </c>
      <c r="Y667" s="450">
        <v>92.35</v>
      </c>
      <c r="Z667" s="450">
        <v>92.56</v>
      </c>
      <c r="AA667" s="450">
        <v>92.76</v>
      </c>
      <c r="AB667" s="450">
        <v>92.96</v>
      </c>
      <c r="AC667" s="450">
        <v>93.16</v>
      </c>
      <c r="AD667" s="450">
        <v>93.35</v>
      </c>
      <c r="AE667" s="450">
        <v>93.53</v>
      </c>
      <c r="AF667" s="450">
        <v>93.7</v>
      </c>
      <c r="AG667" s="450">
        <v>93.87</v>
      </c>
      <c r="AH667" s="450">
        <v>94.55</v>
      </c>
      <c r="AI667" s="450">
        <v>94.99</v>
      </c>
      <c r="AJ667" s="450">
        <v>95.18</v>
      </c>
      <c r="AK667" s="450">
        <v>95.22</v>
      </c>
      <c r="AL667" s="450">
        <v>95.18</v>
      </c>
      <c r="AM667" s="133"/>
      <c r="AN667" s="134">
        <v>50</v>
      </c>
      <c r="AO667" s="450">
        <v>92.86</v>
      </c>
      <c r="AP667" s="450">
        <v>93.09</v>
      </c>
      <c r="AQ667" s="450">
        <v>93.31</v>
      </c>
      <c r="AR667" s="450">
        <v>93.53</v>
      </c>
      <c r="AS667" s="450">
        <v>93.75</v>
      </c>
      <c r="AT667" s="450">
        <v>93.96</v>
      </c>
      <c r="AU667" s="450">
        <v>94.17</v>
      </c>
      <c r="AV667" s="450">
        <v>94.37</v>
      </c>
      <c r="AW667" s="450">
        <v>94.56</v>
      </c>
      <c r="AX667" s="450">
        <v>94.75</v>
      </c>
      <c r="AY667" s="450">
        <v>94.93</v>
      </c>
      <c r="AZ667" s="450">
        <v>95.1</v>
      </c>
      <c r="BA667" s="450">
        <v>95.82</v>
      </c>
      <c r="BB667" s="450">
        <v>96.27</v>
      </c>
      <c r="BC667" s="450">
        <v>96.47</v>
      </c>
      <c r="BD667" s="450">
        <v>96.51</v>
      </c>
      <c r="BE667" s="450">
        <v>96.46</v>
      </c>
    </row>
    <row r="668" spans="2:57" x14ac:dyDescent="0.25">
      <c r="B668" s="134">
        <v>51</v>
      </c>
      <c r="C668" s="450">
        <v>91.14</v>
      </c>
      <c r="D668" s="450">
        <v>91.36</v>
      </c>
      <c r="E668" s="450">
        <v>91.58</v>
      </c>
      <c r="F668" s="450">
        <v>91.8</v>
      </c>
      <c r="G668" s="450">
        <v>92.01</v>
      </c>
      <c r="H668" s="450">
        <v>92.22</v>
      </c>
      <c r="I668" s="450">
        <v>92.42</v>
      </c>
      <c r="J668" s="450">
        <v>92.62</v>
      </c>
      <c r="K668" s="450">
        <v>92.81</v>
      </c>
      <c r="L668" s="450">
        <v>92.99</v>
      </c>
      <c r="M668" s="450">
        <v>93.16</v>
      </c>
      <c r="N668" s="450">
        <v>93.33</v>
      </c>
      <c r="O668" s="450">
        <v>93.99</v>
      </c>
      <c r="P668" s="450">
        <v>94.39</v>
      </c>
      <c r="Q668" s="450">
        <v>94.55</v>
      </c>
      <c r="R668" s="450">
        <v>94.57</v>
      </c>
      <c r="S668" s="450">
        <v>94.5</v>
      </c>
      <c r="T668" s="133"/>
      <c r="U668" s="134">
        <v>51</v>
      </c>
      <c r="V668" s="450">
        <v>92.15</v>
      </c>
      <c r="W668" s="450">
        <v>92.38</v>
      </c>
      <c r="X668" s="450">
        <v>92.61</v>
      </c>
      <c r="Y668" s="450">
        <v>92.83</v>
      </c>
      <c r="Z668" s="450">
        <v>93.05</v>
      </c>
      <c r="AA668" s="450">
        <v>93.26</v>
      </c>
      <c r="AB668" s="450">
        <v>93.47</v>
      </c>
      <c r="AC668" s="450">
        <v>93.67</v>
      </c>
      <c r="AD668" s="450">
        <v>93.87</v>
      </c>
      <c r="AE668" s="450">
        <v>94.05</v>
      </c>
      <c r="AF668" s="450">
        <v>94.23</v>
      </c>
      <c r="AG668" s="450">
        <v>94.4</v>
      </c>
      <c r="AH668" s="450">
        <v>95.1</v>
      </c>
      <c r="AI668" s="450">
        <v>95.51</v>
      </c>
      <c r="AJ668" s="450">
        <v>95.69</v>
      </c>
      <c r="AK668" s="450">
        <v>95.71</v>
      </c>
      <c r="AL668" s="450">
        <v>95.65</v>
      </c>
      <c r="AM668" s="133"/>
      <c r="AN668" s="134">
        <v>51</v>
      </c>
      <c r="AO668" s="450">
        <v>93.33</v>
      </c>
      <c r="AP668" s="450">
        <v>93.57</v>
      </c>
      <c r="AQ668" s="450">
        <v>93.8</v>
      </c>
      <c r="AR668" s="450">
        <v>94.03</v>
      </c>
      <c r="AS668" s="450">
        <v>94.26</v>
      </c>
      <c r="AT668" s="450">
        <v>94.48</v>
      </c>
      <c r="AU668" s="450">
        <v>94.69</v>
      </c>
      <c r="AV668" s="450">
        <v>94.9</v>
      </c>
      <c r="AW668" s="450">
        <v>95.1</v>
      </c>
      <c r="AX668" s="450">
        <v>95.3</v>
      </c>
      <c r="AY668" s="450">
        <v>95.48</v>
      </c>
      <c r="AZ668" s="450">
        <v>95.66</v>
      </c>
      <c r="BA668" s="450">
        <v>96.38</v>
      </c>
      <c r="BB668" s="450">
        <v>96.81</v>
      </c>
      <c r="BC668" s="450">
        <v>96.99</v>
      </c>
      <c r="BD668" s="450">
        <v>97.02</v>
      </c>
      <c r="BE668" s="450">
        <v>96.95</v>
      </c>
    </row>
    <row r="669" spans="2:57" x14ac:dyDescent="0.25">
      <c r="B669" s="134">
        <v>52</v>
      </c>
      <c r="C669" s="450">
        <v>91.6</v>
      </c>
      <c r="D669" s="450">
        <v>91.84</v>
      </c>
      <c r="E669" s="450">
        <v>92.07</v>
      </c>
      <c r="F669" s="450">
        <v>92.29</v>
      </c>
      <c r="G669" s="450">
        <v>92.51</v>
      </c>
      <c r="H669" s="450">
        <v>92.73</v>
      </c>
      <c r="I669" s="450">
        <v>92.94</v>
      </c>
      <c r="J669" s="450">
        <v>93.14</v>
      </c>
      <c r="K669" s="450">
        <v>93.34</v>
      </c>
      <c r="L669" s="450">
        <v>93.52</v>
      </c>
      <c r="M669" s="450">
        <v>93.7</v>
      </c>
      <c r="N669" s="450">
        <v>93.86</v>
      </c>
      <c r="O669" s="450">
        <v>94.53</v>
      </c>
      <c r="P669" s="450">
        <v>94.91</v>
      </c>
      <c r="Q669" s="450">
        <v>95.05</v>
      </c>
      <c r="R669" s="450">
        <v>95.05</v>
      </c>
      <c r="S669" s="450">
        <v>94.97</v>
      </c>
      <c r="T669" s="133"/>
      <c r="U669" s="134">
        <v>52</v>
      </c>
      <c r="V669" s="450">
        <v>92.63</v>
      </c>
      <c r="W669" s="450">
        <v>92.87</v>
      </c>
      <c r="X669" s="450">
        <v>93.1</v>
      </c>
      <c r="Y669" s="450">
        <v>93.34</v>
      </c>
      <c r="Z669" s="450">
        <v>93.56</v>
      </c>
      <c r="AA669" s="450">
        <v>93.79</v>
      </c>
      <c r="AB669" s="450">
        <v>94</v>
      </c>
      <c r="AC669" s="450">
        <v>94.21</v>
      </c>
      <c r="AD669" s="450">
        <v>94.41</v>
      </c>
      <c r="AE669" s="450">
        <v>94.6</v>
      </c>
      <c r="AF669" s="450">
        <v>94.79</v>
      </c>
      <c r="AG669" s="450">
        <v>94.96</v>
      </c>
      <c r="AH669" s="450">
        <v>95.65</v>
      </c>
      <c r="AI669" s="450">
        <v>96.05</v>
      </c>
      <c r="AJ669" s="450">
        <v>96.21</v>
      </c>
      <c r="AK669" s="450">
        <v>96.22</v>
      </c>
      <c r="AL669" s="450">
        <v>96.15</v>
      </c>
      <c r="AM669" s="133"/>
      <c r="AN669" s="134">
        <v>52</v>
      </c>
      <c r="AO669" s="450">
        <v>93.82</v>
      </c>
      <c r="AP669" s="450">
        <v>94.07</v>
      </c>
      <c r="AQ669" s="450">
        <v>94.31</v>
      </c>
      <c r="AR669" s="450">
        <v>94.55</v>
      </c>
      <c r="AS669" s="450">
        <v>94.79</v>
      </c>
      <c r="AT669" s="450">
        <v>95.02</v>
      </c>
      <c r="AU669" s="450">
        <v>95.24</v>
      </c>
      <c r="AV669" s="450">
        <v>95.46</v>
      </c>
      <c r="AW669" s="450">
        <v>95.67</v>
      </c>
      <c r="AX669" s="450">
        <v>95.87</v>
      </c>
      <c r="AY669" s="450">
        <v>96.05</v>
      </c>
      <c r="AZ669" s="450">
        <v>96.23</v>
      </c>
      <c r="BA669" s="450">
        <v>96.95</v>
      </c>
      <c r="BB669" s="450">
        <v>97.37</v>
      </c>
      <c r="BC669" s="450">
        <v>97.53</v>
      </c>
      <c r="BD669" s="450">
        <v>97.54</v>
      </c>
      <c r="BE669" s="450">
        <v>97.46</v>
      </c>
    </row>
    <row r="670" spans="2:57" x14ac:dyDescent="0.25">
      <c r="B670" s="134">
        <v>53</v>
      </c>
      <c r="C670" s="450">
        <v>92.09</v>
      </c>
      <c r="D670" s="450">
        <v>92.33</v>
      </c>
      <c r="E670" s="450">
        <v>92.57</v>
      </c>
      <c r="F670" s="450">
        <v>92.8</v>
      </c>
      <c r="G670" s="450">
        <v>93.03</v>
      </c>
      <c r="H670" s="450">
        <v>93.26</v>
      </c>
      <c r="I670" s="450">
        <v>93.47</v>
      </c>
      <c r="J670" s="450">
        <v>93.68</v>
      </c>
      <c r="K670" s="450">
        <v>93.88</v>
      </c>
      <c r="L670" s="450">
        <v>94.07</v>
      </c>
      <c r="M670" s="450">
        <v>94.25</v>
      </c>
      <c r="N670" s="450">
        <v>94.42</v>
      </c>
      <c r="O670" s="450">
        <v>95.09</v>
      </c>
      <c r="P670" s="450">
        <v>95.44</v>
      </c>
      <c r="Q670" s="450">
        <v>95.57</v>
      </c>
      <c r="R670" s="450">
        <v>95.55</v>
      </c>
      <c r="S670" s="450">
        <v>95.46</v>
      </c>
      <c r="T670" s="133"/>
      <c r="U670" s="134">
        <v>53</v>
      </c>
      <c r="V670" s="450">
        <v>93.13</v>
      </c>
      <c r="W670" s="450">
        <v>93.37</v>
      </c>
      <c r="X670" s="450">
        <v>93.62</v>
      </c>
      <c r="Y670" s="450">
        <v>93.86</v>
      </c>
      <c r="Z670" s="450">
        <v>94.1</v>
      </c>
      <c r="AA670" s="450">
        <v>94.33</v>
      </c>
      <c r="AB670" s="450">
        <v>94.55</v>
      </c>
      <c r="AC670" s="450">
        <v>94.77</v>
      </c>
      <c r="AD670" s="450">
        <v>94.98</v>
      </c>
      <c r="AE670" s="450">
        <v>95.17</v>
      </c>
      <c r="AF670" s="450">
        <v>95.36</v>
      </c>
      <c r="AG670" s="450">
        <v>95.54</v>
      </c>
      <c r="AH670" s="450">
        <v>96.23</v>
      </c>
      <c r="AI670" s="450">
        <v>96.61</v>
      </c>
      <c r="AJ670" s="450">
        <v>96.75</v>
      </c>
      <c r="AK670" s="450">
        <v>96.74</v>
      </c>
      <c r="AL670" s="450">
        <v>96.65</v>
      </c>
      <c r="AM670" s="133"/>
      <c r="AN670" s="134">
        <v>53</v>
      </c>
      <c r="AO670" s="450">
        <v>94.33</v>
      </c>
      <c r="AP670" s="450">
        <v>94.59</v>
      </c>
      <c r="AQ670" s="450">
        <v>94.85</v>
      </c>
      <c r="AR670" s="450">
        <v>95.1</v>
      </c>
      <c r="AS670" s="450">
        <v>95.34</v>
      </c>
      <c r="AT670" s="450">
        <v>95.58</v>
      </c>
      <c r="AU670" s="450">
        <v>95.81</v>
      </c>
      <c r="AV670" s="450">
        <v>96.04</v>
      </c>
      <c r="AW670" s="450">
        <v>96.25</v>
      </c>
      <c r="AX670" s="450">
        <v>96.46</v>
      </c>
      <c r="AY670" s="450">
        <v>96.65</v>
      </c>
      <c r="AZ670" s="450">
        <v>96.83</v>
      </c>
      <c r="BA670" s="450">
        <v>97.55</v>
      </c>
      <c r="BB670" s="450">
        <v>97.94</v>
      </c>
      <c r="BC670" s="450">
        <v>98.09</v>
      </c>
      <c r="BD670" s="450">
        <v>98.08</v>
      </c>
      <c r="BE670" s="450">
        <v>97.98</v>
      </c>
    </row>
    <row r="671" spans="2:57" x14ac:dyDescent="0.25">
      <c r="B671" s="134">
        <v>54</v>
      </c>
      <c r="C671" s="450">
        <v>92.59</v>
      </c>
      <c r="D671" s="450">
        <v>92.85</v>
      </c>
      <c r="E671" s="450">
        <v>93.1</v>
      </c>
      <c r="F671" s="450">
        <v>93.34</v>
      </c>
      <c r="G671" s="450">
        <v>93.58</v>
      </c>
      <c r="H671" s="450">
        <v>93.81</v>
      </c>
      <c r="I671" s="450">
        <v>94.03</v>
      </c>
      <c r="J671" s="450">
        <v>94.25</v>
      </c>
      <c r="K671" s="450">
        <v>94.45</v>
      </c>
      <c r="L671" s="450">
        <v>94.65</v>
      </c>
      <c r="M671" s="450">
        <v>94.83</v>
      </c>
      <c r="N671" s="450">
        <v>95</v>
      </c>
      <c r="O671" s="450">
        <v>95.66</v>
      </c>
      <c r="P671" s="450">
        <v>95.99</v>
      </c>
      <c r="Q671" s="450">
        <v>96.1</v>
      </c>
      <c r="R671" s="450">
        <v>96.06</v>
      </c>
      <c r="S671" s="450">
        <v>95.96</v>
      </c>
      <c r="T671" s="133"/>
      <c r="U671" s="134">
        <v>54</v>
      </c>
      <c r="V671" s="450">
        <v>93.64</v>
      </c>
      <c r="W671" s="450">
        <v>93.91</v>
      </c>
      <c r="X671" s="450">
        <v>94.16</v>
      </c>
      <c r="Y671" s="450">
        <v>94.41</v>
      </c>
      <c r="Z671" s="450">
        <v>94.66</v>
      </c>
      <c r="AA671" s="450">
        <v>94.9</v>
      </c>
      <c r="AB671" s="450">
        <v>95.13</v>
      </c>
      <c r="AC671" s="450">
        <v>95.35</v>
      </c>
      <c r="AD671" s="450">
        <v>95.57</v>
      </c>
      <c r="AE671" s="450">
        <v>95.77</v>
      </c>
      <c r="AF671" s="450">
        <v>95.96</v>
      </c>
      <c r="AG671" s="450">
        <v>96.13</v>
      </c>
      <c r="AH671" s="450">
        <v>96.82</v>
      </c>
      <c r="AI671" s="450">
        <v>97.18</v>
      </c>
      <c r="AJ671" s="450">
        <v>97.3</v>
      </c>
      <c r="AK671" s="450">
        <v>97.27</v>
      </c>
      <c r="AL671" s="450">
        <v>97.18</v>
      </c>
      <c r="AM671" s="133"/>
      <c r="AN671" s="134">
        <v>54</v>
      </c>
      <c r="AO671" s="450">
        <v>94.87</v>
      </c>
      <c r="AP671" s="450">
        <v>95.14</v>
      </c>
      <c r="AQ671" s="450">
        <v>95.41</v>
      </c>
      <c r="AR671" s="450">
        <v>95.67</v>
      </c>
      <c r="AS671" s="450">
        <v>95.92</v>
      </c>
      <c r="AT671" s="450">
        <v>96.17</v>
      </c>
      <c r="AU671" s="450">
        <v>96.41</v>
      </c>
      <c r="AV671" s="450">
        <v>96.64</v>
      </c>
      <c r="AW671" s="450">
        <v>96.86</v>
      </c>
      <c r="AX671" s="450">
        <v>97.07</v>
      </c>
      <c r="AY671" s="450">
        <v>97.27</v>
      </c>
      <c r="AZ671" s="450">
        <v>97.45</v>
      </c>
      <c r="BA671" s="450">
        <v>98.17</v>
      </c>
      <c r="BB671" s="450">
        <v>98.54</v>
      </c>
      <c r="BC671" s="450">
        <v>98.66</v>
      </c>
      <c r="BD671" s="450">
        <v>98.63</v>
      </c>
      <c r="BE671" s="450">
        <v>98.52</v>
      </c>
    </row>
    <row r="672" spans="2:57" x14ac:dyDescent="0.25">
      <c r="B672" s="134">
        <v>55</v>
      </c>
      <c r="C672" s="450">
        <v>93.12</v>
      </c>
      <c r="D672" s="450">
        <v>93.38</v>
      </c>
      <c r="E672" s="450">
        <v>93.64</v>
      </c>
      <c r="F672" s="450">
        <v>93.9</v>
      </c>
      <c r="G672" s="450">
        <v>94.14</v>
      </c>
      <c r="H672" s="450">
        <v>94.38</v>
      </c>
      <c r="I672" s="450">
        <v>94.61</v>
      </c>
      <c r="J672" s="450">
        <v>94.83</v>
      </c>
      <c r="K672" s="450">
        <v>95.04</v>
      </c>
      <c r="L672" s="450">
        <v>95.24</v>
      </c>
      <c r="M672" s="450">
        <v>95.42</v>
      </c>
      <c r="N672" s="450">
        <v>95.59</v>
      </c>
      <c r="O672" s="450">
        <v>96.24</v>
      </c>
      <c r="P672" s="450">
        <v>96.55</v>
      </c>
      <c r="Q672" s="450">
        <v>96.63</v>
      </c>
      <c r="R672" s="450">
        <v>96.58</v>
      </c>
      <c r="S672" s="450">
        <v>96.47</v>
      </c>
      <c r="T672" s="133"/>
      <c r="U672" s="134">
        <v>55</v>
      </c>
      <c r="V672" s="450">
        <v>94.19</v>
      </c>
      <c r="W672" s="450">
        <v>94.46</v>
      </c>
      <c r="X672" s="450">
        <v>94.73</v>
      </c>
      <c r="Y672" s="450">
        <v>94.99</v>
      </c>
      <c r="Z672" s="450">
        <v>95.24</v>
      </c>
      <c r="AA672" s="450">
        <v>95.49</v>
      </c>
      <c r="AB672" s="450">
        <v>95.73</v>
      </c>
      <c r="AC672" s="450">
        <v>95.96</v>
      </c>
      <c r="AD672" s="450">
        <v>96.17</v>
      </c>
      <c r="AE672" s="450">
        <v>96.38</v>
      </c>
      <c r="AF672" s="450">
        <v>96.57</v>
      </c>
      <c r="AG672" s="450">
        <v>96.75</v>
      </c>
      <c r="AH672" s="450">
        <v>97.43</v>
      </c>
      <c r="AI672" s="450">
        <v>97.76</v>
      </c>
      <c r="AJ672" s="450">
        <v>97.86</v>
      </c>
      <c r="AK672" s="450">
        <v>97.82</v>
      </c>
      <c r="AL672" s="450">
        <v>97.71</v>
      </c>
      <c r="AM672" s="133"/>
      <c r="AN672" s="134">
        <v>55</v>
      </c>
      <c r="AO672" s="450">
        <v>95.43</v>
      </c>
      <c r="AP672" s="450">
        <v>95.72</v>
      </c>
      <c r="AQ672" s="450">
        <v>95.99</v>
      </c>
      <c r="AR672" s="450">
        <v>96.26</v>
      </c>
      <c r="AS672" s="450">
        <v>96.53</v>
      </c>
      <c r="AT672" s="450">
        <v>96.78</v>
      </c>
      <c r="AU672" s="450">
        <v>97.03</v>
      </c>
      <c r="AV672" s="450">
        <v>97.27</v>
      </c>
      <c r="AW672" s="450">
        <v>97.49</v>
      </c>
      <c r="AX672" s="450">
        <v>97.7</v>
      </c>
      <c r="AY672" s="450">
        <v>97.9</v>
      </c>
      <c r="AZ672" s="450">
        <v>98.09</v>
      </c>
      <c r="BA672" s="450">
        <v>98.8</v>
      </c>
      <c r="BB672" s="450">
        <v>99.14</v>
      </c>
      <c r="BC672" s="450">
        <v>99.24</v>
      </c>
      <c r="BD672" s="450">
        <v>99.19</v>
      </c>
      <c r="BE672" s="450">
        <v>99.07</v>
      </c>
    </row>
    <row r="673" spans="2:57" x14ac:dyDescent="0.25">
      <c r="B673" s="134">
        <v>56</v>
      </c>
      <c r="C673" s="450">
        <v>93.67</v>
      </c>
      <c r="D673" s="450">
        <v>93.94</v>
      </c>
      <c r="E673" s="450">
        <v>94.21</v>
      </c>
      <c r="F673" s="450">
        <v>94.48</v>
      </c>
      <c r="G673" s="450">
        <v>94.73</v>
      </c>
      <c r="H673" s="450">
        <v>94.98</v>
      </c>
      <c r="I673" s="450">
        <v>95.21</v>
      </c>
      <c r="J673" s="450">
        <v>95.44</v>
      </c>
      <c r="K673" s="450">
        <v>95.65</v>
      </c>
      <c r="L673" s="450">
        <v>95.85</v>
      </c>
      <c r="M673" s="450">
        <v>96.03</v>
      </c>
      <c r="N673" s="450">
        <v>96.2</v>
      </c>
      <c r="O673" s="450">
        <v>96.83</v>
      </c>
      <c r="P673" s="450">
        <v>97.12</v>
      </c>
      <c r="Q673" s="450">
        <v>97.18</v>
      </c>
      <c r="R673" s="450">
        <v>97.11</v>
      </c>
      <c r="S673" s="450">
        <v>96.99</v>
      </c>
      <c r="T673" s="133"/>
      <c r="U673" s="134">
        <v>56</v>
      </c>
      <c r="V673" s="450">
        <v>94.75</v>
      </c>
      <c r="W673" s="450">
        <v>95.04</v>
      </c>
      <c r="X673" s="450">
        <v>95.32</v>
      </c>
      <c r="Y673" s="450">
        <v>95.59</v>
      </c>
      <c r="Z673" s="450">
        <v>95.85</v>
      </c>
      <c r="AA673" s="450">
        <v>96.11</v>
      </c>
      <c r="AB673" s="450">
        <v>96.35</v>
      </c>
      <c r="AC673" s="450">
        <v>96.58</v>
      </c>
      <c r="AD673" s="450">
        <v>96.8</v>
      </c>
      <c r="AE673" s="450">
        <v>97.01</v>
      </c>
      <c r="AF673" s="450">
        <v>97.2</v>
      </c>
      <c r="AG673" s="450">
        <v>97.38</v>
      </c>
      <c r="AH673" s="450">
        <v>98.04</v>
      </c>
      <c r="AI673" s="450">
        <v>98.35</v>
      </c>
      <c r="AJ673" s="450">
        <v>98.43</v>
      </c>
      <c r="AK673" s="450">
        <v>98.37</v>
      </c>
      <c r="AL673" s="450">
        <v>98.25</v>
      </c>
      <c r="AM673" s="133"/>
      <c r="AN673" s="134">
        <v>56</v>
      </c>
      <c r="AO673" s="450">
        <v>96.02</v>
      </c>
      <c r="AP673" s="450">
        <v>96.31</v>
      </c>
      <c r="AQ673" s="450">
        <v>96.6</v>
      </c>
      <c r="AR673" s="450">
        <v>96.88</v>
      </c>
      <c r="AS673" s="450">
        <v>97.16</v>
      </c>
      <c r="AT673" s="450">
        <v>97.42</v>
      </c>
      <c r="AU673" s="450">
        <v>97.67</v>
      </c>
      <c r="AV673" s="450">
        <v>97.91</v>
      </c>
      <c r="AW673" s="450">
        <v>98.14</v>
      </c>
      <c r="AX673" s="450">
        <v>98.36</v>
      </c>
      <c r="AY673" s="450">
        <v>98.56</v>
      </c>
      <c r="AZ673" s="450">
        <v>98.74</v>
      </c>
      <c r="BA673" s="450">
        <v>99.43</v>
      </c>
      <c r="BB673" s="450">
        <v>99.75</v>
      </c>
      <c r="BC673" s="450">
        <v>99.83</v>
      </c>
      <c r="BD673" s="450">
        <v>99.76</v>
      </c>
      <c r="BE673" s="450">
        <v>99.63</v>
      </c>
    </row>
    <row r="674" spans="2:57" x14ac:dyDescent="0.25">
      <c r="B674" s="134">
        <v>57</v>
      </c>
      <c r="C674" s="450">
        <v>94.24</v>
      </c>
      <c r="D674" s="450">
        <v>94.53</v>
      </c>
      <c r="E674" s="450">
        <v>94.81</v>
      </c>
      <c r="F674" s="450">
        <v>95.08</v>
      </c>
      <c r="G674" s="450">
        <v>95.34</v>
      </c>
      <c r="H674" s="450">
        <v>95.59</v>
      </c>
      <c r="I674" s="450">
        <v>95.83</v>
      </c>
      <c r="J674" s="450">
        <v>96.06</v>
      </c>
      <c r="K674" s="450">
        <v>96.27</v>
      </c>
      <c r="L674" s="450">
        <v>96.47</v>
      </c>
      <c r="M674" s="450">
        <v>96.66</v>
      </c>
      <c r="N674" s="450">
        <v>96.83</v>
      </c>
      <c r="O674" s="450">
        <v>97.43</v>
      </c>
      <c r="P674" s="450">
        <v>97.69</v>
      </c>
      <c r="Q674" s="450">
        <v>97.72</v>
      </c>
      <c r="R674" s="450">
        <v>97.63</v>
      </c>
      <c r="S674" s="450">
        <v>97.5</v>
      </c>
      <c r="T674" s="133"/>
      <c r="U674" s="134">
        <v>57</v>
      </c>
      <c r="V674" s="450">
        <v>95.34</v>
      </c>
      <c r="W674" s="450">
        <v>95.64</v>
      </c>
      <c r="X674" s="450">
        <v>95.93</v>
      </c>
      <c r="Y674" s="450">
        <v>96.21</v>
      </c>
      <c r="Z674" s="450">
        <v>96.48</v>
      </c>
      <c r="AA674" s="450">
        <v>96.74</v>
      </c>
      <c r="AB674" s="450">
        <v>96.99</v>
      </c>
      <c r="AC674" s="450">
        <v>97.23</v>
      </c>
      <c r="AD674" s="450">
        <v>97.45</v>
      </c>
      <c r="AE674" s="450">
        <v>97.66</v>
      </c>
      <c r="AF674" s="450">
        <v>97.85</v>
      </c>
      <c r="AG674" s="450">
        <v>98.03</v>
      </c>
      <c r="AH674" s="450">
        <v>98.67</v>
      </c>
      <c r="AI674" s="450">
        <v>98.95</v>
      </c>
      <c r="AJ674" s="450">
        <v>99</v>
      </c>
      <c r="AK674" s="450">
        <v>98.92</v>
      </c>
      <c r="AL674" s="450">
        <v>98.79</v>
      </c>
      <c r="AM674" s="133"/>
      <c r="AN674" s="134">
        <v>57</v>
      </c>
      <c r="AO674" s="450">
        <v>96.63</v>
      </c>
      <c r="AP674" s="450">
        <v>96.94</v>
      </c>
      <c r="AQ674" s="450">
        <v>97.23</v>
      </c>
      <c r="AR674" s="450">
        <v>97.53</v>
      </c>
      <c r="AS674" s="450">
        <v>97.81</v>
      </c>
      <c r="AT674" s="450">
        <v>98.08</v>
      </c>
      <c r="AU674" s="450">
        <v>98.34</v>
      </c>
      <c r="AV674" s="450">
        <v>98.58</v>
      </c>
      <c r="AW674" s="450">
        <v>98.81</v>
      </c>
      <c r="AX674" s="450">
        <v>99.03</v>
      </c>
      <c r="AY674" s="450">
        <v>99.23</v>
      </c>
      <c r="AZ674" s="450">
        <v>99.42</v>
      </c>
      <c r="BA674" s="450">
        <v>100.08</v>
      </c>
      <c r="BB674" s="450">
        <v>100.37</v>
      </c>
      <c r="BC674" s="450">
        <v>100.42</v>
      </c>
      <c r="BD674" s="450">
        <v>100.33</v>
      </c>
      <c r="BE674" s="450">
        <v>100.18</v>
      </c>
    </row>
    <row r="675" spans="2:57" x14ac:dyDescent="0.25">
      <c r="B675" s="134">
        <v>58</v>
      </c>
      <c r="C675" s="450">
        <v>94.84</v>
      </c>
      <c r="D675" s="450">
        <v>95.13</v>
      </c>
      <c r="E675" s="450">
        <v>95.42</v>
      </c>
      <c r="F675" s="450">
        <v>95.7</v>
      </c>
      <c r="G675" s="450">
        <v>95.97</v>
      </c>
      <c r="H675" s="450">
        <v>96.22</v>
      </c>
      <c r="I675" s="450">
        <v>96.47</v>
      </c>
      <c r="J675" s="450">
        <v>96.7</v>
      </c>
      <c r="K675" s="450">
        <v>96.91</v>
      </c>
      <c r="L675" s="450">
        <v>97.11</v>
      </c>
      <c r="M675" s="450">
        <v>97.29</v>
      </c>
      <c r="N675" s="450">
        <v>97.46</v>
      </c>
      <c r="O675" s="450">
        <v>98.03</v>
      </c>
      <c r="P675" s="450">
        <v>98.25</v>
      </c>
      <c r="Q675" s="450">
        <v>98.26</v>
      </c>
      <c r="R675" s="450">
        <v>98.14</v>
      </c>
      <c r="S675" s="450">
        <v>98</v>
      </c>
      <c r="T675" s="133"/>
      <c r="U675" s="134">
        <v>58</v>
      </c>
      <c r="V675" s="450">
        <v>95.96</v>
      </c>
      <c r="W675" s="450">
        <v>96.26</v>
      </c>
      <c r="X675" s="450">
        <v>96.56</v>
      </c>
      <c r="Y675" s="450">
        <v>96.85</v>
      </c>
      <c r="Z675" s="450">
        <v>97.13</v>
      </c>
      <c r="AA675" s="450">
        <v>97.4</v>
      </c>
      <c r="AB675" s="450">
        <v>97.65</v>
      </c>
      <c r="AC675" s="450">
        <v>97.89</v>
      </c>
      <c r="AD675" s="450">
        <v>98.11</v>
      </c>
      <c r="AE675" s="450">
        <v>98.32</v>
      </c>
      <c r="AF675" s="450">
        <v>98.51</v>
      </c>
      <c r="AG675" s="450">
        <v>98.69</v>
      </c>
      <c r="AH675" s="450">
        <v>99.29</v>
      </c>
      <c r="AI675" s="450">
        <v>99.54</v>
      </c>
      <c r="AJ675" s="450">
        <v>99.56</v>
      </c>
      <c r="AK675" s="450">
        <v>99.46</v>
      </c>
      <c r="AL675" s="450">
        <v>99.32</v>
      </c>
      <c r="AM675" s="133"/>
      <c r="AN675" s="134">
        <v>58</v>
      </c>
      <c r="AO675" s="450">
        <v>97.27</v>
      </c>
      <c r="AP675" s="450">
        <v>97.58</v>
      </c>
      <c r="AQ675" s="450">
        <v>97.89</v>
      </c>
      <c r="AR675" s="450">
        <v>98.19</v>
      </c>
      <c r="AS675" s="450">
        <v>98.48</v>
      </c>
      <c r="AT675" s="450">
        <v>98.76</v>
      </c>
      <c r="AU675" s="450">
        <v>99.02</v>
      </c>
      <c r="AV675" s="450">
        <v>99.27</v>
      </c>
      <c r="AW675" s="450">
        <v>99.5</v>
      </c>
      <c r="AX675" s="450">
        <v>99.72</v>
      </c>
      <c r="AY675" s="450">
        <v>99.92</v>
      </c>
      <c r="AZ675" s="450">
        <v>100.1</v>
      </c>
      <c r="BA675" s="450">
        <v>100.73</v>
      </c>
      <c r="BB675" s="450">
        <v>100.99</v>
      </c>
      <c r="BC675" s="450">
        <v>101</v>
      </c>
      <c r="BD675" s="450">
        <v>100.88</v>
      </c>
      <c r="BE675" s="450">
        <v>100.73</v>
      </c>
    </row>
    <row r="676" spans="2:57" x14ac:dyDescent="0.25">
      <c r="B676" s="134">
        <v>59</v>
      </c>
      <c r="C676" s="450">
        <v>95.45</v>
      </c>
      <c r="D676" s="450">
        <v>95.76</v>
      </c>
      <c r="E676" s="450">
        <v>96.05</v>
      </c>
      <c r="F676" s="450">
        <v>96.34</v>
      </c>
      <c r="G676" s="450">
        <v>96.61</v>
      </c>
      <c r="H676" s="450">
        <v>96.87</v>
      </c>
      <c r="I676" s="450">
        <v>97.12</v>
      </c>
      <c r="J676" s="450">
        <v>97.34</v>
      </c>
      <c r="K676" s="450">
        <v>97.56</v>
      </c>
      <c r="L676" s="450">
        <v>97.75</v>
      </c>
      <c r="M676" s="450">
        <v>97.93</v>
      </c>
      <c r="N676" s="450">
        <v>98.09</v>
      </c>
      <c r="O676" s="450">
        <v>98.62</v>
      </c>
      <c r="P676" s="450">
        <v>98.8</v>
      </c>
      <c r="Q676" s="450">
        <v>98.77</v>
      </c>
      <c r="R676" s="450">
        <v>98.63</v>
      </c>
      <c r="S676" s="450">
        <v>98.48</v>
      </c>
      <c r="T676" s="133"/>
      <c r="U676" s="134">
        <v>59</v>
      </c>
      <c r="V676" s="450">
        <v>96.59</v>
      </c>
      <c r="W676" s="450">
        <v>96.91</v>
      </c>
      <c r="X676" s="450">
        <v>97.22</v>
      </c>
      <c r="Y676" s="450">
        <v>97.51</v>
      </c>
      <c r="Z676" s="450">
        <v>97.8</v>
      </c>
      <c r="AA676" s="450">
        <v>98.07</v>
      </c>
      <c r="AB676" s="450">
        <v>98.32</v>
      </c>
      <c r="AC676" s="450">
        <v>98.56</v>
      </c>
      <c r="AD676" s="450">
        <v>98.79</v>
      </c>
      <c r="AE676" s="450">
        <v>98.99</v>
      </c>
      <c r="AF676" s="450">
        <v>99.18</v>
      </c>
      <c r="AG676" s="450">
        <v>99.35</v>
      </c>
      <c r="AH676" s="450">
        <v>99.91</v>
      </c>
      <c r="AI676" s="450">
        <v>100.12</v>
      </c>
      <c r="AJ676" s="450">
        <v>100.11</v>
      </c>
      <c r="AK676" s="450">
        <v>99.98</v>
      </c>
      <c r="AL676" s="450">
        <v>99.83</v>
      </c>
      <c r="AM676" s="133"/>
      <c r="AN676" s="134">
        <v>59</v>
      </c>
      <c r="AO676" s="450">
        <v>97.93</v>
      </c>
      <c r="AP676" s="450">
        <v>98.25</v>
      </c>
      <c r="AQ676" s="450">
        <v>98.57</v>
      </c>
      <c r="AR676" s="450">
        <v>98.88</v>
      </c>
      <c r="AS676" s="450">
        <v>99.17</v>
      </c>
      <c r="AT676" s="450">
        <v>99.45</v>
      </c>
      <c r="AU676" s="450">
        <v>99.72</v>
      </c>
      <c r="AV676" s="450">
        <v>99.97</v>
      </c>
      <c r="AW676" s="450">
        <v>100.2</v>
      </c>
      <c r="AX676" s="450">
        <v>100.41</v>
      </c>
      <c r="AY676" s="450">
        <v>100.61</v>
      </c>
      <c r="AZ676" s="450">
        <v>100.79</v>
      </c>
      <c r="BA676" s="450">
        <v>101.37</v>
      </c>
      <c r="BB676" s="450">
        <v>101.59</v>
      </c>
      <c r="BC676" s="450">
        <v>101.57</v>
      </c>
      <c r="BD676" s="450">
        <v>101.42</v>
      </c>
      <c r="BE676" s="450">
        <v>101.25</v>
      </c>
    </row>
    <row r="677" spans="2:57" x14ac:dyDescent="0.25">
      <c r="B677" s="134">
        <v>60</v>
      </c>
      <c r="C677" s="450">
        <v>96.09</v>
      </c>
      <c r="D677" s="450">
        <v>96.4</v>
      </c>
      <c r="E677" s="450">
        <v>96.7</v>
      </c>
      <c r="F677" s="450">
        <v>96.99</v>
      </c>
      <c r="G677" s="450">
        <v>97.27</v>
      </c>
      <c r="H677" s="450">
        <v>97.53</v>
      </c>
      <c r="I677" s="450">
        <v>97.77</v>
      </c>
      <c r="J677" s="450">
        <v>98</v>
      </c>
      <c r="K677" s="450">
        <v>98.21</v>
      </c>
      <c r="L677" s="450">
        <v>98.4</v>
      </c>
      <c r="M677" s="450">
        <v>98.57</v>
      </c>
      <c r="N677" s="450">
        <v>98.72</v>
      </c>
      <c r="O677" s="450">
        <v>99.2</v>
      </c>
      <c r="P677" s="450">
        <v>99.33</v>
      </c>
      <c r="Q677" s="450">
        <v>99.26</v>
      </c>
      <c r="R677" s="450">
        <v>99.09</v>
      </c>
      <c r="S677" s="450">
        <v>98.86</v>
      </c>
      <c r="T677" s="133"/>
      <c r="U677" s="134">
        <v>60</v>
      </c>
      <c r="V677" s="450">
        <v>97.25</v>
      </c>
      <c r="W677" s="450">
        <v>97.58</v>
      </c>
      <c r="X677" s="450">
        <v>97.89</v>
      </c>
      <c r="Y677" s="450">
        <v>98.19</v>
      </c>
      <c r="Z677" s="450">
        <v>98.48</v>
      </c>
      <c r="AA677" s="450">
        <v>98.75</v>
      </c>
      <c r="AB677" s="450">
        <v>99.01</v>
      </c>
      <c r="AC677" s="450">
        <v>99.24</v>
      </c>
      <c r="AD677" s="450">
        <v>99.46</v>
      </c>
      <c r="AE677" s="450">
        <v>99.66</v>
      </c>
      <c r="AF677" s="450">
        <v>99.85</v>
      </c>
      <c r="AG677" s="450">
        <v>100.01</v>
      </c>
      <c r="AH677" s="450">
        <v>100.52</v>
      </c>
      <c r="AI677" s="450">
        <v>100.68</v>
      </c>
      <c r="AJ677" s="450">
        <v>100.62</v>
      </c>
      <c r="AK677" s="450">
        <v>100.47</v>
      </c>
      <c r="AL677" s="450">
        <v>100.24</v>
      </c>
      <c r="AM677" s="133"/>
      <c r="AN677" s="134">
        <v>60</v>
      </c>
      <c r="AO677" s="450">
        <v>98.61</v>
      </c>
      <c r="AP677" s="450">
        <v>98.94</v>
      </c>
      <c r="AQ677" s="450">
        <v>99.27</v>
      </c>
      <c r="AR677" s="450">
        <v>99.58</v>
      </c>
      <c r="AS677" s="450">
        <v>99.88</v>
      </c>
      <c r="AT677" s="450">
        <v>100.16</v>
      </c>
      <c r="AU677" s="450">
        <v>100.43</v>
      </c>
      <c r="AV677" s="450">
        <v>100.68</v>
      </c>
      <c r="AW677" s="450">
        <v>100.91</v>
      </c>
      <c r="AX677" s="450">
        <v>101.11</v>
      </c>
      <c r="AY677" s="450">
        <v>101.3</v>
      </c>
      <c r="AZ677" s="450">
        <v>101.47</v>
      </c>
      <c r="BA677" s="450">
        <v>102.01</v>
      </c>
      <c r="BB677" s="450">
        <v>102.17</v>
      </c>
      <c r="BC677" s="450">
        <v>102.1</v>
      </c>
      <c r="BD677" s="450">
        <v>101.92</v>
      </c>
      <c r="BE677" s="450">
        <v>101.67</v>
      </c>
    </row>
    <row r="678" spans="2:57" x14ac:dyDescent="0.25">
      <c r="B678" s="134">
        <v>61</v>
      </c>
      <c r="C678" s="450">
        <v>96.74</v>
      </c>
      <c r="D678" s="450">
        <v>97.06</v>
      </c>
      <c r="E678" s="450">
        <v>97.36</v>
      </c>
      <c r="F678" s="450">
        <v>97.65</v>
      </c>
      <c r="G678" s="450">
        <v>97.93</v>
      </c>
      <c r="H678" s="450">
        <v>98.19</v>
      </c>
      <c r="I678" s="450">
        <v>98.43</v>
      </c>
      <c r="J678" s="450">
        <v>98.65</v>
      </c>
      <c r="K678" s="450">
        <v>98.85</v>
      </c>
      <c r="L678" s="450">
        <v>99.04</v>
      </c>
      <c r="M678" s="450">
        <v>99.2</v>
      </c>
      <c r="N678" s="450">
        <v>99.33</v>
      </c>
      <c r="O678" s="450">
        <v>99.75</v>
      </c>
      <c r="P678" s="450">
        <v>99.83</v>
      </c>
      <c r="Q678" s="450">
        <v>99.7</v>
      </c>
      <c r="R678" s="450">
        <v>99.5</v>
      </c>
      <c r="S678" s="450">
        <v>99.17</v>
      </c>
      <c r="T678" s="133"/>
      <c r="U678" s="134">
        <v>61</v>
      </c>
      <c r="V678" s="450">
        <v>97.93</v>
      </c>
      <c r="W678" s="450">
        <v>98.26</v>
      </c>
      <c r="X678" s="450">
        <v>98.58</v>
      </c>
      <c r="Y678" s="450">
        <v>98.88</v>
      </c>
      <c r="Z678" s="450">
        <v>99.17</v>
      </c>
      <c r="AA678" s="450">
        <v>99.44</v>
      </c>
      <c r="AB678" s="450">
        <v>99.69</v>
      </c>
      <c r="AC678" s="450">
        <v>99.93</v>
      </c>
      <c r="AD678" s="450">
        <v>100.14</v>
      </c>
      <c r="AE678" s="450">
        <v>100.33</v>
      </c>
      <c r="AF678" s="450">
        <v>100.51</v>
      </c>
      <c r="AG678" s="450">
        <v>100.65</v>
      </c>
      <c r="AH678" s="450">
        <v>101.1</v>
      </c>
      <c r="AI678" s="450">
        <v>101.21</v>
      </c>
      <c r="AJ678" s="450">
        <v>101.1</v>
      </c>
      <c r="AK678" s="450">
        <v>100.91</v>
      </c>
      <c r="AL678" s="450">
        <v>100.58</v>
      </c>
      <c r="AM678" s="133"/>
      <c r="AN678" s="134">
        <v>61</v>
      </c>
      <c r="AO678" s="450">
        <v>99.31</v>
      </c>
      <c r="AP678" s="450">
        <v>99.65</v>
      </c>
      <c r="AQ678" s="450">
        <v>99.98</v>
      </c>
      <c r="AR678" s="450">
        <v>100.3</v>
      </c>
      <c r="AS678" s="450">
        <v>100.6</v>
      </c>
      <c r="AT678" s="450">
        <v>100.88</v>
      </c>
      <c r="AU678" s="450">
        <v>101.14</v>
      </c>
      <c r="AV678" s="450">
        <v>101.39</v>
      </c>
      <c r="AW678" s="450">
        <v>101.61</v>
      </c>
      <c r="AX678" s="450">
        <v>101.81</v>
      </c>
      <c r="AY678" s="450">
        <v>101.99</v>
      </c>
      <c r="AZ678" s="450">
        <v>102.14</v>
      </c>
      <c r="BA678" s="450">
        <v>102.61</v>
      </c>
      <c r="BB678" s="450">
        <v>102.72</v>
      </c>
      <c r="BC678" s="450">
        <v>102.59</v>
      </c>
      <c r="BD678" s="450">
        <v>102.38</v>
      </c>
      <c r="BE678" s="450">
        <v>102.02</v>
      </c>
    </row>
    <row r="679" spans="2:57" x14ac:dyDescent="0.25">
      <c r="B679" s="134">
        <v>62</v>
      </c>
      <c r="C679" s="450">
        <v>97.4</v>
      </c>
      <c r="D679" s="450">
        <v>97.72</v>
      </c>
      <c r="E679" s="450">
        <v>98.03</v>
      </c>
      <c r="F679" s="450">
        <v>98.32</v>
      </c>
      <c r="G679" s="450">
        <v>98.59</v>
      </c>
      <c r="H679" s="450">
        <v>98.85</v>
      </c>
      <c r="I679" s="450">
        <v>99.08</v>
      </c>
      <c r="J679" s="450">
        <v>99.29</v>
      </c>
      <c r="K679" s="450">
        <v>99.49</v>
      </c>
      <c r="L679" s="450">
        <v>99.66</v>
      </c>
      <c r="M679" s="450">
        <v>99.8</v>
      </c>
      <c r="N679" s="450">
        <v>99.92</v>
      </c>
      <c r="O679" s="450">
        <v>100.26</v>
      </c>
      <c r="P679" s="450">
        <v>100.27</v>
      </c>
      <c r="Q679" s="450">
        <v>100.09</v>
      </c>
      <c r="R679" s="450">
        <v>99.85</v>
      </c>
      <c r="S679" s="450">
        <v>99.4</v>
      </c>
      <c r="T679" s="133"/>
      <c r="U679" s="134">
        <v>62</v>
      </c>
      <c r="V679" s="450">
        <v>98.62</v>
      </c>
      <c r="W679" s="450">
        <v>98.95</v>
      </c>
      <c r="X679" s="450">
        <v>99.27</v>
      </c>
      <c r="Y679" s="450">
        <v>99.58</v>
      </c>
      <c r="Z679" s="450">
        <v>99.86</v>
      </c>
      <c r="AA679" s="450">
        <v>100.13</v>
      </c>
      <c r="AB679" s="450">
        <v>100.37</v>
      </c>
      <c r="AC679" s="450">
        <v>100.6</v>
      </c>
      <c r="AD679" s="450">
        <v>100.8</v>
      </c>
      <c r="AE679" s="450">
        <v>100.99</v>
      </c>
      <c r="AF679" s="450">
        <v>101.14</v>
      </c>
      <c r="AG679" s="450">
        <v>101.27</v>
      </c>
      <c r="AH679" s="450">
        <v>101.65</v>
      </c>
      <c r="AI679" s="450">
        <v>101.68</v>
      </c>
      <c r="AJ679" s="450">
        <v>101.51</v>
      </c>
      <c r="AK679" s="450">
        <v>101.29</v>
      </c>
      <c r="AL679" s="450">
        <v>100.84</v>
      </c>
      <c r="AM679" s="133"/>
      <c r="AN679" s="134">
        <v>62</v>
      </c>
      <c r="AO679" s="450">
        <v>100.02</v>
      </c>
      <c r="AP679" s="450">
        <v>100.37</v>
      </c>
      <c r="AQ679" s="450">
        <v>100.7</v>
      </c>
      <c r="AR679" s="450">
        <v>101.02</v>
      </c>
      <c r="AS679" s="450">
        <v>101.32</v>
      </c>
      <c r="AT679" s="450">
        <v>101.6</v>
      </c>
      <c r="AU679" s="450">
        <v>101.85</v>
      </c>
      <c r="AV679" s="450">
        <v>102.09</v>
      </c>
      <c r="AW679" s="450">
        <v>102.3</v>
      </c>
      <c r="AX679" s="450">
        <v>102.49</v>
      </c>
      <c r="AY679" s="450">
        <v>102.65</v>
      </c>
      <c r="AZ679" s="450">
        <v>102.78</v>
      </c>
      <c r="BA679" s="450">
        <v>103.19</v>
      </c>
      <c r="BB679" s="450">
        <v>103.21</v>
      </c>
      <c r="BC679" s="450">
        <v>103.03</v>
      </c>
      <c r="BD679" s="450">
        <v>102.77</v>
      </c>
      <c r="BE679" s="450">
        <v>102.29</v>
      </c>
    </row>
    <row r="680" spans="2:57" x14ac:dyDescent="0.25">
      <c r="B680" s="134">
        <v>63</v>
      </c>
      <c r="C680" s="450">
        <v>98.07</v>
      </c>
      <c r="D680" s="450">
        <v>98.39</v>
      </c>
      <c r="E680" s="450">
        <v>98.7</v>
      </c>
      <c r="F680" s="450">
        <v>98.98</v>
      </c>
      <c r="G680" s="450">
        <v>99.25</v>
      </c>
      <c r="H680" s="450">
        <v>99.49</v>
      </c>
      <c r="I680" s="450">
        <v>99.72</v>
      </c>
      <c r="J680" s="450">
        <v>99.92</v>
      </c>
      <c r="K680" s="450">
        <v>100.09</v>
      </c>
      <c r="L680" s="450">
        <v>100.24</v>
      </c>
      <c r="M680" s="450">
        <v>100.37</v>
      </c>
      <c r="N680" s="450">
        <v>100.47</v>
      </c>
      <c r="O680" s="450">
        <v>100.72</v>
      </c>
      <c r="P680" s="450">
        <v>100.64</v>
      </c>
      <c r="Q680" s="450">
        <v>100.39</v>
      </c>
      <c r="R680" s="450">
        <v>100.12</v>
      </c>
      <c r="S680" s="450">
        <v>99.53</v>
      </c>
      <c r="T680" s="133"/>
      <c r="U680" s="134">
        <v>63</v>
      </c>
      <c r="V680" s="450">
        <v>99.31</v>
      </c>
      <c r="W680" s="450">
        <v>99.65</v>
      </c>
      <c r="X680" s="450">
        <v>99.97</v>
      </c>
      <c r="Y680" s="450">
        <v>100.27</v>
      </c>
      <c r="Z680" s="450">
        <v>100.55</v>
      </c>
      <c r="AA680" s="450">
        <v>100.81</v>
      </c>
      <c r="AB680" s="450">
        <v>101.04</v>
      </c>
      <c r="AC680" s="450">
        <v>101.25</v>
      </c>
      <c r="AD680" s="450">
        <v>101.44</v>
      </c>
      <c r="AE680" s="450">
        <v>101.6</v>
      </c>
      <c r="AF680" s="450">
        <v>101.74</v>
      </c>
      <c r="AG680" s="450">
        <v>101.85</v>
      </c>
      <c r="AH680" s="450">
        <v>102.15</v>
      </c>
      <c r="AI680" s="450">
        <v>102.09</v>
      </c>
      <c r="AJ680" s="450">
        <v>101.86</v>
      </c>
      <c r="AK680" s="450">
        <v>101.59</v>
      </c>
      <c r="AL680" s="450">
        <v>101</v>
      </c>
      <c r="AM680" s="133"/>
      <c r="AN680" s="134">
        <v>63</v>
      </c>
      <c r="AO680" s="450">
        <v>100.75</v>
      </c>
      <c r="AP680" s="450">
        <v>101.1</v>
      </c>
      <c r="AQ680" s="450">
        <v>101.43</v>
      </c>
      <c r="AR680" s="450">
        <v>101.74</v>
      </c>
      <c r="AS680" s="450">
        <v>102.03</v>
      </c>
      <c r="AT680" s="450">
        <v>102.3</v>
      </c>
      <c r="AU680" s="450">
        <v>102.55</v>
      </c>
      <c r="AV680" s="450">
        <v>102.77</v>
      </c>
      <c r="AW680" s="450">
        <v>102.97</v>
      </c>
      <c r="AX680" s="450">
        <v>103.13</v>
      </c>
      <c r="AY680" s="450">
        <v>103.27</v>
      </c>
      <c r="AZ680" s="450">
        <v>103.39</v>
      </c>
      <c r="BA680" s="450">
        <v>103.7</v>
      </c>
      <c r="BB680" s="450">
        <v>103.64</v>
      </c>
      <c r="BC680" s="450">
        <v>103.38</v>
      </c>
      <c r="BD680" s="450">
        <v>103.09</v>
      </c>
      <c r="BE680" s="450">
        <v>102.46</v>
      </c>
    </row>
    <row r="681" spans="2:57" x14ac:dyDescent="0.25">
      <c r="B681" s="134">
        <v>64</v>
      </c>
      <c r="C681" s="450">
        <v>98.74</v>
      </c>
      <c r="D681" s="450">
        <v>99.05</v>
      </c>
      <c r="E681" s="450">
        <v>99.35</v>
      </c>
      <c r="F681" s="450">
        <v>99.63</v>
      </c>
      <c r="G681" s="450">
        <v>99.88</v>
      </c>
      <c r="H681" s="450">
        <v>100.11</v>
      </c>
      <c r="I681" s="450">
        <v>100.32</v>
      </c>
      <c r="J681" s="450">
        <v>100.5</v>
      </c>
      <c r="K681" s="450">
        <v>100.65</v>
      </c>
      <c r="L681" s="450">
        <v>100.78</v>
      </c>
      <c r="M681" s="450">
        <v>100.89</v>
      </c>
      <c r="N681" s="450">
        <v>100.97</v>
      </c>
      <c r="O681" s="450">
        <v>101.11</v>
      </c>
      <c r="P681" s="450">
        <v>100.93</v>
      </c>
      <c r="Q681" s="450">
        <v>100.61</v>
      </c>
      <c r="R681" s="450">
        <v>100.29</v>
      </c>
      <c r="S681" s="450">
        <v>99.53</v>
      </c>
      <c r="T681" s="133"/>
      <c r="U681" s="134">
        <v>64</v>
      </c>
      <c r="V681" s="450">
        <v>100.01</v>
      </c>
      <c r="W681" s="450">
        <v>100.34</v>
      </c>
      <c r="X681" s="450">
        <v>100.66</v>
      </c>
      <c r="Y681" s="450">
        <v>100.95</v>
      </c>
      <c r="Z681" s="450">
        <v>101.22</v>
      </c>
      <c r="AA681" s="450">
        <v>101.46</v>
      </c>
      <c r="AB681" s="450">
        <v>101.68</v>
      </c>
      <c r="AC681" s="450">
        <v>101.88</v>
      </c>
      <c r="AD681" s="450">
        <v>102.04</v>
      </c>
      <c r="AE681" s="450">
        <v>102.18</v>
      </c>
      <c r="AF681" s="450">
        <v>102.29</v>
      </c>
      <c r="AG681" s="450">
        <v>102.39</v>
      </c>
      <c r="AH681" s="450">
        <v>102.57</v>
      </c>
      <c r="AI681" s="450">
        <v>102.41</v>
      </c>
      <c r="AJ681" s="450">
        <v>102.11</v>
      </c>
      <c r="AK681" s="450">
        <v>101.8</v>
      </c>
      <c r="AL681" s="450">
        <v>101.04</v>
      </c>
      <c r="AM681" s="133"/>
      <c r="AN681" s="134">
        <v>64</v>
      </c>
      <c r="AO681" s="450">
        <v>101.47</v>
      </c>
      <c r="AP681" s="450">
        <v>101.82</v>
      </c>
      <c r="AQ681" s="450">
        <v>102.14</v>
      </c>
      <c r="AR681" s="450">
        <v>102.45</v>
      </c>
      <c r="AS681" s="450">
        <v>102.73</v>
      </c>
      <c r="AT681" s="450">
        <v>102.98</v>
      </c>
      <c r="AU681" s="450">
        <v>103.21</v>
      </c>
      <c r="AV681" s="450">
        <v>103.42</v>
      </c>
      <c r="AW681" s="450">
        <v>103.59</v>
      </c>
      <c r="AX681" s="450">
        <v>103.73</v>
      </c>
      <c r="AY681" s="450">
        <v>103.86</v>
      </c>
      <c r="AZ681" s="450">
        <v>103.95</v>
      </c>
      <c r="BA681" s="450">
        <v>104.15</v>
      </c>
      <c r="BB681" s="450">
        <v>103.98</v>
      </c>
      <c r="BC681" s="450">
        <v>103.65</v>
      </c>
      <c r="BD681" s="450">
        <v>103.3</v>
      </c>
      <c r="BE681" s="450">
        <v>102.5</v>
      </c>
    </row>
    <row r="682" spans="2:57" x14ac:dyDescent="0.25">
      <c r="B682" s="134">
        <v>65</v>
      </c>
      <c r="C682" s="450">
        <v>99.39</v>
      </c>
      <c r="D682" s="450">
        <v>99.7</v>
      </c>
      <c r="E682" s="450">
        <v>99.99</v>
      </c>
      <c r="F682" s="450">
        <v>100.25</v>
      </c>
      <c r="G682" s="450">
        <v>100.49</v>
      </c>
      <c r="H682" s="450">
        <v>100.7</v>
      </c>
      <c r="I682" s="450">
        <v>100.89</v>
      </c>
      <c r="J682" s="450">
        <v>101.04</v>
      </c>
      <c r="K682" s="450">
        <v>101.16</v>
      </c>
      <c r="L682" s="450">
        <v>101.27</v>
      </c>
      <c r="M682" s="450">
        <v>101.35</v>
      </c>
      <c r="N682" s="450">
        <v>101.41</v>
      </c>
      <c r="O682" s="450">
        <v>101.42</v>
      </c>
      <c r="P682" s="450">
        <v>101.13</v>
      </c>
      <c r="Q682" s="450">
        <v>100.73</v>
      </c>
      <c r="R682" s="450">
        <v>100.26</v>
      </c>
      <c r="S682" s="450" t="s">
        <v>556</v>
      </c>
      <c r="T682" s="133"/>
      <c r="U682" s="134">
        <v>65</v>
      </c>
      <c r="V682" s="450">
        <v>100.7</v>
      </c>
      <c r="W682" s="450">
        <v>101.02</v>
      </c>
      <c r="X682" s="450">
        <v>101.32</v>
      </c>
      <c r="Y682" s="450">
        <v>101.6</v>
      </c>
      <c r="Z682" s="450">
        <v>101.85</v>
      </c>
      <c r="AA682" s="450">
        <v>102.08</v>
      </c>
      <c r="AB682" s="450">
        <v>102.28</v>
      </c>
      <c r="AC682" s="450">
        <v>102.45</v>
      </c>
      <c r="AD682" s="450">
        <v>102.58</v>
      </c>
      <c r="AE682" s="450">
        <v>102.7</v>
      </c>
      <c r="AF682" s="450">
        <v>102.79</v>
      </c>
      <c r="AG682" s="450">
        <v>102.86</v>
      </c>
      <c r="AH682" s="450">
        <v>102.91</v>
      </c>
      <c r="AI682" s="450">
        <v>102.64</v>
      </c>
      <c r="AJ682" s="450">
        <v>102.26</v>
      </c>
      <c r="AK682" s="450">
        <v>101.79</v>
      </c>
      <c r="AL682" s="450" t="s">
        <v>556</v>
      </c>
      <c r="AM682" s="133"/>
      <c r="AN682" s="134">
        <v>65</v>
      </c>
      <c r="AO682" s="450">
        <v>102.19</v>
      </c>
      <c r="AP682" s="450">
        <v>102.53</v>
      </c>
      <c r="AQ682" s="450">
        <v>102.84</v>
      </c>
      <c r="AR682" s="450">
        <v>103.13</v>
      </c>
      <c r="AS682" s="450">
        <v>103.39</v>
      </c>
      <c r="AT682" s="450">
        <v>103.63</v>
      </c>
      <c r="AU682" s="450">
        <v>103.84</v>
      </c>
      <c r="AV682" s="450">
        <v>104.01</v>
      </c>
      <c r="AW682" s="450">
        <v>104.16</v>
      </c>
      <c r="AX682" s="450">
        <v>104.28</v>
      </c>
      <c r="AY682" s="450">
        <v>104.38</v>
      </c>
      <c r="AZ682" s="450">
        <v>104.45</v>
      </c>
      <c r="BA682" s="450">
        <v>104.51</v>
      </c>
      <c r="BB682" s="450">
        <v>104.23</v>
      </c>
      <c r="BC682" s="450">
        <v>103.81</v>
      </c>
      <c r="BD682" s="450">
        <v>103.3</v>
      </c>
      <c r="BE682" s="450" t="s">
        <v>556</v>
      </c>
    </row>
    <row r="683" spans="2:57" x14ac:dyDescent="0.25">
      <c r="B683" s="134">
        <v>66</v>
      </c>
      <c r="C683" s="450">
        <v>100.03</v>
      </c>
      <c r="D683" s="450">
        <v>100.32</v>
      </c>
      <c r="E683" s="450">
        <v>100.59</v>
      </c>
      <c r="F683" s="450">
        <v>100.83</v>
      </c>
      <c r="G683" s="450">
        <v>101.05</v>
      </c>
      <c r="H683" s="450">
        <v>101.24</v>
      </c>
      <c r="I683" s="450">
        <v>101.39</v>
      </c>
      <c r="J683" s="450">
        <v>101.51</v>
      </c>
      <c r="K683" s="450">
        <v>101.61</v>
      </c>
      <c r="L683" s="450">
        <v>101.68</v>
      </c>
      <c r="M683" s="450">
        <v>101.73</v>
      </c>
      <c r="N683" s="450">
        <v>101.76</v>
      </c>
      <c r="O683" s="450">
        <v>101.63</v>
      </c>
      <c r="P683" s="450">
        <v>101.22</v>
      </c>
      <c r="Q683" s="450">
        <v>100.73</v>
      </c>
      <c r="R683" s="450">
        <v>100.08</v>
      </c>
      <c r="S683" s="450" t="s">
        <v>556</v>
      </c>
      <c r="T683" s="133"/>
      <c r="U683" s="134">
        <v>66</v>
      </c>
      <c r="V683" s="450">
        <v>101.37</v>
      </c>
      <c r="W683" s="450">
        <v>101.68</v>
      </c>
      <c r="X683" s="450">
        <v>101.96</v>
      </c>
      <c r="Y683" s="450">
        <v>102.22</v>
      </c>
      <c r="Z683" s="450">
        <v>102.45</v>
      </c>
      <c r="AA683" s="450">
        <v>102.65</v>
      </c>
      <c r="AB683" s="450">
        <v>102.82</v>
      </c>
      <c r="AC683" s="450">
        <v>102.96</v>
      </c>
      <c r="AD683" s="450">
        <v>103.07</v>
      </c>
      <c r="AE683" s="450">
        <v>103.15</v>
      </c>
      <c r="AF683" s="450">
        <v>103.21</v>
      </c>
      <c r="AG683" s="450">
        <v>103.25</v>
      </c>
      <c r="AH683" s="450">
        <v>103.16</v>
      </c>
      <c r="AI683" s="450">
        <v>102.77</v>
      </c>
      <c r="AJ683" s="450">
        <v>102.3</v>
      </c>
      <c r="AK683" s="450">
        <v>101.65</v>
      </c>
      <c r="AL683" s="450" t="s">
        <v>556</v>
      </c>
      <c r="AM683" s="133"/>
      <c r="AN683" s="134">
        <v>66</v>
      </c>
      <c r="AO683" s="450">
        <v>102.89</v>
      </c>
      <c r="AP683" s="450">
        <v>103.21</v>
      </c>
      <c r="AQ683" s="450">
        <v>103.51</v>
      </c>
      <c r="AR683" s="450">
        <v>103.78</v>
      </c>
      <c r="AS683" s="450">
        <v>104.02</v>
      </c>
      <c r="AT683" s="450">
        <v>104.23</v>
      </c>
      <c r="AU683" s="450">
        <v>104.4</v>
      </c>
      <c r="AV683" s="450">
        <v>104.55</v>
      </c>
      <c r="AW683" s="450">
        <v>104.67</v>
      </c>
      <c r="AX683" s="450">
        <v>104.76</v>
      </c>
      <c r="AY683" s="450">
        <v>104.82</v>
      </c>
      <c r="AZ683" s="450">
        <v>104.86</v>
      </c>
      <c r="BA683" s="450">
        <v>104.77</v>
      </c>
      <c r="BB683" s="450">
        <v>104.36</v>
      </c>
      <c r="BC683" s="450">
        <v>103.86</v>
      </c>
      <c r="BD683" s="450">
        <v>103.16</v>
      </c>
      <c r="BE683" s="450" t="s">
        <v>556</v>
      </c>
    </row>
    <row r="684" spans="2:57" x14ac:dyDescent="0.25">
      <c r="B684" s="134">
        <v>67</v>
      </c>
      <c r="C684" s="450">
        <v>100.63</v>
      </c>
      <c r="D684" s="450">
        <v>100.91</v>
      </c>
      <c r="E684" s="450">
        <v>101.15</v>
      </c>
      <c r="F684" s="450">
        <v>101.37</v>
      </c>
      <c r="G684" s="450">
        <v>101.55</v>
      </c>
      <c r="H684" s="450">
        <v>101.7</v>
      </c>
      <c r="I684" s="450">
        <v>101.82</v>
      </c>
      <c r="J684" s="450">
        <v>101.91</v>
      </c>
      <c r="K684" s="450">
        <v>101.98</v>
      </c>
      <c r="L684" s="450">
        <v>102.02</v>
      </c>
      <c r="M684" s="450">
        <v>102.03</v>
      </c>
      <c r="N684" s="450">
        <v>102.03</v>
      </c>
      <c r="O684" s="450">
        <v>101.73</v>
      </c>
      <c r="P684" s="450">
        <v>101.18</v>
      </c>
      <c r="Q684" s="450">
        <v>100.62</v>
      </c>
      <c r="R684" s="450">
        <v>99.75</v>
      </c>
      <c r="S684" s="450" t="s">
        <v>556</v>
      </c>
      <c r="T684" s="133"/>
      <c r="U684" s="134">
        <v>67</v>
      </c>
      <c r="V684" s="450">
        <v>102.01</v>
      </c>
      <c r="W684" s="450">
        <v>102.3</v>
      </c>
      <c r="X684" s="450">
        <v>102.56</v>
      </c>
      <c r="Y684" s="450">
        <v>102.79</v>
      </c>
      <c r="Z684" s="450">
        <v>102.99</v>
      </c>
      <c r="AA684" s="450">
        <v>103.16</v>
      </c>
      <c r="AB684" s="450">
        <v>103.29</v>
      </c>
      <c r="AC684" s="450">
        <v>103.39</v>
      </c>
      <c r="AD684" s="450">
        <v>103.47</v>
      </c>
      <c r="AE684" s="450">
        <v>103.52</v>
      </c>
      <c r="AF684" s="450">
        <v>103.55</v>
      </c>
      <c r="AG684" s="450">
        <v>103.55</v>
      </c>
      <c r="AH684" s="450">
        <v>103.29</v>
      </c>
      <c r="AI684" s="450">
        <v>102.77</v>
      </c>
      <c r="AJ684" s="450">
        <v>102.22</v>
      </c>
      <c r="AK684" s="450">
        <v>101.35</v>
      </c>
      <c r="AL684" s="450" t="s">
        <v>556</v>
      </c>
      <c r="AM684" s="133"/>
      <c r="AN684" s="134">
        <v>67</v>
      </c>
      <c r="AO684" s="450">
        <v>103.55</v>
      </c>
      <c r="AP684" s="450">
        <v>103.86</v>
      </c>
      <c r="AQ684" s="450">
        <v>104.13</v>
      </c>
      <c r="AR684" s="450">
        <v>104.37</v>
      </c>
      <c r="AS684" s="450">
        <v>104.59</v>
      </c>
      <c r="AT684" s="450">
        <v>104.76</v>
      </c>
      <c r="AU684" s="450">
        <v>104.9</v>
      </c>
      <c r="AV684" s="450">
        <v>105.01</v>
      </c>
      <c r="AW684" s="450">
        <v>105.09</v>
      </c>
      <c r="AX684" s="450">
        <v>105.15</v>
      </c>
      <c r="AY684" s="450">
        <v>105.18</v>
      </c>
      <c r="AZ684" s="450">
        <v>105.18</v>
      </c>
      <c r="BA684" s="450">
        <v>104.92</v>
      </c>
      <c r="BB684" s="450">
        <v>104.37</v>
      </c>
      <c r="BC684" s="450">
        <v>103.78</v>
      </c>
      <c r="BD684" s="450">
        <v>102.86</v>
      </c>
      <c r="BE684" s="450" t="s">
        <v>556</v>
      </c>
    </row>
    <row r="685" spans="2:57" x14ac:dyDescent="0.25">
      <c r="B685" s="134">
        <v>68</v>
      </c>
      <c r="C685" s="450">
        <v>101.19</v>
      </c>
      <c r="D685" s="450">
        <v>101.44</v>
      </c>
      <c r="E685" s="450">
        <v>101.65</v>
      </c>
      <c r="F685" s="450">
        <v>101.84</v>
      </c>
      <c r="G685" s="450">
        <v>101.98</v>
      </c>
      <c r="H685" s="450">
        <v>102.09</v>
      </c>
      <c r="I685" s="450">
        <v>102.17</v>
      </c>
      <c r="J685" s="450">
        <v>102.22</v>
      </c>
      <c r="K685" s="450">
        <v>102.25</v>
      </c>
      <c r="L685" s="450">
        <v>102.25</v>
      </c>
      <c r="M685" s="450">
        <v>102.22</v>
      </c>
      <c r="N685" s="450">
        <v>102.18</v>
      </c>
      <c r="O685" s="450">
        <v>101.7</v>
      </c>
      <c r="P685" s="450">
        <v>101.02</v>
      </c>
      <c r="Q685" s="450">
        <v>100.37</v>
      </c>
      <c r="R685" s="450">
        <v>99.26</v>
      </c>
      <c r="S685" s="450" t="s">
        <v>556</v>
      </c>
      <c r="T685" s="133"/>
      <c r="U685" s="134">
        <v>68</v>
      </c>
      <c r="V685" s="450">
        <v>102.6</v>
      </c>
      <c r="W685" s="450">
        <v>102.87</v>
      </c>
      <c r="X685" s="450">
        <v>103.1</v>
      </c>
      <c r="Y685" s="450">
        <v>103.3</v>
      </c>
      <c r="Z685" s="450">
        <v>103.45</v>
      </c>
      <c r="AA685" s="450">
        <v>103.58</v>
      </c>
      <c r="AB685" s="450">
        <v>103.68</v>
      </c>
      <c r="AC685" s="450">
        <v>103.74</v>
      </c>
      <c r="AD685" s="450">
        <v>103.78</v>
      </c>
      <c r="AE685" s="450">
        <v>103.79</v>
      </c>
      <c r="AF685" s="450">
        <v>103.78</v>
      </c>
      <c r="AG685" s="450">
        <v>103.74</v>
      </c>
      <c r="AH685" s="450">
        <v>103.3</v>
      </c>
      <c r="AI685" s="450">
        <v>102.64</v>
      </c>
      <c r="AJ685" s="450">
        <v>102.01</v>
      </c>
      <c r="AK685" s="450">
        <v>100.89</v>
      </c>
      <c r="AL685" s="450" t="s">
        <v>556</v>
      </c>
      <c r="AM685" s="133"/>
      <c r="AN685" s="134">
        <v>68</v>
      </c>
      <c r="AO685" s="450">
        <v>104.17</v>
      </c>
      <c r="AP685" s="450">
        <v>104.45</v>
      </c>
      <c r="AQ685" s="450">
        <v>104.69</v>
      </c>
      <c r="AR685" s="450">
        <v>104.91</v>
      </c>
      <c r="AS685" s="450">
        <v>105.07</v>
      </c>
      <c r="AT685" s="450">
        <v>105.21</v>
      </c>
      <c r="AU685" s="450">
        <v>105.31</v>
      </c>
      <c r="AV685" s="450">
        <v>105.38</v>
      </c>
      <c r="AW685" s="450">
        <v>105.42</v>
      </c>
      <c r="AX685" s="450">
        <v>105.44</v>
      </c>
      <c r="AY685" s="450">
        <v>105.43</v>
      </c>
      <c r="AZ685" s="450">
        <v>105.39</v>
      </c>
      <c r="BA685" s="450">
        <v>104.94</v>
      </c>
      <c r="BB685" s="450">
        <v>104.25</v>
      </c>
      <c r="BC685" s="450">
        <v>103.57</v>
      </c>
      <c r="BD685" s="450">
        <v>102.39</v>
      </c>
      <c r="BE685" s="450" t="s">
        <v>556</v>
      </c>
    </row>
    <row r="686" spans="2:57" x14ac:dyDescent="0.25">
      <c r="B686" s="134">
        <v>69</v>
      </c>
      <c r="C686" s="450">
        <v>101.69</v>
      </c>
      <c r="D686" s="450">
        <v>101.9</v>
      </c>
      <c r="E686" s="450">
        <v>102.08</v>
      </c>
      <c r="F686" s="450">
        <v>102.21</v>
      </c>
      <c r="G686" s="450">
        <v>102.31</v>
      </c>
      <c r="H686" s="450">
        <v>102.38</v>
      </c>
      <c r="I686" s="450">
        <v>102.42</v>
      </c>
      <c r="J686" s="450">
        <v>102.43</v>
      </c>
      <c r="K686" s="450">
        <v>102.41</v>
      </c>
      <c r="L686" s="450">
        <v>102.37</v>
      </c>
      <c r="M686" s="450">
        <v>102.3</v>
      </c>
      <c r="N686" s="450">
        <v>102.21</v>
      </c>
      <c r="O686" s="450">
        <v>101.54</v>
      </c>
      <c r="P686" s="450">
        <v>100.72</v>
      </c>
      <c r="Q686" s="450">
        <v>99.99</v>
      </c>
      <c r="R686" s="450">
        <v>98.6</v>
      </c>
      <c r="S686" s="450" t="s">
        <v>556</v>
      </c>
      <c r="T686" s="133"/>
      <c r="U686" s="134">
        <v>69</v>
      </c>
      <c r="V686" s="450">
        <v>103.14</v>
      </c>
      <c r="W686" s="450">
        <v>103.37</v>
      </c>
      <c r="X686" s="450">
        <v>103.56</v>
      </c>
      <c r="Y686" s="450">
        <v>103.71</v>
      </c>
      <c r="Z686" s="450">
        <v>103.83</v>
      </c>
      <c r="AA686" s="450">
        <v>103.91</v>
      </c>
      <c r="AB686" s="450">
        <v>103.96</v>
      </c>
      <c r="AC686" s="450">
        <v>103.99</v>
      </c>
      <c r="AD686" s="450">
        <v>103.98</v>
      </c>
      <c r="AE686" s="450">
        <v>103.95</v>
      </c>
      <c r="AF686" s="450">
        <v>103.89</v>
      </c>
      <c r="AG686" s="450">
        <v>103.81</v>
      </c>
      <c r="AH686" s="450">
        <v>103.18</v>
      </c>
      <c r="AI686" s="450">
        <v>102.38</v>
      </c>
      <c r="AJ686" s="450">
        <v>101.66</v>
      </c>
      <c r="AK686" s="450">
        <v>100.26</v>
      </c>
      <c r="AL686" s="450" t="s">
        <v>556</v>
      </c>
      <c r="AM686" s="133"/>
      <c r="AN686" s="134">
        <v>69</v>
      </c>
      <c r="AO686" s="450">
        <v>104.74</v>
      </c>
      <c r="AP686" s="450">
        <v>104.98</v>
      </c>
      <c r="AQ686" s="450">
        <v>105.18</v>
      </c>
      <c r="AR686" s="450">
        <v>105.34</v>
      </c>
      <c r="AS686" s="450">
        <v>105.47</v>
      </c>
      <c r="AT686" s="450">
        <v>105.56</v>
      </c>
      <c r="AU686" s="450">
        <v>105.62</v>
      </c>
      <c r="AV686" s="450">
        <v>105.65</v>
      </c>
      <c r="AW686" s="450">
        <v>105.64</v>
      </c>
      <c r="AX686" s="450">
        <v>105.61</v>
      </c>
      <c r="AY686" s="450">
        <v>105.56</v>
      </c>
      <c r="AZ686" s="450">
        <v>105.48</v>
      </c>
      <c r="BA686" s="450">
        <v>104.82</v>
      </c>
      <c r="BB686" s="450">
        <v>103.99</v>
      </c>
      <c r="BC686" s="450">
        <v>103.22</v>
      </c>
      <c r="BD686" s="450">
        <v>101.75</v>
      </c>
      <c r="BE686" s="450" t="s">
        <v>556</v>
      </c>
    </row>
    <row r="687" spans="2:57" x14ac:dyDescent="0.25">
      <c r="B687" s="134">
        <v>70</v>
      </c>
      <c r="C687" s="450">
        <v>102.12</v>
      </c>
      <c r="D687" s="450">
        <v>102.29</v>
      </c>
      <c r="E687" s="450">
        <v>102.41</v>
      </c>
      <c r="F687" s="450">
        <v>102.49</v>
      </c>
      <c r="G687" s="450">
        <v>102.55</v>
      </c>
      <c r="H687" s="450">
        <v>102.57</v>
      </c>
      <c r="I687" s="450">
        <v>102.56</v>
      </c>
      <c r="J687" s="450">
        <v>102.52</v>
      </c>
      <c r="K687" s="450">
        <v>102.45</v>
      </c>
      <c r="L687" s="450">
        <v>102.35</v>
      </c>
      <c r="M687" s="450">
        <v>102.24</v>
      </c>
      <c r="N687" s="450">
        <v>102.1</v>
      </c>
      <c r="O687" s="450">
        <v>101.23</v>
      </c>
      <c r="P687" s="450">
        <v>100.27</v>
      </c>
      <c r="Q687" s="450">
        <v>99.29</v>
      </c>
      <c r="R687" s="450" t="s">
        <v>556</v>
      </c>
      <c r="S687" s="450" t="s">
        <v>556</v>
      </c>
      <c r="T687" s="133"/>
      <c r="U687" s="134">
        <v>70</v>
      </c>
      <c r="V687" s="450">
        <v>103.6</v>
      </c>
      <c r="W687" s="450">
        <v>103.79</v>
      </c>
      <c r="X687" s="450">
        <v>103.93</v>
      </c>
      <c r="Y687" s="450">
        <v>104.03</v>
      </c>
      <c r="Z687" s="450">
        <v>104.1</v>
      </c>
      <c r="AA687" s="450">
        <v>104.14</v>
      </c>
      <c r="AB687" s="450">
        <v>104.14</v>
      </c>
      <c r="AC687" s="450">
        <v>104.11</v>
      </c>
      <c r="AD687" s="450">
        <v>104.05</v>
      </c>
      <c r="AE687" s="450">
        <v>103.97</v>
      </c>
      <c r="AF687" s="450">
        <v>103.87</v>
      </c>
      <c r="AG687" s="450">
        <v>103.74</v>
      </c>
      <c r="AH687" s="450">
        <v>102.9</v>
      </c>
      <c r="AI687" s="450">
        <v>101.96</v>
      </c>
      <c r="AJ687" s="450">
        <v>100.99</v>
      </c>
      <c r="AK687" s="450" t="s">
        <v>556</v>
      </c>
      <c r="AL687" s="450" t="s">
        <v>556</v>
      </c>
      <c r="AM687" s="133"/>
      <c r="AN687" s="134">
        <v>70</v>
      </c>
      <c r="AO687" s="450">
        <v>105.22</v>
      </c>
      <c r="AP687" s="450">
        <v>105.42</v>
      </c>
      <c r="AQ687" s="450">
        <v>105.57</v>
      </c>
      <c r="AR687" s="450">
        <v>105.69</v>
      </c>
      <c r="AS687" s="450">
        <v>105.76</v>
      </c>
      <c r="AT687" s="450">
        <v>105.8</v>
      </c>
      <c r="AU687" s="450">
        <v>105.81</v>
      </c>
      <c r="AV687" s="450">
        <v>105.79</v>
      </c>
      <c r="AW687" s="450">
        <v>105.73</v>
      </c>
      <c r="AX687" s="450">
        <v>105.65</v>
      </c>
      <c r="AY687" s="450">
        <v>105.55</v>
      </c>
      <c r="AZ687" s="450">
        <v>105.42</v>
      </c>
      <c r="BA687" s="450">
        <v>104.56</v>
      </c>
      <c r="BB687" s="450">
        <v>103.57</v>
      </c>
      <c r="BC687" s="450">
        <v>102.55</v>
      </c>
      <c r="BD687" s="450" t="s">
        <v>556</v>
      </c>
      <c r="BE687" s="450" t="s">
        <v>556</v>
      </c>
    </row>
    <row r="688" spans="2:57" x14ac:dyDescent="0.25">
      <c r="B688" s="134">
        <v>71</v>
      </c>
      <c r="C688" s="450">
        <v>102.46</v>
      </c>
      <c r="D688" s="450">
        <v>102.56</v>
      </c>
      <c r="E688" s="450">
        <v>102.63</v>
      </c>
      <c r="F688" s="450">
        <v>102.67</v>
      </c>
      <c r="G688" s="450">
        <v>102.66</v>
      </c>
      <c r="H688" s="450">
        <v>102.63</v>
      </c>
      <c r="I688" s="450">
        <v>102.56</v>
      </c>
      <c r="J688" s="450">
        <v>102.47</v>
      </c>
      <c r="K688" s="450">
        <v>102.35</v>
      </c>
      <c r="L688" s="450">
        <v>102.2</v>
      </c>
      <c r="M688" s="450">
        <v>102.03</v>
      </c>
      <c r="N688" s="450">
        <v>101.85</v>
      </c>
      <c r="O688" s="450">
        <v>100.77</v>
      </c>
      <c r="P688" s="450">
        <v>99.67</v>
      </c>
      <c r="Q688" s="450">
        <v>98.41</v>
      </c>
      <c r="R688" s="450" t="s">
        <v>556</v>
      </c>
      <c r="S688" s="450" t="s">
        <v>556</v>
      </c>
      <c r="T688" s="133"/>
      <c r="U688" s="134">
        <v>71</v>
      </c>
      <c r="V688" s="450">
        <v>103.98</v>
      </c>
      <c r="W688" s="450">
        <v>104.1</v>
      </c>
      <c r="X688" s="450">
        <v>104.19</v>
      </c>
      <c r="Y688" s="450">
        <v>104.24</v>
      </c>
      <c r="Z688" s="450">
        <v>104.26</v>
      </c>
      <c r="AA688" s="450">
        <v>104.24</v>
      </c>
      <c r="AB688" s="450">
        <v>104.18</v>
      </c>
      <c r="AC688" s="450">
        <v>104.1</v>
      </c>
      <c r="AD688" s="450">
        <v>103.99</v>
      </c>
      <c r="AE688" s="450">
        <v>103.85</v>
      </c>
      <c r="AF688" s="450">
        <v>103.7</v>
      </c>
      <c r="AG688" s="450">
        <v>103.52</v>
      </c>
      <c r="AH688" s="450">
        <v>102.47</v>
      </c>
      <c r="AI688" s="450">
        <v>101.39</v>
      </c>
      <c r="AJ688" s="450">
        <v>100.13</v>
      </c>
      <c r="AK688" s="450" t="s">
        <v>556</v>
      </c>
      <c r="AL688" s="450" t="s">
        <v>556</v>
      </c>
      <c r="AM688" s="133"/>
      <c r="AN688" s="134">
        <v>71</v>
      </c>
      <c r="AO688" s="450">
        <v>105.62</v>
      </c>
      <c r="AP688" s="450">
        <v>105.76</v>
      </c>
      <c r="AQ688" s="450">
        <v>105.86</v>
      </c>
      <c r="AR688" s="450">
        <v>105.92</v>
      </c>
      <c r="AS688" s="450">
        <v>105.94</v>
      </c>
      <c r="AT688" s="450">
        <v>105.92</v>
      </c>
      <c r="AU688" s="450">
        <v>105.87</v>
      </c>
      <c r="AV688" s="450">
        <v>105.79</v>
      </c>
      <c r="AW688" s="450">
        <v>105.68</v>
      </c>
      <c r="AX688" s="450">
        <v>105.55</v>
      </c>
      <c r="AY688" s="450">
        <v>105.39</v>
      </c>
      <c r="AZ688" s="450">
        <v>105.21</v>
      </c>
      <c r="BA688" s="450">
        <v>104.13</v>
      </c>
      <c r="BB688" s="450">
        <v>103</v>
      </c>
      <c r="BC688" s="450">
        <v>101.68</v>
      </c>
      <c r="BD688" s="450" t="s">
        <v>556</v>
      </c>
      <c r="BE688" s="450" t="s">
        <v>556</v>
      </c>
    </row>
    <row r="689" spans="2:57" x14ac:dyDescent="0.25">
      <c r="B689" s="134">
        <v>72</v>
      </c>
      <c r="C689" s="450">
        <v>102.66</v>
      </c>
      <c r="D689" s="450">
        <v>102.71</v>
      </c>
      <c r="E689" s="450">
        <v>102.73</v>
      </c>
      <c r="F689" s="450">
        <v>102.7</v>
      </c>
      <c r="G689" s="450">
        <v>102.64</v>
      </c>
      <c r="H689" s="450">
        <v>102.54</v>
      </c>
      <c r="I689" s="450">
        <v>102.42</v>
      </c>
      <c r="J689" s="450">
        <v>102.26</v>
      </c>
      <c r="K689" s="450">
        <v>102.08</v>
      </c>
      <c r="L689" s="450">
        <v>101.88</v>
      </c>
      <c r="M689" s="450">
        <v>101.66</v>
      </c>
      <c r="N689" s="450">
        <v>101.43</v>
      </c>
      <c r="O689" s="450">
        <v>100.13</v>
      </c>
      <c r="P689" s="450">
        <v>98.91</v>
      </c>
      <c r="Q689" s="450">
        <v>97.33</v>
      </c>
      <c r="R689" s="450" t="s">
        <v>556</v>
      </c>
      <c r="S689" s="450" t="s">
        <v>556</v>
      </c>
      <c r="T689" s="133"/>
      <c r="U689" s="134">
        <v>72</v>
      </c>
      <c r="V689" s="450">
        <v>104.22</v>
      </c>
      <c r="W689" s="450">
        <v>104.29</v>
      </c>
      <c r="X689" s="450">
        <v>104.32</v>
      </c>
      <c r="Y689" s="450">
        <v>104.31</v>
      </c>
      <c r="Z689" s="450">
        <v>104.27</v>
      </c>
      <c r="AA689" s="450">
        <v>104.19</v>
      </c>
      <c r="AB689" s="450">
        <v>104.07</v>
      </c>
      <c r="AC689" s="450">
        <v>103.93</v>
      </c>
      <c r="AD689" s="450">
        <v>103.76</v>
      </c>
      <c r="AE689" s="450">
        <v>103.57</v>
      </c>
      <c r="AF689" s="450">
        <v>103.36</v>
      </c>
      <c r="AG689" s="450">
        <v>103.13</v>
      </c>
      <c r="AH689" s="450">
        <v>101.87</v>
      </c>
      <c r="AI689" s="450">
        <v>100.66</v>
      </c>
      <c r="AJ689" s="450">
        <v>99.08</v>
      </c>
      <c r="AK689" s="450" t="s">
        <v>556</v>
      </c>
      <c r="AL689" s="450" t="s">
        <v>556</v>
      </c>
      <c r="AM689" s="133"/>
      <c r="AN689" s="134">
        <v>72</v>
      </c>
      <c r="AO689" s="450">
        <v>105.89</v>
      </c>
      <c r="AP689" s="450">
        <v>105.97</v>
      </c>
      <c r="AQ689" s="450">
        <v>106.01</v>
      </c>
      <c r="AR689" s="450">
        <v>106</v>
      </c>
      <c r="AS689" s="450">
        <v>105.96</v>
      </c>
      <c r="AT689" s="450">
        <v>105.89</v>
      </c>
      <c r="AU689" s="450">
        <v>105.78</v>
      </c>
      <c r="AV689" s="450">
        <v>105.64</v>
      </c>
      <c r="AW689" s="450">
        <v>105.47</v>
      </c>
      <c r="AX689" s="450">
        <v>105.27</v>
      </c>
      <c r="AY689" s="450">
        <v>105.06</v>
      </c>
      <c r="AZ689" s="450">
        <v>104.82</v>
      </c>
      <c r="BA689" s="450">
        <v>103.52</v>
      </c>
      <c r="BB689" s="450">
        <v>102.26</v>
      </c>
      <c r="BC689" s="450">
        <v>100.61</v>
      </c>
      <c r="BD689" s="450" t="s">
        <v>556</v>
      </c>
      <c r="BE689" s="450" t="s">
        <v>556</v>
      </c>
    </row>
    <row r="690" spans="2:57" x14ac:dyDescent="0.25">
      <c r="B690" s="134">
        <v>73</v>
      </c>
      <c r="C690" s="450">
        <v>102.75</v>
      </c>
      <c r="D690" s="450">
        <v>102.74</v>
      </c>
      <c r="E690" s="450">
        <v>102.69</v>
      </c>
      <c r="F690" s="450">
        <v>102.6</v>
      </c>
      <c r="G690" s="450">
        <v>102.47</v>
      </c>
      <c r="H690" s="450">
        <v>102.31</v>
      </c>
      <c r="I690" s="450">
        <v>102.12</v>
      </c>
      <c r="J690" s="450">
        <v>101.9</v>
      </c>
      <c r="K690" s="450">
        <v>101.66</v>
      </c>
      <c r="L690" s="450">
        <v>101.4</v>
      </c>
      <c r="M690" s="450">
        <v>101.13</v>
      </c>
      <c r="N690" s="450">
        <v>100.84</v>
      </c>
      <c r="O690" s="450">
        <v>99.34</v>
      </c>
      <c r="P690" s="450">
        <v>97.99</v>
      </c>
      <c r="Q690" s="450">
        <v>96.07</v>
      </c>
      <c r="R690" s="450" t="s">
        <v>556</v>
      </c>
      <c r="S690" s="450" t="s">
        <v>556</v>
      </c>
      <c r="T690" s="133"/>
      <c r="U690" s="134">
        <v>73</v>
      </c>
      <c r="V690" s="450">
        <v>104.35</v>
      </c>
      <c r="W690" s="450">
        <v>104.36</v>
      </c>
      <c r="X690" s="450">
        <v>104.32</v>
      </c>
      <c r="Y690" s="450">
        <v>104.25</v>
      </c>
      <c r="Z690" s="450">
        <v>104.13</v>
      </c>
      <c r="AA690" s="450">
        <v>103.99</v>
      </c>
      <c r="AB690" s="450">
        <v>103.81</v>
      </c>
      <c r="AC690" s="450">
        <v>103.6</v>
      </c>
      <c r="AD690" s="450">
        <v>103.37</v>
      </c>
      <c r="AE690" s="450">
        <v>103.12</v>
      </c>
      <c r="AF690" s="450">
        <v>102.86</v>
      </c>
      <c r="AG690" s="450">
        <v>102.58</v>
      </c>
      <c r="AH690" s="450">
        <v>101.1</v>
      </c>
      <c r="AI690" s="450">
        <v>99.76</v>
      </c>
      <c r="AJ690" s="450">
        <v>97.84</v>
      </c>
      <c r="AK690" s="450" t="s">
        <v>556</v>
      </c>
      <c r="AL690" s="450" t="s">
        <v>556</v>
      </c>
      <c r="AM690" s="133"/>
      <c r="AN690" s="134">
        <v>73</v>
      </c>
      <c r="AO690" s="450">
        <v>106.04</v>
      </c>
      <c r="AP690" s="450">
        <v>106.05</v>
      </c>
      <c r="AQ690" s="450">
        <v>106.02</v>
      </c>
      <c r="AR690" s="450">
        <v>105.95</v>
      </c>
      <c r="AS690" s="450">
        <v>105.84</v>
      </c>
      <c r="AT690" s="450">
        <v>105.7</v>
      </c>
      <c r="AU690" s="450">
        <v>105.52</v>
      </c>
      <c r="AV690" s="450">
        <v>105.32</v>
      </c>
      <c r="AW690" s="450">
        <v>105.08</v>
      </c>
      <c r="AX690" s="450">
        <v>104.83</v>
      </c>
      <c r="AY690" s="450">
        <v>104.56</v>
      </c>
      <c r="AZ690" s="450">
        <v>104.27</v>
      </c>
      <c r="BA690" s="450">
        <v>102.75</v>
      </c>
      <c r="BB690" s="450">
        <v>101.36</v>
      </c>
      <c r="BC690" s="450">
        <v>99.36</v>
      </c>
      <c r="BD690" s="450" t="s">
        <v>556</v>
      </c>
      <c r="BE690" s="450" t="s">
        <v>556</v>
      </c>
    </row>
    <row r="691" spans="2:57" x14ac:dyDescent="0.25">
      <c r="B691" s="134">
        <v>74</v>
      </c>
      <c r="C691" s="450">
        <v>102.71</v>
      </c>
      <c r="D691" s="450">
        <v>102.63</v>
      </c>
      <c r="E691" s="450">
        <v>102.5</v>
      </c>
      <c r="F691" s="450">
        <v>102.34</v>
      </c>
      <c r="G691" s="450">
        <v>102.14</v>
      </c>
      <c r="H691" s="450">
        <v>101.91</v>
      </c>
      <c r="I691" s="450">
        <v>101.66</v>
      </c>
      <c r="J691" s="450">
        <v>101.38</v>
      </c>
      <c r="K691" s="450">
        <v>101.07</v>
      </c>
      <c r="L691" s="450">
        <v>100.76</v>
      </c>
      <c r="M691" s="450">
        <v>100.42</v>
      </c>
      <c r="N691" s="450">
        <v>100.08</v>
      </c>
      <c r="O691" s="450">
        <v>98.38</v>
      </c>
      <c r="P691" s="450">
        <v>96.92</v>
      </c>
      <c r="Q691" s="450">
        <v>94.62</v>
      </c>
      <c r="R691" s="450" t="s">
        <v>556</v>
      </c>
      <c r="S691" s="450" t="s">
        <v>556</v>
      </c>
      <c r="T691" s="133"/>
      <c r="U691" s="134">
        <v>74</v>
      </c>
      <c r="V691" s="450">
        <v>104.35</v>
      </c>
      <c r="W691" s="450">
        <v>104.28</v>
      </c>
      <c r="X691" s="450">
        <v>104.17</v>
      </c>
      <c r="Y691" s="450">
        <v>104.03</v>
      </c>
      <c r="Z691" s="450">
        <v>103.84</v>
      </c>
      <c r="AA691" s="450">
        <v>103.63</v>
      </c>
      <c r="AB691" s="450">
        <v>103.38</v>
      </c>
      <c r="AC691" s="450">
        <v>103.11</v>
      </c>
      <c r="AD691" s="450">
        <v>102.82</v>
      </c>
      <c r="AE691" s="450">
        <v>102.51</v>
      </c>
      <c r="AF691" s="450">
        <v>102.18</v>
      </c>
      <c r="AG691" s="450">
        <v>101.85</v>
      </c>
      <c r="AH691" s="450">
        <v>100.17</v>
      </c>
      <c r="AI691" s="450">
        <v>98.72</v>
      </c>
      <c r="AJ691" s="450">
        <v>96.41</v>
      </c>
      <c r="AK691" s="450" t="s">
        <v>556</v>
      </c>
      <c r="AL691" s="450" t="s">
        <v>556</v>
      </c>
      <c r="AM691" s="133"/>
      <c r="AN691" s="134">
        <v>74</v>
      </c>
      <c r="AO691" s="450">
        <v>106.05</v>
      </c>
      <c r="AP691" s="450">
        <v>105.99</v>
      </c>
      <c r="AQ691" s="450">
        <v>105.88</v>
      </c>
      <c r="AR691" s="450">
        <v>105.74</v>
      </c>
      <c r="AS691" s="450">
        <v>105.56</v>
      </c>
      <c r="AT691" s="450">
        <v>105.35</v>
      </c>
      <c r="AU691" s="450">
        <v>105.1</v>
      </c>
      <c r="AV691" s="450">
        <v>104.83</v>
      </c>
      <c r="AW691" s="450">
        <v>104.53</v>
      </c>
      <c r="AX691" s="450">
        <v>104.21</v>
      </c>
      <c r="AY691" s="450">
        <v>103.88</v>
      </c>
      <c r="AZ691" s="450">
        <v>103.54</v>
      </c>
      <c r="BA691" s="450">
        <v>101.81</v>
      </c>
      <c r="BB691" s="450">
        <v>100.3</v>
      </c>
      <c r="BC691" s="450">
        <v>97.9</v>
      </c>
      <c r="BD691" s="450" t="s">
        <v>556</v>
      </c>
      <c r="BE691" s="450" t="s">
        <v>556</v>
      </c>
    </row>
    <row r="692" spans="2:57" x14ac:dyDescent="0.25">
      <c r="B692" s="134">
        <v>75</v>
      </c>
      <c r="C692" s="450">
        <v>102.52</v>
      </c>
      <c r="D692" s="450">
        <v>102.36</v>
      </c>
      <c r="E692" s="450">
        <v>102.16</v>
      </c>
      <c r="F692" s="450">
        <v>101.92</v>
      </c>
      <c r="G692" s="450">
        <v>101.65</v>
      </c>
      <c r="H692" s="450">
        <v>101.35</v>
      </c>
      <c r="I692" s="450">
        <v>101.02</v>
      </c>
      <c r="J692" s="450">
        <v>100.68</v>
      </c>
      <c r="K692" s="450">
        <v>100.31</v>
      </c>
      <c r="L692" s="450">
        <v>99.93</v>
      </c>
      <c r="M692" s="450">
        <v>99.55</v>
      </c>
      <c r="N692" s="450">
        <v>99.16</v>
      </c>
      <c r="O692" s="450">
        <v>97.26</v>
      </c>
      <c r="P692" s="450">
        <v>95.47</v>
      </c>
      <c r="Q692" s="450" t="s">
        <v>556</v>
      </c>
      <c r="R692" s="450" t="s">
        <v>556</v>
      </c>
      <c r="S692" s="450" t="s">
        <v>556</v>
      </c>
      <c r="T692" s="133"/>
      <c r="U692" s="134">
        <v>75</v>
      </c>
      <c r="V692" s="450">
        <v>104.2</v>
      </c>
      <c r="W692" s="450">
        <v>104.05</v>
      </c>
      <c r="X692" s="450">
        <v>103.87</v>
      </c>
      <c r="Y692" s="450">
        <v>103.64</v>
      </c>
      <c r="Z692" s="450">
        <v>103.38</v>
      </c>
      <c r="AA692" s="450">
        <v>103.1</v>
      </c>
      <c r="AB692" s="450">
        <v>102.78</v>
      </c>
      <c r="AC692" s="450">
        <v>102.44</v>
      </c>
      <c r="AD692" s="450">
        <v>102.09</v>
      </c>
      <c r="AE692" s="450">
        <v>101.72</v>
      </c>
      <c r="AF692" s="450">
        <v>101.34</v>
      </c>
      <c r="AG692" s="450">
        <v>100.95</v>
      </c>
      <c r="AH692" s="450">
        <v>99.08</v>
      </c>
      <c r="AI692" s="450">
        <v>97.3</v>
      </c>
      <c r="AJ692" s="450" t="s">
        <v>556</v>
      </c>
      <c r="AK692" s="450" t="s">
        <v>556</v>
      </c>
      <c r="AL692" s="450" t="s">
        <v>556</v>
      </c>
      <c r="AM692" s="133"/>
      <c r="AN692" s="134">
        <v>75</v>
      </c>
      <c r="AO692" s="450">
        <v>105.9</v>
      </c>
      <c r="AP692" s="450">
        <v>105.77</v>
      </c>
      <c r="AQ692" s="450">
        <v>105.59</v>
      </c>
      <c r="AR692" s="450">
        <v>105.37</v>
      </c>
      <c r="AS692" s="450">
        <v>105.11</v>
      </c>
      <c r="AT692" s="450">
        <v>104.82</v>
      </c>
      <c r="AU692" s="450">
        <v>104.5</v>
      </c>
      <c r="AV692" s="450">
        <v>104.16</v>
      </c>
      <c r="AW692" s="450">
        <v>103.8</v>
      </c>
      <c r="AX692" s="450">
        <v>103.42</v>
      </c>
      <c r="AY692" s="450">
        <v>103.03</v>
      </c>
      <c r="AZ692" s="450">
        <v>102.64</v>
      </c>
      <c r="BA692" s="450">
        <v>100.71</v>
      </c>
      <c r="BB692" s="450">
        <v>98.86</v>
      </c>
      <c r="BC692" s="450" t="s">
        <v>556</v>
      </c>
      <c r="BD692" s="450" t="s">
        <v>556</v>
      </c>
      <c r="BE692" s="450" t="s">
        <v>556</v>
      </c>
    </row>
    <row r="693" spans="2:57" x14ac:dyDescent="0.25">
      <c r="B693" s="134">
        <v>76</v>
      </c>
      <c r="C693" s="450">
        <v>102.18</v>
      </c>
      <c r="D693" s="450">
        <v>101.93</v>
      </c>
      <c r="E693" s="450">
        <v>101.65</v>
      </c>
      <c r="F693" s="450">
        <v>101.33</v>
      </c>
      <c r="G693" s="450">
        <v>100.99</v>
      </c>
      <c r="H693" s="450">
        <v>100.61</v>
      </c>
      <c r="I693" s="450">
        <v>100.22</v>
      </c>
      <c r="J693" s="450">
        <v>99.8</v>
      </c>
      <c r="K693" s="450">
        <v>99.38</v>
      </c>
      <c r="L693" s="450">
        <v>98.94</v>
      </c>
      <c r="M693" s="450">
        <v>98.5</v>
      </c>
      <c r="N693" s="450">
        <v>98.06</v>
      </c>
      <c r="O693" s="450">
        <v>95.99</v>
      </c>
      <c r="P693" s="450">
        <v>93.84</v>
      </c>
      <c r="Q693" s="450" t="s">
        <v>556</v>
      </c>
      <c r="R693" s="450" t="s">
        <v>556</v>
      </c>
      <c r="S693" s="450" t="s">
        <v>556</v>
      </c>
      <c r="T693" s="133"/>
      <c r="U693" s="134">
        <v>76</v>
      </c>
      <c r="V693" s="450">
        <v>103.88</v>
      </c>
      <c r="W693" s="450">
        <v>103.66</v>
      </c>
      <c r="X693" s="450">
        <v>103.39</v>
      </c>
      <c r="Y693" s="450">
        <v>103.09</v>
      </c>
      <c r="Z693" s="450">
        <v>102.75</v>
      </c>
      <c r="AA693" s="450">
        <v>102.39</v>
      </c>
      <c r="AB693" s="450">
        <v>102</v>
      </c>
      <c r="AC693" s="450">
        <v>101.6</v>
      </c>
      <c r="AD693" s="450">
        <v>101.18</v>
      </c>
      <c r="AE693" s="450">
        <v>100.75</v>
      </c>
      <c r="AF693" s="450">
        <v>100.32</v>
      </c>
      <c r="AG693" s="450">
        <v>99.88</v>
      </c>
      <c r="AH693" s="450">
        <v>97.83</v>
      </c>
      <c r="AI693" s="450">
        <v>95.68</v>
      </c>
      <c r="AJ693" s="450" t="s">
        <v>556</v>
      </c>
      <c r="AK693" s="450" t="s">
        <v>556</v>
      </c>
      <c r="AL693" s="450" t="s">
        <v>556</v>
      </c>
      <c r="AM693" s="133"/>
      <c r="AN693" s="134">
        <v>76</v>
      </c>
      <c r="AO693" s="450">
        <v>105.6</v>
      </c>
      <c r="AP693" s="450">
        <v>105.38</v>
      </c>
      <c r="AQ693" s="450">
        <v>105.12</v>
      </c>
      <c r="AR693" s="450">
        <v>104.81</v>
      </c>
      <c r="AS693" s="450">
        <v>104.48</v>
      </c>
      <c r="AT693" s="450">
        <v>104.11</v>
      </c>
      <c r="AU693" s="450">
        <v>103.72</v>
      </c>
      <c r="AV693" s="450">
        <v>103.31</v>
      </c>
      <c r="AW693" s="450">
        <v>102.88</v>
      </c>
      <c r="AX693" s="450">
        <v>102.45</v>
      </c>
      <c r="AY693" s="450">
        <v>102</v>
      </c>
      <c r="AZ693" s="450">
        <v>101.56</v>
      </c>
      <c r="BA693" s="450">
        <v>99.44</v>
      </c>
      <c r="BB693" s="450">
        <v>97.22</v>
      </c>
      <c r="BC693" s="450" t="s">
        <v>556</v>
      </c>
      <c r="BD693" s="450" t="s">
        <v>556</v>
      </c>
      <c r="BE693" s="450" t="s">
        <v>556</v>
      </c>
    </row>
    <row r="694" spans="2:57" x14ac:dyDescent="0.25">
      <c r="B694" s="134">
        <v>77</v>
      </c>
      <c r="C694" s="450">
        <v>101.66</v>
      </c>
      <c r="D694" s="450">
        <v>101.33</v>
      </c>
      <c r="E694" s="450">
        <v>100.97</v>
      </c>
      <c r="F694" s="450">
        <v>100.57</v>
      </c>
      <c r="G694" s="450">
        <v>100.15</v>
      </c>
      <c r="H694" s="450">
        <v>99.7</v>
      </c>
      <c r="I694" s="450">
        <v>99.23</v>
      </c>
      <c r="J694" s="450">
        <v>98.75</v>
      </c>
      <c r="K694" s="450">
        <v>98.27</v>
      </c>
      <c r="L694" s="450">
        <v>97.78</v>
      </c>
      <c r="M694" s="450">
        <v>97.29</v>
      </c>
      <c r="N694" s="450">
        <v>96.8</v>
      </c>
      <c r="O694" s="450">
        <v>94.56</v>
      </c>
      <c r="P694" s="450">
        <v>92.04</v>
      </c>
      <c r="Q694" s="450" t="s">
        <v>556</v>
      </c>
      <c r="R694" s="450" t="s">
        <v>556</v>
      </c>
      <c r="S694" s="450" t="s">
        <v>556</v>
      </c>
      <c r="T694" s="133"/>
      <c r="U694" s="134">
        <v>77</v>
      </c>
      <c r="V694" s="450">
        <v>103.4</v>
      </c>
      <c r="W694" s="450">
        <v>103.09</v>
      </c>
      <c r="X694" s="450">
        <v>102.74</v>
      </c>
      <c r="Y694" s="450">
        <v>102.35</v>
      </c>
      <c r="Z694" s="450">
        <v>101.94</v>
      </c>
      <c r="AA694" s="450">
        <v>101.5</v>
      </c>
      <c r="AB694" s="450">
        <v>101.04</v>
      </c>
      <c r="AC694" s="450">
        <v>100.57</v>
      </c>
      <c r="AD694" s="450">
        <v>100.09</v>
      </c>
      <c r="AE694" s="450">
        <v>99.61</v>
      </c>
      <c r="AF694" s="450">
        <v>99.12</v>
      </c>
      <c r="AG694" s="450">
        <v>98.64</v>
      </c>
      <c r="AH694" s="450">
        <v>96.42</v>
      </c>
      <c r="AI694" s="450">
        <v>93.89</v>
      </c>
      <c r="AJ694" s="450" t="s">
        <v>556</v>
      </c>
      <c r="AK694" s="450" t="s">
        <v>556</v>
      </c>
      <c r="AL694" s="450" t="s">
        <v>556</v>
      </c>
      <c r="AM694" s="133"/>
      <c r="AN694" s="134">
        <v>77</v>
      </c>
      <c r="AO694" s="450">
        <v>105.12</v>
      </c>
      <c r="AP694" s="450">
        <v>104.81</v>
      </c>
      <c r="AQ694" s="450">
        <v>104.46</v>
      </c>
      <c r="AR694" s="450">
        <v>104.08</v>
      </c>
      <c r="AS694" s="450">
        <v>103.66</v>
      </c>
      <c r="AT694" s="450">
        <v>103.22</v>
      </c>
      <c r="AU694" s="450">
        <v>102.76</v>
      </c>
      <c r="AV694" s="450">
        <v>102.28</v>
      </c>
      <c r="AW694" s="450">
        <v>101.79</v>
      </c>
      <c r="AX694" s="450">
        <v>101.3</v>
      </c>
      <c r="AY694" s="450">
        <v>100.8</v>
      </c>
      <c r="AZ694" s="450">
        <v>100.31</v>
      </c>
      <c r="BA694" s="450">
        <v>98.02</v>
      </c>
      <c r="BB694" s="450">
        <v>95.41</v>
      </c>
      <c r="BC694" s="450" t="s">
        <v>556</v>
      </c>
      <c r="BD694" s="450" t="s">
        <v>556</v>
      </c>
      <c r="BE694" s="450" t="s">
        <v>556</v>
      </c>
    </row>
    <row r="695" spans="2:57" x14ac:dyDescent="0.25">
      <c r="B695" s="134">
        <v>78</v>
      </c>
      <c r="C695" s="450">
        <v>100.97</v>
      </c>
      <c r="D695" s="450">
        <v>100.55</v>
      </c>
      <c r="E695" s="450">
        <v>100.1</v>
      </c>
      <c r="F695" s="450">
        <v>99.63</v>
      </c>
      <c r="G695" s="450">
        <v>99.12</v>
      </c>
      <c r="H695" s="450">
        <v>98.6</v>
      </c>
      <c r="I695" s="450">
        <v>98.07</v>
      </c>
      <c r="J695" s="450">
        <v>97.53</v>
      </c>
      <c r="K695" s="450">
        <v>96.99</v>
      </c>
      <c r="L695" s="450">
        <v>96.44</v>
      </c>
      <c r="M695" s="450">
        <v>95.91</v>
      </c>
      <c r="N695" s="450">
        <v>95.38</v>
      </c>
      <c r="O695" s="450">
        <v>93</v>
      </c>
      <c r="P695" s="450">
        <v>90.07</v>
      </c>
      <c r="Q695" s="450" t="s">
        <v>556</v>
      </c>
      <c r="R695" s="450" t="s">
        <v>556</v>
      </c>
      <c r="S695" s="450" t="s">
        <v>556</v>
      </c>
      <c r="T695" s="133"/>
      <c r="U695" s="134">
        <v>78</v>
      </c>
      <c r="V695" s="450">
        <v>102.74</v>
      </c>
      <c r="W695" s="450">
        <v>102.34</v>
      </c>
      <c r="X695" s="450">
        <v>101.9</v>
      </c>
      <c r="Y695" s="450">
        <v>101.43</v>
      </c>
      <c r="Z695" s="450">
        <v>100.94</v>
      </c>
      <c r="AA695" s="450">
        <v>100.43</v>
      </c>
      <c r="AB695" s="450">
        <v>99.91</v>
      </c>
      <c r="AC695" s="450">
        <v>99.37</v>
      </c>
      <c r="AD695" s="450">
        <v>98.83</v>
      </c>
      <c r="AE695" s="450">
        <v>98.3</v>
      </c>
      <c r="AF695" s="450">
        <v>97.77</v>
      </c>
      <c r="AG695" s="450">
        <v>97.24</v>
      </c>
      <c r="AH695" s="450">
        <v>94.88</v>
      </c>
      <c r="AI695" s="450">
        <v>91.94</v>
      </c>
      <c r="AJ695" s="450" t="s">
        <v>556</v>
      </c>
      <c r="AK695" s="450" t="s">
        <v>556</v>
      </c>
      <c r="AL695" s="450" t="s">
        <v>556</v>
      </c>
      <c r="AM695" s="133"/>
      <c r="AN695" s="134">
        <v>78</v>
      </c>
      <c r="AO695" s="450">
        <v>104.46</v>
      </c>
      <c r="AP695" s="450">
        <v>104.06</v>
      </c>
      <c r="AQ695" s="450">
        <v>103.63</v>
      </c>
      <c r="AR695" s="450">
        <v>103.16</v>
      </c>
      <c r="AS695" s="450">
        <v>102.66</v>
      </c>
      <c r="AT695" s="450">
        <v>102.14</v>
      </c>
      <c r="AU695" s="450">
        <v>101.61</v>
      </c>
      <c r="AV695" s="450">
        <v>101.07</v>
      </c>
      <c r="AW695" s="450">
        <v>100.52</v>
      </c>
      <c r="AX695" s="450">
        <v>99.97</v>
      </c>
      <c r="AY695" s="450">
        <v>99.43</v>
      </c>
      <c r="AZ695" s="450">
        <v>98.89</v>
      </c>
      <c r="BA695" s="450">
        <v>96.46</v>
      </c>
      <c r="BB695" s="450">
        <v>93.42</v>
      </c>
      <c r="BC695" s="450" t="s">
        <v>556</v>
      </c>
      <c r="BD695" s="450" t="s">
        <v>556</v>
      </c>
      <c r="BE695" s="450" t="s">
        <v>556</v>
      </c>
    </row>
    <row r="696" spans="2:57" x14ac:dyDescent="0.25">
      <c r="B696" s="134">
        <v>79</v>
      </c>
      <c r="C696" s="450">
        <v>100.1</v>
      </c>
      <c r="D696" s="450">
        <v>99.6</v>
      </c>
      <c r="E696" s="450">
        <v>99.06</v>
      </c>
      <c r="F696" s="450">
        <v>98.5</v>
      </c>
      <c r="G696" s="450">
        <v>97.93</v>
      </c>
      <c r="H696" s="450">
        <v>97.34</v>
      </c>
      <c r="I696" s="450">
        <v>96.74</v>
      </c>
      <c r="J696" s="450">
        <v>96.14</v>
      </c>
      <c r="K696" s="450">
        <v>95.55</v>
      </c>
      <c r="L696" s="450">
        <v>94.96</v>
      </c>
      <c r="M696" s="450">
        <v>94.38</v>
      </c>
      <c r="N696" s="450">
        <v>93.81</v>
      </c>
      <c r="O696" s="450">
        <v>91.31</v>
      </c>
      <c r="P696" s="450">
        <v>87.93</v>
      </c>
      <c r="Q696" s="450" t="s">
        <v>556</v>
      </c>
      <c r="R696" s="450" t="s">
        <v>556</v>
      </c>
      <c r="S696" s="450" t="s">
        <v>556</v>
      </c>
      <c r="T696" s="133"/>
      <c r="U696" s="134">
        <v>79</v>
      </c>
      <c r="V696" s="450">
        <v>101.9</v>
      </c>
      <c r="W696" s="450">
        <v>101.41</v>
      </c>
      <c r="X696" s="450">
        <v>100.89</v>
      </c>
      <c r="Y696" s="450">
        <v>100.34</v>
      </c>
      <c r="Z696" s="450">
        <v>99.77</v>
      </c>
      <c r="AA696" s="450">
        <v>99.19</v>
      </c>
      <c r="AB696" s="450">
        <v>98.6</v>
      </c>
      <c r="AC696" s="450">
        <v>98.01</v>
      </c>
      <c r="AD696" s="450">
        <v>97.41</v>
      </c>
      <c r="AE696" s="450">
        <v>96.83</v>
      </c>
      <c r="AF696" s="450">
        <v>96.25</v>
      </c>
      <c r="AG696" s="450">
        <v>95.69</v>
      </c>
      <c r="AH696" s="450">
        <v>93.21</v>
      </c>
      <c r="AI696" s="450">
        <v>89.81</v>
      </c>
      <c r="AJ696" s="450" t="s">
        <v>556</v>
      </c>
      <c r="AK696" s="450" t="s">
        <v>556</v>
      </c>
      <c r="AL696" s="450" t="s">
        <v>556</v>
      </c>
      <c r="AM696" s="133"/>
      <c r="AN696" s="134">
        <v>79</v>
      </c>
      <c r="AO696" s="450">
        <v>103.62</v>
      </c>
      <c r="AP696" s="450">
        <v>103.13</v>
      </c>
      <c r="AQ696" s="450">
        <v>102.6</v>
      </c>
      <c r="AR696" s="450">
        <v>102.05</v>
      </c>
      <c r="AS696" s="450">
        <v>101.48</v>
      </c>
      <c r="AT696" s="450">
        <v>100.89</v>
      </c>
      <c r="AU696" s="450">
        <v>100.29</v>
      </c>
      <c r="AV696" s="450">
        <v>99.69</v>
      </c>
      <c r="AW696" s="450">
        <v>99.08</v>
      </c>
      <c r="AX696" s="450">
        <v>98.49</v>
      </c>
      <c r="AY696" s="450">
        <v>97.9</v>
      </c>
      <c r="AZ696" s="450">
        <v>97.32</v>
      </c>
      <c r="BA696" s="450">
        <v>94.77</v>
      </c>
      <c r="BB696" s="450">
        <v>91.26</v>
      </c>
      <c r="BC696" s="450" t="s">
        <v>556</v>
      </c>
      <c r="BD696" s="450" t="s">
        <v>556</v>
      </c>
      <c r="BE696" s="450" t="s">
        <v>556</v>
      </c>
    </row>
    <row r="697" spans="2:57" x14ac:dyDescent="0.25">
      <c r="B697" s="134">
        <v>80</v>
      </c>
      <c r="C697" s="450">
        <v>99.05</v>
      </c>
      <c r="D697" s="450">
        <v>98.46</v>
      </c>
      <c r="E697" s="450">
        <v>97.84</v>
      </c>
      <c r="F697" s="450">
        <v>97.21</v>
      </c>
      <c r="G697" s="450">
        <v>96.56</v>
      </c>
      <c r="H697" s="450">
        <v>95.91</v>
      </c>
      <c r="I697" s="450">
        <v>95.25</v>
      </c>
      <c r="J697" s="450">
        <v>94.6</v>
      </c>
      <c r="K697" s="450">
        <v>93.95</v>
      </c>
      <c r="L697" s="450">
        <v>93.32</v>
      </c>
      <c r="M697" s="450">
        <v>92.7</v>
      </c>
      <c r="N697" s="450">
        <v>92.11</v>
      </c>
      <c r="O697" s="450">
        <v>89.25</v>
      </c>
      <c r="P697" s="450" t="s">
        <v>556</v>
      </c>
      <c r="Q697" s="450" t="s">
        <v>556</v>
      </c>
      <c r="R697" s="450" t="s">
        <v>556</v>
      </c>
      <c r="S697" s="450" t="s">
        <v>556</v>
      </c>
      <c r="T697" s="133"/>
      <c r="U697" s="134">
        <v>80</v>
      </c>
      <c r="V697" s="450">
        <v>100.88</v>
      </c>
      <c r="W697" s="450">
        <v>100.3</v>
      </c>
      <c r="X697" s="450">
        <v>99.69</v>
      </c>
      <c r="Y697" s="450">
        <v>99.06</v>
      </c>
      <c r="Z697" s="450">
        <v>98.42</v>
      </c>
      <c r="AA697" s="450">
        <v>97.78</v>
      </c>
      <c r="AB697" s="450">
        <v>97.13</v>
      </c>
      <c r="AC697" s="450">
        <v>96.48</v>
      </c>
      <c r="AD697" s="450">
        <v>95.84</v>
      </c>
      <c r="AE697" s="450">
        <v>95.21</v>
      </c>
      <c r="AF697" s="450">
        <v>94.6</v>
      </c>
      <c r="AG697" s="450">
        <v>94</v>
      </c>
      <c r="AH697" s="450">
        <v>91.16</v>
      </c>
      <c r="AI697" s="450" t="s">
        <v>556</v>
      </c>
      <c r="AJ697" s="450" t="s">
        <v>556</v>
      </c>
      <c r="AK697" s="450" t="s">
        <v>556</v>
      </c>
      <c r="AL697" s="450" t="s">
        <v>556</v>
      </c>
      <c r="AM697" s="133"/>
      <c r="AN697" s="134">
        <v>80</v>
      </c>
      <c r="AO697" s="450">
        <v>102.59</v>
      </c>
      <c r="AP697" s="450">
        <v>102.01</v>
      </c>
      <c r="AQ697" s="450">
        <v>101.4</v>
      </c>
      <c r="AR697" s="450">
        <v>100.77</v>
      </c>
      <c r="AS697" s="450">
        <v>100.12</v>
      </c>
      <c r="AT697" s="450">
        <v>99.46</v>
      </c>
      <c r="AU697" s="450">
        <v>98.8</v>
      </c>
      <c r="AV697" s="450">
        <v>98.14</v>
      </c>
      <c r="AW697" s="450">
        <v>97.49</v>
      </c>
      <c r="AX697" s="450">
        <v>96.85</v>
      </c>
      <c r="AY697" s="450">
        <v>96.22</v>
      </c>
      <c r="AZ697" s="450">
        <v>95.61</v>
      </c>
      <c r="BA697" s="450">
        <v>92.68</v>
      </c>
      <c r="BB697" s="450" t="s">
        <v>556</v>
      </c>
      <c r="BC697" s="450" t="s">
        <v>556</v>
      </c>
      <c r="BD697" s="450" t="s">
        <v>556</v>
      </c>
      <c r="BE697" s="450" t="s">
        <v>556</v>
      </c>
    </row>
    <row r="698" spans="2:57" x14ac:dyDescent="0.25">
      <c r="B698" s="134">
        <v>81</v>
      </c>
      <c r="C698" s="450">
        <v>97.83</v>
      </c>
      <c r="D698" s="450">
        <v>97.15</v>
      </c>
      <c r="E698" s="450">
        <v>96.46</v>
      </c>
      <c r="F698" s="450">
        <v>95.75</v>
      </c>
      <c r="G698" s="450">
        <v>95.03</v>
      </c>
      <c r="H698" s="450">
        <v>94.32</v>
      </c>
      <c r="I698" s="450">
        <v>93.61</v>
      </c>
      <c r="J698" s="450">
        <v>92.91</v>
      </c>
      <c r="K698" s="450">
        <v>92.22</v>
      </c>
      <c r="L698" s="450">
        <v>91.55</v>
      </c>
      <c r="M698" s="450">
        <v>90.9</v>
      </c>
      <c r="N698" s="450">
        <v>90.28</v>
      </c>
      <c r="O698" s="450">
        <v>87.03</v>
      </c>
      <c r="P698" s="450" t="s">
        <v>556</v>
      </c>
      <c r="Q698" s="450" t="s">
        <v>556</v>
      </c>
      <c r="R698" s="450" t="s">
        <v>556</v>
      </c>
      <c r="S698" s="450" t="s">
        <v>556</v>
      </c>
      <c r="T698" s="133"/>
      <c r="U698" s="134">
        <v>81</v>
      </c>
      <c r="V698" s="450">
        <v>99.68</v>
      </c>
      <c r="W698" s="450">
        <v>99.01</v>
      </c>
      <c r="X698" s="450">
        <v>98.32</v>
      </c>
      <c r="Y698" s="450">
        <v>97.62</v>
      </c>
      <c r="Z698" s="450">
        <v>96.92</v>
      </c>
      <c r="AA698" s="450">
        <v>96.21</v>
      </c>
      <c r="AB698" s="450">
        <v>95.5</v>
      </c>
      <c r="AC698" s="450">
        <v>94.8</v>
      </c>
      <c r="AD698" s="450">
        <v>94.12</v>
      </c>
      <c r="AE698" s="450">
        <v>93.45</v>
      </c>
      <c r="AF698" s="450">
        <v>92.81</v>
      </c>
      <c r="AG698" s="450">
        <v>92.19</v>
      </c>
      <c r="AH698" s="450">
        <v>88.95</v>
      </c>
      <c r="AI698" s="450" t="s">
        <v>556</v>
      </c>
      <c r="AJ698" s="450" t="s">
        <v>556</v>
      </c>
      <c r="AK698" s="450" t="s">
        <v>556</v>
      </c>
      <c r="AL698" s="450" t="s">
        <v>556</v>
      </c>
      <c r="AM698" s="133"/>
      <c r="AN698" s="134">
        <v>81</v>
      </c>
      <c r="AO698" s="450">
        <v>101.38</v>
      </c>
      <c r="AP698" s="450">
        <v>100.71</v>
      </c>
      <c r="AQ698" s="450">
        <v>100.02</v>
      </c>
      <c r="AR698" s="450">
        <v>99.31</v>
      </c>
      <c r="AS698" s="450">
        <v>98.59</v>
      </c>
      <c r="AT698" s="450">
        <v>97.87</v>
      </c>
      <c r="AU698" s="450">
        <v>97.16</v>
      </c>
      <c r="AV698" s="450">
        <v>96.45</v>
      </c>
      <c r="AW698" s="450">
        <v>95.75</v>
      </c>
      <c r="AX698" s="450">
        <v>95.07</v>
      </c>
      <c r="AY698" s="450">
        <v>94.41</v>
      </c>
      <c r="AZ698" s="450">
        <v>93.77</v>
      </c>
      <c r="BA698" s="450">
        <v>90.44</v>
      </c>
      <c r="BB698" s="450" t="s">
        <v>556</v>
      </c>
      <c r="BC698" s="450" t="s">
        <v>556</v>
      </c>
      <c r="BD698" s="450" t="s">
        <v>556</v>
      </c>
      <c r="BE698" s="450" t="s">
        <v>556</v>
      </c>
    </row>
    <row r="699" spans="2:57" x14ac:dyDescent="0.25">
      <c r="B699" s="134">
        <v>82</v>
      </c>
      <c r="C699" s="450">
        <v>96.43</v>
      </c>
      <c r="D699" s="450">
        <v>95.68</v>
      </c>
      <c r="E699" s="450">
        <v>94.91</v>
      </c>
      <c r="F699" s="450">
        <v>94.13</v>
      </c>
      <c r="G699" s="450">
        <v>93.36</v>
      </c>
      <c r="H699" s="450">
        <v>92.59</v>
      </c>
      <c r="I699" s="450">
        <v>91.83</v>
      </c>
      <c r="J699" s="450">
        <v>91.08</v>
      </c>
      <c r="K699" s="450">
        <v>90.36</v>
      </c>
      <c r="L699" s="450">
        <v>89.66</v>
      </c>
      <c r="M699" s="450">
        <v>88.98</v>
      </c>
      <c r="N699" s="450">
        <v>88.34</v>
      </c>
      <c r="O699" s="450">
        <v>84.69</v>
      </c>
      <c r="P699" s="450" t="s">
        <v>556</v>
      </c>
      <c r="Q699" s="450" t="s">
        <v>556</v>
      </c>
      <c r="R699" s="450" t="s">
        <v>556</v>
      </c>
      <c r="S699" s="450" t="s">
        <v>556</v>
      </c>
      <c r="T699" s="133"/>
      <c r="U699" s="134">
        <v>82</v>
      </c>
      <c r="V699" s="450">
        <v>98.3</v>
      </c>
      <c r="W699" s="450">
        <v>97.55</v>
      </c>
      <c r="X699" s="450">
        <v>96.79</v>
      </c>
      <c r="Y699" s="450">
        <v>96.02</v>
      </c>
      <c r="Z699" s="450">
        <v>95.25</v>
      </c>
      <c r="AA699" s="450">
        <v>94.49</v>
      </c>
      <c r="AB699" s="450">
        <v>93.74</v>
      </c>
      <c r="AC699" s="450">
        <v>93</v>
      </c>
      <c r="AD699" s="450">
        <v>92.28</v>
      </c>
      <c r="AE699" s="450">
        <v>91.58</v>
      </c>
      <c r="AF699" s="450">
        <v>90.91</v>
      </c>
      <c r="AG699" s="450">
        <v>90.26</v>
      </c>
      <c r="AH699" s="450">
        <v>86.62</v>
      </c>
      <c r="AI699" s="450" t="s">
        <v>556</v>
      </c>
      <c r="AJ699" s="450" t="s">
        <v>556</v>
      </c>
      <c r="AK699" s="450" t="s">
        <v>556</v>
      </c>
      <c r="AL699" s="450" t="s">
        <v>556</v>
      </c>
      <c r="AM699" s="133"/>
      <c r="AN699" s="134">
        <v>82</v>
      </c>
      <c r="AO699" s="450">
        <v>99.99</v>
      </c>
      <c r="AP699" s="450">
        <v>99.24</v>
      </c>
      <c r="AQ699" s="450">
        <v>98.47</v>
      </c>
      <c r="AR699" s="450">
        <v>97.69</v>
      </c>
      <c r="AS699" s="450">
        <v>96.91</v>
      </c>
      <c r="AT699" s="450">
        <v>96.14</v>
      </c>
      <c r="AU699" s="450">
        <v>95.37</v>
      </c>
      <c r="AV699" s="450">
        <v>94.61</v>
      </c>
      <c r="AW699" s="450">
        <v>93.88</v>
      </c>
      <c r="AX699" s="450">
        <v>93.17</v>
      </c>
      <c r="AY699" s="450">
        <v>92.48</v>
      </c>
      <c r="AZ699" s="450">
        <v>91.82</v>
      </c>
      <c r="BA699" s="450">
        <v>88.08</v>
      </c>
      <c r="BB699" s="450" t="s">
        <v>556</v>
      </c>
      <c r="BC699" s="450" t="s">
        <v>556</v>
      </c>
      <c r="BD699" s="450" t="s">
        <v>556</v>
      </c>
      <c r="BE699" s="450" t="s">
        <v>556</v>
      </c>
    </row>
    <row r="700" spans="2:57" x14ac:dyDescent="0.25">
      <c r="B700" s="134">
        <v>83</v>
      </c>
      <c r="C700" s="450">
        <v>94.88</v>
      </c>
      <c r="D700" s="450">
        <v>94.04</v>
      </c>
      <c r="E700" s="450">
        <v>93.21</v>
      </c>
      <c r="F700" s="450">
        <v>92.37</v>
      </c>
      <c r="G700" s="450">
        <v>91.54</v>
      </c>
      <c r="H700" s="450">
        <v>90.73</v>
      </c>
      <c r="I700" s="450">
        <v>89.92</v>
      </c>
      <c r="J700" s="450">
        <v>89.14</v>
      </c>
      <c r="K700" s="450">
        <v>88.39</v>
      </c>
      <c r="L700" s="450">
        <v>87.66</v>
      </c>
      <c r="M700" s="450">
        <v>86.97</v>
      </c>
      <c r="N700" s="450">
        <v>86.3</v>
      </c>
      <c r="O700" s="450">
        <v>82.24</v>
      </c>
      <c r="P700" s="450" t="s">
        <v>556</v>
      </c>
      <c r="Q700" s="450" t="s">
        <v>556</v>
      </c>
      <c r="R700" s="450" t="s">
        <v>556</v>
      </c>
      <c r="S700" s="450" t="s">
        <v>556</v>
      </c>
      <c r="T700" s="133"/>
      <c r="U700" s="134">
        <v>83</v>
      </c>
      <c r="V700" s="450">
        <v>96.76</v>
      </c>
      <c r="W700" s="450">
        <v>95.94</v>
      </c>
      <c r="X700" s="450">
        <v>95.11</v>
      </c>
      <c r="Y700" s="450">
        <v>94.28</v>
      </c>
      <c r="Z700" s="450">
        <v>93.45</v>
      </c>
      <c r="AA700" s="450">
        <v>92.64</v>
      </c>
      <c r="AB700" s="450">
        <v>91.85</v>
      </c>
      <c r="AC700" s="450">
        <v>91.07</v>
      </c>
      <c r="AD700" s="450">
        <v>90.32</v>
      </c>
      <c r="AE700" s="450">
        <v>89.6</v>
      </c>
      <c r="AF700" s="450">
        <v>88.9</v>
      </c>
      <c r="AG700" s="450">
        <v>88.24</v>
      </c>
      <c r="AH700" s="450">
        <v>84.17</v>
      </c>
      <c r="AI700" s="450" t="s">
        <v>556</v>
      </c>
      <c r="AJ700" s="450" t="s">
        <v>556</v>
      </c>
      <c r="AK700" s="450" t="s">
        <v>556</v>
      </c>
      <c r="AL700" s="450" t="s">
        <v>556</v>
      </c>
      <c r="AM700" s="133"/>
      <c r="AN700" s="134">
        <v>83</v>
      </c>
      <c r="AO700" s="450">
        <v>98.43</v>
      </c>
      <c r="AP700" s="450">
        <v>97.6</v>
      </c>
      <c r="AQ700" s="450">
        <v>96.76</v>
      </c>
      <c r="AR700" s="450">
        <v>95.92</v>
      </c>
      <c r="AS700" s="450">
        <v>95.09</v>
      </c>
      <c r="AT700" s="450">
        <v>94.26</v>
      </c>
      <c r="AU700" s="450">
        <v>93.45</v>
      </c>
      <c r="AV700" s="450">
        <v>92.66</v>
      </c>
      <c r="AW700" s="450">
        <v>91.9</v>
      </c>
      <c r="AX700" s="450">
        <v>91.16</v>
      </c>
      <c r="AY700" s="450">
        <v>90.45</v>
      </c>
      <c r="AZ700" s="450">
        <v>89.78</v>
      </c>
      <c r="BA700" s="450">
        <v>85.59</v>
      </c>
      <c r="BB700" s="450" t="s">
        <v>556</v>
      </c>
      <c r="BC700" s="450" t="s">
        <v>556</v>
      </c>
      <c r="BD700" s="450" t="s">
        <v>556</v>
      </c>
      <c r="BE700" s="450" t="s">
        <v>556</v>
      </c>
    </row>
    <row r="701" spans="2:57" x14ac:dyDescent="0.25">
      <c r="B701" s="134">
        <v>84</v>
      </c>
      <c r="C701" s="450">
        <v>93.17</v>
      </c>
      <c r="D701" s="450">
        <v>92.27</v>
      </c>
      <c r="E701" s="450">
        <v>91.37</v>
      </c>
      <c r="F701" s="450">
        <v>90.48</v>
      </c>
      <c r="G701" s="450">
        <v>89.61</v>
      </c>
      <c r="H701" s="450">
        <v>88.75</v>
      </c>
      <c r="I701" s="450">
        <v>87.91</v>
      </c>
      <c r="J701" s="450">
        <v>87.11</v>
      </c>
      <c r="K701" s="450">
        <v>86.33</v>
      </c>
      <c r="L701" s="450">
        <v>85.58</v>
      </c>
      <c r="M701" s="450">
        <v>84.87</v>
      </c>
      <c r="N701" s="450">
        <v>84.2</v>
      </c>
      <c r="O701" s="450">
        <v>79.67</v>
      </c>
      <c r="P701" s="450" t="s">
        <v>556</v>
      </c>
      <c r="Q701" s="450" t="s">
        <v>556</v>
      </c>
      <c r="R701" s="450" t="s">
        <v>556</v>
      </c>
      <c r="S701" s="450" t="s">
        <v>556</v>
      </c>
      <c r="T701" s="133"/>
      <c r="U701" s="134">
        <v>84</v>
      </c>
      <c r="V701" s="450">
        <v>95.07</v>
      </c>
      <c r="W701" s="450">
        <v>94.18</v>
      </c>
      <c r="X701" s="450">
        <v>93.29</v>
      </c>
      <c r="Y701" s="450">
        <v>92.4</v>
      </c>
      <c r="Z701" s="450">
        <v>91.53</v>
      </c>
      <c r="AA701" s="450">
        <v>90.68</v>
      </c>
      <c r="AB701" s="450">
        <v>89.85</v>
      </c>
      <c r="AC701" s="450">
        <v>89.04</v>
      </c>
      <c r="AD701" s="450">
        <v>88.27</v>
      </c>
      <c r="AE701" s="450">
        <v>87.52</v>
      </c>
      <c r="AF701" s="450">
        <v>86.82</v>
      </c>
      <c r="AG701" s="450">
        <v>86.15</v>
      </c>
      <c r="AH701" s="450">
        <v>81.599999999999994</v>
      </c>
      <c r="AI701" s="450" t="s">
        <v>556</v>
      </c>
      <c r="AJ701" s="450" t="s">
        <v>556</v>
      </c>
      <c r="AK701" s="450" t="s">
        <v>556</v>
      </c>
      <c r="AL701" s="450" t="s">
        <v>556</v>
      </c>
      <c r="AM701" s="133"/>
      <c r="AN701" s="134">
        <v>84</v>
      </c>
      <c r="AO701" s="450">
        <v>96.72</v>
      </c>
      <c r="AP701" s="450">
        <v>95.82</v>
      </c>
      <c r="AQ701" s="450">
        <v>94.92</v>
      </c>
      <c r="AR701" s="450">
        <v>94.03</v>
      </c>
      <c r="AS701" s="450">
        <v>93.14</v>
      </c>
      <c r="AT701" s="450">
        <v>92.27</v>
      </c>
      <c r="AU701" s="450">
        <v>91.43</v>
      </c>
      <c r="AV701" s="450">
        <v>90.61</v>
      </c>
      <c r="AW701" s="450">
        <v>89.82</v>
      </c>
      <c r="AX701" s="450">
        <v>89.06</v>
      </c>
      <c r="AY701" s="450">
        <v>88.34</v>
      </c>
      <c r="AZ701" s="450">
        <v>87.65</v>
      </c>
      <c r="BA701" s="450">
        <v>82.99</v>
      </c>
      <c r="BB701" s="450" t="s">
        <v>556</v>
      </c>
      <c r="BC701" s="450" t="s">
        <v>556</v>
      </c>
      <c r="BD701" s="450" t="s">
        <v>556</v>
      </c>
      <c r="BE701" s="450" t="s">
        <v>556</v>
      </c>
    </row>
    <row r="702" spans="2:57" x14ac:dyDescent="0.25">
      <c r="B702" s="134">
        <v>85</v>
      </c>
      <c r="C702" s="450">
        <v>91.33</v>
      </c>
      <c r="D702" s="450">
        <v>90.37</v>
      </c>
      <c r="E702" s="450">
        <v>89.42</v>
      </c>
      <c r="F702" s="450">
        <v>88.48</v>
      </c>
      <c r="G702" s="450">
        <v>87.57</v>
      </c>
      <c r="H702" s="450">
        <v>86.68</v>
      </c>
      <c r="I702" s="450">
        <v>85.82</v>
      </c>
      <c r="J702" s="450">
        <v>84.98</v>
      </c>
      <c r="K702" s="450">
        <v>84.19</v>
      </c>
      <c r="L702" s="450">
        <v>83.43</v>
      </c>
      <c r="M702" s="450">
        <v>82.71</v>
      </c>
      <c r="N702" s="450">
        <v>81.75</v>
      </c>
      <c r="O702" s="450" t="s">
        <v>556</v>
      </c>
      <c r="P702" s="450" t="s">
        <v>556</v>
      </c>
      <c r="Q702" s="450" t="s">
        <v>556</v>
      </c>
      <c r="R702" s="450" t="s">
        <v>556</v>
      </c>
      <c r="S702" s="450" t="s">
        <v>556</v>
      </c>
      <c r="T702" s="133"/>
      <c r="U702" s="134">
        <v>85</v>
      </c>
      <c r="V702" s="450">
        <v>93.25</v>
      </c>
      <c r="W702" s="450">
        <v>92.29</v>
      </c>
      <c r="X702" s="450">
        <v>91.35</v>
      </c>
      <c r="Y702" s="450">
        <v>90.42</v>
      </c>
      <c r="Z702" s="450">
        <v>89.5</v>
      </c>
      <c r="AA702" s="450">
        <v>88.62</v>
      </c>
      <c r="AB702" s="450">
        <v>87.76</v>
      </c>
      <c r="AC702" s="450">
        <v>86.93</v>
      </c>
      <c r="AD702" s="450">
        <v>86.14</v>
      </c>
      <c r="AE702" s="450">
        <v>85.38</v>
      </c>
      <c r="AF702" s="450">
        <v>84.66</v>
      </c>
      <c r="AG702" s="450">
        <v>83.71</v>
      </c>
      <c r="AH702" s="450" t="s">
        <v>556</v>
      </c>
      <c r="AI702" s="450" t="s">
        <v>556</v>
      </c>
      <c r="AJ702" s="450" t="s">
        <v>556</v>
      </c>
      <c r="AK702" s="450" t="s">
        <v>556</v>
      </c>
      <c r="AL702" s="450" t="s">
        <v>556</v>
      </c>
      <c r="AM702" s="133"/>
      <c r="AN702" s="134">
        <v>85</v>
      </c>
      <c r="AO702" s="450">
        <v>94.87</v>
      </c>
      <c r="AP702" s="450">
        <v>93.91</v>
      </c>
      <c r="AQ702" s="450">
        <v>92.95</v>
      </c>
      <c r="AR702" s="450">
        <v>92.01</v>
      </c>
      <c r="AS702" s="450">
        <v>91.09</v>
      </c>
      <c r="AT702" s="450">
        <v>90.19</v>
      </c>
      <c r="AU702" s="450">
        <v>89.31</v>
      </c>
      <c r="AV702" s="450">
        <v>88.47</v>
      </c>
      <c r="AW702" s="450">
        <v>87.66</v>
      </c>
      <c r="AX702" s="450">
        <v>86.89</v>
      </c>
      <c r="AY702" s="450">
        <v>86.15</v>
      </c>
      <c r="AZ702" s="450">
        <v>85.18</v>
      </c>
      <c r="BA702" s="450" t="s">
        <v>556</v>
      </c>
      <c r="BB702" s="450" t="s">
        <v>556</v>
      </c>
      <c r="BC702" s="450" t="s">
        <v>556</v>
      </c>
      <c r="BD702" s="450" t="s">
        <v>556</v>
      </c>
      <c r="BE702" s="450" t="s">
        <v>556</v>
      </c>
    </row>
    <row r="703" spans="2:57" x14ac:dyDescent="0.25">
      <c r="B703" s="134">
        <v>86</v>
      </c>
      <c r="C703" s="450">
        <v>89.37</v>
      </c>
      <c r="D703" s="450">
        <v>88.36</v>
      </c>
      <c r="E703" s="450">
        <v>87.36</v>
      </c>
      <c r="F703" s="450">
        <v>86.39</v>
      </c>
      <c r="G703" s="450">
        <v>85.44</v>
      </c>
      <c r="H703" s="450">
        <v>84.53</v>
      </c>
      <c r="I703" s="450">
        <v>83.64</v>
      </c>
      <c r="J703" s="450">
        <v>82.79</v>
      </c>
      <c r="K703" s="450">
        <v>81.99</v>
      </c>
      <c r="L703" s="450">
        <v>81.22</v>
      </c>
      <c r="M703" s="450">
        <v>80.22</v>
      </c>
      <c r="N703" s="450">
        <v>79.22</v>
      </c>
      <c r="O703" s="450" t="s">
        <v>556</v>
      </c>
      <c r="P703" s="450" t="s">
        <v>556</v>
      </c>
      <c r="Q703" s="450" t="s">
        <v>556</v>
      </c>
      <c r="R703" s="450" t="s">
        <v>556</v>
      </c>
      <c r="S703" s="450" t="s">
        <v>556</v>
      </c>
      <c r="T703" s="133"/>
      <c r="U703" s="134">
        <v>86</v>
      </c>
      <c r="V703" s="450">
        <v>91.3</v>
      </c>
      <c r="W703" s="450">
        <v>90.29</v>
      </c>
      <c r="X703" s="450">
        <v>89.3</v>
      </c>
      <c r="Y703" s="450">
        <v>88.33</v>
      </c>
      <c r="Z703" s="450">
        <v>87.39</v>
      </c>
      <c r="AA703" s="450">
        <v>86.48</v>
      </c>
      <c r="AB703" s="450">
        <v>85.6</v>
      </c>
      <c r="AC703" s="450">
        <v>84.75</v>
      </c>
      <c r="AD703" s="450">
        <v>83.95</v>
      </c>
      <c r="AE703" s="450">
        <v>83.18</v>
      </c>
      <c r="AF703" s="450">
        <v>82.18</v>
      </c>
      <c r="AG703" s="450">
        <v>81.180000000000007</v>
      </c>
      <c r="AH703" s="450" t="s">
        <v>556</v>
      </c>
      <c r="AI703" s="450" t="s">
        <v>556</v>
      </c>
      <c r="AJ703" s="450" t="s">
        <v>556</v>
      </c>
      <c r="AK703" s="450" t="s">
        <v>556</v>
      </c>
      <c r="AL703" s="450" t="s">
        <v>556</v>
      </c>
      <c r="AM703" s="133"/>
      <c r="AN703" s="134">
        <v>86</v>
      </c>
      <c r="AO703" s="450">
        <v>92.9</v>
      </c>
      <c r="AP703" s="450">
        <v>91.88</v>
      </c>
      <c r="AQ703" s="450">
        <v>90.88</v>
      </c>
      <c r="AR703" s="450">
        <v>89.9</v>
      </c>
      <c r="AS703" s="450">
        <v>88.94</v>
      </c>
      <c r="AT703" s="450">
        <v>88.02</v>
      </c>
      <c r="AU703" s="450">
        <v>87.12</v>
      </c>
      <c r="AV703" s="450">
        <v>86.26</v>
      </c>
      <c r="AW703" s="450">
        <v>85.44</v>
      </c>
      <c r="AX703" s="450">
        <v>84.66</v>
      </c>
      <c r="AY703" s="450">
        <v>83.64</v>
      </c>
      <c r="AZ703" s="450">
        <v>82.61</v>
      </c>
      <c r="BA703" s="450" t="s">
        <v>556</v>
      </c>
      <c r="BB703" s="450" t="s">
        <v>556</v>
      </c>
      <c r="BC703" s="450" t="s">
        <v>556</v>
      </c>
      <c r="BD703" s="450" t="s">
        <v>556</v>
      </c>
      <c r="BE703" s="450" t="s">
        <v>556</v>
      </c>
    </row>
    <row r="704" spans="2:57" x14ac:dyDescent="0.25">
      <c r="B704" s="134">
        <v>87</v>
      </c>
      <c r="C704" s="450">
        <v>87.31</v>
      </c>
      <c r="D704" s="450">
        <v>86.25</v>
      </c>
      <c r="E704" s="450">
        <v>85.22</v>
      </c>
      <c r="F704" s="450">
        <v>84.22</v>
      </c>
      <c r="G704" s="450">
        <v>83.25</v>
      </c>
      <c r="H704" s="450">
        <v>82.31</v>
      </c>
      <c r="I704" s="450">
        <v>81.41</v>
      </c>
      <c r="J704" s="450">
        <v>80.55</v>
      </c>
      <c r="K704" s="450">
        <v>79.739999999999995</v>
      </c>
      <c r="L704" s="450">
        <v>78.7</v>
      </c>
      <c r="M704" s="450">
        <v>77.650000000000006</v>
      </c>
      <c r="N704" s="450">
        <v>76.62</v>
      </c>
      <c r="O704" s="450" t="s">
        <v>556</v>
      </c>
      <c r="P704" s="450" t="s">
        <v>556</v>
      </c>
      <c r="Q704" s="450" t="s">
        <v>556</v>
      </c>
      <c r="R704" s="450" t="s">
        <v>556</v>
      </c>
      <c r="S704" s="450" t="s">
        <v>556</v>
      </c>
      <c r="T704" s="133"/>
      <c r="U704" s="134">
        <v>87</v>
      </c>
      <c r="V704" s="450">
        <v>89.25</v>
      </c>
      <c r="W704" s="450">
        <v>88.2</v>
      </c>
      <c r="X704" s="450">
        <v>87.17</v>
      </c>
      <c r="Y704" s="450">
        <v>86.17</v>
      </c>
      <c r="Z704" s="450">
        <v>85.2</v>
      </c>
      <c r="AA704" s="450">
        <v>84.27</v>
      </c>
      <c r="AB704" s="450">
        <v>83.38</v>
      </c>
      <c r="AC704" s="450">
        <v>82.52</v>
      </c>
      <c r="AD704" s="450">
        <v>81.709999999999994</v>
      </c>
      <c r="AE704" s="450">
        <v>80.67</v>
      </c>
      <c r="AF704" s="450">
        <v>79.62</v>
      </c>
      <c r="AG704" s="450">
        <v>78.58</v>
      </c>
      <c r="AH704" s="450" t="s">
        <v>556</v>
      </c>
      <c r="AI704" s="450" t="s">
        <v>556</v>
      </c>
      <c r="AJ704" s="450" t="s">
        <v>556</v>
      </c>
      <c r="AK704" s="450" t="s">
        <v>556</v>
      </c>
      <c r="AL704" s="450" t="s">
        <v>556</v>
      </c>
      <c r="AM704" s="133"/>
      <c r="AN704" s="134">
        <v>87</v>
      </c>
      <c r="AO704" s="450">
        <v>90.82</v>
      </c>
      <c r="AP704" s="450">
        <v>89.76</v>
      </c>
      <c r="AQ704" s="450">
        <v>88.72</v>
      </c>
      <c r="AR704" s="450">
        <v>87.71</v>
      </c>
      <c r="AS704" s="450">
        <v>86.73</v>
      </c>
      <c r="AT704" s="450">
        <v>85.78</v>
      </c>
      <c r="AU704" s="450">
        <v>84.87</v>
      </c>
      <c r="AV704" s="450">
        <v>84</v>
      </c>
      <c r="AW704" s="450">
        <v>83.17</v>
      </c>
      <c r="AX704" s="450">
        <v>82.11</v>
      </c>
      <c r="AY704" s="450">
        <v>81.03</v>
      </c>
      <c r="AZ704" s="450">
        <v>79.97</v>
      </c>
      <c r="BA704" s="450" t="s">
        <v>556</v>
      </c>
      <c r="BB704" s="450" t="s">
        <v>556</v>
      </c>
      <c r="BC704" s="450" t="s">
        <v>556</v>
      </c>
      <c r="BD704" s="450" t="s">
        <v>556</v>
      </c>
      <c r="BE704" s="450" t="s">
        <v>556</v>
      </c>
    </row>
    <row r="705" spans="2:57" x14ac:dyDescent="0.25">
      <c r="B705" s="134">
        <v>88</v>
      </c>
      <c r="C705" s="450">
        <v>85.16</v>
      </c>
      <c r="D705" s="450">
        <v>84.07</v>
      </c>
      <c r="E705" s="450">
        <v>83.01</v>
      </c>
      <c r="F705" s="450">
        <v>81.99</v>
      </c>
      <c r="G705" s="450">
        <v>81</v>
      </c>
      <c r="H705" s="450">
        <v>80.05</v>
      </c>
      <c r="I705" s="450">
        <v>79.14</v>
      </c>
      <c r="J705" s="450">
        <v>78.28</v>
      </c>
      <c r="K705" s="450">
        <v>77.19</v>
      </c>
      <c r="L705" s="450">
        <v>76.099999999999994</v>
      </c>
      <c r="M705" s="450">
        <v>75.03</v>
      </c>
      <c r="N705" s="450">
        <v>73.95</v>
      </c>
      <c r="O705" s="450" t="s">
        <v>556</v>
      </c>
      <c r="P705" s="450" t="s">
        <v>556</v>
      </c>
      <c r="Q705" s="450" t="s">
        <v>556</v>
      </c>
      <c r="R705" s="450" t="s">
        <v>556</v>
      </c>
      <c r="S705" s="450" t="s">
        <v>556</v>
      </c>
      <c r="T705" s="133"/>
      <c r="U705" s="134">
        <v>88</v>
      </c>
      <c r="V705" s="450">
        <v>87.11</v>
      </c>
      <c r="W705" s="450">
        <v>86.03</v>
      </c>
      <c r="X705" s="450">
        <v>84.97</v>
      </c>
      <c r="Y705" s="450">
        <v>83.95</v>
      </c>
      <c r="Z705" s="450">
        <v>82.96</v>
      </c>
      <c r="AA705" s="450">
        <v>82.02</v>
      </c>
      <c r="AB705" s="450">
        <v>81.12</v>
      </c>
      <c r="AC705" s="450">
        <v>80.260000000000005</v>
      </c>
      <c r="AD705" s="450">
        <v>79.17</v>
      </c>
      <c r="AE705" s="450">
        <v>78.08</v>
      </c>
      <c r="AF705" s="450">
        <v>77</v>
      </c>
      <c r="AG705" s="450">
        <v>75.92</v>
      </c>
      <c r="AH705" s="450" t="s">
        <v>556</v>
      </c>
      <c r="AI705" s="450" t="s">
        <v>556</v>
      </c>
      <c r="AJ705" s="450" t="s">
        <v>556</v>
      </c>
      <c r="AK705" s="450" t="s">
        <v>556</v>
      </c>
      <c r="AL705" s="450" t="s">
        <v>556</v>
      </c>
      <c r="AM705" s="133"/>
      <c r="AN705" s="134">
        <v>88</v>
      </c>
      <c r="AO705" s="450">
        <v>88.65</v>
      </c>
      <c r="AP705" s="450">
        <v>87.56</v>
      </c>
      <c r="AQ705" s="450">
        <v>86.49</v>
      </c>
      <c r="AR705" s="450">
        <v>85.46</v>
      </c>
      <c r="AS705" s="450">
        <v>84.46</v>
      </c>
      <c r="AT705" s="450">
        <v>83.5</v>
      </c>
      <c r="AU705" s="450">
        <v>82.58</v>
      </c>
      <c r="AV705" s="450">
        <v>81.7</v>
      </c>
      <c r="AW705" s="450">
        <v>80.59</v>
      </c>
      <c r="AX705" s="450">
        <v>79.48</v>
      </c>
      <c r="AY705" s="450">
        <v>78.38</v>
      </c>
      <c r="AZ705" s="450">
        <v>77.27</v>
      </c>
      <c r="BA705" s="450" t="s">
        <v>556</v>
      </c>
      <c r="BB705" s="450" t="s">
        <v>556</v>
      </c>
      <c r="BC705" s="450" t="s">
        <v>556</v>
      </c>
      <c r="BD705" s="450" t="s">
        <v>556</v>
      </c>
      <c r="BE705" s="450" t="s">
        <v>556</v>
      </c>
    </row>
    <row r="706" spans="2:57" x14ac:dyDescent="0.25">
      <c r="B706" s="134">
        <v>89</v>
      </c>
      <c r="C706" s="450">
        <v>82.95</v>
      </c>
      <c r="D706" s="450">
        <v>81.83</v>
      </c>
      <c r="E706" s="450">
        <v>80.75</v>
      </c>
      <c r="F706" s="450">
        <v>79.709999999999994</v>
      </c>
      <c r="G706" s="450">
        <v>78.709999999999994</v>
      </c>
      <c r="H706" s="450">
        <v>77.75</v>
      </c>
      <c r="I706" s="450">
        <v>76.84</v>
      </c>
      <c r="J706" s="450">
        <v>75.709999999999994</v>
      </c>
      <c r="K706" s="450">
        <v>74.58</v>
      </c>
      <c r="L706" s="450">
        <v>73.459999999999994</v>
      </c>
      <c r="M706" s="450">
        <v>72.34</v>
      </c>
      <c r="N706" s="450">
        <v>71.2</v>
      </c>
      <c r="O706" s="450" t="s">
        <v>556</v>
      </c>
      <c r="P706" s="450" t="s">
        <v>556</v>
      </c>
      <c r="Q706" s="450" t="s">
        <v>556</v>
      </c>
      <c r="R706" s="450" t="s">
        <v>556</v>
      </c>
      <c r="S706" s="450" t="s">
        <v>556</v>
      </c>
      <c r="T706" s="133"/>
      <c r="U706" s="134">
        <v>89</v>
      </c>
      <c r="V706" s="450">
        <v>84.91</v>
      </c>
      <c r="W706" s="450">
        <v>83.79</v>
      </c>
      <c r="X706" s="450">
        <v>82.72</v>
      </c>
      <c r="Y706" s="450">
        <v>81.680000000000007</v>
      </c>
      <c r="Z706" s="450">
        <v>80.69</v>
      </c>
      <c r="AA706" s="450">
        <v>79.73</v>
      </c>
      <c r="AB706" s="450">
        <v>78.83</v>
      </c>
      <c r="AC706" s="450">
        <v>77.7</v>
      </c>
      <c r="AD706" s="450">
        <v>76.56</v>
      </c>
      <c r="AE706" s="450">
        <v>75.44</v>
      </c>
      <c r="AF706" s="450">
        <v>74.319999999999993</v>
      </c>
      <c r="AG706" s="450">
        <v>73.180000000000007</v>
      </c>
      <c r="AH706" s="450" t="s">
        <v>556</v>
      </c>
      <c r="AI706" s="450" t="s">
        <v>556</v>
      </c>
      <c r="AJ706" s="450" t="s">
        <v>556</v>
      </c>
      <c r="AK706" s="450" t="s">
        <v>556</v>
      </c>
      <c r="AL706" s="450" t="s">
        <v>556</v>
      </c>
      <c r="AM706" s="133"/>
      <c r="AN706" s="134">
        <v>89</v>
      </c>
      <c r="AO706" s="450">
        <v>86.42</v>
      </c>
      <c r="AP706" s="450">
        <v>85.3</v>
      </c>
      <c r="AQ706" s="450">
        <v>84.21</v>
      </c>
      <c r="AR706" s="450">
        <v>83.16</v>
      </c>
      <c r="AS706" s="450">
        <v>82.15</v>
      </c>
      <c r="AT706" s="450">
        <v>81.180000000000007</v>
      </c>
      <c r="AU706" s="450">
        <v>80.260000000000005</v>
      </c>
      <c r="AV706" s="450">
        <v>79.11</v>
      </c>
      <c r="AW706" s="450">
        <v>77.95</v>
      </c>
      <c r="AX706" s="450">
        <v>76.8</v>
      </c>
      <c r="AY706" s="450">
        <v>75.66</v>
      </c>
      <c r="AZ706" s="450">
        <v>74.489999999999995</v>
      </c>
      <c r="BA706" s="450" t="s">
        <v>556</v>
      </c>
      <c r="BB706" s="450" t="s">
        <v>556</v>
      </c>
      <c r="BC706" s="450" t="s">
        <v>556</v>
      </c>
      <c r="BD706" s="450" t="s">
        <v>556</v>
      </c>
      <c r="BE706" s="450" t="s">
        <v>556</v>
      </c>
    </row>
    <row r="707" spans="2:57" x14ac:dyDescent="0.25">
      <c r="B707" s="134">
        <v>90</v>
      </c>
      <c r="C707" s="450">
        <v>80.680000000000007</v>
      </c>
      <c r="D707" s="450">
        <v>79.55</v>
      </c>
      <c r="E707" s="450">
        <v>78.45</v>
      </c>
      <c r="F707" s="450">
        <v>77.400000000000006</v>
      </c>
      <c r="G707" s="450">
        <v>76.400000000000006</v>
      </c>
      <c r="H707" s="450">
        <v>75.44</v>
      </c>
      <c r="I707" s="450">
        <v>74.27</v>
      </c>
      <c r="J707" s="450">
        <v>73.09</v>
      </c>
      <c r="K707" s="450">
        <v>71.930000000000007</v>
      </c>
      <c r="L707" s="450">
        <v>70.77</v>
      </c>
      <c r="M707" s="450">
        <v>69.58</v>
      </c>
      <c r="N707" s="450" t="s">
        <v>556</v>
      </c>
      <c r="O707" s="450" t="s">
        <v>556</v>
      </c>
      <c r="P707" s="450" t="s">
        <v>556</v>
      </c>
      <c r="Q707" s="450" t="s">
        <v>556</v>
      </c>
      <c r="R707" s="450" t="s">
        <v>556</v>
      </c>
      <c r="S707" s="450" t="s">
        <v>556</v>
      </c>
      <c r="T707" s="133"/>
      <c r="U707" s="134">
        <v>90</v>
      </c>
      <c r="V707" s="450">
        <v>82.65</v>
      </c>
      <c r="W707" s="450">
        <v>81.52</v>
      </c>
      <c r="X707" s="450">
        <v>80.430000000000007</v>
      </c>
      <c r="Y707" s="450">
        <v>79.38</v>
      </c>
      <c r="Z707" s="450">
        <v>78.38</v>
      </c>
      <c r="AA707" s="450">
        <v>77.430000000000007</v>
      </c>
      <c r="AB707" s="450">
        <v>76.260000000000005</v>
      </c>
      <c r="AC707" s="450">
        <v>75.08</v>
      </c>
      <c r="AD707" s="450">
        <v>73.92</v>
      </c>
      <c r="AE707" s="450">
        <v>72.75</v>
      </c>
      <c r="AF707" s="450">
        <v>71.569999999999993</v>
      </c>
      <c r="AG707" s="450" t="s">
        <v>556</v>
      </c>
      <c r="AH707" s="450" t="s">
        <v>556</v>
      </c>
      <c r="AI707" s="450" t="s">
        <v>556</v>
      </c>
      <c r="AJ707" s="450" t="s">
        <v>556</v>
      </c>
      <c r="AK707" s="450" t="s">
        <v>556</v>
      </c>
      <c r="AL707" s="450" t="s">
        <v>556</v>
      </c>
      <c r="AM707" s="133"/>
      <c r="AN707" s="134">
        <v>90</v>
      </c>
      <c r="AO707" s="450">
        <v>84.13</v>
      </c>
      <c r="AP707" s="450">
        <v>82.99</v>
      </c>
      <c r="AQ707" s="450">
        <v>81.89</v>
      </c>
      <c r="AR707" s="450">
        <v>80.83</v>
      </c>
      <c r="AS707" s="450">
        <v>79.81</v>
      </c>
      <c r="AT707" s="450">
        <v>78.84</v>
      </c>
      <c r="AU707" s="450">
        <v>77.650000000000006</v>
      </c>
      <c r="AV707" s="450">
        <v>76.45</v>
      </c>
      <c r="AW707" s="450">
        <v>75.27</v>
      </c>
      <c r="AX707" s="450">
        <v>74.08</v>
      </c>
      <c r="AY707" s="450">
        <v>72.87</v>
      </c>
      <c r="AZ707" s="450" t="s">
        <v>556</v>
      </c>
      <c r="BA707" s="450" t="s">
        <v>556</v>
      </c>
      <c r="BB707" s="450" t="s">
        <v>556</v>
      </c>
      <c r="BC707" s="450" t="s">
        <v>556</v>
      </c>
      <c r="BD707" s="450" t="s">
        <v>556</v>
      </c>
      <c r="BE707" s="450" t="s">
        <v>556</v>
      </c>
    </row>
    <row r="708" spans="2:57" x14ac:dyDescent="0.25">
      <c r="B708" s="134">
        <v>91</v>
      </c>
      <c r="C708" s="450">
        <v>78.38</v>
      </c>
      <c r="D708" s="450">
        <v>77.239999999999995</v>
      </c>
      <c r="E708" s="450">
        <v>76.13</v>
      </c>
      <c r="F708" s="450">
        <v>75.08</v>
      </c>
      <c r="G708" s="450">
        <v>74.069999999999993</v>
      </c>
      <c r="H708" s="450">
        <v>72.86</v>
      </c>
      <c r="I708" s="450">
        <v>71.64</v>
      </c>
      <c r="J708" s="450">
        <v>70.44</v>
      </c>
      <c r="K708" s="450">
        <v>69.23</v>
      </c>
      <c r="L708" s="450">
        <v>68.010000000000005</v>
      </c>
      <c r="M708" s="450" t="s">
        <v>556</v>
      </c>
      <c r="N708" s="450" t="s">
        <v>556</v>
      </c>
      <c r="O708" s="450" t="s">
        <v>556</v>
      </c>
      <c r="P708" s="450" t="s">
        <v>556</v>
      </c>
      <c r="Q708" s="450" t="s">
        <v>556</v>
      </c>
      <c r="R708" s="450" t="s">
        <v>556</v>
      </c>
      <c r="S708" s="450" t="s">
        <v>556</v>
      </c>
      <c r="T708" s="133"/>
      <c r="U708" s="134">
        <v>91</v>
      </c>
      <c r="V708" s="450">
        <v>80.36</v>
      </c>
      <c r="W708" s="450">
        <v>79.22</v>
      </c>
      <c r="X708" s="450">
        <v>78.12</v>
      </c>
      <c r="Y708" s="450">
        <v>77.069999999999993</v>
      </c>
      <c r="Z708" s="450">
        <v>76.069999999999993</v>
      </c>
      <c r="AA708" s="450">
        <v>74.849999999999994</v>
      </c>
      <c r="AB708" s="450">
        <v>73.64</v>
      </c>
      <c r="AC708" s="450">
        <v>72.430000000000007</v>
      </c>
      <c r="AD708" s="450">
        <v>71.22</v>
      </c>
      <c r="AE708" s="450">
        <v>70</v>
      </c>
      <c r="AF708" s="450" t="s">
        <v>556</v>
      </c>
      <c r="AG708" s="450" t="s">
        <v>556</v>
      </c>
      <c r="AH708" s="450" t="s">
        <v>556</v>
      </c>
      <c r="AI708" s="450" t="s">
        <v>556</v>
      </c>
      <c r="AJ708" s="450" t="s">
        <v>556</v>
      </c>
      <c r="AK708" s="450" t="s">
        <v>556</v>
      </c>
      <c r="AL708" s="450" t="s">
        <v>556</v>
      </c>
      <c r="AM708" s="133"/>
      <c r="AN708" s="134">
        <v>91</v>
      </c>
      <c r="AO708" s="450">
        <v>81.81</v>
      </c>
      <c r="AP708" s="450">
        <v>80.66</v>
      </c>
      <c r="AQ708" s="450">
        <v>79.55</v>
      </c>
      <c r="AR708" s="450">
        <v>78.48</v>
      </c>
      <c r="AS708" s="450">
        <v>77.47</v>
      </c>
      <c r="AT708" s="450">
        <v>76.23</v>
      </c>
      <c r="AU708" s="450">
        <v>74.989999999999995</v>
      </c>
      <c r="AV708" s="450">
        <v>73.77</v>
      </c>
      <c r="AW708" s="450">
        <v>72.540000000000006</v>
      </c>
      <c r="AX708" s="450">
        <v>71.28</v>
      </c>
      <c r="AY708" s="450" t="s">
        <v>556</v>
      </c>
      <c r="AZ708" s="450" t="s">
        <v>556</v>
      </c>
      <c r="BA708" s="450" t="s">
        <v>556</v>
      </c>
      <c r="BB708" s="450" t="s">
        <v>556</v>
      </c>
      <c r="BC708" s="450" t="s">
        <v>556</v>
      </c>
      <c r="BD708" s="450" t="s">
        <v>556</v>
      </c>
      <c r="BE708" s="450" t="s">
        <v>556</v>
      </c>
    </row>
    <row r="709" spans="2:57" x14ac:dyDescent="0.25">
      <c r="B709" s="134">
        <v>92</v>
      </c>
      <c r="C709" s="450">
        <v>76.06</v>
      </c>
      <c r="D709" s="450">
        <v>74.91</v>
      </c>
      <c r="E709" s="450">
        <v>73.8</v>
      </c>
      <c r="F709" s="450">
        <v>72.75</v>
      </c>
      <c r="G709" s="450">
        <v>71.489999999999995</v>
      </c>
      <c r="H709" s="450">
        <v>70.23</v>
      </c>
      <c r="I709" s="450">
        <v>68.989999999999995</v>
      </c>
      <c r="J709" s="450">
        <v>67.739999999999995</v>
      </c>
      <c r="K709" s="450">
        <v>66.47</v>
      </c>
      <c r="L709" s="450" t="s">
        <v>556</v>
      </c>
      <c r="M709" s="450" t="s">
        <v>556</v>
      </c>
      <c r="N709" s="450" t="s">
        <v>556</v>
      </c>
      <c r="O709" s="450" t="s">
        <v>556</v>
      </c>
      <c r="P709" s="450" t="s">
        <v>556</v>
      </c>
      <c r="Q709" s="450" t="s">
        <v>556</v>
      </c>
      <c r="R709" s="450" t="s">
        <v>556</v>
      </c>
      <c r="S709" s="450" t="s">
        <v>556</v>
      </c>
      <c r="T709" s="133"/>
      <c r="U709" s="134">
        <v>92</v>
      </c>
      <c r="V709" s="450">
        <v>78.040000000000006</v>
      </c>
      <c r="W709" s="450">
        <v>76.900000000000006</v>
      </c>
      <c r="X709" s="450">
        <v>75.8</v>
      </c>
      <c r="Y709" s="450">
        <v>74.75</v>
      </c>
      <c r="Z709" s="450">
        <v>73.489999999999995</v>
      </c>
      <c r="AA709" s="450">
        <v>72.23</v>
      </c>
      <c r="AB709" s="450">
        <v>70.989999999999995</v>
      </c>
      <c r="AC709" s="450">
        <v>69.739999999999995</v>
      </c>
      <c r="AD709" s="450">
        <v>68.47</v>
      </c>
      <c r="AE709" s="450" t="s">
        <v>556</v>
      </c>
      <c r="AF709" s="450" t="s">
        <v>556</v>
      </c>
      <c r="AG709" s="450" t="s">
        <v>556</v>
      </c>
      <c r="AH709" s="450" t="s">
        <v>556</v>
      </c>
      <c r="AI709" s="450" t="s">
        <v>556</v>
      </c>
      <c r="AJ709" s="450" t="s">
        <v>556</v>
      </c>
      <c r="AK709" s="450" t="s">
        <v>556</v>
      </c>
      <c r="AL709" s="450" t="s">
        <v>556</v>
      </c>
      <c r="AM709" s="133"/>
      <c r="AN709" s="134">
        <v>92</v>
      </c>
      <c r="AO709" s="450">
        <v>79.459999999999994</v>
      </c>
      <c r="AP709" s="450">
        <v>78.31</v>
      </c>
      <c r="AQ709" s="450">
        <v>77.2</v>
      </c>
      <c r="AR709" s="450">
        <v>76.13</v>
      </c>
      <c r="AS709" s="450">
        <v>74.86</v>
      </c>
      <c r="AT709" s="450">
        <v>73.58</v>
      </c>
      <c r="AU709" s="450">
        <v>72.31</v>
      </c>
      <c r="AV709" s="450">
        <v>71.040000000000006</v>
      </c>
      <c r="AW709" s="450">
        <v>69.739999999999995</v>
      </c>
      <c r="AX709" s="450" t="s">
        <v>556</v>
      </c>
      <c r="AY709" s="450" t="s">
        <v>556</v>
      </c>
      <c r="AZ709" s="450" t="s">
        <v>556</v>
      </c>
      <c r="BA709" s="450" t="s">
        <v>556</v>
      </c>
      <c r="BB709" s="450" t="s">
        <v>556</v>
      </c>
      <c r="BC709" s="450" t="s">
        <v>556</v>
      </c>
      <c r="BD709" s="450" t="s">
        <v>556</v>
      </c>
      <c r="BE709" s="450" t="s">
        <v>556</v>
      </c>
    </row>
    <row r="710" spans="2:57" x14ac:dyDescent="0.25">
      <c r="B710" s="134">
        <v>93</v>
      </c>
      <c r="C710" s="450">
        <v>73.72</v>
      </c>
      <c r="D710" s="450">
        <v>72.569999999999993</v>
      </c>
      <c r="E710" s="450">
        <v>71.47</v>
      </c>
      <c r="F710" s="450">
        <v>70.17</v>
      </c>
      <c r="G710" s="450">
        <v>68.87</v>
      </c>
      <c r="H710" s="450">
        <v>67.58</v>
      </c>
      <c r="I710" s="450">
        <v>66.3</v>
      </c>
      <c r="J710" s="450">
        <v>64.98</v>
      </c>
      <c r="K710" s="450" t="s">
        <v>556</v>
      </c>
      <c r="L710" s="450" t="s">
        <v>556</v>
      </c>
      <c r="M710" s="450" t="s">
        <v>556</v>
      </c>
      <c r="N710" s="450" t="s">
        <v>556</v>
      </c>
      <c r="O710" s="450" t="s">
        <v>556</v>
      </c>
      <c r="P710" s="450" t="s">
        <v>556</v>
      </c>
      <c r="Q710" s="450" t="s">
        <v>556</v>
      </c>
      <c r="R710" s="450" t="s">
        <v>556</v>
      </c>
      <c r="S710" s="450" t="s">
        <v>556</v>
      </c>
      <c r="T710" s="133"/>
      <c r="U710" s="134">
        <v>93</v>
      </c>
      <c r="V710" s="450">
        <v>75.72</v>
      </c>
      <c r="W710" s="450">
        <v>74.569999999999993</v>
      </c>
      <c r="X710" s="450">
        <v>73.48</v>
      </c>
      <c r="Y710" s="450">
        <v>72.180000000000007</v>
      </c>
      <c r="Z710" s="450">
        <v>70.88</v>
      </c>
      <c r="AA710" s="450">
        <v>69.59</v>
      </c>
      <c r="AB710" s="450">
        <v>68.3</v>
      </c>
      <c r="AC710" s="450">
        <v>66.989999999999995</v>
      </c>
      <c r="AD710" s="450" t="s">
        <v>556</v>
      </c>
      <c r="AE710" s="450" t="s">
        <v>556</v>
      </c>
      <c r="AF710" s="450" t="s">
        <v>556</v>
      </c>
      <c r="AG710" s="450" t="s">
        <v>556</v>
      </c>
      <c r="AH710" s="450" t="s">
        <v>556</v>
      </c>
      <c r="AI710" s="450" t="s">
        <v>556</v>
      </c>
      <c r="AJ710" s="450" t="s">
        <v>556</v>
      </c>
      <c r="AK710" s="450" t="s">
        <v>556</v>
      </c>
      <c r="AL710" s="450" t="s">
        <v>556</v>
      </c>
      <c r="AM710" s="133"/>
      <c r="AN710" s="134">
        <v>93</v>
      </c>
      <c r="AO710" s="450">
        <v>77.11</v>
      </c>
      <c r="AP710" s="450">
        <v>75.95</v>
      </c>
      <c r="AQ710" s="450">
        <v>74.84</v>
      </c>
      <c r="AR710" s="450">
        <v>73.53</v>
      </c>
      <c r="AS710" s="450">
        <v>72.209999999999994</v>
      </c>
      <c r="AT710" s="450">
        <v>70.900000000000006</v>
      </c>
      <c r="AU710" s="450">
        <v>69.59</v>
      </c>
      <c r="AV710" s="450">
        <v>68.25</v>
      </c>
      <c r="AW710" s="450" t="s">
        <v>556</v>
      </c>
      <c r="AX710" s="450" t="s">
        <v>556</v>
      </c>
      <c r="AY710" s="450" t="s">
        <v>556</v>
      </c>
      <c r="AZ710" s="450" t="s">
        <v>556</v>
      </c>
      <c r="BA710" s="450" t="s">
        <v>556</v>
      </c>
      <c r="BB710" s="450" t="s">
        <v>556</v>
      </c>
      <c r="BC710" s="450" t="s">
        <v>556</v>
      </c>
      <c r="BD710" s="450" t="s">
        <v>556</v>
      </c>
      <c r="BE710" s="450" t="s">
        <v>556</v>
      </c>
    </row>
    <row r="711" spans="2:57" x14ac:dyDescent="0.25">
      <c r="B711" s="134">
        <v>94</v>
      </c>
      <c r="C711" s="450">
        <v>71.39</v>
      </c>
      <c r="D711" s="450">
        <v>70.239999999999995</v>
      </c>
      <c r="E711" s="450">
        <v>68.89</v>
      </c>
      <c r="F711" s="450">
        <v>67.55</v>
      </c>
      <c r="G711" s="450">
        <v>66.23</v>
      </c>
      <c r="H711" s="450">
        <v>64.900000000000006</v>
      </c>
      <c r="I711" s="450">
        <v>63.54</v>
      </c>
      <c r="J711" s="450" t="s">
        <v>556</v>
      </c>
      <c r="K711" s="450" t="s">
        <v>556</v>
      </c>
      <c r="L711" s="450" t="s">
        <v>556</v>
      </c>
      <c r="M711" s="450" t="s">
        <v>556</v>
      </c>
      <c r="N711" s="450" t="s">
        <v>556</v>
      </c>
      <c r="O711" s="450" t="s">
        <v>556</v>
      </c>
      <c r="P711" s="450" t="s">
        <v>556</v>
      </c>
      <c r="Q711" s="450" t="s">
        <v>556</v>
      </c>
      <c r="R711" s="450" t="s">
        <v>556</v>
      </c>
      <c r="S711" s="450" t="s">
        <v>556</v>
      </c>
      <c r="T711" s="133"/>
      <c r="U711" s="134">
        <v>94</v>
      </c>
      <c r="V711" s="450">
        <v>73.400000000000006</v>
      </c>
      <c r="W711" s="450">
        <v>72.25</v>
      </c>
      <c r="X711" s="450">
        <v>70.91</v>
      </c>
      <c r="Y711" s="450">
        <v>69.569999999999993</v>
      </c>
      <c r="Z711" s="450">
        <v>68.239999999999995</v>
      </c>
      <c r="AA711" s="450">
        <v>66.91</v>
      </c>
      <c r="AB711" s="450">
        <v>65.56</v>
      </c>
      <c r="AC711" s="450" t="s">
        <v>556</v>
      </c>
      <c r="AD711" s="450" t="s">
        <v>556</v>
      </c>
      <c r="AE711" s="450" t="s">
        <v>556</v>
      </c>
      <c r="AF711" s="450" t="s">
        <v>556</v>
      </c>
      <c r="AG711" s="450" t="s">
        <v>556</v>
      </c>
      <c r="AH711" s="450" t="s">
        <v>556</v>
      </c>
      <c r="AI711" s="450" t="s">
        <v>556</v>
      </c>
      <c r="AJ711" s="450" t="s">
        <v>556</v>
      </c>
      <c r="AK711" s="450" t="s">
        <v>556</v>
      </c>
      <c r="AL711" s="450" t="s">
        <v>556</v>
      </c>
      <c r="AM711" s="133"/>
      <c r="AN711" s="134">
        <v>94</v>
      </c>
      <c r="AO711" s="450">
        <v>74.760000000000005</v>
      </c>
      <c r="AP711" s="450">
        <v>73.599999999999994</v>
      </c>
      <c r="AQ711" s="450">
        <v>72.239999999999995</v>
      </c>
      <c r="AR711" s="450">
        <v>70.88</v>
      </c>
      <c r="AS711" s="450">
        <v>69.540000000000006</v>
      </c>
      <c r="AT711" s="450">
        <v>68.19</v>
      </c>
      <c r="AU711" s="450">
        <v>66.81</v>
      </c>
      <c r="AV711" s="450" t="s">
        <v>556</v>
      </c>
      <c r="AW711" s="450" t="s">
        <v>556</v>
      </c>
      <c r="AX711" s="450" t="s">
        <v>556</v>
      </c>
      <c r="AY711" s="450" t="s">
        <v>556</v>
      </c>
      <c r="AZ711" s="450" t="s">
        <v>556</v>
      </c>
      <c r="BA711" s="450" t="s">
        <v>556</v>
      </c>
      <c r="BB711" s="450" t="s">
        <v>556</v>
      </c>
      <c r="BC711" s="450" t="s">
        <v>556</v>
      </c>
      <c r="BD711" s="450" t="s">
        <v>556</v>
      </c>
      <c r="BE711" s="450" t="s">
        <v>556</v>
      </c>
    </row>
    <row r="712" spans="2:57" x14ac:dyDescent="0.25">
      <c r="B712" s="134">
        <v>95</v>
      </c>
      <c r="C712" s="450">
        <v>69.06</v>
      </c>
      <c r="D712" s="450">
        <v>67.67</v>
      </c>
      <c r="E712" s="450">
        <v>66.290000000000006</v>
      </c>
      <c r="F712" s="450">
        <v>64.92</v>
      </c>
      <c r="G712" s="450">
        <v>63.55</v>
      </c>
      <c r="H712" s="450">
        <v>62.15</v>
      </c>
      <c r="I712" s="450" t="s">
        <v>556</v>
      </c>
      <c r="J712" s="450" t="s">
        <v>556</v>
      </c>
      <c r="K712" s="450" t="s">
        <v>556</v>
      </c>
      <c r="L712" s="450" t="s">
        <v>556</v>
      </c>
      <c r="M712" s="450" t="s">
        <v>556</v>
      </c>
      <c r="N712" s="450" t="s">
        <v>556</v>
      </c>
      <c r="O712" s="450" t="s">
        <v>556</v>
      </c>
      <c r="P712" s="450" t="s">
        <v>556</v>
      </c>
      <c r="Q712" s="450" t="s">
        <v>556</v>
      </c>
      <c r="R712" s="450" t="s">
        <v>556</v>
      </c>
      <c r="S712" s="450" t="s">
        <v>556</v>
      </c>
      <c r="T712" s="133"/>
      <c r="U712" s="134">
        <v>95</v>
      </c>
      <c r="V712" s="450">
        <v>71.08</v>
      </c>
      <c r="W712" s="450">
        <v>69.69</v>
      </c>
      <c r="X712" s="450">
        <v>68.31</v>
      </c>
      <c r="Y712" s="450">
        <v>66.94</v>
      </c>
      <c r="Z712" s="450">
        <v>65.569999999999993</v>
      </c>
      <c r="AA712" s="450">
        <v>64.180000000000007</v>
      </c>
      <c r="AB712" s="450" t="s">
        <v>556</v>
      </c>
      <c r="AC712" s="450" t="s">
        <v>556</v>
      </c>
      <c r="AD712" s="450" t="s">
        <v>556</v>
      </c>
      <c r="AE712" s="450" t="s">
        <v>556</v>
      </c>
      <c r="AF712" s="450" t="s">
        <v>556</v>
      </c>
      <c r="AG712" s="450" t="s">
        <v>556</v>
      </c>
      <c r="AH712" s="450" t="s">
        <v>556</v>
      </c>
      <c r="AI712" s="450" t="s">
        <v>556</v>
      </c>
      <c r="AJ712" s="450" t="s">
        <v>556</v>
      </c>
      <c r="AK712" s="450" t="s">
        <v>556</v>
      </c>
      <c r="AL712" s="450" t="s">
        <v>556</v>
      </c>
      <c r="AM712" s="133"/>
      <c r="AN712" s="134">
        <v>95</v>
      </c>
      <c r="AO712" s="450">
        <v>72.41</v>
      </c>
      <c r="AP712" s="450">
        <v>71.010000000000005</v>
      </c>
      <c r="AQ712" s="450">
        <v>69.61</v>
      </c>
      <c r="AR712" s="450">
        <v>68.22</v>
      </c>
      <c r="AS712" s="450">
        <v>66.83</v>
      </c>
      <c r="AT712" s="450">
        <v>65.42</v>
      </c>
      <c r="AU712" s="450" t="s">
        <v>556</v>
      </c>
      <c r="AV712" s="450" t="s">
        <v>556</v>
      </c>
      <c r="AW712" s="450" t="s">
        <v>556</v>
      </c>
      <c r="AX712" s="450" t="s">
        <v>556</v>
      </c>
      <c r="AY712" s="450" t="s">
        <v>556</v>
      </c>
      <c r="AZ712" s="450" t="s">
        <v>556</v>
      </c>
      <c r="BA712" s="450" t="s">
        <v>556</v>
      </c>
      <c r="BB712" s="450" t="s">
        <v>556</v>
      </c>
      <c r="BC712" s="450" t="s">
        <v>556</v>
      </c>
      <c r="BD712" s="450" t="s">
        <v>556</v>
      </c>
      <c r="BE712" s="450" t="s">
        <v>556</v>
      </c>
    </row>
    <row r="713" spans="2:57" x14ac:dyDescent="0.25">
      <c r="B713" s="134">
        <v>96</v>
      </c>
      <c r="C713" s="450">
        <v>66.22</v>
      </c>
      <c r="D713" s="450">
        <v>64.81</v>
      </c>
      <c r="E713" s="450">
        <v>63.41</v>
      </c>
      <c r="F713" s="450">
        <v>62.01</v>
      </c>
      <c r="G713" s="450">
        <v>60.58</v>
      </c>
      <c r="H713" s="450" t="s">
        <v>556</v>
      </c>
      <c r="I713" s="450" t="s">
        <v>556</v>
      </c>
      <c r="J713" s="450" t="s">
        <v>556</v>
      </c>
      <c r="K713" s="450" t="s">
        <v>556</v>
      </c>
      <c r="L713" s="450" t="s">
        <v>556</v>
      </c>
      <c r="M713" s="450" t="s">
        <v>556</v>
      </c>
      <c r="N713" s="450" t="s">
        <v>556</v>
      </c>
      <c r="O713" s="450" t="s">
        <v>556</v>
      </c>
      <c r="P713" s="450" t="s">
        <v>556</v>
      </c>
      <c r="Q713" s="450" t="s">
        <v>556</v>
      </c>
      <c r="R713" s="450" t="s">
        <v>556</v>
      </c>
      <c r="S713" s="450" t="s">
        <v>556</v>
      </c>
      <c r="T713" s="133"/>
      <c r="U713" s="134">
        <v>96</v>
      </c>
      <c r="V713" s="450">
        <v>68.239999999999995</v>
      </c>
      <c r="W713" s="450">
        <v>66.83</v>
      </c>
      <c r="X713" s="450">
        <v>65.44</v>
      </c>
      <c r="Y713" s="450">
        <v>64.03</v>
      </c>
      <c r="Z713" s="450">
        <v>62.61</v>
      </c>
      <c r="AA713" s="450" t="s">
        <v>556</v>
      </c>
      <c r="AB713" s="450" t="s">
        <v>556</v>
      </c>
      <c r="AC713" s="450" t="s">
        <v>556</v>
      </c>
      <c r="AD713" s="450" t="s">
        <v>556</v>
      </c>
      <c r="AE713" s="450" t="s">
        <v>556</v>
      </c>
      <c r="AF713" s="450" t="s">
        <v>556</v>
      </c>
      <c r="AG713" s="450" t="s">
        <v>556</v>
      </c>
      <c r="AH713" s="450" t="s">
        <v>556</v>
      </c>
      <c r="AI713" s="450" t="s">
        <v>556</v>
      </c>
      <c r="AJ713" s="450" t="s">
        <v>556</v>
      </c>
      <c r="AK713" s="450" t="s">
        <v>556</v>
      </c>
      <c r="AL713" s="450" t="s">
        <v>556</v>
      </c>
      <c r="AM713" s="133"/>
      <c r="AN713" s="134">
        <v>96</v>
      </c>
      <c r="AO713" s="450">
        <v>69.53</v>
      </c>
      <c r="AP713" s="450">
        <v>68.11</v>
      </c>
      <c r="AQ713" s="450">
        <v>66.7</v>
      </c>
      <c r="AR713" s="450">
        <v>65.28</v>
      </c>
      <c r="AS713" s="450">
        <v>63.83</v>
      </c>
      <c r="AT713" s="450" t="s">
        <v>556</v>
      </c>
      <c r="AU713" s="450" t="s">
        <v>556</v>
      </c>
      <c r="AV713" s="450" t="s">
        <v>556</v>
      </c>
      <c r="AW713" s="450" t="s">
        <v>556</v>
      </c>
      <c r="AX713" s="450" t="s">
        <v>556</v>
      </c>
      <c r="AY713" s="450" t="s">
        <v>556</v>
      </c>
      <c r="AZ713" s="450" t="s">
        <v>556</v>
      </c>
      <c r="BA713" s="450" t="s">
        <v>556</v>
      </c>
      <c r="BB713" s="450" t="s">
        <v>556</v>
      </c>
      <c r="BC713" s="450" t="s">
        <v>556</v>
      </c>
      <c r="BD713" s="450" t="s">
        <v>556</v>
      </c>
      <c r="BE713" s="450" t="s">
        <v>556</v>
      </c>
    </row>
    <row r="714" spans="2:57" x14ac:dyDescent="0.25">
      <c r="B714" s="134">
        <v>97</v>
      </c>
      <c r="C714" s="450">
        <v>63.32</v>
      </c>
      <c r="D714" s="450">
        <v>61.89</v>
      </c>
      <c r="E714" s="450">
        <v>60.47</v>
      </c>
      <c r="F714" s="450">
        <v>59.01</v>
      </c>
      <c r="G714" s="450" t="s">
        <v>556</v>
      </c>
      <c r="H714" s="450" t="s">
        <v>556</v>
      </c>
      <c r="I714" s="450" t="s">
        <v>556</v>
      </c>
      <c r="J714" s="450" t="s">
        <v>556</v>
      </c>
      <c r="K714" s="450" t="s">
        <v>556</v>
      </c>
      <c r="L714" s="450" t="s">
        <v>556</v>
      </c>
      <c r="M714" s="450" t="s">
        <v>556</v>
      </c>
      <c r="N714" s="450" t="s">
        <v>556</v>
      </c>
      <c r="O714" s="450" t="s">
        <v>556</v>
      </c>
      <c r="P714" s="450" t="s">
        <v>556</v>
      </c>
      <c r="Q714" s="450" t="s">
        <v>556</v>
      </c>
      <c r="R714" s="450" t="s">
        <v>556</v>
      </c>
      <c r="S714" s="450" t="s">
        <v>556</v>
      </c>
      <c r="T714" s="133"/>
      <c r="U714" s="134">
        <v>97</v>
      </c>
      <c r="V714" s="450">
        <v>65.34</v>
      </c>
      <c r="W714" s="450">
        <v>63.92</v>
      </c>
      <c r="X714" s="450">
        <v>62.49</v>
      </c>
      <c r="Y714" s="450">
        <v>61.04</v>
      </c>
      <c r="Z714" s="450" t="s">
        <v>556</v>
      </c>
      <c r="AA714" s="450" t="s">
        <v>556</v>
      </c>
      <c r="AB714" s="450" t="s">
        <v>556</v>
      </c>
      <c r="AC714" s="450" t="s">
        <v>556</v>
      </c>
      <c r="AD714" s="450" t="s">
        <v>556</v>
      </c>
      <c r="AE714" s="450" t="s">
        <v>556</v>
      </c>
      <c r="AF714" s="450" t="s">
        <v>556</v>
      </c>
      <c r="AG714" s="450" t="s">
        <v>556</v>
      </c>
      <c r="AH714" s="450" t="s">
        <v>556</v>
      </c>
      <c r="AI714" s="450" t="s">
        <v>556</v>
      </c>
      <c r="AJ714" s="450" t="s">
        <v>556</v>
      </c>
      <c r="AK714" s="450" t="s">
        <v>556</v>
      </c>
      <c r="AL714" s="450" t="s">
        <v>556</v>
      </c>
      <c r="AM714" s="133"/>
      <c r="AN714" s="134">
        <v>97</v>
      </c>
      <c r="AO714" s="450">
        <v>66.599999999999994</v>
      </c>
      <c r="AP714" s="450">
        <v>65.16</v>
      </c>
      <c r="AQ714" s="450">
        <v>63.72</v>
      </c>
      <c r="AR714" s="450">
        <v>62.25</v>
      </c>
      <c r="AS714" s="450" t="s">
        <v>556</v>
      </c>
      <c r="AT714" s="450" t="s">
        <v>556</v>
      </c>
      <c r="AU714" s="450" t="s">
        <v>556</v>
      </c>
      <c r="AV714" s="450" t="s">
        <v>556</v>
      </c>
      <c r="AW714" s="450" t="s">
        <v>556</v>
      </c>
      <c r="AX714" s="450" t="s">
        <v>556</v>
      </c>
      <c r="AY714" s="450" t="s">
        <v>556</v>
      </c>
      <c r="AZ714" s="450" t="s">
        <v>556</v>
      </c>
      <c r="BA714" s="450" t="s">
        <v>556</v>
      </c>
      <c r="BB714" s="450" t="s">
        <v>556</v>
      </c>
      <c r="BC714" s="450" t="s">
        <v>556</v>
      </c>
      <c r="BD714" s="450" t="s">
        <v>556</v>
      </c>
      <c r="BE714" s="450" t="s">
        <v>556</v>
      </c>
    </row>
    <row r="715" spans="2:57" x14ac:dyDescent="0.25">
      <c r="B715" s="134">
        <v>98</v>
      </c>
      <c r="C715" s="450">
        <v>60.37</v>
      </c>
      <c r="D715" s="450">
        <v>58.92</v>
      </c>
      <c r="E715" s="450">
        <v>57.44</v>
      </c>
      <c r="F715" s="450" t="s">
        <v>556</v>
      </c>
      <c r="G715" s="450" t="s">
        <v>556</v>
      </c>
      <c r="H715" s="450" t="s">
        <v>556</v>
      </c>
      <c r="I715" s="450" t="s">
        <v>556</v>
      </c>
      <c r="J715" s="450" t="s">
        <v>556</v>
      </c>
      <c r="K715" s="450" t="s">
        <v>556</v>
      </c>
      <c r="L715" s="450" t="s">
        <v>556</v>
      </c>
      <c r="M715" s="450" t="s">
        <v>556</v>
      </c>
      <c r="N715" s="450" t="s">
        <v>556</v>
      </c>
      <c r="O715" s="450" t="s">
        <v>556</v>
      </c>
      <c r="P715" s="450" t="s">
        <v>556</v>
      </c>
      <c r="Q715" s="450" t="s">
        <v>556</v>
      </c>
      <c r="R715" s="450" t="s">
        <v>556</v>
      </c>
      <c r="S715" s="450" t="s">
        <v>556</v>
      </c>
      <c r="T715" s="133"/>
      <c r="U715" s="134">
        <v>98</v>
      </c>
      <c r="V715" s="450">
        <v>62.4</v>
      </c>
      <c r="W715" s="450">
        <v>60.95</v>
      </c>
      <c r="X715" s="450">
        <v>59.47</v>
      </c>
      <c r="Y715" s="450" t="s">
        <v>556</v>
      </c>
      <c r="Z715" s="450" t="s">
        <v>556</v>
      </c>
      <c r="AA715" s="450" t="s">
        <v>556</v>
      </c>
      <c r="AB715" s="450" t="s">
        <v>556</v>
      </c>
      <c r="AC715" s="450" t="s">
        <v>556</v>
      </c>
      <c r="AD715" s="450" t="s">
        <v>556</v>
      </c>
      <c r="AE715" s="450" t="s">
        <v>556</v>
      </c>
      <c r="AF715" s="450" t="s">
        <v>556</v>
      </c>
      <c r="AG715" s="450" t="s">
        <v>556</v>
      </c>
      <c r="AH715" s="450" t="s">
        <v>556</v>
      </c>
      <c r="AI715" s="450" t="s">
        <v>556</v>
      </c>
      <c r="AJ715" s="450" t="s">
        <v>556</v>
      </c>
      <c r="AK715" s="450" t="s">
        <v>556</v>
      </c>
      <c r="AL715" s="450" t="s">
        <v>556</v>
      </c>
      <c r="AM715" s="133"/>
      <c r="AN715" s="134">
        <v>98</v>
      </c>
      <c r="AO715" s="450">
        <v>63.62</v>
      </c>
      <c r="AP715" s="450">
        <v>62.16</v>
      </c>
      <c r="AQ715" s="450">
        <v>60.66</v>
      </c>
      <c r="AR715" s="450" t="s">
        <v>556</v>
      </c>
      <c r="AS715" s="450" t="s">
        <v>556</v>
      </c>
      <c r="AT715" s="450" t="s">
        <v>556</v>
      </c>
      <c r="AU715" s="450" t="s">
        <v>556</v>
      </c>
      <c r="AV715" s="450" t="s">
        <v>556</v>
      </c>
      <c r="AW715" s="450" t="s">
        <v>556</v>
      </c>
      <c r="AX715" s="450" t="s">
        <v>556</v>
      </c>
      <c r="AY715" s="450" t="s">
        <v>556</v>
      </c>
      <c r="AZ715" s="450" t="s">
        <v>556</v>
      </c>
      <c r="BA715" s="450" t="s">
        <v>556</v>
      </c>
      <c r="BB715" s="450" t="s">
        <v>556</v>
      </c>
      <c r="BC715" s="450" t="s">
        <v>556</v>
      </c>
      <c r="BD715" s="450" t="s">
        <v>556</v>
      </c>
      <c r="BE715" s="450" t="s">
        <v>556</v>
      </c>
    </row>
    <row r="716" spans="2:57" x14ac:dyDescent="0.25">
      <c r="B716" s="134">
        <v>99</v>
      </c>
      <c r="C716" s="450">
        <v>57.35</v>
      </c>
      <c r="D716" s="450">
        <v>55.85</v>
      </c>
      <c r="E716" s="450" t="s">
        <v>556</v>
      </c>
      <c r="F716" s="450" t="s">
        <v>556</v>
      </c>
      <c r="G716" s="450" t="s">
        <v>556</v>
      </c>
      <c r="H716" s="450" t="s">
        <v>556</v>
      </c>
      <c r="I716" s="450" t="s">
        <v>556</v>
      </c>
      <c r="J716" s="450" t="s">
        <v>556</v>
      </c>
      <c r="K716" s="450" t="s">
        <v>556</v>
      </c>
      <c r="L716" s="450" t="s">
        <v>556</v>
      </c>
      <c r="M716" s="450" t="s">
        <v>556</v>
      </c>
      <c r="N716" s="450" t="s">
        <v>556</v>
      </c>
      <c r="O716" s="450" t="s">
        <v>556</v>
      </c>
      <c r="P716" s="450" t="s">
        <v>556</v>
      </c>
      <c r="Q716" s="450" t="s">
        <v>556</v>
      </c>
      <c r="R716" s="450" t="s">
        <v>556</v>
      </c>
      <c r="S716" s="450" t="s">
        <v>556</v>
      </c>
      <c r="T716" s="133"/>
      <c r="U716" s="134">
        <v>99</v>
      </c>
      <c r="V716" s="450">
        <v>59.37</v>
      </c>
      <c r="W716" s="450">
        <v>57.87</v>
      </c>
      <c r="X716" s="450" t="s">
        <v>556</v>
      </c>
      <c r="Y716" s="450" t="s">
        <v>556</v>
      </c>
      <c r="Z716" s="450" t="s">
        <v>556</v>
      </c>
      <c r="AA716" s="450" t="s">
        <v>556</v>
      </c>
      <c r="AB716" s="450" t="s">
        <v>556</v>
      </c>
      <c r="AC716" s="450" t="s">
        <v>556</v>
      </c>
      <c r="AD716" s="450" t="s">
        <v>556</v>
      </c>
      <c r="AE716" s="450" t="s">
        <v>556</v>
      </c>
      <c r="AF716" s="450" t="s">
        <v>556</v>
      </c>
      <c r="AG716" s="450" t="s">
        <v>556</v>
      </c>
      <c r="AH716" s="450" t="s">
        <v>556</v>
      </c>
      <c r="AI716" s="450" t="s">
        <v>556</v>
      </c>
      <c r="AJ716" s="450" t="s">
        <v>556</v>
      </c>
      <c r="AK716" s="450" t="s">
        <v>556</v>
      </c>
      <c r="AL716" s="450" t="s">
        <v>556</v>
      </c>
      <c r="AM716" s="133"/>
      <c r="AN716" s="134">
        <v>99</v>
      </c>
      <c r="AO716" s="450">
        <v>60.56</v>
      </c>
      <c r="AP716" s="450">
        <v>59.05</v>
      </c>
      <c r="AQ716" s="450" t="s">
        <v>556</v>
      </c>
      <c r="AR716" s="450" t="s">
        <v>556</v>
      </c>
      <c r="AS716" s="450" t="s">
        <v>556</v>
      </c>
      <c r="AT716" s="450" t="s">
        <v>556</v>
      </c>
      <c r="AU716" s="450" t="s">
        <v>556</v>
      </c>
      <c r="AV716" s="450" t="s">
        <v>556</v>
      </c>
      <c r="AW716" s="450" t="s">
        <v>556</v>
      </c>
      <c r="AX716" s="450" t="s">
        <v>556</v>
      </c>
      <c r="AY716" s="450" t="s">
        <v>556</v>
      </c>
      <c r="AZ716" s="450" t="s">
        <v>556</v>
      </c>
      <c r="BA716" s="450" t="s">
        <v>556</v>
      </c>
      <c r="BB716" s="450" t="s">
        <v>556</v>
      </c>
      <c r="BC716" s="450" t="s">
        <v>556</v>
      </c>
      <c r="BD716" s="450" t="s">
        <v>556</v>
      </c>
      <c r="BE716" s="450" t="s">
        <v>556</v>
      </c>
    </row>
    <row r="717" spans="2:57" x14ac:dyDescent="0.25">
      <c r="B717" s="134">
        <v>100</v>
      </c>
      <c r="C717" s="450">
        <v>54.19</v>
      </c>
      <c r="D717" s="450" t="s">
        <v>556</v>
      </c>
      <c r="E717" s="450" t="s">
        <v>556</v>
      </c>
      <c r="F717" s="450" t="s">
        <v>556</v>
      </c>
      <c r="G717" s="450" t="s">
        <v>556</v>
      </c>
      <c r="H717" s="450" t="s">
        <v>556</v>
      </c>
      <c r="I717" s="450" t="s">
        <v>556</v>
      </c>
      <c r="J717" s="450" t="s">
        <v>556</v>
      </c>
      <c r="K717" s="450" t="s">
        <v>556</v>
      </c>
      <c r="L717" s="450" t="s">
        <v>556</v>
      </c>
      <c r="M717" s="450" t="s">
        <v>556</v>
      </c>
      <c r="N717" s="450" t="s">
        <v>556</v>
      </c>
      <c r="O717" s="450" t="s">
        <v>556</v>
      </c>
      <c r="P717" s="450" t="s">
        <v>556</v>
      </c>
      <c r="Q717" s="450" t="s">
        <v>556</v>
      </c>
      <c r="R717" s="450" t="s">
        <v>556</v>
      </c>
      <c r="S717" s="450" t="s">
        <v>556</v>
      </c>
      <c r="T717" s="133"/>
      <c r="U717" s="134">
        <v>100</v>
      </c>
      <c r="V717" s="450">
        <v>56.21</v>
      </c>
      <c r="W717" s="450" t="s">
        <v>556</v>
      </c>
      <c r="X717" s="450" t="s">
        <v>556</v>
      </c>
      <c r="Y717" s="450" t="s">
        <v>556</v>
      </c>
      <c r="Z717" s="450" t="s">
        <v>556</v>
      </c>
      <c r="AA717" s="450" t="s">
        <v>556</v>
      </c>
      <c r="AB717" s="450" t="s">
        <v>556</v>
      </c>
      <c r="AC717" s="450" t="s">
        <v>556</v>
      </c>
      <c r="AD717" s="450" t="s">
        <v>556</v>
      </c>
      <c r="AE717" s="450" t="s">
        <v>556</v>
      </c>
      <c r="AF717" s="450" t="s">
        <v>556</v>
      </c>
      <c r="AG717" s="450" t="s">
        <v>556</v>
      </c>
      <c r="AH717" s="450" t="s">
        <v>556</v>
      </c>
      <c r="AI717" s="450" t="s">
        <v>556</v>
      </c>
      <c r="AJ717" s="450" t="s">
        <v>556</v>
      </c>
      <c r="AK717" s="450" t="s">
        <v>556</v>
      </c>
      <c r="AL717" s="450" t="s">
        <v>556</v>
      </c>
      <c r="AM717" s="133"/>
      <c r="AN717" s="134">
        <v>100</v>
      </c>
      <c r="AO717" s="450">
        <v>57.36</v>
      </c>
      <c r="AP717" s="450" t="s">
        <v>556</v>
      </c>
      <c r="AQ717" s="450" t="s">
        <v>556</v>
      </c>
      <c r="AR717" s="450" t="s">
        <v>556</v>
      </c>
      <c r="AS717" s="450" t="s">
        <v>556</v>
      </c>
      <c r="AT717" s="450" t="s">
        <v>556</v>
      </c>
      <c r="AU717" s="450" t="s">
        <v>556</v>
      </c>
      <c r="AV717" s="450" t="s">
        <v>556</v>
      </c>
      <c r="AW717" s="450" t="s">
        <v>556</v>
      </c>
      <c r="AX717" s="450" t="s">
        <v>556</v>
      </c>
      <c r="AY717" s="450" t="s">
        <v>556</v>
      </c>
      <c r="AZ717" s="450" t="s">
        <v>556</v>
      </c>
      <c r="BA717" s="450" t="s">
        <v>556</v>
      </c>
      <c r="BB717" s="450" t="s">
        <v>556</v>
      </c>
      <c r="BC717" s="450" t="s">
        <v>556</v>
      </c>
      <c r="BD717" s="450" t="s">
        <v>556</v>
      </c>
      <c r="BE717" s="450" t="s">
        <v>556</v>
      </c>
    </row>
    <row r="721" spans="2:57" ht="20.45" customHeight="1" x14ac:dyDescent="0.25">
      <c r="B721" s="444" t="s">
        <v>197</v>
      </c>
      <c r="C721" s="526" t="s">
        <v>233</v>
      </c>
      <c r="D721" s="527"/>
      <c r="E721" s="527"/>
      <c r="F721" s="527"/>
      <c r="G721" s="527"/>
      <c r="H721" s="527"/>
      <c r="I721" s="527"/>
      <c r="J721" s="527"/>
      <c r="K721" s="527"/>
      <c r="L721" s="527"/>
      <c r="M721" s="527"/>
      <c r="N721" s="527"/>
      <c r="O721" s="527"/>
      <c r="P721" s="527"/>
      <c r="Q721" s="527"/>
      <c r="R721" s="527"/>
      <c r="S721" s="527"/>
      <c r="V721" s="526" t="s">
        <v>233</v>
      </c>
      <c r="W721" s="527"/>
      <c r="X721" s="527"/>
      <c r="Y721" s="527"/>
      <c r="Z721" s="527"/>
      <c r="AA721" s="527"/>
      <c r="AB721" s="527"/>
      <c r="AC721" s="527"/>
      <c r="AD721" s="527"/>
      <c r="AE721" s="527"/>
      <c r="AF721" s="527"/>
      <c r="AG721" s="527"/>
      <c r="AH721" s="527"/>
      <c r="AI721" s="527"/>
      <c r="AJ721" s="527"/>
      <c r="AK721" s="527"/>
      <c r="AL721" s="527"/>
      <c r="AO721" s="526" t="s">
        <v>233</v>
      </c>
      <c r="AP721" s="527"/>
      <c r="AQ721" s="527"/>
      <c r="AR721" s="527"/>
      <c r="AS721" s="527"/>
      <c r="AT721" s="527"/>
      <c r="AU721" s="527"/>
      <c r="AV721" s="527"/>
      <c r="AW721" s="527"/>
      <c r="AX721" s="527"/>
      <c r="AY721" s="527"/>
      <c r="AZ721" s="527"/>
      <c r="BA721" s="527"/>
      <c r="BB721" s="527"/>
      <c r="BC721" s="527"/>
      <c r="BD721" s="527"/>
      <c r="BE721" s="527"/>
    </row>
    <row r="722" spans="2:57" x14ac:dyDescent="0.25">
      <c r="B722" s="444"/>
      <c r="V722" s="444"/>
      <c r="AO722" s="444"/>
    </row>
    <row r="723" spans="2:57" x14ac:dyDescent="0.25">
      <c r="C723" s="528" t="s">
        <v>173</v>
      </c>
      <c r="D723" s="528"/>
      <c r="E723" s="528"/>
      <c r="F723" s="528"/>
      <c r="G723" s="528"/>
      <c r="H723" s="528"/>
      <c r="I723" s="528"/>
      <c r="J723" s="528"/>
      <c r="K723" s="528"/>
      <c r="L723" s="528"/>
      <c r="M723" s="528"/>
      <c r="N723" s="528"/>
      <c r="O723" s="528"/>
      <c r="P723" s="528"/>
      <c r="Q723" s="528"/>
      <c r="R723" s="528"/>
      <c r="S723" s="528"/>
      <c r="V723" s="528" t="s">
        <v>165</v>
      </c>
      <c r="W723" s="528"/>
      <c r="X723" s="528"/>
      <c r="Y723" s="528"/>
      <c r="Z723" s="528"/>
      <c r="AA723" s="528"/>
      <c r="AB723" s="528"/>
      <c r="AC723" s="528"/>
      <c r="AD723" s="528"/>
      <c r="AE723" s="528"/>
      <c r="AF723" s="528"/>
      <c r="AG723" s="528"/>
      <c r="AH723" s="528"/>
      <c r="AI723" s="528"/>
      <c r="AJ723" s="528"/>
      <c r="AK723" s="528"/>
      <c r="AL723" s="528"/>
      <c r="AO723" s="528" t="s">
        <v>166</v>
      </c>
      <c r="AP723" s="528"/>
      <c r="AQ723" s="528"/>
      <c r="AR723" s="528"/>
      <c r="AS723" s="528"/>
      <c r="AT723" s="528"/>
      <c r="AU723" s="528"/>
      <c r="AV723" s="528"/>
      <c r="AW723" s="528"/>
      <c r="AX723" s="528"/>
      <c r="AY723" s="528"/>
      <c r="AZ723" s="528"/>
      <c r="BA723" s="528"/>
      <c r="BB723" s="528"/>
      <c r="BC723" s="528"/>
      <c r="BD723" s="528"/>
      <c r="BE723" s="528"/>
    </row>
    <row r="724" spans="2:57" ht="195" x14ac:dyDescent="0.25">
      <c r="B724" s="445" t="s">
        <v>14</v>
      </c>
      <c r="C724" s="446">
        <v>0</v>
      </c>
      <c r="D724" s="447">
        <v>1</v>
      </c>
      <c r="E724" s="447">
        <v>2</v>
      </c>
      <c r="F724" s="447">
        <v>3</v>
      </c>
      <c r="G724" s="447">
        <v>4</v>
      </c>
      <c r="H724" s="447">
        <v>5</v>
      </c>
      <c r="I724" s="447">
        <v>6</v>
      </c>
      <c r="J724" s="447">
        <v>7</v>
      </c>
      <c r="K724" s="447">
        <v>8</v>
      </c>
      <c r="L724" s="447">
        <v>9</v>
      </c>
      <c r="M724" s="447">
        <v>10</v>
      </c>
      <c r="N724" s="448" t="s">
        <v>15</v>
      </c>
      <c r="O724" s="447" t="s">
        <v>16</v>
      </c>
      <c r="P724" s="447" t="s">
        <v>17</v>
      </c>
      <c r="Q724" s="447" t="s">
        <v>18</v>
      </c>
      <c r="R724" s="447" t="s">
        <v>19</v>
      </c>
      <c r="S724" s="447" t="s">
        <v>20</v>
      </c>
      <c r="T724" s="449"/>
      <c r="U724" s="445" t="s">
        <v>14</v>
      </c>
      <c r="V724" s="446">
        <v>0</v>
      </c>
      <c r="W724" s="447">
        <v>1</v>
      </c>
      <c r="X724" s="447">
        <v>2</v>
      </c>
      <c r="Y724" s="447">
        <v>3</v>
      </c>
      <c r="Z724" s="447">
        <v>4</v>
      </c>
      <c r="AA724" s="447">
        <v>5</v>
      </c>
      <c r="AB724" s="447">
        <v>6</v>
      </c>
      <c r="AC724" s="447">
        <v>7</v>
      </c>
      <c r="AD724" s="447">
        <v>8</v>
      </c>
      <c r="AE724" s="447">
        <v>9</v>
      </c>
      <c r="AF724" s="447">
        <v>10</v>
      </c>
      <c r="AG724" s="448" t="s">
        <v>15</v>
      </c>
      <c r="AH724" s="447" t="s">
        <v>16</v>
      </c>
      <c r="AI724" s="447" t="s">
        <v>17</v>
      </c>
      <c r="AJ724" s="447" t="s">
        <v>18</v>
      </c>
      <c r="AK724" s="447" t="s">
        <v>19</v>
      </c>
      <c r="AL724" s="447" t="s">
        <v>20</v>
      </c>
      <c r="AM724" s="449"/>
      <c r="AN724" s="445" t="s">
        <v>14</v>
      </c>
      <c r="AO724" s="446">
        <v>0</v>
      </c>
      <c r="AP724" s="447">
        <v>1</v>
      </c>
      <c r="AQ724" s="447">
        <v>2</v>
      </c>
      <c r="AR724" s="447">
        <v>3</v>
      </c>
      <c r="AS724" s="447">
        <v>4</v>
      </c>
      <c r="AT724" s="447">
        <v>5</v>
      </c>
      <c r="AU724" s="447">
        <v>6</v>
      </c>
      <c r="AV724" s="447">
        <v>7</v>
      </c>
      <c r="AW724" s="447">
        <v>8</v>
      </c>
      <c r="AX724" s="447">
        <v>9</v>
      </c>
      <c r="AY724" s="447">
        <v>10</v>
      </c>
      <c r="AZ724" s="448" t="s">
        <v>15</v>
      </c>
      <c r="BA724" s="447" t="s">
        <v>16</v>
      </c>
      <c r="BB724" s="447" t="s">
        <v>17</v>
      </c>
      <c r="BC724" s="447" t="s">
        <v>18</v>
      </c>
      <c r="BD724" s="447" t="s">
        <v>19</v>
      </c>
      <c r="BE724" s="447" t="s">
        <v>225</v>
      </c>
    </row>
    <row r="725" spans="2:57" x14ac:dyDescent="0.25">
      <c r="B725" s="134">
        <v>18</v>
      </c>
      <c r="C725" s="450">
        <v>88.14</v>
      </c>
      <c r="D725" s="450">
        <v>88.2</v>
      </c>
      <c r="E725" s="450">
        <v>88.26</v>
      </c>
      <c r="F725" s="450">
        <v>88.31</v>
      </c>
      <c r="G725" s="450">
        <v>88.37</v>
      </c>
      <c r="H725" s="450">
        <v>88.42</v>
      </c>
      <c r="I725" s="450">
        <v>88.48</v>
      </c>
      <c r="J725" s="450">
        <v>88.53</v>
      </c>
      <c r="K725" s="450">
        <v>88.58</v>
      </c>
      <c r="L725" s="450">
        <v>88.63</v>
      </c>
      <c r="M725" s="450">
        <v>88.68</v>
      </c>
      <c r="N725" s="450">
        <v>88.73</v>
      </c>
      <c r="O725" s="450">
        <v>88.97</v>
      </c>
      <c r="P725" s="450">
        <v>89.17</v>
      </c>
      <c r="Q725" s="450">
        <v>89.34</v>
      </c>
      <c r="R725" s="450">
        <v>89.48</v>
      </c>
      <c r="S725" s="450">
        <v>89.58</v>
      </c>
      <c r="T725" s="133"/>
      <c r="U725" s="134">
        <v>18</v>
      </c>
      <c r="V725" s="450">
        <v>89.1</v>
      </c>
      <c r="W725" s="450">
        <v>89.16</v>
      </c>
      <c r="X725" s="450">
        <v>89.21</v>
      </c>
      <c r="Y725" s="450">
        <v>89.27</v>
      </c>
      <c r="Z725" s="450">
        <v>89.33</v>
      </c>
      <c r="AA725" s="450">
        <v>89.38</v>
      </c>
      <c r="AB725" s="450">
        <v>89.44</v>
      </c>
      <c r="AC725" s="450">
        <v>89.49</v>
      </c>
      <c r="AD725" s="450">
        <v>89.54</v>
      </c>
      <c r="AE725" s="450">
        <v>89.6</v>
      </c>
      <c r="AF725" s="450">
        <v>89.65</v>
      </c>
      <c r="AG725" s="450">
        <v>89.7</v>
      </c>
      <c r="AH725" s="450">
        <v>89.94</v>
      </c>
      <c r="AI725" s="450">
        <v>90.15</v>
      </c>
      <c r="AJ725" s="450">
        <v>90.32</v>
      </c>
      <c r="AK725" s="450">
        <v>90.46</v>
      </c>
      <c r="AL725" s="450">
        <v>90.57</v>
      </c>
      <c r="AM725" s="133"/>
      <c r="AN725" s="134">
        <v>18</v>
      </c>
      <c r="AO725" s="450">
        <v>90.13</v>
      </c>
      <c r="AP725" s="450">
        <v>90.19</v>
      </c>
      <c r="AQ725" s="450">
        <v>90.25</v>
      </c>
      <c r="AR725" s="450">
        <v>90.31</v>
      </c>
      <c r="AS725" s="450">
        <v>90.36</v>
      </c>
      <c r="AT725" s="450">
        <v>90.42</v>
      </c>
      <c r="AU725" s="450">
        <v>90.48</v>
      </c>
      <c r="AV725" s="450">
        <v>90.53</v>
      </c>
      <c r="AW725" s="450">
        <v>90.59</v>
      </c>
      <c r="AX725" s="450">
        <v>90.64</v>
      </c>
      <c r="AY725" s="450">
        <v>90.7</v>
      </c>
      <c r="AZ725" s="450">
        <v>90.75</v>
      </c>
      <c r="BA725" s="450">
        <v>91</v>
      </c>
      <c r="BB725" s="450">
        <v>91.21</v>
      </c>
      <c r="BC725" s="450">
        <v>91.39</v>
      </c>
      <c r="BD725" s="450">
        <v>91.53</v>
      </c>
      <c r="BE725" s="450">
        <v>91.64</v>
      </c>
    </row>
    <row r="726" spans="2:57" x14ac:dyDescent="0.25">
      <c r="B726" s="134">
        <v>19</v>
      </c>
      <c r="C726" s="450">
        <v>88.26</v>
      </c>
      <c r="D726" s="450">
        <v>88.32</v>
      </c>
      <c r="E726" s="450">
        <v>88.38</v>
      </c>
      <c r="F726" s="450">
        <v>88.44</v>
      </c>
      <c r="G726" s="450">
        <v>88.5</v>
      </c>
      <c r="H726" s="450">
        <v>88.55</v>
      </c>
      <c r="I726" s="450">
        <v>88.61</v>
      </c>
      <c r="J726" s="450">
        <v>88.67</v>
      </c>
      <c r="K726" s="450">
        <v>88.72</v>
      </c>
      <c r="L726" s="450">
        <v>88.78</v>
      </c>
      <c r="M726" s="450">
        <v>88.83</v>
      </c>
      <c r="N726" s="450">
        <v>88.88</v>
      </c>
      <c r="O726" s="450">
        <v>89.13</v>
      </c>
      <c r="P726" s="450">
        <v>89.34</v>
      </c>
      <c r="Q726" s="450">
        <v>89.51</v>
      </c>
      <c r="R726" s="450">
        <v>89.66</v>
      </c>
      <c r="S726" s="450">
        <v>89.77</v>
      </c>
      <c r="T726" s="133"/>
      <c r="U726" s="134">
        <v>19</v>
      </c>
      <c r="V726" s="450">
        <v>89.22</v>
      </c>
      <c r="W726" s="450">
        <v>89.28</v>
      </c>
      <c r="X726" s="450">
        <v>89.34</v>
      </c>
      <c r="Y726" s="450">
        <v>89.4</v>
      </c>
      <c r="Z726" s="450">
        <v>89.46</v>
      </c>
      <c r="AA726" s="450">
        <v>89.52</v>
      </c>
      <c r="AB726" s="450">
        <v>89.57</v>
      </c>
      <c r="AC726" s="450">
        <v>89.63</v>
      </c>
      <c r="AD726" s="450">
        <v>89.69</v>
      </c>
      <c r="AE726" s="450">
        <v>89.74</v>
      </c>
      <c r="AF726" s="450">
        <v>89.8</v>
      </c>
      <c r="AG726" s="450">
        <v>89.85</v>
      </c>
      <c r="AH726" s="450">
        <v>90.1</v>
      </c>
      <c r="AI726" s="450">
        <v>90.32</v>
      </c>
      <c r="AJ726" s="450">
        <v>90.5</v>
      </c>
      <c r="AK726" s="450">
        <v>90.64</v>
      </c>
      <c r="AL726" s="450">
        <v>90.76</v>
      </c>
      <c r="AM726" s="133"/>
      <c r="AN726" s="134">
        <v>19</v>
      </c>
      <c r="AO726" s="450">
        <v>90.26</v>
      </c>
      <c r="AP726" s="450">
        <v>90.32</v>
      </c>
      <c r="AQ726" s="450">
        <v>90.38</v>
      </c>
      <c r="AR726" s="450">
        <v>90.44</v>
      </c>
      <c r="AS726" s="450">
        <v>90.5</v>
      </c>
      <c r="AT726" s="450">
        <v>90.56</v>
      </c>
      <c r="AU726" s="450">
        <v>90.62</v>
      </c>
      <c r="AV726" s="450">
        <v>90.68</v>
      </c>
      <c r="AW726" s="450">
        <v>90.74</v>
      </c>
      <c r="AX726" s="450">
        <v>90.79</v>
      </c>
      <c r="AY726" s="450">
        <v>90.85</v>
      </c>
      <c r="AZ726" s="450">
        <v>90.9</v>
      </c>
      <c r="BA726" s="450">
        <v>91.16</v>
      </c>
      <c r="BB726" s="450">
        <v>91.38</v>
      </c>
      <c r="BC726" s="450">
        <v>91.57</v>
      </c>
      <c r="BD726" s="450">
        <v>91.72</v>
      </c>
      <c r="BE726" s="450">
        <v>91.84</v>
      </c>
    </row>
    <row r="727" spans="2:57" x14ac:dyDescent="0.25">
      <c r="B727" s="134">
        <v>20</v>
      </c>
      <c r="C727" s="450">
        <v>88.39</v>
      </c>
      <c r="D727" s="450">
        <v>88.45</v>
      </c>
      <c r="E727" s="450">
        <v>88.51</v>
      </c>
      <c r="F727" s="450">
        <v>88.57</v>
      </c>
      <c r="G727" s="450">
        <v>88.63</v>
      </c>
      <c r="H727" s="450">
        <v>88.69</v>
      </c>
      <c r="I727" s="450">
        <v>88.75</v>
      </c>
      <c r="J727" s="450">
        <v>88.81</v>
      </c>
      <c r="K727" s="450">
        <v>88.87</v>
      </c>
      <c r="L727" s="450">
        <v>88.93</v>
      </c>
      <c r="M727" s="450">
        <v>88.98</v>
      </c>
      <c r="N727" s="450">
        <v>89.04</v>
      </c>
      <c r="O727" s="450">
        <v>89.29</v>
      </c>
      <c r="P727" s="450">
        <v>89.51</v>
      </c>
      <c r="Q727" s="450">
        <v>89.7</v>
      </c>
      <c r="R727" s="450">
        <v>89.84</v>
      </c>
      <c r="S727" s="450">
        <v>89.96</v>
      </c>
      <c r="T727" s="133"/>
      <c r="U727" s="134">
        <v>20</v>
      </c>
      <c r="V727" s="450">
        <v>89.35</v>
      </c>
      <c r="W727" s="450">
        <v>89.41</v>
      </c>
      <c r="X727" s="450">
        <v>89.47</v>
      </c>
      <c r="Y727" s="450">
        <v>89.53</v>
      </c>
      <c r="Z727" s="450">
        <v>89.6</v>
      </c>
      <c r="AA727" s="450">
        <v>89.66</v>
      </c>
      <c r="AB727" s="450">
        <v>89.72</v>
      </c>
      <c r="AC727" s="450">
        <v>89.78</v>
      </c>
      <c r="AD727" s="450">
        <v>89.84</v>
      </c>
      <c r="AE727" s="450">
        <v>89.89</v>
      </c>
      <c r="AF727" s="450">
        <v>89.95</v>
      </c>
      <c r="AG727" s="450">
        <v>90.01</v>
      </c>
      <c r="AH727" s="450">
        <v>90.27</v>
      </c>
      <c r="AI727" s="450">
        <v>90.5</v>
      </c>
      <c r="AJ727" s="450">
        <v>90.68</v>
      </c>
      <c r="AK727" s="450">
        <v>90.83</v>
      </c>
      <c r="AL727" s="450">
        <v>90.95</v>
      </c>
      <c r="AM727" s="133"/>
      <c r="AN727" s="134">
        <v>20</v>
      </c>
      <c r="AO727" s="450">
        <v>90.39</v>
      </c>
      <c r="AP727" s="450">
        <v>90.45</v>
      </c>
      <c r="AQ727" s="450">
        <v>90.51</v>
      </c>
      <c r="AR727" s="450">
        <v>90.58</v>
      </c>
      <c r="AS727" s="450">
        <v>90.64</v>
      </c>
      <c r="AT727" s="450">
        <v>90.71</v>
      </c>
      <c r="AU727" s="450">
        <v>90.77</v>
      </c>
      <c r="AV727" s="450">
        <v>90.83</v>
      </c>
      <c r="AW727" s="450">
        <v>90.89</v>
      </c>
      <c r="AX727" s="450">
        <v>90.95</v>
      </c>
      <c r="AY727" s="450">
        <v>91.01</v>
      </c>
      <c r="AZ727" s="450">
        <v>91.07</v>
      </c>
      <c r="BA727" s="450">
        <v>91.34</v>
      </c>
      <c r="BB727" s="450">
        <v>91.57</v>
      </c>
      <c r="BC727" s="450">
        <v>91.76</v>
      </c>
      <c r="BD727" s="450">
        <v>91.92</v>
      </c>
      <c r="BE727" s="450">
        <v>92.04</v>
      </c>
    </row>
    <row r="728" spans="2:57" x14ac:dyDescent="0.25">
      <c r="B728" s="134">
        <v>21</v>
      </c>
      <c r="C728" s="450">
        <v>88.52</v>
      </c>
      <c r="D728" s="450">
        <v>88.58</v>
      </c>
      <c r="E728" s="450">
        <v>88.65</v>
      </c>
      <c r="F728" s="450">
        <v>88.71</v>
      </c>
      <c r="G728" s="450">
        <v>88.77</v>
      </c>
      <c r="H728" s="450">
        <v>88.84</v>
      </c>
      <c r="I728" s="450">
        <v>88.9</v>
      </c>
      <c r="J728" s="450">
        <v>88.96</v>
      </c>
      <c r="K728" s="450">
        <v>89.02</v>
      </c>
      <c r="L728" s="450">
        <v>89.08</v>
      </c>
      <c r="M728" s="450">
        <v>89.14</v>
      </c>
      <c r="N728" s="450">
        <v>89.2</v>
      </c>
      <c r="O728" s="450">
        <v>89.47</v>
      </c>
      <c r="P728" s="450">
        <v>89.7</v>
      </c>
      <c r="Q728" s="450">
        <v>89.89</v>
      </c>
      <c r="R728" s="450">
        <v>90.04</v>
      </c>
      <c r="S728" s="450">
        <v>90.16</v>
      </c>
      <c r="T728" s="133"/>
      <c r="U728" s="134">
        <v>21</v>
      </c>
      <c r="V728" s="450">
        <v>89.48</v>
      </c>
      <c r="W728" s="450">
        <v>89.54</v>
      </c>
      <c r="X728" s="450">
        <v>89.61</v>
      </c>
      <c r="Y728" s="450">
        <v>89.68</v>
      </c>
      <c r="Z728" s="450">
        <v>89.74</v>
      </c>
      <c r="AA728" s="450">
        <v>89.8</v>
      </c>
      <c r="AB728" s="450">
        <v>89.87</v>
      </c>
      <c r="AC728" s="450">
        <v>89.93</v>
      </c>
      <c r="AD728" s="450">
        <v>89.99</v>
      </c>
      <c r="AE728" s="450">
        <v>90.05</v>
      </c>
      <c r="AF728" s="450">
        <v>90.11</v>
      </c>
      <c r="AG728" s="450">
        <v>90.17</v>
      </c>
      <c r="AH728" s="450">
        <v>90.45</v>
      </c>
      <c r="AI728" s="450">
        <v>90.68</v>
      </c>
      <c r="AJ728" s="450">
        <v>90.88</v>
      </c>
      <c r="AK728" s="450">
        <v>91.04</v>
      </c>
      <c r="AL728" s="450">
        <v>91.16</v>
      </c>
      <c r="AM728" s="133"/>
      <c r="AN728" s="134">
        <v>21</v>
      </c>
      <c r="AO728" s="450">
        <v>90.52</v>
      </c>
      <c r="AP728" s="450">
        <v>90.59</v>
      </c>
      <c r="AQ728" s="450">
        <v>90.66</v>
      </c>
      <c r="AR728" s="450">
        <v>90.72</v>
      </c>
      <c r="AS728" s="450">
        <v>90.79</v>
      </c>
      <c r="AT728" s="450">
        <v>90.86</v>
      </c>
      <c r="AU728" s="450">
        <v>90.92</v>
      </c>
      <c r="AV728" s="450">
        <v>90.99</v>
      </c>
      <c r="AW728" s="450">
        <v>91.05</v>
      </c>
      <c r="AX728" s="450">
        <v>91.11</v>
      </c>
      <c r="AY728" s="450">
        <v>91.18</v>
      </c>
      <c r="AZ728" s="450">
        <v>91.24</v>
      </c>
      <c r="BA728" s="450">
        <v>91.52</v>
      </c>
      <c r="BB728" s="450">
        <v>91.76</v>
      </c>
      <c r="BC728" s="450">
        <v>91.96</v>
      </c>
      <c r="BD728" s="450">
        <v>92.12</v>
      </c>
      <c r="BE728" s="450">
        <v>92.25</v>
      </c>
    </row>
    <row r="729" spans="2:57" x14ac:dyDescent="0.25">
      <c r="B729" s="134">
        <v>22</v>
      </c>
      <c r="C729" s="450">
        <v>88.65</v>
      </c>
      <c r="D729" s="450">
        <v>88.72</v>
      </c>
      <c r="E729" s="450">
        <v>88.79</v>
      </c>
      <c r="F729" s="450">
        <v>88.86</v>
      </c>
      <c r="G729" s="450">
        <v>88.92</v>
      </c>
      <c r="H729" s="450">
        <v>88.99</v>
      </c>
      <c r="I729" s="450">
        <v>89.06</v>
      </c>
      <c r="J729" s="450">
        <v>89.12</v>
      </c>
      <c r="K729" s="450">
        <v>89.18</v>
      </c>
      <c r="L729" s="450">
        <v>89.25</v>
      </c>
      <c r="M729" s="450">
        <v>89.31</v>
      </c>
      <c r="N729" s="450">
        <v>89.37</v>
      </c>
      <c r="O729" s="450">
        <v>89.65</v>
      </c>
      <c r="P729" s="450">
        <v>89.89</v>
      </c>
      <c r="Q729" s="450">
        <v>90.09</v>
      </c>
      <c r="R729" s="450">
        <v>90.25</v>
      </c>
      <c r="S729" s="450">
        <v>90.37</v>
      </c>
      <c r="T729" s="133"/>
      <c r="U729" s="134">
        <v>22</v>
      </c>
      <c r="V729" s="450">
        <v>89.62</v>
      </c>
      <c r="W729" s="450">
        <v>89.69</v>
      </c>
      <c r="X729" s="450">
        <v>89.76</v>
      </c>
      <c r="Y729" s="450">
        <v>89.82</v>
      </c>
      <c r="Z729" s="450">
        <v>89.89</v>
      </c>
      <c r="AA729" s="450">
        <v>89.96</v>
      </c>
      <c r="AB729" s="450">
        <v>90.03</v>
      </c>
      <c r="AC729" s="450">
        <v>90.09</v>
      </c>
      <c r="AD729" s="450">
        <v>90.16</v>
      </c>
      <c r="AE729" s="450">
        <v>90.22</v>
      </c>
      <c r="AF729" s="450">
        <v>90.29</v>
      </c>
      <c r="AG729" s="450">
        <v>90.35</v>
      </c>
      <c r="AH729" s="450">
        <v>90.63</v>
      </c>
      <c r="AI729" s="450">
        <v>90.88</v>
      </c>
      <c r="AJ729" s="450">
        <v>91.08</v>
      </c>
      <c r="AK729" s="450">
        <v>91.25</v>
      </c>
      <c r="AL729" s="450">
        <v>91.37</v>
      </c>
      <c r="AM729" s="133"/>
      <c r="AN729" s="134">
        <v>22</v>
      </c>
      <c r="AO729" s="450">
        <v>90.66</v>
      </c>
      <c r="AP729" s="450">
        <v>90.74</v>
      </c>
      <c r="AQ729" s="450">
        <v>90.81</v>
      </c>
      <c r="AR729" s="450">
        <v>90.88</v>
      </c>
      <c r="AS729" s="450">
        <v>90.95</v>
      </c>
      <c r="AT729" s="450">
        <v>91.02</v>
      </c>
      <c r="AU729" s="450">
        <v>91.09</v>
      </c>
      <c r="AV729" s="450">
        <v>91.15</v>
      </c>
      <c r="AW729" s="450">
        <v>91.22</v>
      </c>
      <c r="AX729" s="450">
        <v>91.29</v>
      </c>
      <c r="AY729" s="450">
        <v>91.35</v>
      </c>
      <c r="AZ729" s="450">
        <v>91.42</v>
      </c>
      <c r="BA729" s="450">
        <v>91.71</v>
      </c>
      <c r="BB729" s="450">
        <v>91.96</v>
      </c>
      <c r="BC729" s="450">
        <v>92.17</v>
      </c>
      <c r="BD729" s="450">
        <v>92.34</v>
      </c>
      <c r="BE729" s="450">
        <v>92.47</v>
      </c>
    </row>
    <row r="730" spans="2:57" x14ac:dyDescent="0.25">
      <c r="B730" s="134">
        <v>23</v>
      </c>
      <c r="C730" s="450">
        <v>88.8</v>
      </c>
      <c r="D730" s="450">
        <v>88.87</v>
      </c>
      <c r="E730" s="450">
        <v>88.94</v>
      </c>
      <c r="F730" s="450">
        <v>89.01</v>
      </c>
      <c r="G730" s="450">
        <v>89.08</v>
      </c>
      <c r="H730" s="450">
        <v>89.15</v>
      </c>
      <c r="I730" s="450">
        <v>89.22</v>
      </c>
      <c r="J730" s="450">
        <v>89.29</v>
      </c>
      <c r="K730" s="450">
        <v>89.35</v>
      </c>
      <c r="L730" s="450">
        <v>89.42</v>
      </c>
      <c r="M730" s="450">
        <v>89.48</v>
      </c>
      <c r="N730" s="450">
        <v>89.55</v>
      </c>
      <c r="O730" s="450">
        <v>89.84</v>
      </c>
      <c r="P730" s="450">
        <v>90.09</v>
      </c>
      <c r="Q730" s="450">
        <v>90.3</v>
      </c>
      <c r="R730" s="450">
        <v>90.46</v>
      </c>
      <c r="S730" s="450">
        <v>90.59</v>
      </c>
      <c r="T730" s="133"/>
      <c r="U730" s="134">
        <v>23</v>
      </c>
      <c r="V730" s="450">
        <v>89.76</v>
      </c>
      <c r="W730" s="450">
        <v>89.84</v>
      </c>
      <c r="X730" s="450">
        <v>89.91</v>
      </c>
      <c r="Y730" s="450">
        <v>89.98</v>
      </c>
      <c r="Z730" s="450">
        <v>90.05</v>
      </c>
      <c r="AA730" s="450">
        <v>90.12</v>
      </c>
      <c r="AB730" s="450">
        <v>90.19</v>
      </c>
      <c r="AC730" s="450">
        <v>90.26</v>
      </c>
      <c r="AD730" s="450">
        <v>90.33</v>
      </c>
      <c r="AE730" s="450">
        <v>90.4</v>
      </c>
      <c r="AF730" s="450">
        <v>90.46</v>
      </c>
      <c r="AG730" s="450">
        <v>90.53</v>
      </c>
      <c r="AH730" s="450">
        <v>90.83</v>
      </c>
      <c r="AI730" s="450">
        <v>91.09</v>
      </c>
      <c r="AJ730" s="450">
        <v>91.3</v>
      </c>
      <c r="AK730" s="450">
        <v>91.47</v>
      </c>
      <c r="AL730" s="450">
        <v>91.59</v>
      </c>
      <c r="AM730" s="133"/>
      <c r="AN730" s="134">
        <v>23</v>
      </c>
      <c r="AO730" s="450">
        <v>90.81</v>
      </c>
      <c r="AP730" s="450">
        <v>90.89</v>
      </c>
      <c r="AQ730" s="450">
        <v>90.96</v>
      </c>
      <c r="AR730" s="450">
        <v>91.04</v>
      </c>
      <c r="AS730" s="450">
        <v>91.11</v>
      </c>
      <c r="AT730" s="450">
        <v>91.19</v>
      </c>
      <c r="AU730" s="450">
        <v>91.26</v>
      </c>
      <c r="AV730" s="450">
        <v>91.33</v>
      </c>
      <c r="AW730" s="450">
        <v>91.4</v>
      </c>
      <c r="AX730" s="450">
        <v>91.47</v>
      </c>
      <c r="AY730" s="450">
        <v>91.54</v>
      </c>
      <c r="AZ730" s="450">
        <v>91.6</v>
      </c>
      <c r="BA730" s="450">
        <v>91.91</v>
      </c>
      <c r="BB730" s="450">
        <v>92.18</v>
      </c>
      <c r="BC730" s="450">
        <v>92.39</v>
      </c>
      <c r="BD730" s="450">
        <v>92.57</v>
      </c>
      <c r="BE730" s="450">
        <v>92.7</v>
      </c>
    </row>
    <row r="731" spans="2:57" x14ac:dyDescent="0.25">
      <c r="B731" s="134">
        <v>24</v>
      </c>
      <c r="C731" s="450">
        <v>88.95</v>
      </c>
      <c r="D731" s="450">
        <v>89.02</v>
      </c>
      <c r="E731" s="450">
        <v>89.1</v>
      </c>
      <c r="F731" s="450">
        <v>89.17</v>
      </c>
      <c r="G731" s="450">
        <v>89.24</v>
      </c>
      <c r="H731" s="450">
        <v>89.32</v>
      </c>
      <c r="I731" s="450">
        <v>89.39</v>
      </c>
      <c r="J731" s="450">
        <v>89.46</v>
      </c>
      <c r="K731" s="450">
        <v>89.53</v>
      </c>
      <c r="L731" s="450">
        <v>89.6</v>
      </c>
      <c r="M731" s="450">
        <v>89.67</v>
      </c>
      <c r="N731" s="450">
        <v>89.73</v>
      </c>
      <c r="O731" s="450">
        <v>90.04</v>
      </c>
      <c r="P731" s="450">
        <v>90.3</v>
      </c>
      <c r="Q731" s="450">
        <v>90.52</v>
      </c>
      <c r="R731" s="450">
        <v>90.69</v>
      </c>
      <c r="S731" s="450">
        <v>90.81</v>
      </c>
      <c r="T731" s="133"/>
      <c r="U731" s="134">
        <v>24</v>
      </c>
      <c r="V731" s="450">
        <v>89.92</v>
      </c>
      <c r="W731" s="450">
        <v>89.99</v>
      </c>
      <c r="X731" s="450">
        <v>90.07</v>
      </c>
      <c r="Y731" s="450">
        <v>90.15</v>
      </c>
      <c r="Z731" s="450">
        <v>90.22</v>
      </c>
      <c r="AA731" s="450">
        <v>90.3</v>
      </c>
      <c r="AB731" s="450">
        <v>90.37</v>
      </c>
      <c r="AC731" s="450">
        <v>90.44</v>
      </c>
      <c r="AD731" s="450">
        <v>90.51</v>
      </c>
      <c r="AE731" s="450">
        <v>90.58</v>
      </c>
      <c r="AF731" s="450">
        <v>90.65</v>
      </c>
      <c r="AG731" s="450">
        <v>90.72</v>
      </c>
      <c r="AH731" s="450">
        <v>91.04</v>
      </c>
      <c r="AI731" s="450">
        <v>91.3</v>
      </c>
      <c r="AJ731" s="450">
        <v>91.52</v>
      </c>
      <c r="AK731" s="450">
        <v>91.7</v>
      </c>
      <c r="AL731" s="450">
        <v>91.83</v>
      </c>
      <c r="AM731" s="133"/>
      <c r="AN731" s="134">
        <v>24</v>
      </c>
      <c r="AO731" s="450">
        <v>90.97</v>
      </c>
      <c r="AP731" s="450">
        <v>91.05</v>
      </c>
      <c r="AQ731" s="450">
        <v>91.13</v>
      </c>
      <c r="AR731" s="450">
        <v>91.21</v>
      </c>
      <c r="AS731" s="450">
        <v>91.28</v>
      </c>
      <c r="AT731" s="450">
        <v>91.36</v>
      </c>
      <c r="AU731" s="450">
        <v>91.44</v>
      </c>
      <c r="AV731" s="450">
        <v>91.51</v>
      </c>
      <c r="AW731" s="450">
        <v>91.59</v>
      </c>
      <c r="AX731" s="450">
        <v>91.66</v>
      </c>
      <c r="AY731" s="450">
        <v>91.73</v>
      </c>
      <c r="AZ731" s="450">
        <v>91.8</v>
      </c>
      <c r="BA731" s="450">
        <v>92.12</v>
      </c>
      <c r="BB731" s="450">
        <v>92.4</v>
      </c>
      <c r="BC731" s="450">
        <v>92.63</v>
      </c>
      <c r="BD731" s="450">
        <v>92.8</v>
      </c>
      <c r="BE731" s="450">
        <v>92.94</v>
      </c>
    </row>
    <row r="732" spans="2:57" x14ac:dyDescent="0.25">
      <c r="B732" s="134">
        <v>25</v>
      </c>
      <c r="C732" s="450">
        <v>89.1</v>
      </c>
      <c r="D732" s="450">
        <v>89.18</v>
      </c>
      <c r="E732" s="450">
        <v>89.26</v>
      </c>
      <c r="F732" s="450">
        <v>89.34</v>
      </c>
      <c r="G732" s="450">
        <v>89.42</v>
      </c>
      <c r="H732" s="450">
        <v>89.49</v>
      </c>
      <c r="I732" s="450">
        <v>89.57</v>
      </c>
      <c r="J732" s="450">
        <v>89.64</v>
      </c>
      <c r="K732" s="450">
        <v>89.72</v>
      </c>
      <c r="L732" s="450">
        <v>89.79</v>
      </c>
      <c r="M732" s="450">
        <v>89.86</v>
      </c>
      <c r="N732" s="450">
        <v>89.93</v>
      </c>
      <c r="O732" s="450">
        <v>90.25</v>
      </c>
      <c r="P732" s="450">
        <v>90.53</v>
      </c>
      <c r="Q732" s="450">
        <v>90.75</v>
      </c>
      <c r="R732" s="450">
        <v>90.93</v>
      </c>
      <c r="S732" s="450">
        <v>91.05</v>
      </c>
      <c r="T732" s="133"/>
      <c r="U732" s="134">
        <v>25</v>
      </c>
      <c r="V732" s="450">
        <v>90.08</v>
      </c>
      <c r="W732" s="450">
        <v>90.16</v>
      </c>
      <c r="X732" s="450">
        <v>90.24</v>
      </c>
      <c r="Y732" s="450">
        <v>90.32</v>
      </c>
      <c r="Z732" s="450">
        <v>90.4</v>
      </c>
      <c r="AA732" s="450">
        <v>90.48</v>
      </c>
      <c r="AB732" s="450">
        <v>90.55</v>
      </c>
      <c r="AC732" s="450">
        <v>90.63</v>
      </c>
      <c r="AD732" s="450">
        <v>90.7</v>
      </c>
      <c r="AE732" s="450">
        <v>90.78</v>
      </c>
      <c r="AF732" s="450">
        <v>90.85</v>
      </c>
      <c r="AG732" s="450">
        <v>90.92</v>
      </c>
      <c r="AH732" s="450">
        <v>91.25</v>
      </c>
      <c r="AI732" s="450">
        <v>91.53</v>
      </c>
      <c r="AJ732" s="450">
        <v>91.76</v>
      </c>
      <c r="AK732" s="450">
        <v>91.94</v>
      </c>
      <c r="AL732" s="450">
        <v>92.07</v>
      </c>
      <c r="AM732" s="133"/>
      <c r="AN732" s="134">
        <v>25</v>
      </c>
      <c r="AO732" s="450">
        <v>91.14</v>
      </c>
      <c r="AP732" s="450">
        <v>91.22</v>
      </c>
      <c r="AQ732" s="450">
        <v>91.3</v>
      </c>
      <c r="AR732" s="450">
        <v>91.38</v>
      </c>
      <c r="AS732" s="450">
        <v>91.47</v>
      </c>
      <c r="AT732" s="450">
        <v>91.55</v>
      </c>
      <c r="AU732" s="450">
        <v>91.63</v>
      </c>
      <c r="AV732" s="450">
        <v>91.7</v>
      </c>
      <c r="AW732" s="450">
        <v>91.78</v>
      </c>
      <c r="AX732" s="450">
        <v>91.86</v>
      </c>
      <c r="AY732" s="450">
        <v>91.93</v>
      </c>
      <c r="AZ732" s="450">
        <v>92.01</v>
      </c>
      <c r="BA732" s="450">
        <v>92.34</v>
      </c>
      <c r="BB732" s="450">
        <v>92.63</v>
      </c>
      <c r="BC732" s="450">
        <v>92.87</v>
      </c>
      <c r="BD732" s="450">
        <v>93.05</v>
      </c>
      <c r="BE732" s="450">
        <v>93.19</v>
      </c>
    </row>
    <row r="733" spans="2:57" x14ac:dyDescent="0.25">
      <c r="B733" s="134">
        <v>26</v>
      </c>
      <c r="C733" s="450">
        <v>89.27</v>
      </c>
      <c r="D733" s="450">
        <v>89.35</v>
      </c>
      <c r="E733" s="450">
        <v>89.43</v>
      </c>
      <c r="F733" s="450">
        <v>89.52</v>
      </c>
      <c r="G733" s="450">
        <v>89.6</v>
      </c>
      <c r="H733" s="450">
        <v>89.68</v>
      </c>
      <c r="I733" s="450">
        <v>89.76</v>
      </c>
      <c r="J733" s="450">
        <v>89.84</v>
      </c>
      <c r="K733" s="450">
        <v>89.91</v>
      </c>
      <c r="L733" s="450">
        <v>89.99</v>
      </c>
      <c r="M733" s="450">
        <v>90.06</v>
      </c>
      <c r="N733" s="450">
        <v>90.14</v>
      </c>
      <c r="O733" s="450">
        <v>90.47</v>
      </c>
      <c r="P733" s="450">
        <v>90.76</v>
      </c>
      <c r="Q733" s="450">
        <v>90.99</v>
      </c>
      <c r="R733" s="450">
        <v>91.17</v>
      </c>
      <c r="S733" s="450">
        <v>91.3</v>
      </c>
      <c r="T733" s="133"/>
      <c r="U733" s="134">
        <v>26</v>
      </c>
      <c r="V733" s="450">
        <v>90.25</v>
      </c>
      <c r="W733" s="450">
        <v>90.33</v>
      </c>
      <c r="X733" s="450">
        <v>90.41</v>
      </c>
      <c r="Y733" s="450">
        <v>90.5</v>
      </c>
      <c r="Z733" s="450">
        <v>90.58</v>
      </c>
      <c r="AA733" s="450">
        <v>90.66</v>
      </c>
      <c r="AB733" s="450">
        <v>90.75</v>
      </c>
      <c r="AC733" s="450">
        <v>90.83</v>
      </c>
      <c r="AD733" s="450">
        <v>90.9</v>
      </c>
      <c r="AE733" s="450">
        <v>90.98</v>
      </c>
      <c r="AF733" s="450">
        <v>91.06</v>
      </c>
      <c r="AG733" s="450">
        <v>91.13</v>
      </c>
      <c r="AH733" s="450">
        <v>91.48</v>
      </c>
      <c r="AI733" s="450">
        <v>91.77</v>
      </c>
      <c r="AJ733" s="450">
        <v>92.01</v>
      </c>
      <c r="AK733" s="450">
        <v>92.19</v>
      </c>
      <c r="AL733" s="450">
        <v>92.33</v>
      </c>
      <c r="AM733" s="133"/>
      <c r="AN733" s="134">
        <v>26</v>
      </c>
      <c r="AO733" s="450">
        <v>91.31</v>
      </c>
      <c r="AP733" s="450">
        <v>91.4</v>
      </c>
      <c r="AQ733" s="450">
        <v>91.48</v>
      </c>
      <c r="AR733" s="450">
        <v>91.57</v>
      </c>
      <c r="AS733" s="450">
        <v>91.66</v>
      </c>
      <c r="AT733" s="450">
        <v>91.74</v>
      </c>
      <c r="AU733" s="450">
        <v>91.82</v>
      </c>
      <c r="AV733" s="450">
        <v>91.91</v>
      </c>
      <c r="AW733" s="450">
        <v>91.99</v>
      </c>
      <c r="AX733" s="450">
        <v>92.07</v>
      </c>
      <c r="AY733" s="450">
        <v>92.15</v>
      </c>
      <c r="AZ733" s="450">
        <v>92.22</v>
      </c>
      <c r="BA733" s="450">
        <v>92.58</v>
      </c>
      <c r="BB733" s="450">
        <v>92.88</v>
      </c>
      <c r="BC733" s="450">
        <v>93.12</v>
      </c>
      <c r="BD733" s="450">
        <v>93.31</v>
      </c>
      <c r="BE733" s="450">
        <v>93.45</v>
      </c>
    </row>
    <row r="734" spans="2:57" x14ac:dyDescent="0.25">
      <c r="B734" s="134">
        <v>27</v>
      </c>
      <c r="C734" s="450">
        <v>89.44</v>
      </c>
      <c r="D734" s="450">
        <v>89.53</v>
      </c>
      <c r="E734" s="450">
        <v>89.62</v>
      </c>
      <c r="F734" s="450">
        <v>89.7</v>
      </c>
      <c r="G734" s="450">
        <v>89.79</v>
      </c>
      <c r="H734" s="450">
        <v>89.87</v>
      </c>
      <c r="I734" s="450">
        <v>89.96</v>
      </c>
      <c r="J734" s="450">
        <v>90.04</v>
      </c>
      <c r="K734" s="450">
        <v>90.12</v>
      </c>
      <c r="L734" s="450">
        <v>90.2</v>
      </c>
      <c r="M734" s="450">
        <v>90.28</v>
      </c>
      <c r="N734" s="450">
        <v>90.35</v>
      </c>
      <c r="O734" s="450">
        <v>90.71</v>
      </c>
      <c r="P734" s="450">
        <v>91</v>
      </c>
      <c r="Q734" s="450">
        <v>91.25</v>
      </c>
      <c r="R734" s="450">
        <v>91.43</v>
      </c>
      <c r="S734" s="450">
        <v>91.56</v>
      </c>
      <c r="T734" s="133"/>
      <c r="U734" s="134">
        <v>27</v>
      </c>
      <c r="V734" s="450">
        <v>90.42</v>
      </c>
      <c r="W734" s="450">
        <v>90.51</v>
      </c>
      <c r="X734" s="450">
        <v>90.6</v>
      </c>
      <c r="Y734" s="450">
        <v>90.69</v>
      </c>
      <c r="Z734" s="450">
        <v>90.78</v>
      </c>
      <c r="AA734" s="450">
        <v>90.86</v>
      </c>
      <c r="AB734" s="450">
        <v>90.95</v>
      </c>
      <c r="AC734" s="450">
        <v>91.03</v>
      </c>
      <c r="AD734" s="450">
        <v>91.11</v>
      </c>
      <c r="AE734" s="450">
        <v>91.2</v>
      </c>
      <c r="AF734" s="450">
        <v>91.28</v>
      </c>
      <c r="AG734" s="450">
        <v>91.35</v>
      </c>
      <c r="AH734" s="450">
        <v>91.71</v>
      </c>
      <c r="AI734" s="450">
        <v>92.02</v>
      </c>
      <c r="AJ734" s="450">
        <v>92.27</v>
      </c>
      <c r="AK734" s="450">
        <v>92.46</v>
      </c>
      <c r="AL734" s="450">
        <v>92.59</v>
      </c>
      <c r="AM734" s="133"/>
      <c r="AN734" s="134">
        <v>27</v>
      </c>
      <c r="AO734" s="450">
        <v>91.49</v>
      </c>
      <c r="AP734" s="450">
        <v>91.58</v>
      </c>
      <c r="AQ734" s="450">
        <v>91.68</v>
      </c>
      <c r="AR734" s="450">
        <v>91.77</v>
      </c>
      <c r="AS734" s="450">
        <v>91.86</v>
      </c>
      <c r="AT734" s="450">
        <v>91.94</v>
      </c>
      <c r="AU734" s="450">
        <v>92.03</v>
      </c>
      <c r="AV734" s="450">
        <v>92.12</v>
      </c>
      <c r="AW734" s="450">
        <v>92.2</v>
      </c>
      <c r="AX734" s="450">
        <v>92.29</v>
      </c>
      <c r="AY734" s="450">
        <v>92.37</v>
      </c>
      <c r="AZ734" s="450">
        <v>92.45</v>
      </c>
      <c r="BA734" s="450">
        <v>92.82</v>
      </c>
      <c r="BB734" s="450">
        <v>93.13</v>
      </c>
      <c r="BC734" s="450">
        <v>93.39</v>
      </c>
      <c r="BD734" s="450">
        <v>93.59</v>
      </c>
      <c r="BE734" s="450">
        <v>93.73</v>
      </c>
    </row>
    <row r="735" spans="2:57" x14ac:dyDescent="0.25">
      <c r="B735" s="134">
        <v>28</v>
      </c>
      <c r="C735" s="450">
        <v>89.63</v>
      </c>
      <c r="D735" s="450">
        <v>89.72</v>
      </c>
      <c r="E735" s="450">
        <v>89.81</v>
      </c>
      <c r="F735" s="450">
        <v>89.9</v>
      </c>
      <c r="G735" s="450">
        <v>89.99</v>
      </c>
      <c r="H735" s="450">
        <v>90.08</v>
      </c>
      <c r="I735" s="450">
        <v>90.16</v>
      </c>
      <c r="J735" s="450">
        <v>90.25</v>
      </c>
      <c r="K735" s="450">
        <v>90.34</v>
      </c>
      <c r="L735" s="450">
        <v>90.42</v>
      </c>
      <c r="M735" s="450">
        <v>90.5</v>
      </c>
      <c r="N735" s="450">
        <v>90.58</v>
      </c>
      <c r="O735" s="450">
        <v>90.95</v>
      </c>
      <c r="P735" s="450">
        <v>91.26</v>
      </c>
      <c r="Q735" s="450">
        <v>91.51</v>
      </c>
      <c r="R735" s="450">
        <v>91.7</v>
      </c>
      <c r="S735" s="450">
        <v>91.84</v>
      </c>
      <c r="T735" s="133"/>
      <c r="U735" s="134">
        <v>28</v>
      </c>
      <c r="V735" s="450">
        <v>90.61</v>
      </c>
      <c r="W735" s="450">
        <v>90.7</v>
      </c>
      <c r="X735" s="450">
        <v>90.8</v>
      </c>
      <c r="Y735" s="450">
        <v>90.89</v>
      </c>
      <c r="Z735" s="450">
        <v>90.98</v>
      </c>
      <c r="AA735" s="450">
        <v>91.07</v>
      </c>
      <c r="AB735" s="450">
        <v>91.16</v>
      </c>
      <c r="AC735" s="450">
        <v>91.25</v>
      </c>
      <c r="AD735" s="450">
        <v>91.34</v>
      </c>
      <c r="AE735" s="450">
        <v>91.42</v>
      </c>
      <c r="AF735" s="450">
        <v>91.5</v>
      </c>
      <c r="AG735" s="450">
        <v>91.59</v>
      </c>
      <c r="AH735" s="450">
        <v>91.96</v>
      </c>
      <c r="AI735" s="450">
        <v>92.28</v>
      </c>
      <c r="AJ735" s="450">
        <v>92.54</v>
      </c>
      <c r="AK735" s="450">
        <v>92.74</v>
      </c>
      <c r="AL735" s="450">
        <v>92.87</v>
      </c>
      <c r="AM735" s="133"/>
      <c r="AN735" s="134">
        <v>28</v>
      </c>
      <c r="AO735" s="450">
        <v>91.68</v>
      </c>
      <c r="AP735" s="450">
        <v>91.78</v>
      </c>
      <c r="AQ735" s="450">
        <v>91.88</v>
      </c>
      <c r="AR735" s="450">
        <v>91.97</v>
      </c>
      <c r="AS735" s="450">
        <v>92.07</v>
      </c>
      <c r="AT735" s="450">
        <v>92.16</v>
      </c>
      <c r="AU735" s="450">
        <v>92.25</v>
      </c>
      <c r="AV735" s="450">
        <v>92.34</v>
      </c>
      <c r="AW735" s="450">
        <v>92.43</v>
      </c>
      <c r="AX735" s="450">
        <v>92.52</v>
      </c>
      <c r="AY735" s="450">
        <v>92.6</v>
      </c>
      <c r="AZ735" s="450">
        <v>92.69</v>
      </c>
      <c r="BA735" s="450">
        <v>93.08</v>
      </c>
      <c r="BB735" s="450">
        <v>93.4</v>
      </c>
      <c r="BC735" s="450">
        <v>93.67</v>
      </c>
      <c r="BD735" s="450">
        <v>93.87</v>
      </c>
      <c r="BE735" s="450">
        <v>94.01</v>
      </c>
    </row>
    <row r="736" spans="2:57" x14ac:dyDescent="0.25">
      <c r="B736" s="134">
        <v>29</v>
      </c>
      <c r="C736" s="450">
        <v>89.82</v>
      </c>
      <c r="D736" s="450">
        <v>89.91</v>
      </c>
      <c r="E736" s="450">
        <v>90.01</v>
      </c>
      <c r="F736" s="450">
        <v>90.1</v>
      </c>
      <c r="G736" s="450">
        <v>90.2</v>
      </c>
      <c r="H736" s="450">
        <v>90.29</v>
      </c>
      <c r="I736" s="450">
        <v>90.38</v>
      </c>
      <c r="J736" s="450">
        <v>90.47</v>
      </c>
      <c r="K736" s="450">
        <v>90.56</v>
      </c>
      <c r="L736" s="450">
        <v>90.65</v>
      </c>
      <c r="M736" s="450">
        <v>90.74</v>
      </c>
      <c r="N736" s="450">
        <v>90.82</v>
      </c>
      <c r="O736" s="450">
        <v>91.2</v>
      </c>
      <c r="P736" s="450">
        <v>91.53</v>
      </c>
      <c r="Q736" s="450">
        <v>91.79</v>
      </c>
      <c r="R736" s="450">
        <v>91.99</v>
      </c>
      <c r="S736" s="450">
        <v>92.12</v>
      </c>
      <c r="T736" s="133"/>
      <c r="U736" s="134">
        <v>29</v>
      </c>
      <c r="V736" s="450">
        <v>90.81</v>
      </c>
      <c r="W736" s="450">
        <v>90.9</v>
      </c>
      <c r="X736" s="450">
        <v>91</v>
      </c>
      <c r="Y736" s="450">
        <v>91.1</v>
      </c>
      <c r="Z736" s="450">
        <v>91.19</v>
      </c>
      <c r="AA736" s="450">
        <v>91.29</v>
      </c>
      <c r="AB736" s="450">
        <v>91.38</v>
      </c>
      <c r="AC736" s="450">
        <v>91.48</v>
      </c>
      <c r="AD736" s="450">
        <v>91.57</v>
      </c>
      <c r="AE736" s="450">
        <v>91.66</v>
      </c>
      <c r="AF736" s="450">
        <v>91.74</v>
      </c>
      <c r="AG736" s="450">
        <v>91.83</v>
      </c>
      <c r="AH736" s="450">
        <v>92.22</v>
      </c>
      <c r="AI736" s="450">
        <v>92.56</v>
      </c>
      <c r="AJ736" s="450">
        <v>92.82</v>
      </c>
      <c r="AK736" s="450">
        <v>93.03</v>
      </c>
      <c r="AL736" s="450">
        <v>93.16</v>
      </c>
      <c r="AM736" s="133"/>
      <c r="AN736" s="134">
        <v>29</v>
      </c>
      <c r="AO736" s="450">
        <v>91.89</v>
      </c>
      <c r="AP736" s="450">
        <v>91.99</v>
      </c>
      <c r="AQ736" s="450">
        <v>92.09</v>
      </c>
      <c r="AR736" s="450">
        <v>92.19</v>
      </c>
      <c r="AS736" s="450">
        <v>92.29</v>
      </c>
      <c r="AT736" s="450">
        <v>92.38</v>
      </c>
      <c r="AU736" s="450">
        <v>92.48</v>
      </c>
      <c r="AV736" s="450">
        <v>92.58</v>
      </c>
      <c r="AW736" s="450">
        <v>92.67</v>
      </c>
      <c r="AX736" s="450">
        <v>92.76</v>
      </c>
      <c r="AY736" s="450">
        <v>92.85</v>
      </c>
      <c r="AZ736" s="450">
        <v>92.94</v>
      </c>
      <c r="BA736" s="450">
        <v>93.34</v>
      </c>
      <c r="BB736" s="450">
        <v>93.69</v>
      </c>
      <c r="BC736" s="450">
        <v>93.96</v>
      </c>
      <c r="BD736" s="450">
        <v>94.17</v>
      </c>
      <c r="BE736" s="450">
        <v>94.31</v>
      </c>
    </row>
    <row r="737" spans="2:57" x14ac:dyDescent="0.25">
      <c r="B737" s="134">
        <v>30</v>
      </c>
      <c r="C737" s="450">
        <v>90.02</v>
      </c>
      <c r="D737" s="450">
        <v>90.12</v>
      </c>
      <c r="E737" s="450">
        <v>90.22</v>
      </c>
      <c r="F737" s="450">
        <v>90.32</v>
      </c>
      <c r="G737" s="450">
        <v>90.42</v>
      </c>
      <c r="H737" s="450">
        <v>90.52</v>
      </c>
      <c r="I737" s="450">
        <v>90.61</v>
      </c>
      <c r="J737" s="450">
        <v>90.71</v>
      </c>
      <c r="K737" s="450">
        <v>90.8</v>
      </c>
      <c r="L737" s="450">
        <v>90.89</v>
      </c>
      <c r="M737" s="450">
        <v>90.98</v>
      </c>
      <c r="N737" s="450">
        <v>91.07</v>
      </c>
      <c r="O737" s="450">
        <v>91.47</v>
      </c>
      <c r="P737" s="450">
        <v>91.81</v>
      </c>
      <c r="Q737" s="450">
        <v>92.08</v>
      </c>
      <c r="R737" s="450">
        <v>92.28</v>
      </c>
      <c r="S737" s="450">
        <v>92.41</v>
      </c>
      <c r="T737" s="133"/>
      <c r="U737" s="134">
        <v>30</v>
      </c>
      <c r="V737" s="450">
        <v>91.01</v>
      </c>
      <c r="W737" s="450">
        <v>91.11</v>
      </c>
      <c r="X737" s="450">
        <v>91.22</v>
      </c>
      <c r="Y737" s="450">
        <v>91.32</v>
      </c>
      <c r="Z737" s="450">
        <v>91.42</v>
      </c>
      <c r="AA737" s="450">
        <v>91.52</v>
      </c>
      <c r="AB737" s="450">
        <v>91.62</v>
      </c>
      <c r="AC737" s="450">
        <v>91.72</v>
      </c>
      <c r="AD737" s="450">
        <v>91.81</v>
      </c>
      <c r="AE737" s="450">
        <v>91.9</v>
      </c>
      <c r="AF737" s="450">
        <v>92</v>
      </c>
      <c r="AG737" s="450">
        <v>92.09</v>
      </c>
      <c r="AH737" s="450">
        <v>92.5</v>
      </c>
      <c r="AI737" s="450">
        <v>92.84</v>
      </c>
      <c r="AJ737" s="450">
        <v>93.12</v>
      </c>
      <c r="AK737" s="450">
        <v>93.33</v>
      </c>
      <c r="AL737" s="450">
        <v>93.46</v>
      </c>
      <c r="AM737" s="133"/>
      <c r="AN737" s="134">
        <v>30</v>
      </c>
      <c r="AO737" s="450">
        <v>92.1</v>
      </c>
      <c r="AP737" s="450">
        <v>92.2</v>
      </c>
      <c r="AQ737" s="450">
        <v>92.31</v>
      </c>
      <c r="AR737" s="450">
        <v>92.41</v>
      </c>
      <c r="AS737" s="450">
        <v>92.52</v>
      </c>
      <c r="AT737" s="450">
        <v>92.62</v>
      </c>
      <c r="AU737" s="450">
        <v>92.72</v>
      </c>
      <c r="AV737" s="450">
        <v>92.82</v>
      </c>
      <c r="AW737" s="450">
        <v>92.92</v>
      </c>
      <c r="AX737" s="450">
        <v>93.02</v>
      </c>
      <c r="AY737" s="450">
        <v>93.11</v>
      </c>
      <c r="AZ737" s="450">
        <v>93.2</v>
      </c>
      <c r="BA737" s="450">
        <v>93.63</v>
      </c>
      <c r="BB737" s="450">
        <v>93.98</v>
      </c>
      <c r="BC737" s="450">
        <v>94.27</v>
      </c>
      <c r="BD737" s="450">
        <v>94.48</v>
      </c>
      <c r="BE737" s="450">
        <v>94.62</v>
      </c>
    </row>
    <row r="738" spans="2:57" x14ac:dyDescent="0.25">
      <c r="B738" s="134">
        <v>31</v>
      </c>
      <c r="C738" s="450">
        <v>90.23</v>
      </c>
      <c r="D738" s="450">
        <v>90.34</v>
      </c>
      <c r="E738" s="450">
        <v>90.44</v>
      </c>
      <c r="F738" s="450">
        <v>90.55</v>
      </c>
      <c r="G738" s="450">
        <v>90.65</v>
      </c>
      <c r="H738" s="450">
        <v>90.75</v>
      </c>
      <c r="I738" s="450">
        <v>90.85</v>
      </c>
      <c r="J738" s="450">
        <v>90.95</v>
      </c>
      <c r="K738" s="450">
        <v>91.05</v>
      </c>
      <c r="L738" s="450">
        <v>91.15</v>
      </c>
      <c r="M738" s="450">
        <v>91.24</v>
      </c>
      <c r="N738" s="450">
        <v>91.33</v>
      </c>
      <c r="O738" s="450">
        <v>91.75</v>
      </c>
      <c r="P738" s="450">
        <v>92.11</v>
      </c>
      <c r="Q738" s="450">
        <v>92.39</v>
      </c>
      <c r="R738" s="450">
        <v>92.59</v>
      </c>
      <c r="S738" s="450">
        <v>92.72</v>
      </c>
      <c r="T738" s="133"/>
      <c r="U738" s="134">
        <v>31</v>
      </c>
      <c r="V738" s="450">
        <v>91.23</v>
      </c>
      <c r="W738" s="450">
        <v>91.33</v>
      </c>
      <c r="X738" s="450">
        <v>91.44</v>
      </c>
      <c r="Y738" s="450">
        <v>91.55</v>
      </c>
      <c r="Z738" s="450">
        <v>91.66</v>
      </c>
      <c r="AA738" s="450">
        <v>91.76</v>
      </c>
      <c r="AB738" s="450">
        <v>91.86</v>
      </c>
      <c r="AC738" s="450">
        <v>91.97</v>
      </c>
      <c r="AD738" s="450">
        <v>92.07</v>
      </c>
      <c r="AE738" s="450">
        <v>92.16</v>
      </c>
      <c r="AF738" s="450">
        <v>92.26</v>
      </c>
      <c r="AG738" s="450">
        <v>92.35</v>
      </c>
      <c r="AH738" s="450">
        <v>92.78</v>
      </c>
      <c r="AI738" s="450">
        <v>93.15</v>
      </c>
      <c r="AJ738" s="450">
        <v>93.43</v>
      </c>
      <c r="AK738" s="450">
        <v>93.65</v>
      </c>
      <c r="AL738" s="450">
        <v>93.78</v>
      </c>
      <c r="AM738" s="133"/>
      <c r="AN738" s="134">
        <v>31</v>
      </c>
      <c r="AO738" s="450">
        <v>92.32</v>
      </c>
      <c r="AP738" s="450">
        <v>92.43</v>
      </c>
      <c r="AQ738" s="450">
        <v>92.54</v>
      </c>
      <c r="AR738" s="450">
        <v>92.65</v>
      </c>
      <c r="AS738" s="450">
        <v>92.76</v>
      </c>
      <c r="AT738" s="450">
        <v>92.87</v>
      </c>
      <c r="AU738" s="450">
        <v>92.97</v>
      </c>
      <c r="AV738" s="450">
        <v>93.08</v>
      </c>
      <c r="AW738" s="450">
        <v>93.18</v>
      </c>
      <c r="AX738" s="450">
        <v>93.28</v>
      </c>
      <c r="AY738" s="450">
        <v>93.38</v>
      </c>
      <c r="AZ738" s="450">
        <v>93.48</v>
      </c>
      <c r="BA738" s="450">
        <v>93.92</v>
      </c>
      <c r="BB738" s="450">
        <v>94.29</v>
      </c>
      <c r="BC738" s="450">
        <v>94.59</v>
      </c>
      <c r="BD738" s="450">
        <v>94.81</v>
      </c>
      <c r="BE738" s="450">
        <v>94.95</v>
      </c>
    </row>
    <row r="739" spans="2:57" x14ac:dyDescent="0.25">
      <c r="B739" s="134">
        <v>32</v>
      </c>
      <c r="C739" s="450">
        <v>90.45</v>
      </c>
      <c r="D739" s="450">
        <v>90.56</v>
      </c>
      <c r="E739" s="450">
        <v>90.67</v>
      </c>
      <c r="F739" s="450">
        <v>90.78</v>
      </c>
      <c r="G739" s="450">
        <v>90.89</v>
      </c>
      <c r="H739" s="450">
        <v>91</v>
      </c>
      <c r="I739" s="450">
        <v>91.11</v>
      </c>
      <c r="J739" s="450">
        <v>91.21</v>
      </c>
      <c r="K739" s="450">
        <v>91.31</v>
      </c>
      <c r="L739" s="450">
        <v>91.41</v>
      </c>
      <c r="M739" s="450">
        <v>91.51</v>
      </c>
      <c r="N739" s="450">
        <v>91.61</v>
      </c>
      <c r="O739" s="450">
        <v>92.05</v>
      </c>
      <c r="P739" s="450">
        <v>92.42</v>
      </c>
      <c r="Q739" s="450">
        <v>92.71</v>
      </c>
      <c r="R739" s="450">
        <v>92.91</v>
      </c>
      <c r="S739" s="450">
        <v>93.04</v>
      </c>
      <c r="T739" s="133"/>
      <c r="U739" s="134">
        <v>32</v>
      </c>
      <c r="V739" s="450">
        <v>91.45</v>
      </c>
      <c r="W739" s="450">
        <v>91.57</v>
      </c>
      <c r="X739" s="450">
        <v>91.68</v>
      </c>
      <c r="Y739" s="450">
        <v>91.79</v>
      </c>
      <c r="Z739" s="450">
        <v>91.9</v>
      </c>
      <c r="AA739" s="450">
        <v>92.01</v>
      </c>
      <c r="AB739" s="450">
        <v>92.12</v>
      </c>
      <c r="AC739" s="450">
        <v>92.23</v>
      </c>
      <c r="AD739" s="450">
        <v>92.33</v>
      </c>
      <c r="AE739" s="450">
        <v>92.44</v>
      </c>
      <c r="AF739" s="450">
        <v>92.54</v>
      </c>
      <c r="AG739" s="450">
        <v>92.64</v>
      </c>
      <c r="AH739" s="450">
        <v>93.09</v>
      </c>
      <c r="AI739" s="450">
        <v>93.46</v>
      </c>
      <c r="AJ739" s="450">
        <v>93.76</v>
      </c>
      <c r="AK739" s="450">
        <v>93.97</v>
      </c>
      <c r="AL739" s="450">
        <v>94.11</v>
      </c>
      <c r="AM739" s="133"/>
      <c r="AN739" s="134">
        <v>32</v>
      </c>
      <c r="AO739" s="450">
        <v>92.55</v>
      </c>
      <c r="AP739" s="450">
        <v>92.67</v>
      </c>
      <c r="AQ739" s="450">
        <v>92.79</v>
      </c>
      <c r="AR739" s="450">
        <v>92.9</v>
      </c>
      <c r="AS739" s="450">
        <v>93.02</v>
      </c>
      <c r="AT739" s="450">
        <v>93.13</v>
      </c>
      <c r="AU739" s="450">
        <v>93.24</v>
      </c>
      <c r="AV739" s="450">
        <v>93.35</v>
      </c>
      <c r="AW739" s="450">
        <v>93.46</v>
      </c>
      <c r="AX739" s="450">
        <v>93.56</v>
      </c>
      <c r="AY739" s="450">
        <v>93.67</v>
      </c>
      <c r="AZ739" s="450">
        <v>93.77</v>
      </c>
      <c r="BA739" s="450">
        <v>94.23</v>
      </c>
      <c r="BB739" s="450">
        <v>94.62</v>
      </c>
      <c r="BC739" s="450">
        <v>94.93</v>
      </c>
      <c r="BD739" s="450">
        <v>95.15</v>
      </c>
      <c r="BE739" s="450">
        <v>95.29</v>
      </c>
    </row>
    <row r="740" spans="2:57" x14ac:dyDescent="0.25">
      <c r="B740" s="134">
        <v>33</v>
      </c>
      <c r="C740" s="450">
        <v>90.68</v>
      </c>
      <c r="D740" s="450">
        <v>90.8</v>
      </c>
      <c r="E740" s="450">
        <v>90.92</v>
      </c>
      <c r="F740" s="450">
        <v>91.03</v>
      </c>
      <c r="G740" s="450">
        <v>91.15</v>
      </c>
      <c r="H740" s="450">
        <v>91.26</v>
      </c>
      <c r="I740" s="450">
        <v>91.37</v>
      </c>
      <c r="J740" s="450">
        <v>91.48</v>
      </c>
      <c r="K740" s="450">
        <v>91.59</v>
      </c>
      <c r="L740" s="450">
        <v>91.69</v>
      </c>
      <c r="M740" s="450">
        <v>91.8</v>
      </c>
      <c r="N740" s="450">
        <v>91.9</v>
      </c>
      <c r="O740" s="450">
        <v>92.36</v>
      </c>
      <c r="P740" s="450">
        <v>92.74</v>
      </c>
      <c r="Q740" s="450">
        <v>93.04</v>
      </c>
      <c r="R740" s="450">
        <v>93.25</v>
      </c>
      <c r="S740" s="450">
        <v>93.37</v>
      </c>
      <c r="T740" s="133"/>
      <c r="U740" s="134">
        <v>33</v>
      </c>
      <c r="V740" s="450">
        <v>91.69</v>
      </c>
      <c r="W740" s="450">
        <v>91.81</v>
      </c>
      <c r="X740" s="450">
        <v>91.93</v>
      </c>
      <c r="Y740" s="450">
        <v>92.05</v>
      </c>
      <c r="Z740" s="450">
        <v>92.16</v>
      </c>
      <c r="AA740" s="450">
        <v>92.28</v>
      </c>
      <c r="AB740" s="450">
        <v>92.39</v>
      </c>
      <c r="AC740" s="450">
        <v>92.51</v>
      </c>
      <c r="AD740" s="450">
        <v>92.62</v>
      </c>
      <c r="AE740" s="450">
        <v>92.72</v>
      </c>
      <c r="AF740" s="450">
        <v>92.83</v>
      </c>
      <c r="AG740" s="450">
        <v>92.93</v>
      </c>
      <c r="AH740" s="450">
        <v>93.4</v>
      </c>
      <c r="AI740" s="450">
        <v>93.79</v>
      </c>
      <c r="AJ740" s="450">
        <v>94.1</v>
      </c>
      <c r="AK740" s="450">
        <v>94.32</v>
      </c>
      <c r="AL740" s="450">
        <v>94.45</v>
      </c>
      <c r="AM740" s="133"/>
      <c r="AN740" s="134">
        <v>33</v>
      </c>
      <c r="AO740" s="450">
        <v>92.8</v>
      </c>
      <c r="AP740" s="450">
        <v>92.92</v>
      </c>
      <c r="AQ740" s="450">
        <v>93.04</v>
      </c>
      <c r="AR740" s="450">
        <v>93.16</v>
      </c>
      <c r="AS740" s="450">
        <v>93.28</v>
      </c>
      <c r="AT740" s="450">
        <v>93.4</v>
      </c>
      <c r="AU740" s="450">
        <v>93.52</v>
      </c>
      <c r="AV740" s="450">
        <v>93.63</v>
      </c>
      <c r="AW740" s="450">
        <v>93.75</v>
      </c>
      <c r="AX740" s="450">
        <v>93.86</v>
      </c>
      <c r="AY740" s="450">
        <v>93.97</v>
      </c>
      <c r="AZ740" s="450">
        <v>94.07</v>
      </c>
      <c r="BA740" s="450">
        <v>94.56</v>
      </c>
      <c r="BB740" s="450">
        <v>94.96</v>
      </c>
      <c r="BC740" s="450">
        <v>95.28</v>
      </c>
      <c r="BD740" s="450">
        <v>95.5</v>
      </c>
      <c r="BE740" s="450">
        <v>95.64</v>
      </c>
    </row>
    <row r="741" spans="2:57" x14ac:dyDescent="0.25">
      <c r="B741" s="134">
        <v>34</v>
      </c>
      <c r="C741" s="450">
        <v>90.93</v>
      </c>
      <c r="D741" s="450">
        <v>91.05</v>
      </c>
      <c r="E741" s="450">
        <v>91.17</v>
      </c>
      <c r="F741" s="450">
        <v>91.29</v>
      </c>
      <c r="G741" s="450">
        <v>91.41</v>
      </c>
      <c r="H741" s="450">
        <v>91.53</v>
      </c>
      <c r="I741" s="450">
        <v>91.65</v>
      </c>
      <c r="J741" s="450">
        <v>91.76</v>
      </c>
      <c r="K741" s="450">
        <v>91.88</v>
      </c>
      <c r="L741" s="450">
        <v>91.99</v>
      </c>
      <c r="M741" s="450">
        <v>92.09</v>
      </c>
      <c r="N741" s="450">
        <v>92.2</v>
      </c>
      <c r="O741" s="450">
        <v>92.68</v>
      </c>
      <c r="P741" s="450">
        <v>93.08</v>
      </c>
      <c r="Q741" s="450">
        <v>93.39</v>
      </c>
      <c r="R741" s="450">
        <v>93.6</v>
      </c>
      <c r="S741" s="450">
        <v>93.72</v>
      </c>
      <c r="T741" s="133"/>
      <c r="U741" s="134">
        <v>34</v>
      </c>
      <c r="V741" s="450">
        <v>91.94</v>
      </c>
      <c r="W741" s="450">
        <v>92.07</v>
      </c>
      <c r="X741" s="450">
        <v>92.19</v>
      </c>
      <c r="Y741" s="450">
        <v>92.32</v>
      </c>
      <c r="Z741" s="450">
        <v>92.44</v>
      </c>
      <c r="AA741" s="450">
        <v>92.56</v>
      </c>
      <c r="AB741" s="450">
        <v>92.68</v>
      </c>
      <c r="AC741" s="450">
        <v>92.8</v>
      </c>
      <c r="AD741" s="450">
        <v>92.91</v>
      </c>
      <c r="AE741" s="450">
        <v>93.02</v>
      </c>
      <c r="AF741" s="450">
        <v>93.13</v>
      </c>
      <c r="AG741" s="450">
        <v>93.24</v>
      </c>
      <c r="AH741" s="450">
        <v>93.73</v>
      </c>
      <c r="AI741" s="450">
        <v>94.14</v>
      </c>
      <c r="AJ741" s="450">
        <v>94.46</v>
      </c>
      <c r="AK741" s="450">
        <v>94.68</v>
      </c>
      <c r="AL741" s="450">
        <v>94.8</v>
      </c>
      <c r="AM741" s="133"/>
      <c r="AN741" s="134">
        <v>34</v>
      </c>
      <c r="AO741" s="450">
        <v>93.05</v>
      </c>
      <c r="AP741" s="450">
        <v>93.18</v>
      </c>
      <c r="AQ741" s="450">
        <v>93.31</v>
      </c>
      <c r="AR741" s="450">
        <v>93.44</v>
      </c>
      <c r="AS741" s="450">
        <v>93.56</v>
      </c>
      <c r="AT741" s="450">
        <v>93.69</v>
      </c>
      <c r="AU741" s="450">
        <v>93.81</v>
      </c>
      <c r="AV741" s="450">
        <v>93.93</v>
      </c>
      <c r="AW741" s="450">
        <v>94.05</v>
      </c>
      <c r="AX741" s="450">
        <v>94.17</v>
      </c>
      <c r="AY741" s="450">
        <v>94.28</v>
      </c>
      <c r="AZ741" s="450">
        <v>94.39</v>
      </c>
      <c r="BA741" s="450">
        <v>94.9</v>
      </c>
      <c r="BB741" s="450">
        <v>95.32</v>
      </c>
      <c r="BC741" s="450">
        <v>95.64</v>
      </c>
      <c r="BD741" s="450">
        <v>95.87</v>
      </c>
      <c r="BE741" s="450">
        <v>96</v>
      </c>
    </row>
    <row r="742" spans="2:57" x14ac:dyDescent="0.25">
      <c r="B742" s="134">
        <v>35</v>
      </c>
      <c r="C742" s="450">
        <v>91.19</v>
      </c>
      <c r="D742" s="450">
        <v>91.31</v>
      </c>
      <c r="E742" s="450">
        <v>91.44</v>
      </c>
      <c r="F742" s="450">
        <v>91.57</v>
      </c>
      <c r="G742" s="450">
        <v>91.7</v>
      </c>
      <c r="H742" s="450">
        <v>91.82</v>
      </c>
      <c r="I742" s="450">
        <v>91.94</v>
      </c>
      <c r="J742" s="450">
        <v>92.06</v>
      </c>
      <c r="K742" s="450">
        <v>92.18</v>
      </c>
      <c r="L742" s="450">
        <v>92.29</v>
      </c>
      <c r="M742" s="450">
        <v>92.41</v>
      </c>
      <c r="N742" s="450">
        <v>92.52</v>
      </c>
      <c r="O742" s="450">
        <v>93.02</v>
      </c>
      <c r="P742" s="450">
        <v>93.43</v>
      </c>
      <c r="Q742" s="450">
        <v>93.75</v>
      </c>
      <c r="R742" s="450">
        <v>93.96</v>
      </c>
      <c r="S742" s="450">
        <v>94.08</v>
      </c>
      <c r="T742" s="133"/>
      <c r="U742" s="134">
        <v>35</v>
      </c>
      <c r="V742" s="450">
        <v>92.2</v>
      </c>
      <c r="W742" s="450">
        <v>92.34</v>
      </c>
      <c r="X742" s="450">
        <v>92.47</v>
      </c>
      <c r="Y742" s="450">
        <v>92.6</v>
      </c>
      <c r="Z742" s="450">
        <v>92.72</v>
      </c>
      <c r="AA742" s="450">
        <v>92.85</v>
      </c>
      <c r="AB742" s="450">
        <v>92.98</v>
      </c>
      <c r="AC742" s="450">
        <v>93.1</v>
      </c>
      <c r="AD742" s="450">
        <v>93.22</v>
      </c>
      <c r="AE742" s="450">
        <v>93.34</v>
      </c>
      <c r="AF742" s="450">
        <v>93.45</v>
      </c>
      <c r="AG742" s="450">
        <v>93.56</v>
      </c>
      <c r="AH742" s="450">
        <v>94.08</v>
      </c>
      <c r="AI742" s="450">
        <v>94.5</v>
      </c>
      <c r="AJ742" s="450">
        <v>94.83</v>
      </c>
      <c r="AK742" s="450">
        <v>95.05</v>
      </c>
      <c r="AL742" s="450">
        <v>95.17</v>
      </c>
      <c r="AM742" s="133"/>
      <c r="AN742" s="134">
        <v>35</v>
      </c>
      <c r="AO742" s="450">
        <v>93.32</v>
      </c>
      <c r="AP742" s="450">
        <v>93.46</v>
      </c>
      <c r="AQ742" s="450">
        <v>93.59</v>
      </c>
      <c r="AR742" s="450">
        <v>93.73</v>
      </c>
      <c r="AS742" s="450">
        <v>93.86</v>
      </c>
      <c r="AT742" s="450">
        <v>93.99</v>
      </c>
      <c r="AU742" s="450">
        <v>94.12</v>
      </c>
      <c r="AV742" s="450">
        <v>94.24</v>
      </c>
      <c r="AW742" s="450">
        <v>94.37</v>
      </c>
      <c r="AX742" s="450">
        <v>94.49</v>
      </c>
      <c r="AY742" s="450">
        <v>94.61</v>
      </c>
      <c r="AZ742" s="450">
        <v>94.72</v>
      </c>
      <c r="BA742" s="450">
        <v>95.25</v>
      </c>
      <c r="BB742" s="450">
        <v>95.69</v>
      </c>
      <c r="BC742" s="450">
        <v>96.03</v>
      </c>
      <c r="BD742" s="450">
        <v>96.25</v>
      </c>
      <c r="BE742" s="450">
        <v>96.38</v>
      </c>
    </row>
    <row r="743" spans="2:57" x14ac:dyDescent="0.25">
      <c r="B743" s="134">
        <v>36</v>
      </c>
      <c r="C743" s="450">
        <v>91.45</v>
      </c>
      <c r="D743" s="450">
        <v>91.59</v>
      </c>
      <c r="E743" s="450">
        <v>91.72</v>
      </c>
      <c r="F743" s="450">
        <v>91.86</v>
      </c>
      <c r="G743" s="450">
        <v>91.99</v>
      </c>
      <c r="H743" s="450">
        <v>92.12</v>
      </c>
      <c r="I743" s="450">
        <v>92.25</v>
      </c>
      <c r="J743" s="450">
        <v>92.37</v>
      </c>
      <c r="K743" s="450">
        <v>92.5</v>
      </c>
      <c r="L743" s="450">
        <v>92.62</v>
      </c>
      <c r="M743" s="450">
        <v>92.73</v>
      </c>
      <c r="N743" s="450">
        <v>92.85</v>
      </c>
      <c r="O743" s="450">
        <v>93.37</v>
      </c>
      <c r="P743" s="450">
        <v>93.8</v>
      </c>
      <c r="Q743" s="450">
        <v>94.12</v>
      </c>
      <c r="R743" s="450">
        <v>94.33</v>
      </c>
      <c r="S743" s="450">
        <v>94.44</v>
      </c>
      <c r="T743" s="133"/>
      <c r="U743" s="134">
        <v>36</v>
      </c>
      <c r="V743" s="450">
        <v>92.48</v>
      </c>
      <c r="W743" s="450">
        <v>92.62</v>
      </c>
      <c r="X743" s="450">
        <v>92.75</v>
      </c>
      <c r="Y743" s="450">
        <v>92.89</v>
      </c>
      <c r="Z743" s="450">
        <v>93.03</v>
      </c>
      <c r="AA743" s="450">
        <v>93.16</v>
      </c>
      <c r="AB743" s="450">
        <v>93.29</v>
      </c>
      <c r="AC743" s="450">
        <v>93.42</v>
      </c>
      <c r="AD743" s="450">
        <v>93.54</v>
      </c>
      <c r="AE743" s="450">
        <v>93.67</v>
      </c>
      <c r="AF743" s="450">
        <v>93.79</v>
      </c>
      <c r="AG743" s="450">
        <v>93.9</v>
      </c>
      <c r="AH743" s="450">
        <v>94.44</v>
      </c>
      <c r="AI743" s="450">
        <v>94.88</v>
      </c>
      <c r="AJ743" s="450">
        <v>95.21</v>
      </c>
      <c r="AK743" s="450">
        <v>95.43</v>
      </c>
      <c r="AL743" s="450">
        <v>95.54</v>
      </c>
      <c r="AM743" s="133"/>
      <c r="AN743" s="134">
        <v>36</v>
      </c>
      <c r="AO743" s="450">
        <v>93.61</v>
      </c>
      <c r="AP743" s="450">
        <v>93.75</v>
      </c>
      <c r="AQ743" s="450">
        <v>93.89</v>
      </c>
      <c r="AR743" s="450">
        <v>94.03</v>
      </c>
      <c r="AS743" s="450">
        <v>94.17</v>
      </c>
      <c r="AT743" s="450">
        <v>94.31</v>
      </c>
      <c r="AU743" s="450">
        <v>94.44</v>
      </c>
      <c r="AV743" s="450">
        <v>94.57</v>
      </c>
      <c r="AW743" s="450">
        <v>94.7</v>
      </c>
      <c r="AX743" s="450">
        <v>94.83</v>
      </c>
      <c r="AY743" s="450">
        <v>94.95</v>
      </c>
      <c r="AZ743" s="450">
        <v>95.07</v>
      </c>
      <c r="BA743" s="450">
        <v>95.63</v>
      </c>
      <c r="BB743" s="450">
        <v>96.08</v>
      </c>
      <c r="BC743" s="450">
        <v>96.42</v>
      </c>
      <c r="BD743" s="450">
        <v>96.65</v>
      </c>
      <c r="BE743" s="450">
        <v>96.77</v>
      </c>
    </row>
    <row r="744" spans="2:57" x14ac:dyDescent="0.25">
      <c r="B744" s="134">
        <v>37</v>
      </c>
      <c r="C744" s="450">
        <v>91.74</v>
      </c>
      <c r="D744" s="450">
        <v>91.88</v>
      </c>
      <c r="E744" s="450">
        <v>92.02</v>
      </c>
      <c r="F744" s="450">
        <v>92.16</v>
      </c>
      <c r="G744" s="450">
        <v>92.3</v>
      </c>
      <c r="H744" s="450">
        <v>92.43</v>
      </c>
      <c r="I744" s="450">
        <v>92.57</v>
      </c>
      <c r="J744" s="450">
        <v>92.7</v>
      </c>
      <c r="K744" s="450">
        <v>92.83</v>
      </c>
      <c r="L744" s="450">
        <v>92.95</v>
      </c>
      <c r="M744" s="450">
        <v>93.08</v>
      </c>
      <c r="N744" s="450">
        <v>93.2</v>
      </c>
      <c r="O744" s="450">
        <v>93.74</v>
      </c>
      <c r="P744" s="450">
        <v>94.19</v>
      </c>
      <c r="Q744" s="450">
        <v>94.51</v>
      </c>
      <c r="R744" s="450">
        <v>94.72</v>
      </c>
      <c r="S744" s="450">
        <v>94.82</v>
      </c>
      <c r="T744" s="133"/>
      <c r="U744" s="134">
        <v>37</v>
      </c>
      <c r="V744" s="450">
        <v>92.77</v>
      </c>
      <c r="W744" s="450">
        <v>92.91</v>
      </c>
      <c r="X744" s="450">
        <v>93.06</v>
      </c>
      <c r="Y744" s="450">
        <v>93.2</v>
      </c>
      <c r="Z744" s="450">
        <v>93.34</v>
      </c>
      <c r="AA744" s="450">
        <v>93.48</v>
      </c>
      <c r="AB744" s="450">
        <v>93.62</v>
      </c>
      <c r="AC744" s="450">
        <v>93.75</v>
      </c>
      <c r="AD744" s="450">
        <v>93.88</v>
      </c>
      <c r="AE744" s="450">
        <v>94.01</v>
      </c>
      <c r="AF744" s="450">
        <v>94.14</v>
      </c>
      <c r="AG744" s="450">
        <v>94.26</v>
      </c>
      <c r="AH744" s="450">
        <v>94.82</v>
      </c>
      <c r="AI744" s="450">
        <v>95.28</v>
      </c>
      <c r="AJ744" s="450">
        <v>95.61</v>
      </c>
      <c r="AK744" s="450">
        <v>95.83</v>
      </c>
      <c r="AL744" s="450">
        <v>95.93</v>
      </c>
      <c r="AM744" s="133"/>
      <c r="AN744" s="134">
        <v>37</v>
      </c>
      <c r="AO744" s="450">
        <v>93.9</v>
      </c>
      <c r="AP744" s="450">
        <v>94.05</v>
      </c>
      <c r="AQ744" s="450">
        <v>94.2</v>
      </c>
      <c r="AR744" s="450">
        <v>94.35</v>
      </c>
      <c r="AS744" s="450">
        <v>94.49</v>
      </c>
      <c r="AT744" s="450">
        <v>94.64</v>
      </c>
      <c r="AU744" s="450">
        <v>94.78</v>
      </c>
      <c r="AV744" s="450">
        <v>94.92</v>
      </c>
      <c r="AW744" s="450">
        <v>95.05</v>
      </c>
      <c r="AX744" s="450">
        <v>95.18</v>
      </c>
      <c r="AY744" s="450">
        <v>95.31</v>
      </c>
      <c r="AZ744" s="450">
        <v>95.44</v>
      </c>
      <c r="BA744" s="450">
        <v>96.02</v>
      </c>
      <c r="BB744" s="450">
        <v>96.49</v>
      </c>
      <c r="BC744" s="450">
        <v>96.83</v>
      </c>
      <c r="BD744" s="450">
        <v>97.06</v>
      </c>
      <c r="BE744" s="450">
        <v>97.16</v>
      </c>
    </row>
    <row r="745" spans="2:57" x14ac:dyDescent="0.25">
      <c r="B745" s="134">
        <v>38</v>
      </c>
      <c r="C745" s="450">
        <v>92.03</v>
      </c>
      <c r="D745" s="450">
        <v>92.18</v>
      </c>
      <c r="E745" s="450">
        <v>92.33</v>
      </c>
      <c r="F745" s="450">
        <v>92.48</v>
      </c>
      <c r="G745" s="450">
        <v>92.62</v>
      </c>
      <c r="H745" s="450">
        <v>92.76</v>
      </c>
      <c r="I745" s="450">
        <v>92.9</v>
      </c>
      <c r="J745" s="450">
        <v>93.04</v>
      </c>
      <c r="K745" s="450">
        <v>93.18</v>
      </c>
      <c r="L745" s="450">
        <v>93.31</v>
      </c>
      <c r="M745" s="450">
        <v>93.44</v>
      </c>
      <c r="N745" s="450">
        <v>93.56</v>
      </c>
      <c r="O745" s="450">
        <v>94.13</v>
      </c>
      <c r="P745" s="450">
        <v>94.59</v>
      </c>
      <c r="Q745" s="450">
        <v>94.92</v>
      </c>
      <c r="R745" s="450">
        <v>95.12</v>
      </c>
      <c r="S745" s="450">
        <v>95.2</v>
      </c>
      <c r="T745" s="133"/>
      <c r="U745" s="134">
        <v>38</v>
      </c>
      <c r="V745" s="450">
        <v>93.07</v>
      </c>
      <c r="W745" s="450">
        <v>93.22</v>
      </c>
      <c r="X745" s="450">
        <v>93.37</v>
      </c>
      <c r="Y745" s="450">
        <v>93.52</v>
      </c>
      <c r="Z745" s="450">
        <v>93.67</v>
      </c>
      <c r="AA745" s="450">
        <v>93.82</v>
      </c>
      <c r="AB745" s="450">
        <v>93.96</v>
      </c>
      <c r="AC745" s="450">
        <v>94.1</v>
      </c>
      <c r="AD745" s="450">
        <v>94.24</v>
      </c>
      <c r="AE745" s="450">
        <v>94.37</v>
      </c>
      <c r="AF745" s="450">
        <v>94.51</v>
      </c>
      <c r="AG745" s="450">
        <v>94.63</v>
      </c>
      <c r="AH745" s="450">
        <v>95.22</v>
      </c>
      <c r="AI745" s="450">
        <v>95.69</v>
      </c>
      <c r="AJ745" s="450">
        <v>96.03</v>
      </c>
      <c r="AK745" s="450">
        <v>96.23</v>
      </c>
      <c r="AL745" s="450">
        <v>96.33</v>
      </c>
      <c r="AM745" s="133"/>
      <c r="AN745" s="134">
        <v>38</v>
      </c>
      <c r="AO745" s="450">
        <v>94.22</v>
      </c>
      <c r="AP745" s="450">
        <v>94.37</v>
      </c>
      <c r="AQ745" s="450">
        <v>94.53</v>
      </c>
      <c r="AR745" s="450">
        <v>94.68</v>
      </c>
      <c r="AS745" s="450">
        <v>94.83</v>
      </c>
      <c r="AT745" s="450">
        <v>94.98</v>
      </c>
      <c r="AU745" s="450">
        <v>95.13</v>
      </c>
      <c r="AV745" s="450">
        <v>95.28</v>
      </c>
      <c r="AW745" s="450">
        <v>95.42</v>
      </c>
      <c r="AX745" s="450">
        <v>95.56</v>
      </c>
      <c r="AY745" s="450">
        <v>95.69</v>
      </c>
      <c r="AZ745" s="450">
        <v>95.82</v>
      </c>
      <c r="BA745" s="450">
        <v>96.43</v>
      </c>
      <c r="BB745" s="450">
        <v>96.91</v>
      </c>
      <c r="BC745" s="450">
        <v>97.26</v>
      </c>
      <c r="BD745" s="450">
        <v>97.48</v>
      </c>
      <c r="BE745" s="450">
        <v>97.57</v>
      </c>
    </row>
    <row r="746" spans="2:57" x14ac:dyDescent="0.25">
      <c r="B746" s="134">
        <v>39</v>
      </c>
      <c r="C746" s="450">
        <v>92.34</v>
      </c>
      <c r="D746" s="450">
        <v>92.5</v>
      </c>
      <c r="E746" s="450">
        <v>92.66</v>
      </c>
      <c r="F746" s="450">
        <v>92.81</v>
      </c>
      <c r="G746" s="450">
        <v>92.96</v>
      </c>
      <c r="H746" s="450">
        <v>93.11</v>
      </c>
      <c r="I746" s="450">
        <v>93.26</v>
      </c>
      <c r="J746" s="450">
        <v>93.4</v>
      </c>
      <c r="K746" s="450">
        <v>93.54</v>
      </c>
      <c r="L746" s="450">
        <v>93.68</v>
      </c>
      <c r="M746" s="450">
        <v>93.81</v>
      </c>
      <c r="N746" s="450">
        <v>93.94</v>
      </c>
      <c r="O746" s="450">
        <v>94.53</v>
      </c>
      <c r="P746" s="450">
        <v>95</v>
      </c>
      <c r="Q746" s="450">
        <v>95.33</v>
      </c>
      <c r="R746" s="450">
        <v>95.53</v>
      </c>
      <c r="S746" s="450">
        <v>95.6</v>
      </c>
      <c r="T746" s="133"/>
      <c r="U746" s="134">
        <v>39</v>
      </c>
      <c r="V746" s="450">
        <v>93.39</v>
      </c>
      <c r="W746" s="450">
        <v>93.55</v>
      </c>
      <c r="X746" s="450">
        <v>93.71</v>
      </c>
      <c r="Y746" s="450">
        <v>93.86</v>
      </c>
      <c r="Z746" s="450">
        <v>94.02</v>
      </c>
      <c r="AA746" s="450">
        <v>94.17</v>
      </c>
      <c r="AB746" s="450">
        <v>94.32</v>
      </c>
      <c r="AC746" s="450">
        <v>94.47</v>
      </c>
      <c r="AD746" s="450">
        <v>94.61</v>
      </c>
      <c r="AE746" s="450">
        <v>94.75</v>
      </c>
      <c r="AF746" s="450">
        <v>94.89</v>
      </c>
      <c r="AG746" s="450">
        <v>95.02</v>
      </c>
      <c r="AH746" s="450">
        <v>95.63</v>
      </c>
      <c r="AI746" s="450">
        <v>96.11</v>
      </c>
      <c r="AJ746" s="450">
        <v>96.45</v>
      </c>
      <c r="AK746" s="450">
        <v>96.66</v>
      </c>
      <c r="AL746" s="450">
        <v>96.74</v>
      </c>
      <c r="AM746" s="133"/>
      <c r="AN746" s="134">
        <v>39</v>
      </c>
      <c r="AO746" s="450">
        <v>94.54</v>
      </c>
      <c r="AP746" s="450">
        <v>94.71</v>
      </c>
      <c r="AQ746" s="450">
        <v>94.87</v>
      </c>
      <c r="AR746" s="450">
        <v>95.03</v>
      </c>
      <c r="AS746" s="450">
        <v>95.19</v>
      </c>
      <c r="AT746" s="450">
        <v>95.35</v>
      </c>
      <c r="AU746" s="450">
        <v>95.5</v>
      </c>
      <c r="AV746" s="450">
        <v>95.65</v>
      </c>
      <c r="AW746" s="450">
        <v>95.8</v>
      </c>
      <c r="AX746" s="450">
        <v>95.95</v>
      </c>
      <c r="AY746" s="450">
        <v>96.09</v>
      </c>
      <c r="AZ746" s="450">
        <v>96.23</v>
      </c>
      <c r="BA746" s="450">
        <v>96.85</v>
      </c>
      <c r="BB746" s="450">
        <v>97.35</v>
      </c>
      <c r="BC746" s="450">
        <v>97.7</v>
      </c>
      <c r="BD746" s="450">
        <v>97.91</v>
      </c>
      <c r="BE746" s="450">
        <v>98</v>
      </c>
    </row>
    <row r="747" spans="2:57" x14ac:dyDescent="0.25">
      <c r="B747" s="134">
        <v>40</v>
      </c>
      <c r="C747" s="450">
        <v>92.67</v>
      </c>
      <c r="D747" s="450">
        <v>92.83</v>
      </c>
      <c r="E747" s="450">
        <v>93</v>
      </c>
      <c r="F747" s="450">
        <v>93.16</v>
      </c>
      <c r="G747" s="450">
        <v>93.31</v>
      </c>
      <c r="H747" s="450">
        <v>93.47</v>
      </c>
      <c r="I747" s="450">
        <v>93.62</v>
      </c>
      <c r="J747" s="450">
        <v>93.77</v>
      </c>
      <c r="K747" s="450">
        <v>93.92</v>
      </c>
      <c r="L747" s="450">
        <v>94.06</v>
      </c>
      <c r="M747" s="450">
        <v>94.2</v>
      </c>
      <c r="N747" s="450">
        <v>94.34</v>
      </c>
      <c r="O747" s="450">
        <v>94.95</v>
      </c>
      <c r="P747" s="450">
        <v>95.43</v>
      </c>
      <c r="Q747" s="450">
        <v>95.76</v>
      </c>
      <c r="R747" s="450">
        <v>95.94</v>
      </c>
      <c r="S747" s="450">
        <v>96.01</v>
      </c>
      <c r="T747" s="133"/>
      <c r="U747" s="134">
        <v>40</v>
      </c>
      <c r="V747" s="450">
        <v>93.72</v>
      </c>
      <c r="W747" s="450">
        <v>93.89</v>
      </c>
      <c r="X747" s="450">
        <v>94.05</v>
      </c>
      <c r="Y747" s="450">
        <v>94.22</v>
      </c>
      <c r="Z747" s="450">
        <v>94.38</v>
      </c>
      <c r="AA747" s="450">
        <v>94.54</v>
      </c>
      <c r="AB747" s="450">
        <v>94.7</v>
      </c>
      <c r="AC747" s="450">
        <v>94.85</v>
      </c>
      <c r="AD747" s="450">
        <v>95</v>
      </c>
      <c r="AE747" s="450">
        <v>95.15</v>
      </c>
      <c r="AF747" s="450">
        <v>95.29</v>
      </c>
      <c r="AG747" s="450">
        <v>95.43</v>
      </c>
      <c r="AH747" s="450">
        <v>96.06</v>
      </c>
      <c r="AI747" s="450">
        <v>96.56</v>
      </c>
      <c r="AJ747" s="450">
        <v>96.9</v>
      </c>
      <c r="AK747" s="450">
        <v>97.09</v>
      </c>
      <c r="AL747" s="450">
        <v>97.15</v>
      </c>
      <c r="AM747" s="133"/>
      <c r="AN747" s="134">
        <v>40</v>
      </c>
      <c r="AO747" s="450">
        <v>94.88</v>
      </c>
      <c r="AP747" s="450">
        <v>95.06</v>
      </c>
      <c r="AQ747" s="450">
        <v>95.23</v>
      </c>
      <c r="AR747" s="450">
        <v>95.4</v>
      </c>
      <c r="AS747" s="450">
        <v>95.56</v>
      </c>
      <c r="AT747" s="450">
        <v>95.73</v>
      </c>
      <c r="AU747" s="450">
        <v>95.89</v>
      </c>
      <c r="AV747" s="450">
        <v>96.05</v>
      </c>
      <c r="AW747" s="450">
        <v>96.2</v>
      </c>
      <c r="AX747" s="450">
        <v>96.35</v>
      </c>
      <c r="AY747" s="450">
        <v>96.5</v>
      </c>
      <c r="AZ747" s="450">
        <v>96.65</v>
      </c>
      <c r="BA747" s="450">
        <v>97.3</v>
      </c>
      <c r="BB747" s="450">
        <v>97.81</v>
      </c>
      <c r="BC747" s="450">
        <v>98.16</v>
      </c>
      <c r="BD747" s="450">
        <v>98.36</v>
      </c>
      <c r="BE747" s="450">
        <v>98.43</v>
      </c>
    </row>
    <row r="748" spans="2:57" x14ac:dyDescent="0.25">
      <c r="B748" s="134">
        <v>41</v>
      </c>
      <c r="C748" s="450">
        <v>93.01</v>
      </c>
      <c r="D748" s="450">
        <v>93.18</v>
      </c>
      <c r="E748" s="450">
        <v>93.35</v>
      </c>
      <c r="F748" s="450">
        <v>93.52</v>
      </c>
      <c r="G748" s="450">
        <v>93.68</v>
      </c>
      <c r="H748" s="450">
        <v>93.85</v>
      </c>
      <c r="I748" s="450">
        <v>94.01</v>
      </c>
      <c r="J748" s="450">
        <v>94.16</v>
      </c>
      <c r="K748" s="450">
        <v>94.32</v>
      </c>
      <c r="L748" s="450">
        <v>94.47</v>
      </c>
      <c r="M748" s="450">
        <v>94.61</v>
      </c>
      <c r="N748" s="450">
        <v>94.76</v>
      </c>
      <c r="O748" s="450">
        <v>95.39</v>
      </c>
      <c r="P748" s="450">
        <v>95.88</v>
      </c>
      <c r="Q748" s="450">
        <v>96.2</v>
      </c>
      <c r="R748" s="450">
        <v>96.37</v>
      </c>
      <c r="S748" s="450">
        <v>96.42</v>
      </c>
      <c r="T748" s="133"/>
      <c r="U748" s="134">
        <v>41</v>
      </c>
      <c r="V748" s="450">
        <v>94.07</v>
      </c>
      <c r="W748" s="450">
        <v>94.24</v>
      </c>
      <c r="X748" s="450">
        <v>94.42</v>
      </c>
      <c r="Y748" s="450">
        <v>94.59</v>
      </c>
      <c r="Z748" s="450">
        <v>94.76</v>
      </c>
      <c r="AA748" s="450">
        <v>94.93</v>
      </c>
      <c r="AB748" s="450">
        <v>95.09</v>
      </c>
      <c r="AC748" s="450">
        <v>95.25</v>
      </c>
      <c r="AD748" s="450">
        <v>95.41</v>
      </c>
      <c r="AE748" s="450">
        <v>95.56</v>
      </c>
      <c r="AF748" s="450">
        <v>95.71</v>
      </c>
      <c r="AG748" s="450">
        <v>95.86</v>
      </c>
      <c r="AH748" s="450">
        <v>96.51</v>
      </c>
      <c r="AI748" s="450">
        <v>97.01</v>
      </c>
      <c r="AJ748" s="450">
        <v>97.35</v>
      </c>
      <c r="AK748" s="450">
        <v>97.53</v>
      </c>
      <c r="AL748" s="450">
        <v>97.58</v>
      </c>
      <c r="AM748" s="133"/>
      <c r="AN748" s="134">
        <v>41</v>
      </c>
      <c r="AO748" s="450">
        <v>95.24</v>
      </c>
      <c r="AP748" s="450">
        <v>95.42</v>
      </c>
      <c r="AQ748" s="450">
        <v>95.6</v>
      </c>
      <c r="AR748" s="450">
        <v>95.78</v>
      </c>
      <c r="AS748" s="450">
        <v>95.95</v>
      </c>
      <c r="AT748" s="450">
        <v>96.13</v>
      </c>
      <c r="AU748" s="450">
        <v>96.29</v>
      </c>
      <c r="AV748" s="450">
        <v>96.46</v>
      </c>
      <c r="AW748" s="450">
        <v>96.62</v>
      </c>
      <c r="AX748" s="450">
        <v>96.78</v>
      </c>
      <c r="AY748" s="450">
        <v>96.94</v>
      </c>
      <c r="AZ748" s="450">
        <v>97.09</v>
      </c>
      <c r="BA748" s="450">
        <v>97.76</v>
      </c>
      <c r="BB748" s="450">
        <v>98.28</v>
      </c>
      <c r="BC748" s="450">
        <v>98.63</v>
      </c>
      <c r="BD748" s="450">
        <v>98.81</v>
      </c>
      <c r="BE748" s="450">
        <v>98.87</v>
      </c>
    </row>
    <row r="749" spans="2:57" x14ac:dyDescent="0.25">
      <c r="B749" s="134">
        <v>42</v>
      </c>
      <c r="C749" s="450">
        <v>93.37</v>
      </c>
      <c r="D749" s="450">
        <v>93.55</v>
      </c>
      <c r="E749" s="450">
        <v>93.72</v>
      </c>
      <c r="F749" s="450">
        <v>93.9</v>
      </c>
      <c r="G749" s="450">
        <v>94.07</v>
      </c>
      <c r="H749" s="450">
        <v>94.24</v>
      </c>
      <c r="I749" s="450">
        <v>94.41</v>
      </c>
      <c r="J749" s="450">
        <v>94.57</v>
      </c>
      <c r="K749" s="450">
        <v>94.73</v>
      </c>
      <c r="L749" s="450">
        <v>94.89</v>
      </c>
      <c r="M749" s="450">
        <v>95.04</v>
      </c>
      <c r="N749" s="450">
        <v>95.19</v>
      </c>
      <c r="O749" s="450">
        <v>95.85</v>
      </c>
      <c r="P749" s="450">
        <v>96.34</v>
      </c>
      <c r="Q749" s="450">
        <v>96.66</v>
      </c>
      <c r="R749" s="450">
        <v>96.81</v>
      </c>
      <c r="S749" s="450">
        <v>96.84</v>
      </c>
      <c r="T749" s="133"/>
      <c r="U749" s="134">
        <v>42</v>
      </c>
      <c r="V749" s="450">
        <v>94.43</v>
      </c>
      <c r="W749" s="450">
        <v>94.62</v>
      </c>
      <c r="X749" s="450">
        <v>94.8</v>
      </c>
      <c r="Y749" s="450">
        <v>94.98</v>
      </c>
      <c r="Z749" s="450">
        <v>95.16</v>
      </c>
      <c r="AA749" s="450">
        <v>95.33</v>
      </c>
      <c r="AB749" s="450">
        <v>95.5</v>
      </c>
      <c r="AC749" s="450">
        <v>95.67</v>
      </c>
      <c r="AD749" s="450">
        <v>95.83</v>
      </c>
      <c r="AE749" s="450">
        <v>95.99</v>
      </c>
      <c r="AF749" s="450">
        <v>96.15</v>
      </c>
      <c r="AG749" s="450">
        <v>96.3</v>
      </c>
      <c r="AH749" s="450">
        <v>96.98</v>
      </c>
      <c r="AI749" s="450">
        <v>97.49</v>
      </c>
      <c r="AJ749" s="450">
        <v>97.82</v>
      </c>
      <c r="AK749" s="450">
        <v>97.97</v>
      </c>
      <c r="AL749" s="450">
        <v>98.01</v>
      </c>
      <c r="AM749" s="133"/>
      <c r="AN749" s="134">
        <v>42</v>
      </c>
      <c r="AO749" s="450">
        <v>95.62</v>
      </c>
      <c r="AP749" s="450">
        <v>95.81</v>
      </c>
      <c r="AQ749" s="450">
        <v>95.99</v>
      </c>
      <c r="AR749" s="450">
        <v>96.18</v>
      </c>
      <c r="AS749" s="450">
        <v>96.36</v>
      </c>
      <c r="AT749" s="450">
        <v>96.54</v>
      </c>
      <c r="AU749" s="450">
        <v>96.72</v>
      </c>
      <c r="AV749" s="450">
        <v>96.89</v>
      </c>
      <c r="AW749" s="450">
        <v>97.06</v>
      </c>
      <c r="AX749" s="450">
        <v>97.23</v>
      </c>
      <c r="AY749" s="450">
        <v>97.39</v>
      </c>
      <c r="AZ749" s="450">
        <v>97.54</v>
      </c>
      <c r="BA749" s="450">
        <v>98.24</v>
      </c>
      <c r="BB749" s="450">
        <v>98.77</v>
      </c>
      <c r="BC749" s="450">
        <v>99.11</v>
      </c>
      <c r="BD749" s="450">
        <v>99.27</v>
      </c>
      <c r="BE749" s="450">
        <v>99.31</v>
      </c>
    </row>
    <row r="750" spans="2:57" x14ac:dyDescent="0.25">
      <c r="B750" s="134">
        <v>43</v>
      </c>
      <c r="C750" s="450">
        <v>93.74</v>
      </c>
      <c r="D750" s="450">
        <v>93.93</v>
      </c>
      <c r="E750" s="450">
        <v>94.11</v>
      </c>
      <c r="F750" s="450">
        <v>94.3</v>
      </c>
      <c r="G750" s="450">
        <v>94.48</v>
      </c>
      <c r="H750" s="450">
        <v>94.65</v>
      </c>
      <c r="I750" s="450">
        <v>94.83</v>
      </c>
      <c r="J750" s="450">
        <v>95</v>
      </c>
      <c r="K750" s="450">
        <v>95.17</v>
      </c>
      <c r="L750" s="450">
        <v>95.33</v>
      </c>
      <c r="M750" s="450">
        <v>95.49</v>
      </c>
      <c r="N750" s="450">
        <v>95.64</v>
      </c>
      <c r="O750" s="450">
        <v>96.32</v>
      </c>
      <c r="P750" s="450">
        <v>96.81</v>
      </c>
      <c r="Q750" s="450">
        <v>97.12</v>
      </c>
      <c r="R750" s="450">
        <v>97.25</v>
      </c>
      <c r="S750" s="450">
        <v>97.27</v>
      </c>
      <c r="T750" s="133"/>
      <c r="U750" s="134">
        <v>43</v>
      </c>
      <c r="V750" s="450">
        <v>94.82</v>
      </c>
      <c r="W750" s="450">
        <v>95.01</v>
      </c>
      <c r="X750" s="450">
        <v>95.2</v>
      </c>
      <c r="Y750" s="450">
        <v>95.39</v>
      </c>
      <c r="Z750" s="450">
        <v>95.57</v>
      </c>
      <c r="AA750" s="450">
        <v>95.75</v>
      </c>
      <c r="AB750" s="450">
        <v>95.93</v>
      </c>
      <c r="AC750" s="450">
        <v>96.11</v>
      </c>
      <c r="AD750" s="450">
        <v>96.28</v>
      </c>
      <c r="AE750" s="450">
        <v>96.45</v>
      </c>
      <c r="AF750" s="450">
        <v>96.61</v>
      </c>
      <c r="AG750" s="450">
        <v>96.77</v>
      </c>
      <c r="AH750" s="450">
        <v>97.46</v>
      </c>
      <c r="AI750" s="450">
        <v>97.98</v>
      </c>
      <c r="AJ750" s="450">
        <v>98.29</v>
      </c>
      <c r="AK750" s="450">
        <v>98.43</v>
      </c>
      <c r="AL750" s="450">
        <v>98.46</v>
      </c>
      <c r="AM750" s="133"/>
      <c r="AN750" s="134">
        <v>43</v>
      </c>
      <c r="AO750" s="450">
        <v>96.01</v>
      </c>
      <c r="AP750" s="450">
        <v>96.21</v>
      </c>
      <c r="AQ750" s="450">
        <v>96.4</v>
      </c>
      <c r="AR750" s="450">
        <v>96.6</v>
      </c>
      <c r="AS750" s="450">
        <v>96.79</v>
      </c>
      <c r="AT750" s="450">
        <v>96.98</v>
      </c>
      <c r="AU750" s="450">
        <v>97.16</v>
      </c>
      <c r="AV750" s="450">
        <v>97.34</v>
      </c>
      <c r="AW750" s="450">
        <v>97.52</v>
      </c>
      <c r="AX750" s="450">
        <v>97.69</v>
      </c>
      <c r="AY750" s="450">
        <v>97.86</v>
      </c>
      <c r="AZ750" s="450">
        <v>98.02</v>
      </c>
      <c r="BA750" s="450">
        <v>98.74</v>
      </c>
      <c r="BB750" s="450">
        <v>99.27</v>
      </c>
      <c r="BC750" s="450">
        <v>99.6</v>
      </c>
      <c r="BD750" s="450">
        <v>99.75</v>
      </c>
      <c r="BE750" s="450">
        <v>99.77</v>
      </c>
    </row>
    <row r="751" spans="2:57" x14ac:dyDescent="0.25">
      <c r="B751" s="134">
        <v>44</v>
      </c>
      <c r="C751" s="450">
        <v>94.13</v>
      </c>
      <c r="D751" s="450">
        <v>94.32</v>
      </c>
      <c r="E751" s="450">
        <v>94.52</v>
      </c>
      <c r="F751" s="450">
        <v>94.71</v>
      </c>
      <c r="G751" s="450">
        <v>94.9</v>
      </c>
      <c r="H751" s="450">
        <v>95.09</v>
      </c>
      <c r="I751" s="450">
        <v>95.27</v>
      </c>
      <c r="J751" s="450">
        <v>95.45</v>
      </c>
      <c r="K751" s="450">
        <v>95.62</v>
      </c>
      <c r="L751" s="450">
        <v>95.79</v>
      </c>
      <c r="M751" s="450">
        <v>95.95</v>
      </c>
      <c r="N751" s="450">
        <v>96.11</v>
      </c>
      <c r="O751" s="450">
        <v>96.81</v>
      </c>
      <c r="P751" s="450">
        <v>97.3</v>
      </c>
      <c r="Q751" s="450">
        <v>97.59</v>
      </c>
      <c r="R751" s="450">
        <v>97.7</v>
      </c>
      <c r="S751" s="450">
        <v>97.7</v>
      </c>
      <c r="T751" s="133"/>
      <c r="U751" s="134">
        <v>44</v>
      </c>
      <c r="V751" s="450">
        <v>95.21</v>
      </c>
      <c r="W751" s="450">
        <v>95.42</v>
      </c>
      <c r="X751" s="450">
        <v>95.61</v>
      </c>
      <c r="Y751" s="450">
        <v>95.81</v>
      </c>
      <c r="Z751" s="450">
        <v>96</v>
      </c>
      <c r="AA751" s="450">
        <v>96.19</v>
      </c>
      <c r="AB751" s="450">
        <v>96.38</v>
      </c>
      <c r="AC751" s="450">
        <v>96.57</v>
      </c>
      <c r="AD751" s="450">
        <v>96.74</v>
      </c>
      <c r="AE751" s="450">
        <v>96.92</v>
      </c>
      <c r="AF751" s="450">
        <v>97.09</v>
      </c>
      <c r="AG751" s="450">
        <v>97.25</v>
      </c>
      <c r="AH751" s="450">
        <v>97.96</v>
      </c>
      <c r="AI751" s="450">
        <v>98.48</v>
      </c>
      <c r="AJ751" s="450">
        <v>98.78</v>
      </c>
      <c r="AK751" s="450">
        <v>98.9</v>
      </c>
      <c r="AL751" s="450">
        <v>98.91</v>
      </c>
      <c r="AM751" s="133"/>
      <c r="AN751" s="134">
        <v>44</v>
      </c>
      <c r="AO751" s="450">
        <v>96.42</v>
      </c>
      <c r="AP751" s="450">
        <v>96.63</v>
      </c>
      <c r="AQ751" s="450">
        <v>96.83</v>
      </c>
      <c r="AR751" s="450">
        <v>97.04</v>
      </c>
      <c r="AS751" s="450">
        <v>97.24</v>
      </c>
      <c r="AT751" s="450">
        <v>97.43</v>
      </c>
      <c r="AU751" s="450">
        <v>97.63</v>
      </c>
      <c r="AV751" s="450">
        <v>97.81</v>
      </c>
      <c r="AW751" s="450">
        <v>98</v>
      </c>
      <c r="AX751" s="450">
        <v>98.18</v>
      </c>
      <c r="AY751" s="450">
        <v>98.35</v>
      </c>
      <c r="AZ751" s="450">
        <v>98.52</v>
      </c>
      <c r="BA751" s="450">
        <v>99.26</v>
      </c>
      <c r="BB751" s="450">
        <v>99.79</v>
      </c>
      <c r="BC751" s="450">
        <v>100.11</v>
      </c>
      <c r="BD751" s="450">
        <v>100.23</v>
      </c>
      <c r="BE751" s="450">
        <v>100.24</v>
      </c>
    </row>
    <row r="752" spans="2:57" x14ac:dyDescent="0.25">
      <c r="B752" s="134">
        <v>45</v>
      </c>
      <c r="C752" s="450">
        <v>94.54</v>
      </c>
      <c r="D752" s="450">
        <v>94.74</v>
      </c>
      <c r="E752" s="450">
        <v>94.94</v>
      </c>
      <c r="F752" s="450">
        <v>95.14</v>
      </c>
      <c r="G752" s="450">
        <v>95.34</v>
      </c>
      <c r="H752" s="450">
        <v>95.54</v>
      </c>
      <c r="I752" s="450">
        <v>95.73</v>
      </c>
      <c r="J752" s="450">
        <v>95.91</v>
      </c>
      <c r="K752" s="450">
        <v>96.09</v>
      </c>
      <c r="L752" s="450">
        <v>96.27</v>
      </c>
      <c r="M752" s="450">
        <v>96.44</v>
      </c>
      <c r="N752" s="450">
        <v>96.6</v>
      </c>
      <c r="O752" s="450">
        <v>97.31</v>
      </c>
      <c r="P752" s="450">
        <v>97.81</v>
      </c>
      <c r="Q752" s="450">
        <v>98.08</v>
      </c>
      <c r="R752" s="450">
        <v>98.16</v>
      </c>
      <c r="S752" s="450">
        <v>98.15</v>
      </c>
      <c r="T752" s="133"/>
      <c r="U752" s="134">
        <v>45</v>
      </c>
      <c r="V752" s="450">
        <v>95.63</v>
      </c>
      <c r="W752" s="450">
        <v>95.84</v>
      </c>
      <c r="X752" s="450">
        <v>96.05</v>
      </c>
      <c r="Y752" s="450">
        <v>96.26</v>
      </c>
      <c r="Z752" s="450">
        <v>96.46</v>
      </c>
      <c r="AA752" s="450">
        <v>96.66</v>
      </c>
      <c r="AB752" s="450">
        <v>96.85</v>
      </c>
      <c r="AC752" s="450">
        <v>97.04</v>
      </c>
      <c r="AD752" s="450">
        <v>97.23</v>
      </c>
      <c r="AE752" s="450">
        <v>97.41</v>
      </c>
      <c r="AF752" s="450">
        <v>97.59</v>
      </c>
      <c r="AG752" s="450">
        <v>97.75</v>
      </c>
      <c r="AH752" s="450">
        <v>98.48</v>
      </c>
      <c r="AI752" s="450">
        <v>99</v>
      </c>
      <c r="AJ752" s="450">
        <v>99.28</v>
      </c>
      <c r="AK752" s="450">
        <v>99.38</v>
      </c>
      <c r="AL752" s="450">
        <v>99.37</v>
      </c>
      <c r="AM752" s="133"/>
      <c r="AN752" s="134">
        <v>45</v>
      </c>
      <c r="AO752" s="450">
        <v>96.85</v>
      </c>
      <c r="AP752" s="450">
        <v>97.07</v>
      </c>
      <c r="AQ752" s="450">
        <v>97.28</v>
      </c>
      <c r="AR752" s="450">
        <v>97.49</v>
      </c>
      <c r="AS752" s="450">
        <v>97.7</v>
      </c>
      <c r="AT752" s="450">
        <v>97.91</v>
      </c>
      <c r="AU752" s="450">
        <v>98.11</v>
      </c>
      <c r="AV752" s="450">
        <v>98.31</v>
      </c>
      <c r="AW752" s="450">
        <v>98.5</v>
      </c>
      <c r="AX752" s="450">
        <v>98.69</v>
      </c>
      <c r="AY752" s="450">
        <v>98.87</v>
      </c>
      <c r="AZ752" s="450">
        <v>99.04</v>
      </c>
      <c r="BA752" s="450">
        <v>99.8</v>
      </c>
      <c r="BB752" s="450">
        <v>100.33</v>
      </c>
      <c r="BC752" s="450">
        <v>100.63</v>
      </c>
      <c r="BD752" s="450">
        <v>100.72</v>
      </c>
      <c r="BE752" s="450">
        <v>100.71</v>
      </c>
    </row>
    <row r="753" spans="2:57" x14ac:dyDescent="0.25">
      <c r="B753" s="134">
        <v>46</v>
      </c>
      <c r="C753" s="450">
        <v>94.96</v>
      </c>
      <c r="D753" s="450">
        <v>95.18</v>
      </c>
      <c r="E753" s="450">
        <v>95.39</v>
      </c>
      <c r="F753" s="450">
        <v>95.6</v>
      </c>
      <c r="G753" s="450">
        <v>95.8</v>
      </c>
      <c r="H753" s="450">
        <v>96.01</v>
      </c>
      <c r="I753" s="450">
        <v>96.2</v>
      </c>
      <c r="J753" s="450">
        <v>96.4</v>
      </c>
      <c r="K753" s="450">
        <v>96.59</v>
      </c>
      <c r="L753" s="450">
        <v>96.77</v>
      </c>
      <c r="M753" s="450">
        <v>96.95</v>
      </c>
      <c r="N753" s="450">
        <v>97.11</v>
      </c>
      <c r="O753" s="450">
        <v>97.84</v>
      </c>
      <c r="P753" s="450">
        <v>98.32</v>
      </c>
      <c r="Q753" s="450">
        <v>98.57</v>
      </c>
      <c r="R753" s="450">
        <v>98.63</v>
      </c>
      <c r="S753" s="450">
        <v>98.6</v>
      </c>
      <c r="T753" s="133"/>
      <c r="U753" s="134">
        <v>46</v>
      </c>
      <c r="V753" s="450">
        <v>96.07</v>
      </c>
      <c r="W753" s="450">
        <v>96.29</v>
      </c>
      <c r="X753" s="450">
        <v>96.51</v>
      </c>
      <c r="Y753" s="450">
        <v>96.72</v>
      </c>
      <c r="Z753" s="450">
        <v>96.93</v>
      </c>
      <c r="AA753" s="450">
        <v>97.14</v>
      </c>
      <c r="AB753" s="450">
        <v>97.34</v>
      </c>
      <c r="AC753" s="450">
        <v>97.54</v>
      </c>
      <c r="AD753" s="450">
        <v>97.74</v>
      </c>
      <c r="AE753" s="450">
        <v>97.92</v>
      </c>
      <c r="AF753" s="450">
        <v>98.1</v>
      </c>
      <c r="AG753" s="450">
        <v>98.28</v>
      </c>
      <c r="AH753" s="450">
        <v>99.02</v>
      </c>
      <c r="AI753" s="450">
        <v>99.53</v>
      </c>
      <c r="AJ753" s="450">
        <v>99.79</v>
      </c>
      <c r="AK753" s="450">
        <v>99.86</v>
      </c>
      <c r="AL753" s="450">
        <v>99.83</v>
      </c>
      <c r="AM753" s="133"/>
      <c r="AN753" s="134">
        <v>46</v>
      </c>
      <c r="AO753" s="450">
        <v>97.3</v>
      </c>
      <c r="AP753" s="450">
        <v>97.53</v>
      </c>
      <c r="AQ753" s="450">
        <v>97.75</v>
      </c>
      <c r="AR753" s="450">
        <v>97.97</v>
      </c>
      <c r="AS753" s="450">
        <v>98.19</v>
      </c>
      <c r="AT753" s="450">
        <v>98.41</v>
      </c>
      <c r="AU753" s="450">
        <v>98.62</v>
      </c>
      <c r="AV753" s="450">
        <v>98.82</v>
      </c>
      <c r="AW753" s="450">
        <v>99.02</v>
      </c>
      <c r="AX753" s="450">
        <v>99.22</v>
      </c>
      <c r="AY753" s="450">
        <v>99.4</v>
      </c>
      <c r="AZ753" s="450">
        <v>99.58</v>
      </c>
      <c r="BA753" s="450">
        <v>100.35</v>
      </c>
      <c r="BB753" s="450">
        <v>100.88</v>
      </c>
      <c r="BC753" s="450">
        <v>101.15</v>
      </c>
      <c r="BD753" s="450">
        <v>101.23</v>
      </c>
      <c r="BE753" s="450">
        <v>101.19</v>
      </c>
    </row>
    <row r="754" spans="2:57" x14ac:dyDescent="0.25">
      <c r="B754" s="134">
        <v>47</v>
      </c>
      <c r="C754" s="450">
        <v>95.41</v>
      </c>
      <c r="D754" s="450">
        <v>95.63</v>
      </c>
      <c r="E754" s="450">
        <v>95.85</v>
      </c>
      <c r="F754" s="450">
        <v>96.07</v>
      </c>
      <c r="G754" s="450">
        <v>96.29</v>
      </c>
      <c r="H754" s="450">
        <v>96.5</v>
      </c>
      <c r="I754" s="450">
        <v>96.7</v>
      </c>
      <c r="J754" s="450">
        <v>96.91</v>
      </c>
      <c r="K754" s="450">
        <v>97.1</v>
      </c>
      <c r="L754" s="450">
        <v>97.29</v>
      </c>
      <c r="M754" s="450">
        <v>97.47</v>
      </c>
      <c r="N754" s="450">
        <v>97.65</v>
      </c>
      <c r="O754" s="450">
        <v>98.38</v>
      </c>
      <c r="P754" s="450">
        <v>98.85</v>
      </c>
      <c r="Q754" s="450">
        <v>99.07</v>
      </c>
      <c r="R754" s="450">
        <v>99.12</v>
      </c>
      <c r="S754" s="450">
        <v>99.06</v>
      </c>
      <c r="T754" s="133"/>
      <c r="U754" s="134">
        <v>47</v>
      </c>
      <c r="V754" s="450">
        <v>96.53</v>
      </c>
      <c r="W754" s="450">
        <v>96.75</v>
      </c>
      <c r="X754" s="450">
        <v>96.98</v>
      </c>
      <c r="Y754" s="450">
        <v>97.21</v>
      </c>
      <c r="Z754" s="450">
        <v>97.43</v>
      </c>
      <c r="AA754" s="450">
        <v>97.64</v>
      </c>
      <c r="AB754" s="450">
        <v>97.86</v>
      </c>
      <c r="AC754" s="450">
        <v>98.06</v>
      </c>
      <c r="AD754" s="450">
        <v>98.26</v>
      </c>
      <c r="AE754" s="450">
        <v>98.46</v>
      </c>
      <c r="AF754" s="450">
        <v>98.65</v>
      </c>
      <c r="AG754" s="450">
        <v>98.82</v>
      </c>
      <c r="AH754" s="450">
        <v>99.58</v>
      </c>
      <c r="AI754" s="450">
        <v>100.08</v>
      </c>
      <c r="AJ754" s="450">
        <v>100.31</v>
      </c>
      <c r="AK754" s="450">
        <v>100.36</v>
      </c>
      <c r="AL754" s="450">
        <v>100.31</v>
      </c>
      <c r="AM754" s="133"/>
      <c r="AN754" s="134">
        <v>47</v>
      </c>
      <c r="AO754" s="450">
        <v>97.77</v>
      </c>
      <c r="AP754" s="450">
        <v>98.01</v>
      </c>
      <c r="AQ754" s="450">
        <v>98.24</v>
      </c>
      <c r="AR754" s="450">
        <v>98.48</v>
      </c>
      <c r="AS754" s="450">
        <v>98.7</v>
      </c>
      <c r="AT754" s="450">
        <v>98.93</v>
      </c>
      <c r="AU754" s="450">
        <v>99.15</v>
      </c>
      <c r="AV754" s="450">
        <v>99.36</v>
      </c>
      <c r="AW754" s="450">
        <v>99.57</v>
      </c>
      <c r="AX754" s="450">
        <v>99.77</v>
      </c>
      <c r="AY754" s="450">
        <v>99.96</v>
      </c>
      <c r="AZ754" s="450">
        <v>100.15</v>
      </c>
      <c r="BA754" s="450">
        <v>100.93</v>
      </c>
      <c r="BB754" s="450">
        <v>101.44</v>
      </c>
      <c r="BC754" s="450">
        <v>101.69</v>
      </c>
      <c r="BD754" s="450">
        <v>101.74</v>
      </c>
      <c r="BE754" s="450">
        <v>101.69</v>
      </c>
    </row>
    <row r="755" spans="2:57" x14ac:dyDescent="0.25">
      <c r="B755" s="134">
        <v>48</v>
      </c>
      <c r="C755" s="450">
        <v>95.87</v>
      </c>
      <c r="D755" s="450">
        <v>96.11</v>
      </c>
      <c r="E755" s="450">
        <v>96.34</v>
      </c>
      <c r="F755" s="450">
        <v>96.57</v>
      </c>
      <c r="G755" s="450">
        <v>96.79</v>
      </c>
      <c r="H755" s="450">
        <v>97.01</v>
      </c>
      <c r="I755" s="450">
        <v>97.23</v>
      </c>
      <c r="J755" s="450">
        <v>97.44</v>
      </c>
      <c r="K755" s="450">
        <v>97.64</v>
      </c>
      <c r="L755" s="450">
        <v>97.83</v>
      </c>
      <c r="M755" s="450">
        <v>98.02</v>
      </c>
      <c r="N755" s="450">
        <v>98.2</v>
      </c>
      <c r="O755" s="450">
        <v>98.94</v>
      </c>
      <c r="P755" s="450">
        <v>99.39</v>
      </c>
      <c r="Q755" s="450">
        <v>99.59</v>
      </c>
      <c r="R755" s="450">
        <v>99.61</v>
      </c>
      <c r="S755" s="450">
        <v>99.53</v>
      </c>
      <c r="T755" s="133"/>
      <c r="U755" s="134">
        <v>48</v>
      </c>
      <c r="V755" s="450">
        <v>97</v>
      </c>
      <c r="W755" s="450">
        <v>97.24</v>
      </c>
      <c r="X755" s="450">
        <v>97.48</v>
      </c>
      <c r="Y755" s="450">
        <v>97.71</v>
      </c>
      <c r="Z755" s="450">
        <v>97.95</v>
      </c>
      <c r="AA755" s="450">
        <v>98.17</v>
      </c>
      <c r="AB755" s="450">
        <v>98.39</v>
      </c>
      <c r="AC755" s="450">
        <v>98.61</v>
      </c>
      <c r="AD755" s="450">
        <v>98.82</v>
      </c>
      <c r="AE755" s="450">
        <v>99.02</v>
      </c>
      <c r="AF755" s="450">
        <v>99.21</v>
      </c>
      <c r="AG755" s="450">
        <v>99.39</v>
      </c>
      <c r="AH755" s="450">
        <v>100.16</v>
      </c>
      <c r="AI755" s="450">
        <v>100.64</v>
      </c>
      <c r="AJ755" s="450">
        <v>100.85</v>
      </c>
      <c r="AK755" s="450">
        <v>100.87</v>
      </c>
      <c r="AL755" s="450">
        <v>100.81</v>
      </c>
      <c r="AM755" s="133"/>
      <c r="AN755" s="134">
        <v>48</v>
      </c>
      <c r="AO755" s="450">
        <v>98.27</v>
      </c>
      <c r="AP755" s="450">
        <v>98.51</v>
      </c>
      <c r="AQ755" s="450">
        <v>98.76</v>
      </c>
      <c r="AR755" s="450">
        <v>99</v>
      </c>
      <c r="AS755" s="450">
        <v>99.24</v>
      </c>
      <c r="AT755" s="450">
        <v>99.47</v>
      </c>
      <c r="AU755" s="450">
        <v>99.7</v>
      </c>
      <c r="AV755" s="450">
        <v>99.92</v>
      </c>
      <c r="AW755" s="450">
        <v>100.14</v>
      </c>
      <c r="AX755" s="450">
        <v>100.34</v>
      </c>
      <c r="AY755" s="450">
        <v>100.54</v>
      </c>
      <c r="AZ755" s="450">
        <v>100.73</v>
      </c>
      <c r="BA755" s="450">
        <v>101.52</v>
      </c>
      <c r="BB755" s="450">
        <v>102.02</v>
      </c>
      <c r="BC755" s="450">
        <v>102.24</v>
      </c>
      <c r="BD755" s="450">
        <v>102.27</v>
      </c>
      <c r="BE755" s="450">
        <v>102.19</v>
      </c>
    </row>
    <row r="756" spans="2:57" x14ac:dyDescent="0.25">
      <c r="B756" s="134">
        <v>49</v>
      </c>
      <c r="C756" s="450">
        <v>96.36</v>
      </c>
      <c r="D756" s="450">
        <v>96.6</v>
      </c>
      <c r="E756" s="450">
        <v>96.85</v>
      </c>
      <c r="F756" s="450">
        <v>97.08</v>
      </c>
      <c r="G756" s="450">
        <v>97.32</v>
      </c>
      <c r="H756" s="450">
        <v>97.55</v>
      </c>
      <c r="I756" s="450">
        <v>97.77</v>
      </c>
      <c r="J756" s="450">
        <v>97.99</v>
      </c>
      <c r="K756" s="450">
        <v>98.2</v>
      </c>
      <c r="L756" s="450">
        <v>98.4</v>
      </c>
      <c r="M756" s="450">
        <v>98.59</v>
      </c>
      <c r="N756" s="450">
        <v>98.77</v>
      </c>
      <c r="O756" s="450">
        <v>99.51</v>
      </c>
      <c r="P756" s="450">
        <v>99.95</v>
      </c>
      <c r="Q756" s="450">
        <v>100.12</v>
      </c>
      <c r="R756" s="450">
        <v>100.11</v>
      </c>
      <c r="S756" s="450">
        <v>100.02</v>
      </c>
      <c r="T756" s="133"/>
      <c r="U756" s="134">
        <v>49</v>
      </c>
      <c r="V756" s="450">
        <v>97.5</v>
      </c>
      <c r="W756" s="450">
        <v>97.75</v>
      </c>
      <c r="X756" s="450">
        <v>98</v>
      </c>
      <c r="Y756" s="450">
        <v>98.25</v>
      </c>
      <c r="Z756" s="450">
        <v>98.49</v>
      </c>
      <c r="AA756" s="450">
        <v>98.72</v>
      </c>
      <c r="AB756" s="450">
        <v>98.95</v>
      </c>
      <c r="AC756" s="450">
        <v>99.18</v>
      </c>
      <c r="AD756" s="450">
        <v>99.39</v>
      </c>
      <c r="AE756" s="450">
        <v>99.6</v>
      </c>
      <c r="AF756" s="450">
        <v>99.8</v>
      </c>
      <c r="AG756" s="450">
        <v>99.98</v>
      </c>
      <c r="AH756" s="450">
        <v>100.75</v>
      </c>
      <c r="AI756" s="450">
        <v>101.21</v>
      </c>
      <c r="AJ756" s="450">
        <v>101.39</v>
      </c>
      <c r="AK756" s="450">
        <v>101.4</v>
      </c>
      <c r="AL756" s="450">
        <v>101.31</v>
      </c>
      <c r="AM756" s="133"/>
      <c r="AN756" s="134">
        <v>49</v>
      </c>
      <c r="AO756" s="450">
        <v>98.78</v>
      </c>
      <c r="AP756" s="450">
        <v>99.04</v>
      </c>
      <c r="AQ756" s="450">
        <v>99.3</v>
      </c>
      <c r="AR756" s="450">
        <v>99.55</v>
      </c>
      <c r="AS756" s="450">
        <v>99.8</v>
      </c>
      <c r="AT756" s="450">
        <v>100.04</v>
      </c>
      <c r="AU756" s="450">
        <v>100.28</v>
      </c>
      <c r="AV756" s="450">
        <v>100.51</v>
      </c>
      <c r="AW756" s="450">
        <v>100.73</v>
      </c>
      <c r="AX756" s="450">
        <v>100.94</v>
      </c>
      <c r="AY756" s="450">
        <v>101.15</v>
      </c>
      <c r="AZ756" s="450">
        <v>101.34</v>
      </c>
      <c r="BA756" s="450">
        <v>102.14</v>
      </c>
      <c r="BB756" s="450">
        <v>102.62</v>
      </c>
      <c r="BC756" s="450">
        <v>102.81</v>
      </c>
      <c r="BD756" s="450">
        <v>102.81</v>
      </c>
      <c r="BE756" s="450">
        <v>102.72</v>
      </c>
    </row>
    <row r="757" spans="2:57" x14ac:dyDescent="0.25">
      <c r="B757" s="134">
        <v>50</v>
      </c>
      <c r="C757" s="450">
        <v>96.87</v>
      </c>
      <c r="D757" s="450">
        <v>97.12</v>
      </c>
      <c r="E757" s="450">
        <v>97.38</v>
      </c>
      <c r="F757" s="450">
        <v>97.62</v>
      </c>
      <c r="G757" s="450">
        <v>97.87</v>
      </c>
      <c r="H757" s="450">
        <v>98.11</v>
      </c>
      <c r="I757" s="450">
        <v>98.34</v>
      </c>
      <c r="J757" s="450">
        <v>98.56</v>
      </c>
      <c r="K757" s="450">
        <v>98.78</v>
      </c>
      <c r="L757" s="450">
        <v>98.98</v>
      </c>
      <c r="M757" s="450">
        <v>99.18</v>
      </c>
      <c r="N757" s="450">
        <v>99.36</v>
      </c>
      <c r="O757" s="450">
        <v>100.1</v>
      </c>
      <c r="P757" s="450">
        <v>100.52</v>
      </c>
      <c r="Q757" s="450">
        <v>100.65</v>
      </c>
      <c r="R757" s="450">
        <v>100.63</v>
      </c>
      <c r="S757" s="450">
        <v>100.52</v>
      </c>
      <c r="T757" s="133"/>
      <c r="U757" s="134">
        <v>50</v>
      </c>
      <c r="V757" s="450">
        <v>98.02</v>
      </c>
      <c r="W757" s="450">
        <v>98.29</v>
      </c>
      <c r="X757" s="450">
        <v>98.55</v>
      </c>
      <c r="Y757" s="450">
        <v>98.8</v>
      </c>
      <c r="Z757" s="450">
        <v>99.05</v>
      </c>
      <c r="AA757" s="450">
        <v>99.3</v>
      </c>
      <c r="AB757" s="450">
        <v>99.54</v>
      </c>
      <c r="AC757" s="450">
        <v>99.77</v>
      </c>
      <c r="AD757" s="450">
        <v>99.99</v>
      </c>
      <c r="AE757" s="450">
        <v>100.2</v>
      </c>
      <c r="AF757" s="450">
        <v>100.4</v>
      </c>
      <c r="AG757" s="450">
        <v>100.6</v>
      </c>
      <c r="AH757" s="450">
        <v>101.36</v>
      </c>
      <c r="AI757" s="450">
        <v>101.81</v>
      </c>
      <c r="AJ757" s="450">
        <v>101.95</v>
      </c>
      <c r="AK757" s="450">
        <v>101.93</v>
      </c>
      <c r="AL757" s="450">
        <v>101.83</v>
      </c>
      <c r="AM757" s="133"/>
      <c r="AN757" s="134">
        <v>50</v>
      </c>
      <c r="AO757" s="450">
        <v>99.32</v>
      </c>
      <c r="AP757" s="450">
        <v>99.59</v>
      </c>
      <c r="AQ757" s="450">
        <v>99.86</v>
      </c>
      <c r="AR757" s="450">
        <v>100.12</v>
      </c>
      <c r="AS757" s="450">
        <v>100.38</v>
      </c>
      <c r="AT757" s="450">
        <v>100.63</v>
      </c>
      <c r="AU757" s="450">
        <v>100.88</v>
      </c>
      <c r="AV757" s="450">
        <v>101.12</v>
      </c>
      <c r="AW757" s="450">
        <v>101.35</v>
      </c>
      <c r="AX757" s="450">
        <v>101.57</v>
      </c>
      <c r="AY757" s="450">
        <v>101.78</v>
      </c>
      <c r="AZ757" s="450">
        <v>101.98</v>
      </c>
      <c r="BA757" s="450">
        <v>102.77</v>
      </c>
      <c r="BB757" s="450">
        <v>103.23</v>
      </c>
      <c r="BC757" s="450">
        <v>103.38</v>
      </c>
      <c r="BD757" s="450">
        <v>103.36</v>
      </c>
      <c r="BE757" s="450">
        <v>103.25</v>
      </c>
    </row>
    <row r="758" spans="2:57" x14ac:dyDescent="0.25">
      <c r="B758" s="134">
        <v>51</v>
      </c>
      <c r="C758" s="450">
        <v>97.4</v>
      </c>
      <c r="D758" s="450">
        <v>97.67</v>
      </c>
      <c r="E758" s="450">
        <v>97.93</v>
      </c>
      <c r="F758" s="450">
        <v>98.19</v>
      </c>
      <c r="G758" s="450">
        <v>98.44</v>
      </c>
      <c r="H758" s="450">
        <v>98.69</v>
      </c>
      <c r="I758" s="450">
        <v>98.93</v>
      </c>
      <c r="J758" s="450">
        <v>99.16</v>
      </c>
      <c r="K758" s="450">
        <v>99.38</v>
      </c>
      <c r="L758" s="450">
        <v>99.59</v>
      </c>
      <c r="M758" s="450">
        <v>99.79</v>
      </c>
      <c r="N758" s="450">
        <v>99.98</v>
      </c>
      <c r="O758" s="450">
        <v>100.71</v>
      </c>
      <c r="P758" s="450">
        <v>101.1</v>
      </c>
      <c r="Q758" s="450">
        <v>101.21</v>
      </c>
      <c r="R758" s="450">
        <v>101.15</v>
      </c>
      <c r="S758" s="450">
        <v>101.03</v>
      </c>
      <c r="T758" s="133"/>
      <c r="U758" s="134">
        <v>51</v>
      </c>
      <c r="V758" s="450">
        <v>98.57</v>
      </c>
      <c r="W758" s="450">
        <v>98.84</v>
      </c>
      <c r="X758" s="450">
        <v>99.12</v>
      </c>
      <c r="Y758" s="450">
        <v>99.38</v>
      </c>
      <c r="Z758" s="450">
        <v>99.64</v>
      </c>
      <c r="AA758" s="450">
        <v>99.9</v>
      </c>
      <c r="AB758" s="450">
        <v>100.14</v>
      </c>
      <c r="AC758" s="450">
        <v>100.38</v>
      </c>
      <c r="AD758" s="450">
        <v>100.61</v>
      </c>
      <c r="AE758" s="450">
        <v>100.83</v>
      </c>
      <c r="AF758" s="450">
        <v>101.04</v>
      </c>
      <c r="AG758" s="450">
        <v>101.23</v>
      </c>
      <c r="AH758" s="450">
        <v>101.99</v>
      </c>
      <c r="AI758" s="450">
        <v>102.4</v>
      </c>
      <c r="AJ758" s="450">
        <v>102.52</v>
      </c>
      <c r="AK758" s="450">
        <v>102.48</v>
      </c>
      <c r="AL758" s="450">
        <v>102.36</v>
      </c>
      <c r="AM758" s="133"/>
      <c r="AN758" s="134">
        <v>51</v>
      </c>
      <c r="AO758" s="450">
        <v>99.88</v>
      </c>
      <c r="AP758" s="450">
        <v>100.17</v>
      </c>
      <c r="AQ758" s="450">
        <v>100.45</v>
      </c>
      <c r="AR758" s="450">
        <v>100.72</v>
      </c>
      <c r="AS758" s="450">
        <v>100.99</v>
      </c>
      <c r="AT758" s="450">
        <v>101.25</v>
      </c>
      <c r="AU758" s="450">
        <v>101.51</v>
      </c>
      <c r="AV758" s="450">
        <v>101.75</v>
      </c>
      <c r="AW758" s="450">
        <v>101.99</v>
      </c>
      <c r="AX758" s="450">
        <v>102.22</v>
      </c>
      <c r="AY758" s="450">
        <v>102.43</v>
      </c>
      <c r="AZ758" s="450">
        <v>102.63</v>
      </c>
      <c r="BA758" s="450">
        <v>103.42</v>
      </c>
      <c r="BB758" s="450">
        <v>103.85</v>
      </c>
      <c r="BC758" s="450">
        <v>103.98</v>
      </c>
      <c r="BD758" s="450">
        <v>103.93</v>
      </c>
      <c r="BE758" s="450">
        <v>103.8</v>
      </c>
    </row>
    <row r="759" spans="2:57" x14ac:dyDescent="0.25">
      <c r="B759" s="134">
        <v>52</v>
      </c>
      <c r="C759" s="450">
        <v>97.96</v>
      </c>
      <c r="D759" s="450">
        <v>98.23</v>
      </c>
      <c r="E759" s="450">
        <v>98.51</v>
      </c>
      <c r="F759" s="450">
        <v>98.78</v>
      </c>
      <c r="G759" s="450">
        <v>99.04</v>
      </c>
      <c r="H759" s="450">
        <v>99.3</v>
      </c>
      <c r="I759" s="450">
        <v>99.54</v>
      </c>
      <c r="J759" s="450">
        <v>99.78</v>
      </c>
      <c r="K759" s="450">
        <v>100.01</v>
      </c>
      <c r="L759" s="450">
        <v>100.22</v>
      </c>
      <c r="M759" s="450">
        <v>100.42</v>
      </c>
      <c r="N759" s="450">
        <v>100.61</v>
      </c>
      <c r="O759" s="450">
        <v>101.33</v>
      </c>
      <c r="P759" s="450">
        <v>101.69</v>
      </c>
      <c r="Q759" s="450">
        <v>101.77</v>
      </c>
      <c r="R759" s="450">
        <v>101.69</v>
      </c>
      <c r="S759" s="450">
        <v>101.55</v>
      </c>
      <c r="T759" s="133"/>
      <c r="U759" s="134">
        <v>52</v>
      </c>
      <c r="V759" s="450">
        <v>99.14</v>
      </c>
      <c r="W759" s="450">
        <v>99.43</v>
      </c>
      <c r="X759" s="450">
        <v>99.71</v>
      </c>
      <c r="Y759" s="450">
        <v>99.99</v>
      </c>
      <c r="Z759" s="450">
        <v>100.26</v>
      </c>
      <c r="AA759" s="450">
        <v>100.52</v>
      </c>
      <c r="AB759" s="450">
        <v>100.78</v>
      </c>
      <c r="AC759" s="450">
        <v>101.02</v>
      </c>
      <c r="AD759" s="450">
        <v>101.26</v>
      </c>
      <c r="AE759" s="450">
        <v>101.48</v>
      </c>
      <c r="AF759" s="450">
        <v>101.69</v>
      </c>
      <c r="AG759" s="450">
        <v>101.88</v>
      </c>
      <c r="AH759" s="450">
        <v>102.64</v>
      </c>
      <c r="AI759" s="450">
        <v>103.02</v>
      </c>
      <c r="AJ759" s="450">
        <v>103.11</v>
      </c>
      <c r="AK759" s="450">
        <v>103.04</v>
      </c>
      <c r="AL759" s="450">
        <v>102.91</v>
      </c>
      <c r="AM759" s="133"/>
      <c r="AN759" s="134">
        <v>52</v>
      </c>
      <c r="AO759" s="450">
        <v>100.47</v>
      </c>
      <c r="AP759" s="450">
        <v>100.77</v>
      </c>
      <c r="AQ759" s="450">
        <v>101.06</v>
      </c>
      <c r="AR759" s="450">
        <v>101.35</v>
      </c>
      <c r="AS759" s="450">
        <v>101.63</v>
      </c>
      <c r="AT759" s="450">
        <v>101.9</v>
      </c>
      <c r="AU759" s="450">
        <v>102.16</v>
      </c>
      <c r="AV759" s="450">
        <v>102.42</v>
      </c>
      <c r="AW759" s="450">
        <v>102.66</v>
      </c>
      <c r="AX759" s="450">
        <v>102.89</v>
      </c>
      <c r="AY759" s="450">
        <v>103.11</v>
      </c>
      <c r="AZ759" s="450">
        <v>103.31</v>
      </c>
      <c r="BA759" s="450">
        <v>104.09</v>
      </c>
      <c r="BB759" s="450">
        <v>104.48</v>
      </c>
      <c r="BC759" s="450">
        <v>104.58</v>
      </c>
      <c r="BD759" s="450">
        <v>104.51</v>
      </c>
      <c r="BE759" s="450">
        <v>104.36</v>
      </c>
    </row>
    <row r="760" spans="2:57" x14ac:dyDescent="0.25">
      <c r="B760" s="134">
        <v>53</v>
      </c>
      <c r="C760" s="450">
        <v>98.54</v>
      </c>
      <c r="D760" s="450">
        <v>98.83</v>
      </c>
      <c r="E760" s="450">
        <v>99.11</v>
      </c>
      <c r="F760" s="450">
        <v>99.39</v>
      </c>
      <c r="G760" s="450">
        <v>99.66</v>
      </c>
      <c r="H760" s="450">
        <v>99.93</v>
      </c>
      <c r="I760" s="450">
        <v>100.18</v>
      </c>
      <c r="J760" s="450">
        <v>100.42</v>
      </c>
      <c r="K760" s="450">
        <v>100.65</v>
      </c>
      <c r="L760" s="450">
        <v>100.87</v>
      </c>
      <c r="M760" s="450">
        <v>101.07</v>
      </c>
      <c r="N760" s="450">
        <v>101.26</v>
      </c>
      <c r="O760" s="450">
        <v>101.97</v>
      </c>
      <c r="P760" s="450">
        <v>102.29</v>
      </c>
      <c r="Q760" s="450">
        <v>102.34</v>
      </c>
      <c r="R760" s="450">
        <v>102.24</v>
      </c>
      <c r="S760" s="450">
        <v>102.08</v>
      </c>
      <c r="T760" s="133"/>
      <c r="U760" s="134">
        <v>53</v>
      </c>
      <c r="V760" s="450">
        <v>99.74</v>
      </c>
      <c r="W760" s="450">
        <v>100.04</v>
      </c>
      <c r="X760" s="450">
        <v>100.33</v>
      </c>
      <c r="Y760" s="450">
        <v>100.62</v>
      </c>
      <c r="Z760" s="450">
        <v>100.9</v>
      </c>
      <c r="AA760" s="450">
        <v>101.17</v>
      </c>
      <c r="AB760" s="450">
        <v>101.44</v>
      </c>
      <c r="AC760" s="450">
        <v>101.69</v>
      </c>
      <c r="AD760" s="450">
        <v>101.93</v>
      </c>
      <c r="AE760" s="450">
        <v>102.15</v>
      </c>
      <c r="AF760" s="450">
        <v>102.36</v>
      </c>
      <c r="AG760" s="450">
        <v>102.56</v>
      </c>
      <c r="AH760" s="450">
        <v>103.3</v>
      </c>
      <c r="AI760" s="450">
        <v>103.64</v>
      </c>
      <c r="AJ760" s="450">
        <v>103.7</v>
      </c>
      <c r="AK760" s="450">
        <v>103.62</v>
      </c>
      <c r="AL760" s="450">
        <v>103.47</v>
      </c>
      <c r="AM760" s="133"/>
      <c r="AN760" s="134">
        <v>53</v>
      </c>
      <c r="AO760" s="450">
        <v>101.09</v>
      </c>
      <c r="AP760" s="450">
        <v>101.4</v>
      </c>
      <c r="AQ760" s="450">
        <v>101.7</v>
      </c>
      <c r="AR760" s="450">
        <v>102</v>
      </c>
      <c r="AS760" s="450">
        <v>102.29</v>
      </c>
      <c r="AT760" s="450">
        <v>102.57</v>
      </c>
      <c r="AU760" s="450">
        <v>102.84</v>
      </c>
      <c r="AV760" s="450">
        <v>103.1</v>
      </c>
      <c r="AW760" s="450">
        <v>103.35</v>
      </c>
      <c r="AX760" s="450">
        <v>103.58</v>
      </c>
      <c r="AY760" s="450">
        <v>103.8</v>
      </c>
      <c r="AZ760" s="450">
        <v>104</v>
      </c>
      <c r="BA760" s="450">
        <v>104.77</v>
      </c>
      <c r="BB760" s="450">
        <v>105.13</v>
      </c>
      <c r="BC760" s="450">
        <v>105.2</v>
      </c>
      <c r="BD760" s="450">
        <v>105.1</v>
      </c>
      <c r="BE760" s="450">
        <v>104.94</v>
      </c>
    </row>
    <row r="761" spans="2:57" x14ac:dyDescent="0.25">
      <c r="B761" s="134">
        <v>54</v>
      </c>
      <c r="C761" s="450">
        <v>99.14</v>
      </c>
      <c r="D761" s="450">
        <v>99.44</v>
      </c>
      <c r="E761" s="450">
        <v>99.74</v>
      </c>
      <c r="F761" s="450">
        <v>100.03</v>
      </c>
      <c r="G761" s="450">
        <v>100.31</v>
      </c>
      <c r="H761" s="450">
        <v>100.58</v>
      </c>
      <c r="I761" s="450">
        <v>100.84</v>
      </c>
      <c r="J761" s="450">
        <v>101.09</v>
      </c>
      <c r="K761" s="450">
        <v>101.32</v>
      </c>
      <c r="L761" s="450">
        <v>101.54</v>
      </c>
      <c r="M761" s="450">
        <v>101.74</v>
      </c>
      <c r="N761" s="450">
        <v>101.93</v>
      </c>
      <c r="O761" s="450">
        <v>102.61</v>
      </c>
      <c r="P761" s="450">
        <v>102.89</v>
      </c>
      <c r="Q761" s="450">
        <v>102.91</v>
      </c>
      <c r="R761" s="450">
        <v>102.79</v>
      </c>
      <c r="S761" s="450">
        <v>102.62</v>
      </c>
      <c r="T761" s="133"/>
      <c r="U761" s="134">
        <v>54</v>
      </c>
      <c r="V761" s="450">
        <v>100.36</v>
      </c>
      <c r="W761" s="450">
        <v>100.67</v>
      </c>
      <c r="X761" s="450">
        <v>100.98</v>
      </c>
      <c r="Y761" s="450">
        <v>101.28</v>
      </c>
      <c r="Z761" s="450">
        <v>101.57</v>
      </c>
      <c r="AA761" s="450">
        <v>101.85</v>
      </c>
      <c r="AB761" s="450">
        <v>102.12</v>
      </c>
      <c r="AC761" s="450">
        <v>102.37</v>
      </c>
      <c r="AD761" s="450">
        <v>102.62</v>
      </c>
      <c r="AE761" s="450">
        <v>102.84</v>
      </c>
      <c r="AF761" s="450">
        <v>103.05</v>
      </c>
      <c r="AG761" s="450">
        <v>103.25</v>
      </c>
      <c r="AH761" s="450">
        <v>103.97</v>
      </c>
      <c r="AI761" s="450">
        <v>104.27</v>
      </c>
      <c r="AJ761" s="450">
        <v>104.3</v>
      </c>
      <c r="AK761" s="450">
        <v>104.19</v>
      </c>
      <c r="AL761" s="450">
        <v>104.03</v>
      </c>
      <c r="AM761" s="133"/>
      <c r="AN761" s="134">
        <v>54</v>
      </c>
      <c r="AO761" s="450">
        <v>101.73</v>
      </c>
      <c r="AP761" s="450">
        <v>102.05</v>
      </c>
      <c r="AQ761" s="450">
        <v>102.37</v>
      </c>
      <c r="AR761" s="450">
        <v>102.68</v>
      </c>
      <c r="AS761" s="450">
        <v>102.98</v>
      </c>
      <c r="AT761" s="450">
        <v>103.27</v>
      </c>
      <c r="AU761" s="450">
        <v>103.55</v>
      </c>
      <c r="AV761" s="450">
        <v>103.81</v>
      </c>
      <c r="AW761" s="450">
        <v>104.06</v>
      </c>
      <c r="AX761" s="450">
        <v>104.3</v>
      </c>
      <c r="AY761" s="450">
        <v>104.52</v>
      </c>
      <c r="AZ761" s="450">
        <v>104.72</v>
      </c>
      <c r="BA761" s="450">
        <v>105.47</v>
      </c>
      <c r="BB761" s="450">
        <v>105.78</v>
      </c>
      <c r="BC761" s="450">
        <v>105.82</v>
      </c>
      <c r="BD761" s="450">
        <v>105.69</v>
      </c>
      <c r="BE761" s="450">
        <v>105.52</v>
      </c>
    </row>
    <row r="762" spans="2:57" x14ac:dyDescent="0.25">
      <c r="B762" s="134">
        <v>55</v>
      </c>
      <c r="C762" s="450">
        <v>99.77</v>
      </c>
      <c r="D762" s="450">
        <v>100.08</v>
      </c>
      <c r="E762" s="450">
        <v>100.39</v>
      </c>
      <c r="F762" s="450">
        <v>100.69</v>
      </c>
      <c r="G762" s="450">
        <v>100.98</v>
      </c>
      <c r="H762" s="450">
        <v>101.26</v>
      </c>
      <c r="I762" s="450">
        <v>101.52</v>
      </c>
      <c r="J762" s="450">
        <v>101.77</v>
      </c>
      <c r="K762" s="450">
        <v>102.01</v>
      </c>
      <c r="L762" s="450">
        <v>102.22</v>
      </c>
      <c r="M762" s="450">
        <v>102.43</v>
      </c>
      <c r="N762" s="450">
        <v>102.61</v>
      </c>
      <c r="O762" s="450">
        <v>103.26</v>
      </c>
      <c r="P762" s="450">
        <v>103.5</v>
      </c>
      <c r="Q762" s="450">
        <v>103.48</v>
      </c>
      <c r="R762" s="450">
        <v>103.34</v>
      </c>
      <c r="S762" s="450">
        <v>103.16</v>
      </c>
      <c r="T762" s="133"/>
      <c r="U762" s="134">
        <v>55</v>
      </c>
      <c r="V762" s="450">
        <v>101.01</v>
      </c>
      <c r="W762" s="450">
        <v>101.33</v>
      </c>
      <c r="X762" s="450">
        <v>101.65</v>
      </c>
      <c r="Y762" s="450">
        <v>101.96</v>
      </c>
      <c r="Z762" s="450">
        <v>102.26</v>
      </c>
      <c r="AA762" s="450">
        <v>102.55</v>
      </c>
      <c r="AB762" s="450">
        <v>102.82</v>
      </c>
      <c r="AC762" s="450">
        <v>103.08</v>
      </c>
      <c r="AD762" s="450">
        <v>103.32</v>
      </c>
      <c r="AE762" s="450">
        <v>103.55</v>
      </c>
      <c r="AF762" s="450">
        <v>103.76</v>
      </c>
      <c r="AG762" s="450">
        <v>103.95</v>
      </c>
      <c r="AH762" s="450">
        <v>104.64</v>
      </c>
      <c r="AI762" s="450">
        <v>104.9</v>
      </c>
      <c r="AJ762" s="450">
        <v>104.9</v>
      </c>
      <c r="AK762" s="450">
        <v>104.77</v>
      </c>
      <c r="AL762" s="450">
        <v>104.59</v>
      </c>
      <c r="AM762" s="133"/>
      <c r="AN762" s="134">
        <v>55</v>
      </c>
      <c r="AO762" s="450">
        <v>102.4</v>
      </c>
      <c r="AP762" s="450">
        <v>102.74</v>
      </c>
      <c r="AQ762" s="450">
        <v>103.06</v>
      </c>
      <c r="AR762" s="450">
        <v>103.38</v>
      </c>
      <c r="AS762" s="450">
        <v>103.69</v>
      </c>
      <c r="AT762" s="450">
        <v>103.99</v>
      </c>
      <c r="AU762" s="450">
        <v>104.27</v>
      </c>
      <c r="AV762" s="450">
        <v>104.54</v>
      </c>
      <c r="AW762" s="450">
        <v>104.8</v>
      </c>
      <c r="AX762" s="450">
        <v>105.03</v>
      </c>
      <c r="AY762" s="450">
        <v>105.25</v>
      </c>
      <c r="AZ762" s="450">
        <v>105.45</v>
      </c>
      <c r="BA762" s="450">
        <v>106.17</v>
      </c>
      <c r="BB762" s="450">
        <v>106.44</v>
      </c>
      <c r="BC762" s="450">
        <v>106.44</v>
      </c>
      <c r="BD762" s="450">
        <v>106.29</v>
      </c>
      <c r="BE762" s="450">
        <v>106.09</v>
      </c>
    </row>
    <row r="763" spans="2:57" x14ac:dyDescent="0.25">
      <c r="B763" s="134">
        <v>56</v>
      </c>
      <c r="C763" s="450">
        <v>100.42</v>
      </c>
      <c r="D763" s="450">
        <v>100.75</v>
      </c>
      <c r="E763" s="450">
        <v>101.06</v>
      </c>
      <c r="F763" s="450">
        <v>101.37</v>
      </c>
      <c r="G763" s="450">
        <v>101.67</v>
      </c>
      <c r="H763" s="450">
        <v>101.95</v>
      </c>
      <c r="I763" s="450">
        <v>102.22</v>
      </c>
      <c r="J763" s="450">
        <v>102.47</v>
      </c>
      <c r="K763" s="450">
        <v>102.7</v>
      </c>
      <c r="L763" s="450">
        <v>102.92</v>
      </c>
      <c r="M763" s="450">
        <v>103.12</v>
      </c>
      <c r="N763" s="450">
        <v>103.3</v>
      </c>
      <c r="O763" s="450">
        <v>103.91</v>
      </c>
      <c r="P763" s="450">
        <v>104.1</v>
      </c>
      <c r="Q763" s="450">
        <v>104.05</v>
      </c>
      <c r="R763" s="450">
        <v>103.88</v>
      </c>
      <c r="S763" s="450">
        <v>103.68</v>
      </c>
      <c r="T763" s="133"/>
      <c r="U763" s="134">
        <v>56</v>
      </c>
      <c r="V763" s="450">
        <v>101.68</v>
      </c>
      <c r="W763" s="450">
        <v>102.02</v>
      </c>
      <c r="X763" s="450">
        <v>102.35</v>
      </c>
      <c r="Y763" s="450">
        <v>102.66</v>
      </c>
      <c r="Z763" s="450">
        <v>102.97</v>
      </c>
      <c r="AA763" s="450">
        <v>103.26</v>
      </c>
      <c r="AB763" s="450">
        <v>103.54</v>
      </c>
      <c r="AC763" s="450">
        <v>103.8</v>
      </c>
      <c r="AD763" s="450">
        <v>104.05</v>
      </c>
      <c r="AE763" s="450">
        <v>104.27</v>
      </c>
      <c r="AF763" s="450">
        <v>104.48</v>
      </c>
      <c r="AG763" s="450">
        <v>104.67</v>
      </c>
      <c r="AH763" s="450">
        <v>105.31</v>
      </c>
      <c r="AI763" s="450">
        <v>105.53</v>
      </c>
      <c r="AJ763" s="450">
        <v>105.49</v>
      </c>
      <c r="AK763" s="450">
        <v>105.33</v>
      </c>
      <c r="AL763" s="450">
        <v>105.14</v>
      </c>
      <c r="AM763" s="133"/>
      <c r="AN763" s="134">
        <v>56</v>
      </c>
      <c r="AO763" s="450">
        <v>103.1</v>
      </c>
      <c r="AP763" s="450">
        <v>103.45</v>
      </c>
      <c r="AQ763" s="450">
        <v>103.78</v>
      </c>
      <c r="AR763" s="450">
        <v>104.11</v>
      </c>
      <c r="AS763" s="450">
        <v>104.43</v>
      </c>
      <c r="AT763" s="450">
        <v>104.73</v>
      </c>
      <c r="AU763" s="450">
        <v>105.02</v>
      </c>
      <c r="AV763" s="450">
        <v>105.29</v>
      </c>
      <c r="AW763" s="450">
        <v>105.55</v>
      </c>
      <c r="AX763" s="450">
        <v>105.78</v>
      </c>
      <c r="AY763" s="450">
        <v>106</v>
      </c>
      <c r="AZ763" s="450">
        <v>106.19</v>
      </c>
      <c r="BA763" s="450">
        <v>106.86</v>
      </c>
      <c r="BB763" s="450">
        <v>107.09</v>
      </c>
      <c r="BC763" s="450">
        <v>107.05</v>
      </c>
      <c r="BD763" s="450">
        <v>106.87</v>
      </c>
      <c r="BE763" s="450">
        <v>106.66</v>
      </c>
    </row>
    <row r="764" spans="2:57" x14ac:dyDescent="0.25">
      <c r="B764" s="134">
        <v>57</v>
      </c>
      <c r="C764" s="450">
        <v>101.1</v>
      </c>
      <c r="D764" s="450">
        <v>101.43</v>
      </c>
      <c r="E764" s="450">
        <v>101.76</v>
      </c>
      <c r="F764" s="450">
        <v>102.07</v>
      </c>
      <c r="G764" s="450">
        <v>102.37</v>
      </c>
      <c r="H764" s="450">
        <v>102.66</v>
      </c>
      <c r="I764" s="450">
        <v>102.93</v>
      </c>
      <c r="J764" s="450">
        <v>103.18</v>
      </c>
      <c r="K764" s="450">
        <v>103.41</v>
      </c>
      <c r="L764" s="450">
        <v>103.62</v>
      </c>
      <c r="M764" s="450">
        <v>103.81</v>
      </c>
      <c r="N764" s="450">
        <v>103.99</v>
      </c>
      <c r="O764" s="450">
        <v>104.54</v>
      </c>
      <c r="P764" s="450">
        <v>104.68</v>
      </c>
      <c r="Q764" s="450">
        <v>104.59</v>
      </c>
      <c r="R764" s="450">
        <v>104.39</v>
      </c>
      <c r="S764" s="450">
        <v>104.18</v>
      </c>
      <c r="T764" s="133"/>
      <c r="U764" s="134">
        <v>57</v>
      </c>
      <c r="V764" s="450">
        <v>102.38</v>
      </c>
      <c r="W764" s="450">
        <v>102.73</v>
      </c>
      <c r="X764" s="450">
        <v>103.06</v>
      </c>
      <c r="Y764" s="450">
        <v>103.39</v>
      </c>
      <c r="Z764" s="450">
        <v>103.7</v>
      </c>
      <c r="AA764" s="450">
        <v>104</v>
      </c>
      <c r="AB764" s="450">
        <v>104.28</v>
      </c>
      <c r="AC764" s="450">
        <v>104.54</v>
      </c>
      <c r="AD764" s="450">
        <v>104.78</v>
      </c>
      <c r="AE764" s="450">
        <v>105</v>
      </c>
      <c r="AF764" s="450">
        <v>105.2</v>
      </c>
      <c r="AG764" s="450">
        <v>105.39</v>
      </c>
      <c r="AH764" s="450">
        <v>105.98</v>
      </c>
      <c r="AI764" s="450">
        <v>106.14</v>
      </c>
      <c r="AJ764" s="450">
        <v>106.07</v>
      </c>
      <c r="AK764" s="450">
        <v>105.88</v>
      </c>
      <c r="AL764" s="450">
        <v>105.67</v>
      </c>
      <c r="AM764" s="133"/>
      <c r="AN764" s="134">
        <v>57</v>
      </c>
      <c r="AO764" s="450">
        <v>103.82</v>
      </c>
      <c r="AP764" s="450">
        <v>104.18</v>
      </c>
      <c r="AQ764" s="450">
        <v>104.53</v>
      </c>
      <c r="AR764" s="450">
        <v>104.86</v>
      </c>
      <c r="AS764" s="450">
        <v>105.19</v>
      </c>
      <c r="AT764" s="450">
        <v>105.49</v>
      </c>
      <c r="AU764" s="450">
        <v>105.78</v>
      </c>
      <c r="AV764" s="450">
        <v>106.06</v>
      </c>
      <c r="AW764" s="450">
        <v>106.31</v>
      </c>
      <c r="AX764" s="450">
        <v>106.54</v>
      </c>
      <c r="AY764" s="450">
        <v>106.75</v>
      </c>
      <c r="AZ764" s="450">
        <v>106.94</v>
      </c>
      <c r="BA764" s="450">
        <v>107.55</v>
      </c>
      <c r="BB764" s="450">
        <v>107.73</v>
      </c>
      <c r="BC764" s="450">
        <v>107.64</v>
      </c>
      <c r="BD764" s="450">
        <v>107.43</v>
      </c>
      <c r="BE764" s="450">
        <v>107.21</v>
      </c>
    </row>
    <row r="765" spans="2:57" x14ac:dyDescent="0.25">
      <c r="B765" s="134">
        <v>58</v>
      </c>
      <c r="C765" s="450">
        <v>101.8</v>
      </c>
      <c r="D765" s="450">
        <v>102.14</v>
      </c>
      <c r="E765" s="450">
        <v>102.47</v>
      </c>
      <c r="F765" s="450">
        <v>102.79</v>
      </c>
      <c r="G765" s="450">
        <v>103.09</v>
      </c>
      <c r="H765" s="450">
        <v>103.38</v>
      </c>
      <c r="I765" s="450">
        <v>103.64</v>
      </c>
      <c r="J765" s="450">
        <v>103.89</v>
      </c>
      <c r="K765" s="450">
        <v>104.12</v>
      </c>
      <c r="L765" s="450">
        <v>104.32</v>
      </c>
      <c r="M765" s="450">
        <v>104.51</v>
      </c>
      <c r="N765" s="450">
        <v>104.67</v>
      </c>
      <c r="O765" s="450">
        <v>105.15</v>
      </c>
      <c r="P765" s="450">
        <v>105.24</v>
      </c>
      <c r="Q765" s="450">
        <v>105.1</v>
      </c>
      <c r="R765" s="450">
        <v>104.87</v>
      </c>
      <c r="S765" s="450">
        <v>104.59</v>
      </c>
      <c r="T765" s="133"/>
      <c r="U765" s="134">
        <v>58</v>
      </c>
      <c r="V765" s="450">
        <v>103.1</v>
      </c>
      <c r="W765" s="450">
        <v>103.46</v>
      </c>
      <c r="X765" s="450">
        <v>103.8</v>
      </c>
      <c r="Y765" s="450">
        <v>104.13</v>
      </c>
      <c r="Z765" s="450">
        <v>104.45</v>
      </c>
      <c r="AA765" s="450">
        <v>104.74</v>
      </c>
      <c r="AB765" s="450">
        <v>105.02</v>
      </c>
      <c r="AC765" s="450">
        <v>105.28</v>
      </c>
      <c r="AD765" s="450">
        <v>105.52</v>
      </c>
      <c r="AE765" s="450">
        <v>105.73</v>
      </c>
      <c r="AF765" s="450">
        <v>105.93</v>
      </c>
      <c r="AG765" s="450">
        <v>106.1</v>
      </c>
      <c r="AH765" s="450">
        <v>106.62</v>
      </c>
      <c r="AI765" s="450">
        <v>106.73</v>
      </c>
      <c r="AJ765" s="450">
        <v>106.61</v>
      </c>
      <c r="AK765" s="450">
        <v>106.39</v>
      </c>
      <c r="AL765" s="450">
        <v>106.11</v>
      </c>
      <c r="AM765" s="133"/>
      <c r="AN765" s="134">
        <v>58</v>
      </c>
      <c r="AO765" s="450">
        <v>104.57</v>
      </c>
      <c r="AP765" s="450">
        <v>104.93</v>
      </c>
      <c r="AQ765" s="450">
        <v>105.29</v>
      </c>
      <c r="AR765" s="450">
        <v>105.63</v>
      </c>
      <c r="AS765" s="450">
        <v>105.96</v>
      </c>
      <c r="AT765" s="450">
        <v>106.27</v>
      </c>
      <c r="AU765" s="450">
        <v>106.56</v>
      </c>
      <c r="AV765" s="450">
        <v>106.83</v>
      </c>
      <c r="AW765" s="450">
        <v>107.07</v>
      </c>
      <c r="AX765" s="450">
        <v>107.3</v>
      </c>
      <c r="AY765" s="450">
        <v>107.5</v>
      </c>
      <c r="AZ765" s="450">
        <v>107.68</v>
      </c>
      <c r="BA765" s="450">
        <v>108.22</v>
      </c>
      <c r="BB765" s="450">
        <v>108.34</v>
      </c>
      <c r="BC765" s="450">
        <v>108.2</v>
      </c>
      <c r="BD765" s="450">
        <v>107.96</v>
      </c>
      <c r="BE765" s="450">
        <v>107.66</v>
      </c>
    </row>
    <row r="766" spans="2:57" x14ac:dyDescent="0.25">
      <c r="B766" s="134">
        <v>59</v>
      </c>
      <c r="C766" s="450">
        <v>102.51</v>
      </c>
      <c r="D766" s="450">
        <v>102.86</v>
      </c>
      <c r="E766" s="450">
        <v>103.2</v>
      </c>
      <c r="F766" s="450">
        <v>103.52</v>
      </c>
      <c r="G766" s="450">
        <v>103.82</v>
      </c>
      <c r="H766" s="450">
        <v>104.1</v>
      </c>
      <c r="I766" s="450">
        <v>104.36</v>
      </c>
      <c r="J766" s="450">
        <v>104.6</v>
      </c>
      <c r="K766" s="450">
        <v>104.82</v>
      </c>
      <c r="L766" s="450">
        <v>105.01</v>
      </c>
      <c r="M766" s="450">
        <v>105.19</v>
      </c>
      <c r="N766" s="450">
        <v>105.34</v>
      </c>
      <c r="O766" s="450">
        <v>105.74</v>
      </c>
      <c r="P766" s="450">
        <v>105.76</v>
      </c>
      <c r="Q766" s="450">
        <v>105.56</v>
      </c>
      <c r="R766" s="450">
        <v>105.3</v>
      </c>
      <c r="S766" s="450">
        <v>104.93</v>
      </c>
      <c r="T766" s="133"/>
      <c r="U766" s="134">
        <v>59</v>
      </c>
      <c r="V766" s="450">
        <v>103.84</v>
      </c>
      <c r="W766" s="450">
        <v>104.2</v>
      </c>
      <c r="X766" s="450">
        <v>104.55</v>
      </c>
      <c r="Y766" s="450">
        <v>104.89</v>
      </c>
      <c r="Z766" s="450">
        <v>105.2</v>
      </c>
      <c r="AA766" s="450">
        <v>105.5</v>
      </c>
      <c r="AB766" s="450">
        <v>105.77</v>
      </c>
      <c r="AC766" s="450">
        <v>106.02</v>
      </c>
      <c r="AD766" s="450">
        <v>106.25</v>
      </c>
      <c r="AE766" s="450">
        <v>106.46</v>
      </c>
      <c r="AF766" s="450">
        <v>106.64</v>
      </c>
      <c r="AG766" s="450">
        <v>106.8</v>
      </c>
      <c r="AH766" s="450">
        <v>107.24</v>
      </c>
      <c r="AI766" s="450">
        <v>107.28</v>
      </c>
      <c r="AJ766" s="450">
        <v>107.1</v>
      </c>
      <c r="AK766" s="450">
        <v>106.85</v>
      </c>
      <c r="AL766" s="450">
        <v>106.48</v>
      </c>
      <c r="AM766" s="133"/>
      <c r="AN766" s="134">
        <v>59</v>
      </c>
      <c r="AO766" s="450">
        <v>105.33</v>
      </c>
      <c r="AP766" s="450">
        <v>105.71</v>
      </c>
      <c r="AQ766" s="450">
        <v>106.07</v>
      </c>
      <c r="AR766" s="450">
        <v>106.42</v>
      </c>
      <c r="AS766" s="450">
        <v>106.74</v>
      </c>
      <c r="AT766" s="450">
        <v>107.05</v>
      </c>
      <c r="AU766" s="450">
        <v>107.33</v>
      </c>
      <c r="AV766" s="450">
        <v>107.59</v>
      </c>
      <c r="AW766" s="450">
        <v>107.83</v>
      </c>
      <c r="AX766" s="450">
        <v>108.05</v>
      </c>
      <c r="AY766" s="450">
        <v>108.24</v>
      </c>
      <c r="AZ766" s="450">
        <v>108.4</v>
      </c>
      <c r="BA766" s="450">
        <v>108.87</v>
      </c>
      <c r="BB766" s="450">
        <v>108.91</v>
      </c>
      <c r="BC766" s="450">
        <v>108.71</v>
      </c>
      <c r="BD766" s="450">
        <v>108.43</v>
      </c>
      <c r="BE766" s="450">
        <v>108.04</v>
      </c>
    </row>
    <row r="767" spans="2:57" x14ac:dyDescent="0.25">
      <c r="B767" s="134">
        <v>60</v>
      </c>
      <c r="C767" s="450">
        <v>103.24</v>
      </c>
      <c r="D767" s="450">
        <v>103.59</v>
      </c>
      <c r="E767" s="450">
        <v>103.93</v>
      </c>
      <c r="F767" s="450">
        <v>104.25</v>
      </c>
      <c r="G767" s="450">
        <v>104.54</v>
      </c>
      <c r="H767" s="450">
        <v>104.82</v>
      </c>
      <c r="I767" s="450">
        <v>105.07</v>
      </c>
      <c r="J767" s="450">
        <v>105.3</v>
      </c>
      <c r="K767" s="450">
        <v>105.51</v>
      </c>
      <c r="L767" s="450">
        <v>105.69</v>
      </c>
      <c r="M767" s="450">
        <v>105.84</v>
      </c>
      <c r="N767" s="450">
        <v>105.98</v>
      </c>
      <c r="O767" s="450">
        <v>106.29</v>
      </c>
      <c r="P767" s="450">
        <v>106.22</v>
      </c>
      <c r="Q767" s="450">
        <v>105.96</v>
      </c>
      <c r="R767" s="450">
        <v>105.66</v>
      </c>
      <c r="S767" s="450">
        <v>105.19</v>
      </c>
      <c r="T767" s="133"/>
      <c r="U767" s="134">
        <v>60</v>
      </c>
      <c r="V767" s="450">
        <v>104.6</v>
      </c>
      <c r="W767" s="450">
        <v>104.96</v>
      </c>
      <c r="X767" s="450">
        <v>105.31</v>
      </c>
      <c r="Y767" s="450">
        <v>105.65</v>
      </c>
      <c r="Z767" s="450">
        <v>105.96</v>
      </c>
      <c r="AA767" s="450">
        <v>106.25</v>
      </c>
      <c r="AB767" s="450">
        <v>106.51</v>
      </c>
      <c r="AC767" s="450">
        <v>106.75</v>
      </c>
      <c r="AD767" s="450">
        <v>106.97</v>
      </c>
      <c r="AE767" s="450">
        <v>107.16</v>
      </c>
      <c r="AF767" s="450">
        <v>107.33</v>
      </c>
      <c r="AG767" s="450">
        <v>107.47</v>
      </c>
      <c r="AH767" s="450">
        <v>107.82</v>
      </c>
      <c r="AI767" s="450">
        <v>107.78</v>
      </c>
      <c r="AJ767" s="450">
        <v>107.54</v>
      </c>
      <c r="AK767" s="450">
        <v>107.24</v>
      </c>
      <c r="AL767" s="450">
        <v>106.77</v>
      </c>
      <c r="AM767" s="133"/>
      <c r="AN767" s="134">
        <v>60</v>
      </c>
      <c r="AO767" s="450">
        <v>106.11</v>
      </c>
      <c r="AP767" s="450">
        <v>106.49</v>
      </c>
      <c r="AQ767" s="450">
        <v>106.86</v>
      </c>
      <c r="AR767" s="450">
        <v>107.2</v>
      </c>
      <c r="AS767" s="450">
        <v>107.53</v>
      </c>
      <c r="AT767" s="450">
        <v>107.83</v>
      </c>
      <c r="AU767" s="450">
        <v>108.1</v>
      </c>
      <c r="AV767" s="450">
        <v>108.35</v>
      </c>
      <c r="AW767" s="450">
        <v>108.58</v>
      </c>
      <c r="AX767" s="450">
        <v>108.78</v>
      </c>
      <c r="AY767" s="450">
        <v>108.95</v>
      </c>
      <c r="AZ767" s="450">
        <v>109.1</v>
      </c>
      <c r="BA767" s="450">
        <v>109.47</v>
      </c>
      <c r="BB767" s="450">
        <v>109.43</v>
      </c>
      <c r="BC767" s="450">
        <v>109.16</v>
      </c>
      <c r="BD767" s="450">
        <v>108.84</v>
      </c>
      <c r="BE767" s="450">
        <v>108.34</v>
      </c>
    </row>
    <row r="768" spans="2:57" x14ac:dyDescent="0.25">
      <c r="B768" s="134">
        <v>61</v>
      </c>
      <c r="C768" s="450">
        <v>103.97</v>
      </c>
      <c r="D768" s="450">
        <v>104.32</v>
      </c>
      <c r="E768" s="450">
        <v>104.66</v>
      </c>
      <c r="F768" s="450">
        <v>104.97</v>
      </c>
      <c r="G768" s="450">
        <v>105.26</v>
      </c>
      <c r="H768" s="450">
        <v>105.52</v>
      </c>
      <c r="I768" s="450">
        <v>105.76</v>
      </c>
      <c r="J768" s="450">
        <v>105.98</v>
      </c>
      <c r="K768" s="450">
        <v>106.17</v>
      </c>
      <c r="L768" s="450">
        <v>106.33</v>
      </c>
      <c r="M768" s="450">
        <v>106.47</v>
      </c>
      <c r="N768" s="450">
        <v>106.57</v>
      </c>
      <c r="O768" s="450">
        <v>106.78</v>
      </c>
      <c r="P768" s="450">
        <v>106.62</v>
      </c>
      <c r="Q768" s="450">
        <v>106.29</v>
      </c>
      <c r="R768" s="450">
        <v>105.95</v>
      </c>
      <c r="S768" s="450">
        <v>105.36</v>
      </c>
      <c r="T768" s="133"/>
      <c r="U768" s="134">
        <v>61</v>
      </c>
      <c r="V768" s="450">
        <v>105.36</v>
      </c>
      <c r="W768" s="450">
        <v>105.73</v>
      </c>
      <c r="X768" s="450">
        <v>106.08</v>
      </c>
      <c r="Y768" s="450">
        <v>106.4</v>
      </c>
      <c r="Z768" s="450">
        <v>106.7</v>
      </c>
      <c r="AA768" s="450">
        <v>106.98</v>
      </c>
      <c r="AB768" s="450">
        <v>107.24</v>
      </c>
      <c r="AC768" s="450">
        <v>107.46</v>
      </c>
      <c r="AD768" s="450">
        <v>107.66</v>
      </c>
      <c r="AE768" s="450">
        <v>107.84</v>
      </c>
      <c r="AF768" s="450">
        <v>107.98</v>
      </c>
      <c r="AG768" s="450">
        <v>108.1</v>
      </c>
      <c r="AH768" s="450">
        <v>108.34</v>
      </c>
      <c r="AI768" s="450">
        <v>108.21</v>
      </c>
      <c r="AJ768" s="450">
        <v>107.9</v>
      </c>
      <c r="AK768" s="450">
        <v>107.57</v>
      </c>
      <c r="AL768" s="450">
        <v>106.97</v>
      </c>
      <c r="AM768" s="133"/>
      <c r="AN768" s="134">
        <v>61</v>
      </c>
      <c r="AO768" s="450">
        <v>106.9</v>
      </c>
      <c r="AP768" s="450">
        <v>107.29</v>
      </c>
      <c r="AQ768" s="450">
        <v>107.65</v>
      </c>
      <c r="AR768" s="450">
        <v>107.99</v>
      </c>
      <c r="AS768" s="450">
        <v>108.3</v>
      </c>
      <c r="AT768" s="450">
        <v>108.59</v>
      </c>
      <c r="AU768" s="450">
        <v>108.86</v>
      </c>
      <c r="AV768" s="450">
        <v>109.09</v>
      </c>
      <c r="AW768" s="450">
        <v>109.3</v>
      </c>
      <c r="AX768" s="450">
        <v>109.48</v>
      </c>
      <c r="AY768" s="450">
        <v>109.64</v>
      </c>
      <c r="AZ768" s="450">
        <v>109.76</v>
      </c>
      <c r="BA768" s="450">
        <v>110.02</v>
      </c>
      <c r="BB768" s="450">
        <v>109.87</v>
      </c>
      <c r="BC768" s="450">
        <v>109.54</v>
      </c>
      <c r="BD768" s="450">
        <v>109.17</v>
      </c>
      <c r="BE768" s="450">
        <v>108.54</v>
      </c>
    </row>
    <row r="769" spans="2:57" x14ac:dyDescent="0.25">
      <c r="B769" s="134">
        <v>62</v>
      </c>
      <c r="C769" s="450">
        <v>104.7</v>
      </c>
      <c r="D769" s="450">
        <v>105.05</v>
      </c>
      <c r="E769" s="450">
        <v>105.38</v>
      </c>
      <c r="F769" s="450">
        <v>105.68</v>
      </c>
      <c r="G769" s="450">
        <v>105.95</v>
      </c>
      <c r="H769" s="450">
        <v>106.2</v>
      </c>
      <c r="I769" s="450">
        <v>106.42</v>
      </c>
      <c r="J769" s="450">
        <v>106.62</v>
      </c>
      <c r="K769" s="450">
        <v>106.78</v>
      </c>
      <c r="L769" s="450">
        <v>106.92</v>
      </c>
      <c r="M769" s="450">
        <v>107.02</v>
      </c>
      <c r="N769" s="450">
        <v>107.1</v>
      </c>
      <c r="O769" s="450">
        <v>107.19</v>
      </c>
      <c r="P769" s="450">
        <v>106.92</v>
      </c>
      <c r="Q769" s="450">
        <v>106.52</v>
      </c>
      <c r="R769" s="450">
        <v>106.14</v>
      </c>
      <c r="S769" s="450">
        <v>105.4</v>
      </c>
      <c r="T769" s="133"/>
      <c r="U769" s="134">
        <v>62</v>
      </c>
      <c r="V769" s="450">
        <v>106.12</v>
      </c>
      <c r="W769" s="450">
        <v>106.49</v>
      </c>
      <c r="X769" s="450">
        <v>106.83</v>
      </c>
      <c r="Y769" s="450">
        <v>107.14</v>
      </c>
      <c r="Z769" s="450">
        <v>107.43</v>
      </c>
      <c r="AA769" s="450">
        <v>107.69</v>
      </c>
      <c r="AB769" s="450">
        <v>107.93</v>
      </c>
      <c r="AC769" s="450">
        <v>108.14</v>
      </c>
      <c r="AD769" s="450">
        <v>108.31</v>
      </c>
      <c r="AE769" s="450">
        <v>108.46</v>
      </c>
      <c r="AF769" s="450">
        <v>108.58</v>
      </c>
      <c r="AG769" s="450">
        <v>108.67</v>
      </c>
      <c r="AH769" s="450">
        <v>108.79</v>
      </c>
      <c r="AI769" s="450">
        <v>108.55</v>
      </c>
      <c r="AJ769" s="450">
        <v>108.16</v>
      </c>
      <c r="AK769" s="450">
        <v>107.79</v>
      </c>
      <c r="AL769" s="450">
        <v>107.04</v>
      </c>
      <c r="AM769" s="133"/>
      <c r="AN769" s="134">
        <v>62</v>
      </c>
      <c r="AO769" s="450">
        <v>107.7</v>
      </c>
      <c r="AP769" s="450">
        <v>108.07</v>
      </c>
      <c r="AQ769" s="450">
        <v>108.43</v>
      </c>
      <c r="AR769" s="450">
        <v>108.76</v>
      </c>
      <c r="AS769" s="450">
        <v>109.06</v>
      </c>
      <c r="AT769" s="450">
        <v>109.33</v>
      </c>
      <c r="AU769" s="450">
        <v>109.58</v>
      </c>
      <c r="AV769" s="450">
        <v>109.79</v>
      </c>
      <c r="AW769" s="450">
        <v>109.98</v>
      </c>
      <c r="AX769" s="450">
        <v>110.14</v>
      </c>
      <c r="AY769" s="450">
        <v>110.26</v>
      </c>
      <c r="AZ769" s="450">
        <v>110.35</v>
      </c>
      <c r="BA769" s="450">
        <v>110.48</v>
      </c>
      <c r="BB769" s="450">
        <v>110.23</v>
      </c>
      <c r="BC769" s="450">
        <v>109.81</v>
      </c>
      <c r="BD769" s="450">
        <v>109.4</v>
      </c>
      <c r="BE769" s="450">
        <v>108.62</v>
      </c>
    </row>
    <row r="770" spans="2:57" x14ac:dyDescent="0.25">
      <c r="B770" s="134">
        <v>63</v>
      </c>
      <c r="C770" s="450">
        <v>105.42</v>
      </c>
      <c r="D770" s="450">
        <v>105.76</v>
      </c>
      <c r="E770" s="450">
        <v>106.07</v>
      </c>
      <c r="F770" s="450">
        <v>106.36</v>
      </c>
      <c r="G770" s="450">
        <v>106.61</v>
      </c>
      <c r="H770" s="450">
        <v>106.84</v>
      </c>
      <c r="I770" s="450">
        <v>107.03</v>
      </c>
      <c r="J770" s="450">
        <v>107.2</v>
      </c>
      <c r="K770" s="450">
        <v>107.34</v>
      </c>
      <c r="L770" s="450">
        <v>107.44</v>
      </c>
      <c r="M770" s="450">
        <v>107.51</v>
      </c>
      <c r="N770" s="450">
        <v>107.56</v>
      </c>
      <c r="O770" s="450">
        <v>107.5</v>
      </c>
      <c r="P770" s="450">
        <v>107.12</v>
      </c>
      <c r="Q770" s="450">
        <v>106.63</v>
      </c>
      <c r="R770" s="450">
        <v>106.11</v>
      </c>
      <c r="S770" s="450">
        <v>105.3</v>
      </c>
      <c r="T770" s="133"/>
      <c r="U770" s="134">
        <v>63</v>
      </c>
      <c r="V770" s="450">
        <v>106.87</v>
      </c>
      <c r="W770" s="450">
        <v>107.23</v>
      </c>
      <c r="X770" s="450">
        <v>107.55</v>
      </c>
      <c r="Y770" s="450">
        <v>107.85</v>
      </c>
      <c r="Z770" s="450">
        <v>108.12</v>
      </c>
      <c r="AA770" s="450">
        <v>108.37</v>
      </c>
      <c r="AB770" s="450">
        <v>108.58</v>
      </c>
      <c r="AC770" s="450">
        <v>108.76</v>
      </c>
      <c r="AD770" s="450">
        <v>108.91</v>
      </c>
      <c r="AE770" s="450">
        <v>109.02</v>
      </c>
      <c r="AF770" s="450">
        <v>109.1</v>
      </c>
      <c r="AG770" s="450">
        <v>109.16</v>
      </c>
      <c r="AH770" s="450">
        <v>109.14</v>
      </c>
      <c r="AI770" s="450">
        <v>108.78</v>
      </c>
      <c r="AJ770" s="450">
        <v>108.31</v>
      </c>
      <c r="AK770" s="450">
        <v>107.79</v>
      </c>
      <c r="AL770" s="450">
        <v>106.97</v>
      </c>
      <c r="AM770" s="133"/>
      <c r="AN770" s="134">
        <v>63</v>
      </c>
      <c r="AO770" s="450">
        <v>108.48</v>
      </c>
      <c r="AP770" s="450">
        <v>108.84</v>
      </c>
      <c r="AQ770" s="450">
        <v>109.19</v>
      </c>
      <c r="AR770" s="450">
        <v>109.5</v>
      </c>
      <c r="AS770" s="450">
        <v>109.78</v>
      </c>
      <c r="AT770" s="450">
        <v>110.03</v>
      </c>
      <c r="AU770" s="450">
        <v>110.25</v>
      </c>
      <c r="AV770" s="450">
        <v>110.44</v>
      </c>
      <c r="AW770" s="450">
        <v>110.6</v>
      </c>
      <c r="AX770" s="450">
        <v>110.72</v>
      </c>
      <c r="AY770" s="450">
        <v>110.81</v>
      </c>
      <c r="AZ770" s="450">
        <v>110.87</v>
      </c>
      <c r="BA770" s="450">
        <v>110.85</v>
      </c>
      <c r="BB770" s="450">
        <v>110.47</v>
      </c>
      <c r="BC770" s="450">
        <v>109.97</v>
      </c>
      <c r="BD770" s="450">
        <v>109.41</v>
      </c>
      <c r="BE770" s="450">
        <v>108.55</v>
      </c>
    </row>
    <row r="771" spans="2:57" x14ac:dyDescent="0.25">
      <c r="B771" s="134">
        <v>64</v>
      </c>
      <c r="C771" s="450">
        <v>106.12</v>
      </c>
      <c r="D771" s="450">
        <v>106.44</v>
      </c>
      <c r="E771" s="450">
        <v>106.73</v>
      </c>
      <c r="F771" s="450">
        <v>106.99</v>
      </c>
      <c r="G771" s="450">
        <v>107.22</v>
      </c>
      <c r="H771" s="450">
        <v>107.41</v>
      </c>
      <c r="I771" s="450">
        <v>107.58</v>
      </c>
      <c r="J771" s="450">
        <v>107.71</v>
      </c>
      <c r="K771" s="450">
        <v>107.81</v>
      </c>
      <c r="L771" s="450">
        <v>107.87</v>
      </c>
      <c r="M771" s="450">
        <v>107.91</v>
      </c>
      <c r="N771" s="450">
        <v>107.93</v>
      </c>
      <c r="O771" s="450">
        <v>107.7</v>
      </c>
      <c r="P771" s="450">
        <v>107.19</v>
      </c>
      <c r="Q771" s="450">
        <v>106.62</v>
      </c>
      <c r="R771" s="450">
        <v>105.92</v>
      </c>
      <c r="S771" s="450">
        <v>105.04</v>
      </c>
      <c r="T771" s="133"/>
      <c r="U771" s="134">
        <v>64</v>
      </c>
      <c r="V771" s="450">
        <v>107.6</v>
      </c>
      <c r="W771" s="450">
        <v>107.94</v>
      </c>
      <c r="X771" s="450">
        <v>108.25</v>
      </c>
      <c r="Y771" s="450">
        <v>108.52</v>
      </c>
      <c r="Z771" s="450">
        <v>108.77</v>
      </c>
      <c r="AA771" s="450">
        <v>108.98</v>
      </c>
      <c r="AB771" s="450">
        <v>109.16</v>
      </c>
      <c r="AC771" s="450">
        <v>109.31</v>
      </c>
      <c r="AD771" s="450">
        <v>109.41</v>
      </c>
      <c r="AE771" s="450">
        <v>109.49</v>
      </c>
      <c r="AF771" s="450">
        <v>109.54</v>
      </c>
      <c r="AG771" s="450">
        <v>109.56</v>
      </c>
      <c r="AH771" s="450">
        <v>109.38</v>
      </c>
      <c r="AI771" s="450">
        <v>108.88</v>
      </c>
      <c r="AJ771" s="450">
        <v>108.32</v>
      </c>
      <c r="AK771" s="450">
        <v>107.63</v>
      </c>
      <c r="AL771" s="450">
        <v>106.74</v>
      </c>
      <c r="AM771" s="133"/>
      <c r="AN771" s="134">
        <v>64</v>
      </c>
      <c r="AO771" s="450">
        <v>109.24</v>
      </c>
      <c r="AP771" s="450">
        <v>109.59</v>
      </c>
      <c r="AQ771" s="450">
        <v>109.91</v>
      </c>
      <c r="AR771" s="450">
        <v>110.19</v>
      </c>
      <c r="AS771" s="450">
        <v>110.45</v>
      </c>
      <c r="AT771" s="450">
        <v>110.67</v>
      </c>
      <c r="AU771" s="450">
        <v>110.86</v>
      </c>
      <c r="AV771" s="450">
        <v>111.02</v>
      </c>
      <c r="AW771" s="450">
        <v>111.13</v>
      </c>
      <c r="AX771" s="450">
        <v>111.21</v>
      </c>
      <c r="AY771" s="450">
        <v>111.27</v>
      </c>
      <c r="AZ771" s="450">
        <v>111.29</v>
      </c>
      <c r="BA771" s="450">
        <v>111.11</v>
      </c>
      <c r="BB771" s="450">
        <v>110.59</v>
      </c>
      <c r="BC771" s="450">
        <v>109.99</v>
      </c>
      <c r="BD771" s="450">
        <v>109.25</v>
      </c>
      <c r="BE771" s="450">
        <v>108.31</v>
      </c>
    </row>
    <row r="772" spans="2:57" x14ac:dyDescent="0.25">
      <c r="B772" s="134">
        <v>65</v>
      </c>
      <c r="C772" s="450">
        <v>106.77</v>
      </c>
      <c r="D772" s="450">
        <v>107.07</v>
      </c>
      <c r="E772" s="450">
        <v>107.33</v>
      </c>
      <c r="F772" s="450">
        <v>107.56</v>
      </c>
      <c r="G772" s="450">
        <v>107.76</v>
      </c>
      <c r="H772" s="450">
        <v>107.92</v>
      </c>
      <c r="I772" s="450">
        <v>108.04</v>
      </c>
      <c r="J772" s="450">
        <v>108.13</v>
      </c>
      <c r="K772" s="450">
        <v>108.18</v>
      </c>
      <c r="L772" s="450">
        <v>108.21</v>
      </c>
      <c r="M772" s="450">
        <v>108.21</v>
      </c>
      <c r="N772" s="450">
        <v>108.18</v>
      </c>
      <c r="O772" s="450">
        <v>107.78</v>
      </c>
      <c r="P772" s="450">
        <v>107.12</v>
      </c>
      <c r="Q772" s="450">
        <v>106.46</v>
      </c>
      <c r="R772" s="450">
        <v>105.57</v>
      </c>
      <c r="S772" s="450" t="s">
        <v>556</v>
      </c>
      <c r="T772" s="133"/>
      <c r="U772" s="134">
        <v>65</v>
      </c>
      <c r="V772" s="450">
        <v>108.29</v>
      </c>
      <c r="W772" s="450">
        <v>108.61</v>
      </c>
      <c r="X772" s="450">
        <v>108.89</v>
      </c>
      <c r="Y772" s="450">
        <v>109.13</v>
      </c>
      <c r="Z772" s="450">
        <v>109.34</v>
      </c>
      <c r="AA772" s="450">
        <v>109.52</v>
      </c>
      <c r="AB772" s="450">
        <v>109.66</v>
      </c>
      <c r="AC772" s="450">
        <v>109.76</v>
      </c>
      <c r="AD772" s="450">
        <v>109.82</v>
      </c>
      <c r="AE772" s="450">
        <v>109.86</v>
      </c>
      <c r="AF772" s="450">
        <v>109.87</v>
      </c>
      <c r="AG772" s="450">
        <v>109.86</v>
      </c>
      <c r="AH772" s="450">
        <v>109.48</v>
      </c>
      <c r="AI772" s="450">
        <v>108.84</v>
      </c>
      <c r="AJ772" s="450">
        <v>108.19</v>
      </c>
      <c r="AK772" s="450">
        <v>107.31</v>
      </c>
      <c r="AL772" s="450" t="s">
        <v>556</v>
      </c>
      <c r="AM772" s="133"/>
      <c r="AN772" s="134">
        <v>65</v>
      </c>
      <c r="AO772" s="450">
        <v>109.96</v>
      </c>
      <c r="AP772" s="450">
        <v>110.28</v>
      </c>
      <c r="AQ772" s="450">
        <v>110.57</v>
      </c>
      <c r="AR772" s="450">
        <v>110.83</v>
      </c>
      <c r="AS772" s="450">
        <v>111.05</v>
      </c>
      <c r="AT772" s="450">
        <v>111.24</v>
      </c>
      <c r="AU772" s="450">
        <v>111.39</v>
      </c>
      <c r="AV772" s="450">
        <v>111.49</v>
      </c>
      <c r="AW772" s="450">
        <v>111.56</v>
      </c>
      <c r="AX772" s="450">
        <v>111.61</v>
      </c>
      <c r="AY772" s="450">
        <v>111.62</v>
      </c>
      <c r="AZ772" s="450">
        <v>111.61</v>
      </c>
      <c r="BA772" s="450">
        <v>111.23</v>
      </c>
      <c r="BB772" s="450">
        <v>110.56</v>
      </c>
      <c r="BC772" s="450">
        <v>109.87</v>
      </c>
      <c r="BD772" s="450">
        <v>108.93</v>
      </c>
      <c r="BE772" s="450" t="s">
        <v>556</v>
      </c>
    </row>
    <row r="773" spans="2:57" x14ac:dyDescent="0.25">
      <c r="B773" s="134">
        <v>66</v>
      </c>
      <c r="C773" s="450">
        <v>107.38</v>
      </c>
      <c r="D773" s="450">
        <v>107.64</v>
      </c>
      <c r="E773" s="450">
        <v>107.86</v>
      </c>
      <c r="F773" s="450">
        <v>108.05</v>
      </c>
      <c r="G773" s="450">
        <v>108.21</v>
      </c>
      <c r="H773" s="450">
        <v>108.33</v>
      </c>
      <c r="I773" s="450">
        <v>108.4</v>
      </c>
      <c r="J773" s="450">
        <v>108.44</v>
      </c>
      <c r="K773" s="450">
        <v>108.45</v>
      </c>
      <c r="L773" s="450">
        <v>108.43</v>
      </c>
      <c r="M773" s="450">
        <v>108.38</v>
      </c>
      <c r="N773" s="450">
        <v>108.31</v>
      </c>
      <c r="O773" s="450">
        <v>107.7</v>
      </c>
      <c r="P773" s="450">
        <v>106.9</v>
      </c>
      <c r="Q773" s="450">
        <v>106.15</v>
      </c>
      <c r="R773" s="450">
        <v>105.05</v>
      </c>
      <c r="S773" s="450" t="s">
        <v>556</v>
      </c>
      <c r="T773" s="133"/>
      <c r="U773" s="134">
        <v>66</v>
      </c>
      <c r="V773" s="450">
        <v>108.93</v>
      </c>
      <c r="W773" s="450">
        <v>109.21</v>
      </c>
      <c r="X773" s="450">
        <v>109.46</v>
      </c>
      <c r="Y773" s="450">
        <v>109.66</v>
      </c>
      <c r="Z773" s="450">
        <v>109.83</v>
      </c>
      <c r="AA773" s="450">
        <v>109.97</v>
      </c>
      <c r="AB773" s="450">
        <v>110.05</v>
      </c>
      <c r="AC773" s="450">
        <v>110.1</v>
      </c>
      <c r="AD773" s="450">
        <v>110.12</v>
      </c>
      <c r="AE773" s="450">
        <v>110.12</v>
      </c>
      <c r="AF773" s="450">
        <v>110.08</v>
      </c>
      <c r="AG773" s="450">
        <v>110.02</v>
      </c>
      <c r="AH773" s="450">
        <v>109.45</v>
      </c>
      <c r="AI773" s="450">
        <v>108.66</v>
      </c>
      <c r="AJ773" s="450">
        <v>107.91</v>
      </c>
      <c r="AK773" s="450">
        <v>106.81</v>
      </c>
      <c r="AL773" s="450" t="s">
        <v>556</v>
      </c>
      <c r="AM773" s="133"/>
      <c r="AN773" s="134">
        <v>66</v>
      </c>
      <c r="AO773" s="450">
        <v>110.62</v>
      </c>
      <c r="AP773" s="450">
        <v>110.92</v>
      </c>
      <c r="AQ773" s="450">
        <v>111.17</v>
      </c>
      <c r="AR773" s="450">
        <v>111.39</v>
      </c>
      <c r="AS773" s="450">
        <v>111.57</v>
      </c>
      <c r="AT773" s="450">
        <v>111.71</v>
      </c>
      <c r="AU773" s="450">
        <v>111.8</v>
      </c>
      <c r="AV773" s="450">
        <v>111.86</v>
      </c>
      <c r="AW773" s="450">
        <v>111.89</v>
      </c>
      <c r="AX773" s="450">
        <v>111.88</v>
      </c>
      <c r="AY773" s="450">
        <v>111.85</v>
      </c>
      <c r="AZ773" s="450">
        <v>111.79</v>
      </c>
      <c r="BA773" s="450">
        <v>111.2</v>
      </c>
      <c r="BB773" s="450">
        <v>110.37</v>
      </c>
      <c r="BC773" s="450">
        <v>109.59</v>
      </c>
      <c r="BD773" s="450">
        <v>108.42</v>
      </c>
      <c r="BE773" s="450" t="s">
        <v>556</v>
      </c>
    </row>
    <row r="774" spans="2:57" x14ac:dyDescent="0.25">
      <c r="B774" s="134">
        <v>67</v>
      </c>
      <c r="C774" s="450">
        <v>107.91</v>
      </c>
      <c r="D774" s="450">
        <v>108.13</v>
      </c>
      <c r="E774" s="450">
        <v>108.31</v>
      </c>
      <c r="F774" s="450">
        <v>108.45</v>
      </c>
      <c r="G774" s="450">
        <v>108.56</v>
      </c>
      <c r="H774" s="450">
        <v>108.61</v>
      </c>
      <c r="I774" s="450">
        <v>108.64</v>
      </c>
      <c r="J774" s="450">
        <v>108.62</v>
      </c>
      <c r="K774" s="450">
        <v>108.58</v>
      </c>
      <c r="L774" s="450">
        <v>108.51</v>
      </c>
      <c r="M774" s="450">
        <v>108.42</v>
      </c>
      <c r="N774" s="450">
        <v>108.3</v>
      </c>
      <c r="O774" s="450">
        <v>107.47</v>
      </c>
      <c r="P774" s="450">
        <v>106.51</v>
      </c>
      <c r="Q774" s="450">
        <v>105.68</v>
      </c>
      <c r="R774" s="450">
        <v>104.34</v>
      </c>
      <c r="S774" s="450" t="s">
        <v>556</v>
      </c>
      <c r="T774" s="133"/>
      <c r="U774" s="134">
        <v>67</v>
      </c>
      <c r="V774" s="450">
        <v>109.5</v>
      </c>
      <c r="W774" s="450">
        <v>109.74</v>
      </c>
      <c r="X774" s="450">
        <v>109.94</v>
      </c>
      <c r="Y774" s="450">
        <v>110.1</v>
      </c>
      <c r="Z774" s="450">
        <v>110.22</v>
      </c>
      <c r="AA774" s="450">
        <v>110.29</v>
      </c>
      <c r="AB774" s="450">
        <v>110.33</v>
      </c>
      <c r="AC774" s="450">
        <v>110.33</v>
      </c>
      <c r="AD774" s="450">
        <v>110.3</v>
      </c>
      <c r="AE774" s="450">
        <v>110.24</v>
      </c>
      <c r="AF774" s="450">
        <v>110.15</v>
      </c>
      <c r="AG774" s="450">
        <v>110.04</v>
      </c>
      <c r="AH774" s="450">
        <v>109.25</v>
      </c>
      <c r="AI774" s="450">
        <v>108.31</v>
      </c>
      <c r="AJ774" s="450">
        <v>107.48</v>
      </c>
      <c r="AK774" s="450">
        <v>106.13</v>
      </c>
      <c r="AL774" s="450" t="s">
        <v>556</v>
      </c>
      <c r="AM774" s="133"/>
      <c r="AN774" s="134">
        <v>67</v>
      </c>
      <c r="AO774" s="450">
        <v>111.22</v>
      </c>
      <c r="AP774" s="450">
        <v>111.47</v>
      </c>
      <c r="AQ774" s="450">
        <v>111.68</v>
      </c>
      <c r="AR774" s="450">
        <v>111.85</v>
      </c>
      <c r="AS774" s="450">
        <v>111.98</v>
      </c>
      <c r="AT774" s="450">
        <v>112.06</v>
      </c>
      <c r="AU774" s="450">
        <v>112.1</v>
      </c>
      <c r="AV774" s="450">
        <v>112.1</v>
      </c>
      <c r="AW774" s="450">
        <v>112.08</v>
      </c>
      <c r="AX774" s="450">
        <v>112.02</v>
      </c>
      <c r="AY774" s="450">
        <v>111.93</v>
      </c>
      <c r="AZ774" s="450">
        <v>111.82</v>
      </c>
      <c r="BA774" s="450">
        <v>111.01</v>
      </c>
      <c r="BB774" s="450">
        <v>110.02</v>
      </c>
      <c r="BC774" s="450">
        <v>109.15</v>
      </c>
      <c r="BD774" s="450">
        <v>107.73</v>
      </c>
      <c r="BE774" s="450" t="s">
        <v>556</v>
      </c>
    </row>
    <row r="775" spans="2:57" x14ac:dyDescent="0.25">
      <c r="B775" s="134">
        <v>68</v>
      </c>
      <c r="C775" s="450">
        <v>108.35</v>
      </c>
      <c r="D775" s="450">
        <v>108.52</v>
      </c>
      <c r="E775" s="450">
        <v>108.65</v>
      </c>
      <c r="F775" s="450">
        <v>108.74</v>
      </c>
      <c r="G775" s="450">
        <v>108.78</v>
      </c>
      <c r="H775" s="450">
        <v>108.77</v>
      </c>
      <c r="I775" s="450">
        <v>108.74</v>
      </c>
      <c r="J775" s="450">
        <v>108.67</v>
      </c>
      <c r="K775" s="450">
        <v>108.57</v>
      </c>
      <c r="L775" s="450">
        <v>108.45</v>
      </c>
      <c r="M775" s="450">
        <v>108.3</v>
      </c>
      <c r="N775" s="450">
        <v>108.13</v>
      </c>
      <c r="O775" s="450">
        <v>107.08</v>
      </c>
      <c r="P775" s="450">
        <v>105.97</v>
      </c>
      <c r="Q775" s="450">
        <v>104.9</v>
      </c>
      <c r="R775" s="450">
        <v>103.45</v>
      </c>
      <c r="S775" s="450" t="s">
        <v>556</v>
      </c>
      <c r="T775" s="133"/>
      <c r="U775" s="134">
        <v>68</v>
      </c>
      <c r="V775" s="450">
        <v>109.99</v>
      </c>
      <c r="W775" s="450">
        <v>110.17</v>
      </c>
      <c r="X775" s="450">
        <v>110.32</v>
      </c>
      <c r="Y775" s="450">
        <v>110.42</v>
      </c>
      <c r="Z775" s="450">
        <v>110.47</v>
      </c>
      <c r="AA775" s="450">
        <v>110.49</v>
      </c>
      <c r="AB775" s="450">
        <v>110.47</v>
      </c>
      <c r="AC775" s="450">
        <v>110.41</v>
      </c>
      <c r="AD775" s="450">
        <v>110.32</v>
      </c>
      <c r="AE775" s="450">
        <v>110.21</v>
      </c>
      <c r="AF775" s="450">
        <v>110.07</v>
      </c>
      <c r="AG775" s="450">
        <v>109.9</v>
      </c>
      <c r="AH775" s="450">
        <v>108.88</v>
      </c>
      <c r="AI775" s="450">
        <v>107.79</v>
      </c>
      <c r="AJ775" s="450">
        <v>106.72</v>
      </c>
      <c r="AK775" s="450">
        <v>105.26</v>
      </c>
      <c r="AL775" s="450" t="s">
        <v>556</v>
      </c>
      <c r="AM775" s="133"/>
      <c r="AN775" s="134">
        <v>68</v>
      </c>
      <c r="AO775" s="450">
        <v>111.72</v>
      </c>
      <c r="AP775" s="450">
        <v>111.92</v>
      </c>
      <c r="AQ775" s="450">
        <v>112.08</v>
      </c>
      <c r="AR775" s="450">
        <v>112.19</v>
      </c>
      <c r="AS775" s="450">
        <v>112.25</v>
      </c>
      <c r="AT775" s="450">
        <v>112.27</v>
      </c>
      <c r="AU775" s="450">
        <v>112.25</v>
      </c>
      <c r="AV775" s="450">
        <v>112.2</v>
      </c>
      <c r="AW775" s="450">
        <v>112.12</v>
      </c>
      <c r="AX775" s="450">
        <v>112</v>
      </c>
      <c r="AY775" s="450">
        <v>111.86</v>
      </c>
      <c r="AZ775" s="450">
        <v>111.69</v>
      </c>
      <c r="BA775" s="450">
        <v>110.64</v>
      </c>
      <c r="BB775" s="450">
        <v>109.5</v>
      </c>
      <c r="BC775" s="450">
        <v>108.38</v>
      </c>
      <c r="BD775" s="450">
        <v>106.85</v>
      </c>
      <c r="BE775" s="450" t="s">
        <v>556</v>
      </c>
    </row>
    <row r="776" spans="2:57" x14ac:dyDescent="0.25">
      <c r="B776" s="134">
        <v>69</v>
      </c>
      <c r="C776" s="450">
        <v>108.69</v>
      </c>
      <c r="D776" s="450">
        <v>108.8</v>
      </c>
      <c r="E776" s="450">
        <v>108.87</v>
      </c>
      <c r="F776" s="450">
        <v>108.88</v>
      </c>
      <c r="G776" s="450">
        <v>108.85</v>
      </c>
      <c r="H776" s="450">
        <v>108.79</v>
      </c>
      <c r="I776" s="450">
        <v>108.69</v>
      </c>
      <c r="J776" s="450">
        <v>108.56</v>
      </c>
      <c r="K776" s="450">
        <v>108.4</v>
      </c>
      <c r="L776" s="450">
        <v>108.22</v>
      </c>
      <c r="M776" s="450">
        <v>108.01</v>
      </c>
      <c r="N776" s="450">
        <v>107.78</v>
      </c>
      <c r="O776" s="450">
        <v>106.5</v>
      </c>
      <c r="P776" s="450">
        <v>105.25</v>
      </c>
      <c r="Q776" s="450">
        <v>103.92</v>
      </c>
      <c r="R776" s="450">
        <v>102.36</v>
      </c>
      <c r="S776" s="450" t="s">
        <v>556</v>
      </c>
      <c r="T776" s="133"/>
      <c r="U776" s="134">
        <v>69</v>
      </c>
      <c r="V776" s="450">
        <v>110.36</v>
      </c>
      <c r="W776" s="450">
        <v>110.49</v>
      </c>
      <c r="X776" s="450">
        <v>110.57</v>
      </c>
      <c r="Y776" s="450">
        <v>110.6</v>
      </c>
      <c r="Z776" s="450">
        <v>110.59</v>
      </c>
      <c r="AA776" s="450">
        <v>110.54</v>
      </c>
      <c r="AB776" s="450">
        <v>110.45</v>
      </c>
      <c r="AC776" s="450">
        <v>110.33</v>
      </c>
      <c r="AD776" s="450">
        <v>110.19</v>
      </c>
      <c r="AE776" s="450">
        <v>110.01</v>
      </c>
      <c r="AF776" s="450">
        <v>109.81</v>
      </c>
      <c r="AG776" s="450">
        <v>109.59</v>
      </c>
      <c r="AH776" s="450">
        <v>108.34</v>
      </c>
      <c r="AI776" s="450">
        <v>107.09</v>
      </c>
      <c r="AJ776" s="450">
        <v>105.77</v>
      </c>
      <c r="AK776" s="450">
        <v>104.19</v>
      </c>
      <c r="AL776" s="450" t="s">
        <v>556</v>
      </c>
      <c r="AM776" s="133"/>
      <c r="AN776" s="134">
        <v>69</v>
      </c>
      <c r="AO776" s="450">
        <v>112.12</v>
      </c>
      <c r="AP776" s="450">
        <v>112.26</v>
      </c>
      <c r="AQ776" s="450">
        <v>112.36</v>
      </c>
      <c r="AR776" s="450">
        <v>112.39</v>
      </c>
      <c r="AS776" s="450">
        <v>112.39</v>
      </c>
      <c r="AT776" s="450">
        <v>112.34</v>
      </c>
      <c r="AU776" s="450">
        <v>112.26</v>
      </c>
      <c r="AV776" s="450">
        <v>112.14</v>
      </c>
      <c r="AW776" s="450">
        <v>111.99</v>
      </c>
      <c r="AX776" s="450">
        <v>111.81</v>
      </c>
      <c r="AY776" s="450">
        <v>111.61</v>
      </c>
      <c r="AZ776" s="450">
        <v>111.39</v>
      </c>
      <c r="BA776" s="450">
        <v>110.1</v>
      </c>
      <c r="BB776" s="450">
        <v>108.8</v>
      </c>
      <c r="BC776" s="450">
        <v>107.42</v>
      </c>
      <c r="BD776" s="450">
        <v>105.76</v>
      </c>
      <c r="BE776" s="450" t="s">
        <v>556</v>
      </c>
    </row>
    <row r="777" spans="2:57" x14ac:dyDescent="0.25">
      <c r="B777" s="134">
        <v>70</v>
      </c>
      <c r="C777" s="450">
        <v>108.91</v>
      </c>
      <c r="D777" s="450">
        <v>108.95</v>
      </c>
      <c r="E777" s="450">
        <v>108.93</v>
      </c>
      <c r="F777" s="450">
        <v>108.88</v>
      </c>
      <c r="G777" s="450">
        <v>108.78</v>
      </c>
      <c r="H777" s="450">
        <v>108.65</v>
      </c>
      <c r="I777" s="450">
        <v>108.48</v>
      </c>
      <c r="J777" s="450">
        <v>108.28</v>
      </c>
      <c r="K777" s="450">
        <v>108.06</v>
      </c>
      <c r="L777" s="450">
        <v>107.81</v>
      </c>
      <c r="M777" s="450">
        <v>107.54</v>
      </c>
      <c r="N777" s="450">
        <v>107.26</v>
      </c>
      <c r="O777" s="450">
        <v>105.75</v>
      </c>
      <c r="P777" s="450">
        <v>104.35</v>
      </c>
      <c r="Q777" s="450">
        <v>102.76</v>
      </c>
      <c r="R777" s="450" t="s">
        <v>556</v>
      </c>
      <c r="S777" s="450" t="s">
        <v>556</v>
      </c>
      <c r="T777" s="133"/>
      <c r="U777" s="134">
        <v>70</v>
      </c>
      <c r="V777" s="450">
        <v>110.61</v>
      </c>
      <c r="W777" s="450">
        <v>110.67</v>
      </c>
      <c r="X777" s="450">
        <v>110.67</v>
      </c>
      <c r="Y777" s="450">
        <v>110.63</v>
      </c>
      <c r="Z777" s="450">
        <v>110.55</v>
      </c>
      <c r="AA777" s="450">
        <v>110.43</v>
      </c>
      <c r="AB777" s="450">
        <v>110.28</v>
      </c>
      <c r="AC777" s="450">
        <v>110.09</v>
      </c>
      <c r="AD777" s="450">
        <v>109.87</v>
      </c>
      <c r="AE777" s="450">
        <v>109.63</v>
      </c>
      <c r="AF777" s="450">
        <v>109.37</v>
      </c>
      <c r="AG777" s="450">
        <v>109.1</v>
      </c>
      <c r="AH777" s="450">
        <v>107.61</v>
      </c>
      <c r="AI777" s="450">
        <v>106.23</v>
      </c>
      <c r="AJ777" s="450">
        <v>104.62</v>
      </c>
      <c r="AK777" s="450" t="s">
        <v>556</v>
      </c>
      <c r="AL777" s="450" t="s">
        <v>556</v>
      </c>
      <c r="AM777" s="133"/>
      <c r="AN777" s="134">
        <v>70</v>
      </c>
      <c r="AO777" s="450">
        <v>112.39</v>
      </c>
      <c r="AP777" s="450">
        <v>112.46</v>
      </c>
      <c r="AQ777" s="450">
        <v>112.47</v>
      </c>
      <c r="AR777" s="450">
        <v>112.44</v>
      </c>
      <c r="AS777" s="450">
        <v>112.36</v>
      </c>
      <c r="AT777" s="450">
        <v>112.24</v>
      </c>
      <c r="AU777" s="450">
        <v>112.09</v>
      </c>
      <c r="AV777" s="450">
        <v>111.9</v>
      </c>
      <c r="AW777" s="450">
        <v>111.69</v>
      </c>
      <c r="AX777" s="450">
        <v>111.44</v>
      </c>
      <c r="AY777" s="450">
        <v>111.18</v>
      </c>
      <c r="AZ777" s="450">
        <v>110.9</v>
      </c>
      <c r="BA777" s="450">
        <v>109.37</v>
      </c>
      <c r="BB777" s="450">
        <v>107.93</v>
      </c>
      <c r="BC777" s="450">
        <v>106.25</v>
      </c>
      <c r="BD777" s="450" t="s">
        <v>556</v>
      </c>
      <c r="BE777" s="450" t="s">
        <v>556</v>
      </c>
    </row>
    <row r="778" spans="2:57" x14ac:dyDescent="0.25">
      <c r="B778" s="134">
        <v>71</v>
      </c>
      <c r="C778" s="450">
        <v>108.98</v>
      </c>
      <c r="D778" s="450">
        <v>108.93</v>
      </c>
      <c r="E778" s="450">
        <v>108.84</v>
      </c>
      <c r="F778" s="450">
        <v>108.71</v>
      </c>
      <c r="G778" s="450">
        <v>108.54</v>
      </c>
      <c r="H778" s="450">
        <v>108.33</v>
      </c>
      <c r="I778" s="450">
        <v>108.09</v>
      </c>
      <c r="J778" s="450">
        <v>107.82</v>
      </c>
      <c r="K778" s="450">
        <v>107.53</v>
      </c>
      <c r="L778" s="450">
        <v>107.22</v>
      </c>
      <c r="M778" s="450">
        <v>106.89</v>
      </c>
      <c r="N778" s="450">
        <v>106.55</v>
      </c>
      <c r="O778" s="450">
        <v>104.81</v>
      </c>
      <c r="P778" s="450">
        <v>103.29</v>
      </c>
      <c r="Q778" s="450">
        <v>101.4</v>
      </c>
      <c r="R778" s="450" t="s">
        <v>556</v>
      </c>
      <c r="S778" s="450" t="s">
        <v>556</v>
      </c>
      <c r="T778" s="133"/>
      <c r="U778" s="134">
        <v>71</v>
      </c>
      <c r="V778" s="450">
        <v>110.72</v>
      </c>
      <c r="W778" s="450">
        <v>110.69</v>
      </c>
      <c r="X778" s="450">
        <v>110.62</v>
      </c>
      <c r="Y778" s="450">
        <v>110.5</v>
      </c>
      <c r="Z778" s="450">
        <v>110.34</v>
      </c>
      <c r="AA778" s="450">
        <v>110.15</v>
      </c>
      <c r="AB778" s="450">
        <v>109.92</v>
      </c>
      <c r="AC778" s="450">
        <v>109.66</v>
      </c>
      <c r="AD778" s="450">
        <v>109.38</v>
      </c>
      <c r="AE778" s="450">
        <v>109.07</v>
      </c>
      <c r="AF778" s="450">
        <v>108.75</v>
      </c>
      <c r="AG778" s="450">
        <v>108.42</v>
      </c>
      <c r="AH778" s="450">
        <v>106.7</v>
      </c>
      <c r="AI778" s="450">
        <v>105.18</v>
      </c>
      <c r="AJ778" s="450">
        <v>103.29</v>
      </c>
      <c r="AK778" s="450" t="s">
        <v>556</v>
      </c>
      <c r="AL778" s="450" t="s">
        <v>556</v>
      </c>
      <c r="AM778" s="133"/>
      <c r="AN778" s="134">
        <v>71</v>
      </c>
      <c r="AO778" s="450">
        <v>112.52</v>
      </c>
      <c r="AP778" s="450">
        <v>112.5</v>
      </c>
      <c r="AQ778" s="450">
        <v>112.43</v>
      </c>
      <c r="AR778" s="450">
        <v>112.32</v>
      </c>
      <c r="AS778" s="450">
        <v>112.16</v>
      </c>
      <c r="AT778" s="450">
        <v>111.97</v>
      </c>
      <c r="AU778" s="450">
        <v>111.74</v>
      </c>
      <c r="AV778" s="450">
        <v>111.48</v>
      </c>
      <c r="AW778" s="450">
        <v>111.19</v>
      </c>
      <c r="AX778" s="450">
        <v>110.88</v>
      </c>
      <c r="AY778" s="450">
        <v>110.55</v>
      </c>
      <c r="AZ778" s="450">
        <v>110.21</v>
      </c>
      <c r="BA778" s="450">
        <v>108.45</v>
      </c>
      <c r="BB778" s="450">
        <v>106.87</v>
      </c>
      <c r="BC778" s="450">
        <v>104.9</v>
      </c>
      <c r="BD778" s="450" t="s">
        <v>556</v>
      </c>
      <c r="BE778" s="450" t="s">
        <v>556</v>
      </c>
    </row>
    <row r="779" spans="2:57" x14ac:dyDescent="0.25">
      <c r="B779" s="134">
        <v>72</v>
      </c>
      <c r="C779" s="450">
        <v>108.87</v>
      </c>
      <c r="D779" s="450">
        <v>108.74</v>
      </c>
      <c r="E779" s="450">
        <v>108.57</v>
      </c>
      <c r="F779" s="450">
        <v>108.35</v>
      </c>
      <c r="G779" s="450">
        <v>108.1</v>
      </c>
      <c r="H779" s="450">
        <v>107.82</v>
      </c>
      <c r="I779" s="450">
        <v>107.5</v>
      </c>
      <c r="J779" s="450">
        <v>107.16</v>
      </c>
      <c r="K779" s="450">
        <v>106.8</v>
      </c>
      <c r="L779" s="450">
        <v>106.42</v>
      </c>
      <c r="M779" s="450">
        <v>106.03</v>
      </c>
      <c r="N779" s="450">
        <v>105.64</v>
      </c>
      <c r="O779" s="450">
        <v>103.69</v>
      </c>
      <c r="P779" s="450">
        <v>102.04</v>
      </c>
      <c r="Q779" s="450">
        <v>99.85</v>
      </c>
      <c r="R779" s="450" t="s">
        <v>556</v>
      </c>
      <c r="S779" s="450" t="s">
        <v>556</v>
      </c>
      <c r="T779" s="133"/>
      <c r="U779" s="134">
        <v>72</v>
      </c>
      <c r="V779" s="450">
        <v>110.65</v>
      </c>
      <c r="W779" s="450">
        <v>110.53</v>
      </c>
      <c r="X779" s="450">
        <v>110.38</v>
      </c>
      <c r="Y779" s="450">
        <v>110.18</v>
      </c>
      <c r="Z779" s="450">
        <v>109.94</v>
      </c>
      <c r="AA779" s="450">
        <v>109.66</v>
      </c>
      <c r="AB779" s="450">
        <v>109.36</v>
      </c>
      <c r="AC779" s="450">
        <v>109.03</v>
      </c>
      <c r="AD779" s="450">
        <v>108.67</v>
      </c>
      <c r="AE779" s="450">
        <v>108.3</v>
      </c>
      <c r="AF779" s="450">
        <v>107.92</v>
      </c>
      <c r="AG779" s="450">
        <v>107.53</v>
      </c>
      <c r="AH779" s="450">
        <v>105.59</v>
      </c>
      <c r="AI779" s="450">
        <v>103.96</v>
      </c>
      <c r="AJ779" s="450">
        <v>101.75</v>
      </c>
      <c r="AK779" s="450" t="s">
        <v>556</v>
      </c>
      <c r="AL779" s="450" t="s">
        <v>556</v>
      </c>
      <c r="AM779" s="133"/>
      <c r="AN779" s="134">
        <v>72</v>
      </c>
      <c r="AO779" s="450">
        <v>112.46</v>
      </c>
      <c r="AP779" s="450">
        <v>112.35</v>
      </c>
      <c r="AQ779" s="450">
        <v>112.2</v>
      </c>
      <c r="AR779" s="450">
        <v>112</v>
      </c>
      <c r="AS779" s="450">
        <v>111.76</v>
      </c>
      <c r="AT779" s="450">
        <v>111.49</v>
      </c>
      <c r="AU779" s="450">
        <v>111.18</v>
      </c>
      <c r="AV779" s="450">
        <v>110.85</v>
      </c>
      <c r="AW779" s="450">
        <v>110.49</v>
      </c>
      <c r="AX779" s="450">
        <v>110.11</v>
      </c>
      <c r="AY779" s="450">
        <v>109.72</v>
      </c>
      <c r="AZ779" s="450">
        <v>109.32</v>
      </c>
      <c r="BA779" s="450">
        <v>107.33</v>
      </c>
      <c r="BB779" s="450">
        <v>105.63</v>
      </c>
      <c r="BC779" s="450">
        <v>103.33</v>
      </c>
      <c r="BD779" s="450" t="s">
        <v>556</v>
      </c>
      <c r="BE779" s="450" t="s">
        <v>556</v>
      </c>
    </row>
    <row r="780" spans="2:57" x14ac:dyDescent="0.25">
      <c r="B780" s="134">
        <v>73</v>
      </c>
      <c r="C780" s="450">
        <v>108.59</v>
      </c>
      <c r="D780" s="450">
        <v>108.37</v>
      </c>
      <c r="E780" s="450">
        <v>108.11</v>
      </c>
      <c r="F780" s="450">
        <v>107.81</v>
      </c>
      <c r="G780" s="450">
        <v>107.48</v>
      </c>
      <c r="H780" s="450">
        <v>107.11</v>
      </c>
      <c r="I780" s="450">
        <v>106.72</v>
      </c>
      <c r="J780" s="450">
        <v>106.31</v>
      </c>
      <c r="K780" s="450">
        <v>105.88</v>
      </c>
      <c r="L780" s="450">
        <v>105.43</v>
      </c>
      <c r="M780" s="450">
        <v>104.99</v>
      </c>
      <c r="N780" s="450">
        <v>104.54</v>
      </c>
      <c r="O780" s="450">
        <v>102.38</v>
      </c>
      <c r="P780" s="450">
        <v>100.45</v>
      </c>
      <c r="Q780" s="450">
        <v>98.11</v>
      </c>
      <c r="R780" s="450" t="s">
        <v>556</v>
      </c>
      <c r="S780" s="450" t="s">
        <v>556</v>
      </c>
      <c r="T780" s="133"/>
      <c r="U780" s="134">
        <v>73</v>
      </c>
      <c r="V780" s="450">
        <v>110.4</v>
      </c>
      <c r="W780" s="450">
        <v>110.2</v>
      </c>
      <c r="X780" s="450">
        <v>109.95</v>
      </c>
      <c r="Y780" s="450">
        <v>109.67</v>
      </c>
      <c r="Z780" s="450">
        <v>109.34</v>
      </c>
      <c r="AA780" s="450">
        <v>108.99</v>
      </c>
      <c r="AB780" s="450">
        <v>108.6</v>
      </c>
      <c r="AC780" s="450">
        <v>108.2</v>
      </c>
      <c r="AD780" s="450">
        <v>107.77</v>
      </c>
      <c r="AE780" s="450">
        <v>107.34</v>
      </c>
      <c r="AF780" s="450">
        <v>106.9</v>
      </c>
      <c r="AG780" s="450">
        <v>106.45</v>
      </c>
      <c r="AH780" s="450">
        <v>104.31</v>
      </c>
      <c r="AI780" s="450">
        <v>102.38</v>
      </c>
      <c r="AJ780" s="450">
        <v>100.02</v>
      </c>
      <c r="AK780" s="450" t="s">
        <v>556</v>
      </c>
      <c r="AL780" s="450" t="s">
        <v>556</v>
      </c>
      <c r="AM780" s="133"/>
      <c r="AN780" s="134">
        <v>73</v>
      </c>
      <c r="AO780" s="450">
        <v>112.22</v>
      </c>
      <c r="AP780" s="450">
        <v>112.02</v>
      </c>
      <c r="AQ780" s="450">
        <v>111.78</v>
      </c>
      <c r="AR780" s="450">
        <v>111.5</v>
      </c>
      <c r="AS780" s="450">
        <v>111.17</v>
      </c>
      <c r="AT780" s="450">
        <v>110.81</v>
      </c>
      <c r="AU780" s="450">
        <v>110.43</v>
      </c>
      <c r="AV780" s="450">
        <v>110.01</v>
      </c>
      <c r="AW780" s="450">
        <v>109.58</v>
      </c>
      <c r="AX780" s="450">
        <v>109.14</v>
      </c>
      <c r="AY780" s="450">
        <v>108.69</v>
      </c>
      <c r="AZ780" s="450">
        <v>108.23</v>
      </c>
      <c r="BA780" s="450">
        <v>106.03</v>
      </c>
      <c r="BB780" s="450">
        <v>104.03</v>
      </c>
      <c r="BC780" s="450">
        <v>101.58</v>
      </c>
      <c r="BD780" s="450" t="s">
        <v>556</v>
      </c>
      <c r="BE780" s="450" t="s">
        <v>556</v>
      </c>
    </row>
    <row r="781" spans="2:57" x14ac:dyDescent="0.25">
      <c r="B781" s="134">
        <v>74</v>
      </c>
      <c r="C781" s="450">
        <v>108.12</v>
      </c>
      <c r="D781" s="450">
        <v>107.82</v>
      </c>
      <c r="E781" s="450">
        <v>107.47</v>
      </c>
      <c r="F781" s="450">
        <v>107.08</v>
      </c>
      <c r="G781" s="450">
        <v>106.66</v>
      </c>
      <c r="H781" s="450">
        <v>106.21</v>
      </c>
      <c r="I781" s="450">
        <v>105.74</v>
      </c>
      <c r="J781" s="450">
        <v>105.26</v>
      </c>
      <c r="K781" s="450">
        <v>104.76</v>
      </c>
      <c r="L781" s="450">
        <v>104.26</v>
      </c>
      <c r="M781" s="450">
        <v>103.75</v>
      </c>
      <c r="N781" s="450">
        <v>103.25</v>
      </c>
      <c r="O781" s="450">
        <v>100.92</v>
      </c>
      <c r="P781" s="450">
        <v>98.67</v>
      </c>
      <c r="Q781" s="450">
        <v>96.19</v>
      </c>
      <c r="R781" s="450" t="s">
        <v>556</v>
      </c>
      <c r="S781" s="450" t="s">
        <v>556</v>
      </c>
      <c r="T781" s="133"/>
      <c r="U781" s="134">
        <v>74</v>
      </c>
      <c r="V781" s="450">
        <v>109.97</v>
      </c>
      <c r="W781" s="450">
        <v>109.67</v>
      </c>
      <c r="X781" s="450">
        <v>109.34</v>
      </c>
      <c r="Y781" s="450">
        <v>108.96</v>
      </c>
      <c r="Z781" s="450">
        <v>108.55</v>
      </c>
      <c r="AA781" s="450">
        <v>108.11</v>
      </c>
      <c r="AB781" s="450">
        <v>107.65</v>
      </c>
      <c r="AC781" s="450">
        <v>107.17</v>
      </c>
      <c r="AD781" s="450">
        <v>106.68</v>
      </c>
      <c r="AE781" s="450">
        <v>106.18</v>
      </c>
      <c r="AF781" s="450">
        <v>105.68</v>
      </c>
      <c r="AG781" s="450">
        <v>105.18</v>
      </c>
      <c r="AH781" s="450">
        <v>102.86</v>
      </c>
      <c r="AI781" s="450">
        <v>100.62</v>
      </c>
      <c r="AJ781" s="450">
        <v>98.11</v>
      </c>
      <c r="AK781" s="450" t="s">
        <v>556</v>
      </c>
      <c r="AL781" s="450" t="s">
        <v>556</v>
      </c>
      <c r="AM781" s="133"/>
      <c r="AN781" s="134">
        <v>74</v>
      </c>
      <c r="AO781" s="450">
        <v>111.79</v>
      </c>
      <c r="AP781" s="450">
        <v>111.5</v>
      </c>
      <c r="AQ781" s="450">
        <v>111.17</v>
      </c>
      <c r="AR781" s="450">
        <v>110.79</v>
      </c>
      <c r="AS781" s="450">
        <v>110.38</v>
      </c>
      <c r="AT781" s="450">
        <v>109.93</v>
      </c>
      <c r="AU781" s="450">
        <v>109.47</v>
      </c>
      <c r="AV781" s="450">
        <v>108.98</v>
      </c>
      <c r="AW781" s="450">
        <v>108.48</v>
      </c>
      <c r="AX781" s="450">
        <v>107.97</v>
      </c>
      <c r="AY781" s="450">
        <v>107.46</v>
      </c>
      <c r="AZ781" s="450">
        <v>106.95</v>
      </c>
      <c r="BA781" s="450">
        <v>104.56</v>
      </c>
      <c r="BB781" s="450">
        <v>102.24</v>
      </c>
      <c r="BC781" s="450">
        <v>99.64</v>
      </c>
      <c r="BD781" s="450" t="s">
        <v>556</v>
      </c>
      <c r="BE781" s="450" t="s">
        <v>556</v>
      </c>
    </row>
    <row r="782" spans="2:57" x14ac:dyDescent="0.25">
      <c r="B782" s="134">
        <v>75</v>
      </c>
      <c r="C782" s="450">
        <v>107.47</v>
      </c>
      <c r="D782" s="450">
        <v>107.07</v>
      </c>
      <c r="E782" s="450">
        <v>106.62</v>
      </c>
      <c r="F782" s="450">
        <v>106.15</v>
      </c>
      <c r="G782" s="450">
        <v>105.64</v>
      </c>
      <c r="H782" s="450">
        <v>105.12</v>
      </c>
      <c r="I782" s="450">
        <v>104.57</v>
      </c>
      <c r="J782" s="450">
        <v>104.02</v>
      </c>
      <c r="K782" s="450">
        <v>103.46</v>
      </c>
      <c r="L782" s="450">
        <v>102.89</v>
      </c>
      <c r="M782" s="450">
        <v>102.34</v>
      </c>
      <c r="N782" s="450">
        <v>101.79</v>
      </c>
      <c r="O782" s="450">
        <v>99.29</v>
      </c>
      <c r="P782" s="450">
        <v>96.74</v>
      </c>
      <c r="Q782" s="450" t="s">
        <v>556</v>
      </c>
      <c r="R782" s="450" t="s">
        <v>556</v>
      </c>
      <c r="S782" s="450" t="s">
        <v>556</v>
      </c>
      <c r="T782" s="133"/>
      <c r="U782" s="134">
        <v>75</v>
      </c>
      <c r="V782" s="450">
        <v>109.35</v>
      </c>
      <c r="W782" s="450">
        <v>108.95</v>
      </c>
      <c r="X782" s="450">
        <v>108.52</v>
      </c>
      <c r="Y782" s="450">
        <v>108.06</v>
      </c>
      <c r="Z782" s="450">
        <v>107.56</v>
      </c>
      <c r="AA782" s="450">
        <v>107.04</v>
      </c>
      <c r="AB782" s="450">
        <v>106.5</v>
      </c>
      <c r="AC782" s="450">
        <v>105.95</v>
      </c>
      <c r="AD782" s="450">
        <v>105.4</v>
      </c>
      <c r="AE782" s="450">
        <v>104.84</v>
      </c>
      <c r="AF782" s="450">
        <v>104.28</v>
      </c>
      <c r="AG782" s="450">
        <v>103.74</v>
      </c>
      <c r="AH782" s="450">
        <v>101.25</v>
      </c>
      <c r="AI782" s="450">
        <v>98.69</v>
      </c>
      <c r="AJ782" s="450" t="s">
        <v>556</v>
      </c>
      <c r="AK782" s="450" t="s">
        <v>556</v>
      </c>
      <c r="AL782" s="450" t="s">
        <v>556</v>
      </c>
      <c r="AM782" s="133"/>
      <c r="AN782" s="134">
        <v>75</v>
      </c>
      <c r="AO782" s="450">
        <v>111.17</v>
      </c>
      <c r="AP782" s="450">
        <v>110.78</v>
      </c>
      <c r="AQ782" s="450">
        <v>110.35</v>
      </c>
      <c r="AR782" s="450">
        <v>109.88</v>
      </c>
      <c r="AS782" s="450">
        <v>109.38</v>
      </c>
      <c r="AT782" s="450">
        <v>108.85</v>
      </c>
      <c r="AU782" s="450">
        <v>108.31</v>
      </c>
      <c r="AV782" s="450">
        <v>107.75</v>
      </c>
      <c r="AW782" s="450">
        <v>107.18</v>
      </c>
      <c r="AX782" s="450">
        <v>106.61</v>
      </c>
      <c r="AY782" s="450">
        <v>106.05</v>
      </c>
      <c r="AZ782" s="450">
        <v>105.49</v>
      </c>
      <c r="BA782" s="450">
        <v>102.93</v>
      </c>
      <c r="BB782" s="450">
        <v>100.28</v>
      </c>
      <c r="BC782" s="450" t="s">
        <v>556</v>
      </c>
      <c r="BD782" s="450" t="s">
        <v>556</v>
      </c>
      <c r="BE782" s="450" t="s">
        <v>556</v>
      </c>
    </row>
    <row r="783" spans="2:57" x14ac:dyDescent="0.25">
      <c r="B783" s="134">
        <v>76</v>
      </c>
      <c r="C783" s="450">
        <v>106.62</v>
      </c>
      <c r="D783" s="450">
        <v>106.12</v>
      </c>
      <c r="E783" s="450">
        <v>105.59</v>
      </c>
      <c r="F783" s="450">
        <v>105.02</v>
      </c>
      <c r="G783" s="450">
        <v>104.43</v>
      </c>
      <c r="H783" s="450">
        <v>103.83</v>
      </c>
      <c r="I783" s="450">
        <v>103.21</v>
      </c>
      <c r="J783" s="450">
        <v>102.59</v>
      </c>
      <c r="K783" s="450">
        <v>101.97</v>
      </c>
      <c r="L783" s="450">
        <v>101.36</v>
      </c>
      <c r="M783" s="450">
        <v>100.75</v>
      </c>
      <c r="N783" s="450">
        <v>100.16</v>
      </c>
      <c r="O783" s="450">
        <v>97.53</v>
      </c>
      <c r="P783" s="450">
        <v>94.65</v>
      </c>
      <c r="Q783" s="450" t="s">
        <v>556</v>
      </c>
      <c r="R783" s="450" t="s">
        <v>556</v>
      </c>
      <c r="S783" s="450" t="s">
        <v>556</v>
      </c>
      <c r="T783" s="133"/>
      <c r="U783" s="134">
        <v>76</v>
      </c>
      <c r="V783" s="450">
        <v>108.52</v>
      </c>
      <c r="W783" s="450">
        <v>108.03</v>
      </c>
      <c r="X783" s="450">
        <v>107.51</v>
      </c>
      <c r="Y783" s="450">
        <v>106.95</v>
      </c>
      <c r="Z783" s="450">
        <v>106.37</v>
      </c>
      <c r="AA783" s="450">
        <v>105.77</v>
      </c>
      <c r="AB783" s="450">
        <v>105.16</v>
      </c>
      <c r="AC783" s="450">
        <v>104.54</v>
      </c>
      <c r="AD783" s="450">
        <v>103.93</v>
      </c>
      <c r="AE783" s="450">
        <v>103.32</v>
      </c>
      <c r="AF783" s="450">
        <v>102.71</v>
      </c>
      <c r="AG783" s="450">
        <v>102.12</v>
      </c>
      <c r="AH783" s="450">
        <v>99.5</v>
      </c>
      <c r="AI783" s="450">
        <v>96.61</v>
      </c>
      <c r="AJ783" s="450" t="s">
        <v>556</v>
      </c>
      <c r="AK783" s="450" t="s">
        <v>556</v>
      </c>
      <c r="AL783" s="450" t="s">
        <v>556</v>
      </c>
      <c r="AM783" s="133"/>
      <c r="AN783" s="134">
        <v>76</v>
      </c>
      <c r="AO783" s="450">
        <v>110.35</v>
      </c>
      <c r="AP783" s="450">
        <v>109.85</v>
      </c>
      <c r="AQ783" s="450">
        <v>109.33</v>
      </c>
      <c r="AR783" s="450">
        <v>108.76</v>
      </c>
      <c r="AS783" s="450">
        <v>108.18</v>
      </c>
      <c r="AT783" s="450">
        <v>107.57</v>
      </c>
      <c r="AU783" s="450">
        <v>106.95</v>
      </c>
      <c r="AV783" s="450">
        <v>106.32</v>
      </c>
      <c r="AW783" s="450">
        <v>105.7</v>
      </c>
      <c r="AX783" s="450">
        <v>105.07</v>
      </c>
      <c r="AY783" s="450">
        <v>104.45</v>
      </c>
      <c r="AZ783" s="450">
        <v>103.85</v>
      </c>
      <c r="BA783" s="450">
        <v>101.15</v>
      </c>
      <c r="BB783" s="450">
        <v>98.16</v>
      </c>
      <c r="BC783" s="450" t="s">
        <v>556</v>
      </c>
      <c r="BD783" s="450" t="s">
        <v>556</v>
      </c>
      <c r="BE783" s="450" t="s">
        <v>556</v>
      </c>
    </row>
    <row r="784" spans="2:57" x14ac:dyDescent="0.25">
      <c r="B784" s="134">
        <v>77</v>
      </c>
      <c r="C784" s="450">
        <v>105.58</v>
      </c>
      <c r="D784" s="450">
        <v>104.98</v>
      </c>
      <c r="E784" s="450">
        <v>104.35</v>
      </c>
      <c r="F784" s="450">
        <v>103.7</v>
      </c>
      <c r="G784" s="450">
        <v>103.03</v>
      </c>
      <c r="H784" s="450">
        <v>102.35</v>
      </c>
      <c r="I784" s="450">
        <v>101.67</v>
      </c>
      <c r="J784" s="450">
        <v>100.99</v>
      </c>
      <c r="K784" s="450">
        <v>100.32</v>
      </c>
      <c r="L784" s="450">
        <v>99.65</v>
      </c>
      <c r="M784" s="450">
        <v>99</v>
      </c>
      <c r="N784" s="450">
        <v>98.38</v>
      </c>
      <c r="O784" s="450">
        <v>95.63</v>
      </c>
      <c r="P784" s="450">
        <v>92.41</v>
      </c>
      <c r="Q784" s="450" t="s">
        <v>556</v>
      </c>
      <c r="R784" s="450" t="s">
        <v>556</v>
      </c>
      <c r="S784" s="450" t="s">
        <v>556</v>
      </c>
      <c r="T784" s="133"/>
      <c r="U784" s="134">
        <v>77</v>
      </c>
      <c r="V784" s="450">
        <v>107.5</v>
      </c>
      <c r="W784" s="450">
        <v>106.91</v>
      </c>
      <c r="X784" s="450">
        <v>106.29</v>
      </c>
      <c r="Y784" s="450">
        <v>105.65</v>
      </c>
      <c r="Z784" s="450">
        <v>104.99</v>
      </c>
      <c r="AA784" s="450">
        <v>104.31</v>
      </c>
      <c r="AB784" s="450">
        <v>103.64</v>
      </c>
      <c r="AC784" s="450">
        <v>102.96</v>
      </c>
      <c r="AD784" s="450">
        <v>102.29</v>
      </c>
      <c r="AE784" s="450">
        <v>101.63</v>
      </c>
      <c r="AF784" s="450">
        <v>100.98</v>
      </c>
      <c r="AG784" s="450">
        <v>100.35</v>
      </c>
      <c r="AH784" s="450">
        <v>97.61</v>
      </c>
      <c r="AI784" s="450">
        <v>94.38</v>
      </c>
      <c r="AJ784" s="450" t="s">
        <v>556</v>
      </c>
      <c r="AK784" s="450" t="s">
        <v>556</v>
      </c>
      <c r="AL784" s="450" t="s">
        <v>556</v>
      </c>
      <c r="AM784" s="133"/>
      <c r="AN784" s="134">
        <v>77</v>
      </c>
      <c r="AO784" s="450">
        <v>109.31</v>
      </c>
      <c r="AP784" s="450">
        <v>108.72</v>
      </c>
      <c r="AQ784" s="450">
        <v>108.1</v>
      </c>
      <c r="AR784" s="450">
        <v>107.45</v>
      </c>
      <c r="AS784" s="450">
        <v>106.78</v>
      </c>
      <c r="AT784" s="450">
        <v>106.1</v>
      </c>
      <c r="AU784" s="450">
        <v>105.41</v>
      </c>
      <c r="AV784" s="450">
        <v>104.72</v>
      </c>
      <c r="AW784" s="450">
        <v>104.03</v>
      </c>
      <c r="AX784" s="450">
        <v>103.36</v>
      </c>
      <c r="AY784" s="450">
        <v>102.7</v>
      </c>
      <c r="AZ784" s="450">
        <v>102.06</v>
      </c>
      <c r="BA784" s="450">
        <v>99.24</v>
      </c>
      <c r="BB784" s="450">
        <v>95.9</v>
      </c>
      <c r="BC784" s="450" t="s">
        <v>556</v>
      </c>
      <c r="BD784" s="450" t="s">
        <v>556</v>
      </c>
      <c r="BE784" s="450" t="s">
        <v>556</v>
      </c>
    </row>
    <row r="785" spans="2:57" x14ac:dyDescent="0.25">
      <c r="B785" s="134">
        <v>78</v>
      </c>
      <c r="C785" s="450">
        <v>104.33</v>
      </c>
      <c r="D785" s="450">
        <v>103.64</v>
      </c>
      <c r="E785" s="450">
        <v>102.92</v>
      </c>
      <c r="F785" s="450">
        <v>102.19</v>
      </c>
      <c r="G785" s="450">
        <v>101.45</v>
      </c>
      <c r="H785" s="450">
        <v>100.7</v>
      </c>
      <c r="I785" s="450">
        <v>99.96</v>
      </c>
      <c r="J785" s="450">
        <v>99.23</v>
      </c>
      <c r="K785" s="450">
        <v>98.5</v>
      </c>
      <c r="L785" s="450">
        <v>97.8</v>
      </c>
      <c r="M785" s="450">
        <v>97.12</v>
      </c>
      <c r="N785" s="450">
        <v>96.46</v>
      </c>
      <c r="O785" s="450">
        <v>93.41</v>
      </c>
      <c r="P785" s="450">
        <v>90.04</v>
      </c>
      <c r="Q785" s="450" t="s">
        <v>556</v>
      </c>
      <c r="R785" s="450" t="s">
        <v>556</v>
      </c>
      <c r="S785" s="450" t="s">
        <v>556</v>
      </c>
      <c r="T785" s="133"/>
      <c r="U785" s="134">
        <v>78</v>
      </c>
      <c r="V785" s="450">
        <v>106.28</v>
      </c>
      <c r="W785" s="450">
        <v>105.59</v>
      </c>
      <c r="X785" s="450">
        <v>104.88</v>
      </c>
      <c r="Y785" s="450">
        <v>104.16</v>
      </c>
      <c r="Z785" s="450">
        <v>103.42</v>
      </c>
      <c r="AA785" s="450">
        <v>102.68</v>
      </c>
      <c r="AB785" s="450">
        <v>101.94</v>
      </c>
      <c r="AC785" s="450">
        <v>101.21</v>
      </c>
      <c r="AD785" s="450">
        <v>100.49</v>
      </c>
      <c r="AE785" s="450">
        <v>99.78</v>
      </c>
      <c r="AF785" s="450">
        <v>99.1</v>
      </c>
      <c r="AG785" s="450">
        <v>98.44</v>
      </c>
      <c r="AH785" s="450">
        <v>95.4</v>
      </c>
      <c r="AI785" s="450">
        <v>92.01</v>
      </c>
      <c r="AJ785" s="450" t="s">
        <v>556</v>
      </c>
      <c r="AK785" s="450" t="s">
        <v>556</v>
      </c>
      <c r="AL785" s="450" t="s">
        <v>556</v>
      </c>
      <c r="AM785" s="133"/>
      <c r="AN785" s="134">
        <v>78</v>
      </c>
      <c r="AO785" s="450">
        <v>108.08</v>
      </c>
      <c r="AP785" s="450">
        <v>107.39</v>
      </c>
      <c r="AQ785" s="450">
        <v>106.68</v>
      </c>
      <c r="AR785" s="450">
        <v>105.94</v>
      </c>
      <c r="AS785" s="450">
        <v>105.19</v>
      </c>
      <c r="AT785" s="450">
        <v>104.44</v>
      </c>
      <c r="AU785" s="450">
        <v>103.69</v>
      </c>
      <c r="AV785" s="450">
        <v>102.94</v>
      </c>
      <c r="AW785" s="450">
        <v>102.21</v>
      </c>
      <c r="AX785" s="450">
        <v>101.49</v>
      </c>
      <c r="AY785" s="450">
        <v>100.79</v>
      </c>
      <c r="AZ785" s="450">
        <v>100.12</v>
      </c>
      <c r="BA785" s="450">
        <v>96.99</v>
      </c>
      <c r="BB785" s="450">
        <v>93.5</v>
      </c>
      <c r="BC785" s="450" t="s">
        <v>556</v>
      </c>
      <c r="BD785" s="450" t="s">
        <v>556</v>
      </c>
      <c r="BE785" s="450" t="s">
        <v>556</v>
      </c>
    </row>
    <row r="786" spans="2:57" x14ac:dyDescent="0.25">
      <c r="B786" s="134">
        <v>79</v>
      </c>
      <c r="C786" s="450">
        <v>102.9</v>
      </c>
      <c r="D786" s="450">
        <v>102.12</v>
      </c>
      <c r="E786" s="450">
        <v>101.32</v>
      </c>
      <c r="F786" s="450">
        <v>100.51</v>
      </c>
      <c r="G786" s="450">
        <v>99.7</v>
      </c>
      <c r="H786" s="450">
        <v>98.9</v>
      </c>
      <c r="I786" s="450">
        <v>98.1</v>
      </c>
      <c r="J786" s="450">
        <v>97.32</v>
      </c>
      <c r="K786" s="450">
        <v>96.55</v>
      </c>
      <c r="L786" s="450">
        <v>95.81</v>
      </c>
      <c r="M786" s="450">
        <v>95.1</v>
      </c>
      <c r="N786" s="450">
        <v>94.42</v>
      </c>
      <c r="O786" s="450">
        <v>91.06</v>
      </c>
      <c r="P786" s="450">
        <v>87.54</v>
      </c>
      <c r="Q786" s="450" t="s">
        <v>556</v>
      </c>
      <c r="R786" s="450" t="s">
        <v>556</v>
      </c>
      <c r="S786" s="450" t="s">
        <v>556</v>
      </c>
      <c r="T786" s="133"/>
      <c r="U786" s="134">
        <v>79</v>
      </c>
      <c r="V786" s="450">
        <v>104.86</v>
      </c>
      <c r="W786" s="450">
        <v>104.09</v>
      </c>
      <c r="X786" s="450">
        <v>103.29</v>
      </c>
      <c r="Y786" s="450">
        <v>102.49</v>
      </c>
      <c r="Z786" s="450">
        <v>101.68</v>
      </c>
      <c r="AA786" s="450">
        <v>100.88</v>
      </c>
      <c r="AB786" s="450">
        <v>100.09</v>
      </c>
      <c r="AC786" s="450">
        <v>99.3</v>
      </c>
      <c r="AD786" s="450">
        <v>98.54</v>
      </c>
      <c r="AE786" s="450">
        <v>97.81</v>
      </c>
      <c r="AF786" s="450">
        <v>97.09</v>
      </c>
      <c r="AG786" s="450">
        <v>96.41</v>
      </c>
      <c r="AH786" s="450">
        <v>93.05</v>
      </c>
      <c r="AI786" s="450">
        <v>89.51</v>
      </c>
      <c r="AJ786" s="450" t="s">
        <v>556</v>
      </c>
      <c r="AK786" s="450" t="s">
        <v>556</v>
      </c>
      <c r="AL786" s="450" t="s">
        <v>556</v>
      </c>
      <c r="AM786" s="133"/>
      <c r="AN786" s="134">
        <v>79</v>
      </c>
      <c r="AO786" s="450">
        <v>106.65</v>
      </c>
      <c r="AP786" s="450">
        <v>105.87</v>
      </c>
      <c r="AQ786" s="450">
        <v>105.07</v>
      </c>
      <c r="AR786" s="450">
        <v>104.25</v>
      </c>
      <c r="AS786" s="450">
        <v>103.44</v>
      </c>
      <c r="AT786" s="450">
        <v>102.62</v>
      </c>
      <c r="AU786" s="450">
        <v>101.81</v>
      </c>
      <c r="AV786" s="450">
        <v>101.02</v>
      </c>
      <c r="AW786" s="450">
        <v>100.24</v>
      </c>
      <c r="AX786" s="450">
        <v>99.48</v>
      </c>
      <c r="AY786" s="450">
        <v>98.76</v>
      </c>
      <c r="AZ786" s="450">
        <v>98.06</v>
      </c>
      <c r="BA786" s="450">
        <v>94.61</v>
      </c>
      <c r="BB786" s="450">
        <v>90.96</v>
      </c>
      <c r="BC786" s="450" t="s">
        <v>556</v>
      </c>
      <c r="BD786" s="450" t="s">
        <v>556</v>
      </c>
      <c r="BE786" s="450" t="s">
        <v>556</v>
      </c>
    </row>
    <row r="787" spans="2:57" x14ac:dyDescent="0.25">
      <c r="B787" s="134">
        <v>80</v>
      </c>
      <c r="C787" s="450">
        <v>101.29</v>
      </c>
      <c r="D787" s="450">
        <v>100.42</v>
      </c>
      <c r="E787" s="450">
        <v>99.55</v>
      </c>
      <c r="F787" s="450">
        <v>98.67</v>
      </c>
      <c r="G787" s="450">
        <v>97.8</v>
      </c>
      <c r="H787" s="450">
        <v>96.94</v>
      </c>
      <c r="I787" s="450">
        <v>96.1</v>
      </c>
      <c r="J787" s="450">
        <v>95.28</v>
      </c>
      <c r="K787" s="450">
        <v>94.48</v>
      </c>
      <c r="L787" s="450">
        <v>93.71</v>
      </c>
      <c r="M787" s="450">
        <v>92.98</v>
      </c>
      <c r="N787" s="450">
        <v>92.27</v>
      </c>
      <c r="O787" s="450">
        <v>88.62</v>
      </c>
      <c r="P787" s="450" t="s">
        <v>556</v>
      </c>
      <c r="Q787" s="450" t="s">
        <v>556</v>
      </c>
      <c r="R787" s="450" t="s">
        <v>556</v>
      </c>
      <c r="S787" s="450" t="s">
        <v>556</v>
      </c>
      <c r="T787" s="133"/>
      <c r="U787" s="134">
        <v>80</v>
      </c>
      <c r="V787" s="450">
        <v>103.26</v>
      </c>
      <c r="W787" s="450">
        <v>102.4</v>
      </c>
      <c r="X787" s="450">
        <v>101.53</v>
      </c>
      <c r="Y787" s="450">
        <v>100.66</v>
      </c>
      <c r="Z787" s="450">
        <v>99.79</v>
      </c>
      <c r="AA787" s="450">
        <v>98.94</v>
      </c>
      <c r="AB787" s="450">
        <v>98.09</v>
      </c>
      <c r="AC787" s="450">
        <v>97.27</v>
      </c>
      <c r="AD787" s="450">
        <v>96.48</v>
      </c>
      <c r="AE787" s="450">
        <v>95.71</v>
      </c>
      <c r="AF787" s="450">
        <v>94.98</v>
      </c>
      <c r="AG787" s="450">
        <v>94.28</v>
      </c>
      <c r="AH787" s="450">
        <v>90.61</v>
      </c>
      <c r="AI787" s="450" t="s">
        <v>556</v>
      </c>
      <c r="AJ787" s="450" t="s">
        <v>556</v>
      </c>
      <c r="AK787" s="450" t="s">
        <v>556</v>
      </c>
      <c r="AL787" s="450" t="s">
        <v>556</v>
      </c>
      <c r="AM787" s="133"/>
      <c r="AN787" s="134">
        <v>80</v>
      </c>
      <c r="AO787" s="450">
        <v>105.03</v>
      </c>
      <c r="AP787" s="450">
        <v>104.16</v>
      </c>
      <c r="AQ787" s="450">
        <v>103.28</v>
      </c>
      <c r="AR787" s="450">
        <v>102.4</v>
      </c>
      <c r="AS787" s="450">
        <v>101.52</v>
      </c>
      <c r="AT787" s="450">
        <v>100.65</v>
      </c>
      <c r="AU787" s="450">
        <v>99.79</v>
      </c>
      <c r="AV787" s="450">
        <v>98.95</v>
      </c>
      <c r="AW787" s="450">
        <v>98.14</v>
      </c>
      <c r="AX787" s="450">
        <v>97.36</v>
      </c>
      <c r="AY787" s="450">
        <v>96.61</v>
      </c>
      <c r="AZ787" s="450">
        <v>95.89</v>
      </c>
      <c r="BA787" s="450">
        <v>92.13</v>
      </c>
      <c r="BB787" s="450" t="s">
        <v>556</v>
      </c>
      <c r="BC787" s="450" t="s">
        <v>556</v>
      </c>
      <c r="BD787" s="450" t="s">
        <v>556</v>
      </c>
      <c r="BE787" s="450" t="s">
        <v>556</v>
      </c>
    </row>
    <row r="788" spans="2:57" x14ac:dyDescent="0.25">
      <c r="B788" s="134">
        <v>81</v>
      </c>
      <c r="C788" s="450">
        <v>99.51</v>
      </c>
      <c r="D788" s="450">
        <v>98.57</v>
      </c>
      <c r="E788" s="450">
        <v>97.62</v>
      </c>
      <c r="F788" s="450">
        <v>96.69</v>
      </c>
      <c r="G788" s="450">
        <v>95.77</v>
      </c>
      <c r="H788" s="450">
        <v>94.86</v>
      </c>
      <c r="I788" s="450">
        <v>93.98</v>
      </c>
      <c r="J788" s="450">
        <v>93.13</v>
      </c>
      <c r="K788" s="450">
        <v>92.3</v>
      </c>
      <c r="L788" s="450">
        <v>91.51</v>
      </c>
      <c r="M788" s="450">
        <v>90.76</v>
      </c>
      <c r="N788" s="450">
        <v>90.05</v>
      </c>
      <c r="O788" s="450">
        <v>86.09</v>
      </c>
      <c r="P788" s="450" t="s">
        <v>556</v>
      </c>
      <c r="Q788" s="450" t="s">
        <v>556</v>
      </c>
      <c r="R788" s="450" t="s">
        <v>556</v>
      </c>
      <c r="S788" s="450" t="s">
        <v>556</v>
      </c>
      <c r="T788" s="133"/>
      <c r="U788" s="134">
        <v>81</v>
      </c>
      <c r="V788" s="450">
        <v>101.49</v>
      </c>
      <c r="W788" s="450">
        <v>100.56</v>
      </c>
      <c r="X788" s="450">
        <v>99.62</v>
      </c>
      <c r="Y788" s="450">
        <v>98.69</v>
      </c>
      <c r="Z788" s="450">
        <v>97.77</v>
      </c>
      <c r="AA788" s="450">
        <v>96.86</v>
      </c>
      <c r="AB788" s="450">
        <v>95.98</v>
      </c>
      <c r="AC788" s="450">
        <v>95.13</v>
      </c>
      <c r="AD788" s="450">
        <v>94.31</v>
      </c>
      <c r="AE788" s="450">
        <v>93.52</v>
      </c>
      <c r="AF788" s="450">
        <v>92.77</v>
      </c>
      <c r="AG788" s="450">
        <v>92.06</v>
      </c>
      <c r="AH788" s="450">
        <v>88.08</v>
      </c>
      <c r="AI788" s="450" t="s">
        <v>556</v>
      </c>
      <c r="AJ788" s="450" t="s">
        <v>556</v>
      </c>
      <c r="AK788" s="450" t="s">
        <v>556</v>
      </c>
      <c r="AL788" s="450" t="s">
        <v>556</v>
      </c>
      <c r="AM788" s="133"/>
      <c r="AN788" s="134">
        <v>81</v>
      </c>
      <c r="AO788" s="450">
        <v>103.24</v>
      </c>
      <c r="AP788" s="450">
        <v>102.29</v>
      </c>
      <c r="AQ788" s="450">
        <v>101.34</v>
      </c>
      <c r="AR788" s="450">
        <v>100.4</v>
      </c>
      <c r="AS788" s="450">
        <v>99.46</v>
      </c>
      <c r="AT788" s="450">
        <v>98.54</v>
      </c>
      <c r="AU788" s="450">
        <v>97.65</v>
      </c>
      <c r="AV788" s="450">
        <v>96.78</v>
      </c>
      <c r="AW788" s="450">
        <v>95.94</v>
      </c>
      <c r="AX788" s="450">
        <v>95.13</v>
      </c>
      <c r="AY788" s="450">
        <v>94.37</v>
      </c>
      <c r="AZ788" s="450">
        <v>93.64</v>
      </c>
      <c r="BA788" s="450">
        <v>89.56</v>
      </c>
      <c r="BB788" s="450" t="s">
        <v>556</v>
      </c>
      <c r="BC788" s="450" t="s">
        <v>556</v>
      </c>
      <c r="BD788" s="450" t="s">
        <v>556</v>
      </c>
      <c r="BE788" s="450" t="s">
        <v>556</v>
      </c>
    </row>
    <row r="789" spans="2:57" x14ac:dyDescent="0.25">
      <c r="B789" s="134">
        <v>82</v>
      </c>
      <c r="C789" s="450">
        <v>97.58</v>
      </c>
      <c r="D789" s="450">
        <v>96.57</v>
      </c>
      <c r="E789" s="450">
        <v>95.57</v>
      </c>
      <c r="F789" s="450">
        <v>94.58</v>
      </c>
      <c r="G789" s="450">
        <v>93.62</v>
      </c>
      <c r="H789" s="450">
        <v>92.68</v>
      </c>
      <c r="I789" s="450">
        <v>91.76</v>
      </c>
      <c r="J789" s="450">
        <v>90.88</v>
      </c>
      <c r="K789" s="450">
        <v>90.04</v>
      </c>
      <c r="L789" s="450">
        <v>89.24</v>
      </c>
      <c r="M789" s="450">
        <v>88.48</v>
      </c>
      <c r="N789" s="450">
        <v>87.76</v>
      </c>
      <c r="O789" s="450">
        <v>83.48</v>
      </c>
      <c r="P789" s="450" t="s">
        <v>556</v>
      </c>
      <c r="Q789" s="450" t="s">
        <v>556</v>
      </c>
      <c r="R789" s="450" t="s">
        <v>556</v>
      </c>
      <c r="S789" s="450" t="s">
        <v>556</v>
      </c>
      <c r="T789" s="133"/>
      <c r="U789" s="134">
        <v>82</v>
      </c>
      <c r="V789" s="450">
        <v>99.57</v>
      </c>
      <c r="W789" s="450">
        <v>98.57</v>
      </c>
      <c r="X789" s="450">
        <v>97.57</v>
      </c>
      <c r="Y789" s="450">
        <v>96.59</v>
      </c>
      <c r="Z789" s="450">
        <v>95.62</v>
      </c>
      <c r="AA789" s="450">
        <v>94.68</v>
      </c>
      <c r="AB789" s="450">
        <v>93.77</v>
      </c>
      <c r="AC789" s="450">
        <v>92.89</v>
      </c>
      <c r="AD789" s="450">
        <v>92.05</v>
      </c>
      <c r="AE789" s="450">
        <v>91.25</v>
      </c>
      <c r="AF789" s="450">
        <v>90.49</v>
      </c>
      <c r="AG789" s="450">
        <v>89.77</v>
      </c>
      <c r="AH789" s="450">
        <v>85.47</v>
      </c>
      <c r="AI789" s="450" t="s">
        <v>556</v>
      </c>
      <c r="AJ789" s="450" t="s">
        <v>556</v>
      </c>
      <c r="AK789" s="450" t="s">
        <v>556</v>
      </c>
      <c r="AL789" s="450" t="s">
        <v>556</v>
      </c>
      <c r="AM789" s="133"/>
      <c r="AN789" s="134">
        <v>82</v>
      </c>
      <c r="AO789" s="450">
        <v>101.29</v>
      </c>
      <c r="AP789" s="450">
        <v>100.27</v>
      </c>
      <c r="AQ789" s="450">
        <v>99.26</v>
      </c>
      <c r="AR789" s="450">
        <v>98.27</v>
      </c>
      <c r="AS789" s="450">
        <v>97.29</v>
      </c>
      <c r="AT789" s="450">
        <v>96.33</v>
      </c>
      <c r="AU789" s="450">
        <v>95.4</v>
      </c>
      <c r="AV789" s="450">
        <v>94.51</v>
      </c>
      <c r="AW789" s="450">
        <v>93.65</v>
      </c>
      <c r="AX789" s="450">
        <v>92.83</v>
      </c>
      <c r="AY789" s="450">
        <v>92.05</v>
      </c>
      <c r="AZ789" s="450">
        <v>91.32</v>
      </c>
      <c r="BA789" s="450">
        <v>86.91</v>
      </c>
      <c r="BB789" s="450" t="s">
        <v>556</v>
      </c>
      <c r="BC789" s="450" t="s">
        <v>556</v>
      </c>
      <c r="BD789" s="450" t="s">
        <v>556</v>
      </c>
      <c r="BE789" s="450" t="s">
        <v>556</v>
      </c>
    </row>
    <row r="790" spans="2:57" x14ac:dyDescent="0.25">
      <c r="B790" s="134">
        <v>83</v>
      </c>
      <c r="C790" s="450">
        <v>95.52</v>
      </c>
      <c r="D790" s="450">
        <v>94.45</v>
      </c>
      <c r="E790" s="450">
        <v>93.4</v>
      </c>
      <c r="F790" s="450">
        <v>92.37</v>
      </c>
      <c r="G790" s="450">
        <v>91.37</v>
      </c>
      <c r="H790" s="450">
        <v>90.4</v>
      </c>
      <c r="I790" s="450">
        <v>89.47</v>
      </c>
      <c r="J790" s="450">
        <v>88.57</v>
      </c>
      <c r="K790" s="450">
        <v>87.72</v>
      </c>
      <c r="L790" s="450">
        <v>86.91</v>
      </c>
      <c r="M790" s="450">
        <v>86.14</v>
      </c>
      <c r="N790" s="450">
        <v>85.2</v>
      </c>
      <c r="O790" s="450">
        <v>80.790000000000006</v>
      </c>
      <c r="P790" s="450" t="s">
        <v>556</v>
      </c>
      <c r="Q790" s="450" t="s">
        <v>556</v>
      </c>
      <c r="R790" s="450" t="s">
        <v>556</v>
      </c>
      <c r="S790" s="450" t="s">
        <v>556</v>
      </c>
      <c r="T790" s="133"/>
      <c r="U790" s="134">
        <v>83</v>
      </c>
      <c r="V790" s="450">
        <v>97.52</v>
      </c>
      <c r="W790" s="450">
        <v>96.45</v>
      </c>
      <c r="X790" s="450">
        <v>95.41</v>
      </c>
      <c r="Y790" s="450">
        <v>94.38</v>
      </c>
      <c r="Z790" s="450">
        <v>93.38</v>
      </c>
      <c r="AA790" s="450">
        <v>92.41</v>
      </c>
      <c r="AB790" s="450">
        <v>91.48</v>
      </c>
      <c r="AC790" s="450">
        <v>90.58</v>
      </c>
      <c r="AD790" s="450">
        <v>89.73</v>
      </c>
      <c r="AE790" s="450">
        <v>88.92</v>
      </c>
      <c r="AF790" s="450">
        <v>88.16</v>
      </c>
      <c r="AG790" s="450">
        <v>87.22</v>
      </c>
      <c r="AH790" s="450">
        <v>82.79</v>
      </c>
      <c r="AI790" s="450" t="s">
        <v>556</v>
      </c>
      <c r="AJ790" s="450" t="s">
        <v>556</v>
      </c>
      <c r="AK790" s="450" t="s">
        <v>556</v>
      </c>
      <c r="AL790" s="450" t="s">
        <v>556</v>
      </c>
      <c r="AM790" s="133"/>
      <c r="AN790" s="134">
        <v>83</v>
      </c>
      <c r="AO790" s="450">
        <v>99.2</v>
      </c>
      <c r="AP790" s="450">
        <v>98.13</v>
      </c>
      <c r="AQ790" s="450">
        <v>97.07</v>
      </c>
      <c r="AR790" s="450">
        <v>96.03</v>
      </c>
      <c r="AS790" s="450">
        <v>95.01</v>
      </c>
      <c r="AT790" s="450">
        <v>94.03</v>
      </c>
      <c r="AU790" s="450">
        <v>93.08</v>
      </c>
      <c r="AV790" s="450">
        <v>92.17</v>
      </c>
      <c r="AW790" s="450">
        <v>91.3</v>
      </c>
      <c r="AX790" s="450">
        <v>90.47</v>
      </c>
      <c r="AY790" s="450">
        <v>89.69</v>
      </c>
      <c r="AZ790" s="450">
        <v>88.73</v>
      </c>
      <c r="BA790" s="450">
        <v>84.18</v>
      </c>
      <c r="BB790" s="450" t="s">
        <v>556</v>
      </c>
      <c r="BC790" s="450" t="s">
        <v>556</v>
      </c>
      <c r="BD790" s="450" t="s">
        <v>556</v>
      </c>
      <c r="BE790" s="450" t="s">
        <v>556</v>
      </c>
    </row>
    <row r="791" spans="2:57" x14ac:dyDescent="0.25">
      <c r="B791" s="134">
        <v>84</v>
      </c>
      <c r="C791" s="450">
        <v>93.34</v>
      </c>
      <c r="D791" s="450">
        <v>92.23</v>
      </c>
      <c r="E791" s="450">
        <v>91.14</v>
      </c>
      <c r="F791" s="450">
        <v>90.08</v>
      </c>
      <c r="G791" s="450">
        <v>89.05</v>
      </c>
      <c r="H791" s="450">
        <v>88.06</v>
      </c>
      <c r="I791" s="450">
        <v>87.11</v>
      </c>
      <c r="J791" s="450">
        <v>86.21</v>
      </c>
      <c r="K791" s="450">
        <v>85.35</v>
      </c>
      <c r="L791" s="450">
        <v>84.53</v>
      </c>
      <c r="M791" s="450">
        <v>83.55</v>
      </c>
      <c r="N791" s="450">
        <v>82.59</v>
      </c>
      <c r="O791" s="450">
        <v>78.03</v>
      </c>
      <c r="P791" s="450" t="s">
        <v>556</v>
      </c>
      <c r="Q791" s="450" t="s">
        <v>556</v>
      </c>
      <c r="R791" s="450" t="s">
        <v>556</v>
      </c>
      <c r="S791" s="450" t="s">
        <v>556</v>
      </c>
      <c r="T791" s="133"/>
      <c r="U791" s="134">
        <v>84</v>
      </c>
      <c r="V791" s="450">
        <v>95.35</v>
      </c>
      <c r="W791" s="450">
        <v>94.24</v>
      </c>
      <c r="X791" s="450">
        <v>93.15</v>
      </c>
      <c r="Y791" s="450">
        <v>92.09</v>
      </c>
      <c r="Z791" s="450">
        <v>91.06</v>
      </c>
      <c r="AA791" s="450">
        <v>90.07</v>
      </c>
      <c r="AB791" s="450">
        <v>89.13</v>
      </c>
      <c r="AC791" s="450">
        <v>88.22</v>
      </c>
      <c r="AD791" s="450">
        <v>87.36</v>
      </c>
      <c r="AE791" s="450">
        <v>86.55</v>
      </c>
      <c r="AF791" s="450">
        <v>85.57</v>
      </c>
      <c r="AG791" s="450">
        <v>84.6</v>
      </c>
      <c r="AH791" s="450">
        <v>80.02</v>
      </c>
      <c r="AI791" s="450" t="s">
        <v>556</v>
      </c>
      <c r="AJ791" s="450" t="s">
        <v>556</v>
      </c>
      <c r="AK791" s="450" t="s">
        <v>556</v>
      </c>
      <c r="AL791" s="450" t="s">
        <v>556</v>
      </c>
      <c r="AM791" s="133"/>
      <c r="AN791" s="134">
        <v>84</v>
      </c>
      <c r="AO791" s="450">
        <v>97</v>
      </c>
      <c r="AP791" s="450">
        <v>95.88</v>
      </c>
      <c r="AQ791" s="450">
        <v>94.78</v>
      </c>
      <c r="AR791" s="450">
        <v>93.7</v>
      </c>
      <c r="AS791" s="450">
        <v>92.66</v>
      </c>
      <c r="AT791" s="450">
        <v>91.66</v>
      </c>
      <c r="AU791" s="450">
        <v>90.69</v>
      </c>
      <c r="AV791" s="450">
        <v>89.77</v>
      </c>
      <c r="AW791" s="450">
        <v>88.89</v>
      </c>
      <c r="AX791" s="450">
        <v>88.06</v>
      </c>
      <c r="AY791" s="450">
        <v>87.06</v>
      </c>
      <c r="AZ791" s="450">
        <v>86.07</v>
      </c>
      <c r="BA791" s="450">
        <v>81.37</v>
      </c>
      <c r="BB791" s="450" t="s">
        <v>556</v>
      </c>
      <c r="BC791" s="450" t="s">
        <v>556</v>
      </c>
      <c r="BD791" s="450" t="s">
        <v>556</v>
      </c>
      <c r="BE791" s="450" t="s">
        <v>556</v>
      </c>
    </row>
    <row r="792" spans="2:57" x14ac:dyDescent="0.25">
      <c r="B792" s="134">
        <v>85</v>
      </c>
      <c r="C792" s="450">
        <v>91.07</v>
      </c>
      <c r="D792" s="450">
        <v>89.92</v>
      </c>
      <c r="E792" s="450">
        <v>88.8</v>
      </c>
      <c r="F792" s="450">
        <v>87.72</v>
      </c>
      <c r="G792" s="450">
        <v>86.67</v>
      </c>
      <c r="H792" s="450">
        <v>85.67</v>
      </c>
      <c r="I792" s="450">
        <v>84.72</v>
      </c>
      <c r="J792" s="450">
        <v>83.81</v>
      </c>
      <c r="K792" s="450">
        <v>82.95</v>
      </c>
      <c r="L792" s="450">
        <v>81.92</v>
      </c>
      <c r="M792" s="450">
        <v>80.92</v>
      </c>
      <c r="N792" s="450">
        <v>79.94</v>
      </c>
      <c r="O792" s="450" t="s">
        <v>556</v>
      </c>
      <c r="P792" s="450" t="s">
        <v>556</v>
      </c>
      <c r="Q792" s="450" t="s">
        <v>556</v>
      </c>
      <c r="R792" s="450" t="s">
        <v>556</v>
      </c>
      <c r="S792" s="450" t="s">
        <v>556</v>
      </c>
      <c r="T792" s="133"/>
      <c r="U792" s="134">
        <v>85</v>
      </c>
      <c r="V792" s="450">
        <v>93.08</v>
      </c>
      <c r="W792" s="450">
        <v>91.93</v>
      </c>
      <c r="X792" s="450">
        <v>90.82</v>
      </c>
      <c r="Y792" s="450">
        <v>89.73</v>
      </c>
      <c r="Z792" s="450">
        <v>88.69</v>
      </c>
      <c r="AA792" s="450">
        <v>87.69</v>
      </c>
      <c r="AB792" s="450">
        <v>86.73</v>
      </c>
      <c r="AC792" s="450">
        <v>85.83</v>
      </c>
      <c r="AD792" s="450">
        <v>84.97</v>
      </c>
      <c r="AE792" s="450">
        <v>83.94</v>
      </c>
      <c r="AF792" s="450">
        <v>82.93</v>
      </c>
      <c r="AG792" s="450">
        <v>81.96</v>
      </c>
      <c r="AH792" s="450" t="s">
        <v>556</v>
      </c>
      <c r="AI792" s="450" t="s">
        <v>556</v>
      </c>
      <c r="AJ792" s="450" t="s">
        <v>556</v>
      </c>
      <c r="AK792" s="450" t="s">
        <v>556</v>
      </c>
      <c r="AL792" s="450" t="s">
        <v>556</v>
      </c>
      <c r="AM792" s="133"/>
      <c r="AN792" s="134">
        <v>85</v>
      </c>
      <c r="AO792" s="450">
        <v>94.7</v>
      </c>
      <c r="AP792" s="450">
        <v>93.54</v>
      </c>
      <c r="AQ792" s="450">
        <v>92.41</v>
      </c>
      <c r="AR792" s="450">
        <v>91.31</v>
      </c>
      <c r="AS792" s="450">
        <v>90.25</v>
      </c>
      <c r="AT792" s="450">
        <v>89.24</v>
      </c>
      <c r="AU792" s="450">
        <v>88.26</v>
      </c>
      <c r="AV792" s="450">
        <v>87.34</v>
      </c>
      <c r="AW792" s="450">
        <v>86.46</v>
      </c>
      <c r="AX792" s="450">
        <v>85.42</v>
      </c>
      <c r="AY792" s="450">
        <v>84.38</v>
      </c>
      <c r="AZ792" s="450">
        <v>83.38</v>
      </c>
      <c r="BA792" s="450" t="s">
        <v>556</v>
      </c>
      <c r="BB792" s="450" t="s">
        <v>556</v>
      </c>
      <c r="BC792" s="450" t="s">
        <v>556</v>
      </c>
      <c r="BD792" s="450" t="s">
        <v>556</v>
      </c>
      <c r="BE792" s="450" t="s">
        <v>556</v>
      </c>
    </row>
    <row r="793" spans="2:57" x14ac:dyDescent="0.25">
      <c r="B793" s="134">
        <v>86</v>
      </c>
      <c r="C793" s="450">
        <v>88.73</v>
      </c>
      <c r="D793" s="450">
        <v>87.55</v>
      </c>
      <c r="E793" s="450">
        <v>86.41</v>
      </c>
      <c r="F793" s="450">
        <v>85.32</v>
      </c>
      <c r="G793" s="450">
        <v>84.26</v>
      </c>
      <c r="H793" s="450">
        <v>83.25</v>
      </c>
      <c r="I793" s="450">
        <v>82.3</v>
      </c>
      <c r="J793" s="450">
        <v>81.39</v>
      </c>
      <c r="K793" s="450">
        <v>80.319999999999993</v>
      </c>
      <c r="L793" s="450">
        <v>79.28</v>
      </c>
      <c r="M793" s="450">
        <v>78.260000000000005</v>
      </c>
      <c r="N793" s="450">
        <v>77.27</v>
      </c>
      <c r="O793" s="450" t="s">
        <v>556</v>
      </c>
      <c r="P793" s="450" t="s">
        <v>556</v>
      </c>
      <c r="Q793" s="450" t="s">
        <v>556</v>
      </c>
      <c r="R793" s="450" t="s">
        <v>556</v>
      </c>
      <c r="S793" s="450" t="s">
        <v>556</v>
      </c>
      <c r="T793" s="133"/>
      <c r="U793" s="134">
        <v>86</v>
      </c>
      <c r="V793" s="450">
        <v>90.75</v>
      </c>
      <c r="W793" s="450">
        <v>89.57</v>
      </c>
      <c r="X793" s="450">
        <v>88.43</v>
      </c>
      <c r="Y793" s="450">
        <v>87.33</v>
      </c>
      <c r="Z793" s="450">
        <v>86.28</v>
      </c>
      <c r="AA793" s="450">
        <v>85.27</v>
      </c>
      <c r="AB793" s="450">
        <v>84.32</v>
      </c>
      <c r="AC793" s="450">
        <v>83.41</v>
      </c>
      <c r="AD793" s="450">
        <v>82.35</v>
      </c>
      <c r="AE793" s="450">
        <v>81.3</v>
      </c>
      <c r="AF793" s="450">
        <v>80.28</v>
      </c>
      <c r="AG793" s="450">
        <v>79.28</v>
      </c>
      <c r="AH793" s="450" t="s">
        <v>556</v>
      </c>
      <c r="AI793" s="450" t="s">
        <v>556</v>
      </c>
      <c r="AJ793" s="450" t="s">
        <v>556</v>
      </c>
      <c r="AK793" s="450" t="s">
        <v>556</v>
      </c>
      <c r="AL793" s="450" t="s">
        <v>556</v>
      </c>
      <c r="AM793" s="133"/>
      <c r="AN793" s="134">
        <v>86</v>
      </c>
      <c r="AO793" s="450">
        <v>92.33</v>
      </c>
      <c r="AP793" s="450">
        <v>91.14</v>
      </c>
      <c r="AQ793" s="450">
        <v>89.99</v>
      </c>
      <c r="AR793" s="450">
        <v>88.88</v>
      </c>
      <c r="AS793" s="450">
        <v>87.81</v>
      </c>
      <c r="AT793" s="450">
        <v>86.79</v>
      </c>
      <c r="AU793" s="450">
        <v>85.81</v>
      </c>
      <c r="AV793" s="450">
        <v>84.89</v>
      </c>
      <c r="AW793" s="450">
        <v>83.8</v>
      </c>
      <c r="AX793" s="450">
        <v>82.73</v>
      </c>
      <c r="AY793" s="450">
        <v>81.69</v>
      </c>
      <c r="AZ793" s="450">
        <v>80.67</v>
      </c>
      <c r="BA793" s="450" t="s">
        <v>556</v>
      </c>
      <c r="BB793" s="450" t="s">
        <v>556</v>
      </c>
      <c r="BC793" s="450" t="s">
        <v>556</v>
      </c>
      <c r="BD793" s="450" t="s">
        <v>556</v>
      </c>
      <c r="BE793" s="450" t="s">
        <v>556</v>
      </c>
    </row>
    <row r="794" spans="2:57" x14ac:dyDescent="0.25">
      <c r="B794" s="134">
        <v>87</v>
      </c>
      <c r="C794" s="450">
        <v>86.34</v>
      </c>
      <c r="D794" s="450">
        <v>85.14</v>
      </c>
      <c r="E794" s="450">
        <v>83.99</v>
      </c>
      <c r="F794" s="450">
        <v>82.88</v>
      </c>
      <c r="G794" s="450">
        <v>81.83</v>
      </c>
      <c r="H794" s="450">
        <v>80.819999999999993</v>
      </c>
      <c r="I794" s="450">
        <v>79.87</v>
      </c>
      <c r="J794" s="450">
        <v>78.760000000000005</v>
      </c>
      <c r="K794" s="450">
        <v>77.680000000000007</v>
      </c>
      <c r="L794" s="450">
        <v>76.62</v>
      </c>
      <c r="M794" s="450">
        <v>75.59</v>
      </c>
      <c r="N794" s="450">
        <v>74.569999999999993</v>
      </c>
      <c r="O794" s="450" t="s">
        <v>556</v>
      </c>
      <c r="P794" s="450" t="s">
        <v>556</v>
      </c>
      <c r="Q794" s="450" t="s">
        <v>556</v>
      </c>
      <c r="R794" s="450" t="s">
        <v>556</v>
      </c>
      <c r="S794" s="450" t="s">
        <v>556</v>
      </c>
      <c r="T794" s="133"/>
      <c r="U794" s="134">
        <v>87</v>
      </c>
      <c r="V794" s="450">
        <v>88.36</v>
      </c>
      <c r="W794" s="450">
        <v>87.16</v>
      </c>
      <c r="X794" s="450">
        <v>86.01</v>
      </c>
      <c r="Y794" s="450">
        <v>84.9</v>
      </c>
      <c r="Z794" s="450">
        <v>83.85</v>
      </c>
      <c r="AA794" s="450">
        <v>82.84</v>
      </c>
      <c r="AB794" s="450">
        <v>81.89</v>
      </c>
      <c r="AC794" s="450">
        <v>80.78</v>
      </c>
      <c r="AD794" s="450">
        <v>79.7</v>
      </c>
      <c r="AE794" s="450">
        <v>78.64</v>
      </c>
      <c r="AF794" s="450">
        <v>77.599999999999994</v>
      </c>
      <c r="AG794" s="450">
        <v>76.58</v>
      </c>
      <c r="AH794" s="450" t="s">
        <v>556</v>
      </c>
      <c r="AI794" s="450" t="s">
        <v>556</v>
      </c>
      <c r="AJ794" s="450" t="s">
        <v>556</v>
      </c>
      <c r="AK794" s="450" t="s">
        <v>556</v>
      </c>
      <c r="AL794" s="450" t="s">
        <v>556</v>
      </c>
      <c r="AM794" s="133"/>
      <c r="AN794" s="134">
        <v>87</v>
      </c>
      <c r="AO794" s="450">
        <v>89.91</v>
      </c>
      <c r="AP794" s="450">
        <v>88.7</v>
      </c>
      <c r="AQ794" s="450">
        <v>87.53</v>
      </c>
      <c r="AR794" s="450">
        <v>86.41</v>
      </c>
      <c r="AS794" s="450">
        <v>85.34</v>
      </c>
      <c r="AT794" s="450">
        <v>84.32</v>
      </c>
      <c r="AU794" s="450">
        <v>83.35</v>
      </c>
      <c r="AV794" s="450">
        <v>82.22</v>
      </c>
      <c r="AW794" s="450">
        <v>81.11</v>
      </c>
      <c r="AX794" s="450">
        <v>80.03</v>
      </c>
      <c r="AY794" s="450">
        <v>78.97</v>
      </c>
      <c r="AZ794" s="450">
        <v>77.930000000000007</v>
      </c>
      <c r="BA794" s="450" t="s">
        <v>556</v>
      </c>
      <c r="BB794" s="450" t="s">
        <v>556</v>
      </c>
      <c r="BC794" s="450" t="s">
        <v>556</v>
      </c>
      <c r="BD794" s="450" t="s">
        <v>556</v>
      </c>
      <c r="BE794" s="450" t="s">
        <v>556</v>
      </c>
    </row>
    <row r="795" spans="2:57" x14ac:dyDescent="0.25">
      <c r="B795" s="134">
        <v>88</v>
      </c>
      <c r="C795" s="450">
        <v>83.91</v>
      </c>
      <c r="D795" s="450">
        <v>82.71</v>
      </c>
      <c r="E795" s="450">
        <v>81.55</v>
      </c>
      <c r="F795" s="450">
        <v>80.44</v>
      </c>
      <c r="G795" s="450">
        <v>79.39</v>
      </c>
      <c r="H795" s="450">
        <v>78.39</v>
      </c>
      <c r="I795" s="450">
        <v>77.239999999999995</v>
      </c>
      <c r="J795" s="450">
        <v>76.11</v>
      </c>
      <c r="K795" s="450">
        <v>75.02</v>
      </c>
      <c r="L795" s="450">
        <v>73.95</v>
      </c>
      <c r="M795" s="450">
        <v>72.900000000000006</v>
      </c>
      <c r="N795" s="450">
        <v>71.84</v>
      </c>
      <c r="O795" s="450" t="s">
        <v>556</v>
      </c>
      <c r="P795" s="450" t="s">
        <v>556</v>
      </c>
      <c r="Q795" s="450" t="s">
        <v>556</v>
      </c>
      <c r="R795" s="450" t="s">
        <v>556</v>
      </c>
      <c r="S795" s="450" t="s">
        <v>556</v>
      </c>
      <c r="T795" s="133"/>
      <c r="U795" s="134">
        <v>88</v>
      </c>
      <c r="V795" s="450">
        <v>85.93</v>
      </c>
      <c r="W795" s="450">
        <v>84.73</v>
      </c>
      <c r="X795" s="450">
        <v>83.57</v>
      </c>
      <c r="Y795" s="450">
        <v>82.46</v>
      </c>
      <c r="Z795" s="450">
        <v>81.41</v>
      </c>
      <c r="AA795" s="450">
        <v>80.41</v>
      </c>
      <c r="AB795" s="450">
        <v>79.27</v>
      </c>
      <c r="AC795" s="450">
        <v>78.14</v>
      </c>
      <c r="AD795" s="450">
        <v>77.040000000000006</v>
      </c>
      <c r="AE795" s="450">
        <v>75.97</v>
      </c>
      <c r="AF795" s="450">
        <v>74.91</v>
      </c>
      <c r="AG795" s="450">
        <v>73.849999999999994</v>
      </c>
      <c r="AH795" s="450" t="s">
        <v>556</v>
      </c>
      <c r="AI795" s="450" t="s">
        <v>556</v>
      </c>
      <c r="AJ795" s="450" t="s">
        <v>556</v>
      </c>
      <c r="AK795" s="450" t="s">
        <v>556</v>
      </c>
      <c r="AL795" s="450" t="s">
        <v>556</v>
      </c>
      <c r="AM795" s="133"/>
      <c r="AN795" s="134">
        <v>88</v>
      </c>
      <c r="AO795" s="450">
        <v>87.45</v>
      </c>
      <c r="AP795" s="450">
        <v>86.23</v>
      </c>
      <c r="AQ795" s="450">
        <v>85.06</v>
      </c>
      <c r="AR795" s="450">
        <v>83.94</v>
      </c>
      <c r="AS795" s="450">
        <v>82.87</v>
      </c>
      <c r="AT795" s="450">
        <v>81.86</v>
      </c>
      <c r="AU795" s="450">
        <v>80.680000000000007</v>
      </c>
      <c r="AV795" s="450">
        <v>79.540000000000006</v>
      </c>
      <c r="AW795" s="450">
        <v>78.42</v>
      </c>
      <c r="AX795" s="450">
        <v>77.319999999999993</v>
      </c>
      <c r="AY795" s="450">
        <v>76.239999999999995</v>
      </c>
      <c r="AZ795" s="450">
        <v>75.16</v>
      </c>
      <c r="BA795" s="450" t="s">
        <v>556</v>
      </c>
      <c r="BB795" s="450" t="s">
        <v>556</v>
      </c>
      <c r="BC795" s="450" t="s">
        <v>556</v>
      </c>
      <c r="BD795" s="450" t="s">
        <v>556</v>
      </c>
      <c r="BE795" s="450" t="s">
        <v>556</v>
      </c>
    </row>
    <row r="796" spans="2:57" x14ac:dyDescent="0.25">
      <c r="B796" s="134">
        <v>89</v>
      </c>
      <c r="C796" s="450">
        <v>81.47</v>
      </c>
      <c r="D796" s="450">
        <v>80.260000000000005</v>
      </c>
      <c r="E796" s="450">
        <v>79.099999999999994</v>
      </c>
      <c r="F796" s="450">
        <v>78</v>
      </c>
      <c r="G796" s="450">
        <v>76.95</v>
      </c>
      <c r="H796" s="450">
        <v>75.77</v>
      </c>
      <c r="I796" s="450">
        <v>74.599999999999994</v>
      </c>
      <c r="J796" s="450">
        <v>73.47</v>
      </c>
      <c r="K796" s="450">
        <v>72.36</v>
      </c>
      <c r="L796" s="450">
        <v>71.27</v>
      </c>
      <c r="M796" s="450">
        <v>70.17</v>
      </c>
      <c r="N796" s="450">
        <v>69.06</v>
      </c>
      <c r="O796" s="450" t="s">
        <v>556</v>
      </c>
      <c r="P796" s="450" t="s">
        <v>556</v>
      </c>
      <c r="Q796" s="450" t="s">
        <v>556</v>
      </c>
      <c r="R796" s="450" t="s">
        <v>556</v>
      </c>
      <c r="S796" s="450" t="s">
        <v>556</v>
      </c>
      <c r="T796" s="133"/>
      <c r="U796" s="134">
        <v>89</v>
      </c>
      <c r="V796" s="450">
        <v>83.49</v>
      </c>
      <c r="W796" s="450">
        <v>82.28</v>
      </c>
      <c r="X796" s="450">
        <v>81.13</v>
      </c>
      <c r="Y796" s="450">
        <v>80.03</v>
      </c>
      <c r="Z796" s="450">
        <v>78.98</v>
      </c>
      <c r="AA796" s="450">
        <v>77.790000000000006</v>
      </c>
      <c r="AB796" s="450">
        <v>76.63</v>
      </c>
      <c r="AC796" s="450">
        <v>75.5</v>
      </c>
      <c r="AD796" s="450">
        <v>74.39</v>
      </c>
      <c r="AE796" s="450">
        <v>73.290000000000006</v>
      </c>
      <c r="AF796" s="450">
        <v>72.19</v>
      </c>
      <c r="AG796" s="450">
        <v>71.069999999999993</v>
      </c>
      <c r="AH796" s="450" t="s">
        <v>556</v>
      </c>
      <c r="AI796" s="450" t="s">
        <v>556</v>
      </c>
      <c r="AJ796" s="450" t="s">
        <v>556</v>
      </c>
      <c r="AK796" s="450" t="s">
        <v>556</v>
      </c>
      <c r="AL796" s="450" t="s">
        <v>556</v>
      </c>
      <c r="AM796" s="133"/>
      <c r="AN796" s="134">
        <v>89</v>
      </c>
      <c r="AO796" s="450">
        <v>84.97</v>
      </c>
      <c r="AP796" s="450">
        <v>83.75</v>
      </c>
      <c r="AQ796" s="450">
        <v>82.58</v>
      </c>
      <c r="AR796" s="450">
        <v>81.47</v>
      </c>
      <c r="AS796" s="450">
        <v>80.41</v>
      </c>
      <c r="AT796" s="450">
        <v>79.2</v>
      </c>
      <c r="AU796" s="450">
        <v>78.010000000000005</v>
      </c>
      <c r="AV796" s="450">
        <v>76.849999999999994</v>
      </c>
      <c r="AW796" s="450">
        <v>75.72</v>
      </c>
      <c r="AX796" s="450">
        <v>74.599999999999994</v>
      </c>
      <c r="AY796" s="450">
        <v>73.48</v>
      </c>
      <c r="AZ796" s="450">
        <v>72.34</v>
      </c>
      <c r="BA796" s="450" t="s">
        <v>556</v>
      </c>
      <c r="BB796" s="450" t="s">
        <v>556</v>
      </c>
      <c r="BC796" s="450" t="s">
        <v>556</v>
      </c>
      <c r="BD796" s="450" t="s">
        <v>556</v>
      </c>
      <c r="BE796" s="450" t="s">
        <v>556</v>
      </c>
    </row>
    <row r="797" spans="2:57" x14ac:dyDescent="0.25">
      <c r="B797" s="134">
        <v>90</v>
      </c>
      <c r="C797" s="450">
        <v>79.02</v>
      </c>
      <c r="D797" s="450">
        <v>77.81</v>
      </c>
      <c r="E797" s="450">
        <v>76.66</v>
      </c>
      <c r="F797" s="450">
        <v>75.569999999999993</v>
      </c>
      <c r="G797" s="450">
        <v>74.349999999999994</v>
      </c>
      <c r="H797" s="450">
        <v>73.14</v>
      </c>
      <c r="I797" s="450">
        <v>71.97</v>
      </c>
      <c r="J797" s="450">
        <v>70.83</v>
      </c>
      <c r="K797" s="450">
        <v>69.7</v>
      </c>
      <c r="L797" s="450">
        <v>68.56</v>
      </c>
      <c r="M797" s="450">
        <v>67.41</v>
      </c>
      <c r="N797" s="450" t="s">
        <v>556</v>
      </c>
      <c r="O797" s="450" t="s">
        <v>556</v>
      </c>
      <c r="P797" s="450" t="s">
        <v>556</v>
      </c>
      <c r="Q797" s="450" t="s">
        <v>556</v>
      </c>
      <c r="R797" s="450" t="s">
        <v>556</v>
      </c>
      <c r="S797" s="450" t="s">
        <v>556</v>
      </c>
      <c r="T797" s="133"/>
      <c r="U797" s="134">
        <v>90</v>
      </c>
      <c r="V797" s="450">
        <v>81.040000000000006</v>
      </c>
      <c r="W797" s="450">
        <v>79.84</v>
      </c>
      <c r="X797" s="450">
        <v>78.69</v>
      </c>
      <c r="Y797" s="450">
        <v>77.599999999999994</v>
      </c>
      <c r="Z797" s="450">
        <v>76.38</v>
      </c>
      <c r="AA797" s="450">
        <v>75.17</v>
      </c>
      <c r="AB797" s="450">
        <v>74</v>
      </c>
      <c r="AC797" s="450">
        <v>72.849999999999994</v>
      </c>
      <c r="AD797" s="450">
        <v>71.72</v>
      </c>
      <c r="AE797" s="450">
        <v>70.58</v>
      </c>
      <c r="AF797" s="450">
        <v>69.42</v>
      </c>
      <c r="AG797" s="450" t="s">
        <v>556</v>
      </c>
      <c r="AH797" s="450" t="s">
        <v>556</v>
      </c>
      <c r="AI797" s="450" t="s">
        <v>556</v>
      </c>
      <c r="AJ797" s="450" t="s">
        <v>556</v>
      </c>
      <c r="AK797" s="450" t="s">
        <v>556</v>
      </c>
      <c r="AL797" s="450" t="s">
        <v>556</v>
      </c>
      <c r="AM797" s="133"/>
      <c r="AN797" s="134">
        <v>90</v>
      </c>
      <c r="AO797" s="450">
        <v>82.49</v>
      </c>
      <c r="AP797" s="450">
        <v>81.27</v>
      </c>
      <c r="AQ797" s="450">
        <v>80.11</v>
      </c>
      <c r="AR797" s="450">
        <v>79.010000000000005</v>
      </c>
      <c r="AS797" s="450">
        <v>77.760000000000005</v>
      </c>
      <c r="AT797" s="450">
        <v>76.53</v>
      </c>
      <c r="AU797" s="450">
        <v>75.34</v>
      </c>
      <c r="AV797" s="450">
        <v>74.180000000000007</v>
      </c>
      <c r="AW797" s="450">
        <v>73.02</v>
      </c>
      <c r="AX797" s="450">
        <v>71.86</v>
      </c>
      <c r="AY797" s="450">
        <v>70.680000000000007</v>
      </c>
      <c r="AZ797" s="450" t="s">
        <v>556</v>
      </c>
      <c r="BA797" s="450" t="s">
        <v>556</v>
      </c>
      <c r="BB797" s="450" t="s">
        <v>556</v>
      </c>
      <c r="BC797" s="450" t="s">
        <v>556</v>
      </c>
      <c r="BD797" s="450" t="s">
        <v>556</v>
      </c>
      <c r="BE797" s="450" t="s">
        <v>556</v>
      </c>
    </row>
    <row r="798" spans="2:57" x14ac:dyDescent="0.25">
      <c r="B798" s="134">
        <v>91</v>
      </c>
      <c r="C798" s="450">
        <v>76.58</v>
      </c>
      <c r="D798" s="450">
        <v>75.38</v>
      </c>
      <c r="E798" s="450">
        <v>74.25</v>
      </c>
      <c r="F798" s="450">
        <v>72.98</v>
      </c>
      <c r="G798" s="450">
        <v>71.739999999999995</v>
      </c>
      <c r="H798" s="450">
        <v>70.53</v>
      </c>
      <c r="I798" s="450">
        <v>69.349999999999994</v>
      </c>
      <c r="J798" s="450">
        <v>68.180000000000007</v>
      </c>
      <c r="K798" s="450">
        <v>67.010000000000005</v>
      </c>
      <c r="L798" s="450">
        <v>65.81</v>
      </c>
      <c r="M798" s="450" t="s">
        <v>556</v>
      </c>
      <c r="N798" s="450" t="s">
        <v>556</v>
      </c>
      <c r="O798" s="450" t="s">
        <v>556</v>
      </c>
      <c r="P798" s="450" t="s">
        <v>556</v>
      </c>
      <c r="Q798" s="450" t="s">
        <v>556</v>
      </c>
      <c r="R798" s="450" t="s">
        <v>556</v>
      </c>
      <c r="S798" s="450" t="s">
        <v>556</v>
      </c>
      <c r="T798" s="133"/>
      <c r="U798" s="134">
        <v>91</v>
      </c>
      <c r="V798" s="450">
        <v>78.61</v>
      </c>
      <c r="W798" s="450">
        <v>77.42</v>
      </c>
      <c r="X798" s="450">
        <v>76.28</v>
      </c>
      <c r="Y798" s="450">
        <v>75.010000000000005</v>
      </c>
      <c r="Z798" s="450">
        <v>73.77</v>
      </c>
      <c r="AA798" s="450">
        <v>72.56</v>
      </c>
      <c r="AB798" s="450">
        <v>71.38</v>
      </c>
      <c r="AC798" s="450">
        <v>70.209999999999994</v>
      </c>
      <c r="AD798" s="450">
        <v>69.03</v>
      </c>
      <c r="AE798" s="450">
        <v>67.83</v>
      </c>
      <c r="AF798" s="450" t="s">
        <v>556</v>
      </c>
      <c r="AG798" s="450" t="s">
        <v>556</v>
      </c>
      <c r="AH798" s="450" t="s">
        <v>556</v>
      </c>
      <c r="AI798" s="450" t="s">
        <v>556</v>
      </c>
      <c r="AJ798" s="450" t="s">
        <v>556</v>
      </c>
      <c r="AK798" s="450" t="s">
        <v>556</v>
      </c>
      <c r="AL798" s="450" t="s">
        <v>556</v>
      </c>
      <c r="AM798" s="133"/>
      <c r="AN798" s="134">
        <v>91</v>
      </c>
      <c r="AO798" s="450">
        <v>80.02</v>
      </c>
      <c r="AP798" s="450">
        <v>78.81</v>
      </c>
      <c r="AQ798" s="450">
        <v>77.67</v>
      </c>
      <c r="AR798" s="450">
        <v>76.38</v>
      </c>
      <c r="AS798" s="450">
        <v>75.12</v>
      </c>
      <c r="AT798" s="450">
        <v>73.89</v>
      </c>
      <c r="AU798" s="450">
        <v>72.69</v>
      </c>
      <c r="AV798" s="450">
        <v>71.489999999999995</v>
      </c>
      <c r="AW798" s="450">
        <v>70.3</v>
      </c>
      <c r="AX798" s="450">
        <v>69.08</v>
      </c>
      <c r="AY798" s="450" t="s">
        <v>556</v>
      </c>
      <c r="AZ798" s="450" t="s">
        <v>556</v>
      </c>
      <c r="BA798" s="450" t="s">
        <v>556</v>
      </c>
      <c r="BB798" s="450" t="s">
        <v>556</v>
      </c>
      <c r="BC798" s="450" t="s">
        <v>556</v>
      </c>
      <c r="BD798" s="450" t="s">
        <v>556</v>
      </c>
      <c r="BE798" s="450" t="s">
        <v>556</v>
      </c>
    </row>
    <row r="799" spans="2:57" x14ac:dyDescent="0.25">
      <c r="B799" s="134">
        <v>92</v>
      </c>
      <c r="C799" s="450">
        <v>74.16</v>
      </c>
      <c r="D799" s="450">
        <v>72.98</v>
      </c>
      <c r="E799" s="450">
        <v>71.67</v>
      </c>
      <c r="F799" s="450">
        <v>70.39</v>
      </c>
      <c r="G799" s="450">
        <v>69.150000000000006</v>
      </c>
      <c r="H799" s="450">
        <v>67.930000000000007</v>
      </c>
      <c r="I799" s="450">
        <v>66.72</v>
      </c>
      <c r="J799" s="450">
        <v>65.510000000000005</v>
      </c>
      <c r="K799" s="450">
        <v>64.28</v>
      </c>
      <c r="L799" s="450" t="s">
        <v>556</v>
      </c>
      <c r="M799" s="450" t="s">
        <v>556</v>
      </c>
      <c r="N799" s="450" t="s">
        <v>556</v>
      </c>
      <c r="O799" s="450" t="s">
        <v>556</v>
      </c>
      <c r="P799" s="450" t="s">
        <v>556</v>
      </c>
      <c r="Q799" s="450" t="s">
        <v>556</v>
      </c>
      <c r="R799" s="450" t="s">
        <v>556</v>
      </c>
      <c r="S799" s="450" t="s">
        <v>556</v>
      </c>
      <c r="T799" s="133"/>
      <c r="U799" s="134">
        <v>92</v>
      </c>
      <c r="V799" s="450">
        <v>76.2</v>
      </c>
      <c r="W799" s="450">
        <v>75.02</v>
      </c>
      <c r="X799" s="450">
        <v>73.709999999999994</v>
      </c>
      <c r="Y799" s="450">
        <v>72.42</v>
      </c>
      <c r="Z799" s="450">
        <v>71.180000000000007</v>
      </c>
      <c r="AA799" s="450">
        <v>69.959999999999994</v>
      </c>
      <c r="AB799" s="450">
        <v>68.75</v>
      </c>
      <c r="AC799" s="450">
        <v>67.540000000000006</v>
      </c>
      <c r="AD799" s="450">
        <v>66.3</v>
      </c>
      <c r="AE799" s="450" t="s">
        <v>556</v>
      </c>
      <c r="AF799" s="450" t="s">
        <v>556</v>
      </c>
      <c r="AG799" s="450" t="s">
        <v>556</v>
      </c>
      <c r="AH799" s="450" t="s">
        <v>556</v>
      </c>
      <c r="AI799" s="450" t="s">
        <v>556</v>
      </c>
      <c r="AJ799" s="450" t="s">
        <v>556</v>
      </c>
      <c r="AK799" s="450" t="s">
        <v>556</v>
      </c>
      <c r="AL799" s="450" t="s">
        <v>556</v>
      </c>
      <c r="AM799" s="133"/>
      <c r="AN799" s="134">
        <v>92</v>
      </c>
      <c r="AO799" s="450">
        <v>77.569999999999993</v>
      </c>
      <c r="AP799" s="450">
        <v>76.38</v>
      </c>
      <c r="AQ799" s="450">
        <v>75.06</v>
      </c>
      <c r="AR799" s="450">
        <v>73.760000000000005</v>
      </c>
      <c r="AS799" s="450">
        <v>72.489999999999995</v>
      </c>
      <c r="AT799" s="450">
        <v>71.25</v>
      </c>
      <c r="AU799" s="450">
        <v>70.03</v>
      </c>
      <c r="AV799" s="450">
        <v>68.790000000000006</v>
      </c>
      <c r="AW799" s="450">
        <v>67.53</v>
      </c>
      <c r="AX799" s="450" t="s">
        <v>556</v>
      </c>
      <c r="AY799" s="450" t="s">
        <v>556</v>
      </c>
      <c r="AZ799" s="450" t="s">
        <v>556</v>
      </c>
      <c r="BA799" s="450" t="s">
        <v>556</v>
      </c>
      <c r="BB799" s="450" t="s">
        <v>556</v>
      </c>
      <c r="BC799" s="450" t="s">
        <v>556</v>
      </c>
      <c r="BD799" s="450" t="s">
        <v>556</v>
      </c>
      <c r="BE799" s="450" t="s">
        <v>556</v>
      </c>
    </row>
    <row r="800" spans="2:57" x14ac:dyDescent="0.25">
      <c r="B800" s="134">
        <v>93</v>
      </c>
      <c r="C800" s="450">
        <v>71.77</v>
      </c>
      <c r="D800" s="450">
        <v>70.42</v>
      </c>
      <c r="E800" s="450">
        <v>69.099999999999994</v>
      </c>
      <c r="F800" s="450">
        <v>67.819999999999993</v>
      </c>
      <c r="G800" s="450">
        <v>66.56</v>
      </c>
      <c r="H800" s="450">
        <v>65.319999999999993</v>
      </c>
      <c r="I800" s="450">
        <v>64.08</v>
      </c>
      <c r="J800" s="450">
        <v>62.8</v>
      </c>
      <c r="K800" s="450" t="s">
        <v>556</v>
      </c>
      <c r="L800" s="450" t="s">
        <v>556</v>
      </c>
      <c r="M800" s="450" t="s">
        <v>556</v>
      </c>
      <c r="N800" s="450" t="s">
        <v>556</v>
      </c>
      <c r="O800" s="450" t="s">
        <v>556</v>
      </c>
      <c r="P800" s="450" t="s">
        <v>556</v>
      </c>
      <c r="Q800" s="450" t="s">
        <v>556</v>
      </c>
      <c r="R800" s="450" t="s">
        <v>556</v>
      </c>
      <c r="S800" s="450" t="s">
        <v>556</v>
      </c>
      <c r="T800" s="133"/>
      <c r="U800" s="134">
        <v>93</v>
      </c>
      <c r="V800" s="450">
        <v>73.81</v>
      </c>
      <c r="W800" s="450">
        <v>72.459999999999994</v>
      </c>
      <c r="X800" s="450">
        <v>71.14</v>
      </c>
      <c r="Y800" s="450">
        <v>69.86</v>
      </c>
      <c r="Z800" s="450">
        <v>68.599999999999994</v>
      </c>
      <c r="AA800" s="450">
        <v>67.36</v>
      </c>
      <c r="AB800" s="450">
        <v>66.11</v>
      </c>
      <c r="AC800" s="450">
        <v>64.83</v>
      </c>
      <c r="AD800" s="450" t="s">
        <v>556</v>
      </c>
      <c r="AE800" s="450" t="s">
        <v>556</v>
      </c>
      <c r="AF800" s="450" t="s">
        <v>556</v>
      </c>
      <c r="AG800" s="450" t="s">
        <v>556</v>
      </c>
      <c r="AH800" s="450" t="s">
        <v>556</v>
      </c>
      <c r="AI800" s="450" t="s">
        <v>556</v>
      </c>
      <c r="AJ800" s="450" t="s">
        <v>556</v>
      </c>
      <c r="AK800" s="450" t="s">
        <v>556</v>
      </c>
      <c r="AL800" s="450" t="s">
        <v>556</v>
      </c>
      <c r="AM800" s="133"/>
      <c r="AN800" s="134">
        <v>93</v>
      </c>
      <c r="AO800" s="450">
        <v>75.150000000000006</v>
      </c>
      <c r="AP800" s="450">
        <v>73.790000000000006</v>
      </c>
      <c r="AQ800" s="450">
        <v>72.45</v>
      </c>
      <c r="AR800" s="450">
        <v>71.150000000000006</v>
      </c>
      <c r="AS800" s="450">
        <v>69.88</v>
      </c>
      <c r="AT800" s="450">
        <v>68.62</v>
      </c>
      <c r="AU800" s="450">
        <v>67.349999999999994</v>
      </c>
      <c r="AV800" s="450">
        <v>66.05</v>
      </c>
      <c r="AW800" s="450" t="s">
        <v>556</v>
      </c>
      <c r="AX800" s="450" t="s">
        <v>556</v>
      </c>
      <c r="AY800" s="450" t="s">
        <v>556</v>
      </c>
      <c r="AZ800" s="450" t="s">
        <v>556</v>
      </c>
      <c r="BA800" s="450" t="s">
        <v>556</v>
      </c>
      <c r="BB800" s="450" t="s">
        <v>556</v>
      </c>
      <c r="BC800" s="450" t="s">
        <v>556</v>
      </c>
      <c r="BD800" s="450" t="s">
        <v>556</v>
      </c>
      <c r="BE800" s="450" t="s">
        <v>556</v>
      </c>
    </row>
    <row r="801" spans="2:57" x14ac:dyDescent="0.25">
      <c r="B801" s="134">
        <v>94</v>
      </c>
      <c r="C801" s="450">
        <v>69.02</v>
      </c>
      <c r="D801" s="450">
        <v>67.67</v>
      </c>
      <c r="E801" s="450">
        <v>66.36</v>
      </c>
      <c r="F801" s="450">
        <v>65.08</v>
      </c>
      <c r="G801" s="450">
        <v>63.81</v>
      </c>
      <c r="H801" s="450">
        <v>62.53</v>
      </c>
      <c r="I801" s="450">
        <v>61.23</v>
      </c>
      <c r="J801" s="450" t="s">
        <v>556</v>
      </c>
      <c r="K801" s="450" t="s">
        <v>556</v>
      </c>
      <c r="L801" s="450" t="s">
        <v>556</v>
      </c>
      <c r="M801" s="450" t="s">
        <v>556</v>
      </c>
      <c r="N801" s="450" t="s">
        <v>556</v>
      </c>
      <c r="O801" s="450" t="s">
        <v>556</v>
      </c>
      <c r="P801" s="450" t="s">
        <v>556</v>
      </c>
      <c r="Q801" s="450" t="s">
        <v>556</v>
      </c>
      <c r="R801" s="450" t="s">
        <v>556</v>
      </c>
      <c r="S801" s="450" t="s">
        <v>556</v>
      </c>
      <c r="T801" s="133"/>
      <c r="U801" s="134">
        <v>94</v>
      </c>
      <c r="V801" s="450">
        <v>71.06</v>
      </c>
      <c r="W801" s="450">
        <v>69.709999999999994</v>
      </c>
      <c r="X801" s="450">
        <v>68.400000000000006</v>
      </c>
      <c r="Y801" s="450">
        <v>67.12</v>
      </c>
      <c r="Z801" s="450">
        <v>65.849999999999994</v>
      </c>
      <c r="AA801" s="450">
        <v>64.569999999999993</v>
      </c>
      <c r="AB801" s="450">
        <v>63.26</v>
      </c>
      <c r="AC801" s="450" t="s">
        <v>556</v>
      </c>
      <c r="AD801" s="450" t="s">
        <v>556</v>
      </c>
      <c r="AE801" s="450" t="s">
        <v>556</v>
      </c>
      <c r="AF801" s="450" t="s">
        <v>556</v>
      </c>
      <c r="AG801" s="450" t="s">
        <v>556</v>
      </c>
      <c r="AH801" s="450" t="s">
        <v>556</v>
      </c>
      <c r="AI801" s="450" t="s">
        <v>556</v>
      </c>
      <c r="AJ801" s="450" t="s">
        <v>556</v>
      </c>
      <c r="AK801" s="450" t="s">
        <v>556</v>
      </c>
      <c r="AL801" s="450" t="s">
        <v>556</v>
      </c>
      <c r="AM801" s="133"/>
      <c r="AN801" s="134">
        <v>94</v>
      </c>
      <c r="AO801" s="450">
        <v>72.37</v>
      </c>
      <c r="AP801" s="450">
        <v>71.010000000000005</v>
      </c>
      <c r="AQ801" s="450">
        <v>69.680000000000007</v>
      </c>
      <c r="AR801" s="450">
        <v>68.38</v>
      </c>
      <c r="AS801" s="450">
        <v>67.09</v>
      </c>
      <c r="AT801" s="450">
        <v>65.790000000000006</v>
      </c>
      <c r="AU801" s="450">
        <v>64.459999999999994</v>
      </c>
      <c r="AV801" s="450" t="s">
        <v>556</v>
      </c>
      <c r="AW801" s="450" t="s">
        <v>556</v>
      </c>
      <c r="AX801" s="450" t="s">
        <v>556</v>
      </c>
      <c r="AY801" s="450" t="s">
        <v>556</v>
      </c>
      <c r="AZ801" s="450" t="s">
        <v>556</v>
      </c>
      <c r="BA801" s="450" t="s">
        <v>556</v>
      </c>
      <c r="BB801" s="450" t="s">
        <v>556</v>
      </c>
      <c r="BC801" s="450" t="s">
        <v>556</v>
      </c>
      <c r="BD801" s="450" t="s">
        <v>556</v>
      </c>
      <c r="BE801" s="450" t="s">
        <v>556</v>
      </c>
    </row>
    <row r="802" spans="2:57" x14ac:dyDescent="0.25">
      <c r="B802" s="134">
        <v>95</v>
      </c>
      <c r="C802" s="450">
        <v>66.27</v>
      </c>
      <c r="D802" s="450">
        <v>64.930000000000007</v>
      </c>
      <c r="E802" s="450">
        <v>63.62</v>
      </c>
      <c r="F802" s="450">
        <v>62.33</v>
      </c>
      <c r="G802" s="450">
        <v>61.02</v>
      </c>
      <c r="H802" s="450">
        <v>59.69</v>
      </c>
      <c r="I802" s="450" t="s">
        <v>556</v>
      </c>
      <c r="J802" s="450" t="s">
        <v>556</v>
      </c>
      <c r="K802" s="450" t="s">
        <v>556</v>
      </c>
      <c r="L802" s="450" t="s">
        <v>556</v>
      </c>
      <c r="M802" s="450" t="s">
        <v>556</v>
      </c>
      <c r="N802" s="450" t="s">
        <v>556</v>
      </c>
      <c r="O802" s="450" t="s">
        <v>556</v>
      </c>
      <c r="P802" s="450" t="s">
        <v>556</v>
      </c>
      <c r="Q802" s="450" t="s">
        <v>556</v>
      </c>
      <c r="R802" s="450" t="s">
        <v>556</v>
      </c>
      <c r="S802" s="450" t="s">
        <v>556</v>
      </c>
      <c r="T802" s="133"/>
      <c r="U802" s="134">
        <v>95</v>
      </c>
      <c r="V802" s="450">
        <v>68.31</v>
      </c>
      <c r="W802" s="450">
        <v>66.97</v>
      </c>
      <c r="X802" s="450">
        <v>65.66</v>
      </c>
      <c r="Y802" s="450">
        <v>64.36</v>
      </c>
      <c r="Z802" s="450">
        <v>63.05</v>
      </c>
      <c r="AA802" s="450">
        <v>61.71</v>
      </c>
      <c r="AB802" s="450" t="s">
        <v>556</v>
      </c>
      <c r="AC802" s="450" t="s">
        <v>556</v>
      </c>
      <c r="AD802" s="450" t="s">
        <v>556</v>
      </c>
      <c r="AE802" s="450" t="s">
        <v>556</v>
      </c>
      <c r="AF802" s="450" t="s">
        <v>556</v>
      </c>
      <c r="AG802" s="450" t="s">
        <v>556</v>
      </c>
      <c r="AH802" s="450" t="s">
        <v>556</v>
      </c>
      <c r="AI802" s="450" t="s">
        <v>556</v>
      </c>
      <c r="AJ802" s="450" t="s">
        <v>556</v>
      </c>
      <c r="AK802" s="450" t="s">
        <v>556</v>
      </c>
      <c r="AL802" s="450" t="s">
        <v>556</v>
      </c>
      <c r="AM802" s="133"/>
      <c r="AN802" s="134">
        <v>95</v>
      </c>
      <c r="AO802" s="450">
        <v>69.58</v>
      </c>
      <c r="AP802" s="450">
        <v>68.23</v>
      </c>
      <c r="AQ802" s="450">
        <v>66.900000000000006</v>
      </c>
      <c r="AR802" s="450">
        <v>65.59</v>
      </c>
      <c r="AS802" s="450">
        <v>64.260000000000005</v>
      </c>
      <c r="AT802" s="450">
        <v>62.91</v>
      </c>
      <c r="AU802" s="450" t="s">
        <v>556</v>
      </c>
      <c r="AV802" s="450" t="s">
        <v>556</v>
      </c>
      <c r="AW802" s="450" t="s">
        <v>556</v>
      </c>
      <c r="AX802" s="450" t="s">
        <v>556</v>
      </c>
      <c r="AY802" s="450" t="s">
        <v>556</v>
      </c>
      <c r="AZ802" s="450" t="s">
        <v>556</v>
      </c>
      <c r="BA802" s="450" t="s">
        <v>556</v>
      </c>
      <c r="BB802" s="450" t="s">
        <v>556</v>
      </c>
      <c r="BC802" s="450" t="s">
        <v>556</v>
      </c>
      <c r="BD802" s="450" t="s">
        <v>556</v>
      </c>
      <c r="BE802" s="450" t="s">
        <v>556</v>
      </c>
    </row>
    <row r="803" spans="2:57" x14ac:dyDescent="0.25">
      <c r="B803" s="134">
        <v>96</v>
      </c>
      <c r="C803" s="450">
        <v>63.53</v>
      </c>
      <c r="D803" s="450">
        <v>62.2</v>
      </c>
      <c r="E803" s="450">
        <v>60.87</v>
      </c>
      <c r="F803" s="450">
        <v>59.54</v>
      </c>
      <c r="G803" s="450">
        <v>58.18</v>
      </c>
      <c r="H803" s="450" t="s">
        <v>556</v>
      </c>
      <c r="I803" s="450" t="s">
        <v>556</v>
      </c>
      <c r="J803" s="450" t="s">
        <v>556</v>
      </c>
      <c r="K803" s="450" t="s">
        <v>556</v>
      </c>
      <c r="L803" s="450" t="s">
        <v>556</v>
      </c>
      <c r="M803" s="450" t="s">
        <v>556</v>
      </c>
      <c r="N803" s="450" t="s">
        <v>556</v>
      </c>
      <c r="O803" s="450" t="s">
        <v>556</v>
      </c>
      <c r="P803" s="450" t="s">
        <v>556</v>
      </c>
      <c r="Q803" s="450" t="s">
        <v>556</v>
      </c>
      <c r="R803" s="450" t="s">
        <v>556</v>
      </c>
      <c r="S803" s="450" t="s">
        <v>556</v>
      </c>
      <c r="T803" s="133"/>
      <c r="U803" s="134">
        <v>96</v>
      </c>
      <c r="V803" s="450">
        <v>65.569999999999993</v>
      </c>
      <c r="W803" s="450">
        <v>64.23</v>
      </c>
      <c r="X803" s="450">
        <v>62.91</v>
      </c>
      <c r="Y803" s="450">
        <v>61.57</v>
      </c>
      <c r="Z803" s="450">
        <v>60.21</v>
      </c>
      <c r="AA803" s="450" t="s">
        <v>556</v>
      </c>
      <c r="AB803" s="450" t="s">
        <v>556</v>
      </c>
      <c r="AC803" s="450" t="s">
        <v>556</v>
      </c>
      <c r="AD803" s="450" t="s">
        <v>556</v>
      </c>
      <c r="AE803" s="450" t="s">
        <v>556</v>
      </c>
      <c r="AF803" s="450" t="s">
        <v>556</v>
      </c>
      <c r="AG803" s="450" t="s">
        <v>556</v>
      </c>
      <c r="AH803" s="450" t="s">
        <v>556</v>
      </c>
      <c r="AI803" s="450" t="s">
        <v>556</v>
      </c>
      <c r="AJ803" s="450" t="s">
        <v>556</v>
      </c>
      <c r="AK803" s="450" t="s">
        <v>556</v>
      </c>
      <c r="AL803" s="450" t="s">
        <v>556</v>
      </c>
      <c r="AM803" s="133"/>
      <c r="AN803" s="134">
        <v>96</v>
      </c>
      <c r="AO803" s="450">
        <v>66.8</v>
      </c>
      <c r="AP803" s="450">
        <v>65.459999999999994</v>
      </c>
      <c r="AQ803" s="450">
        <v>64.12</v>
      </c>
      <c r="AR803" s="450">
        <v>62.77</v>
      </c>
      <c r="AS803" s="450">
        <v>61.39</v>
      </c>
      <c r="AT803" s="450" t="s">
        <v>556</v>
      </c>
      <c r="AU803" s="450" t="s">
        <v>556</v>
      </c>
      <c r="AV803" s="450" t="s">
        <v>556</v>
      </c>
      <c r="AW803" s="450" t="s">
        <v>556</v>
      </c>
      <c r="AX803" s="450" t="s">
        <v>556</v>
      </c>
      <c r="AY803" s="450" t="s">
        <v>556</v>
      </c>
      <c r="AZ803" s="450" t="s">
        <v>556</v>
      </c>
      <c r="BA803" s="450" t="s">
        <v>556</v>
      </c>
      <c r="BB803" s="450" t="s">
        <v>556</v>
      </c>
      <c r="BC803" s="450" t="s">
        <v>556</v>
      </c>
      <c r="BD803" s="450" t="s">
        <v>556</v>
      </c>
      <c r="BE803" s="450" t="s">
        <v>556</v>
      </c>
    </row>
    <row r="804" spans="2:57" x14ac:dyDescent="0.25">
      <c r="B804" s="134">
        <v>97</v>
      </c>
      <c r="C804" s="450">
        <v>60.78</v>
      </c>
      <c r="D804" s="450">
        <v>59.44</v>
      </c>
      <c r="E804" s="450">
        <v>58.08</v>
      </c>
      <c r="F804" s="450">
        <v>56.69</v>
      </c>
      <c r="G804" s="450" t="s">
        <v>556</v>
      </c>
      <c r="H804" s="450" t="s">
        <v>556</v>
      </c>
      <c r="I804" s="450" t="s">
        <v>556</v>
      </c>
      <c r="J804" s="450" t="s">
        <v>556</v>
      </c>
      <c r="K804" s="450" t="s">
        <v>556</v>
      </c>
      <c r="L804" s="450" t="s">
        <v>556</v>
      </c>
      <c r="M804" s="450" t="s">
        <v>556</v>
      </c>
      <c r="N804" s="450" t="s">
        <v>556</v>
      </c>
      <c r="O804" s="450" t="s">
        <v>556</v>
      </c>
      <c r="P804" s="450" t="s">
        <v>556</v>
      </c>
      <c r="Q804" s="450" t="s">
        <v>556</v>
      </c>
      <c r="R804" s="450" t="s">
        <v>556</v>
      </c>
      <c r="S804" s="450" t="s">
        <v>556</v>
      </c>
      <c r="T804" s="133"/>
      <c r="U804" s="134">
        <v>97</v>
      </c>
      <c r="V804" s="450">
        <v>62.82</v>
      </c>
      <c r="W804" s="450">
        <v>61.47</v>
      </c>
      <c r="X804" s="450">
        <v>60.11</v>
      </c>
      <c r="Y804" s="450">
        <v>58.72</v>
      </c>
      <c r="Z804" s="450" t="s">
        <v>556</v>
      </c>
      <c r="AA804" s="450" t="s">
        <v>556</v>
      </c>
      <c r="AB804" s="450" t="s">
        <v>556</v>
      </c>
      <c r="AC804" s="450" t="s">
        <v>556</v>
      </c>
      <c r="AD804" s="450" t="s">
        <v>556</v>
      </c>
      <c r="AE804" s="450" t="s">
        <v>556</v>
      </c>
      <c r="AF804" s="450" t="s">
        <v>556</v>
      </c>
      <c r="AG804" s="450" t="s">
        <v>556</v>
      </c>
      <c r="AH804" s="450" t="s">
        <v>556</v>
      </c>
      <c r="AI804" s="450" t="s">
        <v>556</v>
      </c>
      <c r="AJ804" s="450" t="s">
        <v>556</v>
      </c>
      <c r="AK804" s="450" t="s">
        <v>556</v>
      </c>
      <c r="AL804" s="450" t="s">
        <v>556</v>
      </c>
      <c r="AM804" s="133"/>
      <c r="AN804" s="134">
        <v>97</v>
      </c>
      <c r="AO804" s="450">
        <v>64.02</v>
      </c>
      <c r="AP804" s="450">
        <v>62.66</v>
      </c>
      <c r="AQ804" s="450">
        <v>61.29</v>
      </c>
      <c r="AR804" s="450">
        <v>59.89</v>
      </c>
      <c r="AS804" s="450" t="s">
        <v>556</v>
      </c>
      <c r="AT804" s="450" t="s">
        <v>556</v>
      </c>
      <c r="AU804" s="450" t="s">
        <v>556</v>
      </c>
      <c r="AV804" s="450" t="s">
        <v>556</v>
      </c>
      <c r="AW804" s="450" t="s">
        <v>556</v>
      </c>
      <c r="AX804" s="450" t="s">
        <v>556</v>
      </c>
      <c r="AY804" s="450" t="s">
        <v>556</v>
      </c>
      <c r="AZ804" s="450" t="s">
        <v>556</v>
      </c>
      <c r="BA804" s="450" t="s">
        <v>556</v>
      </c>
      <c r="BB804" s="450" t="s">
        <v>556</v>
      </c>
      <c r="BC804" s="450" t="s">
        <v>556</v>
      </c>
      <c r="BD804" s="450" t="s">
        <v>556</v>
      </c>
      <c r="BE804" s="450" t="s">
        <v>556</v>
      </c>
    </row>
    <row r="805" spans="2:57" x14ac:dyDescent="0.25">
      <c r="B805" s="134">
        <v>98</v>
      </c>
      <c r="C805" s="450">
        <v>57.99</v>
      </c>
      <c r="D805" s="450">
        <v>56.61</v>
      </c>
      <c r="E805" s="450">
        <v>55.2</v>
      </c>
      <c r="F805" s="450" t="s">
        <v>556</v>
      </c>
      <c r="G805" s="450" t="s">
        <v>556</v>
      </c>
      <c r="H805" s="450" t="s">
        <v>556</v>
      </c>
      <c r="I805" s="450" t="s">
        <v>556</v>
      </c>
      <c r="J805" s="450" t="s">
        <v>556</v>
      </c>
      <c r="K805" s="450" t="s">
        <v>556</v>
      </c>
      <c r="L805" s="450" t="s">
        <v>556</v>
      </c>
      <c r="M805" s="450" t="s">
        <v>556</v>
      </c>
      <c r="N805" s="450" t="s">
        <v>556</v>
      </c>
      <c r="O805" s="450" t="s">
        <v>556</v>
      </c>
      <c r="P805" s="450" t="s">
        <v>556</v>
      </c>
      <c r="Q805" s="450" t="s">
        <v>556</v>
      </c>
      <c r="R805" s="450" t="s">
        <v>556</v>
      </c>
      <c r="S805" s="450" t="s">
        <v>556</v>
      </c>
      <c r="T805" s="133"/>
      <c r="U805" s="134">
        <v>98</v>
      </c>
      <c r="V805" s="450">
        <v>60.02</v>
      </c>
      <c r="W805" s="450">
        <v>58.64</v>
      </c>
      <c r="X805" s="450">
        <v>57.23</v>
      </c>
      <c r="Y805" s="450" t="s">
        <v>556</v>
      </c>
      <c r="Z805" s="450" t="s">
        <v>556</v>
      </c>
      <c r="AA805" s="450" t="s">
        <v>556</v>
      </c>
      <c r="AB805" s="450" t="s">
        <v>556</v>
      </c>
      <c r="AC805" s="450" t="s">
        <v>556</v>
      </c>
      <c r="AD805" s="450" t="s">
        <v>556</v>
      </c>
      <c r="AE805" s="450" t="s">
        <v>556</v>
      </c>
      <c r="AF805" s="450" t="s">
        <v>556</v>
      </c>
      <c r="AG805" s="450" t="s">
        <v>556</v>
      </c>
      <c r="AH805" s="450" t="s">
        <v>556</v>
      </c>
      <c r="AI805" s="450" t="s">
        <v>556</v>
      </c>
      <c r="AJ805" s="450" t="s">
        <v>556</v>
      </c>
      <c r="AK805" s="450" t="s">
        <v>556</v>
      </c>
      <c r="AL805" s="450" t="s">
        <v>556</v>
      </c>
      <c r="AM805" s="133"/>
      <c r="AN805" s="134">
        <v>98</v>
      </c>
      <c r="AO805" s="450">
        <v>61.19</v>
      </c>
      <c r="AP805" s="450">
        <v>59.81</v>
      </c>
      <c r="AQ805" s="450">
        <v>58.38</v>
      </c>
      <c r="AR805" s="450" t="s">
        <v>556</v>
      </c>
      <c r="AS805" s="450" t="s">
        <v>556</v>
      </c>
      <c r="AT805" s="450" t="s">
        <v>556</v>
      </c>
      <c r="AU805" s="450" t="s">
        <v>556</v>
      </c>
      <c r="AV805" s="450" t="s">
        <v>556</v>
      </c>
      <c r="AW805" s="450" t="s">
        <v>556</v>
      </c>
      <c r="AX805" s="450" t="s">
        <v>556</v>
      </c>
      <c r="AY805" s="450" t="s">
        <v>556</v>
      </c>
      <c r="AZ805" s="450" t="s">
        <v>556</v>
      </c>
      <c r="BA805" s="450" t="s">
        <v>556</v>
      </c>
      <c r="BB805" s="450" t="s">
        <v>556</v>
      </c>
      <c r="BC805" s="450" t="s">
        <v>556</v>
      </c>
      <c r="BD805" s="450" t="s">
        <v>556</v>
      </c>
      <c r="BE805" s="450" t="s">
        <v>556</v>
      </c>
    </row>
    <row r="806" spans="2:57" x14ac:dyDescent="0.25">
      <c r="B806" s="134">
        <v>99</v>
      </c>
      <c r="C806" s="450">
        <v>55.11</v>
      </c>
      <c r="D806" s="450">
        <v>53.68</v>
      </c>
      <c r="E806" s="450" t="s">
        <v>556</v>
      </c>
      <c r="F806" s="450" t="s">
        <v>556</v>
      </c>
      <c r="G806" s="450" t="s">
        <v>556</v>
      </c>
      <c r="H806" s="450" t="s">
        <v>556</v>
      </c>
      <c r="I806" s="450" t="s">
        <v>556</v>
      </c>
      <c r="J806" s="450" t="s">
        <v>556</v>
      </c>
      <c r="K806" s="450" t="s">
        <v>556</v>
      </c>
      <c r="L806" s="450" t="s">
        <v>556</v>
      </c>
      <c r="M806" s="450" t="s">
        <v>556</v>
      </c>
      <c r="N806" s="450" t="s">
        <v>556</v>
      </c>
      <c r="O806" s="450" t="s">
        <v>556</v>
      </c>
      <c r="P806" s="450" t="s">
        <v>556</v>
      </c>
      <c r="Q806" s="450" t="s">
        <v>556</v>
      </c>
      <c r="R806" s="450" t="s">
        <v>556</v>
      </c>
      <c r="S806" s="450" t="s">
        <v>556</v>
      </c>
      <c r="T806" s="133"/>
      <c r="U806" s="134">
        <v>99</v>
      </c>
      <c r="V806" s="450">
        <v>57.13</v>
      </c>
      <c r="W806" s="450">
        <v>55.7</v>
      </c>
      <c r="X806" s="450" t="s">
        <v>556</v>
      </c>
      <c r="Y806" s="450" t="s">
        <v>556</v>
      </c>
      <c r="Z806" s="450" t="s">
        <v>556</v>
      </c>
      <c r="AA806" s="450" t="s">
        <v>556</v>
      </c>
      <c r="AB806" s="450" t="s">
        <v>556</v>
      </c>
      <c r="AC806" s="450" t="s">
        <v>556</v>
      </c>
      <c r="AD806" s="450" t="s">
        <v>556</v>
      </c>
      <c r="AE806" s="450" t="s">
        <v>556</v>
      </c>
      <c r="AF806" s="450" t="s">
        <v>556</v>
      </c>
      <c r="AG806" s="450" t="s">
        <v>556</v>
      </c>
      <c r="AH806" s="450" t="s">
        <v>556</v>
      </c>
      <c r="AI806" s="450" t="s">
        <v>556</v>
      </c>
      <c r="AJ806" s="450" t="s">
        <v>556</v>
      </c>
      <c r="AK806" s="450" t="s">
        <v>556</v>
      </c>
      <c r="AL806" s="450" t="s">
        <v>556</v>
      </c>
      <c r="AM806" s="133"/>
      <c r="AN806" s="134">
        <v>99</v>
      </c>
      <c r="AO806" s="450">
        <v>58.28</v>
      </c>
      <c r="AP806" s="450">
        <v>56.84</v>
      </c>
      <c r="AQ806" s="450" t="s">
        <v>556</v>
      </c>
      <c r="AR806" s="450" t="s">
        <v>556</v>
      </c>
      <c r="AS806" s="450" t="s">
        <v>556</v>
      </c>
      <c r="AT806" s="450" t="s">
        <v>556</v>
      </c>
      <c r="AU806" s="450" t="s">
        <v>556</v>
      </c>
      <c r="AV806" s="450" t="s">
        <v>556</v>
      </c>
      <c r="AW806" s="450" t="s">
        <v>556</v>
      </c>
      <c r="AX806" s="450" t="s">
        <v>556</v>
      </c>
      <c r="AY806" s="450" t="s">
        <v>556</v>
      </c>
      <c r="AZ806" s="450" t="s">
        <v>556</v>
      </c>
      <c r="BA806" s="450" t="s">
        <v>556</v>
      </c>
      <c r="BB806" s="450" t="s">
        <v>556</v>
      </c>
      <c r="BC806" s="450" t="s">
        <v>556</v>
      </c>
      <c r="BD806" s="450" t="s">
        <v>556</v>
      </c>
      <c r="BE806" s="450" t="s">
        <v>556</v>
      </c>
    </row>
    <row r="807" spans="2:57" x14ac:dyDescent="0.25">
      <c r="B807" s="134">
        <v>100</v>
      </c>
      <c r="C807" s="450">
        <v>52.08</v>
      </c>
      <c r="D807" s="450" t="s">
        <v>556</v>
      </c>
      <c r="E807" s="450" t="s">
        <v>556</v>
      </c>
      <c r="F807" s="450" t="s">
        <v>556</v>
      </c>
      <c r="G807" s="450" t="s">
        <v>556</v>
      </c>
      <c r="H807" s="450" t="s">
        <v>556</v>
      </c>
      <c r="I807" s="450" t="s">
        <v>556</v>
      </c>
      <c r="J807" s="450" t="s">
        <v>556</v>
      </c>
      <c r="K807" s="450" t="s">
        <v>556</v>
      </c>
      <c r="L807" s="450" t="s">
        <v>556</v>
      </c>
      <c r="M807" s="450" t="s">
        <v>556</v>
      </c>
      <c r="N807" s="450" t="s">
        <v>556</v>
      </c>
      <c r="O807" s="450" t="s">
        <v>556</v>
      </c>
      <c r="P807" s="450" t="s">
        <v>556</v>
      </c>
      <c r="Q807" s="450" t="s">
        <v>556</v>
      </c>
      <c r="R807" s="450" t="s">
        <v>556</v>
      </c>
      <c r="S807" s="450" t="s">
        <v>556</v>
      </c>
      <c r="T807" s="133"/>
      <c r="U807" s="134">
        <v>100</v>
      </c>
      <c r="V807" s="450">
        <v>54.11</v>
      </c>
      <c r="W807" s="450" t="s">
        <v>556</v>
      </c>
      <c r="X807" s="450" t="s">
        <v>556</v>
      </c>
      <c r="Y807" s="450" t="s">
        <v>556</v>
      </c>
      <c r="Z807" s="450" t="s">
        <v>556</v>
      </c>
      <c r="AA807" s="450" t="s">
        <v>556</v>
      </c>
      <c r="AB807" s="450" t="s">
        <v>556</v>
      </c>
      <c r="AC807" s="450" t="s">
        <v>556</v>
      </c>
      <c r="AD807" s="450" t="s">
        <v>556</v>
      </c>
      <c r="AE807" s="450" t="s">
        <v>556</v>
      </c>
      <c r="AF807" s="450" t="s">
        <v>556</v>
      </c>
      <c r="AG807" s="450" t="s">
        <v>556</v>
      </c>
      <c r="AH807" s="450" t="s">
        <v>556</v>
      </c>
      <c r="AI807" s="450" t="s">
        <v>556</v>
      </c>
      <c r="AJ807" s="450" t="s">
        <v>556</v>
      </c>
      <c r="AK807" s="450" t="s">
        <v>556</v>
      </c>
      <c r="AL807" s="450" t="s">
        <v>556</v>
      </c>
      <c r="AM807" s="133"/>
      <c r="AN807" s="134">
        <v>100</v>
      </c>
      <c r="AO807" s="450">
        <v>55.23</v>
      </c>
      <c r="AP807" s="450" t="s">
        <v>556</v>
      </c>
      <c r="AQ807" s="450" t="s">
        <v>556</v>
      </c>
      <c r="AR807" s="450" t="s">
        <v>556</v>
      </c>
      <c r="AS807" s="450" t="s">
        <v>556</v>
      </c>
      <c r="AT807" s="450" t="s">
        <v>556</v>
      </c>
      <c r="AU807" s="450" t="s">
        <v>556</v>
      </c>
      <c r="AV807" s="450" t="s">
        <v>556</v>
      </c>
      <c r="AW807" s="450" t="s">
        <v>556</v>
      </c>
      <c r="AX807" s="450" t="s">
        <v>556</v>
      </c>
      <c r="AY807" s="450" t="s">
        <v>556</v>
      </c>
      <c r="AZ807" s="450" t="s">
        <v>556</v>
      </c>
      <c r="BA807" s="450" t="s">
        <v>556</v>
      </c>
      <c r="BB807" s="450" t="s">
        <v>556</v>
      </c>
      <c r="BC807" s="450" t="s">
        <v>556</v>
      </c>
      <c r="BD807" s="450" t="s">
        <v>556</v>
      </c>
      <c r="BE807" s="450" t="s">
        <v>556</v>
      </c>
    </row>
    <row r="811" spans="2:57" ht="20.45" customHeight="1" x14ac:dyDescent="0.25">
      <c r="B811" s="444" t="s">
        <v>199</v>
      </c>
      <c r="C811" s="526" t="s">
        <v>234</v>
      </c>
      <c r="D811" s="527"/>
      <c r="E811" s="527"/>
      <c r="F811" s="527"/>
      <c r="G811" s="527"/>
      <c r="H811" s="527"/>
      <c r="I811" s="527"/>
      <c r="J811" s="527"/>
      <c r="K811" s="527"/>
      <c r="L811" s="527"/>
      <c r="M811" s="527"/>
      <c r="N811" s="527"/>
      <c r="O811" s="527"/>
      <c r="P811" s="527"/>
      <c r="Q811" s="527"/>
      <c r="R811" s="527"/>
      <c r="S811" s="527"/>
      <c r="V811" s="526" t="s">
        <v>234</v>
      </c>
      <c r="W811" s="527"/>
      <c r="X811" s="527"/>
      <c r="Y811" s="527"/>
      <c r="Z811" s="527"/>
      <c r="AA811" s="527"/>
      <c r="AB811" s="527"/>
      <c r="AC811" s="527"/>
      <c r="AD811" s="527"/>
      <c r="AE811" s="527"/>
      <c r="AF811" s="527"/>
      <c r="AG811" s="527"/>
      <c r="AH811" s="527"/>
      <c r="AI811" s="527"/>
      <c r="AJ811" s="527"/>
      <c r="AK811" s="527"/>
      <c r="AL811" s="527"/>
      <c r="AO811" s="526" t="s">
        <v>234</v>
      </c>
      <c r="AP811" s="527"/>
      <c r="AQ811" s="527"/>
      <c r="AR811" s="527"/>
      <c r="AS811" s="527"/>
      <c r="AT811" s="527"/>
      <c r="AU811" s="527"/>
      <c r="AV811" s="527"/>
      <c r="AW811" s="527"/>
      <c r="AX811" s="527"/>
      <c r="AY811" s="527"/>
      <c r="AZ811" s="527"/>
      <c r="BA811" s="527"/>
      <c r="BB811" s="527"/>
      <c r="BC811" s="527"/>
      <c r="BD811" s="527"/>
      <c r="BE811" s="527"/>
    </row>
    <row r="812" spans="2:57" x14ac:dyDescent="0.25">
      <c r="B812" s="444"/>
      <c r="V812" s="444"/>
      <c r="AO812" s="444"/>
    </row>
    <row r="813" spans="2:57" x14ac:dyDescent="0.25">
      <c r="C813" s="528" t="s">
        <v>173</v>
      </c>
      <c r="D813" s="528"/>
      <c r="E813" s="528"/>
      <c r="F813" s="528"/>
      <c r="G813" s="528"/>
      <c r="H813" s="528"/>
      <c r="I813" s="528"/>
      <c r="J813" s="528"/>
      <c r="K813" s="528"/>
      <c r="L813" s="528"/>
      <c r="M813" s="528"/>
      <c r="N813" s="528"/>
      <c r="O813" s="528"/>
      <c r="P813" s="528"/>
      <c r="Q813" s="528"/>
      <c r="R813" s="528"/>
      <c r="S813" s="528"/>
      <c r="V813" s="528" t="s">
        <v>165</v>
      </c>
      <c r="W813" s="528"/>
      <c r="X813" s="528"/>
      <c r="Y813" s="528"/>
      <c r="Z813" s="528"/>
      <c r="AA813" s="528"/>
      <c r="AB813" s="528"/>
      <c r="AC813" s="528"/>
      <c r="AD813" s="528"/>
      <c r="AE813" s="528"/>
      <c r="AF813" s="528"/>
      <c r="AG813" s="528"/>
      <c r="AH813" s="528"/>
      <c r="AI813" s="528"/>
      <c r="AJ813" s="528"/>
      <c r="AK813" s="528"/>
      <c r="AL813" s="528"/>
      <c r="AO813" s="528" t="s">
        <v>166</v>
      </c>
      <c r="AP813" s="528"/>
      <c r="AQ813" s="528"/>
      <c r="AR813" s="528"/>
      <c r="AS813" s="528"/>
      <c r="AT813" s="528"/>
      <c r="AU813" s="528"/>
      <c r="AV813" s="528"/>
      <c r="AW813" s="528"/>
      <c r="AX813" s="528"/>
      <c r="AY813" s="528"/>
      <c r="AZ813" s="528"/>
      <c r="BA813" s="528"/>
      <c r="BB813" s="528"/>
      <c r="BC813" s="528"/>
      <c r="BD813" s="528"/>
      <c r="BE813" s="528"/>
    </row>
    <row r="814" spans="2:57" ht="195" x14ac:dyDescent="0.25">
      <c r="B814" s="445" t="s">
        <v>14</v>
      </c>
      <c r="C814" s="446">
        <v>0</v>
      </c>
      <c r="D814" s="447">
        <v>1</v>
      </c>
      <c r="E814" s="447">
        <v>2</v>
      </c>
      <c r="F814" s="447">
        <v>3</v>
      </c>
      <c r="G814" s="447">
        <v>4</v>
      </c>
      <c r="H814" s="447">
        <v>5</v>
      </c>
      <c r="I814" s="447">
        <v>6</v>
      </c>
      <c r="J814" s="447">
        <v>7</v>
      </c>
      <c r="K814" s="447">
        <v>8</v>
      </c>
      <c r="L814" s="447">
        <v>9</v>
      </c>
      <c r="M814" s="447">
        <v>10</v>
      </c>
      <c r="N814" s="448" t="s">
        <v>15</v>
      </c>
      <c r="O814" s="447" t="s">
        <v>16</v>
      </c>
      <c r="P814" s="447" t="s">
        <v>17</v>
      </c>
      <c r="Q814" s="447" t="s">
        <v>18</v>
      </c>
      <c r="R814" s="447" t="s">
        <v>19</v>
      </c>
      <c r="S814" s="447" t="s">
        <v>20</v>
      </c>
      <c r="T814" s="449"/>
      <c r="U814" s="445" t="s">
        <v>14</v>
      </c>
      <c r="V814" s="446">
        <v>0</v>
      </c>
      <c r="W814" s="447">
        <v>1</v>
      </c>
      <c r="X814" s="447">
        <v>2</v>
      </c>
      <c r="Y814" s="447">
        <v>3</v>
      </c>
      <c r="Z814" s="447">
        <v>4</v>
      </c>
      <c r="AA814" s="447">
        <v>5</v>
      </c>
      <c r="AB814" s="447">
        <v>6</v>
      </c>
      <c r="AC814" s="447">
        <v>7</v>
      </c>
      <c r="AD814" s="447">
        <v>8</v>
      </c>
      <c r="AE814" s="447">
        <v>9</v>
      </c>
      <c r="AF814" s="447">
        <v>10</v>
      </c>
      <c r="AG814" s="448" t="s">
        <v>15</v>
      </c>
      <c r="AH814" s="447" t="s">
        <v>16</v>
      </c>
      <c r="AI814" s="447" t="s">
        <v>17</v>
      </c>
      <c r="AJ814" s="447" t="s">
        <v>18</v>
      </c>
      <c r="AK814" s="447" t="s">
        <v>19</v>
      </c>
      <c r="AL814" s="447" t="s">
        <v>20</v>
      </c>
      <c r="AM814" s="449"/>
      <c r="AN814" s="445" t="s">
        <v>14</v>
      </c>
      <c r="AO814" s="446">
        <v>0</v>
      </c>
      <c r="AP814" s="447">
        <v>1</v>
      </c>
      <c r="AQ814" s="447">
        <v>2</v>
      </c>
      <c r="AR814" s="447">
        <v>3</v>
      </c>
      <c r="AS814" s="447">
        <v>4</v>
      </c>
      <c r="AT814" s="447">
        <v>5</v>
      </c>
      <c r="AU814" s="447">
        <v>6</v>
      </c>
      <c r="AV814" s="447">
        <v>7</v>
      </c>
      <c r="AW814" s="447">
        <v>8</v>
      </c>
      <c r="AX814" s="447">
        <v>9</v>
      </c>
      <c r="AY814" s="447">
        <v>10</v>
      </c>
      <c r="AZ814" s="448" t="s">
        <v>15</v>
      </c>
      <c r="BA814" s="447" t="s">
        <v>16</v>
      </c>
      <c r="BB814" s="447" t="s">
        <v>17</v>
      </c>
      <c r="BC814" s="447" t="s">
        <v>18</v>
      </c>
      <c r="BD814" s="447" t="s">
        <v>19</v>
      </c>
      <c r="BE814" s="447" t="s">
        <v>225</v>
      </c>
    </row>
    <row r="815" spans="2:57" x14ac:dyDescent="0.25">
      <c r="B815" s="134">
        <v>18</v>
      </c>
      <c r="C815" s="450">
        <v>93.23</v>
      </c>
      <c r="D815" s="450">
        <v>93.3</v>
      </c>
      <c r="E815" s="450">
        <v>93.36</v>
      </c>
      <c r="F815" s="450">
        <v>93.43</v>
      </c>
      <c r="G815" s="450">
        <v>93.49</v>
      </c>
      <c r="H815" s="450">
        <v>93.55</v>
      </c>
      <c r="I815" s="450">
        <v>93.62</v>
      </c>
      <c r="J815" s="450">
        <v>93.68</v>
      </c>
      <c r="K815" s="450">
        <v>93.74</v>
      </c>
      <c r="L815" s="450">
        <v>93.8</v>
      </c>
      <c r="M815" s="450">
        <v>93.86</v>
      </c>
      <c r="N815" s="450">
        <v>93.92</v>
      </c>
      <c r="O815" s="450">
        <v>94.19</v>
      </c>
      <c r="P815" s="450">
        <v>94.43</v>
      </c>
      <c r="Q815" s="450">
        <v>94.62</v>
      </c>
      <c r="R815" s="450">
        <v>94.78</v>
      </c>
      <c r="S815" s="450">
        <v>94.91</v>
      </c>
      <c r="T815" s="133"/>
      <c r="U815" s="134">
        <v>18</v>
      </c>
      <c r="V815" s="450">
        <v>94.31</v>
      </c>
      <c r="W815" s="450">
        <v>94.38</v>
      </c>
      <c r="X815" s="450">
        <v>94.45</v>
      </c>
      <c r="Y815" s="450">
        <v>94.51</v>
      </c>
      <c r="Z815" s="450">
        <v>94.58</v>
      </c>
      <c r="AA815" s="450">
        <v>94.64</v>
      </c>
      <c r="AB815" s="450">
        <v>94.71</v>
      </c>
      <c r="AC815" s="450">
        <v>94.77</v>
      </c>
      <c r="AD815" s="450">
        <v>94.83</v>
      </c>
      <c r="AE815" s="450">
        <v>94.9</v>
      </c>
      <c r="AF815" s="450">
        <v>94.96</v>
      </c>
      <c r="AG815" s="450">
        <v>95.02</v>
      </c>
      <c r="AH815" s="450">
        <v>95.29</v>
      </c>
      <c r="AI815" s="450">
        <v>95.54</v>
      </c>
      <c r="AJ815" s="450">
        <v>95.74</v>
      </c>
      <c r="AK815" s="450">
        <v>95.9</v>
      </c>
      <c r="AL815" s="450">
        <v>96.03</v>
      </c>
      <c r="AM815" s="133"/>
      <c r="AN815" s="134">
        <v>18</v>
      </c>
      <c r="AO815" s="450">
        <v>95.45</v>
      </c>
      <c r="AP815" s="450">
        <v>95.52</v>
      </c>
      <c r="AQ815" s="450">
        <v>95.59</v>
      </c>
      <c r="AR815" s="450">
        <v>95.65</v>
      </c>
      <c r="AS815" s="450">
        <v>95.72</v>
      </c>
      <c r="AT815" s="450">
        <v>95.79</v>
      </c>
      <c r="AU815" s="450">
        <v>95.85</v>
      </c>
      <c r="AV815" s="450">
        <v>95.92</v>
      </c>
      <c r="AW815" s="450">
        <v>95.98</v>
      </c>
      <c r="AX815" s="450">
        <v>96.05</v>
      </c>
      <c r="AY815" s="450">
        <v>96.11</v>
      </c>
      <c r="AZ815" s="450">
        <v>96.17</v>
      </c>
      <c r="BA815" s="450">
        <v>96.46</v>
      </c>
      <c r="BB815" s="450">
        <v>96.7</v>
      </c>
      <c r="BC815" s="450">
        <v>96.91</v>
      </c>
      <c r="BD815" s="450">
        <v>97.08</v>
      </c>
      <c r="BE815" s="450">
        <v>97.21</v>
      </c>
    </row>
    <row r="816" spans="2:57" x14ac:dyDescent="0.25">
      <c r="B816" s="134">
        <v>19</v>
      </c>
      <c r="C816" s="450">
        <v>93.37</v>
      </c>
      <c r="D816" s="450">
        <v>93.44</v>
      </c>
      <c r="E816" s="450">
        <v>93.51</v>
      </c>
      <c r="F816" s="450">
        <v>93.57</v>
      </c>
      <c r="G816" s="450">
        <v>93.64</v>
      </c>
      <c r="H816" s="450">
        <v>93.71</v>
      </c>
      <c r="I816" s="450">
        <v>93.77</v>
      </c>
      <c r="J816" s="450">
        <v>93.84</v>
      </c>
      <c r="K816" s="450">
        <v>93.9</v>
      </c>
      <c r="L816" s="450">
        <v>93.97</v>
      </c>
      <c r="M816" s="450">
        <v>94.03</v>
      </c>
      <c r="N816" s="450">
        <v>94.09</v>
      </c>
      <c r="O816" s="450">
        <v>94.37</v>
      </c>
      <c r="P816" s="450">
        <v>94.62</v>
      </c>
      <c r="Q816" s="450">
        <v>94.83</v>
      </c>
      <c r="R816" s="450">
        <v>94.99</v>
      </c>
      <c r="S816" s="450">
        <v>95.12</v>
      </c>
      <c r="T816" s="133"/>
      <c r="U816" s="134">
        <v>19</v>
      </c>
      <c r="V816" s="450">
        <v>94.45</v>
      </c>
      <c r="W816" s="450">
        <v>94.52</v>
      </c>
      <c r="X816" s="450">
        <v>94.59</v>
      </c>
      <c r="Y816" s="450">
        <v>94.66</v>
      </c>
      <c r="Z816" s="450">
        <v>94.73</v>
      </c>
      <c r="AA816" s="450">
        <v>94.8</v>
      </c>
      <c r="AB816" s="450">
        <v>94.87</v>
      </c>
      <c r="AC816" s="450">
        <v>94.94</v>
      </c>
      <c r="AD816" s="450">
        <v>95</v>
      </c>
      <c r="AE816" s="450">
        <v>95.07</v>
      </c>
      <c r="AF816" s="450">
        <v>95.13</v>
      </c>
      <c r="AG816" s="450">
        <v>95.19</v>
      </c>
      <c r="AH816" s="450">
        <v>95.48</v>
      </c>
      <c r="AI816" s="450">
        <v>95.74</v>
      </c>
      <c r="AJ816" s="450">
        <v>95.94</v>
      </c>
      <c r="AK816" s="450">
        <v>96.11</v>
      </c>
      <c r="AL816" s="450">
        <v>96.24</v>
      </c>
      <c r="AM816" s="133"/>
      <c r="AN816" s="134">
        <v>19</v>
      </c>
      <c r="AO816" s="450">
        <v>95.59</v>
      </c>
      <c r="AP816" s="450">
        <v>95.66</v>
      </c>
      <c r="AQ816" s="450">
        <v>95.74</v>
      </c>
      <c r="AR816" s="450">
        <v>95.81</v>
      </c>
      <c r="AS816" s="450">
        <v>95.88</v>
      </c>
      <c r="AT816" s="450">
        <v>95.95</v>
      </c>
      <c r="AU816" s="450">
        <v>96.02</v>
      </c>
      <c r="AV816" s="450">
        <v>96.09</v>
      </c>
      <c r="AW816" s="450">
        <v>96.15</v>
      </c>
      <c r="AX816" s="450">
        <v>96.22</v>
      </c>
      <c r="AY816" s="450">
        <v>96.29</v>
      </c>
      <c r="AZ816" s="450">
        <v>96.35</v>
      </c>
      <c r="BA816" s="450">
        <v>96.65</v>
      </c>
      <c r="BB816" s="450">
        <v>96.91</v>
      </c>
      <c r="BC816" s="450">
        <v>97.12</v>
      </c>
      <c r="BD816" s="450">
        <v>97.3</v>
      </c>
      <c r="BE816" s="450">
        <v>97.43</v>
      </c>
    </row>
    <row r="817" spans="2:57" x14ac:dyDescent="0.25">
      <c r="B817" s="134">
        <v>20</v>
      </c>
      <c r="C817" s="450">
        <v>93.51</v>
      </c>
      <c r="D817" s="450">
        <v>93.58</v>
      </c>
      <c r="E817" s="450">
        <v>93.66</v>
      </c>
      <c r="F817" s="450">
        <v>93.73</v>
      </c>
      <c r="G817" s="450">
        <v>93.8</v>
      </c>
      <c r="H817" s="450">
        <v>93.87</v>
      </c>
      <c r="I817" s="450">
        <v>93.94</v>
      </c>
      <c r="J817" s="450">
        <v>94.01</v>
      </c>
      <c r="K817" s="450">
        <v>94.07</v>
      </c>
      <c r="L817" s="450">
        <v>94.14</v>
      </c>
      <c r="M817" s="450">
        <v>94.21</v>
      </c>
      <c r="N817" s="450">
        <v>94.27</v>
      </c>
      <c r="O817" s="450">
        <v>94.57</v>
      </c>
      <c r="P817" s="450">
        <v>94.83</v>
      </c>
      <c r="Q817" s="450">
        <v>95.04</v>
      </c>
      <c r="R817" s="450">
        <v>95.21</v>
      </c>
      <c r="S817" s="450">
        <v>95.34</v>
      </c>
      <c r="T817" s="133"/>
      <c r="U817" s="134">
        <v>20</v>
      </c>
      <c r="V817" s="450">
        <v>94.6</v>
      </c>
      <c r="W817" s="450">
        <v>94.68</v>
      </c>
      <c r="X817" s="450">
        <v>94.75</v>
      </c>
      <c r="Y817" s="450">
        <v>94.82</v>
      </c>
      <c r="Z817" s="450">
        <v>94.89</v>
      </c>
      <c r="AA817" s="450">
        <v>94.97</v>
      </c>
      <c r="AB817" s="450">
        <v>95.04</v>
      </c>
      <c r="AC817" s="450">
        <v>95.11</v>
      </c>
      <c r="AD817" s="450">
        <v>95.18</v>
      </c>
      <c r="AE817" s="450">
        <v>95.24</v>
      </c>
      <c r="AF817" s="450">
        <v>95.31</v>
      </c>
      <c r="AG817" s="450">
        <v>95.38</v>
      </c>
      <c r="AH817" s="450">
        <v>95.68</v>
      </c>
      <c r="AI817" s="450">
        <v>95.94</v>
      </c>
      <c r="AJ817" s="450">
        <v>96.16</v>
      </c>
      <c r="AK817" s="450">
        <v>96.34</v>
      </c>
      <c r="AL817" s="450">
        <v>96.47</v>
      </c>
      <c r="AM817" s="133"/>
      <c r="AN817" s="134">
        <v>20</v>
      </c>
      <c r="AO817" s="450">
        <v>95.74</v>
      </c>
      <c r="AP817" s="450">
        <v>95.82</v>
      </c>
      <c r="AQ817" s="450">
        <v>95.9</v>
      </c>
      <c r="AR817" s="450">
        <v>95.97</v>
      </c>
      <c r="AS817" s="450">
        <v>96.04</v>
      </c>
      <c r="AT817" s="450">
        <v>96.12</v>
      </c>
      <c r="AU817" s="450">
        <v>96.19</v>
      </c>
      <c r="AV817" s="450">
        <v>96.26</v>
      </c>
      <c r="AW817" s="450">
        <v>96.33</v>
      </c>
      <c r="AX817" s="450">
        <v>96.4</v>
      </c>
      <c r="AY817" s="450">
        <v>96.47</v>
      </c>
      <c r="AZ817" s="450">
        <v>96.54</v>
      </c>
      <c r="BA817" s="450">
        <v>96.85</v>
      </c>
      <c r="BB817" s="450">
        <v>97.12</v>
      </c>
      <c r="BC817" s="450">
        <v>97.35</v>
      </c>
      <c r="BD817" s="450">
        <v>97.53</v>
      </c>
      <c r="BE817" s="450">
        <v>97.67</v>
      </c>
    </row>
    <row r="818" spans="2:57" x14ac:dyDescent="0.25">
      <c r="B818" s="134">
        <v>21</v>
      </c>
      <c r="C818" s="450">
        <v>93.66</v>
      </c>
      <c r="D818" s="450">
        <v>93.74</v>
      </c>
      <c r="E818" s="450">
        <v>93.82</v>
      </c>
      <c r="F818" s="450">
        <v>93.89</v>
      </c>
      <c r="G818" s="450">
        <v>93.96</v>
      </c>
      <c r="H818" s="450">
        <v>94.04</v>
      </c>
      <c r="I818" s="450">
        <v>94.11</v>
      </c>
      <c r="J818" s="450">
        <v>94.18</v>
      </c>
      <c r="K818" s="450">
        <v>94.25</v>
      </c>
      <c r="L818" s="450">
        <v>94.32</v>
      </c>
      <c r="M818" s="450">
        <v>94.39</v>
      </c>
      <c r="N818" s="450">
        <v>94.46</v>
      </c>
      <c r="O818" s="450">
        <v>94.77</v>
      </c>
      <c r="P818" s="450">
        <v>95.04</v>
      </c>
      <c r="Q818" s="450">
        <v>95.26</v>
      </c>
      <c r="R818" s="450">
        <v>95.44</v>
      </c>
      <c r="S818" s="450">
        <v>95.57</v>
      </c>
      <c r="T818" s="133"/>
      <c r="U818" s="134">
        <v>21</v>
      </c>
      <c r="V818" s="450">
        <v>94.76</v>
      </c>
      <c r="W818" s="450">
        <v>94.83</v>
      </c>
      <c r="X818" s="450">
        <v>94.91</v>
      </c>
      <c r="Y818" s="450">
        <v>94.99</v>
      </c>
      <c r="Z818" s="450">
        <v>95.06</v>
      </c>
      <c r="AA818" s="450">
        <v>95.14</v>
      </c>
      <c r="AB818" s="450">
        <v>95.21</v>
      </c>
      <c r="AC818" s="450">
        <v>95.29</v>
      </c>
      <c r="AD818" s="450">
        <v>95.36</v>
      </c>
      <c r="AE818" s="450">
        <v>95.43</v>
      </c>
      <c r="AF818" s="450">
        <v>95.5</v>
      </c>
      <c r="AG818" s="450">
        <v>95.57</v>
      </c>
      <c r="AH818" s="450">
        <v>95.89</v>
      </c>
      <c r="AI818" s="450">
        <v>96.16</v>
      </c>
      <c r="AJ818" s="450">
        <v>96.39</v>
      </c>
      <c r="AK818" s="450">
        <v>96.57</v>
      </c>
      <c r="AL818" s="450">
        <v>96.71</v>
      </c>
      <c r="AM818" s="133"/>
      <c r="AN818" s="134">
        <v>21</v>
      </c>
      <c r="AO818" s="450">
        <v>95.9</v>
      </c>
      <c r="AP818" s="450">
        <v>95.98</v>
      </c>
      <c r="AQ818" s="450">
        <v>96.06</v>
      </c>
      <c r="AR818" s="450">
        <v>96.14</v>
      </c>
      <c r="AS818" s="450">
        <v>96.22</v>
      </c>
      <c r="AT818" s="450">
        <v>96.3</v>
      </c>
      <c r="AU818" s="450">
        <v>96.37</v>
      </c>
      <c r="AV818" s="450">
        <v>96.45</v>
      </c>
      <c r="AW818" s="450">
        <v>96.52</v>
      </c>
      <c r="AX818" s="450">
        <v>96.6</v>
      </c>
      <c r="AY818" s="450">
        <v>96.67</v>
      </c>
      <c r="AZ818" s="450">
        <v>96.74</v>
      </c>
      <c r="BA818" s="450">
        <v>97.07</v>
      </c>
      <c r="BB818" s="450">
        <v>97.35</v>
      </c>
      <c r="BC818" s="450">
        <v>97.58</v>
      </c>
      <c r="BD818" s="450">
        <v>97.77</v>
      </c>
      <c r="BE818" s="450">
        <v>97.91</v>
      </c>
    </row>
    <row r="819" spans="2:57" x14ac:dyDescent="0.25">
      <c r="B819" s="134">
        <v>22</v>
      </c>
      <c r="C819" s="450">
        <v>93.82</v>
      </c>
      <c r="D819" s="450">
        <v>93.9</v>
      </c>
      <c r="E819" s="450">
        <v>93.98</v>
      </c>
      <c r="F819" s="450">
        <v>94.06</v>
      </c>
      <c r="G819" s="450">
        <v>94.14</v>
      </c>
      <c r="H819" s="450">
        <v>94.22</v>
      </c>
      <c r="I819" s="450">
        <v>94.29</v>
      </c>
      <c r="J819" s="450">
        <v>94.37</v>
      </c>
      <c r="K819" s="450">
        <v>94.44</v>
      </c>
      <c r="L819" s="450">
        <v>94.52</v>
      </c>
      <c r="M819" s="450">
        <v>94.59</v>
      </c>
      <c r="N819" s="450">
        <v>94.66</v>
      </c>
      <c r="O819" s="450">
        <v>94.99</v>
      </c>
      <c r="P819" s="450">
        <v>95.27</v>
      </c>
      <c r="Q819" s="450">
        <v>95.5</v>
      </c>
      <c r="R819" s="450">
        <v>95.68</v>
      </c>
      <c r="S819" s="450">
        <v>95.82</v>
      </c>
      <c r="T819" s="133"/>
      <c r="U819" s="134">
        <v>22</v>
      </c>
      <c r="V819" s="450">
        <v>94.92</v>
      </c>
      <c r="W819" s="450">
        <v>95</v>
      </c>
      <c r="X819" s="450">
        <v>95.08</v>
      </c>
      <c r="Y819" s="450">
        <v>95.16</v>
      </c>
      <c r="Z819" s="450">
        <v>95.24</v>
      </c>
      <c r="AA819" s="450">
        <v>95.32</v>
      </c>
      <c r="AB819" s="450">
        <v>95.4</v>
      </c>
      <c r="AC819" s="450">
        <v>95.48</v>
      </c>
      <c r="AD819" s="450">
        <v>95.55</v>
      </c>
      <c r="AE819" s="450">
        <v>95.63</v>
      </c>
      <c r="AF819" s="450">
        <v>95.7</v>
      </c>
      <c r="AG819" s="450">
        <v>95.77</v>
      </c>
      <c r="AH819" s="450">
        <v>96.11</v>
      </c>
      <c r="AI819" s="450">
        <v>96.39</v>
      </c>
      <c r="AJ819" s="450">
        <v>96.63</v>
      </c>
      <c r="AK819" s="450">
        <v>96.82</v>
      </c>
      <c r="AL819" s="450">
        <v>96.96</v>
      </c>
      <c r="AM819" s="133"/>
      <c r="AN819" s="134">
        <v>22</v>
      </c>
      <c r="AO819" s="450">
        <v>96.07</v>
      </c>
      <c r="AP819" s="450">
        <v>96.15</v>
      </c>
      <c r="AQ819" s="450">
        <v>96.24</v>
      </c>
      <c r="AR819" s="450">
        <v>96.32</v>
      </c>
      <c r="AS819" s="450">
        <v>96.4</v>
      </c>
      <c r="AT819" s="450">
        <v>96.48</v>
      </c>
      <c r="AU819" s="450">
        <v>96.56</v>
      </c>
      <c r="AV819" s="450">
        <v>96.64</v>
      </c>
      <c r="AW819" s="450">
        <v>96.72</v>
      </c>
      <c r="AX819" s="450">
        <v>96.8</v>
      </c>
      <c r="AY819" s="450">
        <v>96.87</v>
      </c>
      <c r="AZ819" s="450">
        <v>96.95</v>
      </c>
      <c r="BA819" s="450">
        <v>97.29</v>
      </c>
      <c r="BB819" s="450">
        <v>97.59</v>
      </c>
      <c r="BC819" s="450">
        <v>97.83</v>
      </c>
      <c r="BD819" s="450">
        <v>98.02</v>
      </c>
      <c r="BE819" s="450">
        <v>98.17</v>
      </c>
    </row>
    <row r="820" spans="2:57" x14ac:dyDescent="0.25">
      <c r="B820" s="134">
        <v>23</v>
      </c>
      <c r="C820" s="450">
        <v>93.99</v>
      </c>
      <c r="D820" s="450">
        <v>94.07</v>
      </c>
      <c r="E820" s="450">
        <v>94.16</v>
      </c>
      <c r="F820" s="450">
        <v>94.24</v>
      </c>
      <c r="G820" s="450">
        <v>94.32</v>
      </c>
      <c r="H820" s="450">
        <v>94.4</v>
      </c>
      <c r="I820" s="450">
        <v>94.48</v>
      </c>
      <c r="J820" s="450">
        <v>94.56</v>
      </c>
      <c r="K820" s="450">
        <v>94.64</v>
      </c>
      <c r="L820" s="450">
        <v>94.72</v>
      </c>
      <c r="M820" s="450">
        <v>94.79</v>
      </c>
      <c r="N820" s="450">
        <v>94.87</v>
      </c>
      <c r="O820" s="450">
        <v>95.21</v>
      </c>
      <c r="P820" s="450">
        <v>95.5</v>
      </c>
      <c r="Q820" s="450">
        <v>95.74</v>
      </c>
      <c r="R820" s="450">
        <v>95.93</v>
      </c>
      <c r="S820" s="450">
        <v>96.07</v>
      </c>
      <c r="T820" s="133"/>
      <c r="U820" s="134">
        <v>23</v>
      </c>
      <c r="V820" s="450">
        <v>95.09</v>
      </c>
      <c r="W820" s="450">
        <v>95.18</v>
      </c>
      <c r="X820" s="450">
        <v>95.26</v>
      </c>
      <c r="Y820" s="450">
        <v>95.34</v>
      </c>
      <c r="Z820" s="450">
        <v>95.43</v>
      </c>
      <c r="AA820" s="450">
        <v>95.51</v>
      </c>
      <c r="AB820" s="450">
        <v>95.59</v>
      </c>
      <c r="AC820" s="450">
        <v>95.67</v>
      </c>
      <c r="AD820" s="450">
        <v>95.75</v>
      </c>
      <c r="AE820" s="450">
        <v>95.83</v>
      </c>
      <c r="AF820" s="450">
        <v>95.91</v>
      </c>
      <c r="AG820" s="450">
        <v>95.99</v>
      </c>
      <c r="AH820" s="450">
        <v>96.34</v>
      </c>
      <c r="AI820" s="450">
        <v>96.64</v>
      </c>
      <c r="AJ820" s="450">
        <v>96.88</v>
      </c>
      <c r="AK820" s="450">
        <v>97.08</v>
      </c>
      <c r="AL820" s="450">
        <v>97.22</v>
      </c>
      <c r="AM820" s="133"/>
      <c r="AN820" s="134">
        <v>23</v>
      </c>
      <c r="AO820" s="450">
        <v>96.25</v>
      </c>
      <c r="AP820" s="450">
        <v>96.33</v>
      </c>
      <c r="AQ820" s="450">
        <v>96.42</v>
      </c>
      <c r="AR820" s="450">
        <v>96.51</v>
      </c>
      <c r="AS820" s="450">
        <v>96.59</v>
      </c>
      <c r="AT820" s="450">
        <v>96.68</v>
      </c>
      <c r="AU820" s="450">
        <v>96.76</v>
      </c>
      <c r="AV820" s="450">
        <v>96.85</v>
      </c>
      <c r="AW820" s="450">
        <v>96.93</v>
      </c>
      <c r="AX820" s="450">
        <v>97.01</v>
      </c>
      <c r="AY820" s="450">
        <v>97.09</v>
      </c>
      <c r="AZ820" s="450">
        <v>97.17</v>
      </c>
      <c r="BA820" s="450">
        <v>97.53</v>
      </c>
      <c r="BB820" s="450">
        <v>97.83</v>
      </c>
      <c r="BC820" s="450">
        <v>98.09</v>
      </c>
      <c r="BD820" s="450">
        <v>98.29</v>
      </c>
      <c r="BE820" s="450">
        <v>98.44</v>
      </c>
    </row>
    <row r="821" spans="2:57" x14ac:dyDescent="0.25">
      <c r="B821" s="134">
        <v>24</v>
      </c>
      <c r="C821" s="450">
        <v>94.17</v>
      </c>
      <c r="D821" s="450">
        <v>94.25</v>
      </c>
      <c r="E821" s="450">
        <v>94.34</v>
      </c>
      <c r="F821" s="450">
        <v>94.43</v>
      </c>
      <c r="G821" s="450">
        <v>94.51</v>
      </c>
      <c r="H821" s="450">
        <v>94.6</v>
      </c>
      <c r="I821" s="450">
        <v>94.68</v>
      </c>
      <c r="J821" s="450">
        <v>94.77</v>
      </c>
      <c r="K821" s="450">
        <v>94.85</v>
      </c>
      <c r="L821" s="450">
        <v>94.93</v>
      </c>
      <c r="M821" s="450">
        <v>95.01</v>
      </c>
      <c r="N821" s="450">
        <v>95.08</v>
      </c>
      <c r="O821" s="450">
        <v>95.44</v>
      </c>
      <c r="P821" s="450">
        <v>95.75</v>
      </c>
      <c r="Q821" s="450">
        <v>96</v>
      </c>
      <c r="R821" s="450">
        <v>96.2</v>
      </c>
      <c r="S821" s="450">
        <v>96.34</v>
      </c>
      <c r="T821" s="133"/>
      <c r="U821" s="134">
        <v>24</v>
      </c>
      <c r="V821" s="450">
        <v>95.27</v>
      </c>
      <c r="W821" s="450">
        <v>95.36</v>
      </c>
      <c r="X821" s="450">
        <v>95.45</v>
      </c>
      <c r="Y821" s="450">
        <v>95.54</v>
      </c>
      <c r="Z821" s="450">
        <v>95.62</v>
      </c>
      <c r="AA821" s="450">
        <v>95.71</v>
      </c>
      <c r="AB821" s="450">
        <v>95.8</v>
      </c>
      <c r="AC821" s="450">
        <v>95.88</v>
      </c>
      <c r="AD821" s="450">
        <v>95.97</v>
      </c>
      <c r="AE821" s="450">
        <v>96.05</v>
      </c>
      <c r="AF821" s="450">
        <v>96.13</v>
      </c>
      <c r="AG821" s="450">
        <v>96.21</v>
      </c>
      <c r="AH821" s="450">
        <v>96.58</v>
      </c>
      <c r="AI821" s="450">
        <v>96.89</v>
      </c>
      <c r="AJ821" s="450">
        <v>97.15</v>
      </c>
      <c r="AK821" s="450">
        <v>97.35</v>
      </c>
      <c r="AL821" s="450">
        <v>97.49</v>
      </c>
      <c r="AM821" s="133"/>
      <c r="AN821" s="134">
        <v>24</v>
      </c>
      <c r="AO821" s="450">
        <v>96.43</v>
      </c>
      <c r="AP821" s="450">
        <v>96.52</v>
      </c>
      <c r="AQ821" s="450">
        <v>96.61</v>
      </c>
      <c r="AR821" s="450">
        <v>96.7</v>
      </c>
      <c r="AS821" s="450">
        <v>96.79</v>
      </c>
      <c r="AT821" s="450">
        <v>96.88</v>
      </c>
      <c r="AU821" s="450">
        <v>96.97</v>
      </c>
      <c r="AV821" s="450">
        <v>97.06</v>
      </c>
      <c r="AW821" s="450">
        <v>97.15</v>
      </c>
      <c r="AX821" s="450">
        <v>97.23</v>
      </c>
      <c r="AY821" s="450">
        <v>97.31</v>
      </c>
      <c r="AZ821" s="450">
        <v>97.4</v>
      </c>
      <c r="BA821" s="450">
        <v>97.77</v>
      </c>
      <c r="BB821" s="450">
        <v>98.09</v>
      </c>
      <c r="BC821" s="450">
        <v>98.36</v>
      </c>
      <c r="BD821" s="450">
        <v>98.57</v>
      </c>
      <c r="BE821" s="450">
        <v>98.72</v>
      </c>
    </row>
    <row r="822" spans="2:57" x14ac:dyDescent="0.25">
      <c r="B822" s="134">
        <v>25</v>
      </c>
      <c r="C822" s="450">
        <v>94.35</v>
      </c>
      <c r="D822" s="450">
        <v>94.44</v>
      </c>
      <c r="E822" s="450">
        <v>94.53</v>
      </c>
      <c r="F822" s="450">
        <v>94.62</v>
      </c>
      <c r="G822" s="450">
        <v>94.71</v>
      </c>
      <c r="H822" s="450">
        <v>94.8</v>
      </c>
      <c r="I822" s="450">
        <v>94.89</v>
      </c>
      <c r="J822" s="450">
        <v>94.98</v>
      </c>
      <c r="K822" s="450">
        <v>95.07</v>
      </c>
      <c r="L822" s="450">
        <v>95.15</v>
      </c>
      <c r="M822" s="450">
        <v>95.23</v>
      </c>
      <c r="N822" s="450">
        <v>95.31</v>
      </c>
      <c r="O822" s="450">
        <v>95.69</v>
      </c>
      <c r="P822" s="450">
        <v>96.01</v>
      </c>
      <c r="Q822" s="450">
        <v>96.27</v>
      </c>
      <c r="R822" s="450">
        <v>96.48</v>
      </c>
      <c r="S822" s="450">
        <v>96.62</v>
      </c>
      <c r="T822" s="133"/>
      <c r="U822" s="134">
        <v>25</v>
      </c>
      <c r="V822" s="450">
        <v>95.46</v>
      </c>
      <c r="W822" s="450">
        <v>95.55</v>
      </c>
      <c r="X822" s="450">
        <v>95.64</v>
      </c>
      <c r="Y822" s="450">
        <v>95.74</v>
      </c>
      <c r="Z822" s="450">
        <v>95.83</v>
      </c>
      <c r="AA822" s="450">
        <v>95.92</v>
      </c>
      <c r="AB822" s="450">
        <v>96.01</v>
      </c>
      <c r="AC822" s="450">
        <v>96.1</v>
      </c>
      <c r="AD822" s="450">
        <v>96.19</v>
      </c>
      <c r="AE822" s="450">
        <v>96.28</v>
      </c>
      <c r="AF822" s="450">
        <v>96.36</v>
      </c>
      <c r="AG822" s="450">
        <v>96.44</v>
      </c>
      <c r="AH822" s="450">
        <v>96.83</v>
      </c>
      <c r="AI822" s="450">
        <v>97.16</v>
      </c>
      <c r="AJ822" s="450">
        <v>97.42</v>
      </c>
      <c r="AK822" s="450">
        <v>97.63</v>
      </c>
      <c r="AL822" s="450">
        <v>97.78</v>
      </c>
      <c r="AM822" s="133"/>
      <c r="AN822" s="134">
        <v>25</v>
      </c>
      <c r="AO822" s="450">
        <v>96.62</v>
      </c>
      <c r="AP822" s="450">
        <v>96.72</v>
      </c>
      <c r="AQ822" s="450">
        <v>96.82</v>
      </c>
      <c r="AR822" s="450">
        <v>96.91</v>
      </c>
      <c r="AS822" s="450">
        <v>97.01</v>
      </c>
      <c r="AT822" s="450">
        <v>97.1</v>
      </c>
      <c r="AU822" s="450">
        <v>97.19</v>
      </c>
      <c r="AV822" s="450">
        <v>97.28</v>
      </c>
      <c r="AW822" s="450">
        <v>97.38</v>
      </c>
      <c r="AX822" s="450">
        <v>97.46</v>
      </c>
      <c r="AY822" s="450">
        <v>97.55</v>
      </c>
      <c r="AZ822" s="450">
        <v>97.64</v>
      </c>
      <c r="BA822" s="450">
        <v>98.03</v>
      </c>
      <c r="BB822" s="450">
        <v>98.37</v>
      </c>
      <c r="BC822" s="450">
        <v>98.64</v>
      </c>
      <c r="BD822" s="450">
        <v>98.86</v>
      </c>
      <c r="BE822" s="450">
        <v>99.01</v>
      </c>
    </row>
    <row r="823" spans="2:57" x14ac:dyDescent="0.25">
      <c r="B823" s="134">
        <v>26</v>
      </c>
      <c r="C823" s="450">
        <v>94.54</v>
      </c>
      <c r="D823" s="450">
        <v>94.64</v>
      </c>
      <c r="E823" s="450">
        <v>94.74</v>
      </c>
      <c r="F823" s="450">
        <v>94.83</v>
      </c>
      <c r="G823" s="450">
        <v>94.93</v>
      </c>
      <c r="H823" s="450">
        <v>95.02</v>
      </c>
      <c r="I823" s="450">
        <v>95.11</v>
      </c>
      <c r="J823" s="450">
        <v>95.2</v>
      </c>
      <c r="K823" s="450">
        <v>95.3</v>
      </c>
      <c r="L823" s="450">
        <v>95.38</v>
      </c>
      <c r="M823" s="450">
        <v>95.47</v>
      </c>
      <c r="N823" s="450">
        <v>95.56</v>
      </c>
      <c r="O823" s="450">
        <v>95.95</v>
      </c>
      <c r="P823" s="450">
        <v>96.28</v>
      </c>
      <c r="Q823" s="450">
        <v>96.56</v>
      </c>
      <c r="R823" s="450">
        <v>96.76</v>
      </c>
      <c r="S823" s="450">
        <v>96.91</v>
      </c>
      <c r="T823" s="133"/>
      <c r="U823" s="134">
        <v>26</v>
      </c>
      <c r="V823" s="450">
        <v>95.65</v>
      </c>
      <c r="W823" s="450">
        <v>95.75</v>
      </c>
      <c r="X823" s="450">
        <v>95.85</v>
      </c>
      <c r="Y823" s="450">
        <v>95.95</v>
      </c>
      <c r="Z823" s="450">
        <v>96.05</v>
      </c>
      <c r="AA823" s="450">
        <v>96.14</v>
      </c>
      <c r="AB823" s="450">
        <v>96.24</v>
      </c>
      <c r="AC823" s="450">
        <v>96.33</v>
      </c>
      <c r="AD823" s="450">
        <v>96.42</v>
      </c>
      <c r="AE823" s="450">
        <v>96.51</v>
      </c>
      <c r="AF823" s="450">
        <v>96.6</v>
      </c>
      <c r="AG823" s="450">
        <v>96.69</v>
      </c>
      <c r="AH823" s="450">
        <v>97.09</v>
      </c>
      <c r="AI823" s="450">
        <v>97.43</v>
      </c>
      <c r="AJ823" s="450">
        <v>97.71</v>
      </c>
      <c r="AK823" s="450">
        <v>97.93</v>
      </c>
      <c r="AL823" s="450">
        <v>98.08</v>
      </c>
      <c r="AM823" s="133"/>
      <c r="AN823" s="134">
        <v>26</v>
      </c>
      <c r="AO823" s="450">
        <v>96.82</v>
      </c>
      <c r="AP823" s="450">
        <v>96.93</v>
      </c>
      <c r="AQ823" s="450">
        <v>97.03</v>
      </c>
      <c r="AR823" s="450">
        <v>97.13</v>
      </c>
      <c r="AS823" s="450">
        <v>97.23</v>
      </c>
      <c r="AT823" s="450">
        <v>97.33</v>
      </c>
      <c r="AU823" s="450">
        <v>97.42</v>
      </c>
      <c r="AV823" s="450">
        <v>97.52</v>
      </c>
      <c r="AW823" s="450">
        <v>97.62</v>
      </c>
      <c r="AX823" s="450">
        <v>97.71</v>
      </c>
      <c r="AY823" s="450">
        <v>97.8</v>
      </c>
      <c r="AZ823" s="450">
        <v>97.89</v>
      </c>
      <c r="BA823" s="450">
        <v>98.3</v>
      </c>
      <c r="BB823" s="450">
        <v>98.66</v>
      </c>
      <c r="BC823" s="450">
        <v>98.94</v>
      </c>
      <c r="BD823" s="450">
        <v>99.16</v>
      </c>
      <c r="BE823" s="450">
        <v>99.32</v>
      </c>
    </row>
    <row r="824" spans="2:57" x14ac:dyDescent="0.25">
      <c r="B824" s="134">
        <v>27</v>
      </c>
      <c r="C824" s="450">
        <v>94.74</v>
      </c>
      <c r="D824" s="450">
        <v>94.85</v>
      </c>
      <c r="E824" s="450">
        <v>94.95</v>
      </c>
      <c r="F824" s="450">
        <v>95.05</v>
      </c>
      <c r="G824" s="450">
        <v>95.15</v>
      </c>
      <c r="H824" s="450">
        <v>95.25</v>
      </c>
      <c r="I824" s="450">
        <v>95.34</v>
      </c>
      <c r="J824" s="450">
        <v>95.44</v>
      </c>
      <c r="K824" s="450">
        <v>95.54</v>
      </c>
      <c r="L824" s="450">
        <v>95.63</v>
      </c>
      <c r="M824" s="450">
        <v>95.72</v>
      </c>
      <c r="N824" s="450">
        <v>95.81</v>
      </c>
      <c r="O824" s="450">
        <v>96.22</v>
      </c>
      <c r="P824" s="450">
        <v>96.57</v>
      </c>
      <c r="Q824" s="450">
        <v>96.85</v>
      </c>
      <c r="R824" s="450">
        <v>97.07</v>
      </c>
      <c r="S824" s="450">
        <v>97.21</v>
      </c>
      <c r="T824" s="133"/>
      <c r="U824" s="134">
        <v>27</v>
      </c>
      <c r="V824" s="450">
        <v>95.86</v>
      </c>
      <c r="W824" s="450">
        <v>95.97</v>
      </c>
      <c r="X824" s="450">
        <v>96.07</v>
      </c>
      <c r="Y824" s="450">
        <v>96.17</v>
      </c>
      <c r="Z824" s="450">
        <v>96.27</v>
      </c>
      <c r="AA824" s="450">
        <v>96.37</v>
      </c>
      <c r="AB824" s="450">
        <v>96.47</v>
      </c>
      <c r="AC824" s="450">
        <v>96.57</v>
      </c>
      <c r="AD824" s="450">
        <v>96.67</v>
      </c>
      <c r="AE824" s="450">
        <v>96.76</v>
      </c>
      <c r="AF824" s="450">
        <v>96.86</v>
      </c>
      <c r="AG824" s="450">
        <v>96.95</v>
      </c>
      <c r="AH824" s="450">
        <v>97.37</v>
      </c>
      <c r="AI824" s="450">
        <v>97.73</v>
      </c>
      <c r="AJ824" s="450">
        <v>98.02</v>
      </c>
      <c r="AK824" s="450">
        <v>98.24</v>
      </c>
      <c r="AL824" s="450">
        <v>98.39</v>
      </c>
      <c r="AM824" s="133"/>
      <c r="AN824" s="134">
        <v>27</v>
      </c>
      <c r="AO824" s="450">
        <v>97.04</v>
      </c>
      <c r="AP824" s="450">
        <v>97.14</v>
      </c>
      <c r="AQ824" s="450">
        <v>97.25</v>
      </c>
      <c r="AR824" s="450">
        <v>97.36</v>
      </c>
      <c r="AS824" s="450">
        <v>97.46</v>
      </c>
      <c r="AT824" s="450">
        <v>97.57</v>
      </c>
      <c r="AU824" s="450">
        <v>97.67</v>
      </c>
      <c r="AV824" s="450">
        <v>97.77</v>
      </c>
      <c r="AW824" s="450">
        <v>97.87</v>
      </c>
      <c r="AX824" s="450">
        <v>97.97</v>
      </c>
      <c r="AY824" s="450">
        <v>98.06</v>
      </c>
      <c r="AZ824" s="450">
        <v>98.16</v>
      </c>
      <c r="BA824" s="450">
        <v>98.59</v>
      </c>
      <c r="BB824" s="450">
        <v>98.96</v>
      </c>
      <c r="BC824" s="450">
        <v>99.26</v>
      </c>
      <c r="BD824" s="450">
        <v>99.48</v>
      </c>
      <c r="BE824" s="450">
        <v>99.64</v>
      </c>
    </row>
    <row r="825" spans="2:57" x14ac:dyDescent="0.25">
      <c r="B825" s="134">
        <v>28</v>
      </c>
      <c r="C825" s="450">
        <v>94.96</v>
      </c>
      <c r="D825" s="450">
        <v>95.06</v>
      </c>
      <c r="E825" s="450">
        <v>95.17</v>
      </c>
      <c r="F825" s="450">
        <v>95.28</v>
      </c>
      <c r="G825" s="450">
        <v>95.38</v>
      </c>
      <c r="H825" s="450">
        <v>95.49</v>
      </c>
      <c r="I825" s="450">
        <v>95.59</v>
      </c>
      <c r="J825" s="450">
        <v>95.69</v>
      </c>
      <c r="K825" s="450">
        <v>95.79</v>
      </c>
      <c r="L825" s="450">
        <v>95.89</v>
      </c>
      <c r="M825" s="450">
        <v>95.98</v>
      </c>
      <c r="N825" s="450">
        <v>96.08</v>
      </c>
      <c r="O825" s="450">
        <v>96.51</v>
      </c>
      <c r="P825" s="450">
        <v>96.87</v>
      </c>
      <c r="Q825" s="450">
        <v>97.16</v>
      </c>
      <c r="R825" s="450">
        <v>97.38</v>
      </c>
      <c r="S825" s="450">
        <v>97.53</v>
      </c>
      <c r="T825" s="133"/>
      <c r="U825" s="134">
        <v>28</v>
      </c>
      <c r="V825" s="450">
        <v>96.08</v>
      </c>
      <c r="W825" s="450">
        <v>96.19</v>
      </c>
      <c r="X825" s="450">
        <v>96.3</v>
      </c>
      <c r="Y825" s="450">
        <v>96.41</v>
      </c>
      <c r="Z825" s="450">
        <v>96.51</v>
      </c>
      <c r="AA825" s="450">
        <v>96.62</v>
      </c>
      <c r="AB825" s="450">
        <v>96.72</v>
      </c>
      <c r="AC825" s="450">
        <v>96.83</v>
      </c>
      <c r="AD825" s="450">
        <v>96.93</v>
      </c>
      <c r="AE825" s="450">
        <v>97.03</v>
      </c>
      <c r="AF825" s="450">
        <v>97.13</v>
      </c>
      <c r="AG825" s="450">
        <v>97.22</v>
      </c>
      <c r="AH825" s="450">
        <v>97.66</v>
      </c>
      <c r="AI825" s="450">
        <v>98.04</v>
      </c>
      <c r="AJ825" s="450">
        <v>98.34</v>
      </c>
      <c r="AK825" s="450">
        <v>98.56</v>
      </c>
      <c r="AL825" s="450">
        <v>98.71</v>
      </c>
      <c r="AM825" s="133"/>
      <c r="AN825" s="134">
        <v>28</v>
      </c>
      <c r="AO825" s="450">
        <v>97.26</v>
      </c>
      <c r="AP825" s="450">
        <v>97.37</v>
      </c>
      <c r="AQ825" s="450">
        <v>97.49</v>
      </c>
      <c r="AR825" s="450">
        <v>97.6</v>
      </c>
      <c r="AS825" s="450">
        <v>97.71</v>
      </c>
      <c r="AT825" s="450">
        <v>97.82</v>
      </c>
      <c r="AU825" s="450">
        <v>97.92</v>
      </c>
      <c r="AV825" s="450">
        <v>98.03</v>
      </c>
      <c r="AW825" s="450">
        <v>98.13</v>
      </c>
      <c r="AX825" s="450">
        <v>98.24</v>
      </c>
      <c r="AY825" s="450">
        <v>98.34</v>
      </c>
      <c r="AZ825" s="450">
        <v>98.44</v>
      </c>
      <c r="BA825" s="450">
        <v>98.89</v>
      </c>
      <c r="BB825" s="450">
        <v>99.27</v>
      </c>
      <c r="BC825" s="450">
        <v>99.58</v>
      </c>
      <c r="BD825" s="450">
        <v>99.82</v>
      </c>
      <c r="BE825" s="450">
        <v>99.97</v>
      </c>
    </row>
    <row r="826" spans="2:57" x14ac:dyDescent="0.25">
      <c r="B826" s="134">
        <v>29</v>
      </c>
      <c r="C826" s="450">
        <v>95.18</v>
      </c>
      <c r="D826" s="450">
        <v>95.29</v>
      </c>
      <c r="E826" s="450">
        <v>95.41</v>
      </c>
      <c r="F826" s="450">
        <v>95.52</v>
      </c>
      <c r="G826" s="450">
        <v>95.63</v>
      </c>
      <c r="H826" s="450">
        <v>95.74</v>
      </c>
      <c r="I826" s="450">
        <v>95.84</v>
      </c>
      <c r="J826" s="450">
        <v>95.95</v>
      </c>
      <c r="K826" s="450">
        <v>96.05</v>
      </c>
      <c r="L826" s="450">
        <v>96.16</v>
      </c>
      <c r="M826" s="450">
        <v>96.26</v>
      </c>
      <c r="N826" s="450">
        <v>96.35</v>
      </c>
      <c r="O826" s="450">
        <v>96.81</v>
      </c>
      <c r="P826" s="450">
        <v>97.19</v>
      </c>
      <c r="Q826" s="450">
        <v>97.49</v>
      </c>
      <c r="R826" s="450">
        <v>97.71</v>
      </c>
      <c r="S826" s="450">
        <v>97.86</v>
      </c>
      <c r="T826" s="133"/>
      <c r="U826" s="134">
        <v>29</v>
      </c>
      <c r="V826" s="450">
        <v>96.31</v>
      </c>
      <c r="W826" s="450">
        <v>96.42</v>
      </c>
      <c r="X826" s="450">
        <v>96.54</v>
      </c>
      <c r="Y826" s="450">
        <v>96.65</v>
      </c>
      <c r="Z826" s="450">
        <v>96.76</v>
      </c>
      <c r="AA826" s="450">
        <v>96.87</v>
      </c>
      <c r="AB826" s="450">
        <v>96.98</v>
      </c>
      <c r="AC826" s="450">
        <v>97.09</v>
      </c>
      <c r="AD826" s="450">
        <v>97.2</v>
      </c>
      <c r="AE826" s="450">
        <v>97.3</v>
      </c>
      <c r="AF826" s="450">
        <v>97.41</v>
      </c>
      <c r="AG826" s="450">
        <v>97.51</v>
      </c>
      <c r="AH826" s="450">
        <v>97.97</v>
      </c>
      <c r="AI826" s="450">
        <v>98.36</v>
      </c>
      <c r="AJ826" s="450">
        <v>98.67</v>
      </c>
      <c r="AK826" s="450">
        <v>98.9</v>
      </c>
      <c r="AL826" s="450">
        <v>99.05</v>
      </c>
      <c r="AM826" s="133"/>
      <c r="AN826" s="134">
        <v>29</v>
      </c>
      <c r="AO826" s="450">
        <v>97.5</v>
      </c>
      <c r="AP826" s="450">
        <v>97.61</v>
      </c>
      <c r="AQ826" s="450">
        <v>97.73</v>
      </c>
      <c r="AR826" s="450">
        <v>97.85</v>
      </c>
      <c r="AS826" s="450">
        <v>97.96</v>
      </c>
      <c r="AT826" s="450">
        <v>98.08</v>
      </c>
      <c r="AU826" s="450">
        <v>98.19</v>
      </c>
      <c r="AV826" s="450">
        <v>98.3</v>
      </c>
      <c r="AW826" s="450">
        <v>98.41</v>
      </c>
      <c r="AX826" s="450">
        <v>98.52</v>
      </c>
      <c r="AY826" s="450">
        <v>98.63</v>
      </c>
      <c r="AZ826" s="450">
        <v>98.73</v>
      </c>
      <c r="BA826" s="450">
        <v>99.2</v>
      </c>
      <c r="BB826" s="450">
        <v>99.61</v>
      </c>
      <c r="BC826" s="450">
        <v>99.93</v>
      </c>
      <c r="BD826" s="450">
        <v>100.16</v>
      </c>
      <c r="BE826" s="450">
        <v>100.32</v>
      </c>
    </row>
    <row r="827" spans="2:57" x14ac:dyDescent="0.25">
      <c r="B827" s="134">
        <v>30</v>
      </c>
      <c r="C827" s="450">
        <v>95.42</v>
      </c>
      <c r="D827" s="450">
        <v>95.53</v>
      </c>
      <c r="E827" s="450">
        <v>95.65</v>
      </c>
      <c r="F827" s="450">
        <v>95.77</v>
      </c>
      <c r="G827" s="450">
        <v>95.89</v>
      </c>
      <c r="H827" s="450">
        <v>96</v>
      </c>
      <c r="I827" s="450">
        <v>96.11</v>
      </c>
      <c r="J827" s="450">
        <v>96.22</v>
      </c>
      <c r="K827" s="450">
        <v>96.33</v>
      </c>
      <c r="L827" s="450">
        <v>96.44</v>
      </c>
      <c r="M827" s="450">
        <v>96.55</v>
      </c>
      <c r="N827" s="450">
        <v>96.65</v>
      </c>
      <c r="O827" s="450">
        <v>97.12</v>
      </c>
      <c r="P827" s="450">
        <v>97.52</v>
      </c>
      <c r="Q827" s="450">
        <v>97.83</v>
      </c>
      <c r="R827" s="450">
        <v>98.06</v>
      </c>
      <c r="S827" s="450">
        <v>98.2</v>
      </c>
      <c r="T827" s="133"/>
      <c r="U827" s="134">
        <v>30</v>
      </c>
      <c r="V827" s="450">
        <v>96.55</v>
      </c>
      <c r="W827" s="450">
        <v>96.67</v>
      </c>
      <c r="X827" s="450">
        <v>96.79</v>
      </c>
      <c r="Y827" s="450">
        <v>96.91</v>
      </c>
      <c r="Z827" s="450">
        <v>97.03</v>
      </c>
      <c r="AA827" s="450">
        <v>97.14</v>
      </c>
      <c r="AB827" s="450">
        <v>97.26</v>
      </c>
      <c r="AC827" s="450">
        <v>97.37</v>
      </c>
      <c r="AD827" s="450">
        <v>97.48</v>
      </c>
      <c r="AE827" s="450">
        <v>97.59</v>
      </c>
      <c r="AF827" s="450">
        <v>97.7</v>
      </c>
      <c r="AG827" s="450">
        <v>97.81</v>
      </c>
      <c r="AH827" s="450">
        <v>98.29</v>
      </c>
      <c r="AI827" s="450">
        <v>98.7</v>
      </c>
      <c r="AJ827" s="450">
        <v>99.02</v>
      </c>
      <c r="AK827" s="450">
        <v>99.25</v>
      </c>
      <c r="AL827" s="450">
        <v>99.4</v>
      </c>
      <c r="AM827" s="133"/>
      <c r="AN827" s="134">
        <v>30</v>
      </c>
      <c r="AO827" s="450">
        <v>97.74</v>
      </c>
      <c r="AP827" s="450">
        <v>97.87</v>
      </c>
      <c r="AQ827" s="450">
        <v>97.99</v>
      </c>
      <c r="AR827" s="450">
        <v>98.11</v>
      </c>
      <c r="AS827" s="450">
        <v>98.24</v>
      </c>
      <c r="AT827" s="450">
        <v>98.36</v>
      </c>
      <c r="AU827" s="450">
        <v>98.47</v>
      </c>
      <c r="AV827" s="450">
        <v>98.59</v>
      </c>
      <c r="AW827" s="450">
        <v>98.71</v>
      </c>
      <c r="AX827" s="450">
        <v>98.82</v>
      </c>
      <c r="AY827" s="450">
        <v>98.93</v>
      </c>
      <c r="AZ827" s="450">
        <v>99.04</v>
      </c>
      <c r="BA827" s="450">
        <v>99.53</v>
      </c>
      <c r="BB827" s="450">
        <v>99.95</v>
      </c>
      <c r="BC827" s="450">
        <v>100.29</v>
      </c>
      <c r="BD827" s="450">
        <v>100.53</v>
      </c>
      <c r="BE827" s="450">
        <v>100.68</v>
      </c>
    </row>
    <row r="828" spans="2:57" x14ac:dyDescent="0.25">
      <c r="B828" s="134">
        <v>31</v>
      </c>
      <c r="C828" s="450">
        <v>95.66</v>
      </c>
      <c r="D828" s="450">
        <v>95.79</v>
      </c>
      <c r="E828" s="450">
        <v>95.91</v>
      </c>
      <c r="F828" s="450">
        <v>96.03</v>
      </c>
      <c r="G828" s="450">
        <v>96.16</v>
      </c>
      <c r="H828" s="450">
        <v>96.28</v>
      </c>
      <c r="I828" s="450">
        <v>96.39</v>
      </c>
      <c r="J828" s="450">
        <v>96.51</v>
      </c>
      <c r="K828" s="450">
        <v>96.63</v>
      </c>
      <c r="L828" s="450">
        <v>96.74</v>
      </c>
      <c r="M828" s="450">
        <v>96.85</v>
      </c>
      <c r="N828" s="450">
        <v>96.96</v>
      </c>
      <c r="O828" s="450">
        <v>97.45</v>
      </c>
      <c r="P828" s="450">
        <v>97.86</v>
      </c>
      <c r="Q828" s="450">
        <v>98.19</v>
      </c>
      <c r="R828" s="450">
        <v>98.42</v>
      </c>
      <c r="S828" s="450">
        <v>98.56</v>
      </c>
      <c r="T828" s="133"/>
      <c r="U828" s="134">
        <v>31</v>
      </c>
      <c r="V828" s="450">
        <v>96.8</v>
      </c>
      <c r="W828" s="450">
        <v>96.93</v>
      </c>
      <c r="X828" s="450">
        <v>97.05</v>
      </c>
      <c r="Y828" s="450">
        <v>97.18</v>
      </c>
      <c r="Z828" s="450">
        <v>97.3</v>
      </c>
      <c r="AA828" s="450">
        <v>97.43</v>
      </c>
      <c r="AB828" s="450">
        <v>97.55</v>
      </c>
      <c r="AC828" s="450">
        <v>97.67</v>
      </c>
      <c r="AD828" s="450">
        <v>97.78</v>
      </c>
      <c r="AE828" s="450">
        <v>97.9</v>
      </c>
      <c r="AF828" s="450">
        <v>98.01</v>
      </c>
      <c r="AG828" s="450">
        <v>98.12</v>
      </c>
      <c r="AH828" s="450">
        <v>98.63</v>
      </c>
      <c r="AI828" s="450">
        <v>99.05</v>
      </c>
      <c r="AJ828" s="450">
        <v>99.38</v>
      </c>
      <c r="AK828" s="450">
        <v>99.62</v>
      </c>
      <c r="AL828" s="450">
        <v>99.76</v>
      </c>
      <c r="AM828" s="133"/>
      <c r="AN828" s="134">
        <v>31</v>
      </c>
      <c r="AO828" s="450">
        <v>98</v>
      </c>
      <c r="AP828" s="450">
        <v>98.13</v>
      </c>
      <c r="AQ828" s="450">
        <v>98.26</v>
      </c>
      <c r="AR828" s="450">
        <v>98.39</v>
      </c>
      <c r="AS828" s="450">
        <v>98.52</v>
      </c>
      <c r="AT828" s="450">
        <v>98.65</v>
      </c>
      <c r="AU828" s="450">
        <v>98.77</v>
      </c>
      <c r="AV828" s="450">
        <v>98.89</v>
      </c>
      <c r="AW828" s="450">
        <v>99.01</v>
      </c>
      <c r="AX828" s="450">
        <v>99.13</v>
      </c>
      <c r="AY828" s="450">
        <v>99.25</v>
      </c>
      <c r="AZ828" s="450">
        <v>99.36</v>
      </c>
      <c r="BA828" s="450">
        <v>99.88</v>
      </c>
      <c r="BB828" s="450">
        <v>100.32</v>
      </c>
      <c r="BC828" s="450">
        <v>100.66</v>
      </c>
      <c r="BD828" s="450">
        <v>100.91</v>
      </c>
      <c r="BE828" s="450">
        <v>101.05</v>
      </c>
    </row>
    <row r="829" spans="2:57" x14ac:dyDescent="0.25">
      <c r="B829" s="134">
        <v>32</v>
      </c>
      <c r="C829" s="450">
        <v>95.92</v>
      </c>
      <c r="D829" s="450">
        <v>96.05</v>
      </c>
      <c r="E829" s="450">
        <v>96.18</v>
      </c>
      <c r="F829" s="450">
        <v>96.31</v>
      </c>
      <c r="G829" s="450">
        <v>96.44</v>
      </c>
      <c r="H829" s="450">
        <v>96.57</v>
      </c>
      <c r="I829" s="450">
        <v>96.69</v>
      </c>
      <c r="J829" s="450">
        <v>96.81</v>
      </c>
      <c r="K829" s="450">
        <v>96.93</v>
      </c>
      <c r="L829" s="450">
        <v>97.05</v>
      </c>
      <c r="M829" s="450">
        <v>97.17</v>
      </c>
      <c r="N829" s="450">
        <v>97.28</v>
      </c>
      <c r="O829" s="450">
        <v>97.79</v>
      </c>
      <c r="P829" s="450">
        <v>98.23</v>
      </c>
      <c r="Q829" s="450">
        <v>98.56</v>
      </c>
      <c r="R829" s="450">
        <v>98.79</v>
      </c>
      <c r="S829" s="450">
        <v>98.93</v>
      </c>
      <c r="T829" s="133"/>
      <c r="U829" s="134">
        <v>32</v>
      </c>
      <c r="V829" s="450">
        <v>97.07</v>
      </c>
      <c r="W829" s="450">
        <v>97.2</v>
      </c>
      <c r="X829" s="450">
        <v>97.33</v>
      </c>
      <c r="Y829" s="450">
        <v>97.46</v>
      </c>
      <c r="Z829" s="450">
        <v>97.59</v>
      </c>
      <c r="AA829" s="450">
        <v>97.72</v>
      </c>
      <c r="AB829" s="450">
        <v>97.85</v>
      </c>
      <c r="AC829" s="450">
        <v>97.98</v>
      </c>
      <c r="AD829" s="450">
        <v>98.1</v>
      </c>
      <c r="AE829" s="450">
        <v>98.22</v>
      </c>
      <c r="AF829" s="450">
        <v>98.34</v>
      </c>
      <c r="AG829" s="450">
        <v>98.45</v>
      </c>
      <c r="AH829" s="450">
        <v>98.98</v>
      </c>
      <c r="AI829" s="450">
        <v>99.42</v>
      </c>
      <c r="AJ829" s="450">
        <v>99.77</v>
      </c>
      <c r="AK829" s="450">
        <v>100.01</v>
      </c>
      <c r="AL829" s="450">
        <v>100.14</v>
      </c>
      <c r="AM829" s="133"/>
      <c r="AN829" s="134">
        <v>32</v>
      </c>
      <c r="AO829" s="450">
        <v>98.28</v>
      </c>
      <c r="AP829" s="450">
        <v>98.41</v>
      </c>
      <c r="AQ829" s="450">
        <v>98.55</v>
      </c>
      <c r="AR829" s="450">
        <v>98.68</v>
      </c>
      <c r="AS829" s="450">
        <v>98.82</v>
      </c>
      <c r="AT829" s="450">
        <v>98.95</v>
      </c>
      <c r="AU829" s="450">
        <v>99.08</v>
      </c>
      <c r="AV829" s="450">
        <v>99.21</v>
      </c>
      <c r="AW829" s="450">
        <v>99.34</v>
      </c>
      <c r="AX829" s="450">
        <v>99.46</v>
      </c>
      <c r="AY829" s="450">
        <v>99.58</v>
      </c>
      <c r="AZ829" s="450">
        <v>99.7</v>
      </c>
      <c r="BA829" s="450">
        <v>100.25</v>
      </c>
      <c r="BB829" s="450">
        <v>100.7</v>
      </c>
      <c r="BC829" s="450">
        <v>101.05</v>
      </c>
      <c r="BD829" s="450">
        <v>101.3</v>
      </c>
      <c r="BE829" s="450">
        <v>101.45</v>
      </c>
    </row>
    <row r="830" spans="2:57" x14ac:dyDescent="0.25">
      <c r="B830" s="134">
        <v>33</v>
      </c>
      <c r="C830" s="450">
        <v>96.2</v>
      </c>
      <c r="D830" s="450">
        <v>96.33</v>
      </c>
      <c r="E830" s="450">
        <v>96.47</v>
      </c>
      <c r="F830" s="450">
        <v>96.6</v>
      </c>
      <c r="G830" s="450">
        <v>96.74</v>
      </c>
      <c r="H830" s="450">
        <v>96.87</v>
      </c>
      <c r="I830" s="450">
        <v>97</v>
      </c>
      <c r="J830" s="450">
        <v>97.13</v>
      </c>
      <c r="K830" s="450">
        <v>97.26</v>
      </c>
      <c r="L830" s="450">
        <v>97.38</v>
      </c>
      <c r="M830" s="450">
        <v>97.5</v>
      </c>
      <c r="N830" s="450">
        <v>97.62</v>
      </c>
      <c r="O830" s="450">
        <v>98.16</v>
      </c>
      <c r="P830" s="450">
        <v>98.61</v>
      </c>
      <c r="Q830" s="450">
        <v>98.95</v>
      </c>
      <c r="R830" s="450">
        <v>99.18</v>
      </c>
      <c r="S830" s="450">
        <v>99.31</v>
      </c>
      <c r="T830" s="133"/>
      <c r="U830" s="134">
        <v>33</v>
      </c>
      <c r="V830" s="450">
        <v>97.34</v>
      </c>
      <c r="W830" s="450">
        <v>97.48</v>
      </c>
      <c r="X830" s="450">
        <v>97.62</v>
      </c>
      <c r="Y830" s="450">
        <v>97.76</v>
      </c>
      <c r="Z830" s="450">
        <v>97.9</v>
      </c>
      <c r="AA830" s="450">
        <v>98.03</v>
      </c>
      <c r="AB830" s="450">
        <v>98.17</v>
      </c>
      <c r="AC830" s="450">
        <v>98.3</v>
      </c>
      <c r="AD830" s="450">
        <v>98.43</v>
      </c>
      <c r="AE830" s="450">
        <v>98.55</v>
      </c>
      <c r="AF830" s="450">
        <v>98.68</v>
      </c>
      <c r="AG830" s="450">
        <v>98.8</v>
      </c>
      <c r="AH830" s="450">
        <v>99.35</v>
      </c>
      <c r="AI830" s="450">
        <v>99.81</v>
      </c>
      <c r="AJ830" s="450">
        <v>100.16</v>
      </c>
      <c r="AK830" s="450">
        <v>100.4</v>
      </c>
      <c r="AL830" s="450">
        <v>100.54</v>
      </c>
      <c r="AM830" s="133"/>
      <c r="AN830" s="134">
        <v>33</v>
      </c>
      <c r="AO830" s="450">
        <v>98.56</v>
      </c>
      <c r="AP830" s="450">
        <v>98.71</v>
      </c>
      <c r="AQ830" s="450">
        <v>98.85</v>
      </c>
      <c r="AR830" s="450">
        <v>98.99</v>
      </c>
      <c r="AS830" s="450">
        <v>99.13</v>
      </c>
      <c r="AT830" s="450">
        <v>99.27</v>
      </c>
      <c r="AU830" s="450">
        <v>99.41</v>
      </c>
      <c r="AV830" s="450">
        <v>99.54</v>
      </c>
      <c r="AW830" s="450">
        <v>99.68</v>
      </c>
      <c r="AX830" s="450">
        <v>99.81</v>
      </c>
      <c r="AY830" s="450">
        <v>99.93</v>
      </c>
      <c r="AZ830" s="450">
        <v>100.06</v>
      </c>
      <c r="BA830" s="450">
        <v>100.63</v>
      </c>
      <c r="BB830" s="450">
        <v>101.1</v>
      </c>
      <c r="BC830" s="450">
        <v>101.46</v>
      </c>
      <c r="BD830" s="450">
        <v>101.71</v>
      </c>
      <c r="BE830" s="450">
        <v>101.85</v>
      </c>
    </row>
    <row r="831" spans="2:57" x14ac:dyDescent="0.25">
      <c r="B831" s="134">
        <v>34</v>
      </c>
      <c r="C831" s="450">
        <v>96.48</v>
      </c>
      <c r="D831" s="450">
        <v>96.63</v>
      </c>
      <c r="E831" s="450">
        <v>96.77</v>
      </c>
      <c r="F831" s="450">
        <v>96.91</v>
      </c>
      <c r="G831" s="450">
        <v>97.05</v>
      </c>
      <c r="H831" s="450">
        <v>97.19</v>
      </c>
      <c r="I831" s="450">
        <v>97.33</v>
      </c>
      <c r="J831" s="450">
        <v>97.46</v>
      </c>
      <c r="K831" s="450">
        <v>97.59</v>
      </c>
      <c r="L831" s="450">
        <v>97.72</v>
      </c>
      <c r="M831" s="450">
        <v>97.85</v>
      </c>
      <c r="N831" s="450">
        <v>97.97</v>
      </c>
      <c r="O831" s="450">
        <v>98.54</v>
      </c>
      <c r="P831" s="450">
        <v>99</v>
      </c>
      <c r="Q831" s="450">
        <v>99.35</v>
      </c>
      <c r="R831" s="450">
        <v>99.58</v>
      </c>
      <c r="S831" s="450">
        <v>99.7</v>
      </c>
      <c r="T831" s="133"/>
      <c r="U831" s="134">
        <v>34</v>
      </c>
      <c r="V831" s="450">
        <v>97.64</v>
      </c>
      <c r="W831" s="450">
        <v>97.78</v>
      </c>
      <c r="X831" s="450">
        <v>97.93</v>
      </c>
      <c r="Y831" s="450">
        <v>98.08</v>
      </c>
      <c r="Z831" s="450">
        <v>98.22</v>
      </c>
      <c r="AA831" s="450">
        <v>98.36</v>
      </c>
      <c r="AB831" s="450">
        <v>98.5</v>
      </c>
      <c r="AC831" s="450">
        <v>98.64</v>
      </c>
      <c r="AD831" s="450">
        <v>98.77</v>
      </c>
      <c r="AE831" s="450">
        <v>98.91</v>
      </c>
      <c r="AF831" s="450">
        <v>99.04</v>
      </c>
      <c r="AG831" s="450">
        <v>99.16</v>
      </c>
      <c r="AH831" s="450">
        <v>99.74</v>
      </c>
      <c r="AI831" s="450">
        <v>100.22</v>
      </c>
      <c r="AJ831" s="450">
        <v>100.58</v>
      </c>
      <c r="AK831" s="450">
        <v>100.82</v>
      </c>
      <c r="AL831" s="450">
        <v>100.94</v>
      </c>
      <c r="AM831" s="133"/>
      <c r="AN831" s="134">
        <v>34</v>
      </c>
      <c r="AO831" s="450">
        <v>98.86</v>
      </c>
      <c r="AP831" s="450">
        <v>99.01</v>
      </c>
      <c r="AQ831" s="450">
        <v>99.17</v>
      </c>
      <c r="AR831" s="450">
        <v>99.31</v>
      </c>
      <c r="AS831" s="450">
        <v>99.46</v>
      </c>
      <c r="AT831" s="450">
        <v>99.61</v>
      </c>
      <c r="AU831" s="450">
        <v>99.75</v>
      </c>
      <c r="AV831" s="450">
        <v>99.89</v>
      </c>
      <c r="AW831" s="450">
        <v>100.03</v>
      </c>
      <c r="AX831" s="450">
        <v>100.17</v>
      </c>
      <c r="AY831" s="450">
        <v>100.3</v>
      </c>
      <c r="AZ831" s="450">
        <v>100.43</v>
      </c>
      <c r="BA831" s="450">
        <v>101.03</v>
      </c>
      <c r="BB831" s="450">
        <v>101.52</v>
      </c>
      <c r="BC831" s="450">
        <v>101.89</v>
      </c>
      <c r="BD831" s="450">
        <v>102.14</v>
      </c>
      <c r="BE831" s="450">
        <v>102.27</v>
      </c>
    </row>
    <row r="832" spans="2:57" x14ac:dyDescent="0.25">
      <c r="B832" s="134">
        <v>35</v>
      </c>
      <c r="C832" s="450">
        <v>96.78</v>
      </c>
      <c r="D832" s="450">
        <v>96.93</v>
      </c>
      <c r="E832" s="450">
        <v>97.08</v>
      </c>
      <c r="F832" s="450">
        <v>97.23</v>
      </c>
      <c r="G832" s="450">
        <v>97.38</v>
      </c>
      <c r="H832" s="450">
        <v>97.53</v>
      </c>
      <c r="I832" s="450">
        <v>97.67</v>
      </c>
      <c r="J832" s="450">
        <v>97.81</v>
      </c>
      <c r="K832" s="450">
        <v>97.95</v>
      </c>
      <c r="L832" s="450">
        <v>98.08</v>
      </c>
      <c r="M832" s="450">
        <v>98.22</v>
      </c>
      <c r="N832" s="450">
        <v>98.35</v>
      </c>
      <c r="O832" s="450">
        <v>98.93</v>
      </c>
      <c r="P832" s="450">
        <v>99.42</v>
      </c>
      <c r="Q832" s="450">
        <v>99.77</v>
      </c>
      <c r="R832" s="450">
        <v>100</v>
      </c>
      <c r="S832" s="450">
        <v>100.11</v>
      </c>
      <c r="T832" s="133"/>
      <c r="U832" s="134">
        <v>35</v>
      </c>
      <c r="V832" s="450">
        <v>97.94</v>
      </c>
      <c r="W832" s="450">
        <v>98.1</v>
      </c>
      <c r="X832" s="450">
        <v>98.25</v>
      </c>
      <c r="Y832" s="450">
        <v>98.41</v>
      </c>
      <c r="Z832" s="450">
        <v>98.56</v>
      </c>
      <c r="AA832" s="450">
        <v>98.71</v>
      </c>
      <c r="AB832" s="450">
        <v>98.85</v>
      </c>
      <c r="AC832" s="450">
        <v>99</v>
      </c>
      <c r="AD832" s="450">
        <v>99.14</v>
      </c>
      <c r="AE832" s="450">
        <v>99.28</v>
      </c>
      <c r="AF832" s="450">
        <v>99.41</v>
      </c>
      <c r="AG832" s="450">
        <v>99.54</v>
      </c>
      <c r="AH832" s="450">
        <v>100.15</v>
      </c>
      <c r="AI832" s="450">
        <v>100.64</v>
      </c>
      <c r="AJ832" s="450">
        <v>101.01</v>
      </c>
      <c r="AK832" s="450">
        <v>101.24</v>
      </c>
      <c r="AL832" s="450">
        <v>101.36</v>
      </c>
      <c r="AM832" s="133"/>
      <c r="AN832" s="134">
        <v>35</v>
      </c>
      <c r="AO832" s="450">
        <v>99.18</v>
      </c>
      <c r="AP832" s="450">
        <v>99.34</v>
      </c>
      <c r="AQ832" s="450">
        <v>99.5</v>
      </c>
      <c r="AR832" s="450">
        <v>99.65</v>
      </c>
      <c r="AS832" s="450">
        <v>99.81</v>
      </c>
      <c r="AT832" s="450">
        <v>99.96</v>
      </c>
      <c r="AU832" s="450">
        <v>100.11</v>
      </c>
      <c r="AV832" s="450">
        <v>100.26</v>
      </c>
      <c r="AW832" s="450">
        <v>100.41</v>
      </c>
      <c r="AX832" s="450">
        <v>100.55</v>
      </c>
      <c r="AY832" s="450">
        <v>100.69</v>
      </c>
      <c r="AZ832" s="450">
        <v>100.82</v>
      </c>
      <c r="BA832" s="450">
        <v>101.45</v>
      </c>
      <c r="BB832" s="450">
        <v>101.96</v>
      </c>
      <c r="BC832" s="450">
        <v>102.34</v>
      </c>
      <c r="BD832" s="450">
        <v>102.58</v>
      </c>
      <c r="BE832" s="450">
        <v>102.7</v>
      </c>
    </row>
    <row r="833" spans="2:57" x14ac:dyDescent="0.25">
      <c r="B833" s="134">
        <v>36</v>
      </c>
      <c r="C833" s="450">
        <v>97.1</v>
      </c>
      <c r="D833" s="450">
        <v>97.26</v>
      </c>
      <c r="E833" s="450">
        <v>97.42</v>
      </c>
      <c r="F833" s="450">
        <v>97.57</v>
      </c>
      <c r="G833" s="450">
        <v>97.73</v>
      </c>
      <c r="H833" s="450">
        <v>97.88</v>
      </c>
      <c r="I833" s="450">
        <v>98.03</v>
      </c>
      <c r="J833" s="450">
        <v>98.18</v>
      </c>
      <c r="K833" s="450">
        <v>98.32</v>
      </c>
      <c r="L833" s="450">
        <v>98.46</v>
      </c>
      <c r="M833" s="450">
        <v>98.6</v>
      </c>
      <c r="N833" s="450">
        <v>98.74</v>
      </c>
      <c r="O833" s="450">
        <v>99.35</v>
      </c>
      <c r="P833" s="450">
        <v>99.85</v>
      </c>
      <c r="Q833" s="450">
        <v>100.21</v>
      </c>
      <c r="R833" s="450">
        <v>100.43</v>
      </c>
      <c r="S833" s="450">
        <v>100.53</v>
      </c>
      <c r="T833" s="133"/>
      <c r="U833" s="134">
        <v>36</v>
      </c>
      <c r="V833" s="450">
        <v>98.27</v>
      </c>
      <c r="W833" s="450">
        <v>98.43</v>
      </c>
      <c r="X833" s="450">
        <v>98.59</v>
      </c>
      <c r="Y833" s="450">
        <v>98.75</v>
      </c>
      <c r="Z833" s="450">
        <v>98.91</v>
      </c>
      <c r="AA833" s="450">
        <v>99.07</v>
      </c>
      <c r="AB833" s="450">
        <v>99.22</v>
      </c>
      <c r="AC833" s="450">
        <v>99.37</v>
      </c>
      <c r="AD833" s="450">
        <v>99.52</v>
      </c>
      <c r="AE833" s="450">
        <v>99.66</v>
      </c>
      <c r="AF833" s="450">
        <v>99.81</v>
      </c>
      <c r="AG833" s="450">
        <v>99.94</v>
      </c>
      <c r="AH833" s="450">
        <v>100.57</v>
      </c>
      <c r="AI833" s="450">
        <v>101.08</v>
      </c>
      <c r="AJ833" s="450">
        <v>101.46</v>
      </c>
      <c r="AK833" s="450">
        <v>101.69</v>
      </c>
      <c r="AL833" s="450">
        <v>101.79</v>
      </c>
      <c r="AM833" s="133"/>
      <c r="AN833" s="134">
        <v>36</v>
      </c>
      <c r="AO833" s="450">
        <v>99.51</v>
      </c>
      <c r="AP833" s="450">
        <v>99.68</v>
      </c>
      <c r="AQ833" s="450">
        <v>99.84</v>
      </c>
      <c r="AR833" s="450">
        <v>100.01</v>
      </c>
      <c r="AS833" s="450">
        <v>100.17</v>
      </c>
      <c r="AT833" s="450">
        <v>100.33</v>
      </c>
      <c r="AU833" s="450">
        <v>100.49</v>
      </c>
      <c r="AV833" s="450">
        <v>100.65</v>
      </c>
      <c r="AW833" s="450">
        <v>100.8</v>
      </c>
      <c r="AX833" s="450">
        <v>100.95</v>
      </c>
      <c r="AY833" s="450">
        <v>101.09</v>
      </c>
      <c r="AZ833" s="450">
        <v>101.24</v>
      </c>
      <c r="BA833" s="450">
        <v>101.88</v>
      </c>
      <c r="BB833" s="450">
        <v>102.41</v>
      </c>
      <c r="BC833" s="450">
        <v>102.8</v>
      </c>
      <c r="BD833" s="450">
        <v>103.03</v>
      </c>
      <c r="BE833" s="450">
        <v>103.14</v>
      </c>
    </row>
    <row r="834" spans="2:57" x14ac:dyDescent="0.25">
      <c r="B834" s="134">
        <v>37</v>
      </c>
      <c r="C834" s="450">
        <v>97.43</v>
      </c>
      <c r="D834" s="450">
        <v>97.6</v>
      </c>
      <c r="E834" s="450">
        <v>97.76</v>
      </c>
      <c r="F834" s="450">
        <v>97.93</v>
      </c>
      <c r="G834" s="450">
        <v>98.09</v>
      </c>
      <c r="H834" s="450">
        <v>98.25</v>
      </c>
      <c r="I834" s="450">
        <v>98.41</v>
      </c>
      <c r="J834" s="450">
        <v>98.56</v>
      </c>
      <c r="K834" s="450">
        <v>98.71</v>
      </c>
      <c r="L834" s="450">
        <v>98.86</v>
      </c>
      <c r="M834" s="450">
        <v>99</v>
      </c>
      <c r="N834" s="450">
        <v>99.15</v>
      </c>
      <c r="O834" s="450">
        <v>99.78</v>
      </c>
      <c r="P834" s="450">
        <v>100.3</v>
      </c>
      <c r="Q834" s="450">
        <v>100.66</v>
      </c>
      <c r="R834" s="450">
        <v>100.87</v>
      </c>
      <c r="S834" s="450">
        <v>100.96</v>
      </c>
      <c r="T834" s="133"/>
      <c r="U834" s="134">
        <v>37</v>
      </c>
      <c r="V834" s="450">
        <v>98.61</v>
      </c>
      <c r="W834" s="450">
        <v>98.78</v>
      </c>
      <c r="X834" s="450">
        <v>98.95</v>
      </c>
      <c r="Y834" s="450">
        <v>99.11</v>
      </c>
      <c r="Z834" s="450">
        <v>99.28</v>
      </c>
      <c r="AA834" s="450">
        <v>99.44</v>
      </c>
      <c r="AB834" s="450">
        <v>99.6</v>
      </c>
      <c r="AC834" s="450">
        <v>99.76</v>
      </c>
      <c r="AD834" s="450">
        <v>99.92</v>
      </c>
      <c r="AE834" s="450">
        <v>100.07</v>
      </c>
      <c r="AF834" s="450">
        <v>100.22</v>
      </c>
      <c r="AG834" s="450">
        <v>100.36</v>
      </c>
      <c r="AH834" s="450">
        <v>101.02</v>
      </c>
      <c r="AI834" s="450">
        <v>101.54</v>
      </c>
      <c r="AJ834" s="450">
        <v>101.92</v>
      </c>
      <c r="AK834" s="450">
        <v>102.14</v>
      </c>
      <c r="AL834" s="450">
        <v>102.23</v>
      </c>
      <c r="AM834" s="133"/>
      <c r="AN834" s="134">
        <v>37</v>
      </c>
      <c r="AO834" s="450">
        <v>99.86</v>
      </c>
      <c r="AP834" s="450">
        <v>100.04</v>
      </c>
      <c r="AQ834" s="450">
        <v>100.21</v>
      </c>
      <c r="AR834" s="450">
        <v>100.38</v>
      </c>
      <c r="AS834" s="450">
        <v>100.55</v>
      </c>
      <c r="AT834" s="450">
        <v>100.72</v>
      </c>
      <c r="AU834" s="450">
        <v>100.89</v>
      </c>
      <c r="AV834" s="450">
        <v>101.05</v>
      </c>
      <c r="AW834" s="450">
        <v>101.21</v>
      </c>
      <c r="AX834" s="450">
        <v>101.37</v>
      </c>
      <c r="AY834" s="450">
        <v>101.52</v>
      </c>
      <c r="AZ834" s="450">
        <v>101.67</v>
      </c>
      <c r="BA834" s="450">
        <v>102.34</v>
      </c>
      <c r="BB834" s="450">
        <v>102.89</v>
      </c>
      <c r="BC834" s="450">
        <v>103.27</v>
      </c>
      <c r="BD834" s="450">
        <v>103.5</v>
      </c>
      <c r="BE834" s="450">
        <v>103.59</v>
      </c>
    </row>
    <row r="835" spans="2:57" x14ac:dyDescent="0.25">
      <c r="B835" s="134">
        <v>38</v>
      </c>
      <c r="C835" s="450">
        <v>97.78</v>
      </c>
      <c r="D835" s="450">
        <v>97.95</v>
      </c>
      <c r="E835" s="450">
        <v>98.13</v>
      </c>
      <c r="F835" s="450">
        <v>98.3</v>
      </c>
      <c r="G835" s="450">
        <v>98.47</v>
      </c>
      <c r="H835" s="450">
        <v>98.63</v>
      </c>
      <c r="I835" s="450">
        <v>98.8</v>
      </c>
      <c r="J835" s="450">
        <v>98.96</v>
      </c>
      <c r="K835" s="450">
        <v>99.12</v>
      </c>
      <c r="L835" s="450">
        <v>99.27</v>
      </c>
      <c r="M835" s="450">
        <v>99.43</v>
      </c>
      <c r="N835" s="450">
        <v>99.57</v>
      </c>
      <c r="O835" s="450">
        <v>100.24</v>
      </c>
      <c r="P835" s="450">
        <v>100.76</v>
      </c>
      <c r="Q835" s="450">
        <v>101.12</v>
      </c>
      <c r="R835" s="450">
        <v>101.33</v>
      </c>
      <c r="S835" s="450">
        <v>101.39</v>
      </c>
      <c r="T835" s="133"/>
      <c r="U835" s="134">
        <v>38</v>
      </c>
      <c r="V835" s="450">
        <v>98.96</v>
      </c>
      <c r="W835" s="450">
        <v>99.14</v>
      </c>
      <c r="X835" s="450">
        <v>99.32</v>
      </c>
      <c r="Y835" s="450">
        <v>99.49</v>
      </c>
      <c r="Z835" s="450">
        <v>99.67</v>
      </c>
      <c r="AA835" s="450">
        <v>99.84</v>
      </c>
      <c r="AB835" s="450">
        <v>100.01</v>
      </c>
      <c r="AC835" s="450">
        <v>100.17</v>
      </c>
      <c r="AD835" s="450">
        <v>100.34</v>
      </c>
      <c r="AE835" s="450">
        <v>100.5</v>
      </c>
      <c r="AF835" s="450">
        <v>100.65</v>
      </c>
      <c r="AG835" s="450">
        <v>100.8</v>
      </c>
      <c r="AH835" s="450">
        <v>101.48</v>
      </c>
      <c r="AI835" s="450">
        <v>102.02</v>
      </c>
      <c r="AJ835" s="450">
        <v>102.4</v>
      </c>
      <c r="AK835" s="450">
        <v>102.61</v>
      </c>
      <c r="AL835" s="450">
        <v>102.68</v>
      </c>
      <c r="AM835" s="133"/>
      <c r="AN835" s="134">
        <v>38</v>
      </c>
      <c r="AO835" s="450">
        <v>100.23</v>
      </c>
      <c r="AP835" s="450">
        <v>100.41</v>
      </c>
      <c r="AQ835" s="450">
        <v>100.59</v>
      </c>
      <c r="AR835" s="450">
        <v>100.77</v>
      </c>
      <c r="AS835" s="450">
        <v>100.95</v>
      </c>
      <c r="AT835" s="450">
        <v>101.13</v>
      </c>
      <c r="AU835" s="450">
        <v>101.3</v>
      </c>
      <c r="AV835" s="450">
        <v>101.47</v>
      </c>
      <c r="AW835" s="450">
        <v>101.64</v>
      </c>
      <c r="AX835" s="450">
        <v>101.8</v>
      </c>
      <c r="AY835" s="450">
        <v>101.96</v>
      </c>
      <c r="AZ835" s="450">
        <v>102.12</v>
      </c>
      <c r="BA835" s="450">
        <v>102.82</v>
      </c>
      <c r="BB835" s="450">
        <v>103.38</v>
      </c>
      <c r="BC835" s="450">
        <v>103.77</v>
      </c>
      <c r="BD835" s="450">
        <v>103.98</v>
      </c>
      <c r="BE835" s="450">
        <v>104.06</v>
      </c>
    </row>
    <row r="836" spans="2:57" x14ac:dyDescent="0.25">
      <c r="B836" s="134">
        <v>39</v>
      </c>
      <c r="C836" s="450">
        <v>98.14</v>
      </c>
      <c r="D836" s="450">
        <v>98.33</v>
      </c>
      <c r="E836" s="450">
        <v>98.51</v>
      </c>
      <c r="F836" s="450">
        <v>98.69</v>
      </c>
      <c r="G836" s="450">
        <v>98.86</v>
      </c>
      <c r="H836" s="450">
        <v>99.04</v>
      </c>
      <c r="I836" s="450">
        <v>99.21</v>
      </c>
      <c r="J836" s="450">
        <v>99.38</v>
      </c>
      <c r="K836" s="450">
        <v>99.55</v>
      </c>
      <c r="L836" s="450">
        <v>99.71</v>
      </c>
      <c r="M836" s="450">
        <v>99.87</v>
      </c>
      <c r="N836" s="450">
        <v>100.02</v>
      </c>
      <c r="O836" s="450">
        <v>100.71</v>
      </c>
      <c r="P836" s="450">
        <v>101.25</v>
      </c>
      <c r="Q836" s="450">
        <v>101.6</v>
      </c>
      <c r="R836" s="450">
        <v>101.79</v>
      </c>
      <c r="S836" s="450">
        <v>101.84</v>
      </c>
      <c r="T836" s="133"/>
      <c r="U836" s="134">
        <v>39</v>
      </c>
      <c r="V836" s="450">
        <v>99.33</v>
      </c>
      <c r="W836" s="450">
        <v>99.52</v>
      </c>
      <c r="X836" s="450">
        <v>99.71</v>
      </c>
      <c r="Y836" s="450">
        <v>99.89</v>
      </c>
      <c r="Z836" s="450">
        <v>100.07</v>
      </c>
      <c r="AA836" s="450">
        <v>100.25</v>
      </c>
      <c r="AB836" s="450">
        <v>100.43</v>
      </c>
      <c r="AC836" s="450">
        <v>100.6</v>
      </c>
      <c r="AD836" s="450">
        <v>100.77</v>
      </c>
      <c r="AE836" s="450">
        <v>100.94</v>
      </c>
      <c r="AF836" s="450">
        <v>101.1</v>
      </c>
      <c r="AG836" s="450">
        <v>101.26</v>
      </c>
      <c r="AH836" s="450">
        <v>101.97</v>
      </c>
      <c r="AI836" s="450">
        <v>102.52</v>
      </c>
      <c r="AJ836" s="450">
        <v>102.89</v>
      </c>
      <c r="AK836" s="450">
        <v>103.09</v>
      </c>
      <c r="AL836" s="450">
        <v>103.14</v>
      </c>
      <c r="AM836" s="133"/>
      <c r="AN836" s="134">
        <v>39</v>
      </c>
      <c r="AO836" s="450">
        <v>100.61</v>
      </c>
      <c r="AP836" s="450">
        <v>100.8</v>
      </c>
      <c r="AQ836" s="450">
        <v>100.99</v>
      </c>
      <c r="AR836" s="450">
        <v>101.18</v>
      </c>
      <c r="AS836" s="450">
        <v>101.37</v>
      </c>
      <c r="AT836" s="450">
        <v>101.56</v>
      </c>
      <c r="AU836" s="450">
        <v>101.74</v>
      </c>
      <c r="AV836" s="450">
        <v>101.92</v>
      </c>
      <c r="AW836" s="450">
        <v>102.09</v>
      </c>
      <c r="AX836" s="450">
        <v>102.26</v>
      </c>
      <c r="AY836" s="450">
        <v>102.43</v>
      </c>
      <c r="AZ836" s="450">
        <v>102.59</v>
      </c>
      <c r="BA836" s="450">
        <v>103.32</v>
      </c>
      <c r="BB836" s="450">
        <v>103.89</v>
      </c>
      <c r="BC836" s="450">
        <v>104.27</v>
      </c>
      <c r="BD836" s="450">
        <v>104.48</v>
      </c>
      <c r="BE836" s="450">
        <v>104.53</v>
      </c>
    </row>
    <row r="837" spans="2:57" x14ac:dyDescent="0.25">
      <c r="B837" s="134">
        <v>40</v>
      </c>
      <c r="C837" s="450">
        <v>98.52</v>
      </c>
      <c r="D837" s="450">
        <v>98.72</v>
      </c>
      <c r="E837" s="450">
        <v>98.91</v>
      </c>
      <c r="F837" s="450">
        <v>99.09</v>
      </c>
      <c r="G837" s="450">
        <v>99.28</v>
      </c>
      <c r="H837" s="450">
        <v>99.46</v>
      </c>
      <c r="I837" s="450">
        <v>99.65</v>
      </c>
      <c r="J837" s="450">
        <v>99.82</v>
      </c>
      <c r="K837" s="450">
        <v>100</v>
      </c>
      <c r="L837" s="450">
        <v>100.16</v>
      </c>
      <c r="M837" s="450">
        <v>100.33</v>
      </c>
      <c r="N837" s="450">
        <v>100.49</v>
      </c>
      <c r="O837" s="450">
        <v>101.2</v>
      </c>
      <c r="P837" s="450">
        <v>101.75</v>
      </c>
      <c r="Q837" s="450">
        <v>102.09</v>
      </c>
      <c r="R837" s="450">
        <v>102.27</v>
      </c>
      <c r="S837" s="450">
        <v>102.29</v>
      </c>
      <c r="T837" s="133"/>
      <c r="U837" s="134">
        <v>40</v>
      </c>
      <c r="V837" s="450">
        <v>99.73</v>
      </c>
      <c r="W837" s="450">
        <v>99.92</v>
      </c>
      <c r="X837" s="450">
        <v>100.12</v>
      </c>
      <c r="Y837" s="450">
        <v>100.31</v>
      </c>
      <c r="Z837" s="450">
        <v>100.5</v>
      </c>
      <c r="AA837" s="450">
        <v>100.69</v>
      </c>
      <c r="AB837" s="450">
        <v>100.87</v>
      </c>
      <c r="AC837" s="450">
        <v>101.06</v>
      </c>
      <c r="AD837" s="450">
        <v>101.23</v>
      </c>
      <c r="AE837" s="450">
        <v>101.41</v>
      </c>
      <c r="AF837" s="450">
        <v>101.58</v>
      </c>
      <c r="AG837" s="450">
        <v>101.74</v>
      </c>
      <c r="AH837" s="450">
        <v>102.47</v>
      </c>
      <c r="AI837" s="450">
        <v>103.03</v>
      </c>
      <c r="AJ837" s="450">
        <v>103.4</v>
      </c>
      <c r="AK837" s="450">
        <v>103.58</v>
      </c>
      <c r="AL837" s="450">
        <v>103.61</v>
      </c>
      <c r="AM837" s="133"/>
      <c r="AN837" s="134">
        <v>40</v>
      </c>
      <c r="AO837" s="450">
        <v>101.01</v>
      </c>
      <c r="AP837" s="450">
        <v>101.21</v>
      </c>
      <c r="AQ837" s="450">
        <v>101.41</v>
      </c>
      <c r="AR837" s="450">
        <v>101.61</v>
      </c>
      <c r="AS837" s="450">
        <v>101.81</v>
      </c>
      <c r="AT837" s="450">
        <v>102</v>
      </c>
      <c r="AU837" s="450">
        <v>102.19</v>
      </c>
      <c r="AV837" s="450">
        <v>102.38</v>
      </c>
      <c r="AW837" s="450">
        <v>102.56</v>
      </c>
      <c r="AX837" s="450">
        <v>102.74</v>
      </c>
      <c r="AY837" s="450">
        <v>102.92</v>
      </c>
      <c r="AZ837" s="450">
        <v>103.09</v>
      </c>
      <c r="BA837" s="450">
        <v>103.84</v>
      </c>
      <c r="BB837" s="450">
        <v>104.42</v>
      </c>
      <c r="BC837" s="450">
        <v>104.79</v>
      </c>
      <c r="BD837" s="450">
        <v>104.98</v>
      </c>
      <c r="BE837" s="450">
        <v>105.02</v>
      </c>
    </row>
    <row r="838" spans="2:57" x14ac:dyDescent="0.25">
      <c r="B838" s="134">
        <v>41</v>
      </c>
      <c r="C838" s="450">
        <v>98.92</v>
      </c>
      <c r="D838" s="450">
        <v>99.13</v>
      </c>
      <c r="E838" s="450">
        <v>99.32</v>
      </c>
      <c r="F838" s="450">
        <v>99.52</v>
      </c>
      <c r="G838" s="450">
        <v>99.72</v>
      </c>
      <c r="H838" s="450">
        <v>99.91</v>
      </c>
      <c r="I838" s="450">
        <v>100.1</v>
      </c>
      <c r="J838" s="450">
        <v>100.28</v>
      </c>
      <c r="K838" s="450">
        <v>100.46</v>
      </c>
      <c r="L838" s="450">
        <v>100.64</v>
      </c>
      <c r="M838" s="450">
        <v>100.81</v>
      </c>
      <c r="N838" s="450">
        <v>100.98</v>
      </c>
      <c r="O838" s="450">
        <v>101.71</v>
      </c>
      <c r="P838" s="450">
        <v>102.26</v>
      </c>
      <c r="Q838" s="450">
        <v>102.6</v>
      </c>
      <c r="R838" s="450">
        <v>102.75</v>
      </c>
      <c r="S838" s="450">
        <v>102.76</v>
      </c>
      <c r="T838" s="133"/>
      <c r="U838" s="134">
        <v>41</v>
      </c>
      <c r="V838" s="450">
        <v>100.14</v>
      </c>
      <c r="W838" s="450">
        <v>100.34</v>
      </c>
      <c r="X838" s="450">
        <v>100.55</v>
      </c>
      <c r="Y838" s="450">
        <v>100.75</v>
      </c>
      <c r="Z838" s="450">
        <v>100.95</v>
      </c>
      <c r="AA838" s="450">
        <v>101.14</v>
      </c>
      <c r="AB838" s="450">
        <v>101.34</v>
      </c>
      <c r="AC838" s="450">
        <v>101.53</v>
      </c>
      <c r="AD838" s="450">
        <v>101.71</v>
      </c>
      <c r="AE838" s="450">
        <v>101.89</v>
      </c>
      <c r="AF838" s="450">
        <v>102.07</v>
      </c>
      <c r="AG838" s="450">
        <v>102.24</v>
      </c>
      <c r="AH838" s="450">
        <v>103</v>
      </c>
      <c r="AI838" s="450">
        <v>103.56</v>
      </c>
      <c r="AJ838" s="450">
        <v>103.91</v>
      </c>
      <c r="AK838" s="450">
        <v>104.07</v>
      </c>
      <c r="AL838" s="450">
        <v>104.09</v>
      </c>
      <c r="AM838" s="133"/>
      <c r="AN838" s="134">
        <v>41</v>
      </c>
      <c r="AO838" s="450">
        <v>101.43</v>
      </c>
      <c r="AP838" s="450">
        <v>101.65</v>
      </c>
      <c r="AQ838" s="450">
        <v>101.86</v>
      </c>
      <c r="AR838" s="450">
        <v>102.06</v>
      </c>
      <c r="AS838" s="450">
        <v>102.27</v>
      </c>
      <c r="AT838" s="450">
        <v>102.47</v>
      </c>
      <c r="AU838" s="450">
        <v>102.67</v>
      </c>
      <c r="AV838" s="450">
        <v>102.87</v>
      </c>
      <c r="AW838" s="450">
        <v>103.06</v>
      </c>
      <c r="AX838" s="450">
        <v>103.24</v>
      </c>
      <c r="AY838" s="450">
        <v>103.43</v>
      </c>
      <c r="AZ838" s="450">
        <v>103.6</v>
      </c>
      <c r="BA838" s="450">
        <v>104.38</v>
      </c>
      <c r="BB838" s="450">
        <v>104.97</v>
      </c>
      <c r="BC838" s="450">
        <v>105.33</v>
      </c>
      <c r="BD838" s="450">
        <v>105.49</v>
      </c>
      <c r="BE838" s="450">
        <v>105.51</v>
      </c>
    </row>
    <row r="839" spans="2:57" x14ac:dyDescent="0.25">
      <c r="B839" s="134">
        <v>42</v>
      </c>
      <c r="C839" s="450">
        <v>99.34</v>
      </c>
      <c r="D839" s="450">
        <v>99.55</v>
      </c>
      <c r="E839" s="450">
        <v>99.76</v>
      </c>
      <c r="F839" s="450">
        <v>99.97</v>
      </c>
      <c r="G839" s="450">
        <v>100.17</v>
      </c>
      <c r="H839" s="450">
        <v>100.37</v>
      </c>
      <c r="I839" s="450">
        <v>100.57</v>
      </c>
      <c r="J839" s="450">
        <v>100.76</v>
      </c>
      <c r="K839" s="450">
        <v>100.95</v>
      </c>
      <c r="L839" s="450">
        <v>101.14</v>
      </c>
      <c r="M839" s="450">
        <v>101.32</v>
      </c>
      <c r="N839" s="450">
        <v>101.49</v>
      </c>
      <c r="O839" s="450">
        <v>102.25</v>
      </c>
      <c r="P839" s="450">
        <v>102.79</v>
      </c>
      <c r="Q839" s="450">
        <v>103.11</v>
      </c>
      <c r="R839" s="450">
        <v>103.24</v>
      </c>
      <c r="S839" s="450">
        <v>103.23</v>
      </c>
      <c r="T839" s="133"/>
      <c r="U839" s="134">
        <v>42</v>
      </c>
      <c r="V839" s="450">
        <v>100.56</v>
      </c>
      <c r="W839" s="450">
        <v>100.78</v>
      </c>
      <c r="X839" s="450">
        <v>100.99</v>
      </c>
      <c r="Y839" s="450">
        <v>101.21</v>
      </c>
      <c r="Z839" s="450">
        <v>101.42</v>
      </c>
      <c r="AA839" s="450">
        <v>101.62</v>
      </c>
      <c r="AB839" s="450">
        <v>101.82</v>
      </c>
      <c r="AC839" s="450">
        <v>102.02</v>
      </c>
      <c r="AD839" s="450">
        <v>102.22</v>
      </c>
      <c r="AE839" s="450">
        <v>102.4</v>
      </c>
      <c r="AF839" s="450">
        <v>102.59</v>
      </c>
      <c r="AG839" s="450">
        <v>102.76</v>
      </c>
      <c r="AH839" s="450">
        <v>103.54</v>
      </c>
      <c r="AI839" s="450">
        <v>104.11</v>
      </c>
      <c r="AJ839" s="450">
        <v>104.45</v>
      </c>
      <c r="AK839" s="450">
        <v>104.58</v>
      </c>
      <c r="AL839" s="450">
        <v>104.57</v>
      </c>
      <c r="AM839" s="133"/>
      <c r="AN839" s="134">
        <v>42</v>
      </c>
      <c r="AO839" s="450">
        <v>101.88</v>
      </c>
      <c r="AP839" s="450">
        <v>102.1</v>
      </c>
      <c r="AQ839" s="450">
        <v>102.32</v>
      </c>
      <c r="AR839" s="450">
        <v>102.54</v>
      </c>
      <c r="AS839" s="450">
        <v>102.75</v>
      </c>
      <c r="AT839" s="450">
        <v>102.96</v>
      </c>
      <c r="AU839" s="450">
        <v>103.17</v>
      </c>
      <c r="AV839" s="450">
        <v>103.38</v>
      </c>
      <c r="AW839" s="450">
        <v>103.58</v>
      </c>
      <c r="AX839" s="450">
        <v>103.77</v>
      </c>
      <c r="AY839" s="450">
        <v>103.96</v>
      </c>
      <c r="AZ839" s="450">
        <v>104.14</v>
      </c>
      <c r="BA839" s="450">
        <v>104.95</v>
      </c>
      <c r="BB839" s="450">
        <v>105.53</v>
      </c>
      <c r="BC839" s="450">
        <v>105.88</v>
      </c>
      <c r="BD839" s="450">
        <v>106.01</v>
      </c>
      <c r="BE839" s="450">
        <v>106.01</v>
      </c>
    </row>
    <row r="840" spans="2:57" x14ac:dyDescent="0.25">
      <c r="B840" s="134">
        <v>43</v>
      </c>
      <c r="C840" s="450">
        <v>99.78</v>
      </c>
      <c r="D840" s="450">
        <v>100</v>
      </c>
      <c r="E840" s="450">
        <v>100.22</v>
      </c>
      <c r="F840" s="450">
        <v>100.44</v>
      </c>
      <c r="G840" s="450">
        <v>100.65</v>
      </c>
      <c r="H840" s="450">
        <v>100.86</v>
      </c>
      <c r="I840" s="450">
        <v>101.07</v>
      </c>
      <c r="J840" s="450">
        <v>101.27</v>
      </c>
      <c r="K840" s="450">
        <v>101.46</v>
      </c>
      <c r="L840" s="450">
        <v>101.66</v>
      </c>
      <c r="M840" s="450">
        <v>101.84</v>
      </c>
      <c r="N840" s="450">
        <v>102.02</v>
      </c>
      <c r="O840" s="450">
        <v>102.8</v>
      </c>
      <c r="P840" s="450">
        <v>103.34</v>
      </c>
      <c r="Q840" s="450">
        <v>103.64</v>
      </c>
      <c r="R840" s="450">
        <v>103.73</v>
      </c>
      <c r="S840" s="450">
        <v>103.7</v>
      </c>
      <c r="T840" s="133"/>
      <c r="U840" s="134">
        <v>43</v>
      </c>
      <c r="V840" s="450">
        <v>101.01</v>
      </c>
      <c r="W840" s="450">
        <v>101.24</v>
      </c>
      <c r="X840" s="450">
        <v>101.46</v>
      </c>
      <c r="Y840" s="450">
        <v>101.69</v>
      </c>
      <c r="Z840" s="450">
        <v>101.9</v>
      </c>
      <c r="AA840" s="450">
        <v>102.12</v>
      </c>
      <c r="AB840" s="450">
        <v>102.33</v>
      </c>
      <c r="AC840" s="450">
        <v>102.54</v>
      </c>
      <c r="AD840" s="450">
        <v>102.74</v>
      </c>
      <c r="AE840" s="450">
        <v>102.94</v>
      </c>
      <c r="AF840" s="450">
        <v>103.13</v>
      </c>
      <c r="AG840" s="450">
        <v>103.31</v>
      </c>
      <c r="AH840" s="450">
        <v>104.11</v>
      </c>
      <c r="AI840" s="450">
        <v>104.67</v>
      </c>
      <c r="AJ840" s="450">
        <v>104.99</v>
      </c>
      <c r="AK840" s="450">
        <v>105.09</v>
      </c>
      <c r="AL840" s="450">
        <v>105.07</v>
      </c>
      <c r="AM840" s="133"/>
      <c r="AN840" s="134">
        <v>43</v>
      </c>
      <c r="AO840" s="450">
        <v>102.34</v>
      </c>
      <c r="AP840" s="450">
        <v>102.57</v>
      </c>
      <c r="AQ840" s="450">
        <v>102.8</v>
      </c>
      <c r="AR840" s="450">
        <v>103.03</v>
      </c>
      <c r="AS840" s="450">
        <v>103.25</v>
      </c>
      <c r="AT840" s="450">
        <v>103.48</v>
      </c>
      <c r="AU840" s="450">
        <v>103.69</v>
      </c>
      <c r="AV840" s="450">
        <v>103.91</v>
      </c>
      <c r="AW840" s="450">
        <v>104.12</v>
      </c>
      <c r="AX840" s="450">
        <v>104.32</v>
      </c>
      <c r="AY840" s="450">
        <v>104.51</v>
      </c>
      <c r="AZ840" s="450">
        <v>104.7</v>
      </c>
      <c r="BA840" s="450">
        <v>105.53</v>
      </c>
      <c r="BB840" s="450">
        <v>106.11</v>
      </c>
      <c r="BC840" s="450">
        <v>106.44</v>
      </c>
      <c r="BD840" s="450">
        <v>106.55</v>
      </c>
      <c r="BE840" s="450">
        <v>106.52</v>
      </c>
    </row>
    <row r="841" spans="2:57" x14ac:dyDescent="0.25">
      <c r="B841" s="134">
        <v>44</v>
      </c>
      <c r="C841" s="450">
        <v>100.24</v>
      </c>
      <c r="D841" s="450">
        <v>100.47</v>
      </c>
      <c r="E841" s="450">
        <v>100.7</v>
      </c>
      <c r="F841" s="450">
        <v>100.93</v>
      </c>
      <c r="G841" s="450">
        <v>101.15</v>
      </c>
      <c r="H841" s="450">
        <v>101.37</v>
      </c>
      <c r="I841" s="450">
        <v>101.58</v>
      </c>
      <c r="J841" s="450">
        <v>101.79</v>
      </c>
      <c r="K841" s="450">
        <v>102</v>
      </c>
      <c r="L841" s="450">
        <v>102.2</v>
      </c>
      <c r="M841" s="450">
        <v>102.39</v>
      </c>
      <c r="N841" s="450">
        <v>102.57</v>
      </c>
      <c r="O841" s="450">
        <v>103.36</v>
      </c>
      <c r="P841" s="450">
        <v>103.9</v>
      </c>
      <c r="Q841" s="450">
        <v>104.18</v>
      </c>
      <c r="R841" s="450">
        <v>104.24</v>
      </c>
      <c r="S841" s="450">
        <v>104.19</v>
      </c>
      <c r="T841" s="133"/>
      <c r="U841" s="134">
        <v>44</v>
      </c>
      <c r="V841" s="450">
        <v>101.48</v>
      </c>
      <c r="W841" s="450">
        <v>101.72</v>
      </c>
      <c r="X841" s="450">
        <v>101.96</v>
      </c>
      <c r="Y841" s="450">
        <v>102.19</v>
      </c>
      <c r="Z841" s="450">
        <v>102.42</v>
      </c>
      <c r="AA841" s="450">
        <v>102.64</v>
      </c>
      <c r="AB841" s="450">
        <v>102.86</v>
      </c>
      <c r="AC841" s="450">
        <v>103.08</v>
      </c>
      <c r="AD841" s="450">
        <v>103.29</v>
      </c>
      <c r="AE841" s="450">
        <v>103.49</v>
      </c>
      <c r="AF841" s="450">
        <v>103.69</v>
      </c>
      <c r="AG841" s="450">
        <v>103.88</v>
      </c>
      <c r="AH841" s="450">
        <v>104.7</v>
      </c>
      <c r="AI841" s="450">
        <v>105.25</v>
      </c>
      <c r="AJ841" s="450">
        <v>105.54</v>
      </c>
      <c r="AK841" s="450">
        <v>105.62</v>
      </c>
      <c r="AL841" s="450">
        <v>105.57</v>
      </c>
      <c r="AM841" s="133"/>
      <c r="AN841" s="134">
        <v>44</v>
      </c>
      <c r="AO841" s="450">
        <v>102.82</v>
      </c>
      <c r="AP841" s="450">
        <v>103.07</v>
      </c>
      <c r="AQ841" s="450">
        <v>103.31</v>
      </c>
      <c r="AR841" s="450">
        <v>103.55</v>
      </c>
      <c r="AS841" s="450">
        <v>103.78</v>
      </c>
      <c r="AT841" s="450">
        <v>104.01</v>
      </c>
      <c r="AU841" s="450">
        <v>104.24</v>
      </c>
      <c r="AV841" s="450">
        <v>104.46</v>
      </c>
      <c r="AW841" s="450">
        <v>104.68</v>
      </c>
      <c r="AX841" s="450">
        <v>104.89</v>
      </c>
      <c r="AY841" s="450">
        <v>105.09</v>
      </c>
      <c r="AZ841" s="450">
        <v>105.29</v>
      </c>
      <c r="BA841" s="450">
        <v>106.13</v>
      </c>
      <c r="BB841" s="450">
        <v>106.71</v>
      </c>
      <c r="BC841" s="450">
        <v>107.01</v>
      </c>
      <c r="BD841" s="450">
        <v>107.09</v>
      </c>
      <c r="BE841" s="450">
        <v>107.04</v>
      </c>
    </row>
    <row r="842" spans="2:57" x14ac:dyDescent="0.25">
      <c r="B842" s="134">
        <v>45</v>
      </c>
      <c r="C842" s="450">
        <v>100.72</v>
      </c>
      <c r="D842" s="450">
        <v>100.96</v>
      </c>
      <c r="E842" s="450">
        <v>101.2</v>
      </c>
      <c r="F842" s="450">
        <v>101.44</v>
      </c>
      <c r="G842" s="450">
        <v>101.67</v>
      </c>
      <c r="H842" s="450">
        <v>101.9</v>
      </c>
      <c r="I842" s="450">
        <v>102.13</v>
      </c>
      <c r="J842" s="450">
        <v>102.34</v>
      </c>
      <c r="K842" s="450">
        <v>102.56</v>
      </c>
      <c r="L842" s="450">
        <v>102.76</v>
      </c>
      <c r="M842" s="450">
        <v>102.96</v>
      </c>
      <c r="N842" s="450">
        <v>103.15</v>
      </c>
      <c r="O842" s="450">
        <v>103.95</v>
      </c>
      <c r="P842" s="450">
        <v>104.48</v>
      </c>
      <c r="Q842" s="450">
        <v>104.73</v>
      </c>
      <c r="R842" s="450">
        <v>104.76</v>
      </c>
      <c r="S842" s="450">
        <v>104.68</v>
      </c>
      <c r="T842" s="133"/>
      <c r="U842" s="134">
        <v>45</v>
      </c>
      <c r="V842" s="450">
        <v>101.98</v>
      </c>
      <c r="W842" s="450">
        <v>102.23</v>
      </c>
      <c r="X842" s="450">
        <v>102.47</v>
      </c>
      <c r="Y842" s="450">
        <v>102.71</v>
      </c>
      <c r="Z842" s="450">
        <v>102.95</v>
      </c>
      <c r="AA842" s="450">
        <v>103.19</v>
      </c>
      <c r="AB842" s="450">
        <v>103.42</v>
      </c>
      <c r="AC842" s="450">
        <v>103.64</v>
      </c>
      <c r="AD842" s="450">
        <v>103.86</v>
      </c>
      <c r="AE842" s="450">
        <v>104.07</v>
      </c>
      <c r="AF842" s="450">
        <v>104.28</v>
      </c>
      <c r="AG842" s="450">
        <v>104.47</v>
      </c>
      <c r="AH842" s="450">
        <v>105.3</v>
      </c>
      <c r="AI842" s="450">
        <v>105.85</v>
      </c>
      <c r="AJ842" s="450">
        <v>106.11</v>
      </c>
      <c r="AK842" s="450">
        <v>106.15</v>
      </c>
      <c r="AL842" s="450">
        <v>106.08</v>
      </c>
      <c r="AM842" s="133"/>
      <c r="AN842" s="134">
        <v>45</v>
      </c>
      <c r="AO842" s="450">
        <v>103.33</v>
      </c>
      <c r="AP842" s="450">
        <v>103.59</v>
      </c>
      <c r="AQ842" s="450">
        <v>103.84</v>
      </c>
      <c r="AR842" s="450">
        <v>104.09</v>
      </c>
      <c r="AS842" s="450">
        <v>104.33</v>
      </c>
      <c r="AT842" s="450">
        <v>104.58</v>
      </c>
      <c r="AU842" s="450">
        <v>104.81</v>
      </c>
      <c r="AV842" s="450">
        <v>105.05</v>
      </c>
      <c r="AW842" s="450">
        <v>105.27</v>
      </c>
      <c r="AX842" s="450">
        <v>105.49</v>
      </c>
      <c r="AY842" s="450">
        <v>105.7</v>
      </c>
      <c r="AZ842" s="450">
        <v>105.9</v>
      </c>
      <c r="BA842" s="450">
        <v>106.76</v>
      </c>
      <c r="BB842" s="450">
        <v>107.32</v>
      </c>
      <c r="BC842" s="450">
        <v>107.6</v>
      </c>
      <c r="BD842" s="450">
        <v>107.64</v>
      </c>
      <c r="BE842" s="450">
        <v>107.57</v>
      </c>
    </row>
    <row r="843" spans="2:57" x14ac:dyDescent="0.25">
      <c r="B843" s="134">
        <v>46</v>
      </c>
      <c r="C843" s="450">
        <v>101.22</v>
      </c>
      <c r="D843" s="450">
        <v>101.48</v>
      </c>
      <c r="E843" s="450">
        <v>101.73</v>
      </c>
      <c r="F843" s="450">
        <v>101.98</v>
      </c>
      <c r="G843" s="450">
        <v>102.22</v>
      </c>
      <c r="H843" s="450">
        <v>102.46</v>
      </c>
      <c r="I843" s="450">
        <v>102.69</v>
      </c>
      <c r="J843" s="450">
        <v>102.92</v>
      </c>
      <c r="K843" s="450">
        <v>103.14</v>
      </c>
      <c r="L843" s="450">
        <v>103.35</v>
      </c>
      <c r="M843" s="450">
        <v>103.55</v>
      </c>
      <c r="N843" s="450">
        <v>103.75</v>
      </c>
      <c r="O843" s="450">
        <v>104.56</v>
      </c>
      <c r="P843" s="450">
        <v>105.07</v>
      </c>
      <c r="Q843" s="450">
        <v>105.28</v>
      </c>
      <c r="R843" s="450">
        <v>105.28</v>
      </c>
      <c r="S843" s="450">
        <v>105.19</v>
      </c>
      <c r="T843" s="133"/>
      <c r="U843" s="134">
        <v>46</v>
      </c>
      <c r="V843" s="450">
        <v>102.49</v>
      </c>
      <c r="W843" s="450">
        <v>102.75</v>
      </c>
      <c r="X843" s="450">
        <v>103.01</v>
      </c>
      <c r="Y843" s="450">
        <v>103.26</v>
      </c>
      <c r="Z843" s="450">
        <v>103.51</v>
      </c>
      <c r="AA843" s="450">
        <v>103.76</v>
      </c>
      <c r="AB843" s="450">
        <v>104</v>
      </c>
      <c r="AC843" s="450">
        <v>104.23</v>
      </c>
      <c r="AD843" s="450">
        <v>104.46</v>
      </c>
      <c r="AE843" s="450">
        <v>104.68</v>
      </c>
      <c r="AF843" s="450">
        <v>104.89</v>
      </c>
      <c r="AG843" s="450">
        <v>105.09</v>
      </c>
      <c r="AH843" s="450">
        <v>105.93</v>
      </c>
      <c r="AI843" s="450">
        <v>106.45</v>
      </c>
      <c r="AJ843" s="450">
        <v>106.69</v>
      </c>
      <c r="AK843" s="450">
        <v>106.7</v>
      </c>
      <c r="AL843" s="450">
        <v>106.61</v>
      </c>
      <c r="AM843" s="133"/>
      <c r="AN843" s="134">
        <v>46</v>
      </c>
      <c r="AO843" s="450">
        <v>103.86</v>
      </c>
      <c r="AP843" s="450">
        <v>104.13</v>
      </c>
      <c r="AQ843" s="450">
        <v>104.39</v>
      </c>
      <c r="AR843" s="450">
        <v>104.66</v>
      </c>
      <c r="AS843" s="450">
        <v>104.91</v>
      </c>
      <c r="AT843" s="450">
        <v>105.17</v>
      </c>
      <c r="AU843" s="450">
        <v>105.41</v>
      </c>
      <c r="AV843" s="450">
        <v>105.65</v>
      </c>
      <c r="AW843" s="450">
        <v>105.89</v>
      </c>
      <c r="AX843" s="450">
        <v>106.11</v>
      </c>
      <c r="AY843" s="450">
        <v>106.33</v>
      </c>
      <c r="AZ843" s="450">
        <v>106.54</v>
      </c>
      <c r="BA843" s="450">
        <v>107.4</v>
      </c>
      <c r="BB843" s="450">
        <v>107.95</v>
      </c>
      <c r="BC843" s="450">
        <v>108.19</v>
      </c>
      <c r="BD843" s="450">
        <v>108.2</v>
      </c>
      <c r="BE843" s="450">
        <v>108.11</v>
      </c>
    </row>
    <row r="844" spans="2:57" x14ac:dyDescent="0.25">
      <c r="B844" s="134">
        <v>47</v>
      </c>
      <c r="C844" s="450">
        <v>101.75</v>
      </c>
      <c r="D844" s="450">
        <v>102.02</v>
      </c>
      <c r="E844" s="450">
        <v>102.28</v>
      </c>
      <c r="F844" s="450">
        <v>102.54</v>
      </c>
      <c r="G844" s="450">
        <v>102.79</v>
      </c>
      <c r="H844" s="450">
        <v>103.04</v>
      </c>
      <c r="I844" s="450">
        <v>103.28</v>
      </c>
      <c r="J844" s="450">
        <v>103.52</v>
      </c>
      <c r="K844" s="450">
        <v>103.74</v>
      </c>
      <c r="L844" s="450">
        <v>103.96</v>
      </c>
      <c r="M844" s="450">
        <v>104.17</v>
      </c>
      <c r="N844" s="450">
        <v>104.37</v>
      </c>
      <c r="O844" s="450">
        <v>105.19</v>
      </c>
      <c r="P844" s="450">
        <v>105.67</v>
      </c>
      <c r="Q844" s="450">
        <v>105.85</v>
      </c>
      <c r="R844" s="450">
        <v>105.82</v>
      </c>
      <c r="S844" s="450">
        <v>105.7</v>
      </c>
      <c r="T844" s="133"/>
      <c r="U844" s="134">
        <v>47</v>
      </c>
      <c r="V844" s="450">
        <v>103.03</v>
      </c>
      <c r="W844" s="450">
        <v>103.31</v>
      </c>
      <c r="X844" s="450">
        <v>103.57</v>
      </c>
      <c r="Y844" s="450">
        <v>103.84</v>
      </c>
      <c r="Z844" s="450">
        <v>104.1</v>
      </c>
      <c r="AA844" s="450">
        <v>104.36</v>
      </c>
      <c r="AB844" s="450">
        <v>104.61</v>
      </c>
      <c r="AC844" s="450">
        <v>104.85</v>
      </c>
      <c r="AD844" s="450">
        <v>105.08</v>
      </c>
      <c r="AE844" s="450">
        <v>105.31</v>
      </c>
      <c r="AF844" s="450">
        <v>105.52</v>
      </c>
      <c r="AG844" s="450">
        <v>105.73</v>
      </c>
      <c r="AH844" s="450">
        <v>106.57</v>
      </c>
      <c r="AI844" s="450">
        <v>107.08</v>
      </c>
      <c r="AJ844" s="450">
        <v>107.27</v>
      </c>
      <c r="AK844" s="450">
        <v>107.25</v>
      </c>
      <c r="AL844" s="450">
        <v>107.14</v>
      </c>
      <c r="AM844" s="133"/>
      <c r="AN844" s="134">
        <v>47</v>
      </c>
      <c r="AO844" s="450">
        <v>104.42</v>
      </c>
      <c r="AP844" s="450">
        <v>104.7</v>
      </c>
      <c r="AQ844" s="450">
        <v>104.98</v>
      </c>
      <c r="AR844" s="450">
        <v>105.25</v>
      </c>
      <c r="AS844" s="450">
        <v>105.52</v>
      </c>
      <c r="AT844" s="450">
        <v>105.78</v>
      </c>
      <c r="AU844" s="450">
        <v>106.04</v>
      </c>
      <c r="AV844" s="450">
        <v>106.29</v>
      </c>
      <c r="AW844" s="450">
        <v>106.53</v>
      </c>
      <c r="AX844" s="450">
        <v>106.76</v>
      </c>
      <c r="AY844" s="450">
        <v>106.99</v>
      </c>
      <c r="AZ844" s="450">
        <v>107.2</v>
      </c>
      <c r="BA844" s="450">
        <v>108.07</v>
      </c>
      <c r="BB844" s="450">
        <v>108.6</v>
      </c>
      <c r="BC844" s="450">
        <v>108.8</v>
      </c>
      <c r="BD844" s="450">
        <v>108.78</v>
      </c>
      <c r="BE844" s="450">
        <v>108.66</v>
      </c>
    </row>
    <row r="845" spans="2:57" x14ac:dyDescent="0.25">
      <c r="B845" s="134">
        <v>48</v>
      </c>
      <c r="C845" s="450">
        <v>102.3</v>
      </c>
      <c r="D845" s="450">
        <v>102.58</v>
      </c>
      <c r="E845" s="450">
        <v>102.85</v>
      </c>
      <c r="F845" s="450">
        <v>103.12</v>
      </c>
      <c r="G845" s="450">
        <v>103.39</v>
      </c>
      <c r="H845" s="450">
        <v>103.64</v>
      </c>
      <c r="I845" s="450">
        <v>103.9</v>
      </c>
      <c r="J845" s="450">
        <v>104.14</v>
      </c>
      <c r="K845" s="450">
        <v>104.38</v>
      </c>
      <c r="L845" s="450">
        <v>104.6</v>
      </c>
      <c r="M845" s="450">
        <v>104.81</v>
      </c>
      <c r="N845" s="450">
        <v>105.02</v>
      </c>
      <c r="O845" s="450">
        <v>105.83</v>
      </c>
      <c r="P845" s="450">
        <v>106.28</v>
      </c>
      <c r="Q845" s="450">
        <v>106.42</v>
      </c>
      <c r="R845" s="450">
        <v>106.37</v>
      </c>
      <c r="S845" s="450">
        <v>106.22</v>
      </c>
      <c r="T845" s="133"/>
      <c r="U845" s="134">
        <v>48</v>
      </c>
      <c r="V845" s="450">
        <v>103.6</v>
      </c>
      <c r="W845" s="450">
        <v>103.88</v>
      </c>
      <c r="X845" s="450">
        <v>104.16</v>
      </c>
      <c r="Y845" s="450">
        <v>104.44</v>
      </c>
      <c r="Z845" s="450">
        <v>104.71</v>
      </c>
      <c r="AA845" s="450">
        <v>104.98</v>
      </c>
      <c r="AB845" s="450">
        <v>105.24</v>
      </c>
      <c r="AC845" s="450">
        <v>105.49</v>
      </c>
      <c r="AD845" s="450">
        <v>105.73</v>
      </c>
      <c r="AE845" s="450">
        <v>105.96</v>
      </c>
      <c r="AF845" s="450">
        <v>106.18</v>
      </c>
      <c r="AG845" s="450">
        <v>106.39</v>
      </c>
      <c r="AH845" s="450">
        <v>107.23</v>
      </c>
      <c r="AI845" s="450">
        <v>107.71</v>
      </c>
      <c r="AJ845" s="450">
        <v>107.87</v>
      </c>
      <c r="AK845" s="450">
        <v>107.82</v>
      </c>
      <c r="AL845" s="450">
        <v>107.68</v>
      </c>
      <c r="AM845" s="133"/>
      <c r="AN845" s="134">
        <v>48</v>
      </c>
      <c r="AO845" s="450">
        <v>105</v>
      </c>
      <c r="AP845" s="450">
        <v>105.29</v>
      </c>
      <c r="AQ845" s="450">
        <v>105.58</v>
      </c>
      <c r="AR845" s="450">
        <v>105.87</v>
      </c>
      <c r="AS845" s="450">
        <v>106.15</v>
      </c>
      <c r="AT845" s="450">
        <v>106.42</v>
      </c>
      <c r="AU845" s="450">
        <v>106.69</v>
      </c>
      <c r="AV845" s="450">
        <v>106.95</v>
      </c>
      <c r="AW845" s="450">
        <v>107.2</v>
      </c>
      <c r="AX845" s="450">
        <v>107.44</v>
      </c>
      <c r="AY845" s="450">
        <v>107.67</v>
      </c>
      <c r="AZ845" s="450">
        <v>107.88</v>
      </c>
      <c r="BA845" s="450">
        <v>108.76</v>
      </c>
      <c r="BB845" s="450">
        <v>109.25</v>
      </c>
      <c r="BC845" s="450">
        <v>109.41</v>
      </c>
      <c r="BD845" s="450">
        <v>109.36</v>
      </c>
      <c r="BE845" s="450">
        <v>109.22</v>
      </c>
    </row>
    <row r="846" spans="2:57" x14ac:dyDescent="0.25">
      <c r="B846" s="134">
        <v>49</v>
      </c>
      <c r="C846" s="450">
        <v>102.88</v>
      </c>
      <c r="D846" s="450">
        <v>103.17</v>
      </c>
      <c r="E846" s="450">
        <v>103.45</v>
      </c>
      <c r="F846" s="450">
        <v>103.73</v>
      </c>
      <c r="G846" s="450">
        <v>104.01</v>
      </c>
      <c r="H846" s="450">
        <v>104.28</v>
      </c>
      <c r="I846" s="450">
        <v>104.54</v>
      </c>
      <c r="J846" s="450">
        <v>104.79</v>
      </c>
      <c r="K846" s="450">
        <v>105.03</v>
      </c>
      <c r="L846" s="450">
        <v>105.26</v>
      </c>
      <c r="M846" s="450">
        <v>105.48</v>
      </c>
      <c r="N846" s="450">
        <v>105.68</v>
      </c>
      <c r="O846" s="450">
        <v>106.48</v>
      </c>
      <c r="P846" s="450">
        <v>106.91</v>
      </c>
      <c r="Q846" s="450">
        <v>107</v>
      </c>
      <c r="R846" s="450">
        <v>106.92</v>
      </c>
      <c r="S846" s="450">
        <v>106.76</v>
      </c>
      <c r="T846" s="133"/>
      <c r="U846" s="134">
        <v>49</v>
      </c>
      <c r="V846" s="450">
        <v>104.19</v>
      </c>
      <c r="W846" s="450">
        <v>104.49</v>
      </c>
      <c r="X846" s="450">
        <v>104.78</v>
      </c>
      <c r="Y846" s="450">
        <v>105.07</v>
      </c>
      <c r="Z846" s="450">
        <v>105.35</v>
      </c>
      <c r="AA846" s="450">
        <v>105.63</v>
      </c>
      <c r="AB846" s="450">
        <v>105.9</v>
      </c>
      <c r="AC846" s="450">
        <v>106.16</v>
      </c>
      <c r="AD846" s="450">
        <v>106.41</v>
      </c>
      <c r="AE846" s="450">
        <v>106.64</v>
      </c>
      <c r="AF846" s="450">
        <v>106.87</v>
      </c>
      <c r="AG846" s="450">
        <v>107.08</v>
      </c>
      <c r="AH846" s="450">
        <v>107.91</v>
      </c>
      <c r="AI846" s="450">
        <v>108.36</v>
      </c>
      <c r="AJ846" s="450">
        <v>108.47</v>
      </c>
      <c r="AK846" s="450">
        <v>108.4</v>
      </c>
      <c r="AL846" s="450">
        <v>108.24</v>
      </c>
      <c r="AM846" s="133"/>
      <c r="AN846" s="134">
        <v>49</v>
      </c>
      <c r="AO846" s="450">
        <v>105.61</v>
      </c>
      <c r="AP846" s="450">
        <v>105.92</v>
      </c>
      <c r="AQ846" s="450">
        <v>106.22</v>
      </c>
      <c r="AR846" s="450">
        <v>106.52</v>
      </c>
      <c r="AS846" s="450">
        <v>106.81</v>
      </c>
      <c r="AT846" s="450">
        <v>107.1</v>
      </c>
      <c r="AU846" s="450">
        <v>107.37</v>
      </c>
      <c r="AV846" s="450">
        <v>107.64</v>
      </c>
      <c r="AW846" s="450">
        <v>107.9</v>
      </c>
      <c r="AX846" s="450">
        <v>108.14</v>
      </c>
      <c r="AY846" s="450">
        <v>108.37</v>
      </c>
      <c r="AZ846" s="450">
        <v>108.59</v>
      </c>
      <c r="BA846" s="450">
        <v>109.46</v>
      </c>
      <c r="BB846" s="450">
        <v>109.92</v>
      </c>
      <c r="BC846" s="450">
        <v>110.04</v>
      </c>
      <c r="BD846" s="450">
        <v>109.96</v>
      </c>
      <c r="BE846" s="450">
        <v>109.79</v>
      </c>
    </row>
    <row r="847" spans="2:57" x14ac:dyDescent="0.25">
      <c r="B847" s="134">
        <v>50</v>
      </c>
      <c r="C847" s="450">
        <v>103.48</v>
      </c>
      <c r="D847" s="450">
        <v>103.78</v>
      </c>
      <c r="E847" s="450">
        <v>104.08</v>
      </c>
      <c r="F847" s="450">
        <v>104.37</v>
      </c>
      <c r="G847" s="450">
        <v>104.66</v>
      </c>
      <c r="H847" s="450">
        <v>104.94</v>
      </c>
      <c r="I847" s="450">
        <v>105.2</v>
      </c>
      <c r="J847" s="450">
        <v>105.46</v>
      </c>
      <c r="K847" s="450">
        <v>105.71</v>
      </c>
      <c r="L847" s="450">
        <v>105.94</v>
      </c>
      <c r="M847" s="450">
        <v>106.16</v>
      </c>
      <c r="N847" s="450">
        <v>106.37</v>
      </c>
      <c r="O847" s="450">
        <v>107.16</v>
      </c>
      <c r="P847" s="450">
        <v>107.54</v>
      </c>
      <c r="Q847" s="450">
        <v>107.6</v>
      </c>
      <c r="R847" s="450">
        <v>107.48</v>
      </c>
      <c r="S847" s="450">
        <v>107.3</v>
      </c>
      <c r="T847" s="133"/>
      <c r="U847" s="134">
        <v>50</v>
      </c>
      <c r="V847" s="450">
        <v>104.81</v>
      </c>
      <c r="W847" s="450">
        <v>105.12</v>
      </c>
      <c r="X847" s="450">
        <v>105.43</v>
      </c>
      <c r="Y847" s="450">
        <v>105.73</v>
      </c>
      <c r="Z847" s="450">
        <v>106.02</v>
      </c>
      <c r="AA847" s="450">
        <v>106.31</v>
      </c>
      <c r="AB847" s="450">
        <v>106.58</v>
      </c>
      <c r="AC847" s="450">
        <v>106.85</v>
      </c>
      <c r="AD847" s="450">
        <v>107.11</v>
      </c>
      <c r="AE847" s="450">
        <v>107.35</v>
      </c>
      <c r="AF847" s="450">
        <v>107.58</v>
      </c>
      <c r="AG847" s="450">
        <v>107.79</v>
      </c>
      <c r="AH847" s="450">
        <v>108.61</v>
      </c>
      <c r="AI847" s="450">
        <v>109.02</v>
      </c>
      <c r="AJ847" s="450">
        <v>109.09</v>
      </c>
      <c r="AK847" s="450">
        <v>108.98</v>
      </c>
      <c r="AL847" s="450">
        <v>108.8</v>
      </c>
      <c r="AM847" s="133"/>
      <c r="AN847" s="134">
        <v>50</v>
      </c>
      <c r="AO847" s="450">
        <v>106.25</v>
      </c>
      <c r="AP847" s="450">
        <v>106.57</v>
      </c>
      <c r="AQ847" s="450">
        <v>106.88</v>
      </c>
      <c r="AR847" s="450">
        <v>107.2</v>
      </c>
      <c r="AS847" s="450">
        <v>107.5</v>
      </c>
      <c r="AT847" s="450">
        <v>107.79</v>
      </c>
      <c r="AU847" s="450">
        <v>108.08</v>
      </c>
      <c r="AV847" s="450">
        <v>108.36</v>
      </c>
      <c r="AW847" s="450">
        <v>108.62</v>
      </c>
      <c r="AX847" s="450">
        <v>108.87</v>
      </c>
      <c r="AY847" s="450">
        <v>109.11</v>
      </c>
      <c r="AZ847" s="450">
        <v>109.33</v>
      </c>
      <c r="BA847" s="450">
        <v>110.18</v>
      </c>
      <c r="BB847" s="450">
        <v>110.6</v>
      </c>
      <c r="BC847" s="450">
        <v>110.68</v>
      </c>
      <c r="BD847" s="450">
        <v>110.56</v>
      </c>
      <c r="BE847" s="450">
        <v>110.37</v>
      </c>
    </row>
    <row r="848" spans="2:57" x14ac:dyDescent="0.25">
      <c r="B848" s="134">
        <v>51</v>
      </c>
      <c r="C848" s="450">
        <v>104.11</v>
      </c>
      <c r="D848" s="450">
        <v>104.42</v>
      </c>
      <c r="E848" s="450">
        <v>104.73</v>
      </c>
      <c r="F848" s="450">
        <v>105.04</v>
      </c>
      <c r="G848" s="450">
        <v>105.33</v>
      </c>
      <c r="H848" s="450">
        <v>105.62</v>
      </c>
      <c r="I848" s="450">
        <v>105.9</v>
      </c>
      <c r="J848" s="450">
        <v>106.16</v>
      </c>
      <c r="K848" s="450">
        <v>106.41</v>
      </c>
      <c r="L848" s="450">
        <v>106.65</v>
      </c>
      <c r="M848" s="450">
        <v>106.87</v>
      </c>
      <c r="N848" s="450">
        <v>107.07</v>
      </c>
      <c r="O848" s="450">
        <v>107.84</v>
      </c>
      <c r="P848" s="450">
        <v>108.18</v>
      </c>
      <c r="Q848" s="450">
        <v>108.19</v>
      </c>
      <c r="R848" s="450">
        <v>108.05</v>
      </c>
      <c r="S848" s="450">
        <v>107.84</v>
      </c>
      <c r="T848" s="133"/>
      <c r="U848" s="134">
        <v>51</v>
      </c>
      <c r="V848" s="450">
        <v>105.46</v>
      </c>
      <c r="W848" s="450">
        <v>105.78</v>
      </c>
      <c r="X848" s="450">
        <v>106.1</v>
      </c>
      <c r="Y848" s="450">
        <v>106.41</v>
      </c>
      <c r="Z848" s="450">
        <v>106.72</v>
      </c>
      <c r="AA848" s="450">
        <v>107.01</v>
      </c>
      <c r="AB848" s="450">
        <v>107.3</v>
      </c>
      <c r="AC848" s="450">
        <v>107.57</v>
      </c>
      <c r="AD848" s="450">
        <v>107.83</v>
      </c>
      <c r="AE848" s="450">
        <v>108.08</v>
      </c>
      <c r="AF848" s="450">
        <v>108.31</v>
      </c>
      <c r="AG848" s="450">
        <v>108.52</v>
      </c>
      <c r="AH848" s="450">
        <v>109.32</v>
      </c>
      <c r="AI848" s="450">
        <v>109.68</v>
      </c>
      <c r="AJ848" s="450">
        <v>109.71</v>
      </c>
      <c r="AK848" s="450">
        <v>109.57</v>
      </c>
      <c r="AL848" s="450">
        <v>109.37</v>
      </c>
      <c r="AM848" s="133"/>
      <c r="AN848" s="134">
        <v>51</v>
      </c>
      <c r="AO848" s="450">
        <v>106.91</v>
      </c>
      <c r="AP848" s="450">
        <v>107.25</v>
      </c>
      <c r="AQ848" s="450">
        <v>107.58</v>
      </c>
      <c r="AR848" s="450">
        <v>107.9</v>
      </c>
      <c r="AS848" s="450">
        <v>108.22</v>
      </c>
      <c r="AT848" s="450">
        <v>108.52</v>
      </c>
      <c r="AU848" s="450">
        <v>108.82</v>
      </c>
      <c r="AV848" s="450">
        <v>109.1</v>
      </c>
      <c r="AW848" s="450">
        <v>109.37</v>
      </c>
      <c r="AX848" s="450">
        <v>109.62</v>
      </c>
      <c r="AY848" s="450">
        <v>109.86</v>
      </c>
      <c r="AZ848" s="450">
        <v>110.08</v>
      </c>
      <c r="BA848" s="450">
        <v>110.91</v>
      </c>
      <c r="BB848" s="450">
        <v>111.29</v>
      </c>
      <c r="BC848" s="450">
        <v>111.32</v>
      </c>
      <c r="BD848" s="450">
        <v>111.17</v>
      </c>
      <c r="BE848" s="450">
        <v>110.96</v>
      </c>
    </row>
    <row r="849" spans="2:57" x14ac:dyDescent="0.25">
      <c r="B849" s="134">
        <v>52</v>
      </c>
      <c r="C849" s="450">
        <v>104.76</v>
      </c>
      <c r="D849" s="450">
        <v>105.09</v>
      </c>
      <c r="E849" s="450">
        <v>105.41</v>
      </c>
      <c r="F849" s="450">
        <v>105.73</v>
      </c>
      <c r="G849" s="450">
        <v>106.03</v>
      </c>
      <c r="H849" s="450">
        <v>106.33</v>
      </c>
      <c r="I849" s="450">
        <v>106.61</v>
      </c>
      <c r="J849" s="450">
        <v>106.88</v>
      </c>
      <c r="K849" s="450">
        <v>107.13</v>
      </c>
      <c r="L849" s="450">
        <v>107.37</v>
      </c>
      <c r="M849" s="450">
        <v>107.59</v>
      </c>
      <c r="N849" s="450">
        <v>107.8</v>
      </c>
      <c r="O849" s="450">
        <v>108.53</v>
      </c>
      <c r="P849" s="450">
        <v>108.82</v>
      </c>
      <c r="Q849" s="450">
        <v>108.79</v>
      </c>
      <c r="R849" s="450">
        <v>108.61</v>
      </c>
      <c r="S849" s="450">
        <v>108.4</v>
      </c>
      <c r="T849" s="133"/>
      <c r="U849" s="134">
        <v>52</v>
      </c>
      <c r="V849" s="450">
        <v>106.13</v>
      </c>
      <c r="W849" s="450">
        <v>106.47</v>
      </c>
      <c r="X849" s="450">
        <v>106.8</v>
      </c>
      <c r="Y849" s="450">
        <v>107.12</v>
      </c>
      <c r="Z849" s="450">
        <v>107.44</v>
      </c>
      <c r="AA849" s="450">
        <v>107.74</v>
      </c>
      <c r="AB849" s="450">
        <v>108.03</v>
      </c>
      <c r="AC849" s="450">
        <v>108.31</v>
      </c>
      <c r="AD849" s="450">
        <v>108.58</v>
      </c>
      <c r="AE849" s="450">
        <v>108.82</v>
      </c>
      <c r="AF849" s="450">
        <v>109.05</v>
      </c>
      <c r="AG849" s="450">
        <v>109.26</v>
      </c>
      <c r="AH849" s="450">
        <v>110.03</v>
      </c>
      <c r="AI849" s="450">
        <v>110.35</v>
      </c>
      <c r="AJ849" s="450">
        <v>110.33</v>
      </c>
      <c r="AK849" s="450">
        <v>110.17</v>
      </c>
      <c r="AL849" s="450">
        <v>109.95</v>
      </c>
      <c r="AM849" s="133"/>
      <c r="AN849" s="134">
        <v>52</v>
      </c>
      <c r="AO849" s="450">
        <v>107.61</v>
      </c>
      <c r="AP849" s="450">
        <v>107.96</v>
      </c>
      <c r="AQ849" s="450">
        <v>108.3</v>
      </c>
      <c r="AR849" s="450">
        <v>108.64</v>
      </c>
      <c r="AS849" s="450">
        <v>108.96</v>
      </c>
      <c r="AT849" s="450">
        <v>109.28</v>
      </c>
      <c r="AU849" s="450">
        <v>109.58</v>
      </c>
      <c r="AV849" s="450">
        <v>109.87</v>
      </c>
      <c r="AW849" s="450">
        <v>110.14</v>
      </c>
      <c r="AX849" s="450">
        <v>110.39</v>
      </c>
      <c r="AY849" s="450">
        <v>110.63</v>
      </c>
      <c r="AZ849" s="450">
        <v>110.85</v>
      </c>
      <c r="BA849" s="450">
        <v>111.65</v>
      </c>
      <c r="BB849" s="450">
        <v>111.98</v>
      </c>
      <c r="BC849" s="450">
        <v>111.96</v>
      </c>
      <c r="BD849" s="450">
        <v>111.78</v>
      </c>
      <c r="BE849" s="450">
        <v>111.55</v>
      </c>
    </row>
    <row r="850" spans="2:57" x14ac:dyDescent="0.25">
      <c r="B850" s="134">
        <v>53</v>
      </c>
      <c r="C850" s="450">
        <v>105.45</v>
      </c>
      <c r="D850" s="450">
        <v>105.79</v>
      </c>
      <c r="E850" s="450">
        <v>106.12</v>
      </c>
      <c r="F850" s="450">
        <v>106.44</v>
      </c>
      <c r="G850" s="450">
        <v>106.76</v>
      </c>
      <c r="H850" s="450">
        <v>107.06</v>
      </c>
      <c r="I850" s="450">
        <v>107.35</v>
      </c>
      <c r="J850" s="450">
        <v>107.62</v>
      </c>
      <c r="K850" s="450">
        <v>107.87</v>
      </c>
      <c r="L850" s="450">
        <v>108.11</v>
      </c>
      <c r="M850" s="450">
        <v>108.33</v>
      </c>
      <c r="N850" s="450">
        <v>108.53</v>
      </c>
      <c r="O850" s="450">
        <v>109.22</v>
      </c>
      <c r="P850" s="450">
        <v>109.45</v>
      </c>
      <c r="Q850" s="450">
        <v>109.38</v>
      </c>
      <c r="R850" s="450">
        <v>109.18</v>
      </c>
      <c r="S850" s="450">
        <v>108.95</v>
      </c>
      <c r="T850" s="133"/>
      <c r="U850" s="134">
        <v>53</v>
      </c>
      <c r="V850" s="450">
        <v>106.83</v>
      </c>
      <c r="W850" s="450">
        <v>107.18</v>
      </c>
      <c r="X850" s="450">
        <v>107.53</v>
      </c>
      <c r="Y850" s="450">
        <v>107.86</v>
      </c>
      <c r="Z850" s="450">
        <v>108.19</v>
      </c>
      <c r="AA850" s="450">
        <v>108.5</v>
      </c>
      <c r="AB850" s="450">
        <v>108.79</v>
      </c>
      <c r="AC850" s="450">
        <v>109.08</v>
      </c>
      <c r="AD850" s="450">
        <v>109.34</v>
      </c>
      <c r="AE850" s="450">
        <v>109.59</v>
      </c>
      <c r="AF850" s="450">
        <v>109.82</v>
      </c>
      <c r="AG850" s="450">
        <v>110.02</v>
      </c>
      <c r="AH850" s="450">
        <v>110.76</v>
      </c>
      <c r="AI850" s="450">
        <v>111.01</v>
      </c>
      <c r="AJ850" s="450">
        <v>110.96</v>
      </c>
      <c r="AK850" s="450">
        <v>110.76</v>
      </c>
      <c r="AL850" s="450">
        <v>110.53</v>
      </c>
      <c r="AM850" s="133"/>
      <c r="AN850" s="134">
        <v>53</v>
      </c>
      <c r="AO850" s="450">
        <v>108.34</v>
      </c>
      <c r="AP850" s="450">
        <v>108.7</v>
      </c>
      <c r="AQ850" s="450">
        <v>109.05</v>
      </c>
      <c r="AR850" s="450">
        <v>109.4</v>
      </c>
      <c r="AS850" s="450">
        <v>109.73</v>
      </c>
      <c r="AT850" s="450">
        <v>110.06</v>
      </c>
      <c r="AU850" s="450">
        <v>110.36</v>
      </c>
      <c r="AV850" s="450">
        <v>110.66</v>
      </c>
      <c r="AW850" s="450">
        <v>110.93</v>
      </c>
      <c r="AX850" s="450">
        <v>111.19</v>
      </c>
      <c r="AY850" s="450">
        <v>111.42</v>
      </c>
      <c r="AZ850" s="450">
        <v>111.64</v>
      </c>
      <c r="BA850" s="450">
        <v>112.4</v>
      </c>
      <c r="BB850" s="450">
        <v>112.66</v>
      </c>
      <c r="BC850" s="450">
        <v>112.61</v>
      </c>
      <c r="BD850" s="450">
        <v>112.39</v>
      </c>
      <c r="BE850" s="450">
        <v>112.15</v>
      </c>
    </row>
    <row r="851" spans="2:57" x14ac:dyDescent="0.25">
      <c r="B851" s="134">
        <v>54</v>
      </c>
      <c r="C851" s="450">
        <v>106.15</v>
      </c>
      <c r="D851" s="450">
        <v>106.51</v>
      </c>
      <c r="E851" s="450">
        <v>106.85</v>
      </c>
      <c r="F851" s="450">
        <v>107.18</v>
      </c>
      <c r="G851" s="450">
        <v>107.5</v>
      </c>
      <c r="H851" s="450">
        <v>107.81</v>
      </c>
      <c r="I851" s="450">
        <v>108.1</v>
      </c>
      <c r="J851" s="450">
        <v>108.37</v>
      </c>
      <c r="K851" s="450">
        <v>108.63</v>
      </c>
      <c r="L851" s="450">
        <v>108.86</v>
      </c>
      <c r="M851" s="450">
        <v>109.08</v>
      </c>
      <c r="N851" s="450">
        <v>109.27</v>
      </c>
      <c r="O851" s="450">
        <v>109.92</v>
      </c>
      <c r="P851" s="450">
        <v>110.08</v>
      </c>
      <c r="Q851" s="450">
        <v>109.97</v>
      </c>
      <c r="R851" s="450">
        <v>109.73</v>
      </c>
      <c r="S851" s="450">
        <v>109.48</v>
      </c>
      <c r="T851" s="133"/>
      <c r="U851" s="134">
        <v>54</v>
      </c>
      <c r="V851" s="450">
        <v>107.56</v>
      </c>
      <c r="W851" s="450">
        <v>107.93</v>
      </c>
      <c r="X851" s="450">
        <v>108.28</v>
      </c>
      <c r="Y851" s="450">
        <v>108.62</v>
      </c>
      <c r="Z851" s="450">
        <v>108.96</v>
      </c>
      <c r="AA851" s="450">
        <v>109.27</v>
      </c>
      <c r="AB851" s="450">
        <v>109.58</v>
      </c>
      <c r="AC851" s="450">
        <v>109.86</v>
      </c>
      <c r="AD851" s="450">
        <v>110.12</v>
      </c>
      <c r="AE851" s="450">
        <v>110.37</v>
      </c>
      <c r="AF851" s="450">
        <v>110.59</v>
      </c>
      <c r="AG851" s="450">
        <v>110.79</v>
      </c>
      <c r="AH851" s="450">
        <v>111.48</v>
      </c>
      <c r="AI851" s="450">
        <v>111.67</v>
      </c>
      <c r="AJ851" s="450">
        <v>111.57</v>
      </c>
      <c r="AK851" s="450">
        <v>111.34</v>
      </c>
      <c r="AL851" s="450">
        <v>111.09</v>
      </c>
      <c r="AM851" s="133"/>
      <c r="AN851" s="134">
        <v>54</v>
      </c>
      <c r="AO851" s="450">
        <v>109.09</v>
      </c>
      <c r="AP851" s="450">
        <v>109.47</v>
      </c>
      <c r="AQ851" s="450">
        <v>109.83</v>
      </c>
      <c r="AR851" s="450">
        <v>110.19</v>
      </c>
      <c r="AS851" s="450">
        <v>110.53</v>
      </c>
      <c r="AT851" s="450">
        <v>110.86</v>
      </c>
      <c r="AU851" s="450">
        <v>111.17</v>
      </c>
      <c r="AV851" s="450">
        <v>111.46</v>
      </c>
      <c r="AW851" s="450">
        <v>111.74</v>
      </c>
      <c r="AX851" s="450">
        <v>111.99</v>
      </c>
      <c r="AY851" s="450">
        <v>112.22</v>
      </c>
      <c r="AZ851" s="450">
        <v>112.43</v>
      </c>
      <c r="BA851" s="450">
        <v>113.15</v>
      </c>
      <c r="BB851" s="450">
        <v>113.34</v>
      </c>
      <c r="BC851" s="450">
        <v>113.24</v>
      </c>
      <c r="BD851" s="450">
        <v>112.99</v>
      </c>
      <c r="BE851" s="450">
        <v>112.73</v>
      </c>
    </row>
    <row r="852" spans="2:57" x14ac:dyDescent="0.25">
      <c r="B852" s="134">
        <v>55</v>
      </c>
      <c r="C852" s="450">
        <v>106.89</v>
      </c>
      <c r="D852" s="450">
        <v>107.25</v>
      </c>
      <c r="E852" s="450">
        <v>107.6</v>
      </c>
      <c r="F852" s="450">
        <v>107.94</v>
      </c>
      <c r="G852" s="450">
        <v>108.27</v>
      </c>
      <c r="H852" s="450">
        <v>108.58</v>
      </c>
      <c r="I852" s="450">
        <v>108.87</v>
      </c>
      <c r="J852" s="450">
        <v>109.14</v>
      </c>
      <c r="K852" s="450">
        <v>109.39</v>
      </c>
      <c r="L852" s="450">
        <v>109.62</v>
      </c>
      <c r="M852" s="450">
        <v>109.83</v>
      </c>
      <c r="N852" s="450">
        <v>110.01</v>
      </c>
      <c r="O852" s="450">
        <v>110.6</v>
      </c>
      <c r="P852" s="450">
        <v>110.69</v>
      </c>
      <c r="Q852" s="450">
        <v>110.53</v>
      </c>
      <c r="R852" s="450">
        <v>110.26</v>
      </c>
      <c r="S852" s="450">
        <v>110</v>
      </c>
      <c r="T852" s="133"/>
      <c r="U852" s="134">
        <v>55</v>
      </c>
      <c r="V852" s="450">
        <v>108.32</v>
      </c>
      <c r="W852" s="450">
        <v>108.69</v>
      </c>
      <c r="X852" s="450">
        <v>109.06</v>
      </c>
      <c r="Y852" s="450">
        <v>109.41</v>
      </c>
      <c r="Z852" s="450">
        <v>109.75</v>
      </c>
      <c r="AA852" s="450">
        <v>110.07</v>
      </c>
      <c r="AB852" s="450">
        <v>110.37</v>
      </c>
      <c r="AC852" s="450">
        <v>110.65</v>
      </c>
      <c r="AD852" s="450">
        <v>110.92</v>
      </c>
      <c r="AE852" s="450">
        <v>111.16</v>
      </c>
      <c r="AF852" s="450">
        <v>111.37</v>
      </c>
      <c r="AG852" s="450">
        <v>111.56</v>
      </c>
      <c r="AH852" s="450">
        <v>112.19</v>
      </c>
      <c r="AI852" s="450">
        <v>112.31</v>
      </c>
      <c r="AJ852" s="450">
        <v>112.16</v>
      </c>
      <c r="AK852" s="450">
        <v>111.9</v>
      </c>
      <c r="AL852" s="450">
        <v>111.64</v>
      </c>
      <c r="AM852" s="133"/>
      <c r="AN852" s="134">
        <v>55</v>
      </c>
      <c r="AO852" s="450">
        <v>109.87</v>
      </c>
      <c r="AP852" s="450">
        <v>110.26</v>
      </c>
      <c r="AQ852" s="450">
        <v>110.63</v>
      </c>
      <c r="AR852" s="450">
        <v>111</v>
      </c>
      <c r="AS852" s="450">
        <v>111.35</v>
      </c>
      <c r="AT852" s="450">
        <v>111.68</v>
      </c>
      <c r="AU852" s="450">
        <v>111.99</v>
      </c>
      <c r="AV852" s="450">
        <v>112.29</v>
      </c>
      <c r="AW852" s="450">
        <v>112.56</v>
      </c>
      <c r="AX852" s="450">
        <v>112.81</v>
      </c>
      <c r="AY852" s="450">
        <v>113.03</v>
      </c>
      <c r="AZ852" s="450">
        <v>113.23</v>
      </c>
      <c r="BA852" s="450">
        <v>113.88</v>
      </c>
      <c r="BB852" s="450">
        <v>114.01</v>
      </c>
      <c r="BC852" s="450">
        <v>113.85</v>
      </c>
      <c r="BD852" s="450">
        <v>113.57</v>
      </c>
      <c r="BE852" s="450">
        <v>113.29</v>
      </c>
    </row>
    <row r="853" spans="2:57" x14ac:dyDescent="0.25">
      <c r="B853" s="134">
        <v>56</v>
      </c>
      <c r="C853" s="450">
        <v>107.64</v>
      </c>
      <c r="D853" s="450">
        <v>108.01</v>
      </c>
      <c r="E853" s="450">
        <v>108.37</v>
      </c>
      <c r="F853" s="450">
        <v>108.72</v>
      </c>
      <c r="G853" s="450">
        <v>109.05</v>
      </c>
      <c r="H853" s="450">
        <v>109.36</v>
      </c>
      <c r="I853" s="450">
        <v>109.65</v>
      </c>
      <c r="J853" s="450">
        <v>109.91</v>
      </c>
      <c r="K853" s="450">
        <v>110.16</v>
      </c>
      <c r="L853" s="450">
        <v>110.38</v>
      </c>
      <c r="M853" s="450">
        <v>110.57</v>
      </c>
      <c r="N853" s="450">
        <v>110.74</v>
      </c>
      <c r="O853" s="450">
        <v>111.25</v>
      </c>
      <c r="P853" s="450">
        <v>111.28</v>
      </c>
      <c r="Q853" s="450">
        <v>111.06</v>
      </c>
      <c r="R853" s="450">
        <v>110.76</v>
      </c>
      <c r="S853" s="450">
        <v>110.43</v>
      </c>
      <c r="T853" s="133"/>
      <c r="U853" s="134">
        <v>56</v>
      </c>
      <c r="V853" s="450">
        <v>109.1</v>
      </c>
      <c r="W853" s="450">
        <v>109.48</v>
      </c>
      <c r="X853" s="450">
        <v>109.86</v>
      </c>
      <c r="Y853" s="450">
        <v>110.21</v>
      </c>
      <c r="Z853" s="450">
        <v>110.55</v>
      </c>
      <c r="AA853" s="450">
        <v>110.88</v>
      </c>
      <c r="AB853" s="450">
        <v>111.18</v>
      </c>
      <c r="AC853" s="450">
        <v>111.46</v>
      </c>
      <c r="AD853" s="450">
        <v>111.71</v>
      </c>
      <c r="AE853" s="450">
        <v>111.94</v>
      </c>
      <c r="AF853" s="450">
        <v>112.15</v>
      </c>
      <c r="AG853" s="450">
        <v>112.33</v>
      </c>
      <c r="AH853" s="450">
        <v>112.87</v>
      </c>
      <c r="AI853" s="450">
        <v>112.92</v>
      </c>
      <c r="AJ853" s="450">
        <v>112.72</v>
      </c>
      <c r="AK853" s="450">
        <v>112.42</v>
      </c>
      <c r="AL853" s="450">
        <v>112.1</v>
      </c>
      <c r="AM853" s="133"/>
      <c r="AN853" s="134">
        <v>56</v>
      </c>
      <c r="AO853" s="450">
        <v>110.68</v>
      </c>
      <c r="AP853" s="450">
        <v>111.07</v>
      </c>
      <c r="AQ853" s="450">
        <v>111.46</v>
      </c>
      <c r="AR853" s="450">
        <v>111.83</v>
      </c>
      <c r="AS853" s="450">
        <v>112.18</v>
      </c>
      <c r="AT853" s="450">
        <v>112.52</v>
      </c>
      <c r="AU853" s="450">
        <v>112.83</v>
      </c>
      <c r="AV853" s="450">
        <v>113.12</v>
      </c>
      <c r="AW853" s="450">
        <v>113.38</v>
      </c>
      <c r="AX853" s="450">
        <v>113.62</v>
      </c>
      <c r="AY853" s="450">
        <v>113.84</v>
      </c>
      <c r="AZ853" s="450">
        <v>114.02</v>
      </c>
      <c r="BA853" s="450">
        <v>114.59</v>
      </c>
      <c r="BB853" s="450">
        <v>114.64</v>
      </c>
      <c r="BC853" s="450">
        <v>114.43</v>
      </c>
      <c r="BD853" s="450">
        <v>114.11</v>
      </c>
      <c r="BE853" s="450">
        <v>113.76</v>
      </c>
    </row>
    <row r="854" spans="2:57" x14ac:dyDescent="0.25">
      <c r="B854" s="134">
        <v>57</v>
      </c>
      <c r="C854" s="450">
        <v>108.42</v>
      </c>
      <c r="D854" s="450">
        <v>108.79</v>
      </c>
      <c r="E854" s="450">
        <v>109.16</v>
      </c>
      <c r="F854" s="450">
        <v>109.51</v>
      </c>
      <c r="G854" s="450">
        <v>109.83</v>
      </c>
      <c r="H854" s="450">
        <v>110.14</v>
      </c>
      <c r="I854" s="450">
        <v>110.42</v>
      </c>
      <c r="J854" s="450">
        <v>110.68</v>
      </c>
      <c r="K854" s="450">
        <v>110.91</v>
      </c>
      <c r="L854" s="450">
        <v>111.12</v>
      </c>
      <c r="M854" s="450">
        <v>111.3</v>
      </c>
      <c r="N854" s="450">
        <v>111.46</v>
      </c>
      <c r="O854" s="450">
        <v>111.87</v>
      </c>
      <c r="P854" s="450">
        <v>111.81</v>
      </c>
      <c r="Q854" s="450">
        <v>111.54</v>
      </c>
      <c r="R854" s="450">
        <v>111.2</v>
      </c>
      <c r="S854" s="450">
        <v>110.79</v>
      </c>
      <c r="T854" s="133"/>
      <c r="U854" s="134">
        <v>57</v>
      </c>
      <c r="V854" s="450">
        <v>109.9</v>
      </c>
      <c r="W854" s="450">
        <v>110.29</v>
      </c>
      <c r="X854" s="450">
        <v>110.67</v>
      </c>
      <c r="Y854" s="450">
        <v>111.03</v>
      </c>
      <c r="Z854" s="450">
        <v>111.37</v>
      </c>
      <c r="AA854" s="450">
        <v>111.69</v>
      </c>
      <c r="AB854" s="450">
        <v>111.98</v>
      </c>
      <c r="AC854" s="450">
        <v>112.25</v>
      </c>
      <c r="AD854" s="450">
        <v>112.5</v>
      </c>
      <c r="AE854" s="450">
        <v>112.72</v>
      </c>
      <c r="AF854" s="450">
        <v>112.91</v>
      </c>
      <c r="AG854" s="450">
        <v>113.08</v>
      </c>
      <c r="AH854" s="450">
        <v>113.52</v>
      </c>
      <c r="AI854" s="450">
        <v>113.49</v>
      </c>
      <c r="AJ854" s="450">
        <v>113.23</v>
      </c>
      <c r="AK854" s="450">
        <v>112.9</v>
      </c>
      <c r="AL854" s="450">
        <v>112.49</v>
      </c>
      <c r="AM854" s="133"/>
      <c r="AN854" s="134">
        <v>57</v>
      </c>
      <c r="AO854" s="450">
        <v>111.5</v>
      </c>
      <c r="AP854" s="450">
        <v>111.91</v>
      </c>
      <c r="AQ854" s="450">
        <v>112.3</v>
      </c>
      <c r="AR854" s="450">
        <v>112.67</v>
      </c>
      <c r="AS854" s="450">
        <v>113.03</v>
      </c>
      <c r="AT854" s="450">
        <v>113.36</v>
      </c>
      <c r="AU854" s="450">
        <v>113.66</v>
      </c>
      <c r="AV854" s="450">
        <v>113.95</v>
      </c>
      <c r="AW854" s="450">
        <v>114.2</v>
      </c>
      <c r="AX854" s="450">
        <v>114.43</v>
      </c>
      <c r="AY854" s="450">
        <v>114.63</v>
      </c>
      <c r="AZ854" s="450">
        <v>114.8</v>
      </c>
      <c r="BA854" s="450">
        <v>115.27</v>
      </c>
      <c r="BB854" s="450">
        <v>115.24</v>
      </c>
      <c r="BC854" s="450">
        <v>114.96</v>
      </c>
      <c r="BD854" s="450">
        <v>114.6</v>
      </c>
      <c r="BE854" s="450">
        <v>114.16</v>
      </c>
    </row>
    <row r="855" spans="2:57" x14ac:dyDescent="0.25">
      <c r="B855" s="134">
        <v>58</v>
      </c>
      <c r="C855" s="450">
        <v>109.2</v>
      </c>
      <c r="D855" s="450">
        <v>109.58</v>
      </c>
      <c r="E855" s="450">
        <v>109.95</v>
      </c>
      <c r="F855" s="450">
        <v>110.3</v>
      </c>
      <c r="G855" s="450">
        <v>110.62</v>
      </c>
      <c r="H855" s="450">
        <v>110.92</v>
      </c>
      <c r="I855" s="450">
        <v>111.19</v>
      </c>
      <c r="J855" s="450">
        <v>111.44</v>
      </c>
      <c r="K855" s="450">
        <v>111.65</v>
      </c>
      <c r="L855" s="450">
        <v>111.84</v>
      </c>
      <c r="M855" s="450">
        <v>112.01</v>
      </c>
      <c r="N855" s="450">
        <v>112.14</v>
      </c>
      <c r="O855" s="450">
        <v>112.44</v>
      </c>
      <c r="P855" s="450">
        <v>112.3</v>
      </c>
      <c r="Q855" s="450">
        <v>111.95</v>
      </c>
      <c r="R855" s="450">
        <v>111.58</v>
      </c>
      <c r="S855" s="450">
        <v>111.07</v>
      </c>
      <c r="T855" s="133"/>
      <c r="U855" s="134">
        <v>58</v>
      </c>
      <c r="V855" s="450">
        <v>110.71</v>
      </c>
      <c r="W855" s="450">
        <v>111.11</v>
      </c>
      <c r="X855" s="450">
        <v>111.49</v>
      </c>
      <c r="Y855" s="450">
        <v>111.85</v>
      </c>
      <c r="Z855" s="450">
        <v>112.19</v>
      </c>
      <c r="AA855" s="450">
        <v>112.5</v>
      </c>
      <c r="AB855" s="450">
        <v>112.78</v>
      </c>
      <c r="AC855" s="450">
        <v>113.04</v>
      </c>
      <c r="AD855" s="450">
        <v>113.27</v>
      </c>
      <c r="AE855" s="450">
        <v>113.47</v>
      </c>
      <c r="AF855" s="450">
        <v>113.65</v>
      </c>
      <c r="AG855" s="450">
        <v>113.79</v>
      </c>
      <c r="AH855" s="450">
        <v>114.13</v>
      </c>
      <c r="AI855" s="450">
        <v>114.01</v>
      </c>
      <c r="AJ855" s="450">
        <v>113.68</v>
      </c>
      <c r="AK855" s="450">
        <v>113.31</v>
      </c>
      <c r="AL855" s="450">
        <v>112.8</v>
      </c>
      <c r="AM855" s="133"/>
      <c r="AN855" s="134">
        <v>58</v>
      </c>
      <c r="AO855" s="450">
        <v>112.35</v>
      </c>
      <c r="AP855" s="450">
        <v>112.76</v>
      </c>
      <c r="AQ855" s="450">
        <v>113.15</v>
      </c>
      <c r="AR855" s="450">
        <v>113.52</v>
      </c>
      <c r="AS855" s="450">
        <v>113.87</v>
      </c>
      <c r="AT855" s="450">
        <v>114.2</v>
      </c>
      <c r="AU855" s="450">
        <v>114.49</v>
      </c>
      <c r="AV855" s="450">
        <v>114.76</v>
      </c>
      <c r="AW855" s="450">
        <v>115</v>
      </c>
      <c r="AX855" s="450">
        <v>115.21</v>
      </c>
      <c r="AY855" s="450">
        <v>115.39</v>
      </c>
      <c r="AZ855" s="450">
        <v>115.55</v>
      </c>
      <c r="BA855" s="450">
        <v>115.9</v>
      </c>
      <c r="BB855" s="450">
        <v>115.77</v>
      </c>
      <c r="BC855" s="450">
        <v>115.42</v>
      </c>
      <c r="BD855" s="450">
        <v>115.02</v>
      </c>
      <c r="BE855" s="450">
        <v>114.48</v>
      </c>
    </row>
    <row r="856" spans="2:57" x14ac:dyDescent="0.25">
      <c r="B856" s="134">
        <v>59</v>
      </c>
      <c r="C856" s="450">
        <v>110</v>
      </c>
      <c r="D856" s="450">
        <v>110.38</v>
      </c>
      <c r="E856" s="450">
        <v>110.74</v>
      </c>
      <c r="F856" s="450">
        <v>111.08</v>
      </c>
      <c r="G856" s="450">
        <v>111.39</v>
      </c>
      <c r="H856" s="450">
        <v>111.68</v>
      </c>
      <c r="I856" s="450">
        <v>111.94</v>
      </c>
      <c r="J856" s="450">
        <v>112.16</v>
      </c>
      <c r="K856" s="450">
        <v>112.36</v>
      </c>
      <c r="L856" s="450">
        <v>112.53</v>
      </c>
      <c r="M856" s="450">
        <v>112.67</v>
      </c>
      <c r="N856" s="450">
        <v>112.78</v>
      </c>
      <c r="O856" s="450">
        <v>112.95</v>
      </c>
      <c r="P856" s="450">
        <v>112.7</v>
      </c>
      <c r="Q856" s="450">
        <v>112.29</v>
      </c>
      <c r="R856" s="450">
        <v>111.87</v>
      </c>
      <c r="S856" s="450">
        <v>111.26</v>
      </c>
      <c r="T856" s="133"/>
      <c r="U856" s="134">
        <v>59</v>
      </c>
      <c r="V856" s="450">
        <v>111.54</v>
      </c>
      <c r="W856" s="450">
        <v>111.94</v>
      </c>
      <c r="X856" s="450">
        <v>112.31</v>
      </c>
      <c r="Y856" s="450">
        <v>112.67</v>
      </c>
      <c r="Z856" s="450">
        <v>112.99</v>
      </c>
      <c r="AA856" s="450">
        <v>113.29</v>
      </c>
      <c r="AB856" s="450">
        <v>113.56</v>
      </c>
      <c r="AC856" s="450">
        <v>113.8</v>
      </c>
      <c r="AD856" s="450">
        <v>114.01</v>
      </c>
      <c r="AE856" s="450">
        <v>114.19</v>
      </c>
      <c r="AF856" s="450">
        <v>114.35</v>
      </c>
      <c r="AG856" s="450">
        <v>114.47</v>
      </c>
      <c r="AH856" s="450">
        <v>114.67</v>
      </c>
      <c r="AI856" s="450">
        <v>114.45</v>
      </c>
      <c r="AJ856" s="450">
        <v>114.04</v>
      </c>
      <c r="AK856" s="450">
        <v>113.63</v>
      </c>
      <c r="AL856" s="450">
        <v>113.02</v>
      </c>
      <c r="AM856" s="133"/>
      <c r="AN856" s="134">
        <v>59</v>
      </c>
      <c r="AO856" s="450">
        <v>113.2</v>
      </c>
      <c r="AP856" s="450">
        <v>113.61</v>
      </c>
      <c r="AQ856" s="450">
        <v>114</v>
      </c>
      <c r="AR856" s="450">
        <v>114.37</v>
      </c>
      <c r="AS856" s="450">
        <v>114.71</v>
      </c>
      <c r="AT856" s="450">
        <v>115.02</v>
      </c>
      <c r="AU856" s="450">
        <v>115.3</v>
      </c>
      <c r="AV856" s="450">
        <v>115.55</v>
      </c>
      <c r="AW856" s="450">
        <v>115.77</v>
      </c>
      <c r="AX856" s="450">
        <v>115.96</v>
      </c>
      <c r="AY856" s="450">
        <v>116.12</v>
      </c>
      <c r="AZ856" s="450">
        <v>116.25</v>
      </c>
      <c r="BA856" s="450">
        <v>116.47</v>
      </c>
      <c r="BB856" s="450">
        <v>116.23</v>
      </c>
      <c r="BC856" s="450">
        <v>115.8</v>
      </c>
      <c r="BD856" s="450">
        <v>115.36</v>
      </c>
      <c r="BE856" s="450">
        <v>114.7</v>
      </c>
    </row>
    <row r="857" spans="2:57" x14ac:dyDescent="0.25">
      <c r="B857" s="134">
        <v>60</v>
      </c>
      <c r="C857" s="450">
        <v>110.79</v>
      </c>
      <c r="D857" s="450">
        <v>111.17</v>
      </c>
      <c r="E857" s="450">
        <v>111.52</v>
      </c>
      <c r="F857" s="450">
        <v>111.85</v>
      </c>
      <c r="G857" s="450">
        <v>112.14</v>
      </c>
      <c r="H857" s="450">
        <v>112.41</v>
      </c>
      <c r="I857" s="450">
        <v>112.65</v>
      </c>
      <c r="J857" s="450">
        <v>112.85</v>
      </c>
      <c r="K857" s="450">
        <v>113.02</v>
      </c>
      <c r="L857" s="450">
        <v>113.17</v>
      </c>
      <c r="M857" s="450">
        <v>113.28</v>
      </c>
      <c r="N857" s="450">
        <v>113.36</v>
      </c>
      <c r="O857" s="450">
        <v>113.38</v>
      </c>
      <c r="P857" s="450">
        <v>113.02</v>
      </c>
      <c r="Q857" s="450">
        <v>112.52</v>
      </c>
      <c r="R857" s="450">
        <v>112.07</v>
      </c>
      <c r="S857" s="450">
        <v>111.33</v>
      </c>
      <c r="T857" s="133"/>
      <c r="U857" s="134">
        <v>60</v>
      </c>
      <c r="V857" s="450">
        <v>112.36</v>
      </c>
      <c r="W857" s="450">
        <v>112.76</v>
      </c>
      <c r="X857" s="450">
        <v>113.12</v>
      </c>
      <c r="Y857" s="450">
        <v>113.47</v>
      </c>
      <c r="Z857" s="450">
        <v>113.78</v>
      </c>
      <c r="AA857" s="450">
        <v>114.06</v>
      </c>
      <c r="AB857" s="450">
        <v>114.31</v>
      </c>
      <c r="AC857" s="450">
        <v>114.53</v>
      </c>
      <c r="AD857" s="450">
        <v>114.71</v>
      </c>
      <c r="AE857" s="450">
        <v>114.86</v>
      </c>
      <c r="AF857" s="450">
        <v>114.99</v>
      </c>
      <c r="AG857" s="450">
        <v>115.08</v>
      </c>
      <c r="AH857" s="450">
        <v>115.14</v>
      </c>
      <c r="AI857" s="450">
        <v>114.8</v>
      </c>
      <c r="AJ857" s="450">
        <v>114.31</v>
      </c>
      <c r="AK857" s="450">
        <v>113.86</v>
      </c>
      <c r="AL857" s="450">
        <v>113.11</v>
      </c>
      <c r="AM857" s="133"/>
      <c r="AN857" s="134">
        <v>60</v>
      </c>
      <c r="AO857" s="450">
        <v>114.05</v>
      </c>
      <c r="AP857" s="450">
        <v>114.46</v>
      </c>
      <c r="AQ857" s="450">
        <v>114.85</v>
      </c>
      <c r="AR857" s="450">
        <v>115.2</v>
      </c>
      <c r="AS857" s="450">
        <v>115.52</v>
      </c>
      <c r="AT857" s="450">
        <v>115.82</v>
      </c>
      <c r="AU857" s="450">
        <v>116.08</v>
      </c>
      <c r="AV857" s="450">
        <v>116.3</v>
      </c>
      <c r="AW857" s="450">
        <v>116.5</v>
      </c>
      <c r="AX857" s="450">
        <v>116.66</v>
      </c>
      <c r="AY857" s="450">
        <v>116.79</v>
      </c>
      <c r="AZ857" s="450">
        <v>116.89</v>
      </c>
      <c r="BA857" s="450">
        <v>116.95</v>
      </c>
      <c r="BB857" s="450">
        <v>116.6</v>
      </c>
      <c r="BC857" s="450">
        <v>116.08</v>
      </c>
      <c r="BD857" s="450">
        <v>115.59</v>
      </c>
      <c r="BE857" s="450">
        <v>114.8</v>
      </c>
    </row>
    <row r="858" spans="2:57" x14ac:dyDescent="0.25">
      <c r="B858" s="134">
        <v>61</v>
      </c>
      <c r="C858" s="450">
        <v>111.57</v>
      </c>
      <c r="D858" s="450">
        <v>111.94</v>
      </c>
      <c r="E858" s="450">
        <v>112.28</v>
      </c>
      <c r="F858" s="450">
        <v>112.58</v>
      </c>
      <c r="G858" s="450">
        <v>112.86</v>
      </c>
      <c r="H858" s="450">
        <v>113.1</v>
      </c>
      <c r="I858" s="450">
        <v>113.31</v>
      </c>
      <c r="J858" s="450">
        <v>113.48</v>
      </c>
      <c r="K858" s="450">
        <v>113.62</v>
      </c>
      <c r="L858" s="450">
        <v>113.73</v>
      </c>
      <c r="M858" s="450">
        <v>113.81</v>
      </c>
      <c r="N858" s="450">
        <v>113.85</v>
      </c>
      <c r="O858" s="450">
        <v>113.71</v>
      </c>
      <c r="P858" s="450">
        <v>113.22</v>
      </c>
      <c r="Q858" s="450">
        <v>112.65</v>
      </c>
      <c r="R858" s="450">
        <v>112.06</v>
      </c>
      <c r="S858" s="450">
        <v>111.26</v>
      </c>
      <c r="T858" s="133"/>
      <c r="U858" s="134">
        <v>61</v>
      </c>
      <c r="V858" s="450">
        <v>113.18</v>
      </c>
      <c r="W858" s="450">
        <v>113.56</v>
      </c>
      <c r="X858" s="450">
        <v>113.91</v>
      </c>
      <c r="Y858" s="450">
        <v>114.24</v>
      </c>
      <c r="Z858" s="450">
        <v>114.53</v>
      </c>
      <c r="AA858" s="450">
        <v>114.78</v>
      </c>
      <c r="AB858" s="450">
        <v>115</v>
      </c>
      <c r="AC858" s="450">
        <v>115.19</v>
      </c>
      <c r="AD858" s="450">
        <v>115.35</v>
      </c>
      <c r="AE858" s="450">
        <v>115.47</v>
      </c>
      <c r="AF858" s="450">
        <v>115.56</v>
      </c>
      <c r="AG858" s="450">
        <v>115.61</v>
      </c>
      <c r="AH858" s="450">
        <v>115.51</v>
      </c>
      <c r="AI858" s="450">
        <v>115.04</v>
      </c>
      <c r="AJ858" s="450">
        <v>114.47</v>
      </c>
      <c r="AK858" s="450">
        <v>113.88</v>
      </c>
      <c r="AL858" s="450">
        <v>113.08</v>
      </c>
      <c r="AM858" s="133"/>
      <c r="AN858" s="134">
        <v>61</v>
      </c>
      <c r="AO858" s="450">
        <v>114.9</v>
      </c>
      <c r="AP858" s="450">
        <v>115.3</v>
      </c>
      <c r="AQ858" s="450">
        <v>115.67</v>
      </c>
      <c r="AR858" s="450">
        <v>116</v>
      </c>
      <c r="AS858" s="450">
        <v>116.3</v>
      </c>
      <c r="AT858" s="450">
        <v>116.57</v>
      </c>
      <c r="AU858" s="450">
        <v>116.8</v>
      </c>
      <c r="AV858" s="450">
        <v>117</v>
      </c>
      <c r="AW858" s="450">
        <v>117.16</v>
      </c>
      <c r="AX858" s="450">
        <v>117.29</v>
      </c>
      <c r="AY858" s="450">
        <v>117.38</v>
      </c>
      <c r="AZ858" s="450">
        <v>117.44</v>
      </c>
      <c r="BA858" s="450">
        <v>117.34</v>
      </c>
      <c r="BB858" s="450">
        <v>116.85</v>
      </c>
      <c r="BC858" s="450">
        <v>116.25</v>
      </c>
      <c r="BD858" s="450">
        <v>115.62</v>
      </c>
      <c r="BE858" s="450">
        <v>114.77</v>
      </c>
    </row>
    <row r="859" spans="2:57" x14ac:dyDescent="0.25">
      <c r="B859" s="134">
        <v>62</v>
      </c>
      <c r="C859" s="450">
        <v>112.33</v>
      </c>
      <c r="D859" s="450">
        <v>112.67</v>
      </c>
      <c r="E859" s="450">
        <v>112.99</v>
      </c>
      <c r="F859" s="450">
        <v>113.27</v>
      </c>
      <c r="G859" s="450">
        <v>113.51</v>
      </c>
      <c r="H859" s="450">
        <v>113.72</v>
      </c>
      <c r="I859" s="450">
        <v>113.9</v>
      </c>
      <c r="J859" s="450">
        <v>114.03</v>
      </c>
      <c r="K859" s="450">
        <v>114.14</v>
      </c>
      <c r="L859" s="450">
        <v>114.21</v>
      </c>
      <c r="M859" s="450">
        <v>114.24</v>
      </c>
      <c r="N859" s="450">
        <v>114.24</v>
      </c>
      <c r="O859" s="450">
        <v>113.92</v>
      </c>
      <c r="P859" s="450">
        <v>113.29</v>
      </c>
      <c r="Q859" s="450">
        <v>112.63</v>
      </c>
      <c r="R859" s="450">
        <v>111.88</v>
      </c>
      <c r="S859" s="450">
        <v>111.03</v>
      </c>
      <c r="T859" s="133"/>
      <c r="U859" s="134">
        <v>62</v>
      </c>
      <c r="V859" s="450">
        <v>113.97</v>
      </c>
      <c r="W859" s="450">
        <v>114.33</v>
      </c>
      <c r="X859" s="450">
        <v>114.66</v>
      </c>
      <c r="Y859" s="450">
        <v>114.96</v>
      </c>
      <c r="Z859" s="450">
        <v>115.22</v>
      </c>
      <c r="AA859" s="450">
        <v>115.44</v>
      </c>
      <c r="AB859" s="450">
        <v>115.63</v>
      </c>
      <c r="AC859" s="450">
        <v>115.78</v>
      </c>
      <c r="AD859" s="450">
        <v>115.9</v>
      </c>
      <c r="AE859" s="450">
        <v>115.98</v>
      </c>
      <c r="AF859" s="450">
        <v>116.02</v>
      </c>
      <c r="AG859" s="450">
        <v>116.03</v>
      </c>
      <c r="AH859" s="450">
        <v>115.75</v>
      </c>
      <c r="AI859" s="450">
        <v>115.14</v>
      </c>
      <c r="AJ859" s="450">
        <v>114.48</v>
      </c>
      <c r="AK859" s="450">
        <v>113.74</v>
      </c>
      <c r="AL859" s="450">
        <v>112.87</v>
      </c>
      <c r="AM859" s="133"/>
      <c r="AN859" s="134">
        <v>62</v>
      </c>
      <c r="AO859" s="450">
        <v>115.72</v>
      </c>
      <c r="AP859" s="450">
        <v>116.1</v>
      </c>
      <c r="AQ859" s="450">
        <v>116.44</v>
      </c>
      <c r="AR859" s="450">
        <v>116.75</v>
      </c>
      <c r="AS859" s="450">
        <v>117.02</v>
      </c>
      <c r="AT859" s="450">
        <v>117.26</v>
      </c>
      <c r="AU859" s="450">
        <v>117.46</v>
      </c>
      <c r="AV859" s="450">
        <v>117.61</v>
      </c>
      <c r="AW859" s="450">
        <v>117.74</v>
      </c>
      <c r="AX859" s="450">
        <v>117.82</v>
      </c>
      <c r="AY859" s="450">
        <v>117.87</v>
      </c>
      <c r="AZ859" s="450">
        <v>117.88</v>
      </c>
      <c r="BA859" s="450">
        <v>117.6</v>
      </c>
      <c r="BB859" s="450">
        <v>116.96</v>
      </c>
      <c r="BC859" s="450">
        <v>116.27</v>
      </c>
      <c r="BD859" s="450">
        <v>115.47</v>
      </c>
      <c r="BE859" s="450">
        <v>114.56</v>
      </c>
    </row>
    <row r="860" spans="2:57" x14ac:dyDescent="0.25">
      <c r="B860" s="134">
        <v>63</v>
      </c>
      <c r="C860" s="450">
        <v>113.04</v>
      </c>
      <c r="D860" s="450">
        <v>113.36</v>
      </c>
      <c r="E860" s="450">
        <v>113.64</v>
      </c>
      <c r="F860" s="450">
        <v>113.89</v>
      </c>
      <c r="G860" s="450">
        <v>114.09</v>
      </c>
      <c r="H860" s="450">
        <v>114.26</v>
      </c>
      <c r="I860" s="450">
        <v>114.39</v>
      </c>
      <c r="J860" s="450">
        <v>114.49</v>
      </c>
      <c r="K860" s="450">
        <v>114.55</v>
      </c>
      <c r="L860" s="450">
        <v>114.56</v>
      </c>
      <c r="M860" s="450">
        <v>114.55</v>
      </c>
      <c r="N860" s="450">
        <v>114.5</v>
      </c>
      <c r="O860" s="450">
        <v>113.99</v>
      </c>
      <c r="P860" s="450">
        <v>113.21</v>
      </c>
      <c r="Q860" s="450">
        <v>112.45</v>
      </c>
      <c r="R860" s="450">
        <v>111.53</v>
      </c>
      <c r="S860" s="450">
        <v>110.61</v>
      </c>
      <c r="T860" s="133"/>
      <c r="U860" s="134">
        <v>63</v>
      </c>
      <c r="V860" s="450">
        <v>114.72</v>
      </c>
      <c r="W860" s="450">
        <v>115.05</v>
      </c>
      <c r="X860" s="450">
        <v>115.35</v>
      </c>
      <c r="Y860" s="450">
        <v>115.61</v>
      </c>
      <c r="Z860" s="450">
        <v>115.84</v>
      </c>
      <c r="AA860" s="450">
        <v>116.02</v>
      </c>
      <c r="AB860" s="450">
        <v>116.16</v>
      </c>
      <c r="AC860" s="450">
        <v>116.27</v>
      </c>
      <c r="AD860" s="450">
        <v>116.34</v>
      </c>
      <c r="AE860" s="450">
        <v>116.37</v>
      </c>
      <c r="AF860" s="450">
        <v>116.36</v>
      </c>
      <c r="AG860" s="450">
        <v>116.33</v>
      </c>
      <c r="AH860" s="450">
        <v>115.85</v>
      </c>
      <c r="AI860" s="450">
        <v>115.08</v>
      </c>
      <c r="AJ860" s="450">
        <v>114.33</v>
      </c>
      <c r="AK860" s="450">
        <v>113.41</v>
      </c>
      <c r="AL860" s="450">
        <v>112.48</v>
      </c>
      <c r="AM860" s="133"/>
      <c r="AN860" s="134">
        <v>63</v>
      </c>
      <c r="AO860" s="450">
        <v>116.5</v>
      </c>
      <c r="AP860" s="450">
        <v>116.85</v>
      </c>
      <c r="AQ860" s="450">
        <v>117.16</v>
      </c>
      <c r="AR860" s="450">
        <v>117.44</v>
      </c>
      <c r="AS860" s="450">
        <v>117.67</v>
      </c>
      <c r="AT860" s="450">
        <v>117.86</v>
      </c>
      <c r="AU860" s="450">
        <v>118.02</v>
      </c>
      <c r="AV860" s="450">
        <v>118.13</v>
      </c>
      <c r="AW860" s="450">
        <v>118.2</v>
      </c>
      <c r="AX860" s="450">
        <v>118.23</v>
      </c>
      <c r="AY860" s="450">
        <v>118.23</v>
      </c>
      <c r="AZ860" s="450">
        <v>118.2</v>
      </c>
      <c r="BA860" s="450">
        <v>117.71</v>
      </c>
      <c r="BB860" s="450">
        <v>116.91</v>
      </c>
      <c r="BC860" s="450">
        <v>116.12</v>
      </c>
      <c r="BD860" s="450">
        <v>115.14</v>
      </c>
      <c r="BE860" s="450">
        <v>114.16</v>
      </c>
    </row>
    <row r="861" spans="2:57" x14ac:dyDescent="0.25">
      <c r="B861" s="134">
        <v>64</v>
      </c>
      <c r="C861" s="450">
        <v>113.69</v>
      </c>
      <c r="D861" s="450">
        <v>113.98</v>
      </c>
      <c r="E861" s="450">
        <v>114.22</v>
      </c>
      <c r="F861" s="450">
        <v>114.42</v>
      </c>
      <c r="G861" s="450">
        <v>114.58</v>
      </c>
      <c r="H861" s="450">
        <v>114.7</v>
      </c>
      <c r="I861" s="450">
        <v>114.78</v>
      </c>
      <c r="J861" s="450">
        <v>114.82</v>
      </c>
      <c r="K861" s="450">
        <v>114.82</v>
      </c>
      <c r="L861" s="450">
        <v>114.78</v>
      </c>
      <c r="M861" s="450">
        <v>114.71</v>
      </c>
      <c r="N861" s="450">
        <v>114.62</v>
      </c>
      <c r="O861" s="450">
        <v>113.89</v>
      </c>
      <c r="P861" s="450">
        <v>112.95</v>
      </c>
      <c r="Q861" s="450">
        <v>112.1</v>
      </c>
      <c r="R861" s="450">
        <v>110.99</v>
      </c>
      <c r="S861" s="450">
        <v>110</v>
      </c>
      <c r="T861" s="133"/>
      <c r="U861" s="134">
        <v>64</v>
      </c>
      <c r="V861" s="450">
        <v>115.41</v>
      </c>
      <c r="W861" s="450">
        <v>115.71</v>
      </c>
      <c r="X861" s="450">
        <v>115.97</v>
      </c>
      <c r="Y861" s="450">
        <v>116.18</v>
      </c>
      <c r="Z861" s="450">
        <v>116.36</v>
      </c>
      <c r="AA861" s="450">
        <v>116.49</v>
      </c>
      <c r="AB861" s="450">
        <v>116.59</v>
      </c>
      <c r="AC861" s="450">
        <v>116.64</v>
      </c>
      <c r="AD861" s="450">
        <v>116.65</v>
      </c>
      <c r="AE861" s="450">
        <v>116.62</v>
      </c>
      <c r="AF861" s="450">
        <v>116.57</v>
      </c>
      <c r="AG861" s="450">
        <v>116.48</v>
      </c>
      <c r="AH861" s="450">
        <v>115.78</v>
      </c>
      <c r="AI861" s="450">
        <v>114.86</v>
      </c>
      <c r="AJ861" s="450">
        <v>114.01</v>
      </c>
      <c r="AK861" s="450">
        <v>112.89</v>
      </c>
      <c r="AL861" s="450">
        <v>111.89</v>
      </c>
      <c r="AM861" s="133"/>
      <c r="AN861" s="134">
        <v>64</v>
      </c>
      <c r="AO861" s="450">
        <v>117.22</v>
      </c>
      <c r="AP861" s="450">
        <v>117.53</v>
      </c>
      <c r="AQ861" s="450">
        <v>117.8</v>
      </c>
      <c r="AR861" s="450">
        <v>118.03</v>
      </c>
      <c r="AS861" s="450">
        <v>118.22</v>
      </c>
      <c r="AT861" s="450">
        <v>118.36</v>
      </c>
      <c r="AU861" s="450">
        <v>118.46</v>
      </c>
      <c r="AV861" s="450">
        <v>118.52</v>
      </c>
      <c r="AW861" s="450">
        <v>118.53</v>
      </c>
      <c r="AX861" s="450">
        <v>118.51</v>
      </c>
      <c r="AY861" s="450">
        <v>118.45</v>
      </c>
      <c r="AZ861" s="450">
        <v>118.37</v>
      </c>
      <c r="BA861" s="450">
        <v>117.65</v>
      </c>
      <c r="BB861" s="450">
        <v>116.69</v>
      </c>
      <c r="BC861" s="450">
        <v>115.8</v>
      </c>
      <c r="BD861" s="450">
        <v>114.62</v>
      </c>
      <c r="BE861" s="450">
        <v>113.56</v>
      </c>
    </row>
    <row r="862" spans="2:57" x14ac:dyDescent="0.25">
      <c r="B862" s="134">
        <v>65</v>
      </c>
      <c r="C862" s="450">
        <v>114.27</v>
      </c>
      <c r="D862" s="450">
        <v>114.5</v>
      </c>
      <c r="E862" s="450">
        <v>114.69</v>
      </c>
      <c r="F862" s="450">
        <v>114.84</v>
      </c>
      <c r="G862" s="450">
        <v>114.95</v>
      </c>
      <c r="H862" s="450">
        <v>115.01</v>
      </c>
      <c r="I862" s="450">
        <v>115.03</v>
      </c>
      <c r="J862" s="450">
        <v>115</v>
      </c>
      <c r="K862" s="450">
        <v>114.94</v>
      </c>
      <c r="L862" s="450">
        <v>114.85</v>
      </c>
      <c r="M862" s="450">
        <v>114.73</v>
      </c>
      <c r="N862" s="450">
        <v>114.58</v>
      </c>
      <c r="O862" s="450">
        <v>113.61</v>
      </c>
      <c r="P862" s="450">
        <v>112.51</v>
      </c>
      <c r="Q862" s="450">
        <v>111.57</v>
      </c>
      <c r="R862" s="450">
        <v>110.25</v>
      </c>
      <c r="S862" s="450" t="s">
        <v>556</v>
      </c>
      <c r="T862" s="133"/>
      <c r="U862" s="134">
        <v>65</v>
      </c>
      <c r="V862" s="450">
        <v>116.02</v>
      </c>
      <c r="W862" s="450">
        <v>116.27</v>
      </c>
      <c r="X862" s="450">
        <v>116.48</v>
      </c>
      <c r="Y862" s="450">
        <v>116.64</v>
      </c>
      <c r="Z862" s="450">
        <v>116.76</v>
      </c>
      <c r="AA862" s="450">
        <v>116.84</v>
      </c>
      <c r="AB862" s="450">
        <v>116.87</v>
      </c>
      <c r="AC862" s="450">
        <v>116.86</v>
      </c>
      <c r="AD862" s="450">
        <v>116.81</v>
      </c>
      <c r="AE862" s="450">
        <v>116.72</v>
      </c>
      <c r="AF862" s="450">
        <v>116.61</v>
      </c>
      <c r="AG862" s="450">
        <v>116.48</v>
      </c>
      <c r="AH862" s="450">
        <v>115.53</v>
      </c>
      <c r="AI862" s="450">
        <v>114.45</v>
      </c>
      <c r="AJ862" s="450">
        <v>113.51</v>
      </c>
      <c r="AK862" s="450">
        <v>112.18</v>
      </c>
      <c r="AL862" s="450" t="s">
        <v>556</v>
      </c>
      <c r="AM862" s="133"/>
      <c r="AN862" s="134">
        <v>65</v>
      </c>
      <c r="AO862" s="450">
        <v>117.86</v>
      </c>
      <c r="AP862" s="450">
        <v>118.12</v>
      </c>
      <c r="AQ862" s="450">
        <v>118.34</v>
      </c>
      <c r="AR862" s="450">
        <v>118.52</v>
      </c>
      <c r="AS862" s="450">
        <v>118.64</v>
      </c>
      <c r="AT862" s="450">
        <v>118.73</v>
      </c>
      <c r="AU862" s="450">
        <v>118.77</v>
      </c>
      <c r="AV862" s="450">
        <v>118.76</v>
      </c>
      <c r="AW862" s="450">
        <v>118.71</v>
      </c>
      <c r="AX862" s="450">
        <v>118.62</v>
      </c>
      <c r="AY862" s="450">
        <v>118.51</v>
      </c>
      <c r="AZ862" s="450">
        <v>118.37</v>
      </c>
      <c r="BA862" s="450">
        <v>117.41</v>
      </c>
      <c r="BB862" s="450">
        <v>116.28</v>
      </c>
      <c r="BC862" s="450">
        <v>115.29</v>
      </c>
      <c r="BD862" s="450">
        <v>113.89</v>
      </c>
      <c r="BE862" s="450" t="s">
        <v>556</v>
      </c>
    </row>
    <row r="863" spans="2:57" x14ac:dyDescent="0.25">
      <c r="B863" s="134">
        <v>66</v>
      </c>
      <c r="C863" s="450">
        <v>114.74</v>
      </c>
      <c r="D863" s="450">
        <v>114.92</v>
      </c>
      <c r="E863" s="450">
        <v>115.05</v>
      </c>
      <c r="F863" s="450">
        <v>115.13</v>
      </c>
      <c r="G863" s="450">
        <v>115.17</v>
      </c>
      <c r="H863" s="450">
        <v>115.17</v>
      </c>
      <c r="I863" s="450">
        <v>115.12</v>
      </c>
      <c r="J863" s="450">
        <v>115.02</v>
      </c>
      <c r="K863" s="450">
        <v>114.9</v>
      </c>
      <c r="L863" s="450">
        <v>114.74</v>
      </c>
      <c r="M863" s="450">
        <v>114.56</v>
      </c>
      <c r="N863" s="450">
        <v>114.36</v>
      </c>
      <c r="O863" s="450">
        <v>113.14</v>
      </c>
      <c r="P863" s="450">
        <v>111.89</v>
      </c>
      <c r="Q863" s="450">
        <v>110.72</v>
      </c>
      <c r="R863" s="450">
        <v>109.31</v>
      </c>
      <c r="S863" s="450" t="s">
        <v>556</v>
      </c>
      <c r="T863" s="133"/>
      <c r="U863" s="134">
        <v>66</v>
      </c>
      <c r="V863" s="450">
        <v>116.53</v>
      </c>
      <c r="W863" s="450">
        <v>116.73</v>
      </c>
      <c r="X863" s="450">
        <v>116.87</v>
      </c>
      <c r="Y863" s="450">
        <v>116.97</v>
      </c>
      <c r="Z863" s="450">
        <v>117.03</v>
      </c>
      <c r="AA863" s="450">
        <v>117.04</v>
      </c>
      <c r="AB863" s="450">
        <v>117</v>
      </c>
      <c r="AC863" s="450">
        <v>116.91</v>
      </c>
      <c r="AD863" s="450">
        <v>116.8</v>
      </c>
      <c r="AE863" s="450">
        <v>116.65</v>
      </c>
      <c r="AF863" s="450">
        <v>116.48</v>
      </c>
      <c r="AG863" s="450">
        <v>116.29</v>
      </c>
      <c r="AH863" s="450">
        <v>115.09</v>
      </c>
      <c r="AI863" s="450">
        <v>113.84</v>
      </c>
      <c r="AJ863" s="450">
        <v>112.68</v>
      </c>
      <c r="AK863" s="450">
        <v>111.26</v>
      </c>
      <c r="AL863" s="450" t="s">
        <v>556</v>
      </c>
      <c r="AM863" s="133"/>
      <c r="AN863" s="134">
        <v>66</v>
      </c>
      <c r="AO863" s="450">
        <v>118.39</v>
      </c>
      <c r="AP863" s="450">
        <v>118.6</v>
      </c>
      <c r="AQ863" s="450">
        <v>118.76</v>
      </c>
      <c r="AR863" s="450">
        <v>118.87</v>
      </c>
      <c r="AS863" s="450">
        <v>118.93</v>
      </c>
      <c r="AT863" s="450">
        <v>118.94</v>
      </c>
      <c r="AU863" s="450">
        <v>118.91</v>
      </c>
      <c r="AV863" s="450">
        <v>118.83</v>
      </c>
      <c r="AW863" s="450">
        <v>118.71</v>
      </c>
      <c r="AX863" s="450">
        <v>118.57</v>
      </c>
      <c r="AY863" s="450">
        <v>118.39</v>
      </c>
      <c r="AZ863" s="450">
        <v>118.19</v>
      </c>
      <c r="BA863" s="450">
        <v>116.97</v>
      </c>
      <c r="BB863" s="450">
        <v>115.67</v>
      </c>
      <c r="BC863" s="450">
        <v>114.45</v>
      </c>
      <c r="BD863" s="450">
        <v>112.96</v>
      </c>
      <c r="BE863" s="450" t="s">
        <v>556</v>
      </c>
    </row>
    <row r="864" spans="2:57" x14ac:dyDescent="0.25">
      <c r="B864" s="134">
        <v>67</v>
      </c>
      <c r="C864" s="450">
        <v>115.09</v>
      </c>
      <c r="D864" s="450">
        <v>115.2</v>
      </c>
      <c r="E864" s="450">
        <v>115.27</v>
      </c>
      <c r="F864" s="450">
        <v>115.28</v>
      </c>
      <c r="G864" s="450">
        <v>115.25</v>
      </c>
      <c r="H864" s="450">
        <v>115.16</v>
      </c>
      <c r="I864" s="450">
        <v>115.03</v>
      </c>
      <c r="J864" s="450">
        <v>114.87</v>
      </c>
      <c r="K864" s="450">
        <v>114.67</v>
      </c>
      <c r="L864" s="450">
        <v>114.45</v>
      </c>
      <c r="M864" s="450">
        <v>114.21</v>
      </c>
      <c r="N864" s="450">
        <v>113.95</v>
      </c>
      <c r="O864" s="450">
        <v>112.48</v>
      </c>
      <c r="P864" s="450">
        <v>111.07</v>
      </c>
      <c r="Q864" s="450">
        <v>109.67</v>
      </c>
      <c r="R864" s="450">
        <v>108.17</v>
      </c>
      <c r="S864" s="450" t="s">
        <v>556</v>
      </c>
      <c r="T864" s="133"/>
      <c r="U864" s="134">
        <v>67</v>
      </c>
      <c r="V864" s="450">
        <v>116.92</v>
      </c>
      <c r="W864" s="450">
        <v>117.05</v>
      </c>
      <c r="X864" s="450">
        <v>117.13</v>
      </c>
      <c r="Y864" s="450">
        <v>117.15</v>
      </c>
      <c r="Z864" s="450">
        <v>117.13</v>
      </c>
      <c r="AA864" s="450">
        <v>117.06</v>
      </c>
      <c r="AB864" s="450">
        <v>116.94</v>
      </c>
      <c r="AC864" s="450">
        <v>116.79</v>
      </c>
      <c r="AD864" s="450">
        <v>116.61</v>
      </c>
      <c r="AE864" s="450">
        <v>116.4</v>
      </c>
      <c r="AF864" s="450">
        <v>116.16</v>
      </c>
      <c r="AG864" s="450">
        <v>115.9</v>
      </c>
      <c r="AH864" s="450">
        <v>114.45</v>
      </c>
      <c r="AI864" s="450">
        <v>113.05</v>
      </c>
      <c r="AJ864" s="450">
        <v>111.65</v>
      </c>
      <c r="AK864" s="450">
        <v>110.13</v>
      </c>
      <c r="AL864" s="450" t="s">
        <v>556</v>
      </c>
      <c r="AM864" s="133"/>
      <c r="AN864" s="134">
        <v>67</v>
      </c>
      <c r="AO864" s="450">
        <v>118.8</v>
      </c>
      <c r="AP864" s="450">
        <v>118.94</v>
      </c>
      <c r="AQ864" s="450">
        <v>119.03</v>
      </c>
      <c r="AR864" s="450">
        <v>119.06</v>
      </c>
      <c r="AS864" s="450">
        <v>119.05</v>
      </c>
      <c r="AT864" s="450">
        <v>118.98</v>
      </c>
      <c r="AU864" s="450">
        <v>118.87</v>
      </c>
      <c r="AV864" s="450">
        <v>118.72</v>
      </c>
      <c r="AW864" s="450">
        <v>118.53</v>
      </c>
      <c r="AX864" s="450">
        <v>118.32</v>
      </c>
      <c r="AY864" s="450">
        <v>118.08</v>
      </c>
      <c r="AZ864" s="450">
        <v>117.81</v>
      </c>
      <c r="BA864" s="450">
        <v>116.33</v>
      </c>
      <c r="BB864" s="450">
        <v>114.87</v>
      </c>
      <c r="BC864" s="450">
        <v>113.4</v>
      </c>
      <c r="BD864" s="450">
        <v>111.81</v>
      </c>
      <c r="BE864" s="450" t="s">
        <v>556</v>
      </c>
    </row>
    <row r="865" spans="2:57" x14ac:dyDescent="0.25">
      <c r="B865" s="134">
        <v>68</v>
      </c>
      <c r="C865" s="450">
        <v>115.31</v>
      </c>
      <c r="D865" s="450">
        <v>115.34</v>
      </c>
      <c r="E865" s="450">
        <v>115.32</v>
      </c>
      <c r="F865" s="450">
        <v>115.25</v>
      </c>
      <c r="G865" s="450">
        <v>115.13</v>
      </c>
      <c r="H865" s="450">
        <v>114.96</v>
      </c>
      <c r="I865" s="450">
        <v>114.76</v>
      </c>
      <c r="J865" s="450">
        <v>114.52</v>
      </c>
      <c r="K865" s="450">
        <v>114.26</v>
      </c>
      <c r="L865" s="450">
        <v>113.97</v>
      </c>
      <c r="M865" s="450">
        <v>113.66</v>
      </c>
      <c r="N865" s="450">
        <v>113.33</v>
      </c>
      <c r="O865" s="450">
        <v>111.61</v>
      </c>
      <c r="P865" s="450">
        <v>110.05</v>
      </c>
      <c r="Q865" s="450">
        <v>108.41</v>
      </c>
      <c r="R865" s="450">
        <v>106.81</v>
      </c>
      <c r="S865" s="450" t="s">
        <v>556</v>
      </c>
      <c r="T865" s="133"/>
      <c r="U865" s="134">
        <v>68</v>
      </c>
      <c r="V865" s="450">
        <v>117.17</v>
      </c>
      <c r="W865" s="450">
        <v>117.22</v>
      </c>
      <c r="X865" s="450">
        <v>117.22</v>
      </c>
      <c r="Y865" s="450">
        <v>117.16</v>
      </c>
      <c r="Z865" s="450">
        <v>117.05</v>
      </c>
      <c r="AA865" s="450">
        <v>116.9</v>
      </c>
      <c r="AB865" s="450">
        <v>116.7</v>
      </c>
      <c r="AC865" s="450">
        <v>116.48</v>
      </c>
      <c r="AD865" s="450">
        <v>116.22</v>
      </c>
      <c r="AE865" s="450">
        <v>115.94</v>
      </c>
      <c r="AF865" s="450">
        <v>115.63</v>
      </c>
      <c r="AG865" s="450">
        <v>115.31</v>
      </c>
      <c r="AH865" s="450">
        <v>113.61</v>
      </c>
      <c r="AI865" s="450">
        <v>112.06</v>
      </c>
      <c r="AJ865" s="450">
        <v>110.4</v>
      </c>
      <c r="AK865" s="450">
        <v>108.79</v>
      </c>
      <c r="AL865" s="450" t="s">
        <v>556</v>
      </c>
      <c r="AM865" s="133"/>
      <c r="AN865" s="134">
        <v>68</v>
      </c>
      <c r="AO865" s="450">
        <v>119.07</v>
      </c>
      <c r="AP865" s="450">
        <v>119.13</v>
      </c>
      <c r="AQ865" s="450">
        <v>119.14</v>
      </c>
      <c r="AR865" s="450">
        <v>119.09</v>
      </c>
      <c r="AS865" s="450">
        <v>118.98</v>
      </c>
      <c r="AT865" s="450">
        <v>118.83</v>
      </c>
      <c r="AU865" s="450">
        <v>118.64</v>
      </c>
      <c r="AV865" s="450">
        <v>118.41</v>
      </c>
      <c r="AW865" s="450">
        <v>118.15</v>
      </c>
      <c r="AX865" s="450">
        <v>117.86</v>
      </c>
      <c r="AY865" s="450">
        <v>117.55</v>
      </c>
      <c r="AZ865" s="450">
        <v>117.22</v>
      </c>
      <c r="BA865" s="450">
        <v>115.48</v>
      </c>
      <c r="BB865" s="450">
        <v>113.86</v>
      </c>
      <c r="BC865" s="450">
        <v>112.14</v>
      </c>
      <c r="BD865" s="450">
        <v>110.45</v>
      </c>
      <c r="BE865" s="450" t="s">
        <v>556</v>
      </c>
    </row>
    <row r="866" spans="2:57" x14ac:dyDescent="0.25">
      <c r="B866" s="134">
        <v>69</v>
      </c>
      <c r="C866" s="450">
        <v>115.36</v>
      </c>
      <c r="D866" s="450">
        <v>115.3</v>
      </c>
      <c r="E866" s="450">
        <v>115.2</v>
      </c>
      <c r="F866" s="450">
        <v>115.03</v>
      </c>
      <c r="G866" s="450">
        <v>114.82</v>
      </c>
      <c r="H866" s="450">
        <v>114.57</v>
      </c>
      <c r="I866" s="450">
        <v>114.29</v>
      </c>
      <c r="J866" s="450">
        <v>113.97</v>
      </c>
      <c r="K866" s="450">
        <v>113.63</v>
      </c>
      <c r="L866" s="450">
        <v>113.27</v>
      </c>
      <c r="M866" s="450">
        <v>112.89</v>
      </c>
      <c r="N866" s="450">
        <v>112.5</v>
      </c>
      <c r="O866" s="450">
        <v>110.55</v>
      </c>
      <c r="P866" s="450">
        <v>108.85</v>
      </c>
      <c r="Q866" s="450">
        <v>106.95</v>
      </c>
      <c r="R866" s="450">
        <v>105.25</v>
      </c>
      <c r="S866" s="450" t="s">
        <v>556</v>
      </c>
      <c r="T866" s="133"/>
      <c r="U866" s="134">
        <v>69</v>
      </c>
      <c r="V866" s="450">
        <v>117.25</v>
      </c>
      <c r="W866" s="450">
        <v>117.22</v>
      </c>
      <c r="X866" s="450">
        <v>117.12</v>
      </c>
      <c r="Y866" s="450">
        <v>116.97</v>
      </c>
      <c r="Z866" s="450">
        <v>116.77</v>
      </c>
      <c r="AA866" s="450">
        <v>116.54</v>
      </c>
      <c r="AB866" s="450">
        <v>116.26</v>
      </c>
      <c r="AC866" s="450">
        <v>115.95</v>
      </c>
      <c r="AD866" s="450">
        <v>115.62</v>
      </c>
      <c r="AE866" s="450">
        <v>115.27</v>
      </c>
      <c r="AF866" s="450">
        <v>114.89</v>
      </c>
      <c r="AG866" s="450">
        <v>114.51</v>
      </c>
      <c r="AH866" s="450">
        <v>112.57</v>
      </c>
      <c r="AI866" s="450">
        <v>110.87</v>
      </c>
      <c r="AJ866" s="450">
        <v>108.96</v>
      </c>
      <c r="AK866" s="450">
        <v>107.24</v>
      </c>
      <c r="AL866" s="450" t="s">
        <v>556</v>
      </c>
      <c r="AM866" s="133"/>
      <c r="AN866" s="134">
        <v>69</v>
      </c>
      <c r="AO866" s="450">
        <v>119.17</v>
      </c>
      <c r="AP866" s="450">
        <v>119.14</v>
      </c>
      <c r="AQ866" s="450">
        <v>119.06</v>
      </c>
      <c r="AR866" s="450">
        <v>118.91</v>
      </c>
      <c r="AS866" s="450">
        <v>118.71</v>
      </c>
      <c r="AT866" s="450">
        <v>118.47</v>
      </c>
      <c r="AU866" s="450">
        <v>118.2</v>
      </c>
      <c r="AV866" s="450">
        <v>117.89</v>
      </c>
      <c r="AW866" s="450">
        <v>117.55</v>
      </c>
      <c r="AX866" s="450">
        <v>117.19</v>
      </c>
      <c r="AY866" s="450">
        <v>116.81</v>
      </c>
      <c r="AZ866" s="450">
        <v>116.42</v>
      </c>
      <c r="BA866" s="450">
        <v>114.42</v>
      </c>
      <c r="BB866" s="450">
        <v>112.66</v>
      </c>
      <c r="BC866" s="450">
        <v>110.67</v>
      </c>
      <c r="BD866" s="450">
        <v>108.87</v>
      </c>
      <c r="BE866" s="450" t="s">
        <v>556</v>
      </c>
    </row>
    <row r="867" spans="2:57" x14ac:dyDescent="0.25">
      <c r="B867" s="134">
        <v>70</v>
      </c>
      <c r="C867" s="450">
        <v>115.22</v>
      </c>
      <c r="D867" s="450">
        <v>115.08</v>
      </c>
      <c r="E867" s="450">
        <v>114.86</v>
      </c>
      <c r="F867" s="450">
        <v>114.61</v>
      </c>
      <c r="G867" s="450">
        <v>114.31</v>
      </c>
      <c r="H867" s="450">
        <v>113.97</v>
      </c>
      <c r="I867" s="450">
        <v>113.6</v>
      </c>
      <c r="J867" s="450">
        <v>113.21</v>
      </c>
      <c r="K867" s="450">
        <v>112.79</v>
      </c>
      <c r="L867" s="450">
        <v>112.36</v>
      </c>
      <c r="M867" s="450">
        <v>111.92</v>
      </c>
      <c r="N867" s="450">
        <v>111.47</v>
      </c>
      <c r="O867" s="450">
        <v>109.28</v>
      </c>
      <c r="P867" s="450">
        <v>107.46</v>
      </c>
      <c r="Q867" s="450">
        <v>105.3</v>
      </c>
      <c r="R867" s="450" t="s">
        <v>556</v>
      </c>
      <c r="S867" s="450" t="s">
        <v>556</v>
      </c>
      <c r="T867" s="133"/>
      <c r="U867" s="134">
        <v>70</v>
      </c>
      <c r="V867" s="450">
        <v>117.16</v>
      </c>
      <c r="W867" s="450">
        <v>117.02</v>
      </c>
      <c r="X867" s="450">
        <v>116.82</v>
      </c>
      <c r="Y867" s="450">
        <v>116.58</v>
      </c>
      <c r="Z867" s="450">
        <v>116.29</v>
      </c>
      <c r="AA867" s="450">
        <v>115.96</v>
      </c>
      <c r="AB867" s="450">
        <v>115.6</v>
      </c>
      <c r="AC867" s="450">
        <v>115.22</v>
      </c>
      <c r="AD867" s="450">
        <v>114.81</v>
      </c>
      <c r="AE867" s="450">
        <v>114.38</v>
      </c>
      <c r="AF867" s="450">
        <v>113.94</v>
      </c>
      <c r="AG867" s="450">
        <v>113.49</v>
      </c>
      <c r="AH867" s="450">
        <v>111.32</v>
      </c>
      <c r="AI867" s="450">
        <v>109.5</v>
      </c>
      <c r="AJ867" s="450">
        <v>107.32</v>
      </c>
      <c r="AK867" s="450" t="s">
        <v>556</v>
      </c>
      <c r="AL867" s="450" t="s">
        <v>556</v>
      </c>
      <c r="AM867" s="133"/>
      <c r="AN867" s="134">
        <v>70</v>
      </c>
      <c r="AO867" s="450">
        <v>119.09</v>
      </c>
      <c r="AP867" s="450">
        <v>118.96</v>
      </c>
      <c r="AQ867" s="450">
        <v>118.76</v>
      </c>
      <c r="AR867" s="450">
        <v>118.52</v>
      </c>
      <c r="AS867" s="450">
        <v>118.23</v>
      </c>
      <c r="AT867" s="450">
        <v>117.9</v>
      </c>
      <c r="AU867" s="450">
        <v>117.54</v>
      </c>
      <c r="AV867" s="450">
        <v>117.15</v>
      </c>
      <c r="AW867" s="450">
        <v>116.73</v>
      </c>
      <c r="AX867" s="450">
        <v>116.29</v>
      </c>
      <c r="AY867" s="450">
        <v>115.85</v>
      </c>
      <c r="AZ867" s="450">
        <v>115.39</v>
      </c>
      <c r="BA867" s="450">
        <v>113.15</v>
      </c>
      <c r="BB867" s="450">
        <v>111.27</v>
      </c>
      <c r="BC867" s="450">
        <v>109</v>
      </c>
      <c r="BD867" s="450" t="s">
        <v>556</v>
      </c>
      <c r="BE867" s="450" t="s">
        <v>556</v>
      </c>
    </row>
    <row r="868" spans="2:57" x14ac:dyDescent="0.25">
      <c r="B868" s="134">
        <v>71</v>
      </c>
      <c r="C868" s="450">
        <v>114.9</v>
      </c>
      <c r="D868" s="450">
        <v>114.64</v>
      </c>
      <c r="E868" s="450">
        <v>114.33</v>
      </c>
      <c r="F868" s="450">
        <v>113.97</v>
      </c>
      <c r="G868" s="450">
        <v>113.58</v>
      </c>
      <c r="H868" s="450">
        <v>113.16</v>
      </c>
      <c r="I868" s="450">
        <v>112.7</v>
      </c>
      <c r="J868" s="450">
        <v>112.23</v>
      </c>
      <c r="K868" s="450">
        <v>111.74</v>
      </c>
      <c r="L868" s="450">
        <v>111.24</v>
      </c>
      <c r="M868" s="450">
        <v>110.73</v>
      </c>
      <c r="N868" s="450">
        <v>110.22</v>
      </c>
      <c r="O868" s="450">
        <v>107.82</v>
      </c>
      <c r="P868" s="450">
        <v>105.74</v>
      </c>
      <c r="Q868" s="450">
        <v>103.47</v>
      </c>
      <c r="R868" s="450" t="s">
        <v>556</v>
      </c>
      <c r="S868" s="450" t="s">
        <v>556</v>
      </c>
      <c r="T868" s="133"/>
      <c r="U868" s="134">
        <v>71</v>
      </c>
      <c r="V868" s="450">
        <v>116.86</v>
      </c>
      <c r="W868" s="450">
        <v>116.61</v>
      </c>
      <c r="X868" s="450">
        <v>116.31</v>
      </c>
      <c r="Y868" s="450">
        <v>115.97</v>
      </c>
      <c r="Z868" s="450">
        <v>115.59</v>
      </c>
      <c r="AA868" s="450">
        <v>115.17</v>
      </c>
      <c r="AB868" s="450">
        <v>114.73</v>
      </c>
      <c r="AC868" s="450">
        <v>114.26</v>
      </c>
      <c r="AD868" s="450">
        <v>113.77</v>
      </c>
      <c r="AE868" s="450">
        <v>113.27</v>
      </c>
      <c r="AF868" s="450">
        <v>112.77</v>
      </c>
      <c r="AG868" s="450">
        <v>112.27</v>
      </c>
      <c r="AH868" s="450">
        <v>109.87</v>
      </c>
      <c r="AI868" s="450">
        <v>107.78</v>
      </c>
      <c r="AJ868" s="450">
        <v>105.5</v>
      </c>
      <c r="AK868" s="450" t="s">
        <v>556</v>
      </c>
      <c r="AL868" s="450" t="s">
        <v>556</v>
      </c>
      <c r="AM868" s="133"/>
      <c r="AN868" s="134">
        <v>71</v>
      </c>
      <c r="AO868" s="450">
        <v>118.8</v>
      </c>
      <c r="AP868" s="450">
        <v>118.55</v>
      </c>
      <c r="AQ868" s="450">
        <v>118.26</v>
      </c>
      <c r="AR868" s="450">
        <v>117.91</v>
      </c>
      <c r="AS868" s="450">
        <v>117.53</v>
      </c>
      <c r="AT868" s="450">
        <v>117.11</v>
      </c>
      <c r="AU868" s="450">
        <v>116.66</v>
      </c>
      <c r="AV868" s="450">
        <v>116.18</v>
      </c>
      <c r="AW868" s="450">
        <v>115.69</v>
      </c>
      <c r="AX868" s="450">
        <v>115.18</v>
      </c>
      <c r="AY868" s="450">
        <v>114.66</v>
      </c>
      <c r="AZ868" s="450">
        <v>114.15</v>
      </c>
      <c r="BA868" s="450">
        <v>111.69</v>
      </c>
      <c r="BB868" s="450">
        <v>109.53</v>
      </c>
      <c r="BC868" s="450">
        <v>107.15</v>
      </c>
      <c r="BD868" s="450" t="s">
        <v>556</v>
      </c>
      <c r="BE868" s="450" t="s">
        <v>556</v>
      </c>
    </row>
    <row r="869" spans="2:57" x14ac:dyDescent="0.25">
      <c r="B869" s="134">
        <v>72</v>
      </c>
      <c r="C869" s="450">
        <v>114.34</v>
      </c>
      <c r="D869" s="450">
        <v>113.97</v>
      </c>
      <c r="E869" s="450">
        <v>113.56</v>
      </c>
      <c r="F869" s="450">
        <v>113.11</v>
      </c>
      <c r="G869" s="450">
        <v>112.62</v>
      </c>
      <c r="H869" s="450">
        <v>112.11</v>
      </c>
      <c r="I869" s="450">
        <v>111.57</v>
      </c>
      <c r="J869" s="450">
        <v>111.02</v>
      </c>
      <c r="K869" s="450">
        <v>110.46</v>
      </c>
      <c r="L869" s="450">
        <v>109.89</v>
      </c>
      <c r="M869" s="450">
        <v>109.32</v>
      </c>
      <c r="N869" s="450">
        <v>108.76</v>
      </c>
      <c r="O869" s="450">
        <v>106.17</v>
      </c>
      <c r="P869" s="450">
        <v>103.81</v>
      </c>
      <c r="Q869" s="450">
        <v>101.45</v>
      </c>
      <c r="R869" s="450" t="s">
        <v>556</v>
      </c>
      <c r="S869" s="450" t="s">
        <v>556</v>
      </c>
      <c r="T869" s="133"/>
      <c r="U869" s="134">
        <v>72</v>
      </c>
      <c r="V869" s="450">
        <v>116.33</v>
      </c>
      <c r="W869" s="450">
        <v>115.98</v>
      </c>
      <c r="X869" s="450">
        <v>115.58</v>
      </c>
      <c r="Y869" s="450">
        <v>115.13</v>
      </c>
      <c r="Z869" s="450">
        <v>114.66</v>
      </c>
      <c r="AA869" s="450">
        <v>114.15</v>
      </c>
      <c r="AB869" s="450">
        <v>113.62</v>
      </c>
      <c r="AC869" s="450">
        <v>113.07</v>
      </c>
      <c r="AD869" s="450">
        <v>112.51</v>
      </c>
      <c r="AE869" s="450">
        <v>111.94</v>
      </c>
      <c r="AF869" s="450">
        <v>111.38</v>
      </c>
      <c r="AG869" s="450">
        <v>110.82</v>
      </c>
      <c r="AH869" s="450">
        <v>108.23</v>
      </c>
      <c r="AI869" s="450">
        <v>105.87</v>
      </c>
      <c r="AJ869" s="450">
        <v>103.48</v>
      </c>
      <c r="AK869" s="450" t="s">
        <v>556</v>
      </c>
      <c r="AL869" s="450" t="s">
        <v>556</v>
      </c>
      <c r="AM869" s="133"/>
      <c r="AN869" s="134">
        <v>72</v>
      </c>
      <c r="AO869" s="450">
        <v>118.27</v>
      </c>
      <c r="AP869" s="450">
        <v>117.92</v>
      </c>
      <c r="AQ869" s="450">
        <v>117.52</v>
      </c>
      <c r="AR869" s="450">
        <v>117.07</v>
      </c>
      <c r="AS869" s="450">
        <v>116.59</v>
      </c>
      <c r="AT869" s="450">
        <v>116.08</v>
      </c>
      <c r="AU869" s="450">
        <v>115.54</v>
      </c>
      <c r="AV869" s="450">
        <v>114.98</v>
      </c>
      <c r="AW869" s="450">
        <v>114.41</v>
      </c>
      <c r="AX869" s="450">
        <v>113.83</v>
      </c>
      <c r="AY869" s="450">
        <v>113.26</v>
      </c>
      <c r="AZ869" s="450">
        <v>112.68</v>
      </c>
      <c r="BA869" s="450">
        <v>110.03</v>
      </c>
      <c r="BB869" s="450">
        <v>107.58</v>
      </c>
      <c r="BC869" s="450">
        <v>105.09</v>
      </c>
      <c r="BD869" s="450" t="s">
        <v>556</v>
      </c>
      <c r="BE869" s="450" t="s">
        <v>556</v>
      </c>
    </row>
    <row r="870" spans="2:57" x14ac:dyDescent="0.25">
      <c r="B870" s="134">
        <v>73</v>
      </c>
      <c r="C870" s="450">
        <v>113.56</v>
      </c>
      <c r="D870" s="450">
        <v>113.09</v>
      </c>
      <c r="E870" s="450">
        <v>112.58</v>
      </c>
      <c r="F870" s="450">
        <v>112.03</v>
      </c>
      <c r="G870" s="450">
        <v>111.45</v>
      </c>
      <c r="H870" s="450">
        <v>110.85</v>
      </c>
      <c r="I870" s="450">
        <v>110.23</v>
      </c>
      <c r="J870" s="450">
        <v>109.6</v>
      </c>
      <c r="K870" s="450">
        <v>108.97</v>
      </c>
      <c r="L870" s="450">
        <v>108.34</v>
      </c>
      <c r="M870" s="450">
        <v>107.72</v>
      </c>
      <c r="N870" s="450">
        <v>107.11</v>
      </c>
      <c r="O870" s="450">
        <v>104.36</v>
      </c>
      <c r="P870" s="450">
        <v>101.73</v>
      </c>
      <c r="Q870" s="450">
        <v>99.25</v>
      </c>
      <c r="R870" s="450" t="s">
        <v>556</v>
      </c>
      <c r="S870" s="450" t="s">
        <v>556</v>
      </c>
      <c r="T870" s="133"/>
      <c r="U870" s="134">
        <v>73</v>
      </c>
      <c r="V870" s="450">
        <v>115.58</v>
      </c>
      <c r="W870" s="450">
        <v>115.12</v>
      </c>
      <c r="X870" s="450">
        <v>114.61</v>
      </c>
      <c r="Y870" s="450">
        <v>114.07</v>
      </c>
      <c r="Z870" s="450">
        <v>113.5</v>
      </c>
      <c r="AA870" s="450">
        <v>112.9</v>
      </c>
      <c r="AB870" s="450">
        <v>112.29</v>
      </c>
      <c r="AC870" s="450">
        <v>111.67</v>
      </c>
      <c r="AD870" s="450">
        <v>111.04</v>
      </c>
      <c r="AE870" s="450">
        <v>110.41</v>
      </c>
      <c r="AF870" s="450">
        <v>109.79</v>
      </c>
      <c r="AG870" s="450">
        <v>109.18</v>
      </c>
      <c r="AH870" s="450">
        <v>106.43</v>
      </c>
      <c r="AI870" s="450">
        <v>103.79</v>
      </c>
      <c r="AJ870" s="450">
        <v>101.29</v>
      </c>
      <c r="AK870" s="450" t="s">
        <v>556</v>
      </c>
      <c r="AL870" s="450" t="s">
        <v>556</v>
      </c>
      <c r="AM870" s="133"/>
      <c r="AN870" s="134">
        <v>73</v>
      </c>
      <c r="AO870" s="450">
        <v>117.52</v>
      </c>
      <c r="AP870" s="450">
        <v>117.06</v>
      </c>
      <c r="AQ870" s="450">
        <v>116.55</v>
      </c>
      <c r="AR870" s="450">
        <v>116</v>
      </c>
      <c r="AS870" s="450">
        <v>115.42</v>
      </c>
      <c r="AT870" s="450">
        <v>114.82</v>
      </c>
      <c r="AU870" s="450">
        <v>114.2</v>
      </c>
      <c r="AV870" s="450">
        <v>113.56</v>
      </c>
      <c r="AW870" s="450">
        <v>112.92</v>
      </c>
      <c r="AX870" s="450">
        <v>112.28</v>
      </c>
      <c r="AY870" s="450">
        <v>111.65</v>
      </c>
      <c r="AZ870" s="450">
        <v>111.02</v>
      </c>
      <c r="BA870" s="450">
        <v>108.19</v>
      </c>
      <c r="BB870" s="450">
        <v>105.46</v>
      </c>
      <c r="BC870" s="450">
        <v>102.87</v>
      </c>
      <c r="BD870" s="450" t="s">
        <v>556</v>
      </c>
      <c r="BE870" s="450" t="s">
        <v>556</v>
      </c>
    </row>
    <row r="871" spans="2:57" x14ac:dyDescent="0.25">
      <c r="B871" s="134">
        <v>74</v>
      </c>
      <c r="C871" s="450">
        <v>112.57</v>
      </c>
      <c r="D871" s="450">
        <v>111.99</v>
      </c>
      <c r="E871" s="450">
        <v>111.38</v>
      </c>
      <c r="F871" s="450">
        <v>110.73</v>
      </c>
      <c r="G871" s="450">
        <v>110.06</v>
      </c>
      <c r="H871" s="450">
        <v>109.38</v>
      </c>
      <c r="I871" s="450">
        <v>108.68</v>
      </c>
      <c r="J871" s="450">
        <v>107.99</v>
      </c>
      <c r="K871" s="450">
        <v>107.29</v>
      </c>
      <c r="L871" s="450">
        <v>106.61</v>
      </c>
      <c r="M871" s="450">
        <v>105.94</v>
      </c>
      <c r="N871" s="450">
        <v>105.28</v>
      </c>
      <c r="O871" s="450">
        <v>102.4</v>
      </c>
      <c r="P871" s="450">
        <v>99.5</v>
      </c>
      <c r="Q871" s="450">
        <v>96.9</v>
      </c>
      <c r="R871" s="450" t="s">
        <v>556</v>
      </c>
      <c r="S871" s="450" t="s">
        <v>556</v>
      </c>
      <c r="T871" s="133"/>
      <c r="U871" s="134">
        <v>74</v>
      </c>
      <c r="V871" s="450">
        <v>114.61</v>
      </c>
      <c r="W871" s="450">
        <v>114.04</v>
      </c>
      <c r="X871" s="450">
        <v>113.43</v>
      </c>
      <c r="Y871" s="450">
        <v>112.79</v>
      </c>
      <c r="Z871" s="450">
        <v>112.13</v>
      </c>
      <c r="AA871" s="450">
        <v>111.45</v>
      </c>
      <c r="AB871" s="450">
        <v>110.76</v>
      </c>
      <c r="AC871" s="450">
        <v>110.06</v>
      </c>
      <c r="AD871" s="450">
        <v>109.37</v>
      </c>
      <c r="AE871" s="450">
        <v>108.69</v>
      </c>
      <c r="AF871" s="450">
        <v>108.02</v>
      </c>
      <c r="AG871" s="450">
        <v>107.36</v>
      </c>
      <c r="AH871" s="450">
        <v>104.47</v>
      </c>
      <c r="AI871" s="450">
        <v>101.56</v>
      </c>
      <c r="AJ871" s="450">
        <v>98.93</v>
      </c>
      <c r="AK871" s="450" t="s">
        <v>556</v>
      </c>
      <c r="AL871" s="450" t="s">
        <v>556</v>
      </c>
      <c r="AM871" s="133"/>
      <c r="AN871" s="134">
        <v>74</v>
      </c>
      <c r="AO871" s="450">
        <v>116.54</v>
      </c>
      <c r="AP871" s="450">
        <v>115.97</v>
      </c>
      <c r="AQ871" s="450">
        <v>115.35</v>
      </c>
      <c r="AR871" s="450">
        <v>114.71</v>
      </c>
      <c r="AS871" s="450">
        <v>114.04</v>
      </c>
      <c r="AT871" s="450">
        <v>113.34</v>
      </c>
      <c r="AU871" s="450">
        <v>112.64</v>
      </c>
      <c r="AV871" s="450">
        <v>111.94</v>
      </c>
      <c r="AW871" s="450">
        <v>111.23</v>
      </c>
      <c r="AX871" s="450">
        <v>110.53</v>
      </c>
      <c r="AY871" s="450">
        <v>109.85</v>
      </c>
      <c r="AZ871" s="450">
        <v>109.18</v>
      </c>
      <c r="BA871" s="450">
        <v>106.21</v>
      </c>
      <c r="BB871" s="450">
        <v>103.2</v>
      </c>
      <c r="BC871" s="450">
        <v>100.47</v>
      </c>
      <c r="BD871" s="450" t="s">
        <v>556</v>
      </c>
      <c r="BE871" s="450" t="s">
        <v>556</v>
      </c>
    </row>
    <row r="872" spans="2:57" x14ac:dyDescent="0.25">
      <c r="B872" s="134">
        <v>75</v>
      </c>
      <c r="C872" s="450">
        <v>111.36</v>
      </c>
      <c r="D872" s="450">
        <v>110.68</v>
      </c>
      <c r="E872" s="450">
        <v>109.96</v>
      </c>
      <c r="F872" s="450">
        <v>109.23</v>
      </c>
      <c r="G872" s="450">
        <v>108.47</v>
      </c>
      <c r="H872" s="450">
        <v>107.71</v>
      </c>
      <c r="I872" s="450">
        <v>106.95</v>
      </c>
      <c r="J872" s="450">
        <v>106.19</v>
      </c>
      <c r="K872" s="450">
        <v>105.44</v>
      </c>
      <c r="L872" s="450">
        <v>104.7</v>
      </c>
      <c r="M872" s="450">
        <v>103.99</v>
      </c>
      <c r="N872" s="450">
        <v>103.3</v>
      </c>
      <c r="O872" s="450">
        <v>100.3</v>
      </c>
      <c r="P872" s="450">
        <v>97.15</v>
      </c>
      <c r="Q872" s="450" t="s">
        <v>556</v>
      </c>
      <c r="R872" s="450" t="s">
        <v>556</v>
      </c>
      <c r="S872" s="450" t="s">
        <v>556</v>
      </c>
      <c r="T872" s="133"/>
      <c r="U872" s="134">
        <v>75</v>
      </c>
      <c r="V872" s="450">
        <v>113.42</v>
      </c>
      <c r="W872" s="450">
        <v>112.74</v>
      </c>
      <c r="X872" s="450">
        <v>112.03</v>
      </c>
      <c r="Y872" s="450">
        <v>111.3</v>
      </c>
      <c r="Z872" s="450">
        <v>110.55</v>
      </c>
      <c r="AA872" s="450">
        <v>109.79</v>
      </c>
      <c r="AB872" s="450">
        <v>109.03</v>
      </c>
      <c r="AC872" s="450">
        <v>108.27</v>
      </c>
      <c r="AD872" s="450">
        <v>107.52</v>
      </c>
      <c r="AE872" s="450">
        <v>106.79</v>
      </c>
      <c r="AF872" s="450">
        <v>106.07</v>
      </c>
      <c r="AG872" s="450">
        <v>105.38</v>
      </c>
      <c r="AH872" s="450">
        <v>102.38</v>
      </c>
      <c r="AI872" s="450">
        <v>99.2</v>
      </c>
      <c r="AJ872" s="450" t="s">
        <v>556</v>
      </c>
      <c r="AK872" s="450" t="s">
        <v>556</v>
      </c>
      <c r="AL872" s="450" t="s">
        <v>556</v>
      </c>
      <c r="AM872" s="133"/>
      <c r="AN872" s="134">
        <v>75</v>
      </c>
      <c r="AO872" s="450">
        <v>115.34</v>
      </c>
      <c r="AP872" s="450">
        <v>114.65</v>
      </c>
      <c r="AQ872" s="450">
        <v>113.94</v>
      </c>
      <c r="AR872" s="450">
        <v>113.2</v>
      </c>
      <c r="AS872" s="450">
        <v>112.44</v>
      </c>
      <c r="AT872" s="450">
        <v>111.66</v>
      </c>
      <c r="AU872" s="450">
        <v>110.89</v>
      </c>
      <c r="AV872" s="450">
        <v>110.12</v>
      </c>
      <c r="AW872" s="450">
        <v>109.35</v>
      </c>
      <c r="AX872" s="450">
        <v>108.6</v>
      </c>
      <c r="AY872" s="450">
        <v>107.87</v>
      </c>
      <c r="AZ872" s="450">
        <v>107.17</v>
      </c>
      <c r="BA872" s="450">
        <v>104.09</v>
      </c>
      <c r="BB872" s="450">
        <v>100.8</v>
      </c>
      <c r="BC872" s="450" t="s">
        <v>556</v>
      </c>
      <c r="BD872" s="450" t="s">
        <v>556</v>
      </c>
      <c r="BE872" s="450" t="s">
        <v>556</v>
      </c>
    </row>
    <row r="873" spans="2:57" x14ac:dyDescent="0.25">
      <c r="B873" s="134">
        <v>76</v>
      </c>
      <c r="C873" s="450">
        <v>109.94</v>
      </c>
      <c r="D873" s="450">
        <v>109.15</v>
      </c>
      <c r="E873" s="450">
        <v>108.34</v>
      </c>
      <c r="F873" s="450">
        <v>107.52</v>
      </c>
      <c r="G873" s="450">
        <v>106.69</v>
      </c>
      <c r="H873" s="450">
        <v>105.86</v>
      </c>
      <c r="I873" s="450">
        <v>105.03</v>
      </c>
      <c r="J873" s="450">
        <v>104.21</v>
      </c>
      <c r="K873" s="450">
        <v>103.42</v>
      </c>
      <c r="L873" s="450">
        <v>102.64</v>
      </c>
      <c r="M873" s="450">
        <v>101.89</v>
      </c>
      <c r="N873" s="450">
        <v>101.17</v>
      </c>
      <c r="O873" s="450">
        <v>97.92</v>
      </c>
      <c r="P873" s="450">
        <v>94.67</v>
      </c>
      <c r="Q873" s="450" t="s">
        <v>556</v>
      </c>
      <c r="R873" s="450" t="s">
        <v>556</v>
      </c>
      <c r="S873" s="450" t="s">
        <v>556</v>
      </c>
      <c r="T873" s="133"/>
      <c r="U873" s="134">
        <v>76</v>
      </c>
      <c r="V873" s="450">
        <v>112.01</v>
      </c>
      <c r="W873" s="450">
        <v>111.23</v>
      </c>
      <c r="X873" s="450">
        <v>110.43</v>
      </c>
      <c r="Y873" s="450">
        <v>109.6</v>
      </c>
      <c r="Z873" s="450">
        <v>108.77</v>
      </c>
      <c r="AA873" s="450">
        <v>107.94</v>
      </c>
      <c r="AB873" s="450">
        <v>107.12</v>
      </c>
      <c r="AC873" s="450">
        <v>106.3</v>
      </c>
      <c r="AD873" s="450">
        <v>105.5</v>
      </c>
      <c r="AE873" s="450">
        <v>104.73</v>
      </c>
      <c r="AF873" s="450">
        <v>103.98</v>
      </c>
      <c r="AG873" s="450">
        <v>103.26</v>
      </c>
      <c r="AH873" s="450">
        <v>100</v>
      </c>
      <c r="AI873" s="450">
        <v>96.73</v>
      </c>
      <c r="AJ873" s="450" t="s">
        <v>556</v>
      </c>
      <c r="AK873" s="450" t="s">
        <v>556</v>
      </c>
      <c r="AL873" s="450" t="s">
        <v>556</v>
      </c>
      <c r="AM873" s="133"/>
      <c r="AN873" s="134">
        <v>76</v>
      </c>
      <c r="AO873" s="450">
        <v>113.91</v>
      </c>
      <c r="AP873" s="450">
        <v>113.12</v>
      </c>
      <c r="AQ873" s="450">
        <v>112.31</v>
      </c>
      <c r="AR873" s="450">
        <v>111.48</v>
      </c>
      <c r="AS873" s="450">
        <v>110.64</v>
      </c>
      <c r="AT873" s="450">
        <v>109.79</v>
      </c>
      <c r="AU873" s="450">
        <v>108.95</v>
      </c>
      <c r="AV873" s="450">
        <v>108.12</v>
      </c>
      <c r="AW873" s="450">
        <v>107.31</v>
      </c>
      <c r="AX873" s="450">
        <v>106.52</v>
      </c>
      <c r="AY873" s="450">
        <v>105.75</v>
      </c>
      <c r="AZ873" s="450">
        <v>105.01</v>
      </c>
      <c r="BA873" s="450">
        <v>101.66</v>
      </c>
      <c r="BB873" s="450">
        <v>98.29</v>
      </c>
      <c r="BC873" s="450" t="s">
        <v>556</v>
      </c>
      <c r="BD873" s="450" t="s">
        <v>556</v>
      </c>
      <c r="BE873" s="450" t="s">
        <v>556</v>
      </c>
    </row>
    <row r="874" spans="2:57" x14ac:dyDescent="0.25">
      <c r="B874" s="134">
        <v>77</v>
      </c>
      <c r="C874" s="450">
        <v>108.31</v>
      </c>
      <c r="D874" s="450">
        <v>107.43</v>
      </c>
      <c r="E874" s="450">
        <v>106.54</v>
      </c>
      <c r="F874" s="450">
        <v>105.63</v>
      </c>
      <c r="G874" s="450">
        <v>104.73</v>
      </c>
      <c r="H874" s="450">
        <v>103.83</v>
      </c>
      <c r="I874" s="450">
        <v>102.95</v>
      </c>
      <c r="J874" s="450">
        <v>102.09</v>
      </c>
      <c r="K874" s="450">
        <v>101.25</v>
      </c>
      <c r="L874" s="450">
        <v>100.45</v>
      </c>
      <c r="M874" s="450">
        <v>99.67</v>
      </c>
      <c r="N874" s="450">
        <v>98.93</v>
      </c>
      <c r="O874" s="450">
        <v>95.42</v>
      </c>
      <c r="P874" s="450">
        <v>92.09</v>
      </c>
      <c r="Q874" s="450" t="s">
        <v>556</v>
      </c>
      <c r="R874" s="450" t="s">
        <v>556</v>
      </c>
      <c r="S874" s="450" t="s">
        <v>556</v>
      </c>
      <c r="T874" s="133"/>
      <c r="U874" s="134">
        <v>77</v>
      </c>
      <c r="V874" s="450">
        <v>110.4</v>
      </c>
      <c r="W874" s="450">
        <v>109.52</v>
      </c>
      <c r="X874" s="450">
        <v>108.62</v>
      </c>
      <c r="Y874" s="450">
        <v>107.72</v>
      </c>
      <c r="Z874" s="450">
        <v>106.82</v>
      </c>
      <c r="AA874" s="450">
        <v>105.93</v>
      </c>
      <c r="AB874" s="450">
        <v>105.05</v>
      </c>
      <c r="AC874" s="450">
        <v>104.18</v>
      </c>
      <c r="AD874" s="450">
        <v>103.34</v>
      </c>
      <c r="AE874" s="450">
        <v>102.54</v>
      </c>
      <c r="AF874" s="450">
        <v>101.76</v>
      </c>
      <c r="AG874" s="450">
        <v>101.02</v>
      </c>
      <c r="AH874" s="450">
        <v>97.5</v>
      </c>
      <c r="AI874" s="450">
        <v>94.14</v>
      </c>
      <c r="AJ874" s="450" t="s">
        <v>556</v>
      </c>
      <c r="AK874" s="450" t="s">
        <v>556</v>
      </c>
      <c r="AL874" s="450" t="s">
        <v>556</v>
      </c>
      <c r="AM874" s="133"/>
      <c r="AN874" s="134">
        <v>77</v>
      </c>
      <c r="AO874" s="450">
        <v>112.28</v>
      </c>
      <c r="AP874" s="450">
        <v>111.39</v>
      </c>
      <c r="AQ874" s="450">
        <v>110.48</v>
      </c>
      <c r="AR874" s="450">
        <v>109.57</v>
      </c>
      <c r="AS874" s="450">
        <v>108.66</v>
      </c>
      <c r="AT874" s="450">
        <v>107.75</v>
      </c>
      <c r="AU874" s="450">
        <v>106.85</v>
      </c>
      <c r="AV874" s="450">
        <v>105.97</v>
      </c>
      <c r="AW874" s="450">
        <v>105.12</v>
      </c>
      <c r="AX874" s="450">
        <v>104.29</v>
      </c>
      <c r="AY874" s="450">
        <v>103.49</v>
      </c>
      <c r="AZ874" s="450">
        <v>102.73</v>
      </c>
      <c r="BA874" s="450">
        <v>99.12</v>
      </c>
      <c r="BB874" s="450">
        <v>95.66</v>
      </c>
      <c r="BC874" s="450" t="s">
        <v>556</v>
      </c>
      <c r="BD874" s="450" t="s">
        <v>556</v>
      </c>
      <c r="BE874" s="450" t="s">
        <v>556</v>
      </c>
    </row>
    <row r="875" spans="2:57" x14ac:dyDescent="0.25">
      <c r="B875" s="134">
        <v>78</v>
      </c>
      <c r="C875" s="450">
        <v>106.5</v>
      </c>
      <c r="D875" s="450">
        <v>105.53</v>
      </c>
      <c r="E875" s="450">
        <v>104.55</v>
      </c>
      <c r="F875" s="450">
        <v>103.58</v>
      </c>
      <c r="G875" s="450">
        <v>102.62</v>
      </c>
      <c r="H875" s="450">
        <v>101.67</v>
      </c>
      <c r="I875" s="450">
        <v>100.74</v>
      </c>
      <c r="J875" s="450">
        <v>99.84</v>
      </c>
      <c r="K875" s="450">
        <v>98.97</v>
      </c>
      <c r="L875" s="450">
        <v>98.14</v>
      </c>
      <c r="M875" s="450">
        <v>97.34</v>
      </c>
      <c r="N875" s="450">
        <v>96.58</v>
      </c>
      <c r="O875" s="450">
        <v>92.84</v>
      </c>
      <c r="P875" s="450">
        <v>89.41</v>
      </c>
      <c r="Q875" s="450" t="s">
        <v>556</v>
      </c>
      <c r="R875" s="450" t="s">
        <v>556</v>
      </c>
      <c r="S875" s="450" t="s">
        <v>556</v>
      </c>
      <c r="T875" s="133"/>
      <c r="U875" s="134">
        <v>78</v>
      </c>
      <c r="V875" s="450">
        <v>108.59</v>
      </c>
      <c r="W875" s="450">
        <v>107.62</v>
      </c>
      <c r="X875" s="450">
        <v>106.65</v>
      </c>
      <c r="Y875" s="450">
        <v>105.67</v>
      </c>
      <c r="Z875" s="450">
        <v>104.71</v>
      </c>
      <c r="AA875" s="450">
        <v>103.76</v>
      </c>
      <c r="AB875" s="450">
        <v>102.83</v>
      </c>
      <c r="AC875" s="450">
        <v>101.93</v>
      </c>
      <c r="AD875" s="450">
        <v>101.06</v>
      </c>
      <c r="AE875" s="450">
        <v>100.23</v>
      </c>
      <c r="AF875" s="450">
        <v>99.43</v>
      </c>
      <c r="AG875" s="450">
        <v>98.67</v>
      </c>
      <c r="AH875" s="450">
        <v>94.92</v>
      </c>
      <c r="AI875" s="450">
        <v>91.46</v>
      </c>
      <c r="AJ875" s="450" t="s">
        <v>556</v>
      </c>
      <c r="AK875" s="450" t="s">
        <v>556</v>
      </c>
      <c r="AL875" s="450" t="s">
        <v>556</v>
      </c>
      <c r="AM875" s="133"/>
      <c r="AN875" s="134">
        <v>78</v>
      </c>
      <c r="AO875" s="450">
        <v>110.44</v>
      </c>
      <c r="AP875" s="450">
        <v>109.46</v>
      </c>
      <c r="AQ875" s="450">
        <v>108.48</v>
      </c>
      <c r="AR875" s="450">
        <v>107.49</v>
      </c>
      <c r="AS875" s="450">
        <v>106.51</v>
      </c>
      <c r="AT875" s="450">
        <v>105.55</v>
      </c>
      <c r="AU875" s="450">
        <v>104.6</v>
      </c>
      <c r="AV875" s="450">
        <v>103.69</v>
      </c>
      <c r="AW875" s="450">
        <v>102.8</v>
      </c>
      <c r="AX875" s="450">
        <v>101.94</v>
      </c>
      <c r="AY875" s="450">
        <v>101.13</v>
      </c>
      <c r="AZ875" s="450">
        <v>100.35</v>
      </c>
      <c r="BA875" s="450">
        <v>96.5</v>
      </c>
      <c r="BB875" s="450">
        <v>92.93</v>
      </c>
      <c r="BC875" s="450" t="s">
        <v>556</v>
      </c>
      <c r="BD875" s="450" t="s">
        <v>556</v>
      </c>
      <c r="BE875" s="450" t="s">
        <v>556</v>
      </c>
    </row>
    <row r="876" spans="2:57" x14ac:dyDescent="0.25">
      <c r="B876" s="134">
        <v>79</v>
      </c>
      <c r="C876" s="450">
        <v>104.5</v>
      </c>
      <c r="D876" s="450">
        <v>103.46</v>
      </c>
      <c r="E876" s="450">
        <v>102.41</v>
      </c>
      <c r="F876" s="450">
        <v>101.38</v>
      </c>
      <c r="G876" s="450">
        <v>100.37</v>
      </c>
      <c r="H876" s="450">
        <v>99.37</v>
      </c>
      <c r="I876" s="450">
        <v>98.41</v>
      </c>
      <c r="J876" s="450">
        <v>97.48</v>
      </c>
      <c r="K876" s="450">
        <v>96.59</v>
      </c>
      <c r="L876" s="450">
        <v>95.74</v>
      </c>
      <c r="M876" s="450">
        <v>94.93</v>
      </c>
      <c r="N876" s="450">
        <v>94.16</v>
      </c>
      <c r="O876" s="450">
        <v>90.2</v>
      </c>
      <c r="P876" s="450">
        <v>86.63</v>
      </c>
      <c r="Q876" s="450" t="s">
        <v>556</v>
      </c>
      <c r="R876" s="450" t="s">
        <v>556</v>
      </c>
      <c r="S876" s="450" t="s">
        <v>556</v>
      </c>
      <c r="T876" s="133"/>
      <c r="U876" s="134">
        <v>79</v>
      </c>
      <c r="V876" s="450">
        <v>106.6</v>
      </c>
      <c r="W876" s="450">
        <v>105.55</v>
      </c>
      <c r="X876" s="450">
        <v>104.51</v>
      </c>
      <c r="Y876" s="450">
        <v>103.48</v>
      </c>
      <c r="Z876" s="450">
        <v>102.46</v>
      </c>
      <c r="AA876" s="450">
        <v>101.47</v>
      </c>
      <c r="AB876" s="450">
        <v>100.51</v>
      </c>
      <c r="AC876" s="450">
        <v>99.57</v>
      </c>
      <c r="AD876" s="450">
        <v>98.68</v>
      </c>
      <c r="AE876" s="450">
        <v>97.83</v>
      </c>
      <c r="AF876" s="450">
        <v>97.02</v>
      </c>
      <c r="AG876" s="450">
        <v>96.25</v>
      </c>
      <c r="AH876" s="450">
        <v>92.27</v>
      </c>
      <c r="AI876" s="450">
        <v>88.67</v>
      </c>
      <c r="AJ876" s="450" t="s">
        <v>556</v>
      </c>
      <c r="AK876" s="450" t="s">
        <v>556</v>
      </c>
      <c r="AL876" s="450" t="s">
        <v>556</v>
      </c>
      <c r="AM876" s="133"/>
      <c r="AN876" s="134">
        <v>79</v>
      </c>
      <c r="AO876" s="450">
        <v>108.42</v>
      </c>
      <c r="AP876" s="450">
        <v>107.37</v>
      </c>
      <c r="AQ876" s="450">
        <v>106.31</v>
      </c>
      <c r="AR876" s="450">
        <v>105.26</v>
      </c>
      <c r="AS876" s="450">
        <v>104.23</v>
      </c>
      <c r="AT876" s="450">
        <v>103.22</v>
      </c>
      <c r="AU876" s="450">
        <v>102.24</v>
      </c>
      <c r="AV876" s="450">
        <v>101.29</v>
      </c>
      <c r="AW876" s="450">
        <v>100.38</v>
      </c>
      <c r="AX876" s="450">
        <v>99.51</v>
      </c>
      <c r="AY876" s="450">
        <v>98.68</v>
      </c>
      <c r="AZ876" s="450">
        <v>97.89</v>
      </c>
      <c r="BA876" s="450">
        <v>93.81</v>
      </c>
      <c r="BB876" s="450">
        <v>90.1</v>
      </c>
      <c r="BC876" s="450" t="s">
        <v>556</v>
      </c>
      <c r="BD876" s="450" t="s">
        <v>556</v>
      </c>
      <c r="BE876" s="450" t="s">
        <v>556</v>
      </c>
    </row>
    <row r="877" spans="2:57" x14ac:dyDescent="0.25">
      <c r="B877" s="134">
        <v>80</v>
      </c>
      <c r="C877" s="450">
        <v>102.36</v>
      </c>
      <c r="D877" s="450">
        <v>101.24</v>
      </c>
      <c r="E877" s="450">
        <v>100.14</v>
      </c>
      <c r="F877" s="450">
        <v>99.06</v>
      </c>
      <c r="G877" s="450">
        <v>98</v>
      </c>
      <c r="H877" s="450">
        <v>96.98</v>
      </c>
      <c r="I877" s="450">
        <v>95.99</v>
      </c>
      <c r="J877" s="450">
        <v>95.04</v>
      </c>
      <c r="K877" s="450">
        <v>94.13</v>
      </c>
      <c r="L877" s="450">
        <v>93.27</v>
      </c>
      <c r="M877" s="450">
        <v>92.46</v>
      </c>
      <c r="N877" s="450">
        <v>91.69</v>
      </c>
      <c r="O877" s="450">
        <v>87.5</v>
      </c>
      <c r="P877" s="450" t="s">
        <v>556</v>
      </c>
      <c r="Q877" s="450" t="s">
        <v>556</v>
      </c>
      <c r="R877" s="450" t="s">
        <v>556</v>
      </c>
      <c r="S877" s="450" t="s">
        <v>556</v>
      </c>
      <c r="T877" s="133"/>
      <c r="U877" s="134">
        <v>80</v>
      </c>
      <c r="V877" s="450">
        <v>104.45</v>
      </c>
      <c r="W877" s="450">
        <v>103.34</v>
      </c>
      <c r="X877" s="450">
        <v>102.24</v>
      </c>
      <c r="Y877" s="450">
        <v>101.16</v>
      </c>
      <c r="Z877" s="450">
        <v>100.1</v>
      </c>
      <c r="AA877" s="450">
        <v>99.07</v>
      </c>
      <c r="AB877" s="450">
        <v>98.08</v>
      </c>
      <c r="AC877" s="450">
        <v>97.13</v>
      </c>
      <c r="AD877" s="450">
        <v>96.22</v>
      </c>
      <c r="AE877" s="450">
        <v>95.36</v>
      </c>
      <c r="AF877" s="450">
        <v>94.54</v>
      </c>
      <c r="AG877" s="450">
        <v>93.77</v>
      </c>
      <c r="AH877" s="450">
        <v>89.57</v>
      </c>
      <c r="AI877" s="450" t="s">
        <v>556</v>
      </c>
      <c r="AJ877" s="450" t="s">
        <v>556</v>
      </c>
      <c r="AK877" s="450" t="s">
        <v>556</v>
      </c>
      <c r="AL877" s="450" t="s">
        <v>556</v>
      </c>
      <c r="AM877" s="133"/>
      <c r="AN877" s="134">
        <v>80</v>
      </c>
      <c r="AO877" s="450">
        <v>106.25</v>
      </c>
      <c r="AP877" s="450">
        <v>105.12</v>
      </c>
      <c r="AQ877" s="450">
        <v>104</v>
      </c>
      <c r="AR877" s="450">
        <v>102.91</v>
      </c>
      <c r="AS877" s="450">
        <v>101.83</v>
      </c>
      <c r="AT877" s="450">
        <v>100.79</v>
      </c>
      <c r="AU877" s="450">
        <v>99.78</v>
      </c>
      <c r="AV877" s="450">
        <v>98.81</v>
      </c>
      <c r="AW877" s="450">
        <v>97.88</v>
      </c>
      <c r="AX877" s="450">
        <v>97</v>
      </c>
      <c r="AY877" s="450">
        <v>96.16</v>
      </c>
      <c r="AZ877" s="450">
        <v>95.38</v>
      </c>
      <c r="BA877" s="450">
        <v>91.06</v>
      </c>
      <c r="BB877" s="450" t="s">
        <v>556</v>
      </c>
      <c r="BC877" s="450" t="s">
        <v>556</v>
      </c>
      <c r="BD877" s="450" t="s">
        <v>556</v>
      </c>
      <c r="BE877" s="450" t="s">
        <v>556</v>
      </c>
    </row>
    <row r="878" spans="2:57" x14ac:dyDescent="0.25">
      <c r="B878" s="134">
        <v>81</v>
      </c>
      <c r="C878" s="450">
        <v>100.08</v>
      </c>
      <c r="D878" s="450">
        <v>98.91</v>
      </c>
      <c r="E878" s="450">
        <v>97.76</v>
      </c>
      <c r="F878" s="450">
        <v>96.64</v>
      </c>
      <c r="G878" s="450">
        <v>95.55</v>
      </c>
      <c r="H878" s="450">
        <v>94.51</v>
      </c>
      <c r="I878" s="450">
        <v>93.5</v>
      </c>
      <c r="J878" s="450">
        <v>92.54</v>
      </c>
      <c r="K878" s="450">
        <v>91.62</v>
      </c>
      <c r="L878" s="450">
        <v>90.76</v>
      </c>
      <c r="M878" s="450">
        <v>89.94</v>
      </c>
      <c r="N878" s="450">
        <v>89</v>
      </c>
      <c r="O878" s="450">
        <v>84.76</v>
      </c>
      <c r="P878" s="450" t="s">
        <v>556</v>
      </c>
      <c r="Q878" s="450" t="s">
        <v>556</v>
      </c>
      <c r="R878" s="450" t="s">
        <v>556</v>
      </c>
      <c r="S878" s="450" t="s">
        <v>556</v>
      </c>
      <c r="T878" s="133"/>
      <c r="U878" s="134">
        <v>81</v>
      </c>
      <c r="V878" s="450">
        <v>102.18</v>
      </c>
      <c r="W878" s="450">
        <v>101.01</v>
      </c>
      <c r="X878" s="450">
        <v>99.86</v>
      </c>
      <c r="Y878" s="450">
        <v>98.73</v>
      </c>
      <c r="Z878" s="450">
        <v>97.65</v>
      </c>
      <c r="AA878" s="450">
        <v>96.6</v>
      </c>
      <c r="AB878" s="450">
        <v>95.59</v>
      </c>
      <c r="AC878" s="450">
        <v>94.62</v>
      </c>
      <c r="AD878" s="450">
        <v>93.71</v>
      </c>
      <c r="AE878" s="450">
        <v>92.84</v>
      </c>
      <c r="AF878" s="450">
        <v>92.03</v>
      </c>
      <c r="AG878" s="450">
        <v>91.08</v>
      </c>
      <c r="AH878" s="450">
        <v>86.82</v>
      </c>
      <c r="AI878" s="450" t="s">
        <v>556</v>
      </c>
      <c r="AJ878" s="450" t="s">
        <v>556</v>
      </c>
      <c r="AK878" s="450" t="s">
        <v>556</v>
      </c>
      <c r="AL878" s="450" t="s">
        <v>556</v>
      </c>
      <c r="AM878" s="133"/>
      <c r="AN878" s="134">
        <v>81</v>
      </c>
      <c r="AO878" s="450">
        <v>103.93</v>
      </c>
      <c r="AP878" s="450">
        <v>102.75</v>
      </c>
      <c r="AQ878" s="450">
        <v>101.59</v>
      </c>
      <c r="AR878" s="450">
        <v>100.45</v>
      </c>
      <c r="AS878" s="450">
        <v>99.34</v>
      </c>
      <c r="AT878" s="450">
        <v>98.27</v>
      </c>
      <c r="AU878" s="450">
        <v>97.25</v>
      </c>
      <c r="AV878" s="450">
        <v>96.26</v>
      </c>
      <c r="AW878" s="450">
        <v>95.33</v>
      </c>
      <c r="AX878" s="450">
        <v>94.44</v>
      </c>
      <c r="AY878" s="450">
        <v>93.61</v>
      </c>
      <c r="AZ878" s="450">
        <v>92.64</v>
      </c>
      <c r="BA878" s="450">
        <v>88.27</v>
      </c>
      <c r="BB878" s="450" t="s">
        <v>556</v>
      </c>
      <c r="BC878" s="450" t="s">
        <v>556</v>
      </c>
      <c r="BD878" s="450" t="s">
        <v>556</v>
      </c>
      <c r="BE878" s="450" t="s">
        <v>556</v>
      </c>
    </row>
    <row r="879" spans="2:57" x14ac:dyDescent="0.25">
      <c r="B879" s="134">
        <v>82</v>
      </c>
      <c r="C879" s="450">
        <v>97.69</v>
      </c>
      <c r="D879" s="450">
        <v>96.48</v>
      </c>
      <c r="E879" s="450">
        <v>95.29</v>
      </c>
      <c r="F879" s="450">
        <v>94.15</v>
      </c>
      <c r="G879" s="450">
        <v>93.04</v>
      </c>
      <c r="H879" s="450">
        <v>91.98</v>
      </c>
      <c r="I879" s="450">
        <v>90.96</v>
      </c>
      <c r="J879" s="450">
        <v>89.99</v>
      </c>
      <c r="K879" s="450">
        <v>89.08</v>
      </c>
      <c r="L879" s="450">
        <v>88.21</v>
      </c>
      <c r="M879" s="450">
        <v>87.23</v>
      </c>
      <c r="N879" s="450">
        <v>86.27</v>
      </c>
      <c r="O879" s="450">
        <v>81.98</v>
      </c>
      <c r="P879" s="450" t="s">
        <v>556</v>
      </c>
      <c r="Q879" s="450" t="s">
        <v>556</v>
      </c>
      <c r="R879" s="450" t="s">
        <v>556</v>
      </c>
      <c r="S879" s="450" t="s">
        <v>556</v>
      </c>
      <c r="T879" s="133"/>
      <c r="U879" s="134">
        <v>82</v>
      </c>
      <c r="V879" s="450">
        <v>99.79</v>
      </c>
      <c r="W879" s="450">
        <v>98.57</v>
      </c>
      <c r="X879" s="450">
        <v>97.39</v>
      </c>
      <c r="Y879" s="450">
        <v>96.24</v>
      </c>
      <c r="Z879" s="450">
        <v>95.13</v>
      </c>
      <c r="AA879" s="450">
        <v>94.06</v>
      </c>
      <c r="AB879" s="450">
        <v>93.05</v>
      </c>
      <c r="AC879" s="450">
        <v>92.08</v>
      </c>
      <c r="AD879" s="450">
        <v>91.16</v>
      </c>
      <c r="AE879" s="450">
        <v>90.3</v>
      </c>
      <c r="AF879" s="450">
        <v>89.31</v>
      </c>
      <c r="AG879" s="450">
        <v>88.35</v>
      </c>
      <c r="AH879" s="450">
        <v>84.04</v>
      </c>
      <c r="AI879" s="450" t="s">
        <v>556</v>
      </c>
      <c r="AJ879" s="450" t="s">
        <v>556</v>
      </c>
      <c r="AK879" s="450" t="s">
        <v>556</v>
      </c>
      <c r="AL879" s="450" t="s">
        <v>556</v>
      </c>
      <c r="AM879" s="133"/>
      <c r="AN879" s="134">
        <v>82</v>
      </c>
      <c r="AO879" s="450">
        <v>101.51</v>
      </c>
      <c r="AP879" s="450">
        <v>100.28</v>
      </c>
      <c r="AQ879" s="450">
        <v>99.08</v>
      </c>
      <c r="AR879" s="450">
        <v>97.91</v>
      </c>
      <c r="AS879" s="450">
        <v>96.78</v>
      </c>
      <c r="AT879" s="450">
        <v>95.7</v>
      </c>
      <c r="AU879" s="450">
        <v>94.66</v>
      </c>
      <c r="AV879" s="450">
        <v>93.68</v>
      </c>
      <c r="AW879" s="450">
        <v>92.74</v>
      </c>
      <c r="AX879" s="450">
        <v>91.86</v>
      </c>
      <c r="AY879" s="450">
        <v>90.85</v>
      </c>
      <c r="AZ879" s="450">
        <v>89.87</v>
      </c>
      <c r="BA879" s="450">
        <v>85.44</v>
      </c>
      <c r="BB879" s="450" t="s">
        <v>556</v>
      </c>
      <c r="BC879" s="450" t="s">
        <v>556</v>
      </c>
      <c r="BD879" s="450" t="s">
        <v>556</v>
      </c>
      <c r="BE879" s="450" t="s">
        <v>556</v>
      </c>
    </row>
    <row r="880" spans="2:57" x14ac:dyDescent="0.25">
      <c r="B880" s="134">
        <v>83</v>
      </c>
      <c r="C880" s="450">
        <v>95.22</v>
      </c>
      <c r="D880" s="450">
        <v>93.97</v>
      </c>
      <c r="E880" s="450">
        <v>92.76</v>
      </c>
      <c r="F880" s="450">
        <v>91.6</v>
      </c>
      <c r="G880" s="450">
        <v>90.48</v>
      </c>
      <c r="H880" s="450">
        <v>89.41</v>
      </c>
      <c r="I880" s="450">
        <v>88.39</v>
      </c>
      <c r="J880" s="450">
        <v>87.43</v>
      </c>
      <c r="K880" s="450">
        <v>86.52</v>
      </c>
      <c r="L880" s="450">
        <v>85.49</v>
      </c>
      <c r="M880" s="450">
        <v>84.49</v>
      </c>
      <c r="N880" s="450">
        <v>83.54</v>
      </c>
      <c r="O880" s="450">
        <v>79.16</v>
      </c>
      <c r="P880" s="450" t="s">
        <v>556</v>
      </c>
      <c r="Q880" s="450" t="s">
        <v>556</v>
      </c>
      <c r="R880" s="450" t="s">
        <v>556</v>
      </c>
      <c r="S880" s="450" t="s">
        <v>556</v>
      </c>
      <c r="T880" s="133"/>
      <c r="U880" s="134">
        <v>83</v>
      </c>
      <c r="V880" s="450">
        <v>97.31</v>
      </c>
      <c r="W880" s="450">
        <v>96.06</v>
      </c>
      <c r="X880" s="450">
        <v>94.85</v>
      </c>
      <c r="Y880" s="450">
        <v>93.69</v>
      </c>
      <c r="Z880" s="450">
        <v>92.56</v>
      </c>
      <c r="AA880" s="450">
        <v>91.49</v>
      </c>
      <c r="AB880" s="450">
        <v>90.47</v>
      </c>
      <c r="AC880" s="450">
        <v>89.51</v>
      </c>
      <c r="AD880" s="450">
        <v>88.6</v>
      </c>
      <c r="AE880" s="450">
        <v>87.57</v>
      </c>
      <c r="AF880" s="450">
        <v>86.57</v>
      </c>
      <c r="AG880" s="450">
        <v>85.61</v>
      </c>
      <c r="AH880" s="450">
        <v>81.209999999999994</v>
      </c>
      <c r="AI880" s="450" t="s">
        <v>556</v>
      </c>
      <c r="AJ880" s="450" t="s">
        <v>556</v>
      </c>
      <c r="AK880" s="450" t="s">
        <v>556</v>
      </c>
      <c r="AL880" s="450" t="s">
        <v>556</v>
      </c>
      <c r="AM880" s="133"/>
      <c r="AN880" s="134">
        <v>83</v>
      </c>
      <c r="AO880" s="450">
        <v>98.99</v>
      </c>
      <c r="AP880" s="450">
        <v>97.73</v>
      </c>
      <c r="AQ880" s="450">
        <v>96.5</v>
      </c>
      <c r="AR880" s="450">
        <v>95.32</v>
      </c>
      <c r="AS880" s="450">
        <v>94.18</v>
      </c>
      <c r="AT880" s="450">
        <v>93.09</v>
      </c>
      <c r="AU880" s="450">
        <v>92.05</v>
      </c>
      <c r="AV880" s="450">
        <v>91.07</v>
      </c>
      <c r="AW880" s="450">
        <v>90.14</v>
      </c>
      <c r="AX880" s="450">
        <v>89.09</v>
      </c>
      <c r="AY880" s="450">
        <v>88.06</v>
      </c>
      <c r="AZ880" s="450">
        <v>87.08</v>
      </c>
      <c r="BA880" s="450">
        <v>82.58</v>
      </c>
      <c r="BB880" s="450" t="s">
        <v>556</v>
      </c>
      <c r="BC880" s="450" t="s">
        <v>556</v>
      </c>
      <c r="BD880" s="450" t="s">
        <v>556</v>
      </c>
      <c r="BE880" s="450" t="s">
        <v>556</v>
      </c>
    </row>
    <row r="881" spans="2:57" x14ac:dyDescent="0.25">
      <c r="B881" s="134">
        <v>84</v>
      </c>
      <c r="C881" s="450">
        <v>92.68</v>
      </c>
      <c r="D881" s="450">
        <v>91.42</v>
      </c>
      <c r="E881" s="450">
        <v>90.19</v>
      </c>
      <c r="F881" s="450">
        <v>89.02</v>
      </c>
      <c r="G881" s="450">
        <v>87.9</v>
      </c>
      <c r="H881" s="450">
        <v>86.83</v>
      </c>
      <c r="I881" s="450">
        <v>85.81</v>
      </c>
      <c r="J881" s="450">
        <v>84.86</v>
      </c>
      <c r="K881" s="450">
        <v>83.79</v>
      </c>
      <c r="L881" s="450">
        <v>82.75</v>
      </c>
      <c r="M881" s="450">
        <v>81.760000000000005</v>
      </c>
      <c r="N881" s="450">
        <v>80.81</v>
      </c>
      <c r="O881" s="450">
        <v>76.3</v>
      </c>
      <c r="P881" s="450" t="s">
        <v>556</v>
      </c>
      <c r="Q881" s="450" t="s">
        <v>556</v>
      </c>
      <c r="R881" s="450" t="s">
        <v>556</v>
      </c>
      <c r="S881" s="450" t="s">
        <v>556</v>
      </c>
      <c r="T881" s="133"/>
      <c r="U881" s="134">
        <v>84</v>
      </c>
      <c r="V881" s="450">
        <v>94.77</v>
      </c>
      <c r="W881" s="450">
        <v>93.5</v>
      </c>
      <c r="X881" s="450">
        <v>92.28</v>
      </c>
      <c r="Y881" s="450">
        <v>91.1</v>
      </c>
      <c r="Z881" s="450">
        <v>89.98</v>
      </c>
      <c r="AA881" s="450">
        <v>88.91</v>
      </c>
      <c r="AB881" s="450">
        <v>87.89</v>
      </c>
      <c r="AC881" s="450">
        <v>86.94</v>
      </c>
      <c r="AD881" s="450">
        <v>85.86</v>
      </c>
      <c r="AE881" s="450">
        <v>84.83</v>
      </c>
      <c r="AF881" s="450">
        <v>83.83</v>
      </c>
      <c r="AG881" s="450">
        <v>82.87</v>
      </c>
      <c r="AH881" s="450">
        <v>78.34</v>
      </c>
      <c r="AI881" s="450" t="s">
        <v>556</v>
      </c>
      <c r="AJ881" s="450" t="s">
        <v>556</v>
      </c>
      <c r="AK881" s="450" t="s">
        <v>556</v>
      </c>
      <c r="AL881" s="450" t="s">
        <v>556</v>
      </c>
      <c r="AM881" s="133"/>
      <c r="AN881" s="134">
        <v>84</v>
      </c>
      <c r="AO881" s="450">
        <v>96.42</v>
      </c>
      <c r="AP881" s="450">
        <v>95.13</v>
      </c>
      <c r="AQ881" s="450">
        <v>93.89</v>
      </c>
      <c r="AR881" s="450">
        <v>92.69</v>
      </c>
      <c r="AS881" s="450">
        <v>91.55</v>
      </c>
      <c r="AT881" s="450">
        <v>90.46</v>
      </c>
      <c r="AU881" s="450">
        <v>89.43</v>
      </c>
      <c r="AV881" s="450">
        <v>88.45</v>
      </c>
      <c r="AW881" s="450">
        <v>87.36</v>
      </c>
      <c r="AX881" s="450">
        <v>86.3</v>
      </c>
      <c r="AY881" s="450">
        <v>85.28</v>
      </c>
      <c r="AZ881" s="450">
        <v>84.3</v>
      </c>
      <c r="BA881" s="450">
        <v>79.66</v>
      </c>
      <c r="BB881" s="450" t="s">
        <v>556</v>
      </c>
      <c r="BC881" s="450" t="s">
        <v>556</v>
      </c>
      <c r="BD881" s="450" t="s">
        <v>556</v>
      </c>
      <c r="BE881" s="450" t="s">
        <v>556</v>
      </c>
    </row>
    <row r="882" spans="2:57" x14ac:dyDescent="0.25">
      <c r="B882" s="134">
        <v>85</v>
      </c>
      <c r="C882" s="450">
        <v>90.11</v>
      </c>
      <c r="D882" s="450">
        <v>88.83</v>
      </c>
      <c r="E882" s="450">
        <v>87.6</v>
      </c>
      <c r="F882" s="450">
        <v>86.42</v>
      </c>
      <c r="G882" s="450">
        <v>85.31</v>
      </c>
      <c r="H882" s="450">
        <v>84.24</v>
      </c>
      <c r="I882" s="450">
        <v>83.24</v>
      </c>
      <c r="J882" s="450">
        <v>82.13</v>
      </c>
      <c r="K882" s="450">
        <v>81.06</v>
      </c>
      <c r="L882" s="450">
        <v>80.03</v>
      </c>
      <c r="M882" s="450">
        <v>79.040000000000006</v>
      </c>
      <c r="N882" s="450">
        <v>78.08</v>
      </c>
      <c r="O882" s="450" t="s">
        <v>556</v>
      </c>
      <c r="P882" s="450" t="s">
        <v>556</v>
      </c>
      <c r="Q882" s="450" t="s">
        <v>556</v>
      </c>
      <c r="R882" s="450" t="s">
        <v>556</v>
      </c>
      <c r="S882" s="450" t="s">
        <v>556</v>
      </c>
      <c r="T882" s="133"/>
      <c r="U882" s="134">
        <v>85</v>
      </c>
      <c r="V882" s="450">
        <v>92.2</v>
      </c>
      <c r="W882" s="450">
        <v>90.91</v>
      </c>
      <c r="X882" s="450">
        <v>89.68</v>
      </c>
      <c r="Y882" s="450">
        <v>88.5</v>
      </c>
      <c r="Z882" s="450">
        <v>87.38</v>
      </c>
      <c r="AA882" s="450">
        <v>86.32</v>
      </c>
      <c r="AB882" s="450">
        <v>85.32</v>
      </c>
      <c r="AC882" s="450">
        <v>84.21</v>
      </c>
      <c r="AD882" s="450">
        <v>83.13</v>
      </c>
      <c r="AE882" s="450">
        <v>82.1</v>
      </c>
      <c r="AF882" s="450">
        <v>81.099999999999994</v>
      </c>
      <c r="AG882" s="450">
        <v>80.14</v>
      </c>
      <c r="AH882" s="450" t="s">
        <v>556</v>
      </c>
      <c r="AI882" s="450" t="s">
        <v>556</v>
      </c>
      <c r="AJ882" s="450" t="s">
        <v>556</v>
      </c>
      <c r="AK882" s="450" t="s">
        <v>556</v>
      </c>
      <c r="AL882" s="450" t="s">
        <v>556</v>
      </c>
      <c r="AM882" s="133"/>
      <c r="AN882" s="134">
        <v>85</v>
      </c>
      <c r="AO882" s="450">
        <v>93.8</v>
      </c>
      <c r="AP882" s="450">
        <v>92.5</v>
      </c>
      <c r="AQ882" s="450">
        <v>91.25</v>
      </c>
      <c r="AR882" s="450">
        <v>90.06</v>
      </c>
      <c r="AS882" s="450">
        <v>88.92</v>
      </c>
      <c r="AT882" s="450">
        <v>87.84</v>
      </c>
      <c r="AU882" s="450">
        <v>86.82</v>
      </c>
      <c r="AV882" s="450">
        <v>85.68</v>
      </c>
      <c r="AW882" s="450">
        <v>84.58</v>
      </c>
      <c r="AX882" s="450">
        <v>83.53</v>
      </c>
      <c r="AY882" s="450">
        <v>82.51</v>
      </c>
      <c r="AZ882" s="450">
        <v>81.53</v>
      </c>
      <c r="BA882" s="450" t="s">
        <v>556</v>
      </c>
      <c r="BB882" s="450" t="s">
        <v>556</v>
      </c>
      <c r="BC882" s="450" t="s">
        <v>556</v>
      </c>
      <c r="BD882" s="450" t="s">
        <v>556</v>
      </c>
      <c r="BE882" s="450" t="s">
        <v>556</v>
      </c>
    </row>
    <row r="883" spans="2:57" x14ac:dyDescent="0.25">
      <c r="B883" s="134">
        <v>86</v>
      </c>
      <c r="C883" s="450">
        <v>87.51</v>
      </c>
      <c r="D883" s="450">
        <v>86.23</v>
      </c>
      <c r="E883" s="450">
        <v>85</v>
      </c>
      <c r="F883" s="450">
        <v>83.83</v>
      </c>
      <c r="G883" s="450">
        <v>82.73</v>
      </c>
      <c r="H883" s="450">
        <v>81.680000000000007</v>
      </c>
      <c r="I883" s="450">
        <v>80.53</v>
      </c>
      <c r="J883" s="450">
        <v>79.42</v>
      </c>
      <c r="K883" s="450">
        <v>78.349999999999994</v>
      </c>
      <c r="L883" s="450">
        <v>77.33</v>
      </c>
      <c r="M883" s="450">
        <v>76.33</v>
      </c>
      <c r="N883" s="450">
        <v>75.36</v>
      </c>
      <c r="O883" s="450" t="s">
        <v>556</v>
      </c>
      <c r="P883" s="450" t="s">
        <v>556</v>
      </c>
      <c r="Q883" s="450" t="s">
        <v>556</v>
      </c>
      <c r="R883" s="450" t="s">
        <v>556</v>
      </c>
      <c r="S883" s="450" t="s">
        <v>556</v>
      </c>
      <c r="T883" s="133"/>
      <c r="U883" s="134">
        <v>86</v>
      </c>
      <c r="V883" s="450">
        <v>89.59</v>
      </c>
      <c r="W883" s="450">
        <v>88.31</v>
      </c>
      <c r="X883" s="450">
        <v>87.08</v>
      </c>
      <c r="Y883" s="450">
        <v>85.91</v>
      </c>
      <c r="Z883" s="450">
        <v>84.8</v>
      </c>
      <c r="AA883" s="450">
        <v>83.75</v>
      </c>
      <c r="AB883" s="450">
        <v>82.6</v>
      </c>
      <c r="AC883" s="450">
        <v>81.489999999999995</v>
      </c>
      <c r="AD883" s="450">
        <v>80.42</v>
      </c>
      <c r="AE883" s="450">
        <v>79.39</v>
      </c>
      <c r="AF883" s="450">
        <v>78.39</v>
      </c>
      <c r="AG883" s="450">
        <v>77.42</v>
      </c>
      <c r="AH883" s="450" t="s">
        <v>556</v>
      </c>
      <c r="AI883" s="450" t="s">
        <v>556</v>
      </c>
      <c r="AJ883" s="450" t="s">
        <v>556</v>
      </c>
      <c r="AK883" s="450" t="s">
        <v>556</v>
      </c>
      <c r="AL883" s="450" t="s">
        <v>556</v>
      </c>
      <c r="AM883" s="133"/>
      <c r="AN883" s="134">
        <v>86</v>
      </c>
      <c r="AO883" s="450">
        <v>91.16</v>
      </c>
      <c r="AP883" s="450">
        <v>89.86</v>
      </c>
      <c r="AQ883" s="450">
        <v>88.61</v>
      </c>
      <c r="AR883" s="450">
        <v>87.42</v>
      </c>
      <c r="AS883" s="450">
        <v>86.3</v>
      </c>
      <c r="AT883" s="450">
        <v>85.23</v>
      </c>
      <c r="AU883" s="450">
        <v>84.06</v>
      </c>
      <c r="AV883" s="450">
        <v>82.92</v>
      </c>
      <c r="AW883" s="450">
        <v>81.83</v>
      </c>
      <c r="AX883" s="450">
        <v>80.78</v>
      </c>
      <c r="AY883" s="450">
        <v>79.760000000000005</v>
      </c>
      <c r="AZ883" s="450">
        <v>78.760000000000005</v>
      </c>
      <c r="BA883" s="450" t="s">
        <v>556</v>
      </c>
      <c r="BB883" s="450" t="s">
        <v>556</v>
      </c>
      <c r="BC883" s="450" t="s">
        <v>556</v>
      </c>
      <c r="BD883" s="450" t="s">
        <v>556</v>
      </c>
      <c r="BE883" s="450" t="s">
        <v>556</v>
      </c>
    </row>
    <row r="884" spans="2:57" x14ac:dyDescent="0.25">
      <c r="B884" s="134">
        <v>87</v>
      </c>
      <c r="C884" s="450">
        <v>84.91</v>
      </c>
      <c r="D884" s="450">
        <v>83.64</v>
      </c>
      <c r="E884" s="450">
        <v>82.42</v>
      </c>
      <c r="F884" s="450">
        <v>81.260000000000005</v>
      </c>
      <c r="G884" s="450">
        <v>80.17</v>
      </c>
      <c r="H884" s="450">
        <v>78.98</v>
      </c>
      <c r="I884" s="450">
        <v>77.83</v>
      </c>
      <c r="J884" s="450">
        <v>76.73</v>
      </c>
      <c r="K884" s="450">
        <v>75.67</v>
      </c>
      <c r="L884" s="450">
        <v>74.64</v>
      </c>
      <c r="M884" s="450">
        <v>73.63</v>
      </c>
      <c r="N884" s="450">
        <v>72.64</v>
      </c>
      <c r="O884" s="450" t="s">
        <v>556</v>
      </c>
      <c r="P884" s="450" t="s">
        <v>556</v>
      </c>
      <c r="Q884" s="450" t="s">
        <v>556</v>
      </c>
      <c r="R884" s="450" t="s">
        <v>556</v>
      </c>
      <c r="S884" s="450" t="s">
        <v>556</v>
      </c>
      <c r="T884" s="133"/>
      <c r="U884" s="134">
        <v>87</v>
      </c>
      <c r="V884" s="450">
        <v>86.99</v>
      </c>
      <c r="W884" s="450">
        <v>85.71</v>
      </c>
      <c r="X884" s="450">
        <v>84.49</v>
      </c>
      <c r="Y884" s="450">
        <v>83.34</v>
      </c>
      <c r="Z884" s="450">
        <v>82.25</v>
      </c>
      <c r="AA884" s="450">
        <v>81.05</v>
      </c>
      <c r="AB884" s="450">
        <v>79.900000000000006</v>
      </c>
      <c r="AC884" s="450">
        <v>78.8</v>
      </c>
      <c r="AD884" s="450">
        <v>77.73</v>
      </c>
      <c r="AE884" s="450">
        <v>76.7</v>
      </c>
      <c r="AF884" s="450">
        <v>75.69</v>
      </c>
      <c r="AG884" s="450">
        <v>74.69</v>
      </c>
      <c r="AH884" s="450" t="s">
        <v>556</v>
      </c>
      <c r="AI884" s="450" t="s">
        <v>556</v>
      </c>
      <c r="AJ884" s="450" t="s">
        <v>556</v>
      </c>
      <c r="AK884" s="450" t="s">
        <v>556</v>
      </c>
      <c r="AL884" s="450" t="s">
        <v>556</v>
      </c>
      <c r="AM884" s="133"/>
      <c r="AN884" s="134">
        <v>87</v>
      </c>
      <c r="AO884" s="450">
        <v>88.51</v>
      </c>
      <c r="AP884" s="450">
        <v>87.22</v>
      </c>
      <c r="AQ884" s="450">
        <v>85.99</v>
      </c>
      <c r="AR884" s="450">
        <v>84.81</v>
      </c>
      <c r="AS884" s="450">
        <v>83.7</v>
      </c>
      <c r="AT884" s="450">
        <v>82.49</v>
      </c>
      <c r="AU884" s="450">
        <v>81.31</v>
      </c>
      <c r="AV884" s="450">
        <v>80.19</v>
      </c>
      <c r="AW884" s="450">
        <v>79.099999999999994</v>
      </c>
      <c r="AX884" s="450">
        <v>78.05</v>
      </c>
      <c r="AY884" s="450">
        <v>77.02</v>
      </c>
      <c r="AZ884" s="450">
        <v>76</v>
      </c>
      <c r="BA884" s="450" t="s">
        <v>556</v>
      </c>
      <c r="BB884" s="450" t="s">
        <v>556</v>
      </c>
      <c r="BC884" s="450" t="s">
        <v>556</v>
      </c>
      <c r="BD884" s="450" t="s">
        <v>556</v>
      </c>
      <c r="BE884" s="450" t="s">
        <v>556</v>
      </c>
    </row>
    <row r="885" spans="2:57" x14ac:dyDescent="0.25">
      <c r="B885" s="134">
        <v>88</v>
      </c>
      <c r="C885" s="450">
        <v>82.33</v>
      </c>
      <c r="D885" s="450">
        <v>81.06</v>
      </c>
      <c r="E885" s="450">
        <v>79.86</v>
      </c>
      <c r="F885" s="450">
        <v>78.72</v>
      </c>
      <c r="G885" s="450">
        <v>77.489999999999995</v>
      </c>
      <c r="H885" s="450">
        <v>76.31</v>
      </c>
      <c r="I885" s="450">
        <v>75.17</v>
      </c>
      <c r="J885" s="450">
        <v>74.069999999999993</v>
      </c>
      <c r="K885" s="450">
        <v>73.010000000000005</v>
      </c>
      <c r="L885" s="450">
        <v>71.97</v>
      </c>
      <c r="M885" s="450">
        <v>70.94</v>
      </c>
      <c r="N885" s="450">
        <v>69.900000000000006</v>
      </c>
      <c r="O885" s="450" t="s">
        <v>556</v>
      </c>
      <c r="P885" s="450" t="s">
        <v>556</v>
      </c>
      <c r="Q885" s="450" t="s">
        <v>556</v>
      </c>
      <c r="R885" s="450" t="s">
        <v>556</v>
      </c>
      <c r="S885" s="450" t="s">
        <v>556</v>
      </c>
      <c r="T885" s="133"/>
      <c r="U885" s="134">
        <v>88</v>
      </c>
      <c r="V885" s="450">
        <v>84.41</v>
      </c>
      <c r="W885" s="450">
        <v>83.14</v>
      </c>
      <c r="X885" s="450">
        <v>81.93</v>
      </c>
      <c r="Y885" s="450">
        <v>80.8</v>
      </c>
      <c r="Z885" s="450">
        <v>79.569999999999993</v>
      </c>
      <c r="AA885" s="450">
        <v>78.38</v>
      </c>
      <c r="AB885" s="450">
        <v>77.239999999999995</v>
      </c>
      <c r="AC885" s="450">
        <v>76.14</v>
      </c>
      <c r="AD885" s="450">
        <v>75.069999999999993</v>
      </c>
      <c r="AE885" s="450">
        <v>74.03</v>
      </c>
      <c r="AF885" s="450">
        <v>72.989999999999995</v>
      </c>
      <c r="AG885" s="450">
        <v>71.95</v>
      </c>
      <c r="AH885" s="450" t="s">
        <v>556</v>
      </c>
      <c r="AI885" s="450" t="s">
        <v>556</v>
      </c>
      <c r="AJ885" s="450" t="s">
        <v>556</v>
      </c>
      <c r="AK885" s="450" t="s">
        <v>556</v>
      </c>
      <c r="AL885" s="450" t="s">
        <v>556</v>
      </c>
      <c r="AM885" s="133"/>
      <c r="AN885" s="134">
        <v>88</v>
      </c>
      <c r="AO885" s="450">
        <v>85.89</v>
      </c>
      <c r="AP885" s="450">
        <v>84.6</v>
      </c>
      <c r="AQ885" s="450">
        <v>83.39</v>
      </c>
      <c r="AR885" s="450">
        <v>82.23</v>
      </c>
      <c r="AS885" s="450">
        <v>80.98</v>
      </c>
      <c r="AT885" s="450">
        <v>79.77</v>
      </c>
      <c r="AU885" s="450">
        <v>78.61</v>
      </c>
      <c r="AV885" s="450">
        <v>77.489999999999995</v>
      </c>
      <c r="AW885" s="450">
        <v>76.400000000000006</v>
      </c>
      <c r="AX885" s="450">
        <v>75.34</v>
      </c>
      <c r="AY885" s="450">
        <v>74.28</v>
      </c>
      <c r="AZ885" s="450">
        <v>73.23</v>
      </c>
      <c r="BA885" s="450" t="s">
        <v>556</v>
      </c>
      <c r="BB885" s="450" t="s">
        <v>556</v>
      </c>
      <c r="BC885" s="450" t="s">
        <v>556</v>
      </c>
      <c r="BD885" s="450" t="s">
        <v>556</v>
      </c>
      <c r="BE885" s="450" t="s">
        <v>556</v>
      </c>
    </row>
    <row r="886" spans="2:57" x14ac:dyDescent="0.25">
      <c r="B886" s="134">
        <v>89</v>
      </c>
      <c r="C886" s="450">
        <v>79.77</v>
      </c>
      <c r="D886" s="450">
        <v>78.52</v>
      </c>
      <c r="E886" s="450">
        <v>77.34</v>
      </c>
      <c r="F886" s="450">
        <v>76.069999999999993</v>
      </c>
      <c r="G886" s="450">
        <v>74.849999999999994</v>
      </c>
      <c r="H886" s="450">
        <v>73.67</v>
      </c>
      <c r="I886" s="450">
        <v>72.540000000000006</v>
      </c>
      <c r="J886" s="450">
        <v>71.45</v>
      </c>
      <c r="K886" s="450">
        <v>70.37</v>
      </c>
      <c r="L886" s="450">
        <v>69.31</v>
      </c>
      <c r="M886" s="450">
        <v>68.239999999999995</v>
      </c>
      <c r="N886" s="450">
        <v>67.150000000000006</v>
      </c>
      <c r="O886" s="450" t="s">
        <v>556</v>
      </c>
      <c r="P886" s="450" t="s">
        <v>556</v>
      </c>
      <c r="Q886" s="450" t="s">
        <v>556</v>
      </c>
      <c r="R886" s="450" t="s">
        <v>556</v>
      </c>
      <c r="S886" s="450" t="s">
        <v>556</v>
      </c>
      <c r="T886" s="133"/>
      <c r="U886" s="134">
        <v>89</v>
      </c>
      <c r="V886" s="450">
        <v>81.84</v>
      </c>
      <c r="W886" s="450">
        <v>80.59</v>
      </c>
      <c r="X886" s="450">
        <v>79.41</v>
      </c>
      <c r="Y886" s="450">
        <v>78.14</v>
      </c>
      <c r="Z886" s="450">
        <v>76.92</v>
      </c>
      <c r="AA886" s="450">
        <v>75.739999999999995</v>
      </c>
      <c r="AB886" s="450">
        <v>74.61</v>
      </c>
      <c r="AC886" s="450">
        <v>73.510000000000005</v>
      </c>
      <c r="AD886" s="450">
        <v>72.430000000000007</v>
      </c>
      <c r="AE886" s="450">
        <v>71.36</v>
      </c>
      <c r="AF886" s="450">
        <v>70.290000000000006</v>
      </c>
      <c r="AG886" s="450">
        <v>69.19</v>
      </c>
      <c r="AH886" s="450" t="s">
        <v>556</v>
      </c>
      <c r="AI886" s="450" t="s">
        <v>556</v>
      </c>
      <c r="AJ886" s="450" t="s">
        <v>556</v>
      </c>
      <c r="AK886" s="450" t="s">
        <v>556</v>
      </c>
      <c r="AL886" s="450" t="s">
        <v>556</v>
      </c>
      <c r="AM886" s="133"/>
      <c r="AN886" s="134">
        <v>89</v>
      </c>
      <c r="AO886" s="450">
        <v>83.29</v>
      </c>
      <c r="AP886" s="450">
        <v>82.02</v>
      </c>
      <c r="AQ886" s="450">
        <v>80.83</v>
      </c>
      <c r="AR886" s="450">
        <v>79.540000000000006</v>
      </c>
      <c r="AS886" s="450">
        <v>78.290000000000006</v>
      </c>
      <c r="AT886" s="450">
        <v>77.099999999999994</v>
      </c>
      <c r="AU886" s="450">
        <v>75.94</v>
      </c>
      <c r="AV886" s="450">
        <v>74.819999999999993</v>
      </c>
      <c r="AW886" s="450">
        <v>73.73</v>
      </c>
      <c r="AX886" s="450">
        <v>72.64</v>
      </c>
      <c r="AY886" s="450">
        <v>71.540000000000006</v>
      </c>
      <c r="AZ886" s="450">
        <v>70.430000000000007</v>
      </c>
      <c r="BA886" s="450" t="s">
        <v>556</v>
      </c>
      <c r="BB886" s="450" t="s">
        <v>556</v>
      </c>
      <c r="BC886" s="450" t="s">
        <v>556</v>
      </c>
      <c r="BD886" s="450" t="s">
        <v>556</v>
      </c>
      <c r="BE886" s="450" t="s">
        <v>556</v>
      </c>
    </row>
    <row r="887" spans="2:57" x14ac:dyDescent="0.25">
      <c r="B887" s="134">
        <v>90</v>
      </c>
      <c r="C887" s="450">
        <v>77.25</v>
      </c>
      <c r="D887" s="450">
        <v>76.02</v>
      </c>
      <c r="E887" s="450">
        <v>74.709999999999994</v>
      </c>
      <c r="F887" s="450">
        <v>73.45</v>
      </c>
      <c r="G887" s="450">
        <v>72.239999999999995</v>
      </c>
      <c r="H887" s="450">
        <v>71.08</v>
      </c>
      <c r="I887" s="450">
        <v>69.95</v>
      </c>
      <c r="J887" s="450">
        <v>68.84</v>
      </c>
      <c r="K887" s="450">
        <v>67.739999999999995</v>
      </c>
      <c r="L887" s="450">
        <v>66.64</v>
      </c>
      <c r="M887" s="450">
        <v>65.510000000000005</v>
      </c>
      <c r="N887" s="450" t="s">
        <v>556</v>
      </c>
      <c r="O887" s="450" t="s">
        <v>556</v>
      </c>
      <c r="P887" s="450" t="s">
        <v>556</v>
      </c>
      <c r="Q887" s="450" t="s">
        <v>556</v>
      </c>
      <c r="R887" s="450" t="s">
        <v>556</v>
      </c>
      <c r="S887" s="450" t="s">
        <v>556</v>
      </c>
      <c r="T887" s="133"/>
      <c r="U887" s="134">
        <v>90</v>
      </c>
      <c r="V887" s="450">
        <v>79.319999999999993</v>
      </c>
      <c r="W887" s="450">
        <v>78.09</v>
      </c>
      <c r="X887" s="450">
        <v>76.790000000000006</v>
      </c>
      <c r="Y887" s="450">
        <v>75.52</v>
      </c>
      <c r="Z887" s="450">
        <v>74.31</v>
      </c>
      <c r="AA887" s="450">
        <v>73.14</v>
      </c>
      <c r="AB887" s="450">
        <v>72.010000000000005</v>
      </c>
      <c r="AC887" s="450">
        <v>70.900000000000006</v>
      </c>
      <c r="AD887" s="450">
        <v>69.8</v>
      </c>
      <c r="AE887" s="450">
        <v>68.69</v>
      </c>
      <c r="AF887" s="450">
        <v>67.55</v>
      </c>
      <c r="AG887" s="450" t="s">
        <v>556</v>
      </c>
      <c r="AH887" s="450" t="s">
        <v>556</v>
      </c>
      <c r="AI887" s="450" t="s">
        <v>556</v>
      </c>
      <c r="AJ887" s="450" t="s">
        <v>556</v>
      </c>
      <c r="AK887" s="450" t="s">
        <v>556</v>
      </c>
      <c r="AL887" s="450" t="s">
        <v>556</v>
      </c>
      <c r="AM887" s="133"/>
      <c r="AN887" s="134">
        <v>90</v>
      </c>
      <c r="AO887" s="450">
        <v>80.73</v>
      </c>
      <c r="AP887" s="450">
        <v>79.489999999999995</v>
      </c>
      <c r="AQ887" s="450">
        <v>78.16</v>
      </c>
      <c r="AR887" s="450">
        <v>76.88</v>
      </c>
      <c r="AS887" s="450">
        <v>75.650000000000006</v>
      </c>
      <c r="AT887" s="450">
        <v>74.459999999999994</v>
      </c>
      <c r="AU887" s="450">
        <v>73.31</v>
      </c>
      <c r="AV887" s="450">
        <v>72.180000000000007</v>
      </c>
      <c r="AW887" s="450">
        <v>71.06</v>
      </c>
      <c r="AX887" s="450">
        <v>69.930000000000007</v>
      </c>
      <c r="AY887" s="450">
        <v>68.78</v>
      </c>
      <c r="AZ887" s="450" t="s">
        <v>556</v>
      </c>
      <c r="BA887" s="450" t="s">
        <v>556</v>
      </c>
      <c r="BB887" s="450" t="s">
        <v>556</v>
      </c>
      <c r="BC887" s="450" t="s">
        <v>556</v>
      </c>
      <c r="BD887" s="450" t="s">
        <v>556</v>
      </c>
      <c r="BE887" s="450" t="s">
        <v>556</v>
      </c>
    </row>
    <row r="888" spans="2:57" x14ac:dyDescent="0.25">
      <c r="B888" s="134">
        <v>91</v>
      </c>
      <c r="C888" s="450">
        <v>74.77</v>
      </c>
      <c r="D888" s="450">
        <v>73.42</v>
      </c>
      <c r="E888" s="450">
        <v>72.12</v>
      </c>
      <c r="F888" s="450">
        <v>70.88</v>
      </c>
      <c r="G888" s="450">
        <v>69.680000000000007</v>
      </c>
      <c r="H888" s="450">
        <v>68.52</v>
      </c>
      <c r="I888" s="450">
        <v>67.38</v>
      </c>
      <c r="J888" s="450">
        <v>66.239999999999995</v>
      </c>
      <c r="K888" s="450">
        <v>65.099999999999994</v>
      </c>
      <c r="L888" s="450">
        <v>63.94</v>
      </c>
      <c r="M888" s="450" t="s">
        <v>556</v>
      </c>
      <c r="N888" s="450" t="s">
        <v>556</v>
      </c>
      <c r="O888" s="450" t="s">
        <v>556</v>
      </c>
      <c r="P888" s="450" t="s">
        <v>556</v>
      </c>
      <c r="Q888" s="450" t="s">
        <v>556</v>
      </c>
      <c r="R888" s="450" t="s">
        <v>556</v>
      </c>
      <c r="S888" s="450" t="s">
        <v>556</v>
      </c>
      <c r="T888" s="133"/>
      <c r="U888" s="134">
        <v>91</v>
      </c>
      <c r="V888" s="450">
        <v>76.84</v>
      </c>
      <c r="W888" s="450">
        <v>75.5</v>
      </c>
      <c r="X888" s="450">
        <v>74.19</v>
      </c>
      <c r="Y888" s="450">
        <v>72.95</v>
      </c>
      <c r="Z888" s="450">
        <v>71.739999999999995</v>
      </c>
      <c r="AA888" s="450">
        <v>70.58</v>
      </c>
      <c r="AB888" s="450">
        <v>69.430000000000007</v>
      </c>
      <c r="AC888" s="450">
        <v>68.3</v>
      </c>
      <c r="AD888" s="450">
        <v>67.16</v>
      </c>
      <c r="AE888" s="450">
        <v>65.989999999999995</v>
      </c>
      <c r="AF888" s="450" t="s">
        <v>556</v>
      </c>
      <c r="AG888" s="450" t="s">
        <v>556</v>
      </c>
      <c r="AH888" s="450" t="s">
        <v>556</v>
      </c>
      <c r="AI888" s="450" t="s">
        <v>556</v>
      </c>
      <c r="AJ888" s="450" t="s">
        <v>556</v>
      </c>
      <c r="AK888" s="450" t="s">
        <v>556</v>
      </c>
      <c r="AL888" s="450" t="s">
        <v>556</v>
      </c>
      <c r="AM888" s="133"/>
      <c r="AN888" s="134">
        <v>91</v>
      </c>
      <c r="AO888" s="450">
        <v>78.209999999999994</v>
      </c>
      <c r="AP888" s="450">
        <v>76.849999999999994</v>
      </c>
      <c r="AQ888" s="450">
        <v>75.53</v>
      </c>
      <c r="AR888" s="450">
        <v>74.27</v>
      </c>
      <c r="AS888" s="450">
        <v>73.05</v>
      </c>
      <c r="AT888" s="450">
        <v>71.86</v>
      </c>
      <c r="AU888" s="450">
        <v>70.7</v>
      </c>
      <c r="AV888" s="450">
        <v>69.55</v>
      </c>
      <c r="AW888" s="450">
        <v>68.39</v>
      </c>
      <c r="AX888" s="450">
        <v>67.2</v>
      </c>
      <c r="AY888" s="450" t="s">
        <v>556</v>
      </c>
      <c r="AZ888" s="450" t="s">
        <v>556</v>
      </c>
      <c r="BA888" s="450" t="s">
        <v>556</v>
      </c>
      <c r="BB888" s="450" t="s">
        <v>556</v>
      </c>
      <c r="BC888" s="450" t="s">
        <v>556</v>
      </c>
      <c r="BD888" s="450" t="s">
        <v>556</v>
      </c>
      <c r="BE888" s="450" t="s">
        <v>556</v>
      </c>
    </row>
    <row r="889" spans="2:57" x14ac:dyDescent="0.25">
      <c r="B889" s="134">
        <v>92</v>
      </c>
      <c r="C889" s="450">
        <v>72.040000000000006</v>
      </c>
      <c r="D889" s="450">
        <v>70.709999999999994</v>
      </c>
      <c r="E889" s="450">
        <v>69.44</v>
      </c>
      <c r="F889" s="450">
        <v>68.209999999999994</v>
      </c>
      <c r="G889" s="450">
        <v>67.02</v>
      </c>
      <c r="H889" s="450">
        <v>65.849999999999994</v>
      </c>
      <c r="I889" s="450">
        <v>64.69</v>
      </c>
      <c r="J889" s="450">
        <v>63.52</v>
      </c>
      <c r="K889" s="450">
        <v>62.32</v>
      </c>
      <c r="L889" s="450" t="s">
        <v>556</v>
      </c>
      <c r="M889" s="450" t="s">
        <v>556</v>
      </c>
      <c r="N889" s="450" t="s">
        <v>556</v>
      </c>
      <c r="O889" s="450" t="s">
        <v>556</v>
      </c>
      <c r="P889" s="450" t="s">
        <v>556</v>
      </c>
      <c r="Q889" s="450" t="s">
        <v>556</v>
      </c>
      <c r="R889" s="450" t="s">
        <v>556</v>
      </c>
      <c r="S889" s="450" t="s">
        <v>556</v>
      </c>
      <c r="T889" s="133"/>
      <c r="U889" s="134">
        <v>92</v>
      </c>
      <c r="V889" s="450">
        <v>74.11</v>
      </c>
      <c r="W889" s="450">
        <v>72.78</v>
      </c>
      <c r="X889" s="450">
        <v>71.5</v>
      </c>
      <c r="Y889" s="450">
        <v>70.27</v>
      </c>
      <c r="Z889" s="450">
        <v>69.08</v>
      </c>
      <c r="AA889" s="450">
        <v>67.900000000000006</v>
      </c>
      <c r="AB889" s="450">
        <v>66.739999999999995</v>
      </c>
      <c r="AC889" s="450">
        <v>65.569999999999993</v>
      </c>
      <c r="AD889" s="450">
        <v>64.37</v>
      </c>
      <c r="AE889" s="450" t="s">
        <v>556</v>
      </c>
      <c r="AF889" s="450" t="s">
        <v>556</v>
      </c>
      <c r="AG889" s="450" t="s">
        <v>556</v>
      </c>
      <c r="AH889" s="450" t="s">
        <v>556</v>
      </c>
      <c r="AI889" s="450" t="s">
        <v>556</v>
      </c>
      <c r="AJ889" s="450" t="s">
        <v>556</v>
      </c>
      <c r="AK889" s="450" t="s">
        <v>556</v>
      </c>
      <c r="AL889" s="450" t="s">
        <v>556</v>
      </c>
      <c r="AM889" s="133"/>
      <c r="AN889" s="134">
        <v>92</v>
      </c>
      <c r="AO889" s="450">
        <v>75.44</v>
      </c>
      <c r="AP889" s="450">
        <v>74.099999999999994</v>
      </c>
      <c r="AQ889" s="450">
        <v>72.8</v>
      </c>
      <c r="AR889" s="450">
        <v>71.56</v>
      </c>
      <c r="AS889" s="450">
        <v>70.349999999999994</v>
      </c>
      <c r="AT889" s="450">
        <v>69.16</v>
      </c>
      <c r="AU889" s="450">
        <v>67.98</v>
      </c>
      <c r="AV889" s="450">
        <v>66.790000000000006</v>
      </c>
      <c r="AW889" s="450">
        <v>65.56</v>
      </c>
      <c r="AX889" s="450" t="s">
        <v>556</v>
      </c>
      <c r="AY889" s="450" t="s">
        <v>556</v>
      </c>
      <c r="AZ889" s="450" t="s">
        <v>556</v>
      </c>
      <c r="BA889" s="450" t="s">
        <v>556</v>
      </c>
      <c r="BB889" s="450" t="s">
        <v>556</v>
      </c>
      <c r="BC889" s="450" t="s">
        <v>556</v>
      </c>
      <c r="BD889" s="450" t="s">
        <v>556</v>
      </c>
      <c r="BE889" s="450" t="s">
        <v>556</v>
      </c>
    </row>
    <row r="890" spans="2:57" x14ac:dyDescent="0.25">
      <c r="B890" s="134">
        <v>93</v>
      </c>
      <c r="C890" s="450">
        <v>69.34</v>
      </c>
      <c r="D890" s="450">
        <v>68.040000000000006</v>
      </c>
      <c r="E890" s="450">
        <v>66.790000000000006</v>
      </c>
      <c r="F890" s="450">
        <v>65.569999999999993</v>
      </c>
      <c r="G890" s="450">
        <v>64.37</v>
      </c>
      <c r="H890" s="450">
        <v>63.18</v>
      </c>
      <c r="I890" s="450">
        <v>61.98</v>
      </c>
      <c r="J890" s="450">
        <v>60.76</v>
      </c>
      <c r="K890" s="450" t="s">
        <v>556</v>
      </c>
      <c r="L890" s="450" t="s">
        <v>556</v>
      </c>
      <c r="M890" s="450" t="s">
        <v>556</v>
      </c>
      <c r="N890" s="450" t="s">
        <v>556</v>
      </c>
      <c r="O890" s="450" t="s">
        <v>556</v>
      </c>
      <c r="P890" s="450" t="s">
        <v>556</v>
      </c>
      <c r="Q890" s="450" t="s">
        <v>556</v>
      </c>
      <c r="R890" s="450" t="s">
        <v>556</v>
      </c>
      <c r="S890" s="450" t="s">
        <v>556</v>
      </c>
      <c r="T890" s="133"/>
      <c r="U890" s="134">
        <v>93</v>
      </c>
      <c r="V890" s="450">
        <v>71.41</v>
      </c>
      <c r="W890" s="450">
        <v>70.099999999999994</v>
      </c>
      <c r="X890" s="450">
        <v>68.84</v>
      </c>
      <c r="Y890" s="450">
        <v>67.62</v>
      </c>
      <c r="Z890" s="450">
        <v>66.42</v>
      </c>
      <c r="AA890" s="450">
        <v>65.23</v>
      </c>
      <c r="AB890" s="450">
        <v>64.03</v>
      </c>
      <c r="AC890" s="450">
        <v>62.8</v>
      </c>
      <c r="AD890" s="450" t="s">
        <v>556</v>
      </c>
      <c r="AE890" s="450" t="s">
        <v>556</v>
      </c>
      <c r="AF890" s="450" t="s">
        <v>556</v>
      </c>
      <c r="AG890" s="450" t="s">
        <v>556</v>
      </c>
      <c r="AH890" s="450" t="s">
        <v>556</v>
      </c>
      <c r="AI890" s="450" t="s">
        <v>556</v>
      </c>
      <c r="AJ890" s="450" t="s">
        <v>556</v>
      </c>
      <c r="AK890" s="450" t="s">
        <v>556</v>
      </c>
      <c r="AL890" s="450" t="s">
        <v>556</v>
      </c>
      <c r="AM890" s="133"/>
      <c r="AN890" s="134">
        <v>93</v>
      </c>
      <c r="AO890" s="450">
        <v>72.7</v>
      </c>
      <c r="AP890" s="450">
        <v>71.38</v>
      </c>
      <c r="AQ890" s="450">
        <v>70.11</v>
      </c>
      <c r="AR890" s="450">
        <v>68.88</v>
      </c>
      <c r="AS890" s="450">
        <v>67.66</v>
      </c>
      <c r="AT890" s="450">
        <v>66.45</v>
      </c>
      <c r="AU890" s="450">
        <v>65.239999999999995</v>
      </c>
      <c r="AV890" s="450">
        <v>63.98</v>
      </c>
      <c r="AW890" s="450" t="s">
        <v>556</v>
      </c>
      <c r="AX890" s="450" t="s">
        <v>556</v>
      </c>
      <c r="AY890" s="450" t="s">
        <v>556</v>
      </c>
      <c r="AZ890" s="450" t="s">
        <v>556</v>
      </c>
      <c r="BA890" s="450" t="s">
        <v>556</v>
      </c>
      <c r="BB890" s="450" t="s">
        <v>556</v>
      </c>
      <c r="BC890" s="450" t="s">
        <v>556</v>
      </c>
      <c r="BD890" s="450" t="s">
        <v>556</v>
      </c>
      <c r="BE890" s="450" t="s">
        <v>556</v>
      </c>
    </row>
    <row r="891" spans="2:57" x14ac:dyDescent="0.25">
      <c r="B891" s="134">
        <v>94</v>
      </c>
      <c r="C891" s="450">
        <v>66.69</v>
      </c>
      <c r="D891" s="450">
        <v>65.41</v>
      </c>
      <c r="E891" s="450">
        <v>64.17</v>
      </c>
      <c r="F891" s="450">
        <v>62.94</v>
      </c>
      <c r="G891" s="450">
        <v>61.73</v>
      </c>
      <c r="H891" s="450">
        <v>60.5</v>
      </c>
      <c r="I891" s="450">
        <v>59.24</v>
      </c>
      <c r="J891" s="450" t="s">
        <v>556</v>
      </c>
      <c r="K891" s="450" t="s">
        <v>556</v>
      </c>
      <c r="L891" s="450" t="s">
        <v>556</v>
      </c>
      <c r="M891" s="450" t="s">
        <v>556</v>
      </c>
      <c r="N891" s="450" t="s">
        <v>556</v>
      </c>
      <c r="O891" s="450" t="s">
        <v>556</v>
      </c>
      <c r="P891" s="450" t="s">
        <v>556</v>
      </c>
      <c r="Q891" s="450" t="s">
        <v>556</v>
      </c>
      <c r="R891" s="450" t="s">
        <v>556</v>
      </c>
      <c r="S891" s="450" t="s">
        <v>556</v>
      </c>
      <c r="T891" s="133"/>
      <c r="U891" s="134">
        <v>94</v>
      </c>
      <c r="V891" s="450">
        <v>68.75</v>
      </c>
      <c r="W891" s="450">
        <v>67.47</v>
      </c>
      <c r="X891" s="450">
        <v>66.22</v>
      </c>
      <c r="Y891" s="450">
        <v>65</v>
      </c>
      <c r="Z891" s="450">
        <v>63.78</v>
      </c>
      <c r="AA891" s="450">
        <v>62.55</v>
      </c>
      <c r="AB891" s="450">
        <v>61.29</v>
      </c>
      <c r="AC891" s="450" t="s">
        <v>556</v>
      </c>
      <c r="AD891" s="450" t="s">
        <v>556</v>
      </c>
      <c r="AE891" s="450" t="s">
        <v>556</v>
      </c>
      <c r="AF891" s="450" t="s">
        <v>556</v>
      </c>
      <c r="AG891" s="450" t="s">
        <v>556</v>
      </c>
      <c r="AH891" s="450" t="s">
        <v>556</v>
      </c>
      <c r="AI891" s="450" t="s">
        <v>556</v>
      </c>
      <c r="AJ891" s="450" t="s">
        <v>556</v>
      </c>
      <c r="AK891" s="450" t="s">
        <v>556</v>
      </c>
      <c r="AL891" s="450" t="s">
        <v>556</v>
      </c>
      <c r="AM891" s="133"/>
      <c r="AN891" s="134">
        <v>94</v>
      </c>
      <c r="AO891" s="450">
        <v>70.010000000000005</v>
      </c>
      <c r="AP891" s="450">
        <v>68.72</v>
      </c>
      <c r="AQ891" s="450">
        <v>67.459999999999994</v>
      </c>
      <c r="AR891" s="450">
        <v>66.22</v>
      </c>
      <c r="AS891" s="450">
        <v>64.989999999999995</v>
      </c>
      <c r="AT891" s="450">
        <v>63.74</v>
      </c>
      <c r="AU891" s="450">
        <v>62.46</v>
      </c>
      <c r="AV891" s="450" t="s">
        <v>556</v>
      </c>
      <c r="AW891" s="450" t="s">
        <v>556</v>
      </c>
      <c r="AX891" s="450" t="s">
        <v>556</v>
      </c>
      <c r="AY891" s="450" t="s">
        <v>556</v>
      </c>
      <c r="AZ891" s="450" t="s">
        <v>556</v>
      </c>
      <c r="BA891" s="450" t="s">
        <v>556</v>
      </c>
      <c r="BB891" s="450" t="s">
        <v>556</v>
      </c>
      <c r="BC891" s="450" t="s">
        <v>556</v>
      </c>
      <c r="BD891" s="450" t="s">
        <v>556</v>
      </c>
      <c r="BE891" s="450" t="s">
        <v>556</v>
      </c>
    </row>
    <row r="892" spans="2:57" x14ac:dyDescent="0.25">
      <c r="B892" s="134">
        <v>95</v>
      </c>
      <c r="C892" s="450">
        <v>64.069999999999993</v>
      </c>
      <c r="D892" s="450">
        <v>62.81</v>
      </c>
      <c r="E892" s="450">
        <v>61.56</v>
      </c>
      <c r="F892" s="450">
        <v>60.32</v>
      </c>
      <c r="G892" s="450">
        <v>59.07</v>
      </c>
      <c r="H892" s="450">
        <v>57.78</v>
      </c>
      <c r="I892" s="450" t="s">
        <v>556</v>
      </c>
      <c r="J892" s="450" t="s">
        <v>556</v>
      </c>
      <c r="K892" s="450" t="s">
        <v>556</v>
      </c>
      <c r="L892" s="450" t="s">
        <v>556</v>
      </c>
      <c r="M892" s="450" t="s">
        <v>556</v>
      </c>
      <c r="N892" s="450" t="s">
        <v>556</v>
      </c>
      <c r="O892" s="450" t="s">
        <v>556</v>
      </c>
      <c r="P892" s="450" t="s">
        <v>556</v>
      </c>
      <c r="Q892" s="450" t="s">
        <v>556</v>
      </c>
      <c r="R892" s="450" t="s">
        <v>556</v>
      </c>
      <c r="S892" s="450" t="s">
        <v>556</v>
      </c>
      <c r="T892" s="133"/>
      <c r="U892" s="134">
        <v>95</v>
      </c>
      <c r="V892" s="450">
        <v>66.13</v>
      </c>
      <c r="W892" s="450">
        <v>64.86</v>
      </c>
      <c r="X892" s="450">
        <v>63.61</v>
      </c>
      <c r="Y892" s="450">
        <v>62.37</v>
      </c>
      <c r="Z892" s="450">
        <v>61.11</v>
      </c>
      <c r="AA892" s="450">
        <v>59.82</v>
      </c>
      <c r="AB892" s="450" t="s">
        <v>556</v>
      </c>
      <c r="AC892" s="450" t="s">
        <v>556</v>
      </c>
      <c r="AD892" s="450" t="s">
        <v>556</v>
      </c>
      <c r="AE892" s="450" t="s">
        <v>556</v>
      </c>
      <c r="AF892" s="450" t="s">
        <v>556</v>
      </c>
      <c r="AG892" s="450" t="s">
        <v>556</v>
      </c>
      <c r="AH892" s="450" t="s">
        <v>556</v>
      </c>
      <c r="AI892" s="450" t="s">
        <v>556</v>
      </c>
      <c r="AJ892" s="450" t="s">
        <v>556</v>
      </c>
      <c r="AK892" s="450" t="s">
        <v>556</v>
      </c>
      <c r="AL892" s="450" t="s">
        <v>556</v>
      </c>
      <c r="AM892" s="133"/>
      <c r="AN892" s="134">
        <v>95</v>
      </c>
      <c r="AO892" s="450">
        <v>67.36</v>
      </c>
      <c r="AP892" s="450">
        <v>66.08</v>
      </c>
      <c r="AQ892" s="450">
        <v>64.819999999999993</v>
      </c>
      <c r="AR892" s="450">
        <v>63.56</v>
      </c>
      <c r="AS892" s="450">
        <v>62.29</v>
      </c>
      <c r="AT892" s="450">
        <v>60.98</v>
      </c>
      <c r="AU892" s="450" t="s">
        <v>556</v>
      </c>
      <c r="AV892" s="450" t="s">
        <v>556</v>
      </c>
      <c r="AW892" s="450" t="s">
        <v>556</v>
      </c>
      <c r="AX892" s="450" t="s">
        <v>556</v>
      </c>
      <c r="AY892" s="450" t="s">
        <v>556</v>
      </c>
      <c r="AZ892" s="450" t="s">
        <v>556</v>
      </c>
      <c r="BA892" s="450" t="s">
        <v>556</v>
      </c>
      <c r="BB892" s="450" t="s">
        <v>556</v>
      </c>
      <c r="BC892" s="450" t="s">
        <v>556</v>
      </c>
      <c r="BD892" s="450" t="s">
        <v>556</v>
      </c>
      <c r="BE892" s="450" t="s">
        <v>556</v>
      </c>
    </row>
    <row r="893" spans="2:57" x14ac:dyDescent="0.25">
      <c r="B893" s="134">
        <v>96</v>
      </c>
      <c r="C893" s="450">
        <v>61.47</v>
      </c>
      <c r="D893" s="450">
        <v>60.2</v>
      </c>
      <c r="E893" s="450">
        <v>58.94</v>
      </c>
      <c r="F893" s="450">
        <v>57.66</v>
      </c>
      <c r="G893" s="450">
        <v>56.35</v>
      </c>
      <c r="H893" s="450" t="s">
        <v>556</v>
      </c>
      <c r="I893" s="450" t="s">
        <v>556</v>
      </c>
      <c r="J893" s="450" t="s">
        <v>556</v>
      </c>
      <c r="K893" s="450" t="s">
        <v>556</v>
      </c>
      <c r="L893" s="450" t="s">
        <v>556</v>
      </c>
      <c r="M893" s="450" t="s">
        <v>556</v>
      </c>
      <c r="N893" s="450" t="s">
        <v>556</v>
      </c>
      <c r="O893" s="450" t="s">
        <v>556</v>
      </c>
      <c r="P893" s="450" t="s">
        <v>556</v>
      </c>
      <c r="Q893" s="450" t="s">
        <v>556</v>
      </c>
      <c r="R893" s="450" t="s">
        <v>556</v>
      </c>
      <c r="S893" s="450" t="s">
        <v>556</v>
      </c>
      <c r="T893" s="133"/>
      <c r="U893" s="134">
        <v>96</v>
      </c>
      <c r="V893" s="450">
        <v>63.52</v>
      </c>
      <c r="W893" s="450">
        <v>62.25</v>
      </c>
      <c r="X893" s="450">
        <v>60.98</v>
      </c>
      <c r="Y893" s="450">
        <v>59.7</v>
      </c>
      <c r="Z893" s="450">
        <v>58.38</v>
      </c>
      <c r="AA893" s="450" t="s">
        <v>556</v>
      </c>
      <c r="AB893" s="450" t="s">
        <v>556</v>
      </c>
      <c r="AC893" s="450" t="s">
        <v>556</v>
      </c>
      <c r="AD893" s="450" t="s">
        <v>556</v>
      </c>
      <c r="AE893" s="450" t="s">
        <v>556</v>
      </c>
      <c r="AF893" s="450" t="s">
        <v>556</v>
      </c>
      <c r="AG893" s="450" t="s">
        <v>556</v>
      </c>
      <c r="AH893" s="450" t="s">
        <v>556</v>
      </c>
      <c r="AI893" s="450" t="s">
        <v>556</v>
      </c>
      <c r="AJ893" s="450" t="s">
        <v>556</v>
      </c>
      <c r="AK893" s="450" t="s">
        <v>556</v>
      </c>
      <c r="AL893" s="450" t="s">
        <v>556</v>
      </c>
      <c r="AM893" s="133"/>
      <c r="AN893" s="134">
        <v>96</v>
      </c>
      <c r="AO893" s="450">
        <v>64.72</v>
      </c>
      <c r="AP893" s="450">
        <v>63.44</v>
      </c>
      <c r="AQ893" s="450">
        <v>62.16</v>
      </c>
      <c r="AR893" s="450">
        <v>60.87</v>
      </c>
      <c r="AS893" s="450">
        <v>59.54</v>
      </c>
      <c r="AT893" s="450" t="s">
        <v>556</v>
      </c>
      <c r="AU893" s="450" t="s">
        <v>556</v>
      </c>
      <c r="AV893" s="450" t="s">
        <v>556</v>
      </c>
      <c r="AW893" s="450" t="s">
        <v>556</v>
      </c>
      <c r="AX893" s="450" t="s">
        <v>556</v>
      </c>
      <c r="AY893" s="450" t="s">
        <v>556</v>
      </c>
      <c r="AZ893" s="450" t="s">
        <v>556</v>
      </c>
      <c r="BA893" s="450" t="s">
        <v>556</v>
      </c>
      <c r="BB893" s="450" t="s">
        <v>556</v>
      </c>
      <c r="BC893" s="450" t="s">
        <v>556</v>
      </c>
      <c r="BD893" s="450" t="s">
        <v>556</v>
      </c>
      <c r="BE893" s="450" t="s">
        <v>556</v>
      </c>
    </row>
    <row r="894" spans="2:57" x14ac:dyDescent="0.25">
      <c r="B894" s="134">
        <v>97</v>
      </c>
      <c r="C894" s="450">
        <v>58.85</v>
      </c>
      <c r="D894" s="450">
        <v>57.56</v>
      </c>
      <c r="E894" s="450">
        <v>56.27</v>
      </c>
      <c r="F894" s="450">
        <v>54.93</v>
      </c>
      <c r="G894" s="450" t="s">
        <v>556</v>
      </c>
      <c r="H894" s="450" t="s">
        <v>556</v>
      </c>
      <c r="I894" s="450" t="s">
        <v>556</v>
      </c>
      <c r="J894" s="450" t="s">
        <v>556</v>
      </c>
      <c r="K894" s="450" t="s">
        <v>556</v>
      </c>
      <c r="L894" s="450" t="s">
        <v>556</v>
      </c>
      <c r="M894" s="450" t="s">
        <v>556</v>
      </c>
      <c r="N894" s="450" t="s">
        <v>556</v>
      </c>
      <c r="O894" s="450" t="s">
        <v>556</v>
      </c>
      <c r="P894" s="450" t="s">
        <v>556</v>
      </c>
      <c r="Q894" s="450" t="s">
        <v>556</v>
      </c>
      <c r="R894" s="450" t="s">
        <v>556</v>
      </c>
      <c r="S894" s="450" t="s">
        <v>556</v>
      </c>
      <c r="T894" s="133"/>
      <c r="U894" s="134">
        <v>97</v>
      </c>
      <c r="V894" s="450">
        <v>60.89</v>
      </c>
      <c r="W894" s="450">
        <v>59.61</v>
      </c>
      <c r="X894" s="450">
        <v>58.31</v>
      </c>
      <c r="Y894" s="450">
        <v>56.96</v>
      </c>
      <c r="Z894" s="450" t="s">
        <v>556</v>
      </c>
      <c r="AA894" s="450" t="s">
        <v>556</v>
      </c>
      <c r="AB894" s="450" t="s">
        <v>556</v>
      </c>
      <c r="AC894" s="450" t="s">
        <v>556</v>
      </c>
      <c r="AD894" s="450" t="s">
        <v>556</v>
      </c>
      <c r="AE894" s="450" t="s">
        <v>556</v>
      </c>
      <c r="AF894" s="450" t="s">
        <v>556</v>
      </c>
      <c r="AG894" s="450" t="s">
        <v>556</v>
      </c>
      <c r="AH894" s="450" t="s">
        <v>556</v>
      </c>
      <c r="AI894" s="450" t="s">
        <v>556</v>
      </c>
      <c r="AJ894" s="450" t="s">
        <v>556</v>
      </c>
      <c r="AK894" s="450" t="s">
        <v>556</v>
      </c>
      <c r="AL894" s="450" t="s">
        <v>556</v>
      </c>
      <c r="AM894" s="133"/>
      <c r="AN894" s="134">
        <v>97</v>
      </c>
      <c r="AO894" s="450">
        <v>62.06</v>
      </c>
      <c r="AP894" s="450">
        <v>60.77</v>
      </c>
      <c r="AQ894" s="450">
        <v>59.46</v>
      </c>
      <c r="AR894" s="450">
        <v>58.11</v>
      </c>
      <c r="AS894" s="450" t="s">
        <v>556</v>
      </c>
      <c r="AT894" s="450" t="s">
        <v>556</v>
      </c>
      <c r="AU894" s="450" t="s">
        <v>556</v>
      </c>
      <c r="AV894" s="450" t="s">
        <v>556</v>
      </c>
      <c r="AW894" s="450" t="s">
        <v>556</v>
      </c>
      <c r="AX894" s="450" t="s">
        <v>556</v>
      </c>
      <c r="AY894" s="450" t="s">
        <v>556</v>
      </c>
      <c r="AZ894" s="450" t="s">
        <v>556</v>
      </c>
      <c r="BA894" s="450" t="s">
        <v>556</v>
      </c>
      <c r="BB894" s="450" t="s">
        <v>556</v>
      </c>
      <c r="BC894" s="450" t="s">
        <v>556</v>
      </c>
      <c r="BD894" s="450" t="s">
        <v>556</v>
      </c>
      <c r="BE894" s="450" t="s">
        <v>556</v>
      </c>
    </row>
    <row r="895" spans="2:57" x14ac:dyDescent="0.25">
      <c r="B895" s="134">
        <v>98</v>
      </c>
      <c r="C895" s="450">
        <v>56.17</v>
      </c>
      <c r="D895" s="450">
        <v>54.86</v>
      </c>
      <c r="E895" s="450">
        <v>53.5</v>
      </c>
      <c r="F895" s="450" t="s">
        <v>556</v>
      </c>
      <c r="G895" s="450" t="s">
        <v>556</v>
      </c>
      <c r="H895" s="450" t="s">
        <v>556</v>
      </c>
      <c r="I895" s="450" t="s">
        <v>556</v>
      </c>
      <c r="J895" s="450" t="s">
        <v>556</v>
      </c>
      <c r="K895" s="450" t="s">
        <v>556</v>
      </c>
      <c r="L895" s="450" t="s">
        <v>556</v>
      </c>
      <c r="M895" s="450" t="s">
        <v>556</v>
      </c>
      <c r="N895" s="450" t="s">
        <v>556</v>
      </c>
      <c r="O895" s="450" t="s">
        <v>556</v>
      </c>
      <c r="P895" s="450" t="s">
        <v>556</v>
      </c>
      <c r="Q895" s="450" t="s">
        <v>556</v>
      </c>
      <c r="R895" s="450" t="s">
        <v>556</v>
      </c>
      <c r="S895" s="450" t="s">
        <v>556</v>
      </c>
      <c r="T895" s="133"/>
      <c r="U895" s="134">
        <v>98</v>
      </c>
      <c r="V895" s="450">
        <v>58.22</v>
      </c>
      <c r="W895" s="450">
        <v>56.9</v>
      </c>
      <c r="X895" s="450">
        <v>55.54</v>
      </c>
      <c r="Y895" s="450" t="s">
        <v>556</v>
      </c>
      <c r="Z895" s="450" t="s">
        <v>556</v>
      </c>
      <c r="AA895" s="450" t="s">
        <v>556</v>
      </c>
      <c r="AB895" s="450" t="s">
        <v>556</v>
      </c>
      <c r="AC895" s="450" t="s">
        <v>556</v>
      </c>
      <c r="AD895" s="450" t="s">
        <v>556</v>
      </c>
      <c r="AE895" s="450" t="s">
        <v>556</v>
      </c>
      <c r="AF895" s="450" t="s">
        <v>556</v>
      </c>
      <c r="AG895" s="450" t="s">
        <v>556</v>
      </c>
      <c r="AH895" s="450" t="s">
        <v>556</v>
      </c>
      <c r="AI895" s="450" t="s">
        <v>556</v>
      </c>
      <c r="AJ895" s="450" t="s">
        <v>556</v>
      </c>
      <c r="AK895" s="450" t="s">
        <v>556</v>
      </c>
      <c r="AL895" s="450" t="s">
        <v>556</v>
      </c>
      <c r="AM895" s="133"/>
      <c r="AN895" s="134">
        <v>98</v>
      </c>
      <c r="AO895" s="450">
        <v>59.36</v>
      </c>
      <c r="AP895" s="450">
        <v>58.04</v>
      </c>
      <c r="AQ895" s="450">
        <v>56.67</v>
      </c>
      <c r="AR895" s="450" t="s">
        <v>556</v>
      </c>
      <c r="AS895" s="450" t="s">
        <v>556</v>
      </c>
      <c r="AT895" s="450" t="s">
        <v>556</v>
      </c>
      <c r="AU895" s="450" t="s">
        <v>556</v>
      </c>
      <c r="AV895" s="450" t="s">
        <v>556</v>
      </c>
      <c r="AW895" s="450" t="s">
        <v>556</v>
      </c>
      <c r="AX895" s="450" t="s">
        <v>556</v>
      </c>
      <c r="AY895" s="450" t="s">
        <v>556</v>
      </c>
      <c r="AZ895" s="450" t="s">
        <v>556</v>
      </c>
      <c r="BA895" s="450" t="s">
        <v>556</v>
      </c>
      <c r="BB895" s="450" t="s">
        <v>556</v>
      </c>
      <c r="BC895" s="450" t="s">
        <v>556</v>
      </c>
      <c r="BD895" s="450" t="s">
        <v>556</v>
      </c>
      <c r="BE895" s="450" t="s">
        <v>556</v>
      </c>
    </row>
    <row r="896" spans="2:57" x14ac:dyDescent="0.25">
      <c r="B896" s="134">
        <v>99</v>
      </c>
      <c r="C896" s="450">
        <v>53.41</v>
      </c>
      <c r="D896" s="450">
        <v>52.03</v>
      </c>
      <c r="E896" s="450" t="s">
        <v>556</v>
      </c>
      <c r="F896" s="450" t="s">
        <v>556</v>
      </c>
      <c r="G896" s="450" t="s">
        <v>556</v>
      </c>
      <c r="H896" s="450" t="s">
        <v>556</v>
      </c>
      <c r="I896" s="450" t="s">
        <v>556</v>
      </c>
      <c r="J896" s="450" t="s">
        <v>556</v>
      </c>
      <c r="K896" s="450" t="s">
        <v>556</v>
      </c>
      <c r="L896" s="450" t="s">
        <v>556</v>
      </c>
      <c r="M896" s="450" t="s">
        <v>556</v>
      </c>
      <c r="N896" s="450" t="s">
        <v>556</v>
      </c>
      <c r="O896" s="450" t="s">
        <v>556</v>
      </c>
      <c r="P896" s="450" t="s">
        <v>556</v>
      </c>
      <c r="Q896" s="450" t="s">
        <v>556</v>
      </c>
      <c r="R896" s="450" t="s">
        <v>556</v>
      </c>
      <c r="S896" s="450" t="s">
        <v>556</v>
      </c>
      <c r="T896" s="133"/>
      <c r="U896" s="134">
        <v>99</v>
      </c>
      <c r="V896" s="450">
        <v>55.44</v>
      </c>
      <c r="W896" s="450">
        <v>54.07</v>
      </c>
      <c r="X896" s="450" t="s">
        <v>556</v>
      </c>
      <c r="Y896" s="450" t="s">
        <v>556</v>
      </c>
      <c r="Z896" s="450" t="s">
        <v>556</v>
      </c>
      <c r="AA896" s="450" t="s">
        <v>556</v>
      </c>
      <c r="AB896" s="450" t="s">
        <v>556</v>
      </c>
      <c r="AC896" s="450" t="s">
        <v>556</v>
      </c>
      <c r="AD896" s="450" t="s">
        <v>556</v>
      </c>
      <c r="AE896" s="450" t="s">
        <v>556</v>
      </c>
      <c r="AF896" s="450" t="s">
        <v>556</v>
      </c>
      <c r="AG896" s="450" t="s">
        <v>556</v>
      </c>
      <c r="AH896" s="450" t="s">
        <v>556</v>
      </c>
      <c r="AI896" s="450" t="s">
        <v>556</v>
      </c>
      <c r="AJ896" s="450" t="s">
        <v>556</v>
      </c>
      <c r="AK896" s="450" t="s">
        <v>556</v>
      </c>
      <c r="AL896" s="450" t="s">
        <v>556</v>
      </c>
      <c r="AM896" s="133"/>
      <c r="AN896" s="134">
        <v>99</v>
      </c>
      <c r="AO896" s="450">
        <v>56.57</v>
      </c>
      <c r="AP896" s="450">
        <v>55.18</v>
      </c>
      <c r="AQ896" s="450" t="s">
        <v>556</v>
      </c>
      <c r="AR896" s="450" t="s">
        <v>556</v>
      </c>
      <c r="AS896" s="450" t="s">
        <v>556</v>
      </c>
      <c r="AT896" s="450" t="s">
        <v>556</v>
      </c>
      <c r="AU896" s="450" t="s">
        <v>556</v>
      </c>
      <c r="AV896" s="450" t="s">
        <v>556</v>
      </c>
      <c r="AW896" s="450" t="s">
        <v>556</v>
      </c>
      <c r="AX896" s="450" t="s">
        <v>556</v>
      </c>
      <c r="AY896" s="450" t="s">
        <v>556</v>
      </c>
      <c r="AZ896" s="450" t="s">
        <v>556</v>
      </c>
      <c r="BA896" s="450" t="s">
        <v>556</v>
      </c>
      <c r="BB896" s="450" t="s">
        <v>556</v>
      </c>
      <c r="BC896" s="450" t="s">
        <v>556</v>
      </c>
      <c r="BD896" s="450" t="s">
        <v>556</v>
      </c>
      <c r="BE896" s="450" t="s">
        <v>556</v>
      </c>
    </row>
    <row r="897" spans="2:57" x14ac:dyDescent="0.25">
      <c r="B897" s="134">
        <v>100</v>
      </c>
      <c r="C897" s="450">
        <v>50.48</v>
      </c>
      <c r="D897" s="450" t="s">
        <v>556</v>
      </c>
      <c r="E897" s="450" t="s">
        <v>556</v>
      </c>
      <c r="F897" s="450" t="s">
        <v>556</v>
      </c>
      <c r="G897" s="450" t="s">
        <v>556</v>
      </c>
      <c r="H897" s="450" t="s">
        <v>556</v>
      </c>
      <c r="I897" s="450" t="s">
        <v>556</v>
      </c>
      <c r="J897" s="450" t="s">
        <v>556</v>
      </c>
      <c r="K897" s="450" t="s">
        <v>556</v>
      </c>
      <c r="L897" s="450" t="s">
        <v>556</v>
      </c>
      <c r="M897" s="450" t="s">
        <v>556</v>
      </c>
      <c r="N897" s="450" t="s">
        <v>556</v>
      </c>
      <c r="O897" s="450" t="s">
        <v>556</v>
      </c>
      <c r="P897" s="450" t="s">
        <v>556</v>
      </c>
      <c r="Q897" s="450" t="s">
        <v>556</v>
      </c>
      <c r="R897" s="450" t="s">
        <v>556</v>
      </c>
      <c r="S897" s="450" t="s">
        <v>556</v>
      </c>
      <c r="T897" s="133"/>
      <c r="U897" s="134">
        <v>100</v>
      </c>
      <c r="V897" s="450">
        <v>52.51</v>
      </c>
      <c r="W897" s="450" t="s">
        <v>556</v>
      </c>
      <c r="X897" s="450" t="s">
        <v>556</v>
      </c>
      <c r="Y897" s="450" t="s">
        <v>556</v>
      </c>
      <c r="Z897" s="450" t="s">
        <v>556</v>
      </c>
      <c r="AA897" s="450" t="s">
        <v>556</v>
      </c>
      <c r="AB897" s="450" t="s">
        <v>556</v>
      </c>
      <c r="AC897" s="450" t="s">
        <v>556</v>
      </c>
      <c r="AD897" s="450" t="s">
        <v>556</v>
      </c>
      <c r="AE897" s="450" t="s">
        <v>556</v>
      </c>
      <c r="AF897" s="450" t="s">
        <v>556</v>
      </c>
      <c r="AG897" s="450" t="s">
        <v>556</v>
      </c>
      <c r="AH897" s="450" t="s">
        <v>556</v>
      </c>
      <c r="AI897" s="450" t="s">
        <v>556</v>
      </c>
      <c r="AJ897" s="450" t="s">
        <v>556</v>
      </c>
      <c r="AK897" s="450" t="s">
        <v>556</v>
      </c>
      <c r="AL897" s="450" t="s">
        <v>556</v>
      </c>
      <c r="AM897" s="133"/>
      <c r="AN897" s="134">
        <v>100</v>
      </c>
      <c r="AO897" s="450">
        <v>53.62</v>
      </c>
      <c r="AP897" s="450" t="s">
        <v>556</v>
      </c>
      <c r="AQ897" s="450" t="s">
        <v>556</v>
      </c>
      <c r="AR897" s="450" t="s">
        <v>556</v>
      </c>
      <c r="AS897" s="450" t="s">
        <v>556</v>
      </c>
      <c r="AT897" s="450" t="s">
        <v>556</v>
      </c>
      <c r="AU897" s="450" t="s">
        <v>556</v>
      </c>
      <c r="AV897" s="450" t="s">
        <v>556</v>
      </c>
      <c r="AW897" s="450" t="s">
        <v>556</v>
      </c>
      <c r="AX897" s="450" t="s">
        <v>556</v>
      </c>
      <c r="AY897" s="450" t="s">
        <v>556</v>
      </c>
      <c r="AZ897" s="450" t="s">
        <v>556</v>
      </c>
      <c r="BA897" s="450" t="s">
        <v>556</v>
      </c>
      <c r="BB897" s="450" t="s">
        <v>556</v>
      </c>
      <c r="BC897" s="450" t="s">
        <v>556</v>
      </c>
      <c r="BD897" s="450" t="s">
        <v>556</v>
      </c>
      <c r="BE897" s="450" t="s">
        <v>556</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sheetPr>
  <dimension ref="B1:CV105"/>
  <sheetViews>
    <sheetView zoomScale="78" workbookViewId="0">
      <selection activeCell="B5" sqref="B5"/>
    </sheetView>
  </sheetViews>
  <sheetFormatPr defaultColWidth="8.85546875" defaultRowHeight="12.75" x14ac:dyDescent="0.2"/>
  <cols>
    <col min="1" max="1" width="8.85546875" style="429"/>
    <col min="2" max="2" width="8.85546875" style="426" customWidth="1"/>
    <col min="3" max="3" width="13.140625" style="426" customWidth="1"/>
    <col min="4" max="4" width="12.42578125" style="426" customWidth="1"/>
    <col min="5" max="5" width="9" style="426" customWidth="1"/>
    <col min="6" max="6" width="3.140625" style="426" customWidth="1"/>
    <col min="7" max="7" width="8.85546875" style="426" customWidth="1"/>
    <col min="8" max="8" width="11.140625" style="426" customWidth="1"/>
    <col min="9" max="9" width="12.5703125" style="426" customWidth="1"/>
    <col min="10" max="10" width="10.140625" style="426" customWidth="1"/>
    <col min="11" max="16384" width="8.85546875" style="429"/>
  </cols>
  <sheetData>
    <row r="1" spans="2:100" x14ac:dyDescent="0.2">
      <c r="B1" s="425"/>
      <c r="C1" s="425"/>
      <c r="D1" s="425"/>
      <c r="J1" s="437" t="s">
        <v>151</v>
      </c>
      <c r="L1" s="425"/>
      <c r="M1" s="425"/>
      <c r="N1" s="425"/>
      <c r="O1" s="426"/>
      <c r="P1" s="426"/>
      <c r="Q1" s="426"/>
      <c r="R1" s="426"/>
      <c r="S1" s="426"/>
      <c r="T1" s="437" t="s">
        <v>151</v>
      </c>
    </row>
    <row r="2" spans="2:100" x14ac:dyDescent="0.2">
      <c r="B2" s="430" t="s">
        <v>181</v>
      </c>
      <c r="L2" s="430" t="s">
        <v>183</v>
      </c>
      <c r="M2" s="426"/>
      <c r="N2" s="426"/>
      <c r="O2" s="426"/>
      <c r="P2" s="426"/>
      <c r="Q2" s="426"/>
      <c r="R2" s="426"/>
      <c r="S2" s="426"/>
      <c r="T2" s="426"/>
      <c r="V2" s="429" t="s">
        <v>185</v>
      </c>
      <c r="AF2" s="429" t="s">
        <v>187</v>
      </c>
      <c r="AP2" s="429" t="s">
        <v>189</v>
      </c>
      <c r="AZ2" s="429" t="s">
        <v>191</v>
      </c>
      <c r="BJ2" s="429" t="s">
        <v>193</v>
      </c>
      <c r="BT2" s="429" t="s">
        <v>195</v>
      </c>
      <c r="CD2" s="429" t="s">
        <v>197</v>
      </c>
      <c r="CN2" s="429" t="s">
        <v>199</v>
      </c>
    </row>
    <row r="3" spans="2:100" x14ac:dyDescent="0.2">
      <c r="B3" s="758" t="s">
        <v>241</v>
      </c>
      <c r="C3" s="759"/>
      <c r="D3" s="759"/>
      <c r="E3" s="759"/>
      <c r="F3" s="760"/>
      <c r="G3" s="760"/>
      <c r="H3" s="760"/>
      <c r="I3" s="760"/>
      <c r="J3" s="761"/>
      <c r="L3" s="758" t="s">
        <v>242</v>
      </c>
      <c r="M3" s="759"/>
      <c r="N3" s="759"/>
      <c r="O3" s="759"/>
      <c r="P3" s="760"/>
      <c r="Q3" s="760"/>
      <c r="R3" s="760"/>
      <c r="S3" s="760"/>
      <c r="T3" s="761"/>
      <c r="V3" s="758" t="s">
        <v>243</v>
      </c>
      <c r="W3" s="759"/>
      <c r="X3" s="759"/>
      <c r="Y3" s="759"/>
      <c r="Z3" s="760"/>
      <c r="AA3" s="760"/>
      <c r="AB3" s="760"/>
      <c r="AC3" s="760"/>
      <c r="AD3" s="761"/>
      <c r="AF3" s="758" t="s">
        <v>244</v>
      </c>
      <c r="AG3" s="759"/>
      <c r="AH3" s="759"/>
      <c r="AI3" s="759"/>
      <c r="AJ3" s="760"/>
      <c r="AK3" s="760"/>
      <c r="AL3" s="760"/>
      <c r="AM3" s="760"/>
      <c r="AN3" s="761"/>
      <c r="AP3" s="758" t="s">
        <v>245</v>
      </c>
      <c r="AQ3" s="759"/>
      <c r="AR3" s="759"/>
      <c r="AS3" s="759"/>
      <c r="AT3" s="760"/>
      <c r="AU3" s="760"/>
      <c r="AV3" s="760"/>
      <c r="AW3" s="760"/>
      <c r="AX3" s="761"/>
      <c r="AZ3" s="758" t="s">
        <v>246</v>
      </c>
      <c r="BA3" s="759"/>
      <c r="BB3" s="759"/>
      <c r="BC3" s="759"/>
      <c r="BD3" s="760"/>
      <c r="BE3" s="760"/>
      <c r="BF3" s="760"/>
      <c r="BG3" s="760"/>
      <c r="BH3" s="761"/>
      <c r="BJ3" s="758" t="s">
        <v>247</v>
      </c>
      <c r="BK3" s="759"/>
      <c r="BL3" s="759"/>
      <c r="BM3" s="759"/>
      <c r="BN3" s="760"/>
      <c r="BO3" s="760"/>
      <c r="BP3" s="760"/>
      <c r="BQ3" s="760"/>
      <c r="BR3" s="761"/>
      <c r="BT3" s="758" t="s">
        <v>248</v>
      </c>
      <c r="BU3" s="759"/>
      <c r="BV3" s="759"/>
      <c r="BW3" s="759"/>
      <c r="BX3" s="760"/>
      <c r="BY3" s="760"/>
      <c r="BZ3" s="760"/>
      <c r="CA3" s="760"/>
      <c r="CB3" s="761"/>
      <c r="CD3" s="758" t="s">
        <v>249</v>
      </c>
      <c r="CE3" s="759"/>
      <c r="CF3" s="759"/>
      <c r="CG3" s="759"/>
      <c r="CH3" s="760"/>
      <c r="CI3" s="760"/>
      <c r="CJ3" s="760"/>
      <c r="CK3" s="760"/>
      <c r="CL3" s="761"/>
      <c r="CN3" s="758" t="s">
        <v>250</v>
      </c>
      <c r="CO3" s="759"/>
      <c r="CP3" s="759"/>
      <c r="CQ3" s="759"/>
      <c r="CR3" s="760"/>
      <c r="CS3" s="760"/>
      <c r="CT3" s="760"/>
      <c r="CU3" s="760"/>
      <c r="CV3" s="761"/>
    </row>
    <row r="4" spans="2:100" ht="38.25" x14ac:dyDescent="0.2">
      <c r="B4" s="109" t="s">
        <v>1</v>
      </c>
      <c r="C4" s="109" t="s">
        <v>153</v>
      </c>
      <c r="D4" s="110" t="s">
        <v>154</v>
      </c>
      <c r="E4" s="110" t="s">
        <v>155</v>
      </c>
      <c r="F4" s="429"/>
      <c r="G4" s="109"/>
      <c r="H4" s="109"/>
      <c r="I4" s="110"/>
      <c r="J4" s="110"/>
      <c r="L4" s="109" t="s">
        <v>1</v>
      </c>
      <c r="M4" s="109" t="s">
        <v>153</v>
      </c>
      <c r="N4" s="110" t="s">
        <v>154</v>
      </c>
      <c r="O4" s="110" t="s">
        <v>155</v>
      </c>
      <c r="Q4" s="109"/>
      <c r="R4" s="109"/>
      <c r="S4" s="110"/>
      <c r="T4" s="110"/>
      <c r="V4" s="109" t="s">
        <v>1</v>
      </c>
      <c r="W4" s="109" t="s">
        <v>153</v>
      </c>
      <c r="X4" s="110" t="s">
        <v>154</v>
      </c>
      <c r="Y4" s="110" t="s">
        <v>155</v>
      </c>
      <c r="AA4" s="109"/>
      <c r="AB4" s="109"/>
      <c r="AC4" s="110"/>
      <c r="AD4" s="110"/>
      <c r="AF4" s="109" t="s">
        <v>1</v>
      </c>
      <c r="AG4" s="109" t="s">
        <v>153</v>
      </c>
      <c r="AH4" s="110" t="s">
        <v>154</v>
      </c>
      <c r="AI4" s="110" t="s">
        <v>155</v>
      </c>
      <c r="AK4" s="109"/>
      <c r="AL4" s="109"/>
      <c r="AM4" s="110"/>
      <c r="AN4" s="110"/>
      <c r="AP4" s="109" t="s">
        <v>1</v>
      </c>
      <c r="AQ4" s="109" t="s">
        <v>153</v>
      </c>
      <c r="AR4" s="110" t="s">
        <v>154</v>
      </c>
      <c r="AS4" s="110" t="s">
        <v>155</v>
      </c>
      <c r="AU4" s="109"/>
      <c r="AV4" s="109"/>
      <c r="AW4" s="110"/>
      <c r="AX4" s="110"/>
      <c r="AZ4" s="109" t="s">
        <v>1</v>
      </c>
      <c r="BA4" s="109" t="s">
        <v>153</v>
      </c>
      <c r="BB4" s="110" t="s">
        <v>154</v>
      </c>
      <c r="BC4" s="110" t="s">
        <v>155</v>
      </c>
      <c r="BE4" s="109"/>
      <c r="BF4" s="109"/>
      <c r="BG4" s="110"/>
      <c r="BH4" s="110"/>
      <c r="BJ4" s="109" t="s">
        <v>1</v>
      </c>
      <c r="BK4" s="109" t="s">
        <v>153</v>
      </c>
      <c r="BL4" s="110" t="s">
        <v>154</v>
      </c>
      <c r="BM4" s="110" t="s">
        <v>155</v>
      </c>
      <c r="BO4" s="109"/>
      <c r="BP4" s="109"/>
      <c r="BQ4" s="110"/>
      <c r="BR4" s="110"/>
      <c r="BT4" s="109" t="s">
        <v>1</v>
      </c>
      <c r="BU4" s="109" t="s">
        <v>153</v>
      </c>
      <c r="BV4" s="110" t="s">
        <v>154</v>
      </c>
      <c r="BW4" s="110" t="s">
        <v>155</v>
      </c>
      <c r="BY4" s="109"/>
      <c r="BZ4" s="109"/>
      <c r="CA4" s="110"/>
      <c r="CB4" s="110"/>
      <c r="CD4" s="109" t="s">
        <v>1</v>
      </c>
      <c r="CE4" s="109" t="s">
        <v>153</v>
      </c>
      <c r="CF4" s="110" t="s">
        <v>154</v>
      </c>
      <c r="CG4" s="110" t="s">
        <v>155</v>
      </c>
      <c r="CI4" s="109"/>
      <c r="CJ4" s="109"/>
      <c r="CK4" s="110"/>
      <c r="CL4" s="110"/>
      <c r="CN4" s="109" t="s">
        <v>1</v>
      </c>
      <c r="CO4" s="109" t="s">
        <v>153</v>
      </c>
      <c r="CP4" s="110" t="s">
        <v>154</v>
      </c>
      <c r="CQ4" s="110" t="s">
        <v>155</v>
      </c>
      <c r="CS4" s="109"/>
      <c r="CT4" s="109"/>
      <c r="CU4" s="110"/>
      <c r="CV4" s="110"/>
    </row>
    <row r="5" spans="2:100" x14ac:dyDescent="0.2">
      <c r="B5" s="113">
        <v>0</v>
      </c>
      <c r="C5" s="439">
        <v>55.23</v>
      </c>
      <c r="D5" s="439">
        <v>55.46</v>
      </c>
      <c r="E5" s="439">
        <v>55.9</v>
      </c>
      <c r="L5" s="113">
        <v>0</v>
      </c>
      <c r="M5" s="439">
        <v>58.44</v>
      </c>
      <c r="N5" s="439">
        <v>58.74</v>
      </c>
      <c r="O5" s="439">
        <v>59.24</v>
      </c>
      <c r="P5" s="426"/>
      <c r="V5" s="113">
        <v>0</v>
      </c>
      <c r="W5" s="439">
        <v>61.83</v>
      </c>
      <c r="X5" s="439">
        <v>62.2</v>
      </c>
      <c r="Y5" s="439">
        <v>62.75</v>
      </c>
      <c r="Z5" s="426"/>
      <c r="AF5" s="113">
        <v>0</v>
      </c>
      <c r="AG5" s="439">
        <v>65.400000000000006</v>
      </c>
      <c r="AH5" s="439">
        <v>65.84</v>
      </c>
      <c r="AI5" s="439">
        <v>66.459999999999994</v>
      </c>
      <c r="AJ5" s="426"/>
      <c r="AP5" s="113">
        <v>0</v>
      </c>
      <c r="AQ5" s="439">
        <v>69.17</v>
      </c>
      <c r="AR5" s="439">
        <v>69.69</v>
      </c>
      <c r="AS5" s="439">
        <v>70.37</v>
      </c>
      <c r="AT5" s="426"/>
      <c r="AZ5" s="113">
        <v>0</v>
      </c>
      <c r="BA5" s="439">
        <v>71.59</v>
      </c>
      <c r="BB5" s="439">
        <v>72.19</v>
      </c>
      <c r="BC5" s="439">
        <v>72.92</v>
      </c>
      <c r="BD5" s="426"/>
      <c r="BJ5" s="113">
        <v>0</v>
      </c>
      <c r="BK5" s="439">
        <v>75.61</v>
      </c>
      <c r="BL5" s="439">
        <v>76.3</v>
      </c>
      <c r="BM5" s="439">
        <v>77.11</v>
      </c>
      <c r="BN5" s="426"/>
      <c r="BT5" s="113">
        <v>0</v>
      </c>
      <c r="BU5" s="439">
        <v>79.84</v>
      </c>
      <c r="BV5" s="439">
        <v>80.63</v>
      </c>
      <c r="BW5" s="439">
        <v>81.52</v>
      </c>
      <c r="BX5" s="426"/>
      <c r="CD5" s="113">
        <v>0</v>
      </c>
      <c r="CE5" s="439">
        <v>84.28</v>
      </c>
      <c r="CF5" s="439">
        <v>85.19</v>
      </c>
      <c r="CG5" s="439">
        <v>86.16</v>
      </c>
      <c r="CH5" s="426"/>
      <c r="CN5" s="113">
        <v>0</v>
      </c>
      <c r="CO5" s="439">
        <v>88.95</v>
      </c>
      <c r="CP5" s="439">
        <v>89.98</v>
      </c>
      <c r="CQ5" s="439">
        <v>91.04</v>
      </c>
      <c r="CR5" s="426"/>
    </row>
    <row r="6" spans="2:100" x14ac:dyDescent="0.2">
      <c r="B6" s="113">
        <v>1</v>
      </c>
      <c r="C6" s="439">
        <v>55.28</v>
      </c>
      <c r="D6" s="439">
        <v>55.52</v>
      </c>
      <c r="E6" s="439">
        <v>55.96</v>
      </c>
      <c r="L6" s="113">
        <v>1</v>
      </c>
      <c r="M6" s="439">
        <v>58.51</v>
      </c>
      <c r="N6" s="439">
        <v>58.8</v>
      </c>
      <c r="O6" s="439">
        <v>59.3</v>
      </c>
      <c r="P6" s="426"/>
      <c r="V6" s="113">
        <v>1</v>
      </c>
      <c r="W6" s="439">
        <v>61.9</v>
      </c>
      <c r="X6" s="439">
        <v>62.27</v>
      </c>
      <c r="Y6" s="439">
        <v>62.82</v>
      </c>
      <c r="Z6" s="426"/>
      <c r="AF6" s="113">
        <v>1</v>
      </c>
      <c r="AG6" s="439">
        <v>65.48</v>
      </c>
      <c r="AH6" s="439">
        <v>65.92</v>
      </c>
      <c r="AI6" s="439">
        <v>66.540000000000006</v>
      </c>
      <c r="AJ6" s="426"/>
      <c r="AP6" s="113">
        <v>1</v>
      </c>
      <c r="AQ6" s="439">
        <v>69.260000000000005</v>
      </c>
      <c r="AR6" s="439">
        <v>69.78</v>
      </c>
      <c r="AS6" s="439">
        <v>70.459999999999994</v>
      </c>
      <c r="AT6" s="426"/>
      <c r="AZ6" s="113">
        <v>1</v>
      </c>
      <c r="BA6" s="439">
        <v>71.69</v>
      </c>
      <c r="BB6" s="439">
        <v>72.290000000000006</v>
      </c>
      <c r="BC6" s="439">
        <v>73.02</v>
      </c>
      <c r="BD6" s="426"/>
      <c r="BJ6" s="113">
        <v>1</v>
      </c>
      <c r="BK6" s="439">
        <v>75.72</v>
      </c>
      <c r="BL6" s="439">
        <v>76.41</v>
      </c>
      <c r="BM6" s="439">
        <v>77.23</v>
      </c>
      <c r="BN6" s="426"/>
      <c r="BT6" s="113">
        <v>1</v>
      </c>
      <c r="BU6" s="439">
        <v>79.959999999999994</v>
      </c>
      <c r="BV6" s="439">
        <v>80.760000000000005</v>
      </c>
      <c r="BW6" s="439">
        <v>81.650000000000006</v>
      </c>
      <c r="BX6" s="426"/>
      <c r="CD6" s="113">
        <v>1</v>
      </c>
      <c r="CE6" s="439">
        <v>84.42</v>
      </c>
      <c r="CF6" s="439">
        <v>85.33</v>
      </c>
      <c r="CG6" s="439">
        <v>86.31</v>
      </c>
      <c r="CH6" s="426"/>
      <c r="CN6" s="113">
        <v>1</v>
      </c>
      <c r="CO6" s="439">
        <v>89.1</v>
      </c>
      <c r="CP6" s="439">
        <v>90.13</v>
      </c>
      <c r="CQ6" s="439">
        <v>91.2</v>
      </c>
      <c r="CR6" s="426"/>
    </row>
    <row r="7" spans="2:100" x14ac:dyDescent="0.2">
      <c r="B7" s="113">
        <v>2</v>
      </c>
      <c r="C7" s="439">
        <v>55.34</v>
      </c>
      <c r="D7" s="439">
        <v>55.58</v>
      </c>
      <c r="E7" s="439">
        <v>56.03</v>
      </c>
      <c r="L7" s="113">
        <v>2</v>
      </c>
      <c r="M7" s="439">
        <v>58.58</v>
      </c>
      <c r="N7" s="439">
        <v>58.87</v>
      </c>
      <c r="O7" s="439">
        <v>59.37</v>
      </c>
      <c r="P7" s="426"/>
      <c r="V7" s="113">
        <v>2</v>
      </c>
      <c r="W7" s="439">
        <v>61.98</v>
      </c>
      <c r="X7" s="439">
        <v>62.34</v>
      </c>
      <c r="Y7" s="439">
        <v>62.9</v>
      </c>
      <c r="Z7" s="426"/>
      <c r="AF7" s="113">
        <v>2</v>
      </c>
      <c r="AG7" s="439">
        <v>65.569999999999993</v>
      </c>
      <c r="AH7" s="439">
        <v>66.010000000000005</v>
      </c>
      <c r="AI7" s="439">
        <v>66.63</v>
      </c>
      <c r="AJ7" s="426"/>
      <c r="AP7" s="113">
        <v>2</v>
      </c>
      <c r="AQ7" s="439">
        <v>69.349999999999994</v>
      </c>
      <c r="AR7" s="439">
        <v>69.87</v>
      </c>
      <c r="AS7" s="439">
        <v>70.56</v>
      </c>
      <c r="AT7" s="426"/>
      <c r="AZ7" s="113">
        <v>2</v>
      </c>
      <c r="BA7" s="439">
        <v>71.8</v>
      </c>
      <c r="BB7" s="439">
        <v>72.39</v>
      </c>
      <c r="BC7" s="439">
        <v>73.13</v>
      </c>
      <c r="BD7" s="426"/>
      <c r="BJ7" s="113">
        <v>2</v>
      </c>
      <c r="BK7" s="439">
        <v>75.84</v>
      </c>
      <c r="BL7" s="439">
        <v>76.53</v>
      </c>
      <c r="BM7" s="439">
        <v>77.349999999999994</v>
      </c>
      <c r="BN7" s="426"/>
      <c r="BT7" s="113">
        <v>2</v>
      </c>
      <c r="BU7" s="439">
        <v>80.09</v>
      </c>
      <c r="BV7" s="439">
        <v>80.89</v>
      </c>
      <c r="BW7" s="439">
        <v>81.790000000000006</v>
      </c>
      <c r="BX7" s="426"/>
      <c r="CD7" s="113">
        <v>2</v>
      </c>
      <c r="CE7" s="439">
        <v>84.57</v>
      </c>
      <c r="CF7" s="439">
        <v>85.48</v>
      </c>
      <c r="CG7" s="439">
        <v>86.46</v>
      </c>
      <c r="CH7" s="426"/>
      <c r="CN7" s="113">
        <v>2</v>
      </c>
      <c r="CO7" s="439">
        <v>89.27</v>
      </c>
      <c r="CP7" s="439">
        <v>90.3</v>
      </c>
      <c r="CQ7" s="439">
        <v>91.37</v>
      </c>
      <c r="CR7" s="426"/>
    </row>
    <row r="8" spans="2:100" x14ac:dyDescent="0.2">
      <c r="B8" s="113">
        <v>3</v>
      </c>
      <c r="C8" s="439">
        <v>55.41</v>
      </c>
      <c r="D8" s="439">
        <v>55.64</v>
      </c>
      <c r="E8" s="439">
        <v>56.09</v>
      </c>
      <c r="L8" s="113">
        <v>3</v>
      </c>
      <c r="M8" s="439">
        <v>58.65</v>
      </c>
      <c r="N8" s="439">
        <v>58.94</v>
      </c>
      <c r="O8" s="439">
        <v>59.44</v>
      </c>
      <c r="P8" s="426"/>
      <c r="V8" s="113">
        <v>3</v>
      </c>
      <c r="W8" s="439">
        <v>62.06</v>
      </c>
      <c r="X8" s="439">
        <v>62.42</v>
      </c>
      <c r="Y8" s="439">
        <v>62.98</v>
      </c>
      <c r="Z8" s="426"/>
      <c r="AF8" s="113">
        <v>3</v>
      </c>
      <c r="AG8" s="439">
        <v>65.66</v>
      </c>
      <c r="AH8" s="439">
        <v>66.099999999999994</v>
      </c>
      <c r="AI8" s="439">
        <v>66.72</v>
      </c>
      <c r="AJ8" s="426"/>
      <c r="AP8" s="113">
        <v>3</v>
      </c>
      <c r="AQ8" s="439">
        <v>69.45</v>
      </c>
      <c r="AR8" s="439">
        <v>69.97</v>
      </c>
      <c r="AS8" s="439">
        <v>70.66</v>
      </c>
      <c r="AT8" s="426"/>
      <c r="AZ8" s="113">
        <v>3</v>
      </c>
      <c r="BA8" s="439">
        <v>71.91</v>
      </c>
      <c r="BB8" s="439">
        <v>72.510000000000005</v>
      </c>
      <c r="BC8" s="439">
        <v>73.25</v>
      </c>
      <c r="BD8" s="426"/>
      <c r="BJ8" s="113">
        <v>3</v>
      </c>
      <c r="BK8" s="439">
        <v>75.959999999999994</v>
      </c>
      <c r="BL8" s="439">
        <v>76.66</v>
      </c>
      <c r="BM8" s="439">
        <v>77.47</v>
      </c>
      <c r="BN8" s="426"/>
      <c r="BT8" s="113">
        <v>3</v>
      </c>
      <c r="BU8" s="439">
        <v>80.23</v>
      </c>
      <c r="BV8" s="439">
        <v>81.03</v>
      </c>
      <c r="BW8" s="439">
        <v>81.93</v>
      </c>
      <c r="BX8" s="426"/>
      <c r="CD8" s="113">
        <v>3</v>
      </c>
      <c r="CE8" s="439">
        <v>84.72</v>
      </c>
      <c r="CF8" s="439">
        <v>85.63</v>
      </c>
      <c r="CG8" s="439">
        <v>86.62</v>
      </c>
      <c r="CH8" s="426"/>
      <c r="CN8" s="113">
        <v>3</v>
      </c>
      <c r="CO8" s="439">
        <v>89.44</v>
      </c>
      <c r="CP8" s="439">
        <v>90.47</v>
      </c>
      <c r="CQ8" s="439">
        <v>91.55</v>
      </c>
      <c r="CR8" s="426"/>
    </row>
    <row r="9" spans="2:100" x14ac:dyDescent="0.2">
      <c r="B9" s="113">
        <v>4</v>
      </c>
      <c r="C9" s="439">
        <v>55.47</v>
      </c>
      <c r="D9" s="439">
        <v>55.71</v>
      </c>
      <c r="E9" s="439">
        <v>56.16</v>
      </c>
      <c r="L9" s="113">
        <v>4</v>
      </c>
      <c r="M9" s="439">
        <v>58.72</v>
      </c>
      <c r="N9" s="439">
        <v>59.02</v>
      </c>
      <c r="O9" s="439">
        <v>59.52</v>
      </c>
      <c r="P9" s="426"/>
      <c r="V9" s="113">
        <v>4</v>
      </c>
      <c r="W9" s="439">
        <v>62.14</v>
      </c>
      <c r="X9" s="439">
        <v>62.51</v>
      </c>
      <c r="Y9" s="439">
        <v>63.069999999999993</v>
      </c>
      <c r="Z9" s="426"/>
      <c r="AF9" s="113">
        <v>4</v>
      </c>
      <c r="AG9" s="439">
        <v>65.75</v>
      </c>
      <c r="AH9" s="439">
        <v>66.19</v>
      </c>
      <c r="AI9" s="439">
        <v>66.819999999999993</v>
      </c>
      <c r="AJ9" s="426"/>
      <c r="AP9" s="113">
        <v>4</v>
      </c>
      <c r="AQ9" s="439">
        <v>69.56</v>
      </c>
      <c r="AR9" s="439">
        <v>70.08</v>
      </c>
      <c r="AS9" s="439">
        <v>70.77</v>
      </c>
      <c r="AT9" s="426"/>
      <c r="AZ9" s="113">
        <v>4</v>
      </c>
      <c r="BA9" s="439">
        <v>72.02</v>
      </c>
      <c r="BB9" s="439">
        <v>72.62</v>
      </c>
      <c r="BC9" s="439">
        <v>73.37</v>
      </c>
      <c r="BD9" s="426"/>
      <c r="BJ9" s="113">
        <v>4</v>
      </c>
      <c r="BK9" s="439">
        <v>76.09</v>
      </c>
      <c r="BL9" s="439">
        <v>76.790000000000006</v>
      </c>
      <c r="BM9" s="439">
        <v>77.61</v>
      </c>
      <c r="BN9" s="426"/>
      <c r="BT9" s="113">
        <v>4</v>
      </c>
      <c r="BU9" s="439">
        <v>80.38</v>
      </c>
      <c r="BV9" s="439">
        <v>81.180000000000007</v>
      </c>
      <c r="BW9" s="439">
        <v>82.08</v>
      </c>
      <c r="BX9" s="426"/>
      <c r="CD9" s="113">
        <v>4</v>
      </c>
      <c r="CE9" s="439">
        <v>84.88</v>
      </c>
      <c r="CF9" s="439">
        <v>85.8</v>
      </c>
      <c r="CG9" s="439">
        <v>86.78</v>
      </c>
      <c r="CH9" s="426"/>
      <c r="CN9" s="113">
        <v>4</v>
      </c>
      <c r="CO9" s="439">
        <v>89.62</v>
      </c>
      <c r="CP9" s="439">
        <v>90.66</v>
      </c>
      <c r="CQ9" s="439">
        <v>91.74</v>
      </c>
      <c r="CR9" s="426"/>
    </row>
    <row r="10" spans="2:100" x14ac:dyDescent="0.2">
      <c r="B10" s="113">
        <v>5</v>
      </c>
      <c r="C10" s="439">
        <v>55.54</v>
      </c>
      <c r="D10" s="439">
        <v>55.78</v>
      </c>
      <c r="E10" s="439">
        <v>56.23</v>
      </c>
      <c r="L10" s="113">
        <v>5</v>
      </c>
      <c r="M10" s="439">
        <v>58.8</v>
      </c>
      <c r="N10" s="439">
        <v>59.1</v>
      </c>
      <c r="O10" s="439">
        <v>59.6</v>
      </c>
      <c r="P10" s="426"/>
      <c r="V10" s="113">
        <v>5</v>
      </c>
      <c r="W10" s="439">
        <v>62.23</v>
      </c>
      <c r="X10" s="439">
        <v>62.6</v>
      </c>
      <c r="Y10" s="439">
        <v>63.16</v>
      </c>
      <c r="Z10" s="426"/>
      <c r="AF10" s="113">
        <v>5</v>
      </c>
      <c r="AG10" s="439">
        <v>65.849999999999994</v>
      </c>
      <c r="AH10" s="439">
        <v>66.290000000000006</v>
      </c>
      <c r="AI10" s="439">
        <v>66.92</v>
      </c>
      <c r="AJ10" s="426"/>
      <c r="AP10" s="113">
        <v>5</v>
      </c>
      <c r="AQ10" s="439">
        <v>69.66</v>
      </c>
      <c r="AR10" s="439">
        <v>70.19</v>
      </c>
      <c r="AS10" s="439">
        <v>70.88</v>
      </c>
      <c r="AT10" s="426"/>
      <c r="AZ10" s="113">
        <v>5</v>
      </c>
      <c r="BA10" s="439">
        <v>72.150000000000006</v>
      </c>
      <c r="BB10" s="439">
        <v>72.75</v>
      </c>
      <c r="BC10" s="439">
        <v>73.489999999999995</v>
      </c>
      <c r="BD10" s="426"/>
      <c r="BJ10" s="113">
        <v>5</v>
      </c>
      <c r="BK10" s="439">
        <v>76.23</v>
      </c>
      <c r="BL10" s="439">
        <v>76.930000000000007</v>
      </c>
      <c r="BM10" s="439">
        <v>77.75</v>
      </c>
      <c r="BN10" s="426"/>
      <c r="BT10" s="113">
        <v>5</v>
      </c>
      <c r="BU10" s="439">
        <v>80.53</v>
      </c>
      <c r="BV10" s="439">
        <v>81.33</v>
      </c>
      <c r="BW10" s="439">
        <v>82.23</v>
      </c>
      <c r="BX10" s="426"/>
      <c r="CD10" s="113">
        <v>5</v>
      </c>
      <c r="CE10" s="439">
        <v>85.05</v>
      </c>
      <c r="CF10" s="439">
        <v>85.97</v>
      </c>
      <c r="CG10" s="439">
        <v>86.96</v>
      </c>
      <c r="CH10" s="426"/>
      <c r="CN10" s="113">
        <v>5</v>
      </c>
      <c r="CO10" s="439">
        <v>89.81</v>
      </c>
      <c r="CP10" s="439">
        <v>90.85</v>
      </c>
      <c r="CQ10" s="439">
        <v>91.93</v>
      </c>
      <c r="CR10" s="426"/>
    </row>
    <row r="11" spans="2:100" x14ac:dyDescent="0.2">
      <c r="B11" s="113">
        <v>6</v>
      </c>
      <c r="C11" s="439">
        <v>55.62</v>
      </c>
      <c r="D11" s="439">
        <v>55.85</v>
      </c>
      <c r="E11" s="439">
        <v>56.3</v>
      </c>
      <c r="L11" s="113">
        <v>6</v>
      </c>
      <c r="M11" s="439">
        <v>58.88</v>
      </c>
      <c r="N11" s="439">
        <v>59.18</v>
      </c>
      <c r="O11" s="439">
        <v>59.68</v>
      </c>
      <c r="P11" s="426"/>
      <c r="V11" s="113">
        <v>6</v>
      </c>
      <c r="W11" s="439">
        <v>62.32</v>
      </c>
      <c r="X11" s="439">
        <v>62.69</v>
      </c>
      <c r="Y11" s="439">
        <v>63.25</v>
      </c>
      <c r="Z11" s="426"/>
      <c r="AF11" s="113">
        <v>6</v>
      </c>
      <c r="AG11" s="439">
        <v>65.95</v>
      </c>
      <c r="AH11" s="439">
        <v>66.39</v>
      </c>
      <c r="AI11" s="439">
        <v>67.02</v>
      </c>
      <c r="AJ11" s="426"/>
      <c r="AP11" s="113">
        <v>6</v>
      </c>
      <c r="AQ11" s="439">
        <v>69.78</v>
      </c>
      <c r="AR11" s="439">
        <v>70.31</v>
      </c>
      <c r="AS11" s="439">
        <v>71</v>
      </c>
      <c r="AT11" s="426"/>
      <c r="AZ11" s="113">
        <v>6</v>
      </c>
      <c r="BA11" s="439">
        <v>72.27</v>
      </c>
      <c r="BB11" s="439">
        <v>72.88</v>
      </c>
      <c r="BC11" s="439">
        <v>73.62</v>
      </c>
      <c r="BD11" s="426"/>
      <c r="BJ11" s="113">
        <v>6</v>
      </c>
      <c r="BK11" s="439">
        <v>76.37</v>
      </c>
      <c r="BL11" s="439">
        <v>77.069999999999993</v>
      </c>
      <c r="BM11" s="439">
        <v>77.900000000000006</v>
      </c>
      <c r="BN11" s="426"/>
      <c r="BT11" s="113">
        <v>6</v>
      </c>
      <c r="BU11" s="439">
        <v>80.69</v>
      </c>
      <c r="BV11" s="439">
        <v>81.489999999999995</v>
      </c>
      <c r="BW11" s="439">
        <v>82.4</v>
      </c>
      <c r="BX11" s="426"/>
      <c r="CD11" s="113">
        <v>6</v>
      </c>
      <c r="CE11" s="439">
        <v>85.23</v>
      </c>
      <c r="CF11" s="439">
        <v>86.15</v>
      </c>
      <c r="CG11" s="439">
        <v>87.14</v>
      </c>
      <c r="CH11" s="426"/>
      <c r="CN11" s="113">
        <v>6</v>
      </c>
      <c r="CO11" s="439">
        <v>90.01</v>
      </c>
      <c r="CP11" s="439">
        <v>91.05</v>
      </c>
      <c r="CQ11" s="439">
        <v>92.14</v>
      </c>
      <c r="CR11" s="426"/>
    </row>
    <row r="12" spans="2:100" x14ac:dyDescent="0.2">
      <c r="B12" s="113">
        <v>7</v>
      </c>
      <c r="C12" s="439">
        <v>55.69</v>
      </c>
      <c r="D12" s="439">
        <v>55.93</v>
      </c>
      <c r="E12" s="439">
        <v>56.38</v>
      </c>
      <c r="L12" s="113">
        <v>7</v>
      </c>
      <c r="M12" s="439">
        <v>58.97</v>
      </c>
      <c r="N12" s="439">
        <v>59.26</v>
      </c>
      <c r="O12" s="439">
        <v>59.77</v>
      </c>
      <c r="P12" s="426"/>
      <c r="V12" s="113">
        <v>7</v>
      </c>
      <c r="W12" s="439">
        <v>62.42</v>
      </c>
      <c r="X12" s="439">
        <v>62.79</v>
      </c>
      <c r="Y12" s="439">
        <v>63.349999999999994</v>
      </c>
      <c r="Z12" s="426"/>
      <c r="AF12" s="113">
        <v>7</v>
      </c>
      <c r="AG12" s="439">
        <v>66.06</v>
      </c>
      <c r="AH12" s="439">
        <v>66.5</v>
      </c>
      <c r="AI12" s="439">
        <v>67.13</v>
      </c>
      <c r="AJ12" s="426"/>
      <c r="AP12" s="113">
        <v>7</v>
      </c>
      <c r="AQ12" s="439">
        <v>69.900000000000006</v>
      </c>
      <c r="AR12" s="439">
        <v>70.430000000000007</v>
      </c>
      <c r="AS12" s="439">
        <v>71.12</v>
      </c>
      <c r="AT12" s="426"/>
      <c r="AZ12" s="113">
        <v>7</v>
      </c>
      <c r="BA12" s="439">
        <v>72.41</v>
      </c>
      <c r="BB12" s="439">
        <v>73.010000000000005</v>
      </c>
      <c r="BC12" s="439">
        <v>73.760000000000005</v>
      </c>
      <c r="BD12" s="426"/>
      <c r="BJ12" s="113">
        <v>7</v>
      </c>
      <c r="BK12" s="439">
        <v>76.52</v>
      </c>
      <c r="BL12" s="439">
        <v>77.22</v>
      </c>
      <c r="BM12" s="439">
        <v>78.05</v>
      </c>
      <c r="BN12" s="426"/>
      <c r="BT12" s="113">
        <v>7</v>
      </c>
      <c r="BU12" s="439">
        <v>80.86</v>
      </c>
      <c r="BV12" s="439">
        <v>81.66</v>
      </c>
      <c r="BW12" s="439">
        <v>82.57</v>
      </c>
      <c r="BX12" s="426"/>
      <c r="CD12" s="113">
        <v>7</v>
      </c>
      <c r="CE12" s="439">
        <v>85.42</v>
      </c>
      <c r="CF12" s="439">
        <v>86.34</v>
      </c>
      <c r="CG12" s="439">
        <v>87.34</v>
      </c>
      <c r="CH12" s="426"/>
      <c r="CN12" s="113">
        <v>7</v>
      </c>
      <c r="CO12" s="439">
        <v>90.22</v>
      </c>
      <c r="CP12" s="439">
        <v>91.26</v>
      </c>
      <c r="CQ12" s="439">
        <v>92.35</v>
      </c>
      <c r="CR12" s="426"/>
    </row>
    <row r="13" spans="2:100" x14ac:dyDescent="0.2">
      <c r="B13" s="113">
        <v>8</v>
      </c>
      <c r="C13" s="439">
        <v>55.77</v>
      </c>
      <c r="D13" s="439">
        <v>56.01</v>
      </c>
      <c r="E13" s="439">
        <v>56.46</v>
      </c>
      <c r="L13" s="113">
        <v>8</v>
      </c>
      <c r="M13" s="439">
        <v>59.06</v>
      </c>
      <c r="N13" s="439">
        <v>59.35</v>
      </c>
      <c r="O13" s="439">
        <v>59.86</v>
      </c>
      <c r="P13" s="426"/>
      <c r="V13" s="113">
        <v>8</v>
      </c>
      <c r="W13" s="439">
        <v>62.52</v>
      </c>
      <c r="X13" s="439">
        <v>62.89</v>
      </c>
      <c r="Y13" s="439">
        <v>63.45</v>
      </c>
      <c r="Z13" s="426"/>
      <c r="AF13" s="113">
        <v>8</v>
      </c>
      <c r="AG13" s="439">
        <v>66.17</v>
      </c>
      <c r="AH13" s="439">
        <v>66.62</v>
      </c>
      <c r="AI13" s="439">
        <v>67.25</v>
      </c>
      <c r="AJ13" s="426"/>
      <c r="AP13" s="113">
        <v>8</v>
      </c>
      <c r="AQ13" s="439">
        <v>70.03</v>
      </c>
      <c r="AR13" s="439">
        <v>70.55</v>
      </c>
      <c r="AS13" s="439">
        <v>71.25</v>
      </c>
      <c r="AT13" s="426"/>
      <c r="AZ13" s="113">
        <v>8</v>
      </c>
      <c r="BA13" s="439">
        <v>72.55</v>
      </c>
      <c r="BB13" s="439">
        <v>73.150000000000006</v>
      </c>
      <c r="BC13" s="439">
        <v>73.91</v>
      </c>
      <c r="BD13" s="426"/>
      <c r="BJ13" s="113">
        <v>8</v>
      </c>
      <c r="BK13" s="439">
        <v>76.680000000000007</v>
      </c>
      <c r="BL13" s="439">
        <v>77.38</v>
      </c>
      <c r="BM13" s="439">
        <v>78.209999999999994</v>
      </c>
      <c r="BN13" s="426"/>
      <c r="BT13" s="113">
        <v>8</v>
      </c>
      <c r="BU13" s="439">
        <v>81.03</v>
      </c>
      <c r="BV13" s="439">
        <v>81.84</v>
      </c>
      <c r="BW13" s="439">
        <v>82.75</v>
      </c>
      <c r="BX13" s="426"/>
      <c r="CD13" s="113">
        <v>8</v>
      </c>
      <c r="CE13" s="439">
        <v>85.61</v>
      </c>
      <c r="CF13" s="439">
        <v>86.54</v>
      </c>
      <c r="CG13" s="439">
        <v>87.54</v>
      </c>
      <c r="CH13" s="426"/>
      <c r="CN13" s="113">
        <v>8</v>
      </c>
      <c r="CO13" s="439">
        <v>90.44</v>
      </c>
      <c r="CP13" s="439">
        <v>91.48</v>
      </c>
      <c r="CQ13" s="439">
        <v>92.58</v>
      </c>
      <c r="CR13" s="426"/>
    </row>
    <row r="14" spans="2:100" x14ac:dyDescent="0.2">
      <c r="B14" s="113">
        <v>9</v>
      </c>
      <c r="C14" s="439">
        <v>55.86</v>
      </c>
      <c r="D14" s="439">
        <v>56.09</v>
      </c>
      <c r="E14" s="439">
        <v>56.55</v>
      </c>
      <c r="L14" s="113">
        <v>9</v>
      </c>
      <c r="M14" s="439">
        <v>59.15</v>
      </c>
      <c r="N14" s="439">
        <v>59.45</v>
      </c>
      <c r="O14" s="439">
        <v>59.96</v>
      </c>
      <c r="P14" s="426"/>
      <c r="V14" s="113">
        <v>9</v>
      </c>
      <c r="W14" s="439">
        <v>62.63</v>
      </c>
      <c r="X14" s="439">
        <v>62.99</v>
      </c>
      <c r="Y14" s="439">
        <v>63.56</v>
      </c>
      <c r="Z14" s="426"/>
      <c r="AF14" s="113">
        <v>9</v>
      </c>
      <c r="AG14" s="439">
        <v>66.290000000000006</v>
      </c>
      <c r="AH14" s="439">
        <v>66.739999999999995</v>
      </c>
      <c r="AI14" s="439">
        <v>67.37</v>
      </c>
      <c r="AJ14" s="426"/>
      <c r="AP14" s="113">
        <v>9</v>
      </c>
      <c r="AQ14" s="439">
        <v>70.16</v>
      </c>
      <c r="AR14" s="439">
        <v>70.69</v>
      </c>
      <c r="AS14" s="439">
        <v>71.39</v>
      </c>
      <c r="AT14" s="426"/>
      <c r="AZ14" s="113">
        <v>9</v>
      </c>
      <c r="BA14" s="439">
        <v>72.7</v>
      </c>
      <c r="BB14" s="439">
        <v>73.3</v>
      </c>
      <c r="BC14" s="439">
        <v>74.06</v>
      </c>
      <c r="BD14" s="426"/>
      <c r="BJ14" s="113">
        <v>9</v>
      </c>
      <c r="BK14" s="439">
        <v>76.849999999999994</v>
      </c>
      <c r="BL14" s="439">
        <v>77.55</v>
      </c>
      <c r="BM14" s="439">
        <v>78.38</v>
      </c>
      <c r="BN14" s="426"/>
      <c r="BT14" s="113">
        <v>9</v>
      </c>
      <c r="BU14" s="439">
        <v>81.22</v>
      </c>
      <c r="BV14" s="439">
        <v>82.03</v>
      </c>
      <c r="BW14" s="439">
        <v>82.94</v>
      </c>
      <c r="BX14" s="426"/>
      <c r="CD14" s="113">
        <v>9</v>
      </c>
      <c r="CE14" s="439">
        <v>85.82</v>
      </c>
      <c r="CF14" s="439">
        <v>86.75</v>
      </c>
      <c r="CG14" s="439">
        <v>87.75</v>
      </c>
      <c r="CH14" s="426"/>
      <c r="CN14" s="113">
        <v>9</v>
      </c>
      <c r="CO14" s="439">
        <v>90.67</v>
      </c>
      <c r="CP14" s="439">
        <v>91.72</v>
      </c>
      <c r="CQ14" s="439">
        <v>92.82</v>
      </c>
      <c r="CR14" s="426"/>
    </row>
    <row r="15" spans="2:100" x14ac:dyDescent="0.2">
      <c r="B15" s="113">
        <v>10</v>
      </c>
      <c r="C15" s="439">
        <v>55.95</v>
      </c>
      <c r="D15" s="439">
        <v>56.18</v>
      </c>
      <c r="E15" s="439">
        <v>56.64</v>
      </c>
      <c r="L15" s="113">
        <v>10</v>
      </c>
      <c r="M15" s="439">
        <v>59.25</v>
      </c>
      <c r="N15" s="439">
        <v>59.55</v>
      </c>
      <c r="O15" s="439">
        <v>60.06</v>
      </c>
      <c r="P15" s="426"/>
      <c r="V15" s="113">
        <v>10</v>
      </c>
      <c r="W15" s="439">
        <v>62.74</v>
      </c>
      <c r="X15" s="439">
        <v>63.11</v>
      </c>
      <c r="Y15" s="439">
        <v>63.680000000000007</v>
      </c>
      <c r="Z15" s="426"/>
      <c r="AF15" s="113">
        <v>10</v>
      </c>
      <c r="AG15" s="439">
        <v>66.42</v>
      </c>
      <c r="AH15" s="439">
        <v>66.86</v>
      </c>
      <c r="AI15" s="439">
        <v>67.5</v>
      </c>
      <c r="AJ15" s="426"/>
      <c r="AP15" s="113">
        <v>10</v>
      </c>
      <c r="AQ15" s="439">
        <v>70.3</v>
      </c>
      <c r="AR15" s="439">
        <v>70.83</v>
      </c>
      <c r="AS15" s="439">
        <v>71.53</v>
      </c>
      <c r="AT15" s="426"/>
      <c r="AZ15" s="113">
        <v>10</v>
      </c>
      <c r="BA15" s="439">
        <v>72.849999999999994</v>
      </c>
      <c r="BB15" s="439">
        <v>73.459999999999994</v>
      </c>
      <c r="BC15" s="439">
        <v>74.22</v>
      </c>
      <c r="BD15" s="426"/>
      <c r="BJ15" s="113">
        <v>10</v>
      </c>
      <c r="BK15" s="439">
        <v>77.02</v>
      </c>
      <c r="BL15" s="439">
        <v>77.73</v>
      </c>
      <c r="BM15" s="439">
        <v>78.56</v>
      </c>
      <c r="BN15" s="426"/>
      <c r="BT15" s="113">
        <v>10</v>
      </c>
      <c r="BU15" s="439">
        <v>81.41</v>
      </c>
      <c r="BV15" s="439">
        <v>82.23</v>
      </c>
      <c r="BW15" s="439">
        <v>83.14</v>
      </c>
      <c r="BX15" s="426"/>
      <c r="CD15" s="113">
        <v>10</v>
      </c>
      <c r="CE15" s="439">
        <v>86.04</v>
      </c>
      <c r="CF15" s="439">
        <v>86.97</v>
      </c>
      <c r="CG15" s="439">
        <v>87.98</v>
      </c>
      <c r="CH15" s="426"/>
      <c r="CN15" s="113">
        <v>10</v>
      </c>
      <c r="CO15" s="439">
        <v>90.91</v>
      </c>
      <c r="CP15" s="439">
        <v>91.96</v>
      </c>
      <c r="CQ15" s="439">
        <v>93.07</v>
      </c>
      <c r="CR15" s="426"/>
    </row>
    <row r="16" spans="2:100" x14ac:dyDescent="0.2">
      <c r="B16" s="113">
        <v>11</v>
      </c>
      <c r="C16" s="439">
        <v>56.04</v>
      </c>
      <c r="D16" s="439">
        <v>56.28</v>
      </c>
      <c r="E16" s="439">
        <v>56.74</v>
      </c>
      <c r="L16" s="113">
        <v>11</v>
      </c>
      <c r="M16" s="439">
        <v>59.35</v>
      </c>
      <c r="N16" s="439">
        <v>59.66</v>
      </c>
      <c r="O16" s="439">
        <v>60.17</v>
      </c>
      <c r="P16" s="426"/>
      <c r="V16" s="113">
        <v>11</v>
      </c>
      <c r="W16" s="439">
        <v>62.85</v>
      </c>
      <c r="X16" s="439">
        <v>63.22</v>
      </c>
      <c r="Y16" s="439">
        <v>63.8</v>
      </c>
      <c r="Z16" s="426"/>
      <c r="AF16" s="113">
        <v>11</v>
      </c>
      <c r="AG16" s="439">
        <v>66.55</v>
      </c>
      <c r="AH16" s="439">
        <v>67</v>
      </c>
      <c r="AI16" s="439">
        <v>67.63</v>
      </c>
      <c r="AJ16" s="426"/>
      <c r="AP16" s="113">
        <v>11</v>
      </c>
      <c r="AQ16" s="439">
        <v>70.45</v>
      </c>
      <c r="AR16" s="439">
        <v>70.98</v>
      </c>
      <c r="AS16" s="439">
        <v>71.680000000000007</v>
      </c>
      <c r="AT16" s="426"/>
      <c r="AZ16" s="113">
        <v>11</v>
      </c>
      <c r="BA16" s="439">
        <v>73.02</v>
      </c>
      <c r="BB16" s="439">
        <v>73.63</v>
      </c>
      <c r="BC16" s="439">
        <v>74.39</v>
      </c>
      <c r="BD16" s="426"/>
      <c r="BJ16" s="113">
        <v>11</v>
      </c>
      <c r="BK16" s="439">
        <v>77.209999999999994</v>
      </c>
      <c r="BL16" s="439">
        <v>77.91</v>
      </c>
      <c r="BM16" s="439">
        <v>78.75</v>
      </c>
      <c r="BN16" s="426"/>
      <c r="BT16" s="113">
        <v>11</v>
      </c>
      <c r="BU16" s="439">
        <v>81.62</v>
      </c>
      <c r="BV16" s="439">
        <v>82.43</v>
      </c>
      <c r="BW16" s="439">
        <v>83.36</v>
      </c>
      <c r="BX16" s="426"/>
      <c r="CD16" s="113">
        <v>11</v>
      </c>
      <c r="CE16" s="439">
        <v>86.27</v>
      </c>
      <c r="CF16" s="439">
        <v>87.2</v>
      </c>
      <c r="CG16" s="439">
        <v>88.21</v>
      </c>
      <c r="CH16" s="426"/>
      <c r="CN16" s="113">
        <v>11</v>
      </c>
      <c r="CO16" s="439">
        <v>91.17</v>
      </c>
      <c r="CP16" s="439">
        <v>92.22</v>
      </c>
      <c r="CQ16" s="439">
        <v>93.33</v>
      </c>
      <c r="CR16" s="426"/>
    </row>
    <row r="17" spans="2:96" x14ac:dyDescent="0.2">
      <c r="B17" s="113">
        <v>12</v>
      </c>
      <c r="C17" s="439">
        <v>56.14</v>
      </c>
      <c r="D17" s="439">
        <v>56.38</v>
      </c>
      <c r="E17" s="439">
        <v>56.84</v>
      </c>
      <c r="L17" s="113">
        <v>12</v>
      </c>
      <c r="M17" s="439">
        <v>59.46</v>
      </c>
      <c r="N17" s="439">
        <v>59.77</v>
      </c>
      <c r="O17" s="439">
        <v>60.28</v>
      </c>
      <c r="P17" s="426"/>
      <c r="V17" s="113">
        <v>12</v>
      </c>
      <c r="W17" s="439">
        <v>62.98</v>
      </c>
      <c r="X17" s="439">
        <v>63.349999999999994</v>
      </c>
      <c r="Y17" s="439">
        <v>63.92</v>
      </c>
      <c r="Z17" s="426"/>
      <c r="AF17" s="113">
        <v>12</v>
      </c>
      <c r="AG17" s="439">
        <v>66.69</v>
      </c>
      <c r="AH17" s="439">
        <v>67.13</v>
      </c>
      <c r="AI17" s="439">
        <v>67.77</v>
      </c>
      <c r="AJ17" s="426"/>
      <c r="AP17" s="113">
        <v>12</v>
      </c>
      <c r="AQ17" s="439">
        <v>70.599999999999994</v>
      </c>
      <c r="AR17" s="439">
        <v>71.13</v>
      </c>
      <c r="AS17" s="439">
        <v>71.84</v>
      </c>
      <c r="AT17" s="426"/>
      <c r="AZ17" s="113">
        <v>12</v>
      </c>
      <c r="BA17" s="439">
        <v>73.19</v>
      </c>
      <c r="BB17" s="439">
        <v>73.8</v>
      </c>
      <c r="BC17" s="439">
        <v>74.569999999999993</v>
      </c>
      <c r="BD17" s="426"/>
      <c r="BJ17" s="113">
        <v>12</v>
      </c>
      <c r="BK17" s="439">
        <v>77.400000000000006</v>
      </c>
      <c r="BL17" s="439">
        <v>78.11</v>
      </c>
      <c r="BM17" s="439">
        <v>78.95</v>
      </c>
      <c r="BN17" s="426"/>
      <c r="BT17" s="113">
        <v>12</v>
      </c>
      <c r="BU17" s="439">
        <v>81.83</v>
      </c>
      <c r="BV17" s="439">
        <v>82.65</v>
      </c>
      <c r="BW17" s="439">
        <v>83.58</v>
      </c>
      <c r="BX17" s="426"/>
      <c r="CD17" s="113">
        <v>12</v>
      </c>
      <c r="CE17" s="439">
        <v>86.51</v>
      </c>
      <c r="CF17" s="439">
        <v>87.44</v>
      </c>
      <c r="CG17" s="439">
        <v>88.46</v>
      </c>
      <c r="CH17" s="426"/>
      <c r="CN17" s="113">
        <v>12</v>
      </c>
      <c r="CO17" s="439">
        <v>91.43</v>
      </c>
      <c r="CP17" s="439">
        <v>92.49</v>
      </c>
      <c r="CQ17" s="439">
        <v>93.61</v>
      </c>
      <c r="CR17" s="426"/>
    </row>
    <row r="18" spans="2:96" x14ac:dyDescent="0.2">
      <c r="B18" s="113">
        <v>13</v>
      </c>
      <c r="C18" s="439">
        <v>56.24</v>
      </c>
      <c r="D18" s="439">
        <v>56.48</v>
      </c>
      <c r="E18" s="439">
        <v>56.94</v>
      </c>
      <c r="L18" s="113">
        <v>13</v>
      </c>
      <c r="M18" s="439">
        <v>59.58</v>
      </c>
      <c r="N18" s="439">
        <v>59.88</v>
      </c>
      <c r="O18" s="439">
        <v>60.4</v>
      </c>
      <c r="P18" s="426"/>
      <c r="V18" s="113">
        <v>13</v>
      </c>
      <c r="W18" s="439">
        <v>63.11</v>
      </c>
      <c r="X18" s="439">
        <v>63.480000000000004</v>
      </c>
      <c r="Y18" s="439">
        <v>64.06</v>
      </c>
      <c r="Z18" s="426"/>
      <c r="AF18" s="113">
        <v>13</v>
      </c>
      <c r="AG18" s="439">
        <v>66.83</v>
      </c>
      <c r="AH18" s="439">
        <v>67.28</v>
      </c>
      <c r="AI18" s="439">
        <v>67.92</v>
      </c>
      <c r="AJ18" s="426"/>
      <c r="AP18" s="113">
        <v>13</v>
      </c>
      <c r="AQ18" s="439">
        <v>70.760000000000005</v>
      </c>
      <c r="AR18" s="439">
        <v>71.3</v>
      </c>
      <c r="AS18" s="439">
        <v>72.010000000000005</v>
      </c>
      <c r="AT18" s="426"/>
      <c r="AZ18" s="113">
        <v>13</v>
      </c>
      <c r="BA18" s="439">
        <v>73.37</v>
      </c>
      <c r="BB18" s="439">
        <v>73.989999999999995</v>
      </c>
      <c r="BC18" s="439">
        <v>74.75</v>
      </c>
      <c r="BD18" s="426"/>
      <c r="BJ18" s="113">
        <v>13</v>
      </c>
      <c r="BK18" s="439">
        <v>77.599999999999994</v>
      </c>
      <c r="BL18" s="439">
        <v>78.31</v>
      </c>
      <c r="BM18" s="439">
        <v>79.16</v>
      </c>
      <c r="BN18" s="426"/>
      <c r="BT18" s="113">
        <v>13</v>
      </c>
      <c r="BU18" s="439">
        <v>82.06</v>
      </c>
      <c r="BV18" s="439">
        <v>82.88</v>
      </c>
      <c r="BW18" s="439">
        <v>83.81</v>
      </c>
      <c r="BX18" s="426"/>
      <c r="CD18" s="113">
        <v>13</v>
      </c>
      <c r="CE18" s="439">
        <v>86.76</v>
      </c>
      <c r="CF18" s="439">
        <v>87.7</v>
      </c>
      <c r="CG18" s="439">
        <v>88.72</v>
      </c>
      <c r="CH18" s="426"/>
      <c r="CN18" s="113">
        <v>13</v>
      </c>
      <c r="CO18" s="439">
        <v>91.71</v>
      </c>
      <c r="CP18" s="439">
        <v>92.77</v>
      </c>
      <c r="CQ18" s="439">
        <v>93.89</v>
      </c>
      <c r="CR18" s="426"/>
    </row>
    <row r="19" spans="2:96" x14ac:dyDescent="0.2">
      <c r="B19" s="113">
        <v>14</v>
      </c>
      <c r="C19" s="439">
        <v>56.35</v>
      </c>
      <c r="D19" s="439">
        <v>56.59</v>
      </c>
      <c r="E19" s="439">
        <v>57.05</v>
      </c>
      <c r="L19" s="113">
        <v>14</v>
      </c>
      <c r="M19" s="439">
        <v>59.7</v>
      </c>
      <c r="N19" s="439">
        <v>60</v>
      </c>
      <c r="O19" s="439">
        <v>60.52</v>
      </c>
      <c r="P19" s="426"/>
      <c r="V19" s="113">
        <v>14</v>
      </c>
      <c r="W19" s="439">
        <v>63.239999999999995</v>
      </c>
      <c r="X19" s="439">
        <v>63.620000000000005</v>
      </c>
      <c r="Y19" s="439">
        <v>64.2</v>
      </c>
      <c r="Z19" s="426"/>
      <c r="AF19" s="113">
        <v>14</v>
      </c>
      <c r="AG19" s="439">
        <v>66.98</v>
      </c>
      <c r="AH19" s="439">
        <v>67.44</v>
      </c>
      <c r="AI19" s="439">
        <v>68.08</v>
      </c>
      <c r="AJ19" s="426"/>
      <c r="AP19" s="113">
        <v>14</v>
      </c>
      <c r="AQ19" s="439">
        <v>70.94</v>
      </c>
      <c r="AR19" s="439">
        <v>71.47</v>
      </c>
      <c r="AS19" s="439">
        <v>72.19</v>
      </c>
      <c r="AT19" s="426"/>
      <c r="AZ19" s="113">
        <v>14</v>
      </c>
      <c r="BA19" s="439">
        <v>73.56</v>
      </c>
      <c r="BB19" s="439">
        <v>74.180000000000007</v>
      </c>
      <c r="BC19" s="439">
        <v>74.95</v>
      </c>
      <c r="BD19" s="426"/>
      <c r="BJ19" s="113">
        <v>14</v>
      </c>
      <c r="BK19" s="439">
        <v>77.81</v>
      </c>
      <c r="BL19" s="439">
        <v>78.53</v>
      </c>
      <c r="BM19" s="439">
        <v>79.38</v>
      </c>
      <c r="BN19" s="426"/>
      <c r="BT19" s="113">
        <v>14</v>
      </c>
      <c r="BU19" s="439">
        <v>82.3</v>
      </c>
      <c r="BV19" s="439">
        <v>83.12</v>
      </c>
      <c r="BW19" s="439">
        <v>84.05</v>
      </c>
      <c r="BX19" s="426"/>
      <c r="CD19" s="113">
        <v>14</v>
      </c>
      <c r="CE19" s="439">
        <v>87.02</v>
      </c>
      <c r="CF19" s="439">
        <v>87.96</v>
      </c>
      <c r="CG19" s="439">
        <v>88.99</v>
      </c>
      <c r="CH19" s="426"/>
      <c r="CN19" s="113">
        <v>14</v>
      </c>
      <c r="CO19" s="439">
        <v>92</v>
      </c>
      <c r="CP19" s="439">
        <v>93.07</v>
      </c>
      <c r="CQ19" s="439">
        <v>94.19</v>
      </c>
      <c r="CR19" s="426"/>
    </row>
    <row r="20" spans="2:96" x14ac:dyDescent="0.2">
      <c r="B20" s="113">
        <v>15</v>
      </c>
      <c r="C20" s="439">
        <v>56.46</v>
      </c>
      <c r="D20" s="439">
        <v>56.7</v>
      </c>
      <c r="E20" s="439">
        <v>57.17</v>
      </c>
      <c r="L20" s="113">
        <v>15</v>
      </c>
      <c r="M20" s="439">
        <v>59.83</v>
      </c>
      <c r="N20" s="439">
        <v>60.13</v>
      </c>
      <c r="O20" s="439">
        <v>60.65</v>
      </c>
      <c r="P20" s="426"/>
      <c r="V20" s="113">
        <v>15</v>
      </c>
      <c r="W20" s="439">
        <v>63.39</v>
      </c>
      <c r="X20" s="439">
        <v>63.760000000000005</v>
      </c>
      <c r="Y20" s="439">
        <v>64.34</v>
      </c>
      <c r="Z20" s="426"/>
      <c r="AF20" s="113">
        <v>15</v>
      </c>
      <c r="AG20" s="439">
        <v>67.150000000000006</v>
      </c>
      <c r="AH20" s="439">
        <v>67.599999999999994</v>
      </c>
      <c r="AI20" s="439">
        <v>68.239999999999995</v>
      </c>
      <c r="AJ20" s="426"/>
      <c r="AP20" s="113">
        <v>15</v>
      </c>
      <c r="AQ20" s="439">
        <v>71.12</v>
      </c>
      <c r="AR20" s="439">
        <v>71.650000000000006</v>
      </c>
      <c r="AS20" s="439">
        <v>72.37</v>
      </c>
      <c r="AT20" s="426"/>
      <c r="AZ20" s="113">
        <v>15</v>
      </c>
      <c r="BA20" s="439">
        <v>73.760000000000005</v>
      </c>
      <c r="BB20" s="439">
        <v>74.38</v>
      </c>
      <c r="BC20" s="439">
        <v>75.150000000000006</v>
      </c>
      <c r="BD20" s="426"/>
      <c r="BJ20" s="113">
        <v>15</v>
      </c>
      <c r="BK20" s="439">
        <v>78.040000000000006</v>
      </c>
      <c r="BL20" s="439">
        <v>78.75</v>
      </c>
      <c r="BM20" s="439">
        <v>79.61</v>
      </c>
      <c r="BN20" s="426"/>
      <c r="BT20" s="113">
        <v>15</v>
      </c>
      <c r="BU20" s="439">
        <v>82.54</v>
      </c>
      <c r="BV20" s="439">
        <v>83.37</v>
      </c>
      <c r="BW20" s="439">
        <v>84.31</v>
      </c>
      <c r="BX20" s="426"/>
      <c r="CD20" s="113">
        <v>15</v>
      </c>
      <c r="CE20" s="439">
        <v>87.29</v>
      </c>
      <c r="CF20" s="439">
        <v>88.24</v>
      </c>
      <c r="CG20" s="439">
        <v>89.27</v>
      </c>
      <c r="CH20" s="426"/>
      <c r="CN20" s="113">
        <v>15</v>
      </c>
      <c r="CO20" s="439">
        <v>92.3</v>
      </c>
      <c r="CP20" s="439">
        <v>93.37</v>
      </c>
      <c r="CQ20" s="439">
        <v>94.51</v>
      </c>
      <c r="CR20" s="426"/>
    </row>
    <row r="21" spans="2:96" x14ac:dyDescent="0.2">
      <c r="B21" s="113">
        <v>16</v>
      </c>
      <c r="C21" s="439">
        <v>56.58</v>
      </c>
      <c r="D21" s="439">
        <v>56.82</v>
      </c>
      <c r="E21" s="439">
        <v>57.29</v>
      </c>
      <c r="L21" s="113">
        <v>16</v>
      </c>
      <c r="M21" s="439">
        <v>59.96</v>
      </c>
      <c r="N21" s="439">
        <v>60.27</v>
      </c>
      <c r="O21" s="439">
        <v>60.79</v>
      </c>
      <c r="P21" s="426"/>
      <c r="V21" s="113">
        <v>16</v>
      </c>
      <c r="W21" s="439">
        <v>63.540000000000006</v>
      </c>
      <c r="X21" s="439">
        <v>63.91</v>
      </c>
      <c r="Y21" s="439">
        <v>64.5</v>
      </c>
      <c r="Z21" s="426"/>
      <c r="AF21" s="113">
        <v>16</v>
      </c>
      <c r="AG21" s="439">
        <v>67.31</v>
      </c>
      <c r="AH21" s="439">
        <v>67.77</v>
      </c>
      <c r="AI21" s="439">
        <v>68.42</v>
      </c>
      <c r="AJ21" s="426"/>
      <c r="AP21" s="113">
        <v>16</v>
      </c>
      <c r="AQ21" s="439">
        <v>71.31</v>
      </c>
      <c r="AR21" s="439">
        <v>71.84</v>
      </c>
      <c r="AS21" s="439">
        <v>72.569999999999993</v>
      </c>
      <c r="AT21" s="426"/>
      <c r="AZ21" s="113">
        <v>16</v>
      </c>
      <c r="BA21" s="439">
        <v>73.97</v>
      </c>
      <c r="BB21" s="439">
        <v>74.59</v>
      </c>
      <c r="BC21" s="439">
        <v>75.37</v>
      </c>
      <c r="BD21" s="426"/>
      <c r="BJ21" s="113">
        <v>16</v>
      </c>
      <c r="BK21" s="439">
        <v>78.27</v>
      </c>
      <c r="BL21" s="439">
        <v>78.989999999999995</v>
      </c>
      <c r="BM21" s="439">
        <v>79.84</v>
      </c>
      <c r="BN21" s="426"/>
      <c r="BT21" s="113">
        <v>16</v>
      </c>
      <c r="BU21" s="439">
        <v>82.8</v>
      </c>
      <c r="BV21" s="439">
        <v>83.63</v>
      </c>
      <c r="BW21" s="439">
        <v>84.57</v>
      </c>
      <c r="BX21" s="426"/>
      <c r="CD21" s="113">
        <v>16</v>
      </c>
      <c r="CE21" s="439">
        <v>87.58</v>
      </c>
      <c r="CF21" s="439">
        <v>88.52</v>
      </c>
      <c r="CG21" s="439">
        <v>89.56</v>
      </c>
      <c r="CH21" s="426"/>
      <c r="CN21" s="113">
        <v>16</v>
      </c>
      <c r="CO21" s="439">
        <v>92.62</v>
      </c>
      <c r="CP21" s="439">
        <v>93.69</v>
      </c>
      <c r="CQ21" s="439">
        <v>94.83</v>
      </c>
      <c r="CR21" s="426"/>
    </row>
    <row r="22" spans="2:96" x14ac:dyDescent="0.2">
      <c r="B22" s="113">
        <v>17</v>
      </c>
      <c r="C22" s="439">
        <v>56.71</v>
      </c>
      <c r="D22" s="439">
        <v>56.95</v>
      </c>
      <c r="E22" s="439">
        <v>57.42</v>
      </c>
      <c r="L22" s="113">
        <v>17</v>
      </c>
      <c r="M22" s="439">
        <v>60.1</v>
      </c>
      <c r="N22" s="439">
        <v>60.41</v>
      </c>
      <c r="O22" s="439">
        <v>60.94</v>
      </c>
      <c r="P22" s="426"/>
      <c r="V22" s="113">
        <v>17</v>
      </c>
      <c r="W22" s="439">
        <v>63.7</v>
      </c>
      <c r="X22" s="439">
        <v>64.069999999999993</v>
      </c>
      <c r="Y22" s="439">
        <v>64.66</v>
      </c>
      <c r="Z22" s="426"/>
      <c r="AF22" s="113">
        <v>17</v>
      </c>
      <c r="AG22" s="439">
        <v>67.489999999999995</v>
      </c>
      <c r="AH22" s="439">
        <v>67.95</v>
      </c>
      <c r="AI22" s="439">
        <v>68.599999999999994</v>
      </c>
      <c r="AJ22" s="426"/>
      <c r="AP22" s="113">
        <v>17</v>
      </c>
      <c r="AQ22" s="439">
        <v>71.5</v>
      </c>
      <c r="AR22" s="439">
        <v>72.040000000000006</v>
      </c>
      <c r="AS22" s="439">
        <v>72.77</v>
      </c>
      <c r="AT22" s="426"/>
      <c r="AZ22" s="113">
        <v>17</v>
      </c>
      <c r="BA22" s="439">
        <v>74.19</v>
      </c>
      <c r="BB22" s="439">
        <v>74.81</v>
      </c>
      <c r="BC22" s="439">
        <v>75.59</v>
      </c>
      <c r="BD22" s="426"/>
      <c r="BJ22" s="113">
        <v>17</v>
      </c>
      <c r="BK22" s="439">
        <v>78.510000000000005</v>
      </c>
      <c r="BL22" s="439">
        <v>79.23</v>
      </c>
      <c r="BM22" s="439">
        <v>80.09</v>
      </c>
      <c r="BN22" s="426"/>
      <c r="BT22" s="113">
        <v>17</v>
      </c>
      <c r="BU22" s="439">
        <v>83.07</v>
      </c>
      <c r="BV22" s="439">
        <v>83.9</v>
      </c>
      <c r="BW22" s="439">
        <v>84.85</v>
      </c>
      <c r="BX22" s="426"/>
      <c r="CD22" s="113">
        <v>17</v>
      </c>
      <c r="CE22" s="439">
        <v>87.88</v>
      </c>
      <c r="CF22" s="439">
        <v>88.83</v>
      </c>
      <c r="CG22" s="439">
        <v>89.87</v>
      </c>
      <c r="CH22" s="426"/>
      <c r="CN22" s="113">
        <v>17</v>
      </c>
      <c r="CO22" s="439">
        <v>92.95</v>
      </c>
      <c r="CP22" s="439">
        <v>94.03</v>
      </c>
      <c r="CQ22" s="439">
        <v>95.18</v>
      </c>
      <c r="CR22" s="426"/>
    </row>
    <row r="23" spans="2:96" x14ac:dyDescent="0.2">
      <c r="B23" s="113">
        <v>18</v>
      </c>
      <c r="C23" s="439">
        <v>56.84</v>
      </c>
      <c r="D23" s="439">
        <v>57.08</v>
      </c>
      <c r="E23" s="439">
        <v>57.55</v>
      </c>
      <c r="L23" s="113">
        <v>18</v>
      </c>
      <c r="M23" s="439">
        <v>60.25</v>
      </c>
      <c r="N23" s="439">
        <v>60.56</v>
      </c>
      <c r="O23" s="439">
        <v>61.09</v>
      </c>
      <c r="P23" s="426"/>
      <c r="V23" s="113">
        <v>18</v>
      </c>
      <c r="W23" s="439">
        <v>63.86</v>
      </c>
      <c r="X23" s="439">
        <v>64.239999999999995</v>
      </c>
      <c r="Y23" s="439">
        <v>64.83</v>
      </c>
      <c r="Z23" s="426"/>
      <c r="AF23" s="113">
        <v>18</v>
      </c>
      <c r="AG23" s="439">
        <v>67.680000000000007</v>
      </c>
      <c r="AH23" s="439">
        <v>68.13</v>
      </c>
      <c r="AI23" s="439">
        <v>68.790000000000006</v>
      </c>
      <c r="AJ23" s="426"/>
      <c r="AP23" s="113">
        <v>18</v>
      </c>
      <c r="AQ23" s="439">
        <v>71.709999999999994</v>
      </c>
      <c r="AR23" s="439">
        <v>72.25</v>
      </c>
      <c r="AS23" s="439">
        <v>72.98</v>
      </c>
      <c r="AT23" s="426"/>
      <c r="AZ23" s="113">
        <v>18</v>
      </c>
      <c r="BA23" s="439">
        <v>74.42</v>
      </c>
      <c r="BB23" s="439">
        <v>75.040000000000006</v>
      </c>
      <c r="BC23" s="439">
        <v>75.83</v>
      </c>
      <c r="BD23" s="426"/>
      <c r="BJ23" s="113">
        <v>18</v>
      </c>
      <c r="BK23" s="439">
        <v>78.760000000000005</v>
      </c>
      <c r="BL23" s="439">
        <v>79.489999999999995</v>
      </c>
      <c r="BM23" s="439">
        <v>80.349999999999994</v>
      </c>
      <c r="BN23" s="426"/>
      <c r="BT23" s="113">
        <v>18</v>
      </c>
      <c r="BU23" s="439">
        <v>83.35</v>
      </c>
      <c r="BV23" s="439">
        <v>84.18</v>
      </c>
      <c r="BW23" s="439">
        <v>85.14</v>
      </c>
      <c r="BX23" s="426"/>
      <c r="CD23" s="113">
        <v>18</v>
      </c>
      <c r="CE23" s="439">
        <v>88.19</v>
      </c>
      <c r="CF23" s="439">
        <v>89.15</v>
      </c>
      <c r="CG23" s="439">
        <v>90.2</v>
      </c>
      <c r="CH23" s="426"/>
      <c r="CN23" s="113">
        <v>18</v>
      </c>
      <c r="CO23" s="439">
        <v>93.3</v>
      </c>
      <c r="CP23" s="439">
        <v>94.39</v>
      </c>
      <c r="CQ23" s="439">
        <v>95.54</v>
      </c>
      <c r="CR23" s="426"/>
    </row>
    <row r="24" spans="2:96" x14ac:dyDescent="0.2">
      <c r="B24" s="113">
        <v>19</v>
      </c>
      <c r="C24" s="439">
        <v>56.98</v>
      </c>
      <c r="D24" s="439">
        <v>57.22</v>
      </c>
      <c r="E24" s="439">
        <v>57.7</v>
      </c>
      <c r="L24" s="113">
        <v>19</v>
      </c>
      <c r="M24" s="439">
        <v>60.41</v>
      </c>
      <c r="N24" s="439">
        <v>60.72</v>
      </c>
      <c r="O24" s="439">
        <v>61.25</v>
      </c>
      <c r="P24" s="426"/>
      <c r="V24" s="113">
        <v>19</v>
      </c>
      <c r="W24" s="439">
        <v>64.040000000000006</v>
      </c>
      <c r="X24" s="439">
        <v>64.42</v>
      </c>
      <c r="Y24" s="439">
        <v>65.010000000000005</v>
      </c>
      <c r="Z24" s="426"/>
      <c r="AF24" s="113">
        <v>19</v>
      </c>
      <c r="AG24" s="439">
        <v>67.87</v>
      </c>
      <c r="AH24" s="439">
        <v>68.33</v>
      </c>
      <c r="AI24" s="439">
        <v>68.989999999999995</v>
      </c>
      <c r="AJ24" s="426"/>
      <c r="AP24" s="113">
        <v>19</v>
      </c>
      <c r="AQ24" s="439">
        <v>71.92</v>
      </c>
      <c r="AR24" s="439">
        <v>72.47</v>
      </c>
      <c r="AS24" s="439">
        <v>73.2</v>
      </c>
      <c r="AT24" s="426"/>
      <c r="AZ24" s="113">
        <v>19</v>
      </c>
      <c r="BA24" s="439">
        <v>74.66</v>
      </c>
      <c r="BB24" s="439">
        <v>75.28</v>
      </c>
      <c r="BC24" s="439">
        <v>76.069999999999993</v>
      </c>
      <c r="BD24" s="426"/>
      <c r="BJ24" s="113">
        <v>19</v>
      </c>
      <c r="BK24" s="439">
        <v>79.03</v>
      </c>
      <c r="BL24" s="439">
        <v>79.760000000000005</v>
      </c>
      <c r="BM24" s="439">
        <v>80.63</v>
      </c>
      <c r="BN24" s="426"/>
      <c r="BT24" s="113">
        <v>19</v>
      </c>
      <c r="BU24" s="439">
        <v>83.65</v>
      </c>
      <c r="BV24" s="439">
        <v>84.48</v>
      </c>
      <c r="BW24" s="439">
        <v>85.45</v>
      </c>
      <c r="BX24" s="426"/>
      <c r="CD24" s="113">
        <v>19</v>
      </c>
      <c r="CE24" s="439">
        <v>88.52</v>
      </c>
      <c r="CF24" s="439">
        <v>89.48</v>
      </c>
      <c r="CG24" s="439">
        <v>90.54</v>
      </c>
      <c r="CH24" s="426"/>
      <c r="CN24" s="113">
        <v>19</v>
      </c>
      <c r="CO24" s="439">
        <v>93.67</v>
      </c>
      <c r="CP24" s="439">
        <v>94.76</v>
      </c>
      <c r="CQ24" s="439">
        <v>95.92</v>
      </c>
      <c r="CR24" s="426"/>
    </row>
    <row r="25" spans="2:96" x14ac:dyDescent="0.2">
      <c r="B25" s="113">
        <v>20</v>
      </c>
      <c r="C25" s="439">
        <v>57.13</v>
      </c>
      <c r="D25" s="439">
        <v>57.37</v>
      </c>
      <c r="E25" s="439">
        <v>57.85</v>
      </c>
      <c r="L25" s="113">
        <v>20</v>
      </c>
      <c r="M25" s="439">
        <v>60.57</v>
      </c>
      <c r="N25" s="439">
        <v>60.88</v>
      </c>
      <c r="O25" s="439">
        <v>61.41</v>
      </c>
      <c r="P25" s="426"/>
      <c r="V25" s="113">
        <v>20</v>
      </c>
      <c r="W25" s="439">
        <v>64.22</v>
      </c>
      <c r="X25" s="439">
        <v>64.599999999999994</v>
      </c>
      <c r="Y25" s="439">
        <v>65.19</v>
      </c>
      <c r="Z25" s="426"/>
      <c r="AF25" s="113">
        <v>20</v>
      </c>
      <c r="AG25" s="439">
        <v>68.069999999999993</v>
      </c>
      <c r="AH25" s="439">
        <v>68.53</v>
      </c>
      <c r="AI25" s="439">
        <v>69.19</v>
      </c>
      <c r="AJ25" s="426"/>
      <c r="AP25" s="113">
        <v>20</v>
      </c>
      <c r="AQ25" s="439">
        <v>72.150000000000006</v>
      </c>
      <c r="AR25" s="439">
        <v>72.69</v>
      </c>
      <c r="AS25" s="439">
        <v>73.430000000000007</v>
      </c>
      <c r="AT25" s="426"/>
      <c r="AZ25" s="113">
        <v>20</v>
      </c>
      <c r="BA25" s="439">
        <v>74.91</v>
      </c>
      <c r="BB25" s="439">
        <v>75.540000000000006</v>
      </c>
      <c r="BC25" s="439">
        <v>76.33</v>
      </c>
      <c r="BD25" s="426"/>
      <c r="BJ25" s="113">
        <v>20</v>
      </c>
      <c r="BK25" s="439">
        <v>79.31</v>
      </c>
      <c r="BL25" s="439">
        <v>80.040000000000006</v>
      </c>
      <c r="BM25" s="439">
        <v>80.92</v>
      </c>
      <c r="BN25" s="426"/>
      <c r="BT25" s="113">
        <v>20</v>
      </c>
      <c r="BU25" s="439">
        <v>83.92</v>
      </c>
      <c r="BV25" s="439">
        <v>84.79</v>
      </c>
      <c r="BW25" s="439">
        <v>85.77</v>
      </c>
      <c r="BX25" s="426"/>
      <c r="CD25" s="113">
        <v>20</v>
      </c>
      <c r="CE25" s="439">
        <v>88.87</v>
      </c>
      <c r="CF25" s="439">
        <v>89.84</v>
      </c>
      <c r="CG25" s="439">
        <v>90.9</v>
      </c>
      <c r="CH25" s="426"/>
      <c r="CN25" s="113">
        <v>20</v>
      </c>
      <c r="CO25" s="439">
        <v>94.06</v>
      </c>
      <c r="CP25" s="439">
        <v>95.16</v>
      </c>
      <c r="CQ25" s="439">
        <v>96.33</v>
      </c>
      <c r="CR25" s="426"/>
    </row>
    <row r="26" spans="2:96" x14ac:dyDescent="0.2">
      <c r="B26" s="113">
        <v>21</v>
      </c>
      <c r="C26" s="439">
        <v>57.28</v>
      </c>
      <c r="D26" s="439">
        <v>57.52</v>
      </c>
      <c r="E26" s="439">
        <v>58</v>
      </c>
      <c r="L26" s="113">
        <v>21</v>
      </c>
      <c r="M26" s="439">
        <v>60.74</v>
      </c>
      <c r="N26" s="439">
        <v>61.05</v>
      </c>
      <c r="O26" s="439">
        <v>61.59</v>
      </c>
      <c r="P26" s="426"/>
      <c r="V26" s="113">
        <v>21</v>
      </c>
      <c r="W26" s="439">
        <v>64.41</v>
      </c>
      <c r="X26" s="439">
        <v>64.790000000000006</v>
      </c>
      <c r="Y26" s="439">
        <v>65.39</v>
      </c>
      <c r="Z26" s="426"/>
      <c r="AF26" s="113">
        <v>21</v>
      </c>
      <c r="AG26" s="439">
        <v>68.28</v>
      </c>
      <c r="AH26" s="439">
        <v>68.739999999999995</v>
      </c>
      <c r="AI26" s="439">
        <v>69.41</v>
      </c>
      <c r="AJ26" s="426"/>
      <c r="AP26" s="113">
        <v>21</v>
      </c>
      <c r="AQ26" s="439">
        <v>72.38</v>
      </c>
      <c r="AR26" s="439">
        <v>72.930000000000007</v>
      </c>
      <c r="AS26" s="439">
        <v>73.67</v>
      </c>
      <c r="AT26" s="426"/>
      <c r="AZ26" s="113">
        <v>21</v>
      </c>
      <c r="BA26" s="439">
        <v>75.17</v>
      </c>
      <c r="BB26" s="439">
        <v>75.8</v>
      </c>
      <c r="BC26" s="439">
        <v>76.599999999999994</v>
      </c>
      <c r="BD26" s="426"/>
      <c r="BJ26" s="113">
        <v>21</v>
      </c>
      <c r="BK26" s="439">
        <v>79.599999999999994</v>
      </c>
      <c r="BL26" s="439">
        <v>80.34</v>
      </c>
      <c r="BM26" s="439">
        <v>81.22</v>
      </c>
      <c r="BN26" s="426"/>
      <c r="BT26" s="113">
        <v>21</v>
      </c>
      <c r="BU26" s="439">
        <v>84.05</v>
      </c>
      <c r="BV26" s="439">
        <v>84.92</v>
      </c>
      <c r="BW26" s="439">
        <v>85.91</v>
      </c>
      <c r="BX26" s="426"/>
      <c r="CD26" s="113">
        <v>21</v>
      </c>
      <c r="CE26" s="439">
        <v>89.08</v>
      </c>
      <c r="CF26" s="439">
        <v>90.09</v>
      </c>
      <c r="CG26" s="439">
        <v>91.17</v>
      </c>
      <c r="CH26" s="426"/>
      <c r="CN26" s="113">
        <v>21</v>
      </c>
      <c r="CO26" s="439">
        <v>94.41</v>
      </c>
      <c r="CP26" s="439">
        <v>95.55</v>
      </c>
      <c r="CQ26" s="439">
        <v>96.74</v>
      </c>
      <c r="CR26" s="426"/>
    </row>
    <row r="27" spans="2:96" x14ac:dyDescent="0.2">
      <c r="B27" s="113">
        <v>22</v>
      </c>
      <c r="C27" s="439">
        <v>57.44</v>
      </c>
      <c r="D27" s="439">
        <v>57.69</v>
      </c>
      <c r="E27" s="439">
        <v>58.17</v>
      </c>
      <c r="L27" s="113">
        <v>22</v>
      </c>
      <c r="M27" s="439">
        <v>60.92</v>
      </c>
      <c r="N27" s="439">
        <v>61.23</v>
      </c>
      <c r="O27" s="439">
        <v>61.77</v>
      </c>
      <c r="P27" s="426"/>
      <c r="V27" s="113">
        <v>22</v>
      </c>
      <c r="W27" s="439">
        <v>64.61</v>
      </c>
      <c r="X27" s="439">
        <v>64.989999999999995</v>
      </c>
      <c r="Y27" s="439">
        <v>65.59</v>
      </c>
      <c r="Z27" s="426"/>
      <c r="AF27" s="113">
        <v>22</v>
      </c>
      <c r="AG27" s="439">
        <v>68.510000000000005</v>
      </c>
      <c r="AH27" s="439">
        <v>68.97</v>
      </c>
      <c r="AI27" s="439">
        <v>69.64</v>
      </c>
      <c r="AJ27" s="426"/>
      <c r="AP27" s="113">
        <v>22</v>
      </c>
      <c r="AQ27" s="439">
        <v>72.63</v>
      </c>
      <c r="AR27" s="439">
        <v>73.180000000000007</v>
      </c>
      <c r="AS27" s="439">
        <v>73.930000000000007</v>
      </c>
      <c r="AT27" s="426"/>
      <c r="AZ27" s="113">
        <v>22</v>
      </c>
      <c r="BA27" s="439">
        <v>75.45</v>
      </c>
      <c r="BB27" s="439">
        <v>76.08</v>
      </c>
      <c r="BC27" s="439">
        <v>76.89</v>
      </c>
      <c r="BD27" s="426"/>
      <c r="BJ27" s="113">
        <v>22</v>
      </c>
      <c r="BK27" s="439">
        <v>79.91</v>
      </c>
      <c r="BL27" s="439">
        <v>80.650000000000006</v>
      </c>
      <c r="BM27" s="439">
        <v>81.540000000000006</v>
      </c>
      <c r="BN27" s="426"/>
      <c r="BT27" s="113">
        <v>22</v>
      </c>
      <c r="BU27" s="439">
        <v>84.19</v>
      </c>
      <c r="BV27" s="439">
        <v>85.07</v>
      </c>
      <c r="BW27" s="439">
        <v>86.06</v>
      </c>
      <c r="BX27" s="426"/>
      <c r="CD27" s="113">
        <v>22</v>
      </c>
      <c r="CE27" s="439">
        <v>89.25</v>
      </c>
      <c r="CF27" s="439">
        <v>90.26</v>
      </c>
      <c r="CG27" s="439">
        <v>91.35</v>
      </c>
      <c r="CH27" s="426"/>
      <c r="CN27" s="113">
        <v>22</v>
      </c>
      <c r="CO27" s="439">
        <v>94.6</v>
      </c>
      <c r="CP27" s="439">
        <v>95.75</v>
      </c>
      <c r="CQ27" s="439">
        <v>96.95</v>
      </c>
      <c r="CR27" s="426"/>
    </row>
    <row r="28" spans="2:96" x14ac:dyDescent="0.2">
      <c r="B28" s="113">
        <v>23</v>
      </c>
      <c r="C28" s="439">
        <v>57.61</v>
      </c>
      <c r="D28" s="439">
        <v>57.85</v>
      </c>
      <c r="E28" s="439">
        <v>58.34</v>
      </c>
      <c r="L28" s="113">
        <v>23</v>
      </c>
      <c r="M28" s="439">
        <v>61.11</v>
      </c>
      <c r="N28" s="439">
        <v>61.42</v>
      </c>
      <c r="O28" s="439">
        <v>61.96</v>
      </c>
      <c r="P28" s="426"/>
      <c r="V28" s="113">
        <v>23</v>
      </c>
      <c r="W28" s="439">
        <v>64.81</v>
      </c>
      <c r="X28" s="439">
        <v>65.2</v>
      </c>
      <c r="Y28" s="439">
        <v>65.8</v>
      </c>
      <c r="Z28" s="426"/>
      <c r="AF28" s="113">
        <v>23</v>
      </c>
      <c r="AG28" s="439">
        <v>68.739999999999995</v>
      </c>
      <c r="AH28" s="439">
        <v>69.209999999999994</v>
      </c>
      <c r="AI28" s="439">
        <v>69.88</v>
      </c>
      <c r="AJ28" s="426"/>
      <c r="AP28" s="113">
        <v>23</v>
      </c>
      <c r="AQ28" s="439">
        <v>72.89</v>
      </c>
      <c r="AR28" s="439">
        <v>73.45</v>
      </c>
      <c r="AS28" s="439">
        <v>74.2</v>
      </c>
      <c r="AT28" s="426"/>
      <c r="AZ28" s="113">
        <v>23</v>
      </c>
      <c r="BA28" s="439">
        <v>75.739999999999995</v>
      </c>
      <c r="BB28" s="439">
        <v>76.38</v>
      </c>
      <c r="BC28" s="439">
        <v>77.19</v>
      </c>
      <c r="BD28" s="426"/>
      <c r="BJ28" s="113">
        <v>23</v>
      </c>
      <c r="BK28" s="439">
        <v>80.239999999999995</v>
      </c>
      <c r="BL28" s="439">
        <v>80.98</v>
      </c>
      <c r="BM28" s="439">
        <v>81.88</v>
      </c>
      <c r="BN28" s="426"/>
      <c r="BT28" s="113">
        <v>23</v>
      </c>
      <c r="BU28" s="439">
        <v>84.34</v>
      </c>
      <c r="BV28" s="439">
        <v>85.22</v>
      </c>
      <c r="BW28" s="439">
        <v>86.21</v>
      </c>
      <c r="BX28" s="426"/>
      <c r="CD28" s="113">
        <v>23</v>
      </c>
      <c r="CE28" s="439">
        <v>89.43</v>
      </c>
      <c r="CF28" s="439">
        <v>90.44</v>
      </c>
      <c r="CG28" s="439">
        <v>91.54</v>
      </c>
      <c r="CH28" s="426"/>
      <c r="CN28" s="113">
        <v>23</v>
      </c>
      <c r="CO28" s="439">
        <v>94.81</v>
      </c>
      <c r="CP28" s="439">
        <v>95.97</v>
      </c>
      <c r="CQ28" s="439">
        <v>97.17</v>
      </c>
      <c r="CR28" s="426"/>
    </row>
    <row r="29" spans="2:96" x14ac:dyDescent="0.2">
      <c r="B29" s="113">
        <v>24</v>
      </c>
      <c r="C29" s="439">
        <v>57.78</v>
      </c>
      <c r="D29" s="439">
        <v>58.03</v>
      </c>
      <c r="E29" s="439">
        <v>58.52</v>
      </c>
      <c r="L29" s="113">
        <v>24</v>
      </c>
      <c r="M29" s="439">
        <v>61.3</v>
      </c>
      <c r="N29" s="439">
        <v>61.62</v>
      </c>
      <c r="O29" s="439">
        <v>62.16</v>
      </c>
      <c r="P29" s="426"/>
      <c r="V29" s="113">
        <v>24</v>
      </c>
      <c r="W29" s="439">
        <v>65.03</v>
      </c>
      <c r="X29" s="439">
        <v>65.42</v>
      </c>
      <c r="Y29" s="439">
        <v>66.03</v>
      </c>
      <c r="Z29" s="426"/>
      <c r="AF29" s="113">
        <v>24</v>
      </c>
      <c r="AG29" s="439">
        <v>68.989999999999995</v>
      </c>
      <c r="AH29" s="439">
        <v>69.45</v>
      </c>
      <c r="AI29" s="439">
        <v>70.13</v>
      </c>
      <c r="AJ29" s="426"/>
      <c r="AP29" s="113">
        <v>24</v>
      </c>
      <c r="AQ29" s="439">
        <v>73.17</v>
      </c>
      <c r="AR29" s="439">
        <v>73.73</v>
      </c>
      <c r="AS29" s="439">
        <v>74.48</v>
      </c>
      <c r="AT29" s="426"/>
      <c r="AZ29" s="113">
        <v>24</v>
      </c>
      <c r="BA29" s="439">
        <v>76.05</v>
      </c>
      <c r="BB29" s="439">
        <v>76.69</v>
      </c>
      <c r="BC29" s="439">
        <v>77.510000000000005</v>
      </c>
      <c r="BD29" s="426"/>
      <c r="BJ29" s="113">
        <v>24</v>
      </c>
      <c r="BK29" s="439">
        <v>80.59</v>
      </c>
      <c r="BL29" s="439">
        <v>81.33</v>
      </c>
      <c r="BM29" s="439">
        <v>82.23</v>
      </c>
      <c r="BN29" s="426"/>
      <c r="BT29" s="113">
        <v>24</v>
      </c>
      <c r="BU29" s="439">
        <v>84.49</v>
      </c>
      <c r="BV29" s="439">
        <v>85.38</v>
      </c>
      <c r="BW29" s="439">
        <v>86.38</v>
      </c>
      <c r="BX29" s="426"/>
      <c r="CD29" s="113">
        <v>24</v>
      </c>
      <c r="CE29" s="439">
        <v>89.61</v>
      </c>
      <c r="CF29" s="439">
        <v>90.63</v>
      </c>
      <c r="CG29" s="439">
        <v>91.73</v>
      </c>
      <c r="CH29" s="426"/>
      <c r="CN29" s="113">
        <v>24</v>
      </c>
      <c r="CO29" s="439">
        <v>95.03</v>
      </c>
      <c r="CP29" s="439">
        <v>96.19</v>
      </c>
      <c r="CQ29" s="439">
        <v>97.4</v>
      </c>
      <c r="CR29" s="426"/>
    </row>
    <row r="30" spans="2:96" x14ac:dyDescent="0.2">
      <c r="B30" s="113">
        <v>25</v>
      </c>
      <c r="C30" s="439">
        <v>57.97</v>
      </c>
      <c r="D30" s="439">
        <v>58.22</v>
      </c>
      <c r="E30" s="439">
        <v>58.7</v>
      </c>
      <c r="L30" s="113">
        <v>25</v>
      </c>
      <c r="M30" s="439">
        <v>61.51</v>
      </c>
      <c r="N30" s="439">
        <v>61.83</v>
      </c>
      <c r="O30" s="439">
        <v>62.37</v>
      </c>
      <c r="P30" s="426"/>
      <c r="V30" s="113">
        <v>25</v>
      </c>
      <c r="W30" s="439">
        <v>65.27</v>
      </c>
      <c r="X30" s="439">
        <v>65.66</v>
      </c>
      <c r="Y30" s="439">
        <v>66.27</v>
      </c>
      <c r="Z30" s="426"/>
      <c r="AF30" s="113">
        <v>25</v>
      </c>
      <c r="AG30" s="439">
        <v>69.25</v>
      </c>
      <c r="AH30" s="439">
        <v>69.72</v>
      </c>
      <c r="AI30" s="439">
        <v>70.400000000000006</v>
      </c>
      <c r="AJ30" s="426"/>
      <c r="AP30" s="113">
        <v>25</v>
      </c>
      <c r="AQ30" s="439">
        <v>73.459999999999994</v>
      </c>
      <c r="AR30" s="439">
        <v>74.02</v>
      </c>
      <c r="AS30" s="439">
        <v>74.78</v>
      </c>
      <c r="AT30" s="426"/>
      <c r="AZ30" s="113">
        <v>25</v>
      </c>
      <c r="BA30" s="439">
        <v>76.38</v>
      </c>
      <c r="BB30" s="439">
        <v>77.02</v>
      </c>
      <c r="BC30" s="439">
        <v>77.84</v>
      </c>
      <c r="BD30" s="426"/>
      <c r="BJ30" s="113">
        <v>25</v>
      </c>
      <c r="BK30" s="439">
        <v>80.959999999999994</v>
      </c>
      <c r="BL30" s="439">
        <v>81.709999999999994</v>
      </c>
      <c r="BM30" s="439">
        <v>82.61</v>
      </c>
      <c r="BN30" s="426"/>
      <c r="BT30" s="113">
        <v>25</v>
      </c>
      <c r="BU30" s="439">
        <v>84.65</v>
      </c>
      <c r="BV30" s="439">
        <v>85.55</v>
      </c>
      <c r="BW30" s="439">
        <v>86.55</v>
      </c>
      <c r="BX30" s="426"/>
      <c r="CD30" s="113">
        <v>25</v>
      </c>
      <c r="CE30" s="439">
        <v>89.81</v>
      </c>
      <c r="CF30" s="439">
        <v>90.83</v>
      </c>
      <c r="CG30" s="439">
        <v>91.94</v>
      </c>
      <c r="CH30" s="426"/>
      <c r="CN30" s="113">
        <v>25</v>
      </c>
      <c r="CO30" s="439">
        <v>95.26</v>
      </c>
      <c r="CP30" s="439">
        <v>96.42</v>
      </c>
      <c r="CQ30" s="439">
        <v>97.64</v>
      </c>
      <c r="CR30" s="426"/>
    </row>
    <row r="31" spans="2:96" x14ac:dyDescent="0.2">
      <c r="B31" s="113">
        <v>26</v>
      </c>
      <c r="C31" s="439">
        <v>58.16</v>
      </c>
      <c r="D31" s="439">
        <v>58.41</v>
      </c>
      <c r="E31" s="439">
        <v>58.9</v>
      </c>
      <c r="L31" s="113">
        <v>26</v>
      </c>
      <c r="M31" s="439">
        <v>61.73</v>
      </c>
      <c r="N31" s="439">
        <v>62.05</v>
      </c>
      <c r="O31" s="439">
        <v>62.6</v>
      </c>
      <c r="P31" s="426"/>
      <c r="V31" s="113">
        <v>26</v>
      </c>
      <c r="W31" s="439">
        <v>65.510000000000005</v>
      </c>
      <c r="X31" s="439">
        <v>65.900000000000006</v>
      </c>
      <c r="Y31" s="439">
        <v>66.52</v>
      </c>
      <c r="Z31" s="426"/>
      <c r="AF31" s="113">
        <v>26</v>
      </c>
      <c r="AG31" s="439">
        <v>69.52</v>
      </c>
      <c r="AH31" s="439">
        <v>69.989999999999995</v>
      </c>
      <c r="AI31" s="439">
        <v>70.680000000000007</v>
      </c>
      <c r="AJ31" s="426"/>
      <c r="AP31" s="113">
        <v>26</v>
      </c>
      <c r="AQ31" s="439">
        <v>73.77</v>
      </c>
      <c r="AR31" s="439">
        <v>74.34</v>
      </c>
      <c r="AS31" s="439">
        <v>75.099999999999994</v>
      </c>
      <c r="AT31" s="426"/>
      <c r="AZ31" s="113">
        <v>26</v>
      </c>
      <c r="BA31" s="439">
        <v>76.73</v>
      </c>
      <c r="BB31" s="439">
        <v>77.37</v>
      </c>
      <c r="BC31" s="439">
        <v>78.2</v>
      </c>
      <c r="BD31" s="426"/>
      <c r="BJ31" s="113">
        <v>26</v>
      </c>
      <c r="BK31" s="439">
        <v>81.349999999999994</v>
      </c>
      <c r="BL31" s="439">
        <v>82.1</v>
      </c>
      <c r="BM31" s="439">
        <v>83.01</v>
      </c>
      <c r="BN31" s="426"/>
      <c r="BT31" s="113">
        <v>26</v>
      </c>
      <c r="BU31" s="439">
        <v>84.82</v>
      </c>
      <c r="BV31" s="439">
        <v>85.72</v>
      </c>
      <c r="BW31" s="439">
        <v>86.73</v>
      </c>
      <c r="BX31" s="426"/>
      <c r="CD31" s="113">
        <v>26</v>
      </c>
      <c r="CE31" s="439">
        <v>90.01</v>
      </c>
      <c r="CF31" s="439">
        <v>91.04</v>
      </c>
      <c r="CG31" s="439">
        <v>92.15</v>
      </c>
      <c r="CH31" s="426"/>
      <c r="CN31" s="113">
        <v>26</v>
      </c>
      <c r="CO31" s="439">
        <v>95.5</v>
      </c>
      <c r="CP31" s="439">
        <v>96.67</v>
      </c>
      <c r="CQ31" s="439">
        <v>97.9</v>
      </c>
      <c r="CR31" s="426"/>
    </row>
    <row r="32" spans="2:96" x14ac:dyDescent="0.2">
      <c r="B32" s="113">
        <v>27</v>
      </c>
      <c r="C32" s="439">
        <v>58.37</v>
      </c>
      <c r="D32" s="439">
        <v>58.62</v>
      </c>
      <c r="E32" s="439">
        <v>59.11</v>
      </c>
      <c r="L32" s="113">
        <v>27</v>
      </c>
      <c r="M32" s="439">
        <v>61.96</v>
      </c>
      <c r="N32" s="439">
        <v>62.28</v>
      </c>
      <c r="O32" s="439">
        <v>62.83</v>
      </c>
      <c r="P32" s="426"/>
      <c r="V32" s="113">
        <v>27</v>
      </c>
      <c r="W32" s="439">
        <v>65.77</v>
      </c>
      <c r="X32" s="439">
        <v>66.16</v>
      </c>
      <c r="Y32" s="439">
        <v>66.78</v>
      </c>
      <c r="Z32" s="426"/>
      <c r="AF32" s="113">
        <v>27</v>
      </c>
      <c r="AG32" s="439">
        <v>69.81</v>
      </c>
      <c r="AH32" s="439">
        <v>70.290000000000006</v>
      </c>
      <c r="AI32" s="439">
        <v>70.98</v>
      </c>
      <c r="AJ32" s="426"/>
      <c r="AP32" s="113">
        <v>27</v>
      </c>
      <c r="AQ32" s="439">
        <v>74.099999999999994</v>
      </c>
      <c r="AR32" s="439">
        <v>74.67</v>
      </c>
      <c r="AS32" s="439">
        <v>75.44</v>
      </c>
      <c r="AT32" s="426"/>
      <c r="AZ32" s="113">
        <v>27</v>
      </c>
      <c r="BA32" s="439">
        <v>77.09</v>
      </c>
      <c r="BB32" s="439">
        <v>77.75</v>
      </c>
      <c r="BC32" s="439">
        <v>78.58</v>
      </c>
      <c r="BD32" s="426"/>
      <c r="BJ32" s="113">
        <v>27</v>
      </c>
      <c r="BK32" s="439">
        <v>81.760000000000005</v>
      </c>
      <c r="BL32" s="439">
        <v>82.52</v>
      </c>
      <c r="BM32" s="439">
        <v>83.44</v>
      </c>
      <c r="BN32" s="426"/>
      <c r="BT32" s="113">
        <v>27</v>
      </c>
      <c r="BU32" s="439">
        <v>85</v>
      </c>
      <c r="BV32" s="439">
        <v>85.9</v>
      </c>
      <c r="BW32" s="439">
        <v>86.92</v>
      </c>
      <c r="BX32" s="426"/>
      <c r="CD32" s="113">
        <v>27</v>
      </c>
      <c r="CE32" s="439">
        <v>90.22</v>
      </c>
      <c r="CF32" s="439">
        <v>91.25</v>
      </c>
      <c r="CG32" s="439">
        <v>92.38</v>
      </c>
      <c r="CH32" s="426"/>
      <c r="CN32" s="113">
        <v>27</v>
      </c>
      <c r="CO32" s="439">
        <v>95.74</v>
      </c>
      <c r="CP32" s="439">
        <v>96.92</v>
      </c>
      <c r="CQ32" s="439">
        <v>98.16</v>
      </c>
      <c r="CR32" s="426"/>
    </row>
    <row r="33" spans="2:96" x14ac:dyDescent="0.2">
      <c r="B33" s="113">
        <v>28</v>
      </c>
      <c r="C33" s="439">
        <v>58.58</v>
      </c>
      <c r="D33" s="439">
        <v>58.84</v>
      </c>
      <c r="E33" s="439">
        <v>59.33</v>
      </c>
      <c r="L33" s="113">
        <v>28</v>
      </c>
      <c r="M33" s="439">
        <v>62.2</v>
      </c>
      <c r="N33" s="439">
        <v>62.52</v>
      </c>
      <c r="O33" s="439">
        <v>63.08</v>
      </c>
      <c r="P33" s="426"/>
      <c r="V33" s="113">
        <v>28</v>
      </c>
      <c r="W33" s="439">
        <v>66.05</v>
      </c>
      <c r="X33" s="439">
        <v>66.44</v>
      </c>
      <c r="Y33" s="439">
        <v>67.06</v>
      </c>
      <c r="Z33" s="426"/>
      <c r="AF33" s="113">
        <v>28</v>
      </c>
      <c r="AG33" s="439">
        <v>70.12</v>
      </c>
      <c r="AH33" s="439">
        <v>70.599999999999994</v>
      </c>
      <c r="AI33" s="439">
        <v>71.3</v>
      </c>
      <c r="AJ33" s="426"/>
      <c r="AP33" s="113">
        <v>28</v>
      </c>
      <c r="AQ33" s="439">
        <v>74.45</v>
      </c>
      <c r="AR33" s="439">
        <v>75.02</v>
      </c>
      <c r="AS33" s="439">
        <v>75.8</v>
      </c>
      <c r="AT33" s="426"/>
      <c r="AZ33" s="113">
        <v>28</v>
      </c>
      <c r="BA33" s="439">
        <v>77.23</v>
      </c>
      <c r="BB33" s="439">
        <v>77.92</v>
      </c>
      <c r="BC33" s="439">
        <v>78.77</v>
      </c>
      <c r="BD33" s="426"/>
      <c r="BJ33" s="113">
        <v>28</v>
      </c>
      <c r="BK33" s="439">
        <v>82.08</v>
      </c>
      <c r="BL33" s="439">
        <v>82.89</v>
      </c>
      <c r="BM33" s="439">
        <v>83.83</v>
      </c>
      <c r="BN33" s="426"/>
      <c r="BT33" s="113">
        <v>28</v>
      </c>
      <c r="BU33" s="439">
        <v>85.19</v>
      </c>
      <c r="BV33" s="439">
        <v>86.09</v>
      </c>
      <c r="BW33" s="439">
        <v>87.12</v>
      </c>
      <c r="BX33" s="426"/>
      <c r="CD33" s="113">
        <v>28</v>
      </c>
      <c r="CE33" s="439">
        <v>90.44</v>
      </c>
      <c r="CF33" s="439">
        <v>91.48</v>
      </c>
      <c r="CG33" s="439">
        <v>92.61</v>
      </c>
      <c r="CH33" s="426"/>
      <c r="CN33" s="113">
        <v>28</v>
      </c>
      <c r="CO33" s="439">
        <v>96</v>
      </c>
      <c r="CP33" s="439">
        <v>97.19</v>
      </c>
      <c r="CQ33" s="439">
        <v>98.43</v>
      </c>
      <c r="CR33" s="426"/>
    </row>
    <row r="34" spans="2:96" x14ac:dyDescent="0.2">
      <c r="B34" s="113">
        <v>29</v>
      </c>
      <c r="C34" s="439">
        <v>58.81</v>
      </c>
      <c r="D34" s="439">
        <v>59.07</v>
      </c>
      <c r="E34" s="439">
        <v>59.57</v>
      </c>
      <c r="L34" s="113">
        <v>29</v>
      </c>
      <c r="M34" s="439">
        <v>62.46</v>
      </c>
      <c r="N34" s="439">
        <v>62.78</v>
      </c>
      <c r="O34" s="439">
        <v>63.349999999999994</v>
      </c>
      <c r="P34" s="426"/>
      <c r="V34" s="113">
        <v>29</v>
      </c>
      <c r="W34" s="439">
        <v>66.34</v>
      </c>
      <c r="X34" s="439">
        <v>66.73</v>
      </c>
      <c r="Y34" s="439">
        <v>67.36</v>
      </c>
      <c r="Z34" s="426"/>
      <c r="AF34" s="113">
        <v>29</v>
      </c>
      <c r="AG34" s="439">
        <v>70.45</v>
      </c>
      <c r="AH34" s="439">
        <v>70.930000000000007</v>
      </c>
      <c r="AI34" s="439">
        <v>71.63</v>
      </c>
      <c r="AJ34" s="426"/>
      <c r="AP34" s="113">
        <v>29</v>
      </c>
      <c r="AQ34" s="439">
        <v>74.819999999999993</v>
      </c>
      <c r="AR34" s="439">
        <v>75.39</v>
      </c>
      <c r="AS34" s="439">
        <v>76.17</v>
      </c>
      <c r="AT34" s="426"/>
      <c r="AZ34" s="113">
        <v>29</v>
      </c>
      <c r="BA34" s="439">
        <v>77.37</v>
      </c>
      <c r="BB34" s="439">
        <v>78.06</v>
      </c>
      <c r="BC34" s="439">
        <v>78.92</v>
      </c>
      <c r="BD34" s="426"/>
      <c r="BJ34" s="113">
        <v>29</v>
      </c>
      <c r="BK34" s="439">
        <v>82.25</v>
      </c>
      <c r="BL34" s="439">
        <v>83.06</v>
      </c>
      <c r="BM34" s="439">
        <v>84.01</v>
      </c>
      <c r="BN34" s="426"/>
      <c r="BT34" s="113">
        <v>29</v>
      </c>
      <c r="BU34" s="439">
        <v>85.38</v>
      </c>
      <c r="BV34" s="439">
        <v>86.29</v>
      </c>
      <c r="BW34" s="439">
        <v>87.32</v>
      </c>
      <c r="BX34" s="426"/>
      <c r="CD34" s="113">
        <v>29</v>
      </c>
      <c r="CE34" s="439">
        <v>90.67</v>
      </c>
      <c r="CF34" s="439">
        <v>91.71</v>
      </c>
      <c r="CG34" s="439">
        <v>92.85</v>
      </c>
      <c r="CH34" s="426"/>
      <c r="CN34" s="113">
        <v>29</v>
      </c>
      <c r="CO34" s="439">
        <v>96.27</v>
      </c>
      <c r="CP34" s="439">
        <v>97.46</v>
      </c>
      <c r="CQ34" s="439">
        <v>98.71</v>
      </c>
      <c r="CR34" s="426"/>
    </row>
    <row r="35" spans="2:96" x14ac:dyDescent="0.2">
      <c r="B35" s="113">
        <v>30</v>
      </c>
      <c r="C35" s="439">
        <v>59.06</v>
      </c>
      <c r="D35" s="439">
        <v>59.31</v>
      </c>
      <c r="E35" s="439">
        <v>59.82</v>
      </c>
      <c r="L35" s="113">
        <v>30</v>
      </c>
      <c r="M35" s="439">
        <v>62.74</v>
      </c>
      <c r="N35" s="439">
        <v>63.06</v>
      </c>
      <c r="O35" s="439">
        <v>63.629999999999995</v>
      </c>
      <c r="P35" s="426"/>
      <c r="V35" s="113">
        <v>30</v>
      </c>
      <c r="W35" s="439">
        <v>66.650000000000006</v>
      </c>
      <c r="X35" s="439">
        <v>67.040000000000006</v>
      </c>
      <c r="Y35" s="439">
        <v>67.680000000000007</v>
      </c>
      <c r="Z35" s="426"/>
      <c r="AF35" s="113">
        <v>30</v>
      </c>
      <c r="AG35" s="439">
        <v>70.8</v>
      </c>
      <c r="AH35" s="439">
        <v>71.28</v>
      </c>
      <c r="AI35" s="439">
        <v>71.989999999999995</v>
      </c>
      <c r="AJ35" s="426"/>
      <c r="AP35" s="113">
        <v>30</v>
      </c>
      <c r="AQ35" s="439">
        <v>75.209999999999994</v>
      </c>
      <c r="AR35" s="439">
        <v>75.790000000000006</v>
      </c>
      <c r="AS35" s="439">
        <v>76.569999999999993</v>
      </c>
      <c r="AT35" s="426"/>
      <c r="AZ35" s="113">
        <v>30</v>
      </c>
      <c r="BA35" s="439">
        <v>77.510000000000005</v>
      </c>
      <c r="BB35" s="439">
        <v>78.2</v>
      </c>
      <c r="BC35" s="439">
        <v>79.069999999999993</v>
      </c>
      <c r="BD35" s="426"/>
      <c r="BJ35" s="113">
        <v>30</v>
      </c>
      <c r="BK35" s="439">
        <v>82.42</v>
      </c>
      <c r="BL35" s="439">
        <v>83.23</v>
      </c>
      <c r="BM35" s="439">
        <v>84.19</v>
      </c>
      <c r="BN35" s="426"/>
      <c r="BT35" s="113">
        <v>30</v>
      </c>
      <c r="BU35" s="439">
        <v>85.58</v>
      </c>
      <c r="BV35" s="439">
        <v>86.5</v>
      </c>
      <c r="BW35" s="439">
        <v>87.53</v>
      </c>
      <c r="BX35" s="426"/>
      <c r="CD35" s="113">
        <v>30</v>
      </c>
      <c r="CE35" s="439">
        <v>90.9</v>
      </c>
      <c r="CF35" s="439">
        <v>91.96</v>
      </c>
      <c r="CG35" s="439">
        <v>93.1</v>
      </c>
      <c r="CH35" s="426"/>
      <c r="CN35" s="113">
        <v>30</v>
      </c>
      <c r="CO35" s="439">
        <v>96.54</v>
      </c>
      <c r="CP35" s="439">
        <v>97.75</v>
      </c>
      <c r="CQ35" s="439">
        <v>99.01</v>
      </c>
      <c r="CR35" s="426"/>
    </row>
    <row r="36" spans="2:96" x14ac:dyDescent="0.2">
      <c r="B36" s="113">
        <v>31</v>
      </c>
      <c r="C36" s="439">
        <v>59.31</v>
      </c>
      <c r="D36" s="439">
        <v>59.57</v>
      </c>
      <c r="E36" s="439">
        <v>60.08</v>
      </c>
      <c r="L36" s="113">
        <v>31</v>
      </c>
      <c r="M36" s="439">
        <v>63.03</v>
      </c>
      <c r="N36" s="439">
        <v>63.349999999999994</v>
      </c>
      <c r="O36" s="439">
        <v>63.92</v>
      </c>
      <c r="P36" s="426"/>
      <c r="V36" s="113">
        <v>31</v>
      </c>
      <c r="W36" s="439">
        <v>66.97</v>
      </c>
      <c r="X36" s="439">
        <v>67.38</v>
      </c>
      <c r="Y36" s="439">
        <v>68.010000000000005</v>
      </c>
      <c r="Z36" s="426"/>
      <c r="AF36" s="113">
        <v>31</v>
      </c>
      <c r="AG36" s="439">
        <v>71.17</v>
      </c>
      <c r="AH36" s="439">
        <v>71.650000000000006</v>
      </c>
      <c r="AI36" s="439">
        <v>72.37</v>
      </c>
      <c r="AJ36" s="426"/>
      <c r="AP36" s="113">
        <v>31</v>
      </c>
      <c r="AQ36" s="439">
        <v>75.62</v>
      </c>
      <c r="AR36" s="439">
        <v>76.2</v>
      </c>
      <c r="AS36" s="439">
        <v>77</v>
      </c>
      <c r="AT36" s="426"/>
      <c r="AZ36" s="113">
        <v>31</v>
      </c>
      <c r="BA36" s="439">
        <v>77.66</v>
      </c>
      <c r="BB36" s="439">
        <v>78.349999999999994</v>
      </c>
      <c r="BC36" s="439">
        <v>79.22</v>
      </c>
      <c r="BD36" s="426"/>
      <c r="BJ36" s="113">
        <v>31</v>
      </c>
      <c r="BK36" s="439">
        <v>82.6</v>
      </c>
      <c r="BL36" s="439">
        <v>83.42</v>
      </c>
      <c r="BM36" s="439">
        <v>84.38</v>
      </c>
      <c r="BN36" s="426"/>
      <c r="BT36" s="113">
        <v>31</v>
      </c>
      <c r="BU36" s="439">
        <v>85.79</v>
      </c>
      <c r="BV36" s="439">
        <v>86.71</v>
      </c>
      <c r="BW36" s="439">
        <v>87.75</v>
      </c>
      <c r="BX36" s="426"/>
      <c r="CD36" s="113">
        <v>31</v>
      </c>
      <c r="CE36" s="439">
        <v>91.15</v>
      </c>
      <c r="CF36" s="439">
        <v>92.21</v>
      </c>
      <c r="CG36" s="439">
        <v>93.36</v>
      </c>
      <c r="CH36" s="426"/>
      <c r="CN36" s="113">
        <v>31</v>
      </c>
      <c r="CO36" s="439">
        <v>96.83</v>
      </c>
      <c r="CP36" s="439">
        <v>98.04</v>
      </c>
      <c r="CQ36" s="439">
        <v>99.31</v>
      </c>
      <c r="CR36" s="426"/>
    </row>
    <row r="37" spans="2:96" x14ac:dyDescent="0.2">
      <c r="B37" s="113">
        <v>32</v>
      </c>
      <c r="C37" s="439">
        <v>59.59</v>
      </c>
      <c r="D37" s="439">
        <v>59.85</v>
      </c>
      <c r="E37" s="439">
        <v>60.36</v>
      </c>
      <c r="L37" s="113">
        <v>32</v>
      </c>
      <c r="M37" s="439">
        <v>63.34</v>
      </c>
      <c r="N37" s="439">
        <v>63.66</v>
      </c>
      <c r="O37" s="439">
        <v>64.239999999999995</v>
      </c>
      <c r="P37" s="426"/>
      <c r="V37" s="113">
        <v>32</v>
      </c>
      <c r="W37" s="439">
        <v>67.319999999999993</v>
      </c>
      <c r="X37" s="439">
        <v>67.72</v>
      </c>
      <c r="Y37" s="439">
        <v>68.37</v>
      </c>
      <c r="Z37" s="426"/>
      <c r="AF37" s="113">
        <v>32</v>
      </c>
      <c r="AG37" s="439">
        <v>71.56</v>
      </c>
      <c r="AH37" s="439">
        <v>72.05</v>
      </c>
      <c r="AI37" s="439">
        <v>72.77</v>
      </c>
      <c r="AJ37" s="426"/>
      <c r="AP37" s="113">
        <v>32</v>
      </c>
      <c r="AQ37" s="439">
        <v>76.06</v>
      </c>
      <c r="AR37" s="439">
        <v>76.64</v>
      </c>
      <c r="AS37" s="439">
        <v>77.44</v>
      </c>
      <c r="AT37" s="426"/>
      <c r="AZ37" s="113">
        <v>32</v>
      </c>
      <c r="BA37" s="439">
        <v>77.81</v>
      </c>
      <c r="BB37" s="439">
        <v>78.510000000000005</v>
      </c>
      <c r="BC37" s="439">
        <v>79.38</v>
      </c>
      <c r="BD37" s="426"/>
      <c r="BJ37" s="113">
        <v>32</v>
      </c>
      <c r="BK37" s="439">
        <v>82.79</v>
      </c>
      <c r="BL37" s="439">
        <v>83.61</v>
      </c>
      <c r="BM37" s="439">
        <v>84.58</v>
      </c>
      <c r="BN37" s="426"/>
      <c r="BT37" s="113">
        <v>32</v>
      </c>
      <c r="BU37" s="439">
        <v>86</v>
      </c>
      <c r="BV37" s="439">
        <v>86.93</v>
      </c>
      <c r="BW37" s="439">
        <v>87.98</v>
      </c>
      <c r="BX37" s="426"/>
      <c r="CD37" s="113">
        <v>32</v>
      </c>
      <c r="CE37" s="439">
        <v>91.4</v>
      </c>
      <c r="CF37" s="439">
        <v>92.47</v>
      </c>
      <c r="CG37" s="439">
        <v>93.63</v>
      </c>
      <c r="CH37" s="426"/>
      <c r="CN37" s="113">
        <v>32</v>
      </c>
      <c r="CO37" s="439">
        <v>97.12</v>
      </c>
      <c r="CP37" s="439">
        <v>98.34</v>
      </c>
      <c r="CQ37" s="439">
        <v>99.62</v>
      </c>
      <c r="CR37" s="426"/>
    </row>
    <row r="38" spans="2:96" x14ac:dyDescent="0.2">
      <c r="B38" s="113">
        <v>33</v>
      </c>
      <c r="C38" s="439">
        <v>59.88</v>
      </c>
      <c r="D38" s="439">
        <v>60.14</v>
      </c>
      <c r="E38" s="439">
        <v>60.66</v>
      </c>
      <c r="L38" s="113">
        <v>33</v>
      </c>
      <c r="M38" s="439">
        <v>63.66</v>
      </c>
      <c r="N38" s="439">
        <v>63.989999999999995</v>
      </c>
      <c r="O38" s="439">
        <v>64.569999999999993</v>
      </c>
      <c r="P38" s="426"/>
      <c r="V38" s="113">
        <v>33</v>
      </c>
      <c r="W38" s="439">
        <v>67.69</v>
      </c>
      <c r="X38" s="439">
        <v>68.09</v>
      </c>
      <c r="Y38" s="439">
        <v>68.739999999999995</v>
      </c>
      <c r="Z38" s="426"/>
      <c r="AF38" s="113">
        <v>33</v>
      </c>
      <c r="AG38" s="439">
        <v>71.97</v>
      </c>
      <c r="AH38" s="439">
        <v>72.459999999999994</v>
      </c>
      <c r="AI38" s="439">
        <v>73.19</v>
      </c>
      <c r="AJ38" s="426"/>
      <c r="AP38" s="113">
        <v>33</v>
      </c>
      <c r="AQ38" s="439">
        <v>76.52</v>
      </c>
      <c r="AR38" s="439">
        <v>77.11</v>
      </c>
      <c r="AS38" s="439">
        <v>77.92</v>
      </c>
      <c r="AT38" s="426"/>
      <c r="AZ38" s="113">
        <v>33</v>
      </c>
      <c r="BA38" s="439">
        <v>77.959999999999994</v>
      </c>
      <c r="BB38" s="439">
        <v>78.67</v>
      </c>
      <c r="BC38" s="439">
        <v>79.55</v>
      </c>
      <c r="BD38" s="426"/>
      <c r="BJ38" s="113">
        <v>33</v>
      </c>
      <c r="BK38" s="439">
        <v>82.98</v>
      </c>
      <c r="BL38" s="439">
        <v>83.8</v>
      </c>
      <c r="BM38" s="439">
        <v>84.78</v>
      </c>
      <c r="BN38" s="426"/>
      <c r="BT38" s="113">
        <v>33</v>
      </c>
      <c r="BU38" s="439">
        <v>86.22</v>
      </c>
      <c r="BV38" s="439">
        <v>87.16</v>
      </c>
      <c r="BW38" s="439">
        <v>88.22</v>
      </c>
      <c r="BX38" s="426"/>
      <c r="CD38" s="113">
        <v>33</v>
      </c>
      <c r="CE38" s="439">
        <v>91.66</v>
      </c>
      <c r="CF38" s="439">
        <v>92.74</v>
      </c>
      <c r="CG38" s="439">
        <v>93.91</v>
      </c>
      <c r="CH38" s="426"/>
      <c r="CN38" s="113">
        <v>33</v>
      </c>
      <c r="CO38" s="439">
        <v>97.42</v>
      </c>
      <c r="CP38" s="439">
        <v>98.65</v>
      </c>
      <c r="CQ38" s="439">
        <v>99.94</v>
      </c>
      <c r="CR38" s="426"/>
    </row>
    <row r="39" spans="2:96" x14ac:dyDescent="0.2">
      <c r="B39" s="113">
        <v>34</v>
      </c>
      <c r="C39" s="439">
        <v>60.19</v>
      </c>
      <c r="D39" s="439">
        <v>60.45</v>
      </c>
      <c r="E39" s="439">
        <v>60.97</v>
      </c>
      <c r="L39" s="113">
        <v>34</v>
      </c>
      <c r="M39" s="439">
        <v>64.010000000000005</v>
      </c>
      <c r="N39" s="439">
        <v>64.34</v>
      </c>
      <c r="O39" s="439">
        <v>64.930000000000007</v>
      </c>
      <c r="P39" s="426"/>
      <c r="V39" s="113">
        <v>34</v>
      </c>
      <c r="W39" s="439">
        <v>68.069999999999993</v>
      </c>
      <c r="X39" s="439">
        <v>68.48</v>
      </c>
      <c r="Y39" s="439">
        <v>69.14</v>
      </c>
      <c r="Z39" s="426"/>
      <c r="AF39" s="113">
        <v>34</v>
      </c>
      <c r="AG39" s="439">
        <v>72.400000000000006</v>
      </c>
      <c r="AH39" s="439">
        <v>72.900000000000006</v>
      </c>
      <c r="AI39" s="439">
        <v>73.63</v>
      </c>
      <c r="AJ39" s="426"/>
      <c r="AP39" s="113">
        <v>34</v>
      </c>
      <c r="AQ39" s="439">
        <v>77</v>
      </c>
      <c r="AR39" s="439">
        <v>77.599999999999994</v>
      </c>
      <c r="AS39" s="439">
        <v>78.41</v>
      </c>
      <c r="AT39" s="426"/>
      <c r="AZ39" s="113">
        <v>34</v>
      </c>
      <c r="BA39" s="439">
        <v>78.12</v>
      </c>
      <c r="BB39" s="439">
        <v>78.84</v>
      </c>
      <c r="BC39" s="439">
        <v>79.72</v>
      </c>
      <c r="BD39" s="426"/>
      <c r="BJ39" s="113">
        <v>34</v>
      </c>
      <c r="BK39" s="439">
        <v>83.17</v>
      </c>
      <c r="BL39" s="439">
        <v>84.01</v>
      </c>
      <c r="BM39" s="439">
        <v>84.99</v>
      </c>
      <c r="BN39" s="426"/>
      <c r="BT39" s="113">
        <v>34</v>
      </c>
      <c r="BU39" s="439">
        <v>86.45</v>
      </c>
      <c r="BV39" s="439">
        <v>87.4</v>
      </c>
      <c r="BW39" s="439">
        <v>88.46</v>
      </c>
      <c r="BX39" s="426"/>
      <c r="CD39" s="113">
        <v>34</v>
      </c>
      <c r="CE39" s="439">
        <v>91.93</v>
      </c>
      <c r="CF39" s="439">
        <v>93.02</v>
      </c>
      <c r="CG39" s="439">
        <v>94.2</v>
      </c>
      <c r="CH39" s="426"/>
      <c r="CN39" s="113">
        <v>34</v>
      </c>
      <c r="CO39" s="439">
        <v>97.73</v>
      </c>
      <c r="CP39" s="439">
        <v>98.97</v>
      </c>
      <c r="CQ39" s="439">
        <v>100.27</v>
      </c>
      <c r="CR39" s="426"/>
    </row>
    <row r="40" spans="2:96" x14ac:dyDescent="0.2">
      <c r="B40" s="113">
        <v>35</v>
      </c>
      <c r="C40" s="439">
        <v>60.51</v>
      </c>
      <c r="D40" s="439">
        <v>60.78</v>
      </c>
      <c r="E40" s="439">
        <v>61.3</v>
      </c>
      <c r="L40" s="113">
        <v>35</v>
      </c>
      <c r="M40" s="439">
        <v>64.37</v>
      </c>
      <c r="N40" s="439">
        <v>64.709999999999994</v>
      </c>
      <c r="O40" s="439">
        <v>65.3</v>
      </c>
      <c r="P40" s="426"/>
      <c r="V40" s="113">
        <v>35</v>
      </c>
      <c r="W40" s="439">
        <v>68.48</v>
      </c>
      <c r="X40" s="439">
        <v>68.900000000000006</v>
      </c>
      <c r="Y40" s="439">
        <v>69.56</v>
      </c>
      <c r="Z40" s="426"/>
      <c r="AF40" s="113">
        <v>35</v>
      </c>
      <c r="AG40" s="439">
        <v>72.849999999999994</v>
      </c>
      <c r="AH40" s="439">
        <v>73.36</v>
      </c>
      <c r="AI40" s="439">
        <v>74.099999999999994</v>
      </c>
      <c r="AJ40" s="426"/>
      <c r="AP40" s="113">
        <v>35</v>
      </c>
      <c r="AQ40" s="439">
        <v>77.510000000000005</v>
      </c>
      <c r="AR40" s="439">
        <v>78.11</v>
      </c>
      <c r="AS40" s="439">
        <v>78.930000000000007</v>
      </c>
      <c r="AT40" s="426"/>
      <c r="AZ40" s="113">
        <v>35</v>
      </c>
      <c r="BA40" s="439">
        <v>78.290000000000006</v>
      </c>
      <c r="BB40" s="439">
        <v>79.010000000000005</v>
      </c>
      <c r="BC40" s="439">
        <v>79.900000000000006</v>
      </c>
      <c r="BD40" s="426"/>
      <c r="BJ40" s="113">
        <v>35</v>
      </c>
      <c r="BK40" s="439">
        <v>83.38</v>
      </c>
      <c r="BL40" s="439">
        <v>84.22</v>
      </c>
      <c r="BM40" s="439">
        <v>85.21</v>
      </c>
      <c r="BN40" s="426"/>
      <c r="BT40" s="113">
        <v>35</v>
      </c>
      <c r="BU40" s="439">
        <v>86.69</v>
      </c>
      <c r="BV40" s="439">
        <v>87.64</v>
      </c>
      <c r="BW40" s="439">
        <v>88.71</v>
      </c>
      <c r="BX40" s="426"/>
      <c r="CD40" s="113">
        <v>35</v>
      </c>
      <c r="CE40" s="439">
        <v>92.21</v>
      </c>
      <c r="CF40" s="439">
        <v>93.3</v>
      </c>
      <c r="CG40" s="439">
        <v>94.49</v>
      </c>
      <c r="CH40" s="426"/>
      <c r="CN40" s="113">
        <v>35</v>
      </c>
      <c r="CO40" s="439">
        <v>98.05</v>
      </c>
      <c r="CP40" s="439">
        <v>99.3</v>
      </c>
      <c r="CQ40" s="439">
        <v>100.61</v>
      </c>
      <c r="CR40" s="426"/>
    </row>
    <row r="41" spans="2:96" x14ac:dyDescent="0.2">
      <c r="B41" s="113">
        <v>36</v>
      </c>
      <c r="C41" s="439">
        <v>60.86</v>
      </c>
      <c r="D41" s="439">
        <v>61.12</v>
      </c>
      <c r="E41" s="439">
        <v>61.65</v>
      </c>
      <c r="L41" s="113">
        <v>36</v>
      </c>
      <c r="M41" s="439">
        <v>64.760000000000005</v>
      </c>
      <c r="N41" s="439">
        <v>65.099999999999994</v>
      </c>
      <c r="O41" s="439">
        <v>65.69</v>
      </c>
      <c r="P41" s="426"/>
      <c r="V41" s="113">
        <v>36</v>
      </c>
      <c r="W41" s="439">
        <v>68.91</v>
      </c>
      <c r="X41" s="439">
        <v>69.33</v>
      </c>
      <c r="Y41" s="439">
        <v>70</v>
      </c>
      <c r="Z41" s="426"/>
      <c r="AF41" s="113">
        <v>36</v>
      </c>
      <c r="AG41" s="439">
        <v>73.34</v>
      </c>
      <c r="AH41" s="439">
        <v>73.84</v>
      </c>
      <c r="AI41" s="439">
        <v>74.59</v>
      </c>
      <c r="AJ41" s="426"/>
      <c r="AP41" s="113">
        <v>36</v>
      </c>
      <c r="AQ41" s="439">
        <v>78.05</v>
      </c>
      <c r="AR41" s="439">
        <v>78.650000000000006</v>
      </c>
      <c r="AS41" s="439">
        <v>79.48</v>
      </c>
      <c r="AT41" s="426"/>
      <c r="AZ41" s="113">
        <v>36</v>
      </c>
      <c r="BA41" s="439">
        <v>78.459999999999994</v>
      </c>
      <c r="BB41" s="439">
        <v>79.19</v>
      </c>
      <c r="BC41" s="439">
        <v>80.08</v>
      </c>
      <c r="BD41" s="426"/>
      <c r="BJ41" s="113">
        <v>36</v>
      </c>
      <c r="BK41" s="439">
        <v>83.59</v>
      </c>
      <c r="BL41" s="439">
        <v>84.44</v>
      </c>
      <c r="BM41" s="439">
        <v>85.43</v>
      </c>
      <c r="BN41" s="426"/>
      <c r="BT41" s="113">
        <v>36</v>
      </c>
      <c r="BU41" s="439">
        <v>86.93</v>
      </c>
      <c r="BV41" s="439">
        <v>87.89</v>
      </c>
      <c r="BW41" s="439">
        <v>88.97</v>
      </c>
      <c r="BX41" s="426"/>
      <c r="CD41" s="113">
        <v>36</v>
      </c>
      <c r="CE41" s="439">
        <v>92.49</v>
      </c>
      <c r="CF41" s="439">
        <v>93.6</v>
      </c>
      <c r="CG41" s="439">
        <v>94.79</v>
      </c>
      <c r="CH41" s="426"/>
      <c r="CN41" s="113">
        <v>36</v>
      </c>
      <c r="CO41" s="439">
        <v>98.37</v>
      </c>
      <c r="CP41" s="439">
        <v>99.64</v>
      </c>
      <c r="CQ41" s="439">
        <v>100.96</v>
      </c>
      <c r="CR41" s="426"/>
    </row>
    <row r="42" spans="2:96" x14ac:dyDescent="0.2">
      <c r="B42" s="113">
        <v>37</v>
      </c>
      <c r="C42" s="439">
        <v>61.22</v>
      </c>
      <c r="D42" s="439">
        <v>61.49</v>
      </c>
      <c r="E42" s="439">
        <v>62.03</v>
      </c>
      <c r="L42" s="113">
        <v>37</v>
      </c>
      <c r="M42" s="439">
        <v>65.16</v>
      </c>
      <c r="N42" s="439">
        <v>65.510000000000005</v>
      </c>
      <c r="O42" s="439">
        <v>66.11</v>
      </c>
      <c r="P42" s="426"/>
      <c r="V42" s="113">
        <v>37</v>
      </c>
      <c r="W42" s="439">
        <v>69.37</v>
      </c>
      <c r="X42" s="439">
        <v>69.790000000000006</v>
      </c>
      <c r="Y42" s="439">
        <v>70.47</v>
      </c>
      <c r="Z42" s="426"/>
      <c r="AF42" s="113">
        <v>37</v>
      </c>
      <c r="AG42" s="439">
        <v>73.84</v>
      </c>
      <c r="AH42" s="439">
        <v>74.36</v>
      </c>
      <c r="AI42" s="439">
        <v>75.11</v>
      </c>
      <c r="AJ42" s="426"/>
      <c r="AP42" s="113">
        <v>37</v>
      </c>
      <c r="AQ42" s="439">
        <v>78.61</v>
      </c>
      <c r="AR42" s="439">
        <v>79.22</v>
      </c>
      <c r="AS42" s="439">
        <v>80.06</v>
      </c>
      <c r="AT42" s="426"/>
      <c r="AZ42" s="113">
        <v>37</v>
      </c>
      <c r="BA42" s="439">
        <v>78.64</v>
      </c>
      <c r="BB42" s="439">
        <v>79.37</v>
      </c>
      <c r="BC42" s="439">
        <v>80.27</v>
      </c>
      <c r="BD42" s="426"/>
      <c r="BJ42" s="113">
        <v>37</v>
      </c>
      <c r="BK42" s="439">
        <v>83.81</v>
      </c>
      <c r="BL42" s="439">
        <v>84.66</v>
      </c>
      <c r="BM42" s="439">
        <v>85.67</v>
      </c>
      <c r="BN42" s="426"/>
      <c r="BT42" s="113">
        <v>37</v>
      </c>
      <c r="BU42" s="439">
        <v>87.18</v>
      </c>
      <c r="BV42" s="439">
        <v>88.15</v>
      </c>
      <c r="BW42" s="439">
        <v>89.24</v>
      </c>
      <c r="BX42" s="426"/>
      <c r="CD42" s="113">
        <v>37</v>
      </c>
      <c r="CE42" s="439">
        <v>92.78</v>
      </c>
      <c r="CF42" s="439">
        <v>93.89</v>
      </c>
      <c r="CG42" s="439">
        <v>95.1</v>
      </c>
      <c r="CH42" s="426"/>
      <c r="CN42" s="113">
        <v>37</v>
      </c>
      <c r="CO42" s="439">
        <v>98.7</v>
      </c>
      <c r="CP42" s="439">
        <v>99.98</v>
      </c>
      <c r="CQ42" s="439">
        <v>101.31</v>
      </c>
      <c r="CR42" s="426"/>
    </row>
    <row r="43" spans="2:96" x14ac:dyDescent="0.2">
      <c r="B43" s="113">
        <v>38</v>
      </c>
      <c r="C43" s="439">
        <v>61.61</v>
      </c>
      <c r="D43" s="439">
        <v>61.88</v>
      </c>
      <c r="E43" s="439">
        <v>62.42</v>
      </c>
      <c r="L43" s="113">
        <v>38</v>
      </c>
      <c r="M43" s="439">
        <v>65.59</v>
      </c>
      <c r="N43" s="439">
        <v>65.94</v>
      </c>
      <c r="O43" s="439">
        <v>66.55</v>
      </c>
      <c r="P43" s="426"/>
      <c r="V43" s="113">
        <v>38</v>
      </c>
      <c r="W43" s="439">
        <v>69.849999999999994</v>
      </c>
      <c r="X43" s="439">
        <v>70.27</v>
      </c>
      <c r="Y43" s="439">
        <v>70.959999999999994</v>
      </c>
      <c r="Z43" s="426"/>
      <c r="AF43" s="113">
        <v>38</v>
      </c>
      <c r="AG43" s="439">
        <v>74.38</v>
      </c>
      <c r="AH43" s="439">
        <v>74.900000000000006</v>
      </c>
      <c r="AI43" s="439">
        <v>75.66</v>
      </c>
      <c r="AJ43" s="426"/>
      <c r="AP43" s="113">
        <v>38</v>
      </c>
      <c r="AQ43" s="439">
        <v>79.2</v>
      </c>
      <c r="AR43" s="439">
        <v>79.819999999999993</v>
      </c>
      <c r="AS43" s="439">
        <v>80.67</v>
      </c>
      <c r="AT43" s="426"/>
      <c r="AZ43" s="113">
        <v>38</v>
      </c>
      <c r="BA43" s="439">
        <v>78.819999999999993</v>
      </c>
      <c r="BB43" s="439">
        <v>79.56</v>
      </c>
      <c r="BC43" s="439">
        <v>80.47</v>
      </c>
      <c r="BD43" s="426"/>
      <c r="BJ43" s="113">
        <v>38</v>
      </c>
      <c r="BK43" s="439">
        <v>84.03</v>
      </c>
      <c r="BL43" s="439">
        <v>84.89</v>
      </c>
      <c r="BM43" s="439">
        <v>85.9</v>
      </c>
      <c r="BN43" s="426"/>
      <c r="BT43" s="113">
        <v>38</v>
      </c>
      <c r="BU43" s="439">
        <v>87.43</v>
      </c>
      <c r="BV43" s="439">
        <v>88.41</v>
      </c>
      <c r="BW43" s="439">
        <v>89.51</v>
      </c>
      <c r="BX43" s="426"/>
      <c r="CD43" s="113">
        <v>38</v>
      </c>
      <c r="CE43" s="439">
        <v>93.07</v>
      </c>
      <c r="CF43" s="439">
        <v>94.2</v>
      </c>
      <c r="CG43" s="439">
        <v>95.42</v>
      </c>
      <c r="CH43" s="426"/>
      <c r="CN43" s="113">
        <v>38</v>
      </c>
      <c r="CO43" s="439">
        <v>99.03</v>
      </c>
      <c r="CP43" s="439">
        <v>100.32</v>
      </c>
      <c r="CQ43" s="439">
        <v>101.66</v>
      </c>
      <c r="CR43" s="426"/>
    </row>
    <row r="44" spans="2:96" x14ac:dyDescent="0.2">
      <c r="B44" s="113">
        <v>39</v>
      </c>
      <c r="C44" s="439">
        <v>62.01</v>
      </c>
      <c r="D44" s="439">
        <v>62.29</v>
      </c>
      <c r="E44" s="439">
        <v>62.83</v>
      </c>
      <c r="L44" s="113">
        <v>39</v>
      </c>
      <c r="M44" s="439">
        <v>66.05</v>
      </c>
      <c r="N44" s="439">
        <v>66.400000000000006</v>
      </c>
      <c r="O44" s="439">
        <v>67.010000000000005</v>
      </c>
      <c r="P44" s="426"/>
      <c r="V44" s="113">
        <v>39</v>
      </c>
      <c r="W44" s="439">
        <v>70.349999999999994</v>
      </c>
      <c r="X44" s="439">
        <v>70.78</v>
      </c>
      <c r="Y44" s="439">
        <v>71.48</v>
      </c>
      <c r="Z44" s="426"/>
      <c r="AF44" s="113">
        <v>39</v>
      </c>
      <c r="AG44" s="439">
        <v>74.510000000000005</v>
      </c>
      <c r="AH44" s="439">
        <v>75.08</v>
      </c>
      <c r="AI44" s="439">
        <v>75.87</v>
      </c>
      <c r="AJ44" s="426"/>
      <c r="AP44" s="113">
        <v>39</v>
      </c>
      <c r="AQ44" s="439">
        <v>79.72</v>
      </c>
      <c r="AR44" s="439">
        <v>80.39</v>
      </c>
      <c r="AS44" s="439">
        <v>81.28</v>
      </c>
      <c r="AT44" s="426"/>
      <c r="AZ44" s="113">
        <v>39</v>
      </c>
      <c r="BA44" s="439">
        <v>79.010000000000005</v>
      </c>
      <c r="BB44" s="439">
        <v>79.75</v>
      </c>
      <c r="BC44" s="439">
        <v>80.67</v>
      </c>
      <c r="BD44" s="426"/>
      <c r="BJ44" s="113">
        <v>39</v>
      </c>
      <c r="BK44" s="439">
        <v>84.25</v>
      </c>
      <c r="BL44" s="439">
        <v>85.12</v>
      </c>
      <c r="BM44" s="439">
        <v>86.15</v>
      </c>
      <c r="BN44" s="426"/>
      <c r="BT44" s="113">
        <v>39</v>
      </c>
      <c r="BU44" s="439">
        <v>87.69</v>
      </c>
      <c r="BV44" s="439">
        <v>88.68</v>
      </c>
      <c r="BW44" s="439">
        <v>89.79</v>
      </c>
      <c r="BX44" s="426"/>
      <c r="CD44" s="113">
        <v>39</v>
      </c>
      <c r="CE44" s="439">
        <v>93.37</v>
      </c>
      <c r="CF44" s="439">
        <v>94.51</v>
      </c>
      <c r="CG44" s="439">
        <v>95.74</v>
      </c>
      <c r="CH44" s="426"/>
      <c r="CN44" s="113">
        <v>39</v>
      </c>
      <c r="CO44" s="439">
        <v>99.37</v>
      </c>
      <c r="CP44" s="439">
        <v>100.67</v>
      </c>
      <c r="CQ44" s="439">
        <v>102.03</v>
      </c>
      <c r="CR44" s="426"/>
    </row>
    <row r="45" spans="2:96" x14ac:dyDescent="0.2">
      <c r="B45" s="113">
        <v>40</v>
      </c>
      <c r="C45" s="439">
        <v>62.43</v>
      </c>
      <c r="D45" s="439">
        <v>62.72</v>
      </c>
      <c r="E45" s="439">
        <v>63.269999999999996</v>
      </c>
      <c r="L45" s="113">
        <v>40</v>
      </c>
      <c r="M45" s="439">
        <v>66.53</v>
      </c>
      <c r="N45" s="439">
        <v>66.88</v>
      </c>
      <c r="O45" s="439">
        <v>67.5</v>
      </c>
      <c r="P45" s="426"/>
      <c r="V45" s="113">
        <v>40</v>
      </c>
      <c r="W45" s="439">
        <v>70.89</v>
      </c>
      <c r="X45" s="439">
        <v>71.319999999999993</v>
      </c>
      <c r="Y45" s="439">
        <v>72.02</v>
      </c>
      <c r="Z45" s="426"/>
      <c r="AF45" s="113">
        <v>40</v>
      </c>
      <c r="AG45" s="439">
        <v>74.64</v>
      </c>
      <c r="AH45" s="439">
        <v>75.209999999999994</v>
      </c>
      <c r="AI45" s="439">
        <v>76.010000000000005</v>
      </c>
      <c r="AJ45" s="426"/>
      <c r="AP45" s="113">
        <v>40</v>
      </c>
      <c r="AQ45" s="439">
        <v>79.89</v>
      </c>
      <c r="AR45" s="439">
        <v>80.569999999999993</v>
      </c>
      <c r="AS45" s="439">
        <v>81.47</v>
      </c>
      <c r="AT45" s="426"/>
      <c r="AZ45" s="113">
        <v>40</v>
      </c>
      <c r="BA45" s="439">
        <v>79.2</v>
      </c>
      <c r="BB45" s="439">
        <v>79.95</v>
      </c>
      <c r="BC45" s="439">
        <v>80.88</v>
      </c>
      <c r="BD45" s="426"/>
      <c r="BJ45" s="113">
        <v>40</v>
      </c>
      <c r="BK45" s="439">
        <v>84.49</v>
      </c>
      <c r="BL45" s="439">
        <v>85.36</v>
      </c>
      <c r="BM45" s="439">
        <v>86.4</v>
      </c>
      <c r="BN45" s="426"/>
      <c r="BT45" s="113">
        <v>40</v>
      </c>
      <c r="BU45" s="439">
        <v>87.96</v>
      </c>
      <c r="BV45" s="439">
        <v>88.95</v>
      </c>
      <c r="BW45" s="439">
        <v>90.07</v>
      </c>
      <c r="BX45" s="426"/>
      <c r="CD45" s="113">
        <v>40</v>
      </c>
      <c r="CE45" s="439">
        <v>93.67</v>
      </c>
      <c r="CF45" s="439">
        <v>94.82</v>
      </c>
      <c r="CG45" s="439">
        <v>96.06</v>
      </c>
      <c r="CH45" s="426"/>
      <c r="CN45" s="113">
        <v>40</v>
      </c>
      <c r="CO45" s="439">
        <v>99.71</v>
      </c>
      <c r="CP45" s="439">
        <v>101.02</v>
      </c>
      <c r="CQ45" s="439">
        <v>102.39</v>
      </c>
      <c r="CR45" s="426"/>
    </row>
    <row r="46" spans="2:96" x14ac:dyDescent="0.2">
      <c r="B46" s="113">
        <v>41</v>
      </c>
      <c r="C46" s="439">
        <v>62.47</v>
      </c>
      <c r="D46" s="439">
        <v>62.77</v>
      </c>
      <c r="E46" s="439">
        <v>63.34</v>
      </c>
      <c r="L46" s="113">
        <v>41</v>
      </c>
      <c r="M46" s="439">
        <v>66.98</v>
      </c>
      <c r="N46" s="439">
        <v>67.37</v>
      </c>
      <c r="O46" s="439">
        <v>68.02</v>
      </c>
      <c r="P46" s="426"/>
      <c r="V46" s="113">
        <v>41</v>
      </c>
      <c r="W46" s="439">
        <v>71.45</v>
      </c>
      <c r="X46" s="439">
        <v>71.89</v>
      </c>
      <c r="Y46" s="439">
        <v>72.599999999999994</v>
      </c>
      <c r="Z46" s="426"/>
      <c r="AF46" s="113">
        <v>41</v>
      </c>
      <c r="AG46" s="439">
        <v>74.78</v>
      </c>
      <c r="AH46" s="439">
        <v>75.349999999999994</v>
      </c>
      <c r="AI46" s="439">
        <v>76.150000000000006</v>
      </c>
      <c r="AJ46" s="426"/>
      <c r="AP46" s="113">
        <v>41</v>
      </c>
      <c r="AQ46" s="439">
        <v>80.06</v>
      </c>
      <c r="AR46" s="439">
        <v>80.75</v>
      </c>
      <c r="AS46" s="439">
        <v>81.650000000000006</v>
      </c>
      <c r="AT46" s="426"/>
      <c r="AZ46" s="113">
        <v>41</v>
      </c>
      <c r="BA46" s="439">
        <v>79.39</v>
      </c>
      <c r="BB46" s="439">
        <v>80.150000000000006</v>
      </c>
      <c r="BC46" s="439">
        <v>81.08</v>
      </c>
      <c r="BD46" s="426"/>
      <c r="BJ46" s="113">
        <v>41</v>
      </c>
      <c r="BK46" s="439">
        <v>84.72</v>
      </c>
      <c r="BL46" s="439">
        <v>85.61</v>
      </c>
      <c r="BM46" s="439">
        <v>86.65</v>
      </c>
      <c r="BN46" s="426"/>
      <c r="BT46" s="113">
        <v>41</v>
      </c>
      <c r="BU46" s="439">
        <v>88.22</v>
      </c>
      <c r="BV46" s="439">
        <v>89.23</v>
      </c>
      <c r="BW46" s="439">
        <v>90.36</v>
      </c>
      <c r="BX46" s="426"/>
      <c r="CD46" s="113">
        <v>41</v>
      </c>
      <c r="CE46" s="439">
        <v>93.98</v>
      </c>
      <c r="CF46" s="439">
        <v>95.14</v>
      </c>
      <c r="CG46" s="439">
        <v>96.39</v>
      </c>
      <c r="CH46" s="426"/>
      <c r="CN46" s="113">
        <v>41</v>
      </c>
      <c r="CO46" s="439">
        <v>100.05</v>
      </c>
      <c r="CP46" s="439">
        <v>101.38</v>
      </c>
      <c r="CQ46" s="439">
        <v>102.76</v>
      </c>
      <c r="CR46" s="426"/>
    </row>
    <row r="47" spans="2:96" x14ac:dyDescent="0.2">
      <c r="B47" s="113">
        <v>42</v>
      </c>
      <c r="C47" s="439">
        <v>62.5</v>
      </c>
      <c r="D47" s="439">
        <v>62.8</v>
      </c>
      <c r="E47" s="439">
        <v>63.38</v>
      </c>
      <c r="L47" s="113">
        <v>42</v>
      </c>
      <c r="M47" s="439">
        <v>67.040000000000006</v>
      </c>
      <c r="N47" s="439">
        <v>67.44</v>
      </c>
      <c r="O47" s="439">
        <v>68.09</v>
      </c>
      <c r="P47" s="426"/>
      <c r="V47" s="113">
        <v>42</v>
      </c>
      <c r="W47" s="439">
        <v>71.92</v>
      </c>
      <c r="X47" s="439">
        <v>72.41</v>
      </c>
      <c r="Y47" s="439">
        <v>73.150000000000006</v>
      </c>
      <c r="Z47" s="426"/>
      <c r="AF47" s="113">
        <v>42</v>
      </c>
      <c r="AG47" s="439">
        <v>74.91</v>
      </c>
      <c r="AH47" s="439">
        <v>75.489999999999995</v>
      </c>
      <c r="AI47" s="439">
        <v>76.3</v>
      </c>
      <c r="AJ47" s="426"/>
      <c r="AP47" s="113">
        <v>42</v>
      </c>
      <c r="AQ47" s="439">
        <v>80.239999999999995</v>
      </c>
      <c r="AR47" s="439">
        <v>80.94</v>
      </c>
      <c r="AS47" s="439">
        <v>81.84</v>
      </c>
      <c r="AT47" s="426"/>
      <c r="AZ47" s="113">
        <v>42</v>
      </c>
      <c r="BA47" s="439">
        <v>79.59</v>
      </c>
      <c r="BB47" s="439">
        <v>80.36</v>
      </c>
      <c r="BC47" s="439">
        <v>81.3</v>
      </c>
      <c r="BD47" s="426"/>
      <c r="BJ47" s="113">
        <v>42</v>
      </c>
      <c r="BK47" s="439">
        <v>84.96</v>
      </c>
      <c r="BL47" s="439">
        <v>85.85</v>
      </c>
      <c r="BM47" s="439">
        <v>86.9</v>
      </c>
      <c r="BN47" s="426"/>
      <c r="BT47" s="113">
        <v>42</v>
      </c>
      <c r="BU47" s="439">
        <v>88.49</v>
      </c>
      <c r="BV47" s="439">
        <v>89.51</v>
      </c>
      <c r="BW47" s="439">
        <v>90.64</v>
      </c>
      <c r="BX47" s="426"/>
      <c r="CD47" s="113">
        <v>42</v>
      </c>
      <c r="CE47" s="439">
        <v>94.29</v>
      </c>
      <c r="CF47" s="439">
        <v>95.46</v>
      </c>
      <c r="CG47" s="439">
        <v>96.72</v>
      </c>
      <c r="CH47" s="426"/>
      <c r="CN47" s="113">
        <v>42</v>
      </c>
      <c r="CO47" s="439">
        <v>100.4</v>
      </c>
      <c r="CP47" s="439">
        <v>101.74</v>
      </c>
      <c r="CQ47" s="439">
        <v>103.13</v>
      </c>
      <c r="CR47" s="426"/>
    </row>
    <row r="48" spans="2:96" x14ac:dyDescent="0.2">
      <c r="B48" s="113">
        <v>43</v>
      </c>
      <c r="C48" s="439">
        <v>62.53</v>
      </c>
      <c r="D48" s="439">
        <v>62.84</v>
      </c>
      <c r="E48" s="439">
        <v>63.42</v>
      </c>
      <c r="L48" s="113">
        <v>43</v>
      </c>
      <c r="M48" s="439">
        <v>67.11</v>
      </c>
      <c r="N48" s="439">
        <v>67.510000000000005</v>
      </c>
      <c r="O48" s="439">
        <v>68.16</v>
      </c>
      <c r="P48" s="426"/>
      <c r="V48" s="113">
        <v>43</v>
      </c>
      <c r="W48" s="439">
        <v>72.02</v>
      </c>
      <c r="X48" s="439">
        <v>72.52</v>
      </c>
      <c r="Y48" s="439">
        <v>73.260000000000005</v>
      </c>
      <c r="Z48" s="426"/>
      <c r="AF48" s="113">
        <v>43</v>
      </c>
      <c r="AG48" s="439">
        <v>75.05</v>
      </c>
      <c r="AH48" s="439">
        <v>75.63</v>
      </c>
      <c r="AI48" s="439">
        <v>76.45</v>
      </c>
      <c r="AJ48" s="426"/>
      <c r="AP48" s="113">
        <v>43</v>
      </c>
      <c r="AQ48" s="439">
        <v>80.42</v>
      </c>
      <c r="AR48" s="439">
        <v>81.12</v>
      </c>
      <c r="AS48" s="439">
        <v>82.04</v>
      </c>
      <c r="AT48" s="426"/>
      <c r="AZ48" s="113">
        <v>43</v>
      </c>
      <c r="BA48" s="439">
        <v>79.790000000000006</v>
      </c>
      <c r="BB48" s="439">
        <v>80.56</v>
      </c>
      <c r="BC48" s="439">
        <v>81.510000000000005</v>
      </c>
      <c r="BD48" s="426"/>
      <c r="BJ48" s="113">
        <v>43</v>
      </c>
      <c r="BK48" s="439">
        <v>85.2</v>
      </c>
      <c r="BL48" s="439">
        <v>86.1</v>
      </c>
      <c r="BM48" s="439">
        <v>87.16</v>
      </c>
      <c r="BN48" s="426"/>
      <c r="BT48" s="113">
        <v>43</v>
      </c>
      <c r="BU48" s="439">
        <v>88.76</v>
      </c>
      <c r="BV48" s="439">
        <v>89.79</v>
      </c>
      <c r="BW48" s="439">
        <v>90.94</v>
      </c>
      <c r="BX48" s="426"/>
      <c r="CD48" s="113">
        <v>43</v>
      </c>
      <c r="CE48" s="439">
        <v>94.59</v>
      </c>
      <c r="CF48" s="439">
        <v>95.78</v>
      </c>
      <c r="CG48" s="439">
        <v>97.05</v>
      </c>
      <c r="CH48" s="426"/>
      <c r="CN48" s="113">
        <v>43</v>
      </c>
      <c r="CO48" s="439">
        <v>100.75</v>
      </c>
      <c r="CP48" s="439">
        <v>102.1</v>
      </c>
      <c r="CQ48" s="439">
        <v>103.51</v>
      </c>
      <c r="CR48" s="426"/>
    </row>
    <row r="49" spans="2:100" x14ac:dyDescent="0.2">
      <c r="B49" s="113">
        <v>44</v>
      </c>
      <c r="C49" s="439">
        <v>62.56</v>
      </c>
      <c r="D49" s="439">
        <v>62.87</v>
      </c>
      <c r="E49" s="439">
        <v>63.45</v>
      </c>
      <c r="L49" s="113">
        <v>44</v>
      </c>
      <c r="M49" s="439">
        <v>67.17</v>
      </c>
      <c r="N49" s="439">
        <v>67.569999999999993</v>
      </c>
      <c r="O49" s="439">
        <v>68.239999999999995</v>
      </c>
      <c r="P49" s="426"/>
      <c r="V49" s="113">
        <v>44</v>
      </c>
      <c r="W49" s="439">
        <v>72.13</v>
      </c>
      <c r="X49" s="439">
        <v>72.63</v>
      </c>
      <c r="Y49" s="439">
        <v>73.38</v>
      </c>
      <c r="Z49" s="426"/>
      <c r="AF49" s="113">
        <v>44</v>
      </c>
      <c r="AG49" s="439">
        <v>75.19</v>
      </c>
      <c r="AH49" s="439">
        <v>75.78</v>
      </c>
      <c r="AI49" s="439">
        <v>76.599999999999994</v>
      </c>
      <c r="AJ49" s="426"/>
      <c r="AP49" s="113">
        <v>44</v>
      </c>
      <c r="AQ49" s="439">
        <v>80.599999999999994</v>
      </c>
      <c r="AR49" s="439">
        <v>81.31</v>
      </c>
      <c r="AS49" s="439">
        <v>82.23</v>
      </c>
      <c r="AT49" s="426"/>
      <c r="AZ49" s="113">
        <v>44</v>
      </c>
      <c r="BA49" s="439">
        <v>79.989999999999995</v>
      </c>
      <c r="BB49" s="439">
        <v>80.77</v>
      </c>
      <c r="BC49" s="439">
        <v>81.73</v>
      </c>
      <c r="BD49" s="426"/>
      <c r="BJ49" s="113">
        <v>44</v>
      </c>
      <c r="BK49" s="439">
        <v>85.44</v>
      </c>
      <c r="BL49" s="439">
        <v>86.35</v>
      </c>
      <c r="BM49" s="439">
        <v>87.42</v>
      </c>
      <c r="BN49" s="426"/>
      <c r="BT49" s="113">
        <v>44</v>
      </c>
      <c r="BU49" s="439">
        <v>89.03</v>
      </c>
      <c r="BV49" s="439">
        <v>90.07</v>
      </c>
      <c r="BW49" s="439">
        <v>91.23</v>
      </c>
      <c r="BX49" s="426"/>
      <c r="CD49" s="113">
        <v>44</v>
      </c>
      <c r="CE49" s="439">
        <v>94.91</v>
      </c>
      <c r="CF49" s="439">
        <v>96.1</v>
      </c>
      <c r="CG49" s="439">
        <v>97.39</v>
      </c>
      <c r="CH49" s="426"/>
      <c r="CN49" s="113">
        <v>44</v>
      </c>
      <c r="CO49" s="439">
        <v>101.1</v>
      </c>
      <c r="CP49" s="439">
        <v>102.47</v>
      </c>
      <c r="CQ49" s="439">
        <v>103.89</v>
      </c>
      <c r="CR49" s="426"/>
    </row>
    <row r="50" spans="2:100" x14ac:dyDescent="0.2">
      <c r="B50" s="113">
        <v>45</v>
      </c>
      <c r="C50" s="439">
        <v>62.58</v>
      </c>
      <c r="D50" s="439">
        <v>62.9</v>
      </c>
      <c r="E50" s="439">
        <v>63.48</v>
      </c>
      <c r="L50" s="113">
        <v>45</v>
      </c>
      <c r="M50" s="439">
        <v>67.239999999999995</v>
      </c>
      <c r="N50" s="439">
        <v>67.64</v>
      </c>
      <c r="O50" s="439">
        <v>68.31</v>
      </c>
      <c r="P50" s="426"/>
      <c r="V50" s="113">
        <v>45</v>
      </c>
      <c r="W50" s="439">
        <v>72.23</v>
      </c>
      <c r="X50" s="439">
        <v>72.73</v>
      </c>
      <c r="Y50" s="439">
        <v>73.489999999999995</v>
      </c>
      <c r="Z50" s="426"/>
      <c r="AF50" s="113">
        <v>45</v>
      </c>
      <c r="AG50" s="439">
        <v>75.319999999999993</v>
      </c>
      <c r="AH50" s="439">
        <v>75.92</v>
      </c>
      <c r="AI50" s="439">
        <v>76.75</v>
      </c>
      <c r="AJ50" s="426"/>
      <c r="AP50" s="113">
        <v>45</v>
      </c>
      <c r="AQ50" s="439">
        <v>80.78</v>
      </c>
      <c r="AR50" s="439">
        <v>81.5</v>
      </c>
      <c r="AS50" s="439">
        <v>82.43</v>
      </c>
      <c r="AT50" s="426"/>
      <c r="AZ50" s="113">
        <v>45</v>
      </c>
      <c r="BA50" s="439">
        <v>80.19</v>
      </c>
      <c r="BB50" s="439">
        <v>80.98</v>
      </c>
      <c r="BC50" s="439">
        <v>81.94</v>
      </c>
      <c r="BD50" s="426"/>
      <c r="BJ50" s="113">
        <v>45</v>
      </c>
      <c r="BK50" s="439">
        <v>85.68</v>
      </c>
      <c r="BL50" s="439">
        <v>86.6</v>
      </c>
      <c r="BM50" s="439">
        <v>87.68</v>
      </c>
      <c r="BN50" s="426"/>
      <c r="BT50" s="113">
        <v>45</v>
      </c>
      <c r="BU50" s="439">
        <v>89.3</v>
      </c>
      <c r="BV50" s="439">
        <v>90.35</v>
      </c>
      <c r="BW50" s="439">
        <v>91.52</v>
      </c>
      <c r="BX50" s="426"/>
      <c r="CD50" s="113">
        <v>45</v>
      </c>
      <c r="CE50" s="439">
        <v>95.22</v>
      </c>
      <c r="CF50" s="439">
        <v>96.43</v>
      </c>
      <c r="CG50" s="439">
        <v>97.73</v>
      </c>
      <c r="CH50" s="426"/>
      <c r="CN50" s="113">
        <v>45</v>
      </c>
      <c r="CO50" s="439">
        <v>101.46</v>
      </c>
      <c r="CP50" s="439">
        <v>102.85</v>
      </c>
      <c r="CQ50" s="439">
        <v>104.28</v>
      </c>
      <c r="CR50" s="426"/>
    </row>
    <row r="51" spans="2:100" x14ac:dyDescent="0.2">
      <c r="B51" s="113">
        <v>46</v>
      </c>
      <c r="C51" s="439">
        <v>62.5</v>
      </c>
      <c r="D51" s="439">
        <v>62.82</v>
      </c>
      <c r="E51" s="439">
        <v>63.41</v>
      </c>
      <c r="L51" s="113">
        <v>46</v>
      </c>
      <c r="M51" s="439">
        <v>67.19</v>
      </c>
      <c r="N51" s="439">
        <v>67.59</v>
      </c>
      <c r="O51" s="439">
        <v>68.260000000000005</v>
      </c>
      <c r="P51" s="426"/>
      <c r="V51" s="113">
        <v>46</v>
      </c>
      <c r="W51" s="439">
        <v>72.209999999999994</v>
      </c>
      <c r="X51" s="439">
        <v>72.72</v>
      </c>
      <c r="Y51" s="439">
        <v>73.48</v>
      </c>
      <c r="Z51" s="426"/>
      <c r="AF51" s="113">
        <v>46</v>
      </c>
      <c r="AG51" s="439">
        <v>75.34</v>
      </c>
      <c r="AH51" s="439">
        <v>75.94</v>
      </c>
      <c r="AI51" s="439">
        <v>76.77</v>
      </c>
      <c r="AJ51" s="426"/>
      <c r="AP51" s="113">
        <v>46</v>
      </c>
      <c r="AQ51" s="439">
        <v>80.83</v>
      </c>
      <c r="AR51" s="439">
        <v>81.55</v>
      </c>
      <c r="AS51" s="439">
        <v>82.49</v>
      </c>
      <c r="AT51" s="426"/>
      <c r="AZ51" s="113">
        <v>46</v>
      </c>
      <c r="BA51" s="439">
        <v>80.25</v>
      </c>
      <c r="BB51" s="439">
        <v>81.05</v>
      </c>
      <c r="BC51" s="439">
        <v>82.02</v>
      </c>
      <c r="BD51" s="426"/>
      <c r="BJ51" s="113">
        <v>46</v>
      </c>
      <c r="BK51" s="439">
        <v>85.77</v>
      </c>
      <c r="BL51" s="439">
        <v>86.71</v>
      </c>
      <c r="BM51" s="439">
        <v>87.8</v>
      </c>
      <c r="BN51" s="426"/>
      <c r="BT51" s="113">
        <v>46</v>
      </c>
      <c r="BU51" s="439">
        <v>89.43</v>
      </c>
      <c r="BV51" s="439">
        <v>90.49</v>
      </c>
      <c r="BW51" s="439">
        <v>91.67</v>
      </c>
      <c r="BX51" s="426"/>
      <c r="CD51" s="113">
        <v>46</v>
      </c>
      <c r="CE51" s="439">
        <v>95.38</v>
      </c>
      <c r="CF51" s="439">
        <v>96.61</v>
      </c>
      <c r="CG51" s="439">
        <v>97.91</v>
      </c>
      <c r="CH51" s="426"/>
      <c r="CN51" s="113">
        <v>46</v>
      </c>
      <c r="CO51" s="439">
        <v>101.65</v>
      </c>
      <c r="CP51" s="439">
        <v>103.06</v>
      </c>
      <c r="CQ51" s="439">
        <v>104.5</v>
      </c>
      <c r="CR51" s="426"/>
    </row>
    <row r="52" spans="2:100" x14ac:dyDescent="0.2">
      <c r="B52" s="113">
        <v>47</v>
      </c>
      <c r="C52" s="439">
        <v>62.41</v>
      </c>
      <c r="D52" s="439">
        <v>62.73</v>
      </c>
      <c r="E52" s="439">
        <v>63.32</v>
      </c>
      <c r="L52" s="113">
        <v>47</v>
      </c>
      <c r="M52" s="439">
        <v>67.13</v>
      </c>
      <c r="N52" s="439">
        <v>67.540000000000006</v>
      </c>
      <c r="O52" s="439">
        <v>68.209999999999994</v>
      </c>
      <c r="P52" s="426"/>
      <c r="V52" s="113">
        <v>47</v>
      </c>
      <c r="W52" s="439">
        <v>72.19</v>
      </c>
      <c r="X52" s="439">
        <v>72.7</v>
      </c>
      <c r="Y52" s="439">
        <v>73.47</v>
      </c>
      <c r="Z52" s="426"/>
      <c r="AF52" s="113">
        <v>47</v>
      </c>
      <c r="AG52" s="439">
        <v>75.34</v>
      </c>
      <c r="AH52" s="439">
        <v>75.95</v>
      </c>
      <c r="AI52" s="439">
        <v>76.790000000000006</v>
      </c>
      <c r="AJ52" s="426"/>
      <c r="AP52" s="113">
        <v>47</v>
      </c>
      <c r="AQ52" s="439">
        <v>80.86</v>
      </c>
      <c r="AR52" s="439">
        <v>81.599999999999994</v>
      </c>
      <c r="AS52" s="439">
        <v>82.54</v>
      </c>
      <c r="AT52" s="426"/>
      <c r="AZ52" s="113">
        <v>47</v>
      </c>
      <c r="BA52" s="439">
        <v>80.31</v>
      </c>
      <c r="BB52" s="439">
        <v>81.12</v>
      </c>
      <c r="BC52" s="439">
        <v>82.1</v>
      </c>
      <c r="BD52" s="426"/>
      <c r="BJ52" s="113">
        <v>47</v>
      </c>
      <c r="BK52" s="439">
        <v>85.86</v>
      </c>
      <c r="BL52" s="439">
        <v>86.81</v>
      </c>
      <c r="BM52" s="439">
        <v>87.91</v>
      </c>
      <c r="BN52" s="426"/>
      <c r="BT52" s="113">
        <v>47</v>
      </c>
      <c r="BU52" s="439">
        <v>89.54</v>
      </c>
      <c r="BV52" s="439">
        <v>90.62</v>
      </c>
      <c r="BW52" s="439">
        <v>91.81</v>
      </c>
      <c r="BX52" s="426"/>
      <c r="CD52" s="113">
        <v>47</v>
      </c>
      <c r="CE52" s="439">
        <v>95.54</v>
      </c>
      <c r="CF52" s="439">
        <v>96.78</v>
      </c>
      <c r="CG52" s="439">
        <v>98.1</v>
      </c>
      <c r="CH52" s="426"/>
      <c r="CN52" s="113">
        <v>47</v>
      </c>
      <c r="CO52" s="439">
        <v>101.84</v>
      </c>
      <c r="CP52" s="439">
        <v>103.27</v>
      </c>
      <c r="CQ52" s="439">
        <v>104.72</v>
      </c>
      <c r="CR52" s="426"/>
    </row>
    <row r="53" spans="2:100" x14ac:dyDescent="0.2">
      <c r="B53" s="113">
        <v>48</v>
      </c>
      <c r="C53" s="439">
        <v>62.31</v>
      </c>
      <c r="D53" s="439">
        <v>62.63</v>
      </c>
      <c r="E53" s="439">
        <v>63.23</v>
      </c>
      <c r="L53" s="113">
        <v>48</v>
      </c>
      <c r="M53" s="439">
        <v>67.06</v>
      </c>
      <c r="N53" s="439">
        <v>67.47</v>
      </c>
      <c r="O53" s="439">
        <v>68.150000000000006</v>
      </c>
      <c r="P53" s="426"/>
      <c r="V53" s="113">
        <v>48</v>
      </c>
      <c r="W53" s="439">
        <v>72.150000000000006</v>
      </c>
      <c r="X53" s="439">
        <v>72.67</v>
      </c>
      <c r="Y53" s="439">
        <v>73.44</v>
      </c>
      <c r="Z53" s="426"/>
      <c r="AF53" s="113">
        <v>48</v>
      </c>
      <c r="AG53" s="439">
        <v>75.33</v>
      </c>
      <c r="AH53" s="439">
        <v>75.95</v>
      </c>
      <c r="AI53" s="439">
        <v>76.790000000000006</v>
      </c>
      <c r="AJ53" s="426"/>
      <c r="AP53" s="113">
        <v>48</v>
      </c>
      <c r="AQ53" s="439">
        <v>80.89</v>
      </c>
      <c r="AR53" s="439">
        <v>81.63</v>
      </c>
      <c r="AS53" s="439">
        <v>82.58</v>
      </c>
      <c r="AT53" s="426"/>
      <c r="AZ53" s="113">
        <v>48</v>
      </c>
      <c r="BA53" s="439">
        <v>80.349999999999994</v>
      </c>
      <c r="BB53" s="439">
        <v>81.17</v>
      </c>
      <c r="BC53" s="439">
        <v>82.16</v>
      </c>
      <c r="BD53" s="426"/>
      <c r="BJ53" s="113">
        <v>48</v>
      </c>
      <c r="BK53" s="439">
        <v>85.94</v>
      </c>
      <c r="BL53" s="439">
        <v>86.9</v>
      </c>
      <c r="BM53" s="439">
        <v>88.01</v>
      </c>
      <c r="BN53" s="426"/>
      <c r="BT53" s="113">
        <v>48</v>
      </c>
      <c r="BU53" s="439">
        <v>89.66</v>
      </c>
      <c r="BV53" s="439">
        <v>90.75</v>
      </c>
      <c r="BW53" s="439">
        <v>91.95</v>
      </c>
      <c r="BX53" s="426"/>
      <c r="CD53" s="113">
        <v>48</v>
      </c>
      <c r="CE53" s="439">
        <v>95.69</v>
      </c>
      <c r="CF53" s="439">
        <v>96.95</v>
      </c>
      <c r="CG53" s="439">
        <v>98.28</v>
      </c>
      <c r="CH53" s="426"/>
      <c r="CN53" s="113">
        <v>48</v>
      </c>
      <c r="CO53" s="439">
        <v>102.03</v>
      </c>
      <c r="CP53" s="439">
        <v>103.47</v>
      </c>
      <c r="CQ53" s="439">
        <v>104.94</v>
      </c>
      <c r="CR53" s="426"/>
    </row>
    <row r="54" spans="2:100" x14ac:dyDescent="0.2">
      <c r="B54" s="113">
        <v>49</v>
      </c>
      <c r="C54" s="439">
        <v>62.2</v>
      </c>
      <c r="D54" s="439">
        <v>62.52</v>
      </c>
      <c r="E54" s="439">
        <v>63.12</v>
      </c>
      <c r="L54" s="113">
        <v>49</v>
      </c>
      <c r="M54" s="439">
        <v>66.97</v>
      </c>
      <c r="N54" s="439">
        <v>67.39</v>
      </c>
      <c r="O54" s="439">
        <v>68.069999999999993</v>
      </c>
      <c r="P54" s="426"/>
      <c r="V54" s="113">
        <v>49</v>
      </c>
      <c r="W54" s="439">
        <v>72.099999999999994</v>
      </c>
      <c r="X54" s="439">
        <v>72.62</v>
      </c>
      <c r="Y54" s="439">
        <v>73.400000000000006</v>
      </c>
      <c r="Z54" s="426"/>
      <c r="AF54" s="113">
        <v>49</v>
      </c>
      <c r="AG54" s="439">
        <v>75.31</v>
      </c>
      <c r="AH54" s="439">
        <v>75.94</v>
      </c>
      <c r="AI54" s="439">
        <v>76.790000000000006</v>
      </c>
      <c r="AJ54" s="426"/>
      <c r="AP54" s="113">
        <v>49</v>
      </c>
      <c r="AQ54" s="439">
        <v>80.91</v>
      </c>
      <c r="AR54" s="439">
        <v>81.66</v>
      </c>
      <c r="AS54" s="439">
        <v>82.61</v>
      </c>
      <c r="AT54" s="426"/>
      <c r="AZ54" s="113">
        <v>49</v>
      </c>
      <c r="BA54" s="439">
        <v>80.39</v>
      </c>
      <c r="BB54" s="439">
        <v>81.22</v>
      </c>
      <c r="BC54" s="439">
        <v>82.22</v>
      </c>
      <c r="BD54" s="426"/>
      <c r="BJ54" s="113">
        <v>49</v>
      </c>
      <c r="BK54" s="439">
        <v>86.02</v>
      </c>
      <c r="BL54" s="439">
        <v>86.99</v>
      </c>
      <c r="BM54" s="439">
        <v>88.1</v>
      </c>
      <c r="BN54" s="426"/>
      <c r="BT54" s="113">
        <v>49</v>
      </c>
      <c r="BU54" s="439">
        <v>89.77</v>
      </c>
      <c r="BV54" s="439">
        <v>90.88</v>
      </c>
      <c r="BW54" s="439">
        <v>92.09</v>
      </c>
      <c r="BX54" s="426"/>
      <c r="CD54" s="113">
        <v>49</v>
      </c>
      <c r="CE54" s="439">
        <v>95.84</v>
      </c>
      <c r="CF54" s="439">
        <v>97.11</v>
      </c>
      <c r="CG54" s="439">
        <v>98.46</v>
      </c>
      <c r="CH54" s="426"/>
      <c r="CN54" s="113">
        <v>49</v>
      </c>
      <c r="CO54" s="439">
        <v>102.21</v>
      </c>
      <c r="CP54" s="439">
        <v>103.67</v>
      </c>
      <c r="CQ54" s="439">
        <v>105.15</v>
      </c>
      <c r="CR54" s="426"/>
    </row>
    <row r="55" spans="2:100" x14ac:dyDescent="0.2">
      <c r="B55" s="113">
        <v>50</v>
      </c>
      <c r="C55" s="439">
        <v>62.07</v>
      </c>
      <c r="D55" s="439">
        <v>62.4</v>
      </c>
      <c r="E55" s="439">
        <v>63</v>
      </c>
      <c r="H55" s="429"/>
      <c r="I55" s="440"/>
      <c r="J55" s="441"/>
      <c r="L55" s="113">
        <v>50</v>
      </c>
      <c r="M55" s="439">
        <v>66.88</v>
      </c>
      <c r="N55" s="439">
        <v>67.3</v>
      </c>
      <c r="O55" s="439">
        <v>67.98</v>
      </c>
      <c r="P55" s="426"/>
      <c r="Q55" s="426"/>
      <c r="S55" s="440"/>
      <c r="T55" s="441"/>
      <c r="V55" s="113">
        <v>50</v>
      </c>
      <c r="W55" s="439">
        <v>72.040000000000006</v>
      </c>
      <c r="X55" s="439">
        <v>72.569999999999993</v>
      </c>
      <c r="Y55" s="439">
        <v>73.349999999999994</v>
      </c>
      <c r="Z55" s="426"/>
      <c r="AA55" s="426"/>
      <c r="AC55" s="440"/>
      <c r="AD55" s="441"/>
      <c r="AF55" s="113">
        <v>50</v>
      </c>
      <c r="AG55" s="439">
        <v>75.28</v>
      </c>
      <c r="AH55" s="439">
        <v>75.91</v>
      </c>
      <c r="AI55" s="439">
        <v>76.77</v>
      </c>
      <c r="AJ55" s="426"/>
      <c r="AK55" s="426"/>
      <c r="AM55" s="440"/>
      <c r="AN55" s="441"/>
      <c r="AP55" s="113">
        <v>50</v>
      </c>
      <c r="AQ55" s="439">
        <v>80.91</v>
      </c>
      <c r="AR55" s="439">
        <v>81.67</v>
      </c>
      <c r="AS55" s="439">
        <v>82.64</v>
      </c>
      <c r="AT55" s="426"/>
      <c r="AU55" s="426"/>
      <c r="AW55" s="440"/>
      <c r="AX55" s="441"/>
      <c r="AZ55" s="113">
        <v>50</v>
      </c>
      <c r="BA55" s="439">
        <v>80.42</v>
      </c>
      <c r="BB55" s="439">
        <v>81.260000000000005</v>
      </c>
      <c r="BC55" s="439">
        <v>82.26</v>
      </c>
      <c r="BD55" s="426"/>
      <c r="BE55" s="426"/>
      <c r="BG55" s="440"/>
      <c r="BH55" s="441"/>
      <c r="BJ55" s="113">
        <v>50</v>
      </c>
      <c r="BK55" s="439">
        <v>86.09</v>
      </c>
      <c r="BL55" s="439">
        <v>87.07</v>
      </c>
      <c r="BM55" s="439">
        <v>88.2</v>
      </c>
      <c r="BN55" s="426"/>
      <c r="BO55" s="426"/>
      <c r="BQ55" s="440"/>
      <c r="BR55" s="441"/>
      <c r="BT55" s="113">
        <v>50</v>
      </c>
      <c r="BU55" s="439">
        <v>89.87</v>
      </c>
      <c r="BV55" s="439">
        <v>91</v>
      </c>
      <c r="BW55" s="439">
        <v>92.22</v>
      </c>
      <c r="BX55" s="426"/>
      <c r="BY55" s="426"/>
      <c r="CA55" s="440"/>
      <c r="CB55" s="441"/>
      <c r="CD55" s="113">
        <v>50</v>
      </c>
      <c r="CE55" s="439">
        <v>95.98</v>
      </c>
      <c r="CF55" s="439">
        <v>97.28</v>
      </c>
      <c r="CG55" s="439">
        <v>98.63</v>
      </c>
      <c r="CH55" s="426"/>
      <c r="CI55" s="426"/>
      <c r="CK55" s="440"/>
      <c r="CL55" s="441"/>
      <c r="CN55" s="113">
        <v>50</v>
      </c>
      <c r="CO55" s="439">
        <v>102.37</v>
      </c>
      <c r="CP55" s="439">
        <v>103.86</v>
      </c>
      <c r="CQ55" s="439">
        <v>105.35</v>
      </c>
      <c r="CR55" s="426"/>
      <c r="CS55" s="426"/>
      <c r="CU55" s="440"/>
      <c r="CV55" s="441"/>
    </row>
    <row r="56" spans="2:100" x14ac:dyDescent="0.2">
      <c r="B56" s="113">
        <v>51</v>
      </c>
      <c r="C56" s="439">
        <v>61.93</v>
      </c>
      <c r="D56" s="439">
        <v>62.26</v>
      </c>
      <c r="E56" s="439">
        <v>62.86</v>
      </c>
      <c r="J56" s="436"/>
      <c r="L56" s="113">
        <v>51</v>
      </c>
      <c r="M56" s="439">
        <v>66.77</v>
      </c>
      <c r="N56" s="439">
        <v>67.19</v>
      </c>
      <c r="O56" s="439">
        <v>67.88</v>
      </c>
      <c r="V56" s="113">
        <v>51</v>
      </c>
      <c r="W56" s="439">
        <v>71.959999999999994</v>
      </c>
      <c r="X56" s="439">
        <v>72.5</v>
      </c>
      <c r="Y56" s="439">
        <v>73.28</v>
      </c>
      <c r="AF56" s="113">
        <v>51</v>
      </c>
      <c r="AG56" s="439">
        <v>75.239999999999995</v>
      </c>
      <c r="AH56" s="439">
        <v>75.87</v>
      </c>
      <c r="AI56" s="439">
        <v>76.739999999999995</v>
      </c>
      <c r="AP56" s="113">
        <v>51</v>
      </c>
      <c r="AQ56" s="439">
        <v>80.91</v>
      </c>
      <c r="AR56" s="439">
        <v>81.680000000000007</v>
      </c>
      <c r="AS56" s="439">
        <v>82.65</v>
      </c>
      <c r="AZ56" s="113">
        <v>51</v>
      </c>
      <c r="BA56" s="439">
        <v>80.44</v>
      </c>
      <c r="BB56" s="439">
        <v>81.290000000000006</v>
      </c>
      <c r="BC56" s="439">
        <v>82.3</v>
      </c>
      <c r="BJ56" s="113">
        <v>51</v>
      </c>
      <c r="BK56" s="439">
        <v>86.15</v>
      </c>
      <c r="BL56" s="439">
        <v>87.15</v>
      </c>
      <c r="BM56" s="439">
        <v>88.29</v>
      </c>
      <c r="BT56" s="113">
        <v>51</v>
      </c>
      <c r="BU56" s="439">
        <v>89.98</v>
      </c>
      <c r="BV56" s="439">
        <v>91.12</v>
      </c>
      <c r="BW56" s="439">
        <v>92.35</v>
      </c>
      <c r="CD56" s="113">
        <v>51</v>
      </c>
      <c r="CE56" s="439">
        <v>96.12</v>
      </c>
      <c r="CF56" s="439">
        <v>97.43</v>
      </c>
      <c r="CG56" s="439">
        <v>98.8</v>
      </c>
      <c r="CN56" s="113">
        <v>51</v>
      </c>
      <c r="CO56" s="439">
        <v>102.52</v>
      </c>
      <c r="CP56" s="439">
        <v>104.03</v>
      </c>
      <c r="CQ56" s="439">
        <v>105.54</v>
      </c>
    </row>
    <row r="57" spans="2:100" x14ac:dyDescent="0.2">
      <c r="B57" s="113">
        <v>52</v>
      </c>
      <c r="C57" s="439">
        <v>61.77</v>
      </c>
      <c r="D57" s="439">
        <v>62.1</v>
      </c>
      <c r="E57" s="439">
        <v>62.7</v>
      </c>
      <c r="L57" s="113">
        <v>52</v>
      </c>
      <c r="M57" s="439">
        <v>66.64</v>
      </c>
      <c r="N57" s="439">
        <v>67.069999999999993</v>
      </c>
      <c r="O57" s="439">
        <v>67.760000000000005</v>
      </c>
      <c r="V57" s="113">
        <v>52</v>
      </c>
      <c r="W57" s="439">
        <v>71.87</v>
      </c>
      <c r="X57" s="439">
        <v>72.41</v>
      </c>
      <c r="Y57" s="439">
        <v>73.2</v>
      </c>
      <c r="AF57" s="113">
        <v>52</v>
      </c>
      <c r="AG57" s="439">
        <v>75.180000000000007</v>
      </c>
      <c r="AH57" s="439">
        <v>75.819999999999993</v>
      </c>
      <c r="AI57" s="439">
        <v>76.69</v>
      </c>
      <c r="AP57" s="113">
        <v>52</v>
      </c>
      <c r="AQ57" s="439">
        <v>80.89</v>
      </c>
      <c r="AR57" s="439">
        <v>81.67</v>
      </c>
      <c r="AS57" s="439">
        <v>82.65</v>
      </c>
      <c r="AZ57" s="113">
        <v>52</v>
      </c>
      <c r="BA57" s="439">
        <v>80.45</v>
      </c>
      <c r="BB57" s="439">
        <v>81.319999999999993</v>
      </c>
      <c r="BC57" s="439">
        <v>82.34</v>
      </c>
      <c r="BJ57" s="113">
        <v>52</v>
      </c>
      <c r="BK57" s="439">
        <v>86.21</v>
      </c>
      <c r="BL57" s="439">
        <v>87.23</v>
      </c>
      <c r="BM57" s="439">
        <v>88.37</v>
      </c>
      <c r="BT57" s="113">
        <v>52</v>
      </c>
      <c r="BU57" s="439">
        <v>90.07</v>
      </c>
      <c r="BV57" s="439">
        <v>91.23</v>
      </c>
      <c r="BW57" s="439">
        <v>92.48</v>
      </c>
      <c r="CD57" s="113">
        <v>52</v>
      </c>
      <c r="CE57" s="439">
        <v>96.24</v>
      </c>
      <c r="CF57" s="439">
        <v>97.58</v>
      </c>
      <c r="CG57" s="439">
        <v>98.96</v>
      </c>
      <c r="CN57" s="113">
        <v>52</v>
      </c>
      <c r="CO57" s="439">
        <v>102.66</v>
      </c>
      <c r="CP57" s="439">
        <v>104.19</v>
      </c>
      <c r="CQ57" s="439">
        <v>105.71</v>
      </c>
    </row>
    <row r="58" spans="2:100" x14ac:dyDescent="0.2">
      <c r="B58" s="113">
        <v>53</v>
      </c>
      <c r="C58" s="439">
        <v>61.59</v>
      </c>
      <c r="D58" s="439">
        <v>61.93</v>
      </c>
      <c r="E58" s="439">
        <v>62.53</v>
      </c>
      <c r="L58" s="113">
        <v>53</v>
      </c>
      <c r="M58" s="439">
        <v>66.5</v>
      </c>
      <c r="N58" s="439">
        <v>66.930000000000007</v>
      </c>
      <c r="O58" s="439">
        <v>67.63</v>
      </c>
      <c r="V58" s="113">
        <v>53</v>
      </c>
      <c r="W58" s="439">
        <v>71.760000000000005</v>
      </c>
      <c r="X58" s="439">
        <v>72.31</v>
      </c>
      <c r="Y58" s="439">
        <v>73.11</v>
      </c>
      <c r="AF58" s="113">
        <v>53</v>
      </c>
      <c r="AG58" s="439">
        <v>75.11</v>
      </c>
      <c r="AH58" s="439">
        <v>75.760000000000005</v>
      </c>
      <c r="AI58" s="439">
        <v>76.64</v>
      </c>
      <c r="AP58" s="113">
        <v>53</v>
      </c>
      <c r="AQ58" s="439">
        <v>80.86</v>
      </c>
      <c r="AR58" s="439">
        <v>81.66</v>
      </c>
      <c r="AS58" s="439">
        <v>82.64</v>
      </c>
      <c r="AZ58" s="113">
        <v>53</v>
      </c>
      <c r="BA58" s="439">
        <v>80.459999999999994</v>
      </c>
      <c r="BB58" s="439">
        <v>81.34</v>
      </c>
      <c r="BC58" s="439">
        <v>82.37</v>
      </c>
      <c r="BJ58" s="113">
        <v>53</v>
      </c>
      <c r="BK58" s="439">
        <v>86.27</v>
      </c>
      <c r="BL58" s="439">
        <v>87.3</v>
      </c>
      <c r="BM58" s="439">
        <v>88.46</v>
      </c>
      <c r="BT58" s="113">
        <v>53</v>
      </c>
      <c r="BU58" s="439">
        <v>90.17</v>
      </c>
      <c r="BV58" s="439">
        <v>91.34</v>
      </c>
      <c r="BW58" s="439">
        <v>92.6</v>
      </c>
      <c r="CD58" s="113">
        <v>53</v>
      </c>
      <c r="CE58" s="439">
        <v>96.36</v>
      </c>
      <c r="CF58" s="439">
        <v>97.71</v>
      </c>
      <c r="CG58" s="439">
        <v>99.11</v>
      </c>
      <c r="CN58" s="113">
        <v>53</v>
      </c>
      <c r="CO58" s="439">
        <v>102.76</v>
      </c>
      <c r="CP58" s="439">
        <v>104.31</v>
      </c>
      <c r="CQ58" s="439">
        <v>105.85</v>
      </c>
    </row>
    <row r="59" spans="2:100" x14ac:dyDescent="0.2">
      <c r="B59" s="113">
        <v>54</v>
      </c>
      <c r="C59" s="439">
        <v>61.39</v>
      </c>
      <c r="D59" s="439">
        <v>61.73</v>
      </c>
      <c r="E59" s="439">
        <v>62.35</v>
      </c>
      <c r="L59" s="113">
        <v>54</v>
      </c>
      <c r="M59" s="439">
        <v>66.34</v>
      </c>
      <c r="N59" s="439">
        <v>66.78</v>
      </c>
      <c r="O59" s="439">
        <v>67.48</v>
      </c>
      <c r="V59" s="113">
        <v>54</v>
      </c>
      <c r="W59" s="439">
        <v>71.64</v>
      </c>
      <c r="X59" s="439">
        <v>72.2</v>
      </c>
      <c r="Y59" s="439">
        <v>73</v>
      </c>
      <c r="AF59" s="113">
        <v>54</v>
      </c>
      <c r="AG59" s="439">
        <v>75.03</v>
      </c>
      <c r="AH59" s="439">
        <v>75.69</v>
      </c>
      <c r="AI59" s="439">
        <v>76.569999999999993</v>
      </c>
      <c r="AP59" s="113">
        <v>54</v>
      </c>
      <c r="AQ59" s="439">
        <v>80.83</v>
      </c>
      <c r="AR59" s="439">
        <v>81.64</v>
      </c>
      <c r="AS59" s="439">
        <v>82.63</v>
      </c>
      <c r="AZ59" s="113">
        <v>54</v>
      </c>
      <c r="BA59" s="439">
        <v>80.47</v>
      </c>
      <c r="BB59" s="439">
        <v>81.36</v>
      </c>
      <c r="BC59" s="439">
        <v>82.4</v>
      </c>
      <c r="BJ59" s="113">
        <v>54</v>
      </c>
      <c r="BK59" s="439">
        <v>86.32</v>
      </c>
      <c r="BL59" s="439">
        <v>87.37</v>
      </c>
      <c r="BM59" s="439">
        <v>88.54</v>
      </c>
      <c r="BT59" s="113">
        <v>54</v>
      </c>
      <c r="BU59" s="439">
        <v>90.25</v>
      </c>
      <c r="BV59" s="439">
        <v>91.44</v>
      </c>
      <c r="BW59" s="439">
        <v>92.71</v>
      </c>
      <c r="CD59" s="113">
        <v>54</v>
      </c>
      <c r="CE59" s="439">
        <v>96.44</v>
      </c>
      <c r="CF59" s="439">
        <v>97.83</v>
      </c>
      <c r="CG59" s="439">
        <v>99.23</v>
      </c>
      <c r="CN59" s="113">
        <v>54</v>
      </c>
      <c r="CO59" s="439">
        <v>102.82</v>
      </c>
      <c r="CP59" s="439">
        <v>104.4</v>
      </c>
      <c r="CQ59" s="439">
        <v>105.94</v>
      </c>
    </row>
    <row r="60" spans="2:100" x14ac:dyDescent="0.2">
      <c r="B60" s="113">
        <v>55</v>
      </c>
      <c r="C60" s="439">
        <v>61.18</v>
      </c>
      <c r="D60" s="439">
        <v>61.52</v>
      </c>
      <c r="E60" s="439">
        <v>62.14</v>
      </c>
      <c r="L60" s="113">
        <v>55</v>
      </c>
      <c r="M60" s="439">
        <v>66.16</v>
      </c>
      <c r="N60" s="439">
        <v>66.599999999999994</v>
      </c>
      <c r="O60" s="439">
        <v>67.31</v>
      </c>
      <c r="V60" s="113">
        <v>55</v>
      </c>
      <c r="W60" s="439">
        <v>71.510000000000005</v>
      </c>
      <c r="X60" s="439">
        <v>72.069999999999993</v>
      </c>
      <c r="Y60" s="439">
        <v>72.87</v>
      </c>
      <c r="AF60" s="113">
        <v>55</v>
      </c>
      <c r="AG60" s="439">
        <v>74.930000000000007</v>
      </c>
      <c r="AH60" s="439">
        <v>75.599999999999994</v>
      </c>
      <c r="AI60" s="439">
        <v>76.489999999999995</v>
      </c>
      <c r="AP60" s="113">
        <v>55</v>
      </c>
      <c r="AQ60" s="439">
        <v>80.790000000000006</v>
      </c>
      <c r="AR60" s="439">
        <v>81.61</v>
      </c>
      <c r="AS60" s="439">
        <v>82.61</v>
      </c>
      <c r="AZ60" s="113">
        <v>55</v>
      </c>
      <c r="BA60" s="439">
        <v>80.459999999999994</v>
      </c>
      <c r="BB60" s="439">
        <v>81.37</v>
      </c>
      <c r="BC60" s="439">
        <v>82.42</v>
      </c>
      <c r="BJ60" s="113">
        <v>55</v>
      </c>
      <c r="BK60" s="439">
        <v>86.37</v>
      </c>
      <c r="BL60" s="439">
        <v>87.43</v>
      </c>
      <c r="BM60" s="439">
        <v>88.61</v>
      </c>
      <c r="BT60" s="113">
        <v>55</v>
      </c>
      <c r="BU60" s="439">
        <v>90.31</v>
      </c>
      <c r="BV60" s="439">
        <v>91.52</v>
      </c>
      <c r="BW60" s="439">
        <v>92.81</v>
      </c>
      <c r="CD60" s="113">
        <v>55</v>
      </c>
      <c r="CE60" s="439">
        <v>96.5</v>
      </c>
      <c r="CF60" s="439">
        <v>97.9</v>
      </c>
      <c r="CG60" s="439">
        <v>99.32</v>
      </c>
      <c r="CN60" s="113">
        <v>55</v>
      </c>
      <c r="CO60" s="439">
        <v>102.82</v>
      </c>
      <c r="CP60" s="439">
        <v>104.43</v>
      </c>
      <c r="CQ60" s="439">
        <v>105.98</v>
      </c>
    </row>
    <row r="61" spans="2:100" x14ac:dyDescent="0.2">
      <c r="B61" s="113">
        <v>56</v>
      </c>
      <c r="C61" s="439">
        <v>60.94</v>
      </c>
      <c r="D61" s="439">
        <v>61.29</v>
      </c>
      <c r="E61" s="439">
        <v>61.91</v>
      </c>
      <c r="L61" s="113">
        <v>56</v>
      </c>
      <c r="M61" s="439">
        <v>65.959999999999994</v>
      </c>
      <c r="N61" s="439">
        <v>66.41</v>
      </c>
      <c r="O61" s="439">
        <v>67.12</v>
      </c>
      <c r="V61" s="113">
        <v>56</v>
      </c>
      <c r="W61" s="439">
        <v>71.349999999999994</v>
      </c>
      <c r="X61" s="439">
        <v>71.92</v>
      </c>
      <c r="Y61" s="439">
        <v>72.73</v>
      </c>
      <c r="AF61" s="113">
        <v>56</v>
      </c>
      <c r="AG61" s="439">
        <v>74.819999999999993</v>
      </c>
      <c r="AH61" s="439">
        <v>75.510000000000005</v>
      </c>
      <c r="AI61" s="439">
        <v>76.400000000000006</v>
      </c>
      <c r="AP61" s="113">
        <v>56</v>
      </c>
      <c r="AQ61" s="439">
        <v>80.739999999999995</v>
      </c>
      <c r="AR61" s="439">
        <v>81.569999999999993</v>
      </c>
      <c r="AS61" s="439">
        <v>82.58</v>
      </c>
      <c r="AZ61" s="113">
        <v>56</v>
      </c>
      <c r="BA61" s="439">
        <v>80.45</v>
      </c>
      <c r="BB61" s="439">
        <v>81.37</v>
      </c>
      <c r="BC61" s="439">
        <v>82.44</v>
      </c>
      <c r="BJ61" s="113">
        <v>56</v>
      </c>
      <c r="BK61" s="439">
        <v>86.39</v>
      </c>
      <c r="BL61" s="439">
        <v>87.48</v>
      </c>
      <c r="BM61" s="439">
        <v>88.66</v>
      </c>
      <c r="BT61" s="113">
        <v>56</v>
      </c>
      <c r="BU61" s="439">
        <v>90.34</v>
      </c>
      <c r="BV61" s="439">
        <v>91.57</v>
      </c>
      <c r="BW61" s="439">
        <v>92.87</v>
      </c>
      <c r="CD61" s="113">
        <v>56</v>
      </c>
      <c r="CE61" s="439">
        <v>96.5</v>
      </c>
      <c r="CF61" s="439">
        <v>97.93</v>
      </c>
      <c r="CG61" s="439">
        <v>99.36</v>
      </c>
      <c r="CN61" s="113">
        <v>56</v>
      </c>
      <c r="CO61" s="439">
        <v>102.75</v>
      </c>
      <c r="CP61" s="439">
        <v>104.38</v>
      </c>
      <c r="CQ61" s="439">
        <v>105.95</v>
      </c>
    </row>
    <row r="62" spans="2:100" x14ac:dyDescent="0.2">
      <c r="B62" s="113">
        <v>57</v>
      </c>
      <c r="C62" s="439">
        <v>60.68</v>
      </c>
      <c r="D62" s="439">
        <v>61.04</v>
      </c>
      <c r="E62" s="439">
        <v>61.66</v>
      </c>
      <c r="L62" s="113">
        <v>57</v>
      </c>
      <c r="M62" s="439">
        <v>65.739999999999995</v>
      </c>
      <c r="N62" s="439">
        <v>66.2</v>
      </c>
      <c r="O62" s="439">
        <v>66.91</v>
      </c>
      <c r="V62" s="113">
        <v>57</v>
      </c>
      <c r="W62" s="439">
        <v>71.180000000000007</v>
      </c>
      <c r="X62" s="439">
        <v>71.760000000000005</v>
      </c>
      <c r="Y62" s="439">
        <v>72.569999999999993</v>
      </c>
      <c r="AF62" s="113">
        <v>57</v>
      </c>
      <c r="AG62" s="439">
        <v>74.7</v>
      </c>
      <c r="AH62" s="439">
        <v>75.400000000000006</v>
      </c>
      <c r="AI62" s="439">
        <v>76.3</v>
      </c>
      <c r="AP62" s="113">
        <v>57</v>
      </c>
      <c r="AQ62" s="439">
        <v>80.680000000000007</v>
      </c>
      <c r="AR62" s="439">
        <v>81.52</v>
      </c>
      <c r="AS62" s="439">
        <v>82.54</v>
      </c>
      <c r="AZ62" s="113">
        <v>57</v>
      </c>
      <c r="BA62" s="439">
        <v>80.42</v>
      </c>
      <c r="BB62" s="439">
        <v>81.36</v>
      </c>
      <c r="BC62" s="439">
        <v>82.43</v>
      </c>
      <c r="BJ62" s="113">
        <v>57</v>
      </c>
      <c r="BK62" s="439">
        <v>86.39</v>
      </c>
      <c r="BL62" s="439">
        <v>87.49</v>
      </c>
      <c r="BM62" s="439">
        <v>88.69</v>
      </c>
      <c r="BT62" s="113">
        <v>57</v>
      </c>
      <c r="BU62" s="439">
        <v>90.32</v>
      </c>
      <c r="BV62" s="439">
        <v>91.58</v>
      </c>
      <c r="BW62" s="439">
        <v>92.89</v>
      </c>
      <c r="CD62" s="113">
        <v>57</v>
      </c>
      <c r="CE62" s="439">
        <v>96.44</v>
      </c>
      <c r="CF62" s="439">
        <v>97.89</v>
      </c>
      <c r="CG62" s="439">
        <v>99.33</v>
      </c>
      <c r="CN62" s="113">
        <v>57</v>
      </c>
      <c r="CO62" s="439">
        <v>102.58</v>
      </c>
      <c r="CP62" s="439">
        <v>104.24</v>
      </c>
      <c r="CQ62" s="439">
        <v>105.81</v>
      </c>
    </row>
    <row r="63" spans="2:100" x14ac:dyDescent="0.2">
      <c r="B63" s="113">
        <v>58</v>
      </c>
      <c r="C63" s="439">
        <v>60.4</v>
      </c>
      <c r="D63" s="439">
        <v>60.75</v>
      </c>
      <c r="E63" s="439">
        <v>61.38</v>
      </c>
      <c r="L63" s="113">
        <v>58</v>
      </c>
      <c r="M63" s="439">
        <v>65.489999999999995</v>
      </c>
      <c r="N63" s="439">
        <v>65.959999999999994</v>
      </c>
      <c r="O63" s="439">
        <v>66.680000000000007</v>
      </c>
      <c r="V63" s="113">
        <v>58</v>
      </c>
      <c r="W63" s="439">
        <v>70.989999999999995</v>
      </c>
      <c r="X63" s="439">
        <v>71.569999999999993</v>
      </c>
      <c r="Y63" s="439">
        <v>72.39</v>
      </c>
      <c r="AF63" s="113">
        <v>58</v>
      </c>
      <c r="AG63" s="439">
        <v>74.569999999999993</v>
      </c>
      <c r="AH63" s="439">
        <v>75.27</v>
      </c>
      <c r="AI63" s="439">
        <v>76.19</v>
      </c>
      <c r="AP63" s="113">
        <v>58</v>
      </c>
      <c r="AQ63" s="439">
        <v>80.599999999999994</v>
      </c>
      <c r="AR63" s="439">
        <v>81.459999999999994</v>
      </c>
      <c r="AS63" s="439">
        <v>82.49</v>
      </c>
      <c r="AZ63" s="113">
        <v>58</v>
      </c>
      <c r="BA63" s="439">
        <v>80.36</v>
      </c>
      <c r="BB63" s="439">
        <v>81.319999999999993</v>
      </c>
      <c r="BC63" s="439">
        <v>82.41</v>
      </c>
      <c r="BJ63" s="113">
        <v>58</v>
      </c>
      <c r="BK63" s="439">
        <v>86.34</v>
      </c>
      <c r="BL63" s="439">
        <v>87.47</v>
      </c>
      <c r="BM63" s="439">
        <v>88.68</v>
      </c>
      <c r="BT63" s="113">
        <v>58</v>
      </c>
      <c r="BU63" s="439">
        <v>90.25</v>
      </c>
      <c r="BV63" s="439">
        <v>91.53</v>
      </c>
      <c r="BW63" s="439">
        <v>92.85</v>
      </c>
      <c r="CD63" s="113">
        <v>58</v>
      </c>
      <c r="CE63" s="439">
        <v>96.29</v>
      </c>
      <c r="CF63" s="439">
        <v>97.77</v>
      </c>
      <c r="CG63" s="439">
        <v>99.22</v>
      </c>
      <c r="CN63" s="113">
        <v>58</v>
      </c>
      <c r="CO63" s="439">
        <v>102.3</v>
      </c>
      <c r="CP63" s="439">
        <v>103.98</v>
      </c>
      <c r="CQ63" s="439">
        <v>105.57</v>
      </c>
    </row>
    <row r="64" spans="2:100" x14ac:dyDescent="0.2">
      <c r="B64" s="113">
        <v>59</v>
      </c>
      <c r="C64" s="439">
        <v>60.08</v>
      </c>
      <c r="D64" s="439">
        <v>60.44</v>
      </c>
      <c r="E64" s="439">
        <v>61.07</v>
      </c>
      <c r="L64" s="113">
        <v>59</v>
      </c>
      <c r="M64" s="439">
        <v>65.22</v>
      </c>
      <c r="N64" s="439">
        <v>65.7</v>
      </c>
      <c r="O64" s="439">
        <v>66.42</v>
      </c>
      <c r="V64" s="113">
        <v>59</v>
      </c>
      <c r="W64" s="439">
        <v>70.77</v>
      </c>
      <c r="X64" s="439">
        <v>71.37</v>
      </c>
      <c r="Y64" s="439">
        <v>72.2</v>
      </c>
      <c r="AF64" s="113">
        <v>59</v>
      </c>
      <c r="AG64" s="439">
        <v>74.41</v>
      </c>
      <c r="AH64" s="439">
        <v>75.13</v>
      </c>
      <c r="AI64" s="439">
        <v>76.05</v>
      </c>
      <c r="AP64" s="113">
        <v>59</v>
      </c>
      <c r="AQ64" s="439">
        <v>80.5</v>
      </c>
      <c r="AR64" s="439">
        <v>81.37</v>
      </c>
      <c r="AS64" s="439">
        <v>82.41</v>
      </c>
      <c r="AZ64" s="113">
        <v>59</v>
      </c>
      <c r="BA64" s="439">
        <v>80.27</v>
      </c>
      <c r="BB64" s="439">
        <v>81.239999999999995</v>
      </c>
      <c r="BC64" s="439">
        <v>82.34</v>
      </c>
      <c r="BJ64" s="113">
        <v>59</v>
      </c>
      <c r="BK64" s="439">
        <v>86.25</v>
      </c>
      <c r="BL64" s="439">
        <v>87.39</v>
      </c>
      <c r="BM64" s="439">
        <v>88.62</v>
      </c>
      <c r="BT64" s="113">
        <v>59</v>
      </c>
      <c r="BU64" s="439">
        <v>90.1</v>
      </c>
      <c r="BV64" s="439">
        <v>91.41</v>
      </c>
      <c r="BW64" s="439">
        <v>92.74</v>
      </c>
      <c r="CD64" s="113">
        <v>59</v>
      </c>
      <c r="CE64" s="439">
        <v>96.04</v>
      </c>
      <c r="CF64" s="439">
        <v>97.55</v>
      </c>
      <c r="CG64" s="439">
        <v>99.01</v>
      </c>
      <c r="CN64" s="113">
        <v>59</v>
      </c>
      <c r="CO64" s="439">
        <v>101.89</v>
      </c>
      <c r="CP64" s="439">
        <v>103.6</v>
      </c>
      <c r="CQ64" s="439">
        <v>105.19</v>
      </c>
    </row>
    <row r="65" spans="2:95" x14ac:dyDescent="0.2">
      <c r="B65" s="113">
        <v>60</v>
      </c>
      <c r="C65" s="439">
        <v>59.74</v>
      </c>
      <c r="D65" s="439">
        <v>60.1</v>
      </c>
      <c r="E65" s="439">
        <v>60.73</v>
      </c>
      <c r="L65" s="113">
        <v>60</v>
      </c>
      <c r="M65" s="439">
        <v>64.930000000000007</v>
      </c>
      <c r="N65" s="439">
        <v>65.41</v>
      </c>
      <c r="O65" s="439">
        <v>66.13</v>
      </c>
      <c r="V65" s="113">
        <v>60</v>
      </c>
      <c r="W65" s="439">
        <v>70.540000000000006</v>
      </c>
      <c r="X65" s="439">
        <v>71.14</v>
      </c>
      <c r="Y65" s="439">
        <v>71.98</v>
      </c>
      <c r="AF65" s="113">
        <v>60</v>
      </c>
      <c r="AG65" s="439">
        <v>74.23</v>
      </c>
      <c r="AH65" s="439">
        <v>74.959999999999994</v>
      </c>
      <c r="AI65" s="439">
        <v>75.89</v>
      </c>
      <c r="AP65" s="113">
        <v>60</v>
      </c>
      <c r="AQ65" s="439">
        <v>80.349999999999994</v>
      </c>
      <c r="AR65" s="439">
        <v>81.239999999999995</v>
      </c>
      <c r="AS65" s="439">
        <v>82.29</v>
      </c>
      <c r="AZ65" s="113">
        <v>60</v>
      </c>
      <c r="BA65" s="439">
        <v>80.13</v>
      </c>
      <c r="BB65" s="439">
        <v>81.12</v>
      </c>
      <c r="BC65" s="439">
        <v>82.23</v>
      </c>
      <c r="BJ65" s="113">
        <v>60</v>
      </c>
      <c r="BK65" s="439">
        <v>86.08</v>
      </c>
      <c r="BL65" s="439">
        <v>87.25</v>
      </c>
      <c r="BM65" s="439">
        <v>88.49</v>
      </c>
      <c r="BT65" s="113">
        <v>60</v>
      </c>
      <c r="BU65" s="439">
        <v>89.86</v>
      </c>
      <c r="BV65" s="439">
        <v>91.2</v>
      </c>
      <c r="BW65" s="439">
        <v>92.54</v>
      </c>
      <c r="CD65" s="113">
        <v>60</v>
      </c>
      <c r="CE65" s="439">
        <v>95.67</v>
      </c>
      <c r="CF65" s="439">
        <v>97.21</v>
      </c>
      <c r="CG65" s="439">
        <v>98.68</v>
      </c>
      <c r="CN65" s="113">
        <v>60</v>
      </c>
      <c r="CO65" s="439">
        <v>101.32</v>
      </c>
      <c r="CP65" s="439">
        <v>103.06</v>
      </c>
      <c r="CQ65" s="439">
        <v>104.65</v>
      </c>
    </row>
    <row r="66" spans="2:95" x14ac:dyDescent="0.2">
      <c r="B66" s="113">
        <v>61</v>
      </c>
      <c r="C66" s="439">
        <v>60.06</v>
      </c>
      <c r="D66" s="439">
        <v>60.43</v>
      </c>
      <c r="E66" s="439">
        <v>61.07</v>
      </c>
      <c r="L66" s="113">
        <v>61</v>
      </c>
      <c r="M66" s="439">
        <v>65.37</v>
      </c>
      <c r="N66" s="439">
        <v>65.86</v>
      </c>
      <c r="O66" s="439">
        <v>66.599999999999994</v>
      </c>
      <c r="V66" s="113">
        <v>61</v>
      </c>
      <c r="W66" s="439">
        <v>71.11</v>
      </c>
      <c r="X66" s="439">
        <v>71.73</v>
      </c>
      <c r="Y66" s="439">
        <v>72.58</v>
      </c>
      <c r="AF66" s="113">
        <v>61</v>
      </c>
      <c r="AG66" s="439">
        <v>74.91</v>
      </c>
      <c r="AH66" s="439">
        <v>75.66</v>
      </c>
      <c r="AI66" s="439">
        <v>76.599999999999994</v>
      </c>
      <c r="AP66" s="113">
        <v>61</v>
      </c>
      <c r="AQ66" s="439">
        <v>81.150000000000006</v>
      </c>
      <c r="AR66" s="439">
        <v>82.06</v>
      </c>
      <c r="AS66" s="439">
        <v>83.13</v>
      </c>
      <c r="AZ66" s="113">
        <v>61</v>
      </c>
      <c r="BA66" s="439">
        <v>80.97</v>
      </c>
      <c r="BB66" s="439">
        <v>81.99</v>
      </c>
      <c r="BC66" s="439">
        <v>83.11</v>
      </c>
      <c r="BJ66" s="113">
        <v>61</v>
      </c>
      <c r="BK66" s="439">
        <v>86.96</v>
      </c>
      <c r="BL66" s="439">
        <v>88.16</v>
      </c>
      <c r="BM66" s="439">
        <v>89.41</v>
      </c>
      <c r="BT66" s="113">
        <v>61</v>
      </c>
      <c r="BU66" s="439">
        <v>90.71</v>
      </c>
      <c r="BV66" s="439">
        <v>92.08</v>
      </c>
      <c r="BW66" s="439">
        <v>93.44</v>
      </c>
      <c r="CD66" s="113">
        <v>61</v>
      </c>
      <c r="CE66" s="439">
        <v>96.44</v>
      </c>
      <c r="CF66" s="439">
        <v>98.01</v>
      </c>
      <c r="CG66" s="439">
        <v>99.49</v>
      </c>
      <c r="CN66" s="113">
        <v>61</v>
      </c>
      <c r="CO66" s="439">
        <v>101.92</v>
      </c>
      <c r="CP66" s="439">
        <v>103.69</v>
      </c>
      <c r="CQ66" s="439">
        <v>105.29</v>
      </c>
    </row>
    <row r="67" spans="2:95" x14ac:dyDescent="0.2">
      <c r="B67" s="113">
        <v>62</v>
      </c>
      <c r="C67" s="439">
        <v>60.38</v>
      </c>
      <c r="D67" s="439">
        <v>60.76</v>
      </c>
      <c r="E67" s="439">
        <v>61.41</v>
      </c>
      <c r="L67" s="113">
        <v>62</v>
      </c>
      <c r="M67" s="439">
        <v>65.819999999999993</v>
      </c>
      <c r="N67" s="439">
        <v>66.319999999999993</v>
      </c>
      <c r="O67" s="439">
        <v>67.06</v>
      </c>
      <c r="V67" s="113">
        <v>62</v>
      </c>
      <c r="W67" s="439">
        <v>71.680000000000007</v>
      </c>
      <c r="X67" s="439">
        <v>72.319999999999993</v>
      </c>
      <c r="Y67" s="439">
        <v>73.180000000000007</v>
      </c>
      <c r="AF67" s="113">
        <v>62</v>
      </c>
      <c r="AG67" s="439">
        <v>75.599999999999994</v>
      </c>
      <c r="AH67" s="439">
        <v>76.37</v>
      </c>
      <c r="AI67" s="439">
        <v>77.319999999999993</v>
      </c>
      <c r="AP67" s="113">
        <v>62</v>
      </c>
      <c r="AQ67" s="439">
        <v>81.93</v>
      </c>
      <c r="AR67" s="439">
        <v>82.87</v>
      </c>
      <c r="AS67" s="439">
        <v>83.95</v>
      </c>
      <c r="AZ67" s="113">
        <v>62</v>
      </c>
      <c r="BA67" s="439">
        <v>81.790000000000006</v>
      </c>
      <c r="BB67" s="439">
        <v>82.83</v>
      </c>
      <c r="BC67" s="439">
        <v>83.98</v>
      </c>
      <c r="BJ67" s="113">
        <v>62</v>
      </c>
      <c r="BK67" s="439">
        <v>87.79</v>
      </c>
      <c r="BL67" s="439">
        <v>89.02</v>
      </c>
      <c r="BM67" s="439">
        <v>90.29</v>
      </c>
      <c r="BT67" s="113">
        <v>62</v>
      </c>
      <c r="BU67" s="439">
        <v>91.49</v>
      </c>
      <c r="BV67" s="439">
        <v>92.89</v>
      </c>
      <c r="BW67" s="439">
        <v>94.27</v>
      </c>
      <c r="CD67" s="113">
        <v>62</v>
      </c>
      <c r="CE67" s="439">
        <v>97.1</v>
      </c>
      <c r="CF67" s="439">
        <v>98.7</v>
      </c>
      <c r="CG67" s="439">
        <v>100.19</v>
      </c>
      <c r="CN67" s="113">
        <v>62</v>
      </c>
      <c r="CO67" s="439">
        <v>102.39</v>
      </c>
      <c r="CP67" s="439">
        <v>104.19</v>
      </c>
      <c r="CQ67" s="439">
        <v>105.79</v>
      </c>
    </row>
    <row r="68" spans="2:95" x14ac:dyDescent="0.2">
      <c r="B68" s="113">
        <v>63</v>
      </c>
      <c r="C68" s="439">
        <v>60.69</v>
      </c>
      <c r="D68" s="439">
        <v>61.08</v>
      </c>
      <c r="E68" s="439">
        <v>61.73</v>
      </c>
      <c r="L68" s="113">
        <v>63</v>
      </c>
      <c r="M68" s="439">
        <v>66.25</v>
      </c>
      <c r="N68" s="439">
        <v>66.760000000000005</v>
      </c>
      <c r="O68" s="439">
        <v>67.52</v>
      </c>
      <c r="V68" s="113">
        <v>63</v>
      </c>
      <c r="W68" s="439">
        <v>72.239999999999995</v>
      </c>
      <c r="X68" s="439">
        <v>72.900000000000006</v>
      </c>
      <c r="Y68" s="439">
        <v>73.77</v>
      </c>
      <c r="AF68" s="113">
        <v>63</v>
      </c>
      <c r="AG68" s="439">
        <v>76.27</v>
      </c>
      <c r="AH68" s="439">
        <v>77.06</v>
      </c>
      <c r="AI68" s="439">
        <v>78.03</v>
      </c>
      <c r="AP68" s="113">
        <v>63</v>
      </c>
      <c r="AQ68" s="439">
        <v>82.7</v>
      </c>
      <c r="AR68" s="439">
        <v>83.66</v>
      </c>
      <c r="AS68" s="439">
        <v>84.76</v>
      </c>
      <c r="AZ68" s="113">
        <v>63</v>
      </c>
      <c r="BA68" s="439">
        <v>82.57</v>
      </c>
      <c r="BB68" s="439">
        <v>83.64</v>
      </c>
      <c r="BC68" s="439">
        <v>84.8</v>
      </c>
      <c r="BJ68" s="113">
        <v>63</v>
      </c>
      <c r="BK68" s="439">
        <v>88.56</v>
      </c>
      <c r="BL68" s="439">
        <v>89.83</v>
      </c>
      <c r="BM68" s="439">
        <v>91.11</v>
      </c>
      <c r="BT68" s="113">
        <v>63</v>
      </c>
      <c r="BU68" s="439">
        <v>92.18</v>
      </c>
      <c r="BV68" s="439">
        <v>93.62</v>
      </c>
      <c r="BW68" s="439">
        <v>95</v>
      </c>
      <c r="CD68" s="113">
        <v>63</v>
      </c>
      <c r="CE68" s="439">
        <v>97.64</v>
      </c>
      <c r="CF68" s="439">
        <v>99.27</v>
      </c>
      <c r="CG68" s="439">
        <v>100.77</v>
      </c>
      <c r="CN68" s="113">
        <v>63</v>
      </c>
      <c r="CO68" s="439">
        <v>102.69</v>
      </c>
      <c r="CP68" s="439">
        <v>104.52</v>
      </c>
      <c r="CQ68" s="439">
        <v>106.13</v>
      </c>
    </row>
    <row r="69" spans="2:95" x14ac:dyDescent="0.2">
      <c r="B69" s="113">
        <v>64</v>
      </c>
      <c r="C69" s="439">
        <v>60.98</v>
      </c>
      <c r="D69" s="439">
        <v>61.38</v>
      </c>
      <c r="E69" s="439">
        <v>62.04</v>
      </c>
      <c r="L69" s="113">
        <v>64</v>
      </c>
      <c r="M69" s="439">
        <v>66.67</v>
      </c>
      <c r="N69" s="439">
        <v>67.2</v>
      </c>
      <c r="O69" s="439">
        <v>67.97</v>
      </c>
      <c r="V69" s="113">
        <v>64</v>
      </c>
      <c r="W69" s="439">
        <v>72.8</v>
      </c>
      <c r="X69" s="439">
        <v>73.47</v>
      </c>
      <c r="Y69" s="439">
        <v>74.36</v>
      </c>
      <c r="AF69" s="113">
        <v>64</v>
      </c>
      <c r="AG69" s="439">
        <v>76.930000000000007</v>
      </c>
      <c r="AH69" s="439">
        <v>77.739999999999995</v>
      </c>
      <c r="AI69" s="439">
        <v>78.73</v>
      </c>
      <c r="AP69" s="113">
        <v>64</v>
      </c>
      <c r="AQ69" s="439">
        <v>83.43</v>
      </c>
      <c r="AR69" s="439">
        <v>84.42</v>
      </c>
      <c r="AS69" s="439">
        <v>85.53</v>
      </c>
      <c r="AZ69" s="113">
        <v>64</v>
      </c>
      <c r="BA69" s="439">
        <v>83.3</v>
      </c>
      <c r="BB69" s="439">
        <v>84.41</v>
      </c>
      <c r="BC69" s="439">
        <v>85.59</v>
      </c>
      <c r="BJ69" s="113">
        <v>64</v>
      </c>
      <c r="BK69" s="439">
        <v>89.26</v>
      </c>
      <c r="BL69" s="439">
        <v>90.56</v>
      </c>
      <c r="BM69" s="439">
        <v>91.86</v>
      </c>
      <c r="BT69" s="113">
        <v>64</v>
      </c>
      <c r="BU69" s="439">
        <v>92.77</v>
      </c>
      <c r="BV69" s="439">
        <v>94.24</v>
      </c>
      <c r="BW69" s="439">
        <v>95.64</v>
      </c>
      <c r="CD69" s="113">
        <v>64</v>
      </c>
      <c r="CE69" s="439">
        <v>98.03</v>
      </c>
      <c r="CF69" s="439">
        <v>99.7</v>
      </c>
      <c r="CG69" s="439">
        <v>101.21</v>
      </c>
      <c r="CN69" s="113">
        <v>64</v>
      </c>
      <c r="CO69" s="439">
        <v>102.82</v>
      </c>
      <c r="CP69" s="439">
        <v>104.67</v>
      </c>
      <c r="CQ69" s="439">
        <v>106.28</v>
      </c>
    </row>
    <row r="70" spans="2:95" x14ac:dyDescent="0.2">
      <c r="B70" s="113">
        <v>65</v>
      </c>
      <c r="C70" s="439">
        <v>61.26</v>
      </c>
      <c r="D70" s="439">
        <v>61.67</v>
      </c>
      <c r="E70" s="439">
        <v>62.34</v>
      </c>
      <c r="L70" s="113">
        <v>65</v>
      </c>
      <c r="M70" s="439">
        <v>67.09</v>
      </c>
      <c r="N70" s="439">
        <v>67.63</v>
      </c>
      <c r="O70" s="439">
        <v>68.41</v>
      </c>
      <c r="V70" s="113">
        <v>65</v>
      </c>
      <c r="W70" s="439">
        <v>73.34</v>
      </c>
      <c r="X70" s="439">
        <v>74.03</v>
      </c>
      <c r="Y70" s="439">
        <v>74.930000000000007</v>
      </c>
      <c r="AF70" s="113">
        <v>65</v>
      </c>
      <c r="AG70" s="439">
        <v>77.56</v>
      </c>
      <c r="AH70" s="439">
        <v>78.400000000000006</v>
      </c>
      <c r="AI70" s="439">
        <v>79.400000000000006</v>
      </c>
      <c r="AP70" s="113">
        <v>65</v>
      </c>
      <c r="AQ70" s="439">
        <v>84.13</v>
      </c>
      <c r="AR70" s="439">
        <v>85.15</v>
      </c>
      <c r="AS70" s="439">
        <v>86.28</v>
      </c>
      <c r="AZ70" s="113">
        <v>65</v>
      </c>
      <c r="BA70" s="439">
        <v>83.99</v>
      </c>
      <c r="BB70" s="439">
        <v>85.12</v>
      </c>
      <c r="BC70" s="439">
        <v>86.32</v>
      </c>
      <c r="BJ70" s="113">
        <v>65</v>
      </c>
      <c r="BK70" s="439">
        <v>89.88</v>
      </c>
      <c r="BL70" s="439">
        <v>91.21</v>
      </c>
      <c r="BM70" s="439">
        <v>92.53</v>
      </c>
      <c r="BT70" s="113">
        <v>65</v>
      </c>
      <c r="BU70" s="439">
        <v>93.25</v>
      </c>
      <c r="BV70" s="439">
        <v>94.74</v>
      </c>
      <c r="BW70" s="439">
        <v>96.15</v>
      </c>
      <c r="CD70" s="113">
        <v>65</v>
      </c>
      <c r="CE70" s="439">
        <v>98.28</v>
      </c>
      <c r="CF70" s="439">
        <v>99.98</v>
      </c>
      <c r="CG70" s="439">
        <v>101.49</v>
      </c>
      <c r="CN70" s="113">
        <v>65</v>
      </c>
      <c r="CO70" s="439">
        <v>102.77</v>
      </c>
      <c r="CP70" s="439">
        <v>104.65</v>
      </c>
      <c r="CQ70" s="439">
        <v>106.25</v>
      </c>
    </row>
    <row r="71" spans="2:95" x14ac:dyDescent="0.2">
      <c r="B71" s="113">
        <v>66</v>
      </c>
      <c r="C71" s="439">
        <v>61.52</v>
      </c>
      <c r="D71" s="439">
        <v>61.94</v>
      </c>
      <c r="E71" s="439">
        <v>62.62</v>
      </c>
      <c r="L71" s="113">
        <v>66</v>
      </c>
      <c r="M71" s="439">
        <v>67.48</v>
      </c>
      <c r="N71" s="439">
        <v>68.040000000000006</v>
      </c>
      <c r="O71" s="439">
        <v>68.83</v>
      </c>
      <c r="V71" s="113">
        <v>66</v>
      </c>
      <c r="W71" s="439">
        <v>73.86</v>
      </c>
      <c r="X71" s="439">
        <v>74.58</v>
      </c>
      <c r="Y71" s="439">
        <v>75.489999999999995</v>
      </c>
      <c r="AF71" s="113">
        <v>66</v>
      </c>
      <c r="AG71" s="439">
        <v>78.180000000000007</v>
      </c>
      <c r="AH71" s="439">
        <v>79.040000000000006</v>
      </c>
      <c r="AI71" s="439">
        <v>80.06</v>
      </c>
      <c r="AP71" s="113">
        <v>66</v>
      </c>
      <c r="AQ71" s="439">
        <v>84.79</v>
      </c>
      <c r="AR71" s="439">
        <v>85.84</v>
      </c>
      <c r="AS71" s="439">
        <v>86.99</v>
      </c>
      <c r="AZ71" s="113">
        <v>66</v>
      </c>
      <c r="BA71" s="439">
        <v>84.61</v>
      </c>
      <c r="BB71" s="439">
        <v>85.77</v>
      </c>
      <c r="BC71" s="439">
        <v>86.98</v>
      </c>
      <c r="BJ71" s="113">
        <v>66</v>
      </c>
      <c r="BK71" s="439">
        <v>90.41</v>
      </c>
      <c r="BL71" s="439">
        <v>91.77</v>
      </c>
      <c r="BM71" s="439">
        <v>93.1</v>
      </c>
      <c r="BT71" s="113">
        <v>66</v>
      </c>
      <c r="BU71" s="439">
        <v>93.6</v>
      </c>
      <c r="BV71" s="439">
        <v>95.13</v>
      </c>
      <c r="BW71" s="439">
        <v>96.55</v>
      </c>
      <c r="CD71" s="113">
        <v>66</v>
      </c>
      <c r="CE71" s="439">
        <v>98.38</v>
      </c>
      <c r="CF71" s="439">
        <v>100.1</v>
      </c>
      <c r="CG71" s="439">
        <v>101.62</v>
      </c>
      <c r="CN71" s="113">
        <v>66</v>
      </c>
      <c r="CO71" s="439">
        <v>102.53</v>
      </c>
      <c r="CP71" s="439">
        <v>104.43</v>
      </c>
      <c r="CQ71" s="439">
        <v>106.03</v>
      </c>
    </row>
    <row r="72" spans="2:95" x14ac:dyDescent="0.2">
      <c r="B72" s="113">
        <v>67</v>
      </c>
      <c r="C72" s="439">
        <v>61.76</v>
      </c>
      <c r="D72" s="439">
        <v>62.19</v>
      </c>
      <c r="E72" s="439">
        <v>62.88</v>
      </c>
      <c r="L72" s="113">
        <v>67</v>
      </c>
      <c r="M72" s="439">
        <v>67.86</v>
      </c>
      <c r="N72" s="439">
        <v>68.44</v>
      </c>
      <c r="O72" s="439">
        <v>69.239999999999995</v>
      </c>
      <c r="V72" s="113">
        <v>67</v>
      </c>
      <c r="W72" s="439">
        <v>74.37</v>
      </c>
      <c r="X72" s="439">
        <v>75.099999999999994</v>
      </c>
      <c r="Y72" s="439">
        <v>76.03</v>
      </c>
      <c r="AF72" s="113">
        <v>67</v>
      </c>
      <c r="AG72" s="439">
        <v>78.760000000000005</v>
      </c>
      <c r="AH72" s="439">
        <v>79.650000000000006</v>
      </c>
      <c r="AI72" s="439">
        <v>80.680000000000007</v>
      </c>
      <c r="AP72" s="113">
        <v>67</v>
      </c>
      <c r="AQ72" s="439">
        <v>85.4</v>
      </c>
      <c r="AR72" s="439">
        <v>86.49</v>
      </c>
      <c r="AS72" s="439">
        <v>87.65</v>
      </c>
      <c r="AZ72" s="113">
        <v>67</v>
      </c>
      <c r="BA72" s="439">
        <v>85.15</v>
      </c>
      <c r="BB72" s="439">
        <v>86.36</v>
      </c>
      <c r="BC72" s="439">
        <v>87.58</v>
      </c>
      <c r="BJ72" s="113">
        <v>67</v>
      </c>
      <c r="BK72" s="439">
        <v>90.83</v>
      </c>
      <c r="BL72" s="439">
        <v>92.23</v>
      </c>
      <c r="BM72" s="439">
        <v>93.57</v>
      </c>
      <c r="BT72" s="113">
        <v>67</v>
      </c>
      <c r="BU72" s="439">
        <v>93.81</v>
      </c>
      <c r="BV72" s="439">
        <v>95.38</v>
      </c>
      <c r="BW72" s="439">
        <v>96.8</v>
      </c>
      <c r="CD72" s="113">
        <v>67</v>
      </c>
      <c r="CE72" s="439">
        <v>98.3</v>
      </c>
      <c r="CF72" s="439">
        <v>100.05</v>
      </c>
      <c r="CG72" s="439">
        <v>101.57</v>
      </c>
      <c r="CN72" s="113">
        <v>67</v>
      </c>
      <c r="CO72" s="439">
        <v>102.09</v>
      </c>
      <c r="CP72" s="439">
        <v>104.02</v>
      </c>
      <c r="CQ72" s="439">
        <v>105.62</v>
      </c>
    </row>
    <row r="73" spans="2:95" x14ac:dyDescent="0.2">
      <c r="B73" s="113">
        <v>68</v>
      </c>
      <c r="C73" s="439">
        <v>61.98</v>
      </c>
      <c r="D73" s="439">
        <v>62.42</v>
      </c>
      <c r="E73" s="439">
        <v>63.13</v>
      </c>
      <c r="L73" s="113">
        <v>68</v>
      </c>
      <c r="M73" s="439">
        <v>68.22</v>
      </c>
      <c r="N73" s="439">
        <v>68.819999999999993</v>
      </c>
      <c r="O73" s="439">
        <v>69.64</v>
      </c>
      <c r="V73" s="113">
        <v>68</v>
      </c>
      <c r="W73" s="439">
        <v>74.849999999999994</v>
      </c>
      <c r="X73" s="439">
        <v>75.61</v>
      </c>
      <c r="Y73" s="439">
        <v>76.55</v>
      </c>
      <c r="AF73" s="113">
        <v>68</v>
      </c>
      <c r="AG73" s="439">
        <v>79.31</v>
      </c>
      <c r="AH73" s="439">
        <v>80.23</v>
      </c>
      <c r="AI73" s="439">
        <v>81.27</v>
      </c>
      <c r="AP73" s="113">
        <v>68</v>
      </c>
      <c r="AQ73" s="439">
        <v>85.96</v>
      </c>
      <c r="AR73" s="439">
        <v>87.08</v>
      </c>
      <c r="AS73" s="439">
        <v>88.25</v>
      </c>
      <c r="AZ73" s="113">
        <v>68</v>
      </c>
      <c r="BA73" s="439">
        <v>85.62</v>
      </c>
      <c r="BB73" s="439">
        <v>86.86</v>
      </c>
      <c r="BC73" s="439">
        <v>88.1</v>
      </c>
      <c r="BJ73" s="113">
        <v>68</v>
      </c>
      <c r="BK73" s="439">
        <v>91.15</v>
      </c>
      <c r="BL73" s="439">
        <v>92.58</v>
      </c>
      <c r="BM73" s="439">
        <v>93.93</v>
      </c>
      <c r="BT73" s="113">
        <v>68</v>
      </c>
      <c r="BU73" s="439">
        <v>93.89</v>
      </c>
      <c r="BV73" s="439">
        <v>95.48</v>
      </c>
      <c r="BW73" s="439">
        <v>96.91</v>
      </c>
      <c r="CD73" s="113">
        <v>68</v>
      </c>
      <c r="CE73" s="439">
        <v>98.05</v>
      </c>
      <c r="CF73" s="439">
        <v>99.83</v>
      </c>
      <c r="CG73" s="439">
        <v>101.35</v>
      </c>
      <c r="CN73" s="113">
        <v>68</v>
      </c>
      <c r="CO73" s="439">
        <v>101.47</v>
      </c>
      <c r="CP73" s="439">
        <v>103.42</v>
      </c>
      <c r="CQ73" s="439">
        <v>105</v>
      </c>
    </row>
    <row r="74" spans="2:95" x14ac:dyDescent="0.2">
      <c r="B74" s="113">
        <v>69</v>
      </c>
      <c r="C74" s="439">
        <v>62.18</v>
      </c>
      <c r="D74" s="439">
        <v>62.64</v>
      </c>
      <c r="E74" s="439">
        <v>63.35</v>
      </c>
      <c r="L74" s="113">
        <v>69</v>
      </c>
      <c r="M74" s="439">
        <v>68.569999999999993</v>
      </c>
      <c r="N74" s="439">
        <v>69.180000000000007</v>
      </c>
      <c r="O74" s="439">
        <v>70.010000000000005</v>
      </c>
      <c r="V74" s="113">
        <v>69</v>
      </c>
      <c r="W74" s="439">
        <v>75.31</v>
      </c>
      <c r="X74" s="439">
        <v>76.09</v>
      </c>
      <c r="Y74" s="439">
        <v>77.05</v>
      </c>
      <c r="AF74" s="113">
        <v>69</v>
      </c>
      <c r="AG74" s="439">
        <v>79.81</v>
      </c>
      <c r="AH74" s="439">
        <v>80.77</v>
      </c>
      <c r="AI74" s="439">
        <v>81.83</v>
      </c>
      <c r="AP74" s="113">
        <v>69</v>
      </c>
      <c r="AQ74" s="439">
        <v>86.45</v>
      </c>
      <c r="AR74" s="439">
        <v>87.61</v>
      </c>
      <c r="AS74" s="439">
        <v>88.79</v>
      </c>
      <c r="AZ74" s="113">
        <v>69</v>
      </c>
      <c r="BA74" s="439">
        <v>86.01</v>
      </c>
      <c r="BB74" s="439">
        <v>87.28</v>
      </c>
      <c r="BC74" s="439">
        <v>88.53</v>
      </c>
      <c r="BJ74" s="113">
        <v>69</v>
      </c>
      <c r="BK74" s="439">
        <v>91.34</v>
      </c>
      <c r="BL74" s="439">
        <v>92.81</v>
      </c>
      <c r="BM74" s="439">
        <v>94.16</v>
      </c>
      <c r="BT74" s="113">
        <v>69</v>
      </c>
      <c r="BU74" s="439">
        <v>93.81</v>
      </c>
      <c r="BV74" s="439">
        <v>95.44</v>
      </c>
      <c r="BW74" s="439">
        <v>96.87</v>
      </c>
      <c r="CD74" s="113">
        <v>69</v>
      </c>
      <c r="CE74" s="439">
        <v>97.63</v>
      </c>
      <c r="CF74" s="439">
        <v>99.44</v>
      </c>
      <c r="CG74" s="439">
        <v>100.95</v>
      </c>
      <c r="CN74" s="113">
        <v>69</v>
      </c>
      <c r="CO74" s="439">
        <v>100.66</v>
      </c>
      <c r="CP74" s="439">
        <v>102.62</v>
      </c>
      <c r="CQ74" s="439">
        <v>104.19</v>
      </c>
    </row>
    <row r="75" spans="2:95" x14ac:dyDescent="0.2">
      <c r="B75" s="113">
        <v>70</v>
      </c>
      <c r="C75" s="439">
        <v>62.35</v>
      </c>
      <c r="D75" s="439">
        <v>62.83</v>
      </c>
      <c r="E75" s="439">
        <v>63.55</v>
      </c>
      <c r="L75" s="113">
        <v>70</v>
      </c>
      <c r="M75" s="439">
        <v>68.88</v>
      </c>
      <c r="N75" s="439">
        <v>69.52</v>
      </c>
      <c r="O75" s="439">
        <v>70.36</v>
      </c>
      <c r="V75" s="113">
        <v>70</v>
      </c>
      <c r="W75" s="439">
        <v>75.73</v>
      </c>
      <c r="X75" s="439">
        <v>76.55</v>
      </c>
      <c r="Y75" s="439">
        <v>77.52</v>
      </c>
      <c r="AF75" s="113">
        <v>70</v>
      </c>
      <c r="AG75" s="439">
        <v>80.28</v>
      </c>
      <c r="AH75" s="439">
        <v>81.260000000000005</v>
      </c>
      <c r="AI75" s="439">
        <v>82.34</v>
      </c>
      <c r="AP75" s="113">
        <v>70</v>
      </c>
      <c r="AQ75" s="439">
        <v>86.88</v>
      </c>
      <c r="AR75" s="439">
        <v>88.07</v>
      </c>
      <c r="AS75" s="439">
        <v>89.27</v>
      </c>
      <c r="AZ75" s="113">
        <v>70</v>
      </c>
      <c r="BA75" s="439">
        <v>86.29</v>
      </c>
      <c r="BB75" s="439">
        <v>87.6</v>
      </c>
      <c r="BC75" s="439">
        <v>88.86</v>
      </c>
      <c r="BJ75" s="113">
        <v>70</v>
      </c>
      <c r="BK75" s="439">
        <v>91.4</v>
      </c>
      <c r="BL75" s="439">
        <v>92.9</v>
      </c>
      <c r="BM75" s="439">
        <v>94.27</v>
      </c>
      <c r="BT75" s="113">
        <v>70</v>
      </c>
      <c r="BU75" s="439">
        <v>93.58</v>
      </c>
      <c r="BV75" s="439">
        <v>95.24</v>
      </c>
      <c r="BW75" s="439">
        <v>96.67</v>
      </c>
      <c r="CD75" s="113">
        <v>70</v>
      </c>
      <c r="CE75" s="439">
        <v>97.03</v>
      </c>
      <c r="CF75" s="439">
        <v>98.86</v>
      </c>
      <c r="CG75" s="439">
        <v>100.37</v>
      </c>
      <c r="CN75" s="113">
        <v>70</v>
      </c>
      <c r="CO75" s="439">
        <v>99.66</v>
      </c>
      <c r="CP75" s="439">
        <v>101.64</v>
      </c>
      <c r="CQ75" s="439">
        <v>103.19</v>
      </c>
    </row>
    <row r="76" spans="2:95" x14ac:dyDescent="0.2">
      <c r="B76" s="113">
        <v>71</v>
      </c>
      <c r="C76" s="439">
        <v>62.51</v>
      </c>
      <c r="D76" s="439">
        <v>63</v>
      </c>
      <c r="E76" s="439">
        <v>63.73</v>
      </c>
      <c r="L76" s="113">
        <v>71</v>
      </c>
      <c r="M76" s="439">
        <v>69.180000000000007</v>
      </c>
      <c r="N76" s="439">
        <v>69.83</v>
      </c>
      <c r="O76" s="439">
        <v>70.69</v>
      </c>
      <c r="V76" s="113">
        <v>71</v>
      </c>
      <c r="W76" s="439">
        <v>76.13</v>
      </c>
      <c r="X76" s="439">
        <v>76.97</v>
      </c>
      <c r="Y76" s="439">
        <v>77.95</v>
      </c>
      <c r="AF76" s="113">
        <v>71</v>
      </c>
      <c r="AG76" s="439">
        <v>80.69</v>
      </c>
      <c r="AH76" s="439">
        <v>81.709999999999994</v>
      </c>
      <c r="AI76" s="439">
        <v>82.8</v>
      </c>
      <c r="AP76" s="113">
        <v>71</v>
      </c>
      <c r="AQ76" s="439">
        <v>87.23</v>
      </c>
      <c r="AR76" s="439">
        <v>88.45</v>
      </c>
      <c r="AS76" s="439">
        <v>89.67</v>
      </c>
      <c r="AZ76" s="113">
        <v>71</v>
      </c>
      <c r="BA76" s="439">
        <v>86.47</v>
      </c>
      <c r="BB76" s="439">
        <v>87.82</v>
      </c>
      <c r="BC76" s="439">
        <v>89.09</v>
      </c>
      <c r="BJ76" s="113">
        <v>71</v>
      </c>
      <c r="BK76" s="439">
        <v>91.32</v>
      </c>
      <c r="BL76" s="439">
        <v>92.86</v>
      </c>
      <c r="BM76" s="439">
        <v>94.23</v>
      </c>
      <c r="BT76" s="113">
        <v>71</v>
      </c>
      <c r="BU76" s="439">
        <v>93.18</v>
      </c>
      <c r="BV76" s="439">
        <v>94.87</v>
      </c>
      <c r="BW76" s="439">
        <v>96.31</v>
      </c>
      <c r="CD76" s="113">
        <v>71</v>
      </c>
      <c r="CE76" s="439">
        <v>96.26</v>
      </c>
      <c r="CF76" s="439">
        <v>98.11</v>
      </c>
      <c r="CG76" s="439">
        <v>99.6</v>
      </c>
      <c r="CN76" s="113">
        <v>71</v>
      </c>
      <c r="CO76" s="439">
        <v>98.48</v>
      </c>
      <c r="CP76" s="439">
        <v>100.47</v>
      </c>
      <c r="CQ76" s="439">
        <v>102.01</v>
      </c>
    </row>
    <row r="77" spans="2:95" x14ac:dyDescent="0.2">
      <c r="B77" s="113">
        <v>72</v>
      </c>
      <c r="C77" s="439">
        <v>62.63</v>
      </c>
      <c r="D77" s="439">
        <v>63.14</v>
      </c>
      <c r="E77" s="439">
        <v>63.88</v>
      </c>
      <c r="L77" s="113">
        <v>72</v>
      </c>
      <c r="M77" s="439">
        <v>69.45</v>
      </c>
      <c r="N77" s="439">
        <v>70.13</v>
      </c>
      <c r="O77" s="439">
        <v>71</v>
      </c>
      <c r="V77" s="113">
        <v>72</v>
      </c>
      <c r="W77" s="439">
        <v>76.48</v>
      </c>
      <c r="X77" s="439">
        <v>77.36</v>
      </c>
      <c r="Y77" s="439">
        <v>78.36</v>
      </c>
      <c r="AF77" s="113">
        <v>72</v>
      </c>
      <c r="AG77" s="439">
        <v>81.05</v>
      </c>
      <c r="AH77" s="439">
        <v>82.1</v>
      </c>
      <c r="AI77" s="439">
        <v>83.21</v>
      </c>
      <c r="AP77" s="113">
        <v>72</v>
      </c>
      <c r="AQ77" s="439">
        <v>87.49</v>
      </c>
      <c r="AR77" s="439">
        <v>88.75</v>
      </c>
      <c r="AS77" s="439">
        <v>89.98</v>
      </c>
      <c r="AZ77" s="113">
        <v>72</v>
      </c>
      <c r="BA77" s="439">
        <v>86.54</v>
      </c>
      <c r="BB77" s="439">
        <v>87.92</v>
      </c>
      <c r="BC77" s="439">
        <v>89.21</v>
      </c>
      <c r="BJ77" s="113">
        <v>72</v>
      </c>
      <c r="BK77" s="439">
        <v>91.11</v>
      </c>
      <c r="BL77" s="439">
        <v>92.68</v>
      </c>
      <c r="BM77" s="439">
        <v>94.05</v>
      </c>
      <c r="BT77" s="113">
        <v>72</v>
      </c>
      <c r="BU77" s="439">
        <v>92.63</v>
      </c>
      <c r="BV77" s="439">
        <v>94.35</v>
      </c>
      <c r="BW77" s="439">
        <v>95.78</v>
      </c>
      <c r="CD77" s="113">
        <v>72</v>
      </c>
      <c r="CE77" s="439">
        <v>95.31</v>
      </c>
      <c r="CF77" s="439">
        <v>97.18</v>
      </c>
      <c r="CG77" s="439">
        <v>98.66</v>
      </c>
      <c r="CN77" s="113">
        <v>72</v>
      </c>
      <c r="CO77" s="439">
        <v>97.13</v>
      </c>
      <c r="CP77" s="439">
        <v>99.14</v>
      </c>
      <c r="CQ77" s="439">
        <v>100.66</v>
      </c>
    </row>
    <row r="78" spans="2:95" x14ac:dyDescent="0.2">
      <c r="B78" s="113">
        <v>73</v>
      </c>
      <c r="C78" s="439">
        <v>62.74</v>
      </c>
      <c r="D78" s="439">
        <v>63.26</v>
      </c>
      <c r="E78" s="439">
        <v>64.010000000000005</v>
      </c>
      <c r="L78" s="113">
        <v>73</v>
      </c>
      <c r="M78" s="439">
        <v>69.69</v>
      </c>
      <c r="N78" s="439">
        <v>70.39</v>
      </c>
      <c r="O78" s="439">
        <v>71.28</v>
      </c>
      <c r="V78" s="113">
        <v>73</v>
      </c>
      <c r="W78" s="439">
        <v>76.8</v>
      </c>
      <c r="X78" s="439">
        <v>77.709999999999994</v>
      </c>
      <c r="Y78" s="439">
        <v>78.72</v>
      </c>
      <c r="AF78" s="113">
        <v>73</v>
      </c>
      <c r="AG78" s="439">
        <v>81.349999999999994</v>
      </c>
      <c r="AH78" s="439">
        <v>82.44</v>
      </c>
      <c r="AI78" s="439">
        <v>83.56</v>
      </c>
      <c r="AP78" s="113">
        <v>73</v>
      </c>
      <c r="AQ78" s="439">
        <v>87.66</v>
      </c>
      <c r="AR78" s="439">
        <v>88.96</v>
      </c>
      <c r="AS78" s="439">
        <v>90.2</v>
      </c>
      <c r="AZ78" s="113">
        <v>73</v>
      </c>
      <c r="BA78" s="439">
        <v>86.49</v>
      </c>
      <c r="BB78" s="439">
        <v>87.91</v>
      </c>
      <c r="BC78" s="439">
        <v>89.21</v>
      </c>
      <c r="BJ78" s="113">
        <v>73</v>
      </c>
      <c r="BK78" s="439">
        <v>90.74</v>
      </c>
      <c r="BL78" s="439">
        <v>92.35</v>
      </c>
      <c r="BM78" s="439">
        <v>93.73</v>
      </c>
      <c r="BT78" s="113">
        <v>73</v>
      </c>
      <c r="BU78" s="439">
        <v>91.91</v>
      </c>
      <c r="BV78" s="439">
        <v>93.65</v>
      </c>
      <c r="BW78" s="439">
        <v>95.08</v>
      </c>
      <c r="CD78" s="113">
        <v>73</v>
      </c>
      <c r="CE78" s="439">
        <v>94.19</v>
      </c>
      <c r="CF78" s="439">
        <v>96.08</v>
      </c>
      <c r="CG78" s="439">
        <v>97.56</v>
      </c>
      <c r="CN78" s="113">
        <v>73</v>
      </c>
      <c r="CO78" s="439">
        <v>95.63</v>
      </c>
      <c r="CP78" s="439">
        <v>97.64</v>
      </c>
      <c r="CQ78" s="439">
        <v>99.14</v>
      </c>
    </row>
    <row r="79" spans="2:95" x14ac:dyDescent="0.2">
      <c r="B79" s="113">
        <v>74</v>
      </c>
      <c r="C79" s="439">
        <v>62.81</v>
      </c>
      <c r="D79" s="439">
        <v>63.35</v>
      </c>
      <c r="E79" s="439">
        <v>64.12</v>
      </c>
      <c r="L79" s="113">
        <v>74</v>
      </c>
      <c r="M79" s="439">
        <v>69.900000000000006</v>
      </c>
      <c r="N79" s="439">
        <v>70.63</v>
      </c>
      <c r="O79" s="439">
        <v>71.53</v>
      </c>
      <c r="V79" s="113">
        <v>74</v>
      </c>
      <c r="W79" s="439">
        <v>77.08</v>
      </c>
      <c r="X79" s="439">
        <v>78.02</v>
      </c>
      <c r="Y79" s="439">
        <v>79.05</v>
      </c>
      <c r="AF79" s="113">
        <v>74</v>
      </c>
      <c r="AG79" s="439">
        <v>81.58</v>
      </c>
      <c r="AH79" s="439">
        <v>82.7</v>
      </c>
      <c r="AI79" s="439">
        <v>83.84</v>
      </c>
      <c r="AP79" s="113">
        <v>74</v>
      </c>
      <c r="AQ79" s="439">
        <v>87.74</v>
      </c>
      <c r="AR79" s="439">
        <v>89.08</v>
      </c>
      <c r="AS79" s="439">
        <v>90.33</v>
      </c>
      <c r="AZ79" s="113">
        <v>74</v>
      </c>
      <c r="BA79" s="439">
        <v>86.32</v>
      </c>
      <c r="BB79" s="439">
        <v>87.78</v>
      </c>
      <c r="BC79" s="439">
        <v>89.08</v>
      </c>
      <c r="BJ79" s="113">
        <v>74</v>
      </c>
      <c r="BK79" s="439">
        <v>90.23</v>
      </c>
      <c r="BL79" s="439">
        <v>91.87</v>
      </c>
      <c r="BM79" s="439">
        <v>93.25</v>
      </c>
      <c r="BT79" s="113">
        <v>74</v>
      </c>
      <c r="BU79" s="439">
        <v>91.03</v>
      </c>
      <c r="BV79" s="439">
        <v>92.8</v>
      </c>
      <c r="BW79" s="439">
        <v>94.22</v>
      </c>
      <c r="CD79" s="113">
        <v>74</v>
      </c>
      <c r="CE79" s="439">
        <v>92.92</v>
      </c>
      <c r="CF79" s="439">
        <v>94.83</v>
      </c>
      <c r="CG79" s="439">
        <v>96.28</v>
      </c>
      <c r="CN79" s="113">
        <v>74</v>
      </c>
      <c r="CO79" s="439">
        <v>93.98</v>
      </c>
      <c r="CP79" s="439">
        <v>96</v>
      </c>
      <c r="CQ79" s="439">
        <v>97.48</v>
      </c>
    </row>
    <row r="80" spans="2:95" x14ac:dyDescent="0.2">
      <c r="B80" s="113">
        <v>75</v>
      </c>
      <c r="C80" s="439">
        <v>62.86</v>
      </c>
      <c r="D80" s="439">
        <v>63.42</v>
      </c>
      <c r="E80" s="439">
        <v>64.2</v>
      </c>
      <c r="L80" s="113">
        <v>75</v>
      </c>
      <c r="M80" s="439">
        <v>70.08</v>
      </c>
      <c r="N80" s="439">
        <v>70.83</v>
      </c>
      <c r="O80" s="439">
        <v>71.75</v>
      </c>
      <c r="V80" s="113">
        <v>75</v>
      </c>
      <c r="W80" s="439">
        <v>77.31</v>
      </c>
      <c r="X80" s="439">
        <v>78.28</v>
      </c>
      <c r="Y80" s="439">
        <v>79.33</v>
      </c>
      <c r="AF80" s="113">
        <v>75</v>
      </c>
      <c r="AG80" s="439">
        <v>81.739999999999995</v>
      </c>
      <c r="AH80" s="439">
        <v>82.9</v>
      </c>
      <c r="AI80" s="439">
        <v>84.06</v>
      </c>
      <c r="AP80" s="113">
        <v>75</v>
      </c>
      <c r="AQ80" s="439">
        <v>87.71</v>
      </c>
      <c r="AR80" s="439">
        <v>89.09</v>
      </c>
      <c r="AS80" s="439">
        <v>90.35</v>
      </c>
      <c r="AZ80" s="113">
        <v>75</v>
      </c>
      <c r="BA80" s="439">
        <v>86.02</v>
      </c>
      <c r="BB80" s="439">
        <v>87.51</v>
      </c>
      <c r="BC80" s="439">
        <v>88.82</v>
      </c>
      <c r="BJ80" s="113">
        <v>75</v>
      </c>
      <c r="BK80" s="439">
        <v>89.57</v>
      </c>
      <c r="BL80" s="439">
        <v>91.24</v>
      </c>
      <c r="BM80" s="439">
        <v>92.61</v>
      </c>
      <c r="BT80" s="113">
        <v>75</v>
      </c>
      <c r="BU80" s="439">
        <v>89.99</v>
      </c>
      <c r="BV80" s="439">
        <v>91.79</v>
      </c>
      <c r="BW80" s="439">
        <v>93.2</v>
      </c>
      <c r="CD80" s="113">
        <v>75</v>
      </c>
      <c r="CE80" s="439">
        <v>91.49</v>
      </c>
      <c r="CF80" s="439">
        <v>93.42</v>
      </c>
      <c r="CG80" s="439">
        <v>94.86</v>
      </c>
      <c r="CN80" s="113">
        <v>75</v>
      </c>
      <c r="CO80" s="439">
        <v>92.2</v>
      </c>
      <c r="CP80" s="439">
        <v>94.23</v>
      </c>
      <c r="CQ80" s="439">
        <v>95.69</v>
      </c>
    </row>
    <row r="81" spans="2:95" x14ac:dyDescent="0.2">
      <c r="B81" s="113">
        <v>76</v>
      </c>
      <c r="C81" s="439">
        <v>62.88</v>
      </c>
      <c r="D81" s="439">
        <v>63.46</v>
      </c>
      <c r="E81" s="439">
        <v>64.25</v>
      </c>
      <c r="L81" s="113">
        <v>76</v>
      </c>
      <c r="M81" s="439">
        <v>70.22</v>
      </c>
      <c r="N81" s="439">
        <v>71.010000000000005</v>
      </c>
      <c r="O81" s="439">
        <v>71.94</v>
      </c>
      <c r="V81" s="113">
        <v>76</v>
      </c>
      <c r="W81" s="439">
        <v>77.489999999999995</v>
      </c>
      <c r="X81" s="439">
        <v>78.5</v>
      </c>
      <c r="Y81" s="439">
        <v>79.56</v>
      </c>
      <c r="AF81" s="113">
        <v>76</v>
      </c>
      <c r="AG81" s="439">
        <v>81.819999999999993</v>
      </c>
      <c r="AH81" s="439">
        <v>83.02</v>
      </c>
      <c r="AI81" s="439">
        <v>84.19</v>
      </c>
      <c r="AP81" s="113">
        <v>76</v>
      </c>
      <c r="AQ81" s="439">
        <v>87.57</v>
      </c>
      <c r="AR81" s="439">
        <v>88.99</v>
      </c>
      <c r="AS81" s="439">
        <v>90.26</v>
      </c>
      <c r="AZ81" s="113">
        <v>76</v>
      </c>
      <c r="BA81" s="439">
        <v>85.58</v>
      </c>
      <c r="BB81" s="439">
        <v>87.11</v>
      </c>
      <c r="BC81" s="439">
        <v>88.43</v>
      </c>
      <c r="BJ81" s="113">
        <v>76</v>
      </c>
      <c r="BK81" s="439">
        <v>88.75</v>
      </c>
      <c r="BL81" s="439">
        <v>90.45</v>
      </c>
      <c r="BM81" s="439">
        <v>91.83</v>
      </c>
      <c r="BT81" s="113">
        <v>76</v>
      </c>
      <c r="BU81" s="439">
        <v>88.81</v>
      </c>
      <c r="BV81" s="439">
        <v>90.63</v>
      </c>
      <c r="BW81" s="439">
        <v>92.03</v>
      </c>
      <c r="CD81" s="113">
        <v>76</v>
      </c>
      <c r="CE81" s="439">
        <v>89.93</v>
      </c>
      <c r="CF81" s="439">
        <v>91.87</v>
      </c>
      <c r="CG81" s="439">
        <v>93.29</v>
      </c>
      <c r="CN81" s="113">
        <v>76</v>
      </c>
      <c r="CO81" s="439">
        <v>90.31</v>
      </c>
      <c r="CP81" s="439">
        <v>92.34</v>
      </c>
      <c r="CQ81" s="439">
        <v>93.78</v>
      </c>
    </row>
    <row r="82" spans="2:95" x14ac:dyDescent="0.2">
      <c r="B82" s="113">
        <v>77</v>
      </c>
      <c r="C82" s="439">
        <v>62.87</v>
      </c>
      <c r="D82" s="439">
        <v>63.47</v>
      </c>
      <c r="E82" s="439">
        <v>64.28</v>
      </c>
      <c r="L82" s="113">
        <v>77</v>
      </c>
      <c r="M82" s="439">
        <v>70.33</v>
      </c>
      <c r="N82" s="439">
        <v>71.150000000000006</v>
      </c>
      <c r="O82" s="439">
        <v>72.09</v>
      </c>
      <c r="V82" s="113">
        <v>77</v>
      </c>
      <c r="W82" s="439">
        <v>77.61</v>
      </c>
      <c r="X82" s="439">
        <v>78.66</v>
      </c>
      <c r="Y82" s="439">
        <v>79.739999999999995</v>
      </c>
      <c r="AF82" s="113">
        <v>77</v>
      </c>
      <c r="AG82" s="439">
        <v>81.819999999999993</v>
      </c>
      <c r="AH82" s="439">
        <v>83.06</v>
      </c>
      <c r="AI82" s="439">
        <v>84.25</v>
      </c>
      <c r="AP82" s="113">
        <v>77</v>
      </c>
      <c r="AQ82" s="439">
        <v>87.32</v>
      </c>
      <c r="AR82" s="439">
        <v>88.78</v>
      </c>
      <c r="AS82" s="439">
        <v>90.06</v>
      </c>
      <c r="AZ82" s="113">
        <v>77</v>
      </c>
      <c r="BA82" s="439">
        <v>85.01</v>
      </c>
      <c r="BB82" s="439">
        <v>86.58</v>
      </c>
      <c r="BC82" s="439">
        <v>87.9</v>
      </c>
      <c r="BJ82" s="113">
        <v>77</v>
      </c>
      <c r="BK82" s="439">
        <v>87.79</v>
      </c>
      <c r="BL82" s="439">
        <v>89.52</v>
      </c>
      <c r="BM82" s="439">
        <v>90.89</v>
      </c>
      <c r="BT82" s="113">
        <v>77</v>
      </c>
      <c r="BU82" s="439">
        <v>87.48</v>
      </c>
      <c r="BV82" s="439">
        <v>89.32</v>
      </c>
      <c r="BW82" s="439">
        <v>90.71</v>
      </c>
      <c r="CD82" s="113">
        <v>77</v>
      </c>
      <c r="CE82" s="439">
        <v>88.24</v>
      </c>
      <c r="CF82" s="439">
        <v>90.19</v>
      </c>
      <c r="CG82" s="439">
        <v>91.6</v>
      </c>
      <c r="CN82" s="113">
        <v>77</v>
      </c>
      <c r="CO82" s="439">
        <v>88.31</v>
      </c>
      <c r="CP82" s="439">
        <v>90.36</v>
      </c>
      <c r="CQ82" s="439">
        <v>91.77</v>
      </c>
    </row>
    <row r="83" spans="2:95" x14ac:dyDescent="0.2">
      <c r="B83" s="113">
        <v>78</v>
      </c>
      <c r="C83" s="439">
        <v>62.83</v>
      </c>
      <c r="D83" s="439">
        <v>63.46</v>
      </c>
      <c r="E83" s="439">
        <v>64.27</v>
      </c>
      <c r="L83" s="113">
        <v>78</v>
      </c>
      <c r="M83" s="439">
        <v>70.400000000000006</v>
      </c>
      <c r="N83" s="439">
        <v>71.25</v>
      </c>
      <c r="O83" s="439">
        <v>72.209999999999994</v>
      </c>
      <c r="V83" s="113">
        <v>78</v>
      </c>
      <c r="W83" s="439">
        <v>77.680000000000007</v>
      </c>
      <c r="X83" s="439">
        <v>78.760000000000005</v>
      </c>
      <c r="Y83" s="439">
        <v>79.86</v>
      </c>
      <c r="AF83" s="113">
        <v>78</v>
      </c>
      <c r="AG83" s="439">
        <v>81.73</v>
      </c>
      <c r="AH83" s="439">
        <v>83.02</v>
      </c>
      <c r="AI83" s="439">
        <v>84.21</v>
      </c>
      <c r="AP83" s="113">
        <v>78</v>
      </c>
      <c r="AQ83" s="439">
        <v>86.94</v>
      </c>
      <c r="AR83" s="439">
        <v>88.44</v>
      </c>
      <c r="AS83" s="439">
        <v>89.73</v>
      </c>
      <c r="AZ83" s="113">
        <v>78</v>
      </c>
      <c r="BA83" s="439">
        <v>84.3</v>
      </c>
      <c r="BB83" s="439">
        <v>85.91</v>
      </c>
      <c r="BC83" s="439">
        <v>87.23</v>
      </c>
      <c r="BJ83" s="113">
        <v>78</v>
      </c>
      <c r="BK83" s="439">
        <v>86.68</v>
      </c>
      <c r="BL83" s="439">
        <v>88.44</v>
      </c>
      <c r="BM83" s="439">
        <v>89.81</v>
      </c>
      <c r="BT83" s="113">
        <v>78</v>
      </c>
      <c r="BU83" s="439">
        <v>86.01</v>
      </c>
      <c r="BV83" s="439">
        <v>87.87</v>
      </c>
      <c r="BW83" s="439">
        <v>89.25</v>
      </c>
      <c r="CD83" s="113">
        <v>78</v>
      </c>
      <c r="CE83" s="439">
        <v>86.43</v>
      </c>
      <c r="CF83" s="439">
        <v>88.4</v>
      </c>
      <c r="CG83" s="439">
        <v>89.79</v>
      </c>
      <c r="CN83" s="113">
        <v>78</v>
      </c>
      <c r="CO83" s="439">
        <v>86.24</v>
      </c>
      <c r="CP83" s="439">
        <v>88.28</v>
      </c>
      <c r="CQ83" s="439">
        <v>89.67</v>
      </c>
    </row>
    <row r="84" spans="2:95" x14ac:dyDescent="0.2">
      <c r="B84" s="113">
        <v>79</v>
      </c>
      <c r="C84" s="439">
        <v>62.76</v>
      </c>
      <c r="D84" s="439">
        <v>63.41</v>
      </c>
      <c r="E84" s="439">
        <v>64.239999999999995</v>
      </c>
      <c r="L84" s="113">
        <v>79</v>
      </c>
      <c r="M84" s="439">
        <v>70.430000000000007</v>
      </c>
      <c r="N84" s="439">
        <v>71.319999999999993</v>
      </c>
      <c r="O84" s="439">
        <v>72.290000000000006</v>
      </c>
      <c r="V84" s="113">
        <v>79</v>
      </c>
      <c r="W84" s="439">
        <v>77.680000000000007</v>
      </c>
      <c r="X84" s="439">
        <v>78.81</v>
      </c>
      <c r="Y84" s="439">
        <v>79.91</v>
      </c>
      <c r="AF84" s="113">
        <v>79</v>
      </c>
      <c r="AG84" s="439">
        <v>81.55</v>
      </c>
      <c r="AH84" s="439">
        <v>82.88</v>
      </c>
      <c r="AI84" s="439">
        <v>84.09</v>
      </c>
      <c r="AP84" s="113">
        <v>79</v>
      </c>
      <c r="AQ84" s="439">
        <v>86.45</v>
      </c>
      <c r="AR84" s="439">
        <v>87.98</v>
      </c>
      <c r="AS84" s="439">
        <v>89.28</v>
      </c>
      <c r="AZ84" s="113">
        <v>79</v>
      </c>
      <c r="BA84" s="439">
        <v>83.46</v>
      </c>
      <c r="BB84" s="439">
        <v>85.1</v>
      </c>
      <c r="BC84" s="439">
        <v>86.42</v>
      </c>
      <c r="BJ84" s="113">
        <v>79</v>
      </c>
      <c r="BK84" s="439">
        <v>85.44</v>
      </c>
      <c r="BL84" s="439">
        <v>87.22</v>
      </c>
      <c r="BM84" s="439">
        <v>88.58</v>
      </c>
      <c r="BT84" s="113">
        <v>79</v>
      </c>
      <c r="BU84" s="439">
        <v>84.42</v>
      </c>
      <c r="BV84" s="439">
        <v>86.3</v>
      </c>
      <c r="BW84" s="439">
        <v>87.67</v>
      </c>
      <c r="CD84" s="113">
        <v>79</v>
      </c>
      <c r="CE84" s="439">
        <v>84.53</v>
      </c>
      <c r="CF84" s="439">
        <v>86.5</v>
      </c>
      <c r="CG84" s="439">
        <v>87.88</v>
      </c>
      <c r="CN84" s="113">
        <v>79</v>
      </c>
      <c r="CO84" s="439">
        <v>84.09</v>
      </c>
      <c r="CP84" s="439">
        <v>86.14</v>
      </c>
      <c r="CQ84" s="439">
        <v>87.51</v>
      </c>
    </row>
    <row r="85" spans="2:95" x14ac:dyDescent="0.2">
      <c r="B85" s="113">
        <v>80</v>
      </c>
      <c r="C85" s="439">
        <v>62.63</v>
      </c>
      <c r="D85" s="439">
        <v>63.31</v>
      </c>
      <c r="E85" s="439">
        <v>64.150000000000006</v>
      </c>
      <c r="L85" s="113">
        <v>80</v>
      </c>
      <c r="M85" s="439">
        <v>70.42</v>
      </c>
      <c r="N85" s="439">
        <v>71.34</v>
      </c>
      <c r="O85" s="439">
        <v>72.33</v>
      </c>
      <c r="V85" s="113">
        <v>80</v>
      </c>
      <c r="W85" s="439">
        <v>77.62</v>
      </c>
      <c r="X85" s="439">
        <v>78.78</v>
      </c>
      <c r="Y85" s="439">
        <v>79.91</v>
      </c>
      <c r="AF85" s="113">
        <v>80</v>
      </c>
      <c r="AG85" s="439">
        <v>81.27</v>
      </c>
      <c r="AH85" s="439">
        <v>82.64</v>
      </c>
      <c r="AI85" s="439">
        <v>83.86</v>
      </c>
      <c r="AP85" s="113">
        <v>80</v>
      </c>
      <c r="AQ85" s="439">
        <v>85.82</v>
      </c>
      <c r="AR85" s="439">
        <v>87.4</v>
      </c>
      <c r="AS85" s="439">
        <v>88.71</v>
      </c>
      <c r="AZ85" s="113">
        <v>80</v>
      </c>
      <c r="BA85" s="439">
        <v>82.48</v>
      </c>
      <c r="BB85" s="439">
        <v>84.15</v>
      </c>
      <c r="BC85" s="439">
        <v>85.48</v>
      </c>
      <c r="BJ85" s="113">
        <v>80</v>
      </c>
      <c r="BK85" s="439">
        <v>84.06</v>
      </c>
      <c r="BL85" s="439">
        <v>85.87</v>
      </c>
      <c r="BM85" s="439">
        <v>87.22</v>
      </c>
      <c r="BT85" s="113">
        <v>80</v>
      </c>
      <c r="BU85" s="439">
        <v>82.71</v>
      </c>
      <c r="BV85" s="439">
        <v>84.61</v>
      </c>
      <c r="BW85" s="439">
        <v>85.97</v>
      </c>
      <c r="CD85" s="113">
        <v>80</v>
      </c>
      <c r="CE85" s="439">
        <v>82.54</v>
      </c>
      <c r="CF85" s="439">
        <v>84.52</v>
      </c>
      <c r="CG85" s="439">
        <v>85.88</v>
      </c>
      <c r="CN85" s="113">
        <v>80</v>
      </c>
      <c r="CO85" s="439">
        <v>81.89</v>
      </c>
      <c r="CP85" s="439">
        <v>83.95</v>
      </c>
      <c r="CQ85" s="439">
        <v>85.29</v>
      </c>
    </row>
    <row r="86" spans="2:95" x14ac:dyDescent="0.2">
      <c r="B86" s="113">
        <v>81</v>
      </c>
      <c r="C86" s="439">
        <v>62.4</v>
      </c>
      <c r="D86" s="439">
        <v>63.1</v>
      </c>
      <c r="E86" s="439">
        <v>63.97</v>
      </c>
      <c r="L86" s="113">
        <v>81</v>
      </c>
      <c r="M86" s="439">
        <v>70.290000000000006</v>
      </c>
      <c r="N86" s="439">
        <v>71.239999999999995</v>
      </c>
      <c r="O86" s="439">
        <v>72.260000000000005</v>
      </c>
      <c r="V86" s="113">
        <v>81</v>
      </c>
      <c r="W86" s="439">
        <v>77.44</v>
      </c>
      <c r="X86" s="439">
        <v>78.66</v>
      </c>
      <c r="Y86" s="439">
        <v>79.8</v>
      </c>
      <c r="AF86" s="113">
        <v>81</v>
      </c>
      <c r="AG86" s="439">
        <v>80.88</v>
      </c>
      <c r="AH86" s="439">
        <v>82.3</v>
      </c>
      <c r="AI86" s="439">
        <v>83.53</v>
      </c>
      <c r="AP86" s="113">
        <v>81</v>
      </c>
      <c r="AQ86" s="439">
        <v>85.07</v>
      </c>
      <c r="AR86" s="439">
        <v>86.69</v>
      </c>
      <c r="AS86" s="439">
        <v>88</v>
      </c>
      <c r="AZ86" s="113">
        <v>81</v>
      </c>
      <c r="BA86" s="439">
        <v>81.36</v>
      </c>
      <c r="BB86" s="439">
        <v>83.07</v>
      </c>
      <c r="BC86" s="439">
        <v>84.4</v>
      </c>
      <c r="BJ86" s="113">
        <v>81</v>
      </c>
      <c r="BK86" s="439">
        <v>82.55</v>
      </c>
      <c r="BL86" s="439">
        <v>84.38</v>
      </c>
      <c r="BM86" s="439">
        <v>85.74</v>
      </c>
      <c r="BT86" s="113">
        <v>81</v>
      </c>
      <c r="BU86" s="439">
        <v>80.91</v>
      </c>
      <c r="BV86" s="439">
        <v>82.82</v>
      </c>
      <c r="BW86" s="439">
        <v>84.17</v>
      </c>
      <c r="CD86" s="113">
        <v>81</v>
      </c>
      <c r="CE86" s="439">
        <v>80.47</v>
      </c>
      <c r="CF86" s="439">
        <v>82.47</v>
      </c>
      <c r="CG86" s="439">
        <v>83.81</v>
      </c>
      <c r="CN86" s="113">
        <v>81</v>
      </c>
      <c r="CO86" s="439">
        <v>79.650000000000006</v>
      </c>
      <c r="CP86" s="439">
        <v>81.709999999999994</v>
      </c>
      <c r="CQ86" s="439">
        <v>83.03</v>
      </c>
    </row>
    <row r="87" spans="2:95" x14ac:dyDescent="0.2">
      <c r="B87" s="113">
        <v>82</v>
      </c>
      <c r="C87" s="439">
        <v>62.15</v>
      </c>
      <c r="D87" s="439">
        <v>62.88</v>
      </c>
      <c r="E87" s="439">
        <v>63.760000000000005</v>
      </c>
      <c r="L87" s="113">
        <v>82</v>
      </c>
      <c r="M87" s="439">
        <v>70.08</v>
      </c>
      <c r="N87" s="439">
        <v>71.08</v>
      </c>
      <c r="O87" s="439">
        <v>72.11</v>
      </c>
      <c r="V87" s="113">
        <v>82</v>
      </c>
      <c r="W87" s="439">
        <v>77.12</v>
      </c>
      <c r="X87" s="439">
        <v>78.38</v>
      </c>
      <c r="Y87" s="439">
        <v>79.540000000000006</v>
      </c>
      <c r="AF87" s="113">
        <v>82</v>
      </c>
      <c r="AG87" s="439">
        <v>80.28</v>
      </c>
      <c r="AH87" s="439">
        <v>81.75</v>
      </c>
      <c r="AI87" s="439">
        <v>82.99</v>
      </c>
      <c r="AP87" s="113">
        <v>82</v>
      </c>
      <c r="AQ87" s="439">
        <v>84.1</v>
      </c>
      <c r="AR87" s="439">
        <v>85.75</v>
      </c>
      <c r="AS87" s="439">
        <v>87.07</v>
      </c>
      <c r="AZ87" s="113">
        <v>82</v>
      </c>
      <c r="BA87" s="439">
        <v>80.05</v>
      </c>
      <c r="BB87" s="439">
        <v>81.790000000000006</v>
      </c>
      <c r="BC87" s="439">
        <v>83.11</v>
      </c>
      <c r="BJ87" s="113">
        <v>82</v>
      </c>
      <c r="BK87" s="439">
        <v>80.86</v>
      </c>
      <c r="BL87" s="439">
        <v>82.72</v>
      </c>
      <c r="BM87" s="439">
        <v>84.06</v>
      </c>
      <c r="BT87" s="113">
        <v>82</v>
      </c>
      <c r="BU87" s="439">
        <v>78.94</v>
      </c>
      <c r="BV87" s="439">
        <v>80.88</v>
      </c>
      <c r="BW87" s="439">
        <v>82.21</v>
      </c>
      <c r="CD87" s="113">
        <v>82</v>
      </c>
      <c r="CE87" s="439">
        <v>78.28</v>
      </c>
      <c r="CF87" s="439">
        <v>80.290000000000006</v>
      </c>
      <c r="CG87" s="439">
        <v>81.61</v>
      </c>
      <c r="CN87" s="113">
        <v>82</v>
      </c>
      <c r="CO87" s="439">
        <v>77.31</v>
      </c>
      <c r="CP87" s="439">
        <v>79.37</v>
      </c>
      <c r="CQ87" s="439">
        <v>80.67</v>
      </c>
    </row>
    <row r="88" spans="2:95" x14ac:dyDescent="0.2">
      <c r="B88" s="113">
        <v>83</v>
      </c>
      <c r="C88" s="439">
        <v>61.86</v>
      </c>
      <c r="D88" s="439">
        <v>62.63</v>
      </c>
      <c r="E88" s="439">
        <v>63.519999999999996</v>
      </c>
      <c r="L88" s="113">
        <v>83</v>
      </c>
      <c r="M88" s="439">
        <v>69.84</v>
      </c>
      <c r="N88" s="439">
        <v>70.87</v>
      </c>
      <c r="O88" s="439">
        <v>71.92</v>
      </c>
      <c r="V88" s="113">
        <v>83</v>
      </c>
      <c r="W88" s="439">
        <v>76.73</v>
      </c>
      <c r="X88" s="439">
        <v>78.03</v>
      </c>
      <c r="Y88" s="439">
        <v>79.209999999999994</v>
      </c>
      <c r="AF88" s="113">
        <v>83</v>
      </c>
      <c r="AG88" s="439">
        <v>79.58</v>
      </c>
      <c r="AH88" s="439">
        <v>81.08</v>
      </c>
      <c r="AI88" s="439">
        <v>82.34</v>
      </c>
      <c r="AP88" s="113">
        <v>83</v>
      </c>
      <c r="AQ88" s="439">
        <v>82.97</v>
      </c>
      <c r="AR88" s="439">
        <v>84.67</v>
      </c>
      <c r="AS88" s="439">
        <v>85.99</v>
      </c>
      <c r="AZ88" s="113">
        <v>83</v>
      </c>
      <c r="BA88" s="439">
        <v>78.56</v>
      </c>
      <c r="BB88" s="439">
        <v>80.33</v>
      </c>
      <c r="BC88" s="439">
        <v>81.650000000000006</v>
      </c>
      <c r="BJ88" s="113">
        <v>83</v>
      </c>
      <c r="BK88" s="439">
        <v>79.010000000000005</v>
      </c>
      <c r="BL88" s="439">
        <v>80.89</v>
      </c>
      <c r="BM88" s="439">
        <v>82.22</v>
      </c>
      <c r="BT88" s="113">
        <v>83</v>
      </c>
      <c r="BU88" s="439">
        <v>76.84</v>
      </c>
      <c r="BV88" s="439">
        <v>78.790000000000006</v>
      </c>
      <c r="BW88" s="439">
        <v>80.11</v>
      </c>
      <c r="CD88" s="113">
        <v>83</v>
      </c>
      <c r="CE88" s="439">
        <v>75.989999999999995</v>
      </c>
      <c r="CF88" s="439">
        <v>78.010000000000005</v>
      </c>
      <c r="CG88" s="439">
        <v>79.31</v>
      </c>
      <c r="CN88" s="113">
        <v>83</v>
      </c>
      <c r="CO88" s="439">
        <v>74.900000000000006</v>
      </c>
      <c r="CP88" s="439">
        <v>76.97</v>
      </c>
      <c r="CQ88" s="439">
        <v>78.25</v>
      </c>
    </row>
    <row r="89" spans="2:95" x14ac:dyDescent="0.2">
      <c r="B89" s="113">
        <v>84</v>
      </c>
      <c r="C89" s="439">
        <v>61.55</v>
      </c>
      <c r="D89" s="439">
        <v>62.35</v>
      </c>
      <c r="E89" s="439">
        <v>63.26</v>
      </c>
      <c r="L89" s="113">
        <v>84</v>
      </c>
      <c r="M89" s="439">
        <v>69.55</v>
      </c>
      <c r="N89" s="439">
        <v>70.62</v>
      </c>
      <c r="O89" s="439">
        <v>71.69</v>
      </c>
      <c r="V89" s="113">
        <v>84</v>
      </c>
      <c r="W89" s="439">
        <v>76.27</v>
      </c>
      <c r="X89" s="439">
        <v>77.61</v>
      </c>
      <c r="Y89" s="439">
        <v>78.81</v>
      </c>
      <c r="AF89" s="113">
        <v>84</v>
      </c>
      <c r="AG89" s="439">
        <v>78.77</v>
      </c>
      <c r="AH89" s="439">
        <v>80.319999999999993</v>
      </c>
      <c r="AI89" s="439">
        <v>81.59</v>
      </c>
      <c r="AP89" s="113">
        <v>84</v>
      </c>
      <c r="AQ89" s="439">
        <v>81.73</v>
      </c>
      <c r="AR89" s="439">
        <v>83.46</v>
      </c>
      <c r="AS89" s="439">
        <v>84.79</v>
      </c>
      <c r="AZ89" s="113">
        <v>84</v>
      </c>
      <c r="BA89" s="439">
        <v>76.97</v>
      </c>
      <c r="BB89" s="439">
        <v>78.77</v>
      </c>
      <c r="BC89" s="439">
        <v>80.09</v>
      </c>
      <c r="BJ89" s="113">
        <v>84</v>
      </c>
      <c r="BK89" s="439">
        <v>77.069999999999993</v>
      </c>
      <c r="BL89" s="439">
        <v>78.98</v>
      </c>
      <c r="BM89" s="439">
        <v>80.3</v>
      </c>
      <c r="BT89" s="113">
        <v>84</v>
      </c>
      <c r="BU89" s="439">
        <v>74.69</v>
      </c>
      <c r="BV89" s="439">
        <v>76.66</v>
      </c>
      <c r="BW89" s="439">
        <v>77.959999999999994</v>
      </c>
      <c r="CD89" s="113">
        <v>84</v>
      </c>
      <c r="CE89" s="439">
        <v>73.680000000000007</v>
      </c>
      <c r="CF89" s="439">
        <v>75.7</v>
      </c>
      <c r="CG89" s="439">
        <v>76.989999999999995</v>
      </c>
      <c r="CN89" s="113">
        <v>84</v>
      </c>
      <c r="CO89" s="439">
        <v>72.5</v>
      </c>
      <c r="CP89" s="439">
        <v>74.569999999999993</v>
      </c>
      <c r="CQ89" s="439">
        <v>75.84</v>
      </c>
    </row>
    <row r="90" spans="2:95" x14ac:dyDescent="0.2">
      <c r="B90" s="113">
        <v>85</v>
      </c>
      <c r="C90" s="439">
        <v>61.21</v>
      </c>
      <c r="D90" s="439">
        <v>62.04</v>
      </c>
      <c r="E90" s="439">
        <v>62.96</v>
      </c>
      <c r="L90" s="113">
        <v>85</v>
      </c>
      <c r="M90" s="439">
        <v>69.2</v>
      </c>
      <c r="N90" s="439">
        <v>70.319999999999993</v>
      </c>
      <c r="O90" s="439">
        <v>71.41</v>
      </c>
      <c r="V90" s="113">
        <v>85</v>
      </c>
      <c r="W90" s="439">
        <v>75.72</v>
      </c>
      <c r="X90" s="439">
        <v>77.11</v>
      </c>
      <c r="Y90" s="439">
        <v>78.319999999999993</v>
      </c>
      <c r="AF90" s="113">
        <v>85</v>
      </c>
      <c r="AG90" s="439">
        <v>77.849999999999994</v>
      </c>
      <c r="AH90" s="439">
        <v>79.44</v>
      </c>
      <c r="AI90" s="439">
        <v>80.73</v>
      </c>
      <c r="AP90" s="113">
        <v>85</v>
      </c>
      <c r="AQ90" s="439">
        <v>80.38</v>
      </c>
      <c r="AR90" s="439">
        <v>82.14</v>
      </c>
      <c r="AS90" s="439">
        <v>83.48</v>
      </c>
      <c r="AZ90" s="113">
        <v>85</v>
      </c>
      <c r="BA90" s="439">
        <v>75.27</v>
      </c>
      <c r="BB90" s="439">
        <v>77.099999999999994</v>
      </c>
      <c r="BC90" s="439">
        <v>78.42</v>
      </c>
      <c r="BJ90" s="113">
        <v>85</v>
      </c>
      <c r="BK90" s="439">
        <v>75.06</v>
      </c>
      <c r="BL90" s="439">
        <v>76.989999999999995</v>
      </c>
      <c r="BM90" s="439">
        <v>78.31</v>
      </c>
      <c r="BT90" s="113">
        <v>85</v>
      </c>
      <c r="BU90" s="439">
        <v>72.5</v>
      </c>
      <c r="BV90" s="439">
        <v>74.48</v>
      </c>
      <c r="BW90" s="439">
        <v>75.77</v>
      </c>
      <c r="CD90" s="113">
        <v>85</v>
      </c>
      <c r="CE90" s="439">
        <v>71.349999999999994</v>
      </c>
      <c r="CF90" s="439">
        <v>73.39</v>
      </c>
      <c r="CG90" s="439">
        <v>74.66</v>
      </c>
      <c r="CN90" s="113">
        <v>85</v>
      </c>
      <c r="CO90" s="439">
        <v>70.12</v>
      </c>
      <c r="CP90" s="439">
        <v>72.19</v>
      </c>
      <c r="CQ90" s="439">
        <v>73.44</v>
      </c>
    </row>
    <row r="91" spans="2:95" x14ac:dyDescent="0.2">
      <c r="B91" s="113">
        <v>86</v>
      </c>
      <c r="C91" s="439">
        <v>60.83</v>
      </c>
      <c r="D91" s="439">
        <v>61.69</v>
      </c>
      <c r="E91" s="439">
        <v>62.63</v>
      </c>
      <c r="L91" s="113">
        <v>86</v>
      </c>
      <c r="M91" s="439">
        <v>68.8</v>
      </c>
      <c r="N91" s="439">
        <v>69.97</v>
      </c>
      <c r="O91" s="439">
        <v>71.069999999999993</v>
      </c>
      <c r="V91" s="113">
        <v>86</v>
      </c>
      <c r="W91" s="439">
        <v>75.08</v>
      </c>
      <c r="X91" s="439">
        <v>76.52</v>
      </c>
      <c r="Y91" s="439">
        <v>77.75</v>
      </c>
      <c r="AF91" s="113">
        <v>86</v>
      </c>
      <c r="AG91" s="439">
        <v>76.83</v>
      </c>
      <c r="AH91" s="439">
        <v>78.459999999999994</v>
      </c>
      <c r="AI91" s="439">
        <v>79.760000000000005</v>
      </c>
      <c r="AP91" s="113">
        <v>86</v>
      </c>
      <c r="AQ91" s="439">
        <v>78.91</v>
      </c>
      <c r="AR91" s="439">
        <v>80.709999999999994</v>
      </c>
      <c r="AS91" s="439">
        <v>82.05</v>
      </c>
      <c r="AZ91" s="113">
        <v>86</v>
      </c>
      <c r="BA91" s="439">
        <v>73.489999999999995</v>
      </c>
      <c r="BB91" s="439">
        <v>75.349999999999994</v>
      </c>
      <c r="BC91" s="439">
        <v>76.67</v>
      </c>
      <c r="BJ91" s="113">
        <v>86</v>
      </c>
      <c r="BK91" s="439">
        <v>72.989999999999995</v>
      </c>
      <c r="BL91" s="439">
        <v>74.94</v>
      </c>
      <c r="BM91" s="439">
        <v>76.25</v>
      </c>
      <c r="BT91" s="113">
        <v>86</v>
      </c>
      <c r="BU91" s="439">
        <v>70.27</v>
      </c>
      <c r="BV91" s="439">
        <v>72.27</v>
      </c>
      <c r="BW91" s="439">
        <v>73.55</v>
      </c>
      <c r="CD91" s="113">
        <v>86</v>
      </c>
      <c r="CE91" s="439">
        <v>69.03</v>
      </c>
      <c r="CF91" s="439">
        <v>71.069999999999993</v>
      </c>
      <c r="CG91" s="439">
        <v>72.33</v>
      </c>
      <c r="CN91" s="113">
        <v>86</v>
      </c>
      <c r="CO91" s="439">
        <v>67.75</v>
      </c>
      <c r="CP91" s="439">
        <v>69.83</v>
      </c>
      <c r="CQ91" s="439">
        <v>71.069999999999993</v>
      </c>
    </row>
    <row r="92" spans="2:95" x14ac:dyDescent="0.2">
      <c r="B92" s="113">
        <v>87</v>
      </c>
      <c r="C92" s="439">
        <v>60.41</v>
      </c>
      <c r="D92" s="439">
        <v>61.31</v>
      </c>
      <c r="E92" s="439">
        <v>62.27</v>
      </c>
      <c r="L92" s="113">
        <v>87</v>
      </c>
      <c r="M92" s="439">
        <v>68.34</v>
      </c>
      <c r="N92" s="439">
        <v>69.55</v>
      </c>
      <c r="O92" s="439">
        <v>70.680000000000007</v>
      </c>
      <c r="V92" s="113">
        <v>87</v>
      </c>
      <c r="W92" s="439">
        <v>74.36</v>
      </c>
      <c r="X92" s="439">
        <v>75.84</v>
      </c>
      <c r="Y92" s="439">
        <v>77.09</v>
      </c>
      <c r="AF92" s="113">
        <v>87</v>
      </c>
      <c r="AG92" s="439">
        <v>75.69</v>
      </c>
      <c r="AH92" s="439">
        <v>77.37</v>
      </c>
      <c r="AI92" s="439">
        <v>78.67</v>
      </c>
      <c r="AP92" s="113">
        <v>87</v>
      </c>
      <c r="AQ92" s="439">
        <v>77.33</v>
      </c>
      <c r="AR92" s="439">
        <v>79.16</v>
      </c>
      <c r="AS92" s="439">
        <v>80.5</v>
      </c>
      <c r="AZ92" s="113">
        <v>87</v>
      </c>
      <c r="BA92" s="439">
        <v>71.61</v>
      </c>
      <c r="BB92" s="439">
        <v>73.5</v>
      </c>
      <c r="BC92" s="439">
        <v>74.819999999999993</v>
      </c>
      <c r="BJ92" s="113">
        <v>87</v>
      </c>
      <c r="BK92" s="439">
        <v>70.86</v>
      </c>
      <c r="BL92" s="439">
        <v>72.83</v>
      </c>
      <c r="BM92" s="439">
        <v>74.13</v>
      </c>
      <c r="BT92" s="113">
        <v>87</v>
      </c>
      <c r="BU92" s="439">
        <v>68.02</v>
      </c>
      <c r="BV92" s="439">
        <v>70.040000000000006</v>
      </c>
      <c r="BW92" s="439">
        <v>71.3</v>
      </c>
      <c r="CD92" s="113">
        <v>87</v>
      </c>
      <c r="CE92" s="439">
        <v>66.7</v>
      </c>
      <c r="CF92" s="439">
        <v>68.760000000000005</v>
      </c>
      <c r="CG92" s="439">
        <v>70</v>
      </c>
      <c r="CN92" s="113">
        <v>87</v>
      </c>
      <c r="CO92" s="439">
        <v>65.41</v>
      </c>
      <c r="CP92" s="439">
        <v>67.5</v>
      </c>
      <c r="CQ92" s="439">
        <v>68.72</v>
      </c>
    </row>
    <row r="93" spans="2:95" x14ac:dyDescent="0.2">
      <c r="B93" s="113">
        <v>88</v>
      </c>
      <c r="C93" s="439">
        <v>59.96</v>
      </c>
      <c r="D93" s="439">
        <v>60.89</v>
      </c>
      <c r="E93" s="439">
        <v>61.87</v>
      </c>
      <c r="L93" s="113">
        <v>88</v>
      </c>
      <c r="M93" s="439">
        <v>67.819999999999993</v>
      </c>
      <c r="N93" s="439">
        <v>69.069999999999993</v>
      </c>
      <c r="O93" s="439">
        <v>70.22</v>
      </c>
      <c r="V93" s="113">
        <v>88</v>
      </c>
      <c r="W93" s="439">
        <v>73.53</v>
      </c>
      <c r="X93" s="439">
        <v>75.069999999999993</v>
      </c>
      <c r="Y93" s="439">
        <v>76.33</v>
      </c>
      <c r="AF93" s="113">
        <v>88</v>
      </c>
      <c r="AG93" s="439">
        <v>74.44</v>
      </c>
      <c r="AH93" s="439">
        <v>76.16</v>
      </c>
      <c r="AI93" s="439">
        <v>77.48</v>
      </c>
      <c r="AP93" s="113">
        <v>88</v>
      </c>
      <c r="AQ93" s="439">
        <v>75.64</v>
      </c>
      <c r="AR93" s="439">
        <v>77.510000000000005</v>
      </c>
      <c r="AS93" s="439">
        <v>78.849999999999994</v>
      </c>
      <c r="AZ93" s="113">
        <v>88</v>
      </c>
      <c r="BA93" s="439">
        <v>69.66</v>
      </c>
      <c r="BB93" s="439">
        <v>71.58</v>
      </c>
      <c r="BC93" s="439">
        <v>72.89</v>
      </c>
      <c r="BJ93" s="113">
        <v>88</v>
      </c>
      <c r="BK93" s="439">
        <v>68.680000000000007</v>
      </c>
      <c r="BL93" s="439">
        <v>70.67</v>
      </c>
      <c r="BM93" s="439">
        <v>71.959999999999994</v>
      </c>
      <c r="BT93" s="113">
        <v>88</v>
      </c>
      <c r="BU93" s="439">
        <v>65.75</v>
      </c>
      <c r="BV93" s="439">
        <v>67.78</v>
      </c>
      <c r="BW93" s="439">
        <v>69.040000000000006</v>
      </c>
      <c r="CD93" s="113">
        <v>88</v>
      </c>
      <c r="CE93" s="439">
        <v>64.38</v>
      </c>
      <c r="CF93" s="439">
        <v>66.45</v>
      </c>
      <c r="CG93" s="439">
        <v>67.680000000000007</v>
      </c>
      <c r="CN93" s="113">
        <v>88</v>
      </c>
      <c r="CO93" s="439">
        <v>63.1</v>
      </c>
      <c r="CP93" s="439">
        <v>65.19</v>
      </c>
      <c r="CQ93" s="439">
        <v>66.400000000000006</v>
      </c>
    </row>
    <row r="94" spans="2:95" x14ac:dyDescent="0.2">
      <c r="B94" s="113">
        <v>89</v>
      </c>
      <c r="C94" s="439">
        <v>59.45</v>
      </c>
      <c r="D94" s="439">
        <v>60.42</v>
      </c>
      <c r="E94" s="439">
        <v>61.43</v>
      </c>
      <c r="L94" s="113">
        <v>89</v>
      </c>
      <c r="M94" s="439">
        <v>67.22</v>
      </c>
      <c r="N94" s="439">
        <v>68.52</v>
      </c>
      <c r="O94" s="439">
        <v>69.69</v>
      </c>
      <c r="V94" s="113">
        <v>89</v>
      </c>
      <c r="W94" s="439">
        <v>72.599999999999994</v>
      </c>
      <c r="X94" s="439">
        <v>74.19</v>
      </c>
      <c r="Y94" s="439">
        <v>75.47</v>
      </c>
      <c r="AF94" s="113">
        <v>89</v>
      </c>
      <c r="AG94" s="439">
        <v>73.069999999999993</v>
      </c>
      <c r="AH94" s="439">
        <v>74.84</v>
      </c>
      <c r="AI94" s="439">
        <v>76.17</v>
      </c>
      <c r="AP94" s="113">
        <v>89</v>
      </c>
      <c r="AQ94" s="439">
        <v>73.849999999999994</v>
      </c>
      <c r="AR94" s="439">
        <v>75.75</v>
      </c>
      <c r="AS94" s="439">
        <v>77.099999999999994</v>
      </c>
      <c r="AZ94" s="113">
        <v>89</v>
      </c>
      <c r="BA94" s="439">
        <v>67.63</v>
      </c>
      <c r="BB94" s="439">
        <v>69.58</v>
      </c>
      <c r="BC94" s="439">
        <v>70.89</v>
      </c>
      <c r="BJ94" s="113">
        <v>89</v>
      </c>
      <c r="BK94" s="439">
        <v>66.459999999999994</v>
      </c>
      <c r="BL94" s="439">
        <v>68.48</v>
      </c>
      <c r="BM94" s="439">
        <v>69.760000000000005</v>
      </c>
      <c r="BT94" s="113">
        <v>89</v>
      </c>
      <c r="BU94" s="439">
        <v>63.46</v>
      </c>
      <c r="BV94" s="439">
        <v>65.52</v>
      </c>
      <c r="BW94" s="439">
        <v>66.760000000000005</v>
      </c>
      <c r="CD94" s="113">
        <v>89</v>
      </c>
      <c r="CE94" s="439">
        <v>62.07</v>
      </c>
      <c r="CF94" s="439">
        <v>64.16</v>
      </c>
      <c r="CG94" s="439">
        <v>65.38</v>
      </c>
      <c r="CN94" s="113">
        <v>89</v>
      </c>
      <c r="CO94" s="439">
        <v>60.81</v>
      </c>
      <c r="CP94" s="439">
        <v>62.91</v>
      </c>
      <c r="CQ94" s="439">
        <v>64.11</v>
      </c>
    </row>
    <row r="95" spans="2:95" x14ac:dyDescent="0.2">
      <c r="B95" s="113">
        <v>90</v>
      </c>
      <c r="C95" s="439">
        <v>58.9</v>
      </c>
      <c r="D95" s="439">
        <v>59.91</v>
      </c>
      <c r="E95" s="439">
        <v>60.93</v>
      </c>
      <c r="L95" s="113">
        <v>90</v>
      </c>
      <c r="M95" s="439">
        <v>66.540000000000006</v>
      </c>
      <c r="N95" s="439">
        <v>67.900000000000006</v>
      </c>
      <c r="O95" s="439">
        <v>69.09</v>
      </c>
      <c r="V95" s="113">
        <v>90</v>
      </c>
      <c r="W95" s="439">
        <v>71.569999999999993</v>
      </c>
      <c r="X95" s="439">
        <v>73.209999999999994</v>
      </c>
      <c r="Y95" s="439">
        <v>74.510000000000005</v>
      </c>
      <c r="AF95" s="113">
        <v>90</v>
      </c>
      <c r="AG95" s="439">
        <v>71.59</v>
      </c>
      <c r="AH95" s="439">
        <v>73.400000000000006</v>
      </c>
      <c r="AI95" s="439">
        <v>74.739999999999995</v>
      </c>
      <c r="AP95" s="113">
        <v>90</v>
      </c>
      <c r="AQ95" s="439">
        <v>71.95</v>
      </c>
      <c r="AR95" s="439">
        <v>73.900000000000006</v>
      </c>
      <c r="AS95" s="439">
        <v>75.25</v>
      </c>
      <c r="AZ95" s="113">
        <v>90</v>
      </c>
      <c r="BA95" s="439">
        <v>65.53</v>
      </c>
      <c r="BB95" s="439">
        <v>67.52</v>
      </c>
      <c r="BC95" s="439">
        <v>68.819999999999993</v>
      </c>
      <c r="BJ95" s="113">
        <v>90</v>
      </c>
      <c r="BK95" s="439">
        <v>64.2</v>
      </c>
      <c r="BL95" s="439">
        <v>66.25</v>
      </c>
      <c r="BM95" s="439">
        <v>67.52</v>
      </c>
      <c r="BT95" s="113">
        <v>90</v>
      </c>
      <c r="BU95" s="439">
        <v>61.17</v>
      </c>
      <c r="BV95" s="439">
        <v>63.24</v>
      </c>
      <c r="BW95" s="439">
        <v>64.48</v>
      </c>
      <c r="CD95" s="113">
        <v>90</v>
      </c>
      <c r="CE95" s="439">
        <v>59.78</v>
      </c>
      <c r="CF95" s="439">
        <v>61.87</v>
      </c>
      <c r="CG95" s="439">
        <v>63.09</v>
      </c>
      <c r="CN95" s="113">
        <v>90</v>
      </c>
      <c r="CO95" s="439">
        <v>58.54</v>
      </c>
      <c r="CP95" s="439">
        <v>60.65</v>
      </c>
      <c r="CQ95" s="439">
        <v>61.85</v>
      </c>
    </row>
    <row r="96" spans="2:95" x14ac:dyDescent="0.2">
      <c r="B96" s="113">
        <v>91</v>
      </c>
      <c r="C96" s="439">
        <v>58.28</v>
      </c>
      <c r="D96" s="439">
        <v>59.35</v>
      </c>
      <c r="E96" s="439">
        <v>60.39</v>
      </c>
      <c r="L96" s="113">
        <v>91</v>
      </c>
      <c r="M96" s="439">
        <v>65.78</v>
      </c>
      <c r="N96" s="439">
        <v>67.19</v>
      </c>
      <c r="O96" s="439">
        <v>68.41</v>
      </c>
      <c r="V96" s="113">
        <v>91</v>
      </c>
      <c r="W96" s="439">
        <v>70.42</v>
      </c>
      <c r="X96" s="439">
        <v>72.11</v>
      </c>
      <c r="Y96" s="439">
        <v>73.430000000000007</v>
      </c>
      <c r="AF96" s="113">
        <v>91</v>
      </c>
      <c r="AG96" s="439">
        <v>69.989999999999995</v>
      </c>
      <c r="AH96" s="439">
        <v>71.849999999999994</v>
      </c>
      <c r="AI96" s="439">
        <v>73.2</v>
      </c>
      <c r="AP96" s="113">
        <v>91</v>
      </c>
      <c r="AQ96" s="439">
        <v>69.97</v>
      </c>
      <c r="AR96" s="439">
        <v>71.95</v>
      </c>
      <c r="AS96" s="439">
        <v>73.3</v>
      </c>
      <c r="AZ96" s="113">
        <v>91</v>
      </c>
      <c r="BA96" s="439">
        <v>63.37</v>
      </c>
      <c r="BB96" s="439">
        <v>65.39</v>
      </c>
      <c r="BC96" s="439">
        <v>66.69</v>
      </c>
      <c r="BJ96" s="113">
        <v>91</v>
      </c>
      <c r="BK96" s="439">
        <v>61.91</v>
      </c>
      <c r="BL96" s="439">
        <v>63.980000000000004</v>
      </c>
      <c r="BM96" s="439">
        <v>65.25</v>
      </c>
      <c r="BT96" s="113">
        <v>91</v>
      </c>
      <c r="BU96" s="439">
        <v>58.87</v>
      </c>
      <c r="BV96" s="439">
        <v>60.96</v>
      </c>
      <c r="BW96" s="439">
        <v>62.19</v>
      </c>
      <c r="CD96" s="113">
        <v>91</v>
      </c>
      <c r="CE96" s="439">
        <v>57.49</v>
      </c>
      <c r="CF96" s="439">
        <v>59.6</v>
      </c>
      <c r="CG96" s="439">
        <v>60.81</v>
      </c>
      <c r="CN96" s="113">
        <v>91</v>
      </c>
      <c r="CO96" s="439">
        <v>56.3</v>
      </c>
      <c r="CP96" s="439">
        <v>58.42</v>
      </c>
      <c r="CQ96" s="439">
        <v>59.61</v>
      </c>
    </row>
    <row r="97" spans="2:95" x14ac:dyDescent="0.2">
      <c r="B97" s="113">
        <v>92</v>
      </c>
      <c r="C97" s="439">
        <v>57.61</v>
      </c>
      <c r="D97" s="439">
        <v>58.72</v>
      </c>
      <c r="E97" s="439">
        <v>59.79</v>
      </c>
      <c r="L97" s="113">
        <v>92</v>
      </c>
      <c r="M97" s="439">
        <v>64.930000000000007</v>
      </c>
      <c r="N97" s="439">
        <v>66.39</v>
      </c>
      <c r="O97" s="439">
        <v>67.64</v>
      </c>
      <c r="V97" s="113">
        <v>92</v>
      </c>
      <c r="W97" s="439">
        <v>69.16</v>
      </c>
      <c r="X97" s="439">
        <v>70.91</v>
      </c>
      <c r="Y97" s="439">
        <v>72.239999999999995</v>
      </c>
      <c r="AF97" s="113">
        <v>92</v>
      </c>
      <c r="AG97" s="439">
        <v>68.28</v>
      </c>
      <c r="AH97" s="439">
        <v>70.19</v>
      </c>
      <c r="AI97" s="439">
        <v>71.55</v>
      </c>
      <c r="AP97" s="113">
        <v>92</v>
      </c>
      <c r="AQ97" s="439">
        <v>67.89</v>
      </c>
      <c r="AR97" s="439">
        <v>69.91</v>
      </c>
      <c r="AS97" s="439">
        <v>71.260000000000005</v>
      </c>
      <c r="AZ97" s="113">
        <v>92</v>
      </c>
      <c r="BA97" s="439">
        <v>61.16</v>
      </c>
      <c r="BB97" s="439">
        <v>63.21</v>
      </c>
      <c r="BC97" s="439">
        <v>64.5</v>
      </c>
      <c r="BJ97" s="113">
        <v>92</v>
      </c>
      <c r="BK97" s="439">
        <v>59.6</v>
      </c>
      <c r="BL97" s="439">
        <v>61.69</v>
      </c>
      <c r="BM97" s="439">
        <v>62.96</v>
      </c>
      <c r="BT97" s="113">
        <v>92</v>
      </c>
      <c r="BU97" s="439">
        <v>56.57</v>
      </c>
      <c r="BV97" s="439">
        <v>58.68</v>
      </c>
      <c r="BW97" s="439">
        <v>59.91</v>
      </c>
      <c r="CD97" s="113">
        <v>92</v>
      </c>
      <c r="CE97" s="439">
        <v>55.22</v>
      </c>
      <c r="CF97" s="439">
        <v>57.34</v>
      </c>
      <c r="CG97" s="439">
        <v>58.55</v>
      </c>
      <c r="CN97" s="113">
        <v>92</v>
      </c>
      <c r="CO97" s="439">
        <v>53.97</v>
      </c>
      <c r="CP97" s="439">
        <v>56.1</v>
      </c>
      <c r="CQ97" s="439">
        <v>57.28</v>
      </c>
    </row>
    <row r="98" spans="2:95" x14ac:dyDescent="0.2">
      <c r="B98" s="113">
        <v>93</v>
      </c>
      <c r="C98" s="439">
        <v>56.88</v>
      </c>
      <c r="D98" s="439">
        <v>58.03</v>
      </c>
      <c r="E98" s="439">
        <v>59.13</v>
      </c>
      <c r="L98" s="113">
        <v>93</v>
      </c>
      <c r="M98" s="439">
        <v>63.980000000000004</v>
      </c>
      <c r="N98" s="439">
        <v>65.5</v>
      </c>
      <c r="O98" s="439">
        <v>66.77</v>
      </c>
      <c r="V98" s="113">
        <v>93</v>
      </c>
      <c r="W98" s="439">
        <v>67.78</v>
      </c>
      <c r="X98" s="439">
        <v>69.58</v>
      </c>
      <c r="Y98" s="439">
        <v>70.930000000000007</v>
      </c>
      <c r="AF98" s="113">
        <v>93</v>
      </c>
      <c r="AG98" s="439">
        <v>66.459999999999994</v>
      </c>
      <c r="AH98" s="439">
        <v>68.41</v>
      </c>
      <c r="AI98" s="439">
        <v>69.78</v>
      </c>
      <c r="AP98" s="113">
        <v>93</v>
      </c>
      <c r="AQ98" s="439">
        <v>65.73</v>
      </c>
      <c r="AR98" s="439">
        <v>67.790000000000006</v>
      </c>
      <c r="AS98" s="439">
        <v>69.14</v>
      </c>
      <c r="AZ98" s="113">
        <v>93</v>
      </c>
      <c r="BA98" s="439">
        <v>58.89</v>
      </c>
      <c r="BB98" s="439">
        <v>60.97</v>
      </c>
      <c r="BC98" s="439">
        <v>62.26</v>
      </c>
      <c r="BJ98" s="113">
        <v>93</v>
      </c>
      <c r="BK98" s="439">
        <v>57.26</v>
      </c>
      <c r="BL98" s="439">
        <v>59.39</v>
      </c>
      <c r="BM98" s="439">
        <v>60.64</v>
      </c>
      <c r="BT98" s="113">
        <v>93</v>
      </c>
      <c r="BU98" s="439">
        <v>54.26</v>
      </c>
      <c r="BV98" s="439">
        <v>56.4</v>
      </c>
      <c r="BW98" s="439">
        <v>57.62</v>
      </c>
      <c r="CD98" s="113">
        <v>93</v>
      </c>
      <c r="CE98" s="439">
        <v>52.95</v>
      </c>
      <c r="CF98" s="439">
        <v>55.1</v>
      </c>
      <c r="CG98" s="439">
        <v>56.3</v>
      </c>
      <c r="CN98" s="113">
        <v>93</v>
      </c>
      <c r="CO98" s="439">
        <v>51.64</v>
      </c>
      <c r="CP98" s="439">
        <v>53.78</v>
      </c>
      <c r="CQ98" s="439">
        <v>54.96</v>
      </c>
    </row>
    <row r="99" spans="2:95" x14ac:dyDescent="0.2">
      <c r="B99" s="113">
        <v>94</v>
      </c>
      <c r="C99" s="439">
        <v>56.07</v>
      </c>
      <c r="D99" s="439">
        <v>57.27</v>
      </c>
      <c r="E99" s="439">
        <v>58.4</v>
      </c>
      <c r="L99" s="113">
        <v>94</v>
      </c>
      <c r="M99" s="439">
        <v>62.92</v>
      </c>
      <c r="N99" s="439">
        <v>64.510000000000005</v>
      </c>
      <c r="O99" s="439">
        <v>65.8</v>
      </c>
      <c r="V99" s="113">
        <v>94</v>
      </c>
      <c r="W99" s="439">
        <v>66.27</v>
      </c>
      <c r="X99" s="439">
        <v>68.13</v>
      </c>
      <c r="Y99" s="439">
        <v>69.5</v>
      </c>
      <c r="AF99" s="113">
        <v>94</v>
      </c>
      <c r="AG99" s="439">
        <v>64.52</v>
      </c>
      <c r="AH99" s="439">
        <v>66.52</v>
      </c>
      <c r="AI99" s="439">
        <v>67.900000000000006</v>
      </c>
      <c r="AP99" s="113">
        <v>94</v>
      </c>
      <c r="AQ99" s="439">
        <v>63.49</v>
      </c>
      <c r="AR99" s="439">
        <v>65.59</v>
      </c>
      <c r="AS99" s="439">
        <v>66.95</v>
      </c>
      <c r="AZ99" s="113">
        <v>94</v>
      </c>
      <c r="BA99" s="439">
        <v>56.57</v>
      </c>
      <c r="BB99" s="439">
        <v>58.69</v>
      </c>
      <c r="BC99" s="439">
        <v>59.98</v>
      </c>
      <c r="BJ99" s="113">
        <v>94</v>
      </c>
      <c r="BK99" s="439">
        <v>54.9</v>
      </c>
      <c r="BL99" s="439">
        <v>57.05</v>
      </c>
      <c r="BM99" s="439">
        <v>58.31</v>
      </c>
      <c r="BT99" s="113">
        <v>94</v>
      </c>
      <c r="BU99" s="439">
        <v>51.95</v>
      </c>
      <c r="BV99" s="439">
        <v>54.11</v>
      </c>
      <c r="BW99" s="439">
        <v>55.33</v>
      </c>
      <c r="CD99" s="113">
        <v>94</v>
      </c>
      <c r="CE99" s="439">
        <v>50.55</v>
      </c>
      <c r="CF99" s="439">
        <v>52.7</v>
      </c>
      <c r="CG99" s="439">
        <v>53.91</v>
      </c>
      <c r="CN99" s="113">
        <v>94</v>
      </c>
      <c r="CO99" s="439">
        <v>49.32</v>
      </c>
      <c r="CP99" s="439">
        <v>51.47</v>
      </c>
      <c r="CQ99" s="439">
        <v>52.65</v>
      </c>
    </row>
    <row r="100" spans="2:95" x14ac:dyDescent="0.2">
      <c r="B100" s="113">
        <v>95</v>
      </c>
      <c r="C100" s="439">
        <v>55.17</v>
      </c>
      <c r="D100" s="439">
        <v>56.44</v>
      </c>
      <c r="E100" s="439">
        <v>57.59</v>
      </c>
      <c r="L100" s="113">
        <v>95</v>
      </c>
      <c r="M100" s="439">
        <v>61.75</v>
      </c>
      <c r="N100" s="439">
        <v>63.4</v>
      </c>
      <c r="O100" s="439">
        <v>64.72</v>
      </c>
      <c r="V100" s="113">
        <v>95</v>
      </c>
      <c r="W100" s="439">
        <v>64.63</v>
      </c>
      <c r="X100" s="439">
        <v>66.55</v>
      </c>
      <c r="Y100" s="439">
        <v>67.95</v>
      </c>
      <c r="AF100" s="113">
        <v>95</v>
      </c>
      <c r="AG100" s="439">
        <v>62.47</v>
      </c>
      <c r="AH100" s="439">
        <v>64.52</v>
      </c>
      <c r="AI100" s="439">
        <v>65.92</v>
      </c>
      <c r="AP100" s="113">
        <v>95</v>
      </c>
      <c r="AQ100" s="439">
        <v>61.17</v>
      </c>
      <c r="AR100" s="439">
        <v>63.3</v>
      </c>
      <c r="AS100" s="439">
        <v>64.67</v>
      </c>
      <c r="AZ100" s="113">
        <v>95</v>
      </c>
      <c r="BA100" s="439">
        <v>54.2</v>
      </c>
      <c r="BB100" s="439">
        <v>56.36</v>
      </c>
      <c r="BC100" s="439">
        <v>57.65</v>
      </c>
      <c r="BJ100" s="113">
        <v>95</v>
      </c>
      <c r="BK100" s="439">
        <v>52.52</v>
      </c>
      <c r="BL100" s="439">
        <v>54.7</v>
      </c>
      <c r="BM100" s="439">
        <v>55.95</v>
      </c>
      <c r="BT100" s="113">
        <v>95</v>
      </c>
      <c r="BU100" s="439">
        <v>49.62</v>
      </c>
      <c r="BV100" s="439">
        <v>51.8</v>
      </c>
      <c r="BW100" s="439">
        <v>53.03</v>
      </c>
      <c r="CD100" s="113">
        <v>95</v>
      </c>
      <c r="CE100" s="439">
        <v>48.12</v>
      </c>
      <c r="CF100" s="439">
        <v>50.29</v>
      </c>
      <c r="CG100" s="439">
        <v>51.49</v>
      </c>
      <c r="CN100" s="113">
        <v>95</v>
      </c>
      <c r="CO100" s="439">
        <v>46.98</v>
      </c>
      <c r="CP100" s="439">
        <v>49.15</v>
      </c>
      <c r="CQ100" s="439">
        <v>50.34</v>
      </c>
    </row>
    <row r="101" spans="2:95" x14ac:dyDescent="0.2">
      <c r="B101" s="113">
        <v>96</v>
      </c>
      <c r="C101" s="439">
        <v>54.19</v>
      </c>
      <c r="D101" s="439">
        <v>55.51</v>
      </c>
      <c r="E101" s="439">
        <v>56.69</v>
      </c>
      <c r="L101" s="113">
        <v>96</v>
      </c>
      <c r="M101" s="439">
        <v>60.46</v>
      </c>
      <c r="N101" s="439">
        <v>62.17</v>
      </c>
      <c r="O101" s="439">
        <v>63.519999999999996</v>
      </c>
      <c r="V101" s="113">
        <v>96</v>
      </c>
      <c r="W101" s="439">
        <v>62.86</v>
      </c>
      <c r="X101" s="439">
        <v>64.84</v>
      </c>
      <c r="Y101" s="439">
        <v>66.260000000000005</v>
      </c>
      <c r="AF101" s="113">
        <v>96</v>
      </c>
      <c r="AG101" s="439">
        <v>60.31</v>
      </c>
      <c r="AH101" s="439">
        <v>62.41</v>
      </c>
      <c r="AI101" s="439">
        <v>63.81</v>
      </c>
      <c r="AP101" s="113">
        <v>96</v>
      </c>
      <c r="AQ101" s="439">
        <v>58.76</v>
      </c>
      <c r="AR101" s="439">
        <v>60.95</v>
      </c>
      <c r="AS101" s="439">
        <v>62.31</v>
      </c>
      <c r="AZ101" s="113">
        <v>96</v>
      </c>
      <c r="BA101" s="439">
        <v>51.78</v>
      </c>
      <c r="BB101" s="439">
        <v>53.98</v>
      </c>
      <c r="BC101" s="439">
        <v>55.27</v>
      </c>
      <c r="BJ101" s="113">
        <v>96</v>
      </c>
      <c r="BK101" s="439">
        <v>50.1</v>
      </c>
      <c r="BL101" s="439">
        <v>52.31</v>
      </c>
      <c r="BM101" s="439">
        <v>53.58</v>
      </c>
      <c r="BT101" s="113">
        <v>96</v>
      </c>
      <c r="BU101" s="439">
        <v>47.08</v>
      </c>
      <c r="BV101" s="439">
        <v>49.29</v>
      </c>
      <c r="BW101" s="439">
        <v>50.51</v>
      </c>
      <c r="CD101" s="113">
        <v>96</v>
      </c>
      <c r="CE101" s="439">
        <v>45.67</v>
      </c>
      <c r="CF101" s="439">
        <v>47.87</v>
      </c>
      <c r="CG101" s="439">
        <v>49.07</v>
      </c>
      <c r="CN101" s="113">
        <v>96</v>
      </c>
      <c r="CO101" s="439">
        <v>44.63</v>
      </c>
      <c r="CP101" s="439">
        <v>46.81</v>
      </c>
      <c r="CQ101" s="439">
        <v>48</v>
      </c>
    </row>
    <row r="102" spans="2:95" x14ac:dyDescent="0.2">
      <c r="B102" s="113">
        <v>97</v>
      </c>
      <c r="C102" s="439">
        <v>53.1</v>
      </c>
      <c r="D102" s="439">
        <v>54.49</v>
      </c>
      <c r="E102" s="439">
        <v>55.69</v>
      </c>
      <c r="L102" s="113">
        <v>97</v>
      </c>
      <c r="M102" s="439">
        <v>59.03</v>
      </c>
      <c r="N102" s="439">
        <v>60.81</v>
      </c>
      <c r="O102" s="439">
        <v>62.19</v>
      </c>
      <c r="V102" s="113">
        <v>97</v>
      </c>
      <c r="W102" s="439">
        <v>60.94</v>
      </c>
      <c r="X102" s="439">
        <v>62.99</v>
      </c>
      <c r="Y102" s="439">
        <v>64.430000000000007</v>
      </c>
      <c r="AF102" s="113">
        <v>97</v>
      </c>
      <c r="AG102" s="439">
        <v>58.02</v>
      </c>
      <c r="AH102" s="439">
        <v>60.19</v>
      </c>
      <c r="AI102" s="439">
        <v>61.59</v>
      </c>
      <c r="AP102" s="113">
        <v>97</v>
      </c>
      <c r="AQ102" s="439">
        <v>56.28</v>
      </c>
      <c r="AR102" s="439">
        <v>58.51</v>
      </c>
      <c r="AS102" s="439">
        <v>59.88</v>
      </c>
      <c r="AZ102" s="113">
        <v>97</v>
      </c>
      <c r="BA102" s="439">
        <v>49.31</v>
      </c>
      <c r="BB102" s="439">
        <v>51.54</v>
      </c>
      <c r="BC102" s="439">
        <v>52.84</v>
      </c>
      <c r="BJ102" s="113">
        <v>97</v>
      </c>
      <c r="BK102" s="439">
        <v>47.65</v>
      </c>
      <c r="BL102" s="439">
        <v>49.9</v>
      </c>
      <c r="BM102" s="439">
        <v>51.16</v>
      </c>
      <c r="BT102" s="113">
        <v>97</v>
      </c>
      <c r="BU102" s="439">
        <v>44.49</v>
      </c>
      <c r="BV102" s="439">
        <v>46.71</v>
      </c>
      <c r="BW102" s="439">
        <v>47.94</v>
      </c>
      <c r="CD102" s="113">
        <v>97</v>
      </c>
      <c r="CE102" s="439">
        <v>43.18</v>
      </c>
      <c r="CF102" s="439">
        <v>45.4</v>
      </c>
      <c r="CG102" s="439">
        <v>46.6</v>
      </c>
      <c r="CN102" s="113">
        <v>97</v>
      </c>
      <c r="CO102" s="439">
        <v>42.22</v>
      </c>
      <c r="CP102" s="439">
        <v>44.43</v>
      </c>
      <c r="CQ102" s="439">
        <v>45.62</v>
      </c>
    </row>
    <row r="103" spans="2:95" x14ac:dyDescent="0.2">
      <c r="B103" s="113">
        <v>98</v>
      </c>
      <c r="C103" s="439">
        <v>51.88</v>
      </c>
      <c r="D103" s="439">
        <v>53.34</v>
      </c>
      <c r="E103" s="439">
        <v>54.58</v>
      </c>
      <c r="L103" s="113">
        <v>98</v>
      </c>
      <c r="M103" s="439">
        <v>57.44</v>
      </c>
      <c r="N103" s="439">
        <v>59.31</v>
      </c>
      <c r="O103" s="439">
        <v>60.72</v>
      </c>
      <c r="V103" s="113">
        <v>98</v>
      </c>
      <c r="W103" s="439">
        <v>58.87</v>
      </c>
      <c r="X103" s="439">
        <v>60.99</v>
      </c>
      <c r="Y103" s="439">
        <v>62.44</v>
      </c>
      <c r="AF103" s="113">
        <v>98</v>
      </c>
      <c r="AG103" s="439">
        <v>55.61</v>
      </c>
      <c r="AH103" s="439">
        <v>57.84</v>
      </c>
      <c r="AI103" s="439">
        <v>59.26</v>
      </c>
      <c r="AP103" s="113">
        <v>98</v>
      </c>
      <c r="AQ103" s="439">
        <v>53.7</v>
      </c>
      <c r="AR103" s="439">
        <v>55.99</v>
      </c>
      <c r="AS103" s="439">
        <v>57.36</v>
      </c>
      <c r="AZ103" s="113">
        <v>98</v>
      </c>
      <c r="BA103" s="439">
        <v>46.76</v>
      </c>
      <c r="BB103" s="439">
        <v>49.05</v>
      </c>
      <c r="BC103" s="439">
        <v>50.35</v>
      </c>
      <c r="BJ103" s="113">
        <v>98</v>
      </c>
      <c r="BK103" s="439">
        <v>44.86</v>
      </c>
      <c r="BL103" s="439">
        <v>47.14</v>
      </c>
      <c r="BM103" s="439">
        <v>48.41</v>
      </c>
      <c r="BT103" s="113">
        <v>98</v>
      </c>
      <c r="BU103" s="439">
        <v>41.82</v>
      </c>
      <c r="BV103" s="439">
        <v>44.08</v>
      </c>
      <c r="BW103" s="439">
        <v>45.31</v>
      </c>
      <c r="CD103" s="113">
        <v>98</v>
      </c>
      <c r="CE103" s="439">
        <v>40.619999999999997</v>
      </c>
      <c r="CF103" s="439">
        <v>42.86</v>
      </c>
      <c r="CG103" s="439">
        <v>44.07</v>
      </c>
      <c r="CN103" s="113">
        <v>98</v>
      </c>
      <c r="CO103" s="439">
        <v>39.74</v>
      </c>
      <c r="CP103" s="439">
        <v>41.97</v>
      </c>
      <c r="CQ103" s="439">
        <v>43.17</v>
      </c>
    </row>
    <row r="104" spans="2:95" x14ac:dyDescent="0.2">
      <c r="B104" s="113">
        <v>99</v>
      </c>
      <c r="C104" s="439">
        <v>50.52</v>
      </c>
      <c r="D104" s="439">
        <v>52.06</v>
      </c>
      <c r="E104" s="439">
        <v>53.34</v>
      </c>
      <c r="L104" s="113">
        <v>99</v>
      </c>
      <c r="M104" s="439">
        <v>55.68</v>
      </c>
      <c r="N104" s="439">
        <v>57.63</v>
      </c>
      <c r="O104" s="439">
        <v>59.08</v>
      </c>
      <c r="V104" s="113">
        <v>99</v>
      </c>
      <c r="W104" s="439">
        <v>56.63</v>
      </c>
      <c r="X104" s="439">
        <v>58.82</v>
      </c>
      <c r="Y104" s="439">
        <v>60.3</v>
      </c>
      <c r="AF104" s="113">
        <v>99</v>
      </c>
      <c r="AG104" s="439">
        <v>53.06</v>
      </c>
      <c r="AH104" s="439">
        <v>55.35</v>
      </c>
      <c r="AI104" s="439">
        <v>56.78</v>
      </c>
      <c r="AP104" s="113">
        <v>99</v>
      </c>
      <c r="AQ104" s="439">
        <v>51.02</v>
      </c>
      <c r="AR104" s="439">
        <v>53.36</v>
      </c>
      <c r="AS104" s="439">
        <v>54.75</v>
      </c>
      <c r="AZ104" s="113">
        <v>99</v>
      </c>
      <c r="BA104" s="439">
        <v>44.12</v>
      </c>
      <c r="BB104" s="439">
        <v>46.46</v>
      </c>
      <c r="BC104" s="439">
        <v>47.78</v>
      </c>
      <c r="BJ104" s="113">
        <v>99</v>
      </c>
      <c r="BK104" s="439">
        <v>41.95</v>
      </c>
      <c r="BL104" s="439">
        <v>44.26</v>
      </c>
      <c r="BM104" s="439">
        <v>45.53</v>
      </c>
      <c r="BT104" s="113">
        <v>99</v>
      </c>
      <c r="BU104" s="439">
        <v>39.06</v>
      </c>
      <c r="BV104" s="439">
        <v>41.34</v>
      </c>
      <c r="BW104" s="439">
        <v>42.59</v>
      </c>
      <c r="CD104" s="113">
        <v>99</v>
      </c>
      <c r="CE104" s="439">
        <v>37.950000000000003</v>
      </c>
      <c r="CF104" s="439">
        <v>40.22</v>
      </c>
      <c r="CG104" s="439">
        <v>41.45</v>
      </c>
      <c r="CN104" s="113">
        <v>99</v>
      </c>
      <c r="CO104" s="439">
        <v>37.14</v>
      </c>
      <c r="CP104" s="439">
        <v>39.4</v>
      </c>
      <c r="CQ104" s="439">
        <v>40.61</v>
      </c>
    </row>
    <row r="105" spans="2:95" x14ac:dyDescent="0.2">
      <c r="B105" s="113">
        <v>100</v>
      </c>
      <c r="C105" s="439">
        <v>48.99</v>
      </c>
      <c r="D105" s="439">
        <v>50.62</v>
      </c>
      <c r="E105" s="439">
        <v>51.92</v>
      </c>
      <c r="L105" s="113">
        <v>100</v>
      </c>
      <c r="M105" s="439">
        <v>53.72</v>
      </c>
      <c r="N105" s="439">
        <v>55.76</v>
      </c>
      <c r="O105" s="439">
        <v>57.24</v>
      </c>
      <c r="V105" s="113">
        <v>100</v>
      </c>
      <c r="W105" s="439">
        <v>54.2</v>
      </c>
      <c r="X105" s="439">
        <v>56.47</v>
      </c>
      <c r="Y105" s="439">
        <v>57.97</v>
      </c>
      <c r="AF105" s="113">
        <v>100</v>
      </c>
      <c r="AG105" s="439">
        <v>50.34</v>
      </c>
      <c r="AH105" s="439">
        <v>52.72</v>
      </c>
      <c r="AI105" s="439">
        <v>54.16</v>
      </c>
      <c r="AP105" s="113">
        <v>100</v>
      </c>
      <c r="AQ105" s="439">
        <v>48.21</v>
      </c>
      <c r="AR105" s="439">
        <v>50.62</v>
      </c>
      <c r="AS105" s="439">
        <v>52.01</v>
      </c>
      <c r="AZ105" s="113">
        <v>100</v>
      </c>
      <c r="BA105" s="439">
        <v>40.94</v>
      </c>
      <c r="BB105" s="439">
        <v>43.33</v>
      </c>
      <c r="BC105" s="439">
        <v>44.66</v>
      </c>
      <c r="BJ105" s="113">
        <v>100</v>
      </c>
      <c r="BK105" s="439">
        <v>38.89</v>
      </c>
      <c r="BL105" s="439">
        <v>41.24</v>
      </c>
      <c r="BM105" s="439">
        <v>42.52</v>
      </c>
      <c r="BT105" s="113">
        <v>100</v>
      </c>
      <c r="BU105" s="439">
        <v>36.14</v>
      </c>
      <c r="BV105" s="439">
        <v>38.47</v>
      </c>
      <c r="BW105" s="439">
        <v>39.72</v>
      </c>
      <c r="CD105" s="113">
        <v>100</v>
      </c>
      <c r="CE105" s="439">
        <v>35.130000000000003</v>
      </c>
      <c r="CF105" s="439">
        <v>37.44</v>
      </c>
      <c r="CG105" s="439">
        <v>38.67</v>
      </c>
      <c r="CN105" s="113">
        <v>100</v>
      </c>
      <c r="CO105" s="439">
        <v>34.380000000000003</v>
      </c>
      <c r="CP105" s="439">
        <v>36.68</v>
      </c>
      <c r="CQ105" s="439">
        <v>37.89</v>
      </c>
    </row>
  </sheetData>
  <mergeCells count="10">
    <mergeCell ref="BJ3:BR3"/>
    <mergeCell ref="BT3:CB3"/>
    <mergeCell ref="CD3:CL3"/>
    <mergeCell ref="CN3:CV3"/>
    <mergeCell ref="B3:J3"/>
    <mergeCell ref="L3:T3"/>
    <mergeCell ref="V3:AD3"/>
    <mergeCell ref="AF3:AN3"/>
    <mergeCell ref="AP3:AX3"/>
    <mergeCell ref="AZ3:BH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B1:CV105"/>
  <sheetViews>
    <sheetView workbookViewId="0">
      <selection activeCell="B5" sqref="B5:CQ105"/>
    </sheetView>
  </sheetViews>
  <sheetFormatPr defaultColWidth="8.85546875" defaultRowHeight="12.75" x14ac:dyDescent="0.2"/>
  <cols>
    <col min="1" max="16384" width="8.85546875" style="429"/>
  </cols>
  <sheetData>
    <row r="1" spans="2:100" x14ac:dyDescent="0.2">
      <c r="B1" s="425"/>
      <c r="C1" s="425"/>
      <c r="D1" s="425"/>
      <c r="E1" s="426"/>
      <c r="F1" s="426"/>
      <c r="G1" s="426"/>
      <c r="H1" s="426"/>
      <c r="I1" s="426"/>
      <c r="J1" s="437" t="s">
        <v>151</v>
      </c>
    </row>
    <row r="2" spans="2:100" x14ac:dyDescent="0.2">
      <c r="B2" s="430" t="s">
        <v>181</v>
      </c>
      <c r="C2" s="426"/>
      <c r="D2" s="426"/>
      <c r="E2" s="426"/>
      <c r="F2" s="426"/>
      <c r="G2" s="426"/>
      <c r="H2" s="426"/>
      <c r="I2" s="426"/>
      <c r="J2" s="426"/>
      <c r="L2" s="145" t="s">
        <v>183</v>
      </c>
      <c r="V2" s="145" t="s">
        <v>185</v>
      </c>
      <c r="AF2" s="145" t="s">
        <v>187</v>
      </c>
      <c r="AP2" s="145" t="s">
        <v>189</v>
      </c>
      <c r="AZ2" s="145" t="s">
        <v>191</v>
      </c>
      <c r="BJ2" s="145" t="s">
        <v>193</v>
      </c>
      <c r="BT2" s="145" t="s">
        <v>195</v>
      </c>
      <c r="CD2" s="145" t="s">
        <v>197</v>
      </c>
      <c r="CN2" s="145" t="s">
        <v>199</v>
      </c>
    </row>
    <row r="3" spans="2:100" x14ac:dyDescent="0.2">
      <c r="B3" s="753" t="s">
        <v>258</v>
      </c>
      <c r="C3" s="754"/>
      <c r="D3" s="754"/>
      <c r="E3" s="754"/>
      <c r="F3" s="755"/>
      <c r="G3" s="755"/>
      <c r="H3" s="755"/>
      <c r="I3" s="755"/>
      <c r="J3" s="755"/>
      <c r="L3" s="753" t="s">
        <v>259</v>
      </c>
      <c r="M3" s="754"/>
      <c r="N3" s="754"/>
      <c r="O3" s="754"/>
      <c r="P3" s="755"/>
      <c r="Q3" s="755"/>
      <c r="R3" s="755"/>
      <c r="S3" s="755"/>
      <c r="T3" s="755"/>
      <c r="V3" s="753" t="s">
        <v>260</v>
      </c>
      <c r="W3" s="754"/>
      <c r="X3" s="754"/>
      <c r="Y3" s="754"/>
      <c r="Z3" s="755"/>
      <c r="AA3" s="755"/>
      <c r="AB3" s="755"/>
      <c r="AC3" s="755"/>
      <c r="AD3" s="755"/>
      <c r="AF3" s="753" t="s">
        <v>261</v>
      </c>
      <c r="AG3" s="754"/>
      <c r="AH3" s="754"/>
      <c r="AI3" s="754"/>
      <c r="AJ3" s="755"/>
      <c r="AK3" s="755"/>
      <c r="AL3" s="755"/>
      <c r="AM3" s="755"/>
      <c r="AN3" s="755"/>
      <c r="AP3" s="753" t="s">
        <v>262</v>
      </c>
      <c r="AQ3" s="754"/>
      <c r="AR3" s="754"/>
      <c r="AS3" s="754"/>
      <c r="AT3" s="755"/>
      <c r="AU3" s="755"/>
      <c r="AV3" s="755"/>
      <c r="AW3" s="755"/>
      <c r="AX3" s="755"/>
      <c r="AZ3" s="753" t="s">
        <v>263</v>
      </c>
      <c r="BA3" s="754"/>
      <c r="BB3" s="754"/>
      <c r="BC3" s="754"/>
      <c r="BD3" s="755"/>
      <c r="BE3" s="755"/>
      <c r="BF3" s="755"/>
      <c r="BG3" s="755"/>
      <c r="BH3" s="755"/>
      <c r="BJ3" s="753" t="s">
        <v>264</v>
      </c>
      <c r="BK3" s="754"/>
      <c r="BL3" s="754"/>
      <c r="BM3" s="754"/>
      <c r="BN3" s="755"/>
      <c r="BO3" s="755"/>
      <c r="BP3" s="755"/>
      <c r="BQ3" s="755"/>
      <c r="BR3" s="755"/>
      <c r="BT3" s="753" t="s">
        <v>265</v>
      </c>
      <c r="BU3" s="754"/>
      <c r="BV3" s="754"/>
      <c r="BW3" s="754"/>
      <c r="BX3" s="755"/>
      <c r="BY3" s="755"/>
      <c r="BZ3" s="755"/>
      <c r="CA3" s="755"/>
      <c r="CB3" s="755"/>
      <c r="CD3" s="753" t="s">
        <v>266</v>
      </c>
      <c r="CE3" s="754"/>
      <c r="CF3" s="754"/>
      <c r="CG3" s="754"/>
      <c r="CH3" s="755"/>
      <c r="CI3" s="755"/>
      <c r="CJ3" s="755"/>
      <c r="CK3" s="755"/>
      <c r="CL3" s="755"/>
      <c r="CN3" s="753" t="s">
        <v>267</v>
      </c>
      <c r="CO3" s="754"/>
      <c r="CP3" s="754"/>
      <c r="CQ3" s="754"/>
      <c r="CR3" s="755"/>
      <c r="CS3" s="755"/>
      <c r="CT3" s="755"/>
      <c r="CU3" s="755"/>
      <c r="CV3" s="755"/>
    </row>
    <row r="4" spans="2:100" ht="38.25" x14ac:dyDescent="0.2">
      <c r="B4" s="109" t="s">
        <v>1</v>
      </c>
      <c r="C4" s="109" t="s">
        <v>153</v>
      </c>
      <c r="D4" s="110" t="s">
        <v>154</v>
      </c>
      <c r="E4" s="110" t="s">
        <v>155</v>
      </c>
      <c r="G4" s="109"/>
      <c r="H4" s="109"/>
      <c r="I4" s="110"/>
      <c r="J4" s="110"/>
      <c r="L4" s="109" t="s">
        <v>1</v>
      </c>
      <c r="M4" s="109" t="s">
        <v>153</v>
      </c>
      <c r="N4" s="110" t="s">
        <v>154</v>
      </c>
      <c r="O4" s="110" t="s">
        <v>155</v>
      </c>
      <c r="Q4" s="109"/>
      <c r="R4" s="109"/>
      <c r="S4" s="110"/>
      <c r="T4" s="110"/>
      <c r="V4" s="109" t="s">
        <v>1</v>
      </c>
      <c r="W4" s="109" t="s">
        <v>153</v>
      </c>
      <c r="X4" s="110" t="s">
        <v>154</v>
      </c>
      <c r="Y4" s="110" t="s">
        <v>155</v>
      </c>
      <c r="AA4" s="109"/>
      <c r="AB4" s="109"/>
      <c r="AC4" s="110"/>
      <c r="AD4" s="110"/>
      <c r="AF4" s="109" t="s">
        <v>1</v>
      </c>
      <c r="AG4" s="109" t="s">
        <v>153</v>
      </c>
      <c r="AH4" s="110" t="s">
        <v>154</v>
      </c>
      <c r="AI4" s="110" t="s">
        <v>155</v>
      </c>
      <c r="AK4" s="109"/>
      <c r="AL4" s="109"/>
      <c r="AM4" s="110"/>
      <c r="AN4" s="110"/>
      <c r="AP4" s="109" t="s">
        <v>1</v>
      </c>
      <c r="AQ4" s="109" t="s">
        <v>153</v>
      </c>
      <c r="AR4" s="110" t="s">
        <v>154</v>
      </c>
      <c r="AS4" s="110" t="s">
        <v>155</v>
      </c>
      <c r="AU4" s="109"/>
      <c r="AV4" s="109"/>
      <c r="AW4" s="110"/>
      <c r="AX4" s="110"/>
      <c r="AZ4" s="109" t="s">
        <v>1</v>
      </c>
      <c r="BA4" s="109" t="s">
        <v>153</v>
      </c>
      <c r="BB4" s="110" t="s">
        <v>154</v>
      </c>
      <c r="BC4" s="110" t="s">
        <v>155</v>
      </c>
      <c r="BE4" s="109"/>
      <c r="BF4" s="109"/>
      <c r="BG4" s="110"/>
      <c r="BH4" s="110"/>
      <c r="BJ4" s="109" t="s">
        <v>1</v>
      </c>
      <c r="BK4" s="109" t="s">
        <v>153</v>
      </c>
      <c r="BL4" s="110" t="s">
        <v>154</v>
      </c>
      <c r="BM4" s="110" t="s">
        <v>155</v>
      </c>
      <c r="BO4" s="109"/>
      <c r="BP4" s="109"/>
      <c r="BQ4" s="110"/>
      <c r="BR4" s="110"/>
      <c r="BT4" s="109" t="s">
        <v>1</v>
      </c>
      <c r="BU4" s="109" t="s">
        <v>153</v>
      </c>
      <c r="BV4" s="110" t="s">
        <v>154</v>
      </c>
      <c r="BW4" s="110" t="s">
        <v>155</v>
      </c>
      <c r="BY4" s="109"/>
      <c r="BZ4" s="109"/>
      <c r="CA4" s="110"/>
      <c r="CB4" s="110"/>
      <c r="CD4" s="109" t="s">
        <v>1</v>
      </c>
      <c r="CE4" s="109" t="s">
        <v>153</v>
      </c>
      <c r="CF4" s="110" t="s">
        <v>154</v>
      </c>
      <c r="CG4" s="110" t="s">
        <v>155</v>
      </c>
      <c r="CI4" s="109"/>
      <c r="CJ4" s="109"/>
      <c r="CK4" s="110"/>
      <c r="CL4" s="110"/>
      <c r="CN4" s="109" t="s">
        <v>1</v>
      </c>
      <c r="CO4" s="109" t="s">
        <v>153</v>
      </c>
      <c r="CP4" s="110" t="s">
        <v>154</v>
      </c>
      <c r="CQ4" s="110" t="s">
        <v>155</v>
      </c>
      <c r="CS4" s="109"/>
      <c r="CT4" s="109"/>
      <c r="CU4" s="110"/>
      <c r="CV4" s="110"/>
    </row>
    <row r="5" spans="2:100" x14ac:dyDescent="0.2">
      <c r="B5" s="113">
        <v>0</v>
      </c>
      <c r="C5" s="439">
        <v>54.73</v>
      </c>
      <c r="D5" s="439">
        <v>54.96</v>
      </c>
      <c r="E5" s="439">
        <v>55.4</v>
      </c>
      <c r="F5" s="426"/>
      <c r="L5" s="113">
        <v>0</v>
      </c>
      <c r="M5" s="439">
        <v>57.94</v>
      </c>
      <c r="N5" s="439">
        <v>58.24</v>
      </c>
      <c r="O5" s="439">
        <v>58.74</v>
      </c>
      <c r="P5" s="426"/>
      <c r="V5" s="113">
        <v>0</v>
      </c>
      <c r="W5" s="439">
        <v>61.33</v>
      </c>
      <c r="X5" s="439">
        <v>61.7</v>
      </c>
      <c r="Y5" s="439">
        <v>62.25</v>
      </c>
      <c r="Z5" s="426"/>
      <c r="AF5" s="113">
        <v>0</v>
      </c>
      <c r="AG5" s="439">
        <v>64.900000000000006</v>
      </c>
      <c r="AH5" s="439">
        <v>65.34</v>
      </c>
      <c r="AI5" s="439">
        <v>65.959999999999994</v>
      </c>
      <c r="AJ5" s="426"/>
      <c r="AP5" s="113">
        <v>0</v>
      </c>
      <c r="AQ5" s="439">
        <v>68.67</v>
      </c>
      <c r="AR5" s="439">
        <v>69.19</v>
      </c>
      <c r="AS5" s="439">
        <v>69.87</v>
      </c>
      <c r="AT5" s="426"/>
      <c r="AZ5" s="113">
        <v>0</v>
      </c>
      <c r="BA5" s="439">
        <v>71.09</v>
      </c>
      <c r="BB5" s="439">
        <v>71.69</v>
      </c>
      <c r="BC5" s="439">
        <v>72.42</v>
      </c>
      <c r="BD5" s="426"/>
      <c r="BJ5" s="113">
        <v>0</v>
      </c>
      <c r="BK5" s="439">
        <v>75.11</v>
      </c>
      <c r="BL5" s="439">
        <v>75.8</v>
      </c>
      <c r="BM5" s="439">
        <v>76.61</v>
      </c>
      <c r="BN5" s="426"/>
      <c r="BT5" s="113">
        <v>0</v>
      </c>
      <c r="BU5" s="439">
        <v>79.34</v>
      </c>
      <c r="BV5" s="439">
        <v>80.13</v>
      </c>
      <c r="BW5" s="439">
        <v>81.02</v>
      </c>
      <c r="BX5" s="426"/>
      <c r="CD5" s="113">
        <v>0</v>
      </c>
      <c r="CE5" s="439">
        <v>83.78</v>
      </c>
      <c r="CF5" s="439">
        <v>84.69</v>
      </c>
      <c r="CG5" s="439">
        <v>85.66</v>
      </c>
      <c r="CH5" s="426"/>
      <c r="CN5" s="113">
        <v>0</v>
      </c>
      <c r="CO5" s="439">
        <v>88.45</v>
      </c>
      <c r="CP5" s="439">
        <v>89.48</v>
      </c>
      <c r="CQ5" s="439">
        <v>90.54</v>
      </c>
      <c r="CR5" s="426"/>
    </row>
    <row r="6" spans="2:100" x14ac:dyDescent="0.2">
      <c r="B6" s="113">
        <v>1</v>
      </c>
      <c r="C6" s="439">
        <v>54.78</v>
      </c>
      <c r="D6" s="439">
        <v>55.02</v>
      </c>
      <c r="E6" s="439">
        <v>55.46</v>
      </c>
      <c r="F6" s="426"/>
      <c r="L6" s="113">
        <v>1</v>
      </c>
      <c r="M6" s="439">
        <v>58.01</v>
      </c>
      <c r="N6" s="439">
        <v>58.3</v>
      </c>
      <c r="O6" s="439">
        <v>58.8</v>
      </c>
      <c r="P6" s="426"/>
      <c r="V6" s="113">
        <v>1</v>
      </c>
      <c r="W6" s="439">
        <v>61.4</v>
      </c>
      <c r="X6" s="439">
        <v>61.77</v>
      </c>
      <c r="Y6" s="439">
        <v>62.32</v>
      </c>
      <c r="Z6" s="426"/>
      <c r="AF6" s="113">
        <v>1</v>
      </c>
      <c r="AG6" s="439">
        <v>64.98</v>
      </c>
      <c r="AH6" s="439">
        <v>65.42</v>
      </c>
      <c r="AI6" s="439">
        <v>66.040000000000006</v>
      </c>
      <c r="AJ6" s="426"/>
      <c r="AP6" s="113">
        <v>1</v>
      </c>
      <c r="AQ6" s="439">
        <v>68.760000000000005</v>
      </c>
      <c r="AR6" s="439">
        <v>69.28</v>
      </c>
      <c r="AS6" s="439">
        <v>69.959999999999994</v>
      </c>
      <c r="AT6" s="426"/>
      <c r="AZ6" s="113">
        <v>1</v>
      </c>
      <c r="BA6" s="439">
        <v>71.19</v>
      </c>
      <c r="BB6" s="439">
        <v>71.790000000000006</v>
      </c>
      <c r="BC6" s="439">
        <v>72.52</v>
      </c>
      <c r="BD6" s="426"/>
      <c r="BJ6" s="113">
        <v>1</v>
      </c>
      <c r="BK6" s="439">
        <v>75.22</v>
      </c>
      <c r="BL6" s="439">
        <v>75.91</v>
      </c>
      <c r="BM6" s="439">
        <v>76.73</v>
      </c>
      <c r="BN6" s="426"/>
      <c r="BT6" s="113">
        <v>1</v>
      </c>
      <c r="BU6" s="439">
        <v>79.459999999999994</v>
      </c>
      <c r="BV6" s="439">
        <v>80.260000000000005</v>
      </c>
      <c r="BW6" s="439">
        <v>81.150000000000006</v>
      </c>
      <c r="BX6" s="426"/>
      <c r="CD6" s="113">
        <v>1</v>
      </c>
      <c r="CE6" s="439">
        <v>83.92</v>
      </c>
      <c r="CF6" s="439">
        <v>84.83</v>
      </c>
      <c r="CG6" s="439">
        <v>85.81</v>
      </c>
      <c r="CH6" s="426"/>
      <c r="CN6" s="113">
        <v>1</v>
      </c>
      <c r="CO6" s="439">
        <v>88.6</v>
      </c>
      <c r="CP6" s="439">
        <v>89.63</v>
      </c>
      <c r="CQ6" s="439">
        <v>90.7</v>
      </c>
      <c r="CR6" s="426"/>
    </row>
    <row r="7" spans="2:100" x14ac:dyDescent="0.2">
      <c r="B7" s="113">
        <v>2</v>
      </c>
      <c r="C7" s="439">
        <v>54.84</v>
      </c>
      <c r="D7" s="439">
        <v>55.08</v>
      </c>
      <c r="E7" s="439">
        <v>55.53</v>
      </c>
      <c r="F7" s="426"/>
      <c r="L7" s="113">
        <v>2</v>
      </c>
      <c r="M7" s="439">
        <v>58.08</v>
      </c>
      <c r="N7" s="439">
        <v>58.37</v>
      </c>
      <c r="O7" s="439">
        <v>58.87</v>
      </c>
      <c r="P7" s="426"/>
      <c r="V7" s="113">
        <v>2</v>
      </c>
      <c r="W7" s="439">
        <v>61.48</v>
      </c>
      <c r="X7" s="439">
        <v>61.84</v>
      </c>
      <c r="Y7" s="439">
        <v>62.4</v>
      </c>
      <c r="Z7" s="426"/>
      <c r="AF7" s="113">
        <v>2</v>
      </c>
      <c r="AG7" s="439">
        <v>65.069999999999993</v>
      </c>
      <c r="AH7" s="439">
        <v>65.510000000000005</v>
      </c>
      <c r="AI7" s="439">
        <v>66.13</v>
      </c>
      <c r="AJ7" s="426"/>
      <c r="AP7" s="113">
        <v>2</v>
      </c>
      <c r="AQ7" s="439">
        <v>68.849999999999994</v>
      </c>
      <c r="AR7" s="439">
        <v>69.37</v>
      </c>
      <c r="AS7" s="439">
        <v>70.06</v>
      </c>
      <c r="AT7" s="426"/>
      <c r="AZ7" s="113">
        <v>2</v>
      </c>
      <c r="BA7" s="439">
        <v>71.3</v>
      </c>
      <c r="BB7" s="439">
        <v>71.89</v>
      </c>
      <c r="BC7" s="439">
        <v>72.63</v>
      </c>
      <c r="BD7" s="426"/>
      <c r="BJ7" s="113">
        <v>2</v>
      </c>
      <c r="BK7" s="439">
        <v>75.34</v>
      </c>
      <c r="BL7" s="439">
        <v>76.03</v>
      </c>
      <c r="BM7" s="439">
        <v>76.849999999999994</v>
      </c>
      <c r="BN7" s="426"/>
      <c r="BT7" s="113">
        <v>2</v>
      </c>
      <c r="BU7" s="439">
        <v>79.59</v>
      </c>
      <c r="BV7" s="439">
        <v>80.39</v>
      </c>
      <c r="BW7" s="439">
        <v>81.290000000000006</v>
      </c>
      <c r="BX7" s="426"/>
      <c r="CD7" s="113">
        <v>2</v>
      </c>
      <c r="CE7" s="439">
        <v>84.07</v>
      </c>
      <c r="CF7" s="439">
        <v>84.98</v>
      </c>
      <c r="CG7" s="439">
        <v>85.96</v>
      </c>
      <c r="CH7" s="426"/>
      <c r="CN7" s="113">
        <v>2</v>
      </c>
      <c r="CO7" s="439">
        <v>88.77</v>
      </c>
      <c r="CP7" s="439">
        <v>89.8</v>
      </c>
      <c r="CQ7" s="439">
        <v>90.87</v>
      </c>
      <c r="CR7" s="426"/>
    </row>
    <row r="8" spans="2:100" x14ac:dyDescent="0.2">
      <c r="B8" s="113">
        <v>3</v>
      </c>
      <c r="C8" s="439">
        <v>54.91</v>
      </c>
      <c r="D8" s="439">
        <v>55.14</v>
      </c>
      <c r="E8" s="439">
        <v>55.59</v>
      </c>
      <c r="F8" s="426"/>
      <c r="L8" s="113">
        <v>3</v>
      </c>
      <c r="M8" s="439">
        <v>58.15</v>
      </c>
      <c r="N8" s="439">
        <v>58.44</v>
      </c>
      <c r="O8" s="439">
        <v>58.94</v>
      </c>
      <c r="P8" s="426"/>
      <c r="V8" s="113">
        <v>3</v>
      </c>
      <c r="W8" s="439">
        <v>61.56</v>
      </c>
      <c r="X8" s="439">
        <v>61.92</v>
      </c>
      <c r="Y8" s="439">
        <v>62.48</v>
      </c>
      <c r="Z8" s="426"/>
      <c r="AF8" s="113">
        <v>3</v>
      </c>
      <c r="AG8" s="439">
        <v>65.16</v>
      </c>
      <c r="AH8" s="439">
        <v>65.599999999999994</v>
      </c>
      <c r="AI8" s="439">
        <v>66.22</v>
      </c>
      <c r="AJ8" s="426"/>
      <c r="AP8" s="113">
        <v>3</v>
      </c>
      <c r="AQ8" s="439">
        <v>68.95</v>
      </c>
      <c r="AR8" s="439">
        <v>69.47</v>
      </c>
      <c r="AS8" s="439">
        <v>70.16</v>
      </c>
      <c r="AT8" s="426"/>
      <c r="AZ8" s="113">
        <v>3</v>
      </c>
      <c r="BA8" s="439">
        <v>71.41</v>
      </c>
      <c r="BB8" s="439">
        <v>72.010000000000005</v>
      </c>
      <c r="BC8" s="439">
        <v>72.75</v>
      </c>
      <c r="BD8" s="426"/>
      <c r="BJ8" s="113">
        <v>3</v>
      </c>
      <c r="BK8" s="439">
        <v>75.459999999999994</v>
      </c>
      <c r="BL8" s="439">
        <v>76.16</v>
      </c>
      <c r="BM8" s="439">
        <v>76.97</v>
      </c>
      <c r="BN8" s="426"/>
      <c r="BT8" s="113">
        <v>3</v>
      </c>
      <c r="BU8" s="439">
        <v>79.73</v>
      </c>
      <c r="BV8" s="439">
        <v>80.53</v>
      </c>
      <c r="BW8" s="439">
        <v>81.430000000000007</v>
      </c>
      <c r="BX8" s="426"/>
      <c r="CD8" s="113">
        <v>3</v>
      </c>
      <c r="CE8" s="439">
        <v>84.22</v>
      </c>
      <c r="CF8" s="439">
        <v>85.13</v>
      </c>
      <c r="CG8" s="439">
        <v>86.12</v>
      </c>
      <c r="CH8" s="426"/>
      <c r="CN8" s="113">
        <v>3</v>
      </c>
      <c r="CO8" s="439">
        <v>88.94</v>
      </c>
      <c r="CP8" s="439">
        <v>89.97</v>
      </c>
      <c r="CQ8" s="439">
        <v>91.05</v>
      </c>
      <c r="CR8" s="426"/>
    </row>
    <row r="9" spans="2:100" x14ac:dyDescent="0.2">
      <c r="B9" s="113">
        <v>4</v>
      </c>
      <c r="C9" s="439">
        <v>54.97</v>
      </c>
      <c r="D9" s="439">
        <v>55.21</v>
      </c>
      <c r="E9" s="439">
        <v>55.66</v>
      </c>
      <c r="F9" s="426"/>
      <c r="L9" s="113">
        <v>4</v>
      </c>
      <c r="M9" s="439">
        <v>58.22</v>
      </c>
      <c r="N9" s="439">
        <v>58.52</v>
      </c>
      <c r="O9" s="439">
        <v>59.02</v>
      </c>
      <c r="P9" s="426"/>
      <c r="V9" s="113">
        <v>4</v>
      </c>
      <c r="W9" s="439">
        <v>61.64</v>
      </c>
      <c r="X9" s="439">
        <v>62.01</v>
      </c>
      <c r="Y9" s="439">
        <v>62.569999999999993</v>
      </c>
      <c r="Z9" s="426"/>
      <c r="AF9" s="113">
        <v>4</v>
      </c>
      <c r="AG9" s="439">
        <v>65.25</v>
      </c>
      <c r="AH9" s="439">
        <v>65.69</v>
      </c>
      <c r="AI9" s="439">
        <v>66.319999999999993</v>
      </c>
      <c r="AJ9" s="426"/>
      <c r="AP9" s="113">
        <v>4</v>
      </c>
      <c r="AQ9" s="439">
        <v>69.06</v>
      </c>
      <c r="AR9" s="439">
        <v>69.58</v>
      </c>
      <c r="AS9" s="439">
        <v>70.27</v>
      </c>
      <c r="AT9" s="426"/>
      <c r="AZ9" s="113">
        <v>4</v>
      </c>
      <c r="BA9" s="439">
        <v>71.52</v>
      </c>
      <c r="BB9" s="439">
        <v>72.12</v>
      </c>
      <c r="BC9" s="439">
        <v>72.87</v>
      </c>
      <c r="BD9" s="426"/>
      <c r="BJ9" s="113">
        <v>4</v>
      </c>
      <c r="BK9" s="439">
        <v>75.59</v>
      </c>
      <c r="BL9" s="439">
        <v>76.290000000000006</v>
      </c>
      <c r="BM9" s="439">
        <v>77.11</v>
      </c>
      <c r="BN9" s="426"/>
      <c r="BT9" s="113">
        <v>4</v>
      </c>
      <c r="BU9" s="439">
        <v>79.88</v>
      </c>
      <c r="BV9" s="439">
        <v>80.680000000000007</v>
      </c>
      <c r="BW9" s="439">
        <v>81.58</v>
      </c>
      <c r="BX9" s="426"/>
      <c r="CD9" s="113">
        <v>4</v>
      </c>
      <c r="CE9" s="439">
        <v>84.38</v>
      </c>
      <c r="CF9" s="439">
        <v>85.3</v>
      </c>
      <c r="CG9" s="439">
        <v>86.28</v>
      </c>
      <c r="CH9" s="426"/>
      <c r="CN9" s="113">
        <v>4</v>
      </c>
      <c r="CO9" s="439">
        <v>89.12</v>
      </c>
      <c r="CP9" s="439">
        <v>90.16</v>
      </c>
      <c r="CQ9" s="439">
        <v>91.24</v>
      </c>
      <c r="CR9" s="426"/>
    </row>
    <row r="10" spans="2:100" x14ac:dyDescent="0.2">
      <c r="B10" s="113">
        <v>5</v>
      </c>
      <c r="C10" s="439">
        <v>55.04</v>
      </c>
      <c r="D10" s="439">
        <v>55.28</v>
      </c>
      <c r="E10" s="439">
        <v>55.73</v>
      </c>
      <c r="F10" s="426"/>
      <c r="L10" s="113">
        <v>5</v>
      </c>
      <c r="M10" s="439">
        <v>58.3</v>
      </c>
      <c r="N10" s="439">
        <v>58.6</v>
      </c>
      <c r="O10" s="439">
        <v>59.1</v>
      </c>
      <c r="P10" s="426"/>
      <c r="V10" s="113">
        <v>5</v>
      </c>
      <c r="W10" s="439">
        <v>61.73</v>
      </c>
      <c r="X10" s="439">
        <v>62.1</v>
      </c>
      <c r="Y10" s="439">
        <v>62.66</v>
      </c>
      <c r="Z10" s="426"/>
      <c r="AF10" s="113">
        <v>5</v>
      </c>
      <c r="AG10" s="439">
        <v>65.349999999999994</v>
      </c>
      <c r="AH10" s="439">
        <v>65.790000000000006</v>
      </c>
      <c r="AI10" s="439">
        <v>66.42</v>
      </c>
      <c r="AJ10" s="426"/>
      <c r="AP10" s="113">
        <v>5</v>
      </c>
      <c r="AQ10" s="439">
        <v>69.16</v>
      </c>
      <c r="AR10" s="439">
        <v>69.69</v>
      </c>
      <c r="AS10" s="439">
        <v>70.38</v>
      </c>
      <c r="AT10" s="426"/>
      <c r="AZ10" s="113">
        <v>5</v>
      </c>
      <c r="BA10" s="439">
        <v>71.650000000000006</v>
      </c>
      <c r="BB10" s="439">
        <v>72.25</v>
      </c>
      <c r="BC10" s="439">
        <v>72.989999999999995</v>
      </c>
      <c r="BD10" s="426"/>
      <c r="BJ10" s="113">
        <v>5</v>
      </c>
      <c r="BK10" s="439">
        <v>75.73</v>
      </c>
      <c r="BL10" s="439">
        <v>76.430000000000007</v>
      </c>
      <c r="BM10" s="439">
        <v>77.25</v>
      </c>
      <c r="BN10" s="426"/>
      <c r="BT10" s="113">
        <v>5</v>
      </c>
      <c r="BU10" s="439">
        <v>80.03</v>
      </c>
      <c r="BV10" s="439">
        <v>80.83</v>
      </c>
      <c r="BW10" s="439">
        <v>81.73</v>
      </c>
      <c r="BX10" s="426"/>
      <c r="CD10" s="113">
        <v>5</v>
      </c>
      <c r="CE10" s="439">
        <v>84.55</v>
      </c>
      <c r="CF10" s="439">
        <v>85.47</v>
      </c>
      <c r="CG10" s="439">
        <v>86.46</v>
      </c>
      <c r="CH10" s="426"/>
      <c r="CN10" s="113">
        <v>5</v>
      </c>
      <c r="CO10" s="439">
        <v>89.31</v>
      </c>
      <c r="CP10" s="439">
        <v>90.35</v>
      </c>
      <c r="CQ10" s="439">
        <v>91.43</v>
      </c>
      <c r="CR10" s="426"/>
    </row>
    <row r="11" spans="2:100" x14ac:dyDescent="0.2">
      <c r="B11" s="113">
        <v>6</v>
      </c>
      <c r="C11" s="439">
        <v>55.12</v>
      </c>
      <c r="D11" s="439">
        <v>55.35</v>
      </c>
      <c r="E11" s="439">
        <v>55.8</v>
      </c>
      <c r="F11" s="426"/>
      <c r="L11" s="113">
        <v>6</v>
      </c>
      <c r="M11" s="439">
        <v>58.38</v>
      </c>
      <c r="N11" s="439">
        <v>58.68</v>
      </c>
      <c r="O11" s="439">
        <v>59.18</v>
      </c>
      <c r="P11" s="426"/>
      <c r="V11" s="113">
        <v>6</v>
      </c>
      <c r="W11" s="439">
        <v>61.82</v>
      </c>
      <c r="X11" s="439">
        <v>62.19</v>
      </c>
      <c r="Y11" s="439">
        <v>62.75</v>
      </c>
      <c r="Z11" s="426"/>
      <c r="AF11" s="113">
        <v>6</v>
      </c>
      <c r="AG11" s="439">
        <v>65.45</v>
      </c>
      <c r="AH11" s="439">
        <v>65.89</v>
      </c>
      <c r="AI11" s="439">
        <v>66.52</v>
      </c>
      <c r="AJ11" s="426"/>
      <c r="AP11" s="113">
        <v>6</v>
      </c>
      <c r="AQ11" s="439">
        <v>69.28</v>
      </c>
      <c r="AR11" s="439">
        <v>69.81</v>
      </c>
      <c r="AS11" s="439">
        <v>70.5</v>
      </c>
      <c r="AT11" s="426"/>
      <c r="AZ11" s="113">
        <v>6</v>
      </c>
      <c r="BA11" s="439">
        <v>71.77</v>
      </c>
      <c r="BB11" s="439">
        <v>72.38</v>
      </c>
      <c r="BC11" s="439">
        <v>73.12</v>
      </c>
      <c r="BD11" s="426"/>
      <c r="BJ11" s="113">
        <v>6</v>
      </c>
      <c r="BK11" s="439">
        <v>75.87</v>
      </c>
      <c r="BL11" s="439">
        <v>76.569999999999993</v>
      </c>
      <c r="BM11" s="439">
        <v>77.400000000000006</v>
      </c>
      <c r="BN11" s="426"/>
      <c r="BT11" s="113">
        <v>6</v>
      </c>
      <c r="BU11" s="439">
        <v>80.19</v>
      </c>
      <c r="BV11" s="439">
        <v>80.989999999999995</v>
      </c>
      <c r="BW11" s="439">
        <v>81.900000000000006</v>
      </c>
      <c r="BX11" s="426"/>
      <c r="CD11" s="113">
        <v>6</v>
      </c>
      <c r="CE11" s="439">
        <v>84.73</v>
      </c>
      <c r="CF11" s="439">
        <v>85.65</v>
      </c>
      <c r="CG11" s="439">
        <v>86.64</v>
      </c>
      <c r="CH11" s="426"/>
      <c r="CN11" s="113">
        <v>6</v>
      </c>
      <c r="CO11" s="439">
        <v>89.51</v>
      </c>
      <c r="CP11" s="439">
        <v>90.55</v>
      </c>
      <c r="CQ11" s="439">
        <v>91.64</v>
      </c>
      <c r="CR11" s="426"/>
    </row>
    <row r="12" spans="2:100" x14ac:dyDescent="0.2">
      <c r="B12" s="113">
        <v>7</v>
      </c>
      <c r="C12" s="439">
        <v>55.19</v>
      </c>
      <c r="D12" s="439">
        <v>55.43</v>
      </c>
      <c r="E12" s="439">
        <v>55.88</v>
      </c>
      <c r="F12" s="426"/>
      <c r="L12" s="113">
        <v>7</v>
      </c>
      <c r="M12" s="439">
        <v>58.47</v>
      </c>
      <c r="N12" s="439">
        <v>58.76</v>
      </c>
      <c r="O12" s="439">
        <v>59.27</v>
      </c>
      <c r="P12" s="426"/>
      <c r="V12" s="113">
        <v>7</v>
      </c>
      <c r="W12" s="439">
        <v>61.92</v>
      </c>
      <c r="X12" s="439">
        <v>62.29</v>
      </c>
      <c r="Y12" s="439">
        <v>62.849999999999994</v>
      </c>
      <c r="Z12" s="426"/>
      <c r="AF12" s="113">
        <v>7</v>
      </c>
      <c r="AG12" s="439">
        <v>65.56</v>
      </c>
      <c r="AH12" s="439">
        <v>66</v>
      </c>
      <c r="AI12" s="439">
        <v>66.63</v>
      </c>
      <c r="AJ12" s="426"/>
      <c r="AP12" s="113">
        <v>7</v>
      </c>
      <c r="AQ12" s="439">
        <v>69.400000000000006</v>
      </c>
      <c r="AR12" s="439">
        <v>69.930000000000007</v>
      </c>
      <c r="AS12" s="439">
        <v>70.62</v>
      </c>
      <c r="AT12" s="426"/>
      <c r="AZ12" s="113">
        <v>7</v>
      </c>
      <c r="BA12" s="439">
        <v>71.91</v>
      </c>
      <c r="BB12" s="439">
        <v>72.510000000000005</v>
      </c>
      <c r="BC12" s="439">
        <v>73.260000000000005</v>
      </c>
      <c r="BD12" s="426"/>
      <c r="BJ12" s="113">
        <v>7</v>
      </c>
      <c r="BK12" s="439">
        <v>76.02</v>
      </c>
      <c r="BL12" s="439">
        <v>76.72</v>
      </c>
      <c r="BM12" s="439">
        <v>77.55</v>
      </c>
      <c r="BN12" s="426"/>
      <c r="BT12" s="113">
        <v>7</v>
      </c>
      <c r="BU12" s="439">
        <v>80.36</v>
      </c>
      <c r="BV12" s="439">
        <v>81.16</v>
      </c>
      <c r="BW12" s="439">
        <v>82.07</v>
      </c>
      <c r="BX12" s="426"/>
      <c r="CD12" s="113">
        <v>7</v>
      </c>
      <c r="CE12" s="439">
        <v>84.92</v>
      </c>
      <c r="CF12" s="439">
        <v>85.84</v>
      </c>
      <c r="CG12" s="439">
        <v>86.84</v>
      </c>
      <c r="CH12" s="426"/>
      <c r="CN12" s="113">
        <v>7</v>
      </c>
      <c r="CO12" s="439">
        <v>89.72</v>
      </c>
      <c r="CP12" s="439">
        <v>90.76</v>
      </c>
      <c r="CQ12" s="439">
        <v>91.85</v>
      </c>
      <c r="CR12" s="426"/>
    </row>
    <row r="13" spans="2:100" x14ac:dyDescent="0.2">
      <c r="B13" s="113">
        <v>8</v>
      </c>
      <c r="C13" s="439">
        <v>55.27</v>
      </c>
      <c r="D13" s="439">
        <v>55.51</v>
      </c>
      <c r="E13" s="439">
        <v>55.96</v>
      </c>
      <c r="F13" s="426"/>
      <c r="L13" s="113">
        <v>8</v>
      </c>
      <c r="M13" s="439">
        <v>58.56</v>
      </c>
      <c r="N13" s="439">
        <v>58.85</v>
      </c>
      <c r="O13" s="439">
        <v>59.36</v>
      </c>
      <c r="P13" s="426"/>
      <c r="V13" s="113">
        <v>8</v>
      </c>
      <c r="W13" s="439">
        <v>62.02</v>
      </c>
      <c r="X13" s="439">
        <v>62.39</v>
      </c>
      <c r="Y13" s="439">
        <v>62.95</v>
      </c>
      <c r="Z13" s="426"/>
      <c r="AF13" s="113">
        <v>8</v>
      </c>
      <c r="AG13" s="439">
        <v>65.67</v>
      </c>
      <c r="AH13" s="439">
        <v>66.12</v>
      </c>
      <c r="AI13" s="439">
        <v>66.75</v>
      </c>
      <c r="AJ13" s="426"/>
      <c r="AP13" s="113">
        <v>8</v>
      </c>
      <c r="AQ13" s="439">
        <v>69.53</v>
      </c>
      <c r="AR13" s="439">
        <v>70.05</v>
      </c>
      <c r="AS13" s="439">
        <v>70.75</v>
      </c>
      <c r="AT13" s="426"/>
      <c r="AZ13" s="113">
        <v>8</v>
      </c>
      <c r="BA13" s="439">
        <v>72.05</v>
      </c>
      <c r="BB13" s="439">
        <v>72.650000000000006</v>
      </c>
      <c r="BC13" s="439">
        <v>73.41</v>
      </c>
      <c r="BD13" s="426"/>
      <c r="BJ13" s="113">
        <v>8</v>
      </c>
      <c r="BK13" s="439">
        <v>76.180000000000007</v>
      </c>
      <c r="BL13" s="439">
        <v>76.88</v>
      </c>
      <c r="BM13" s="439">
        <v>77.709999999999994</v>
      </c>
      <c r="BN13" s="426"/>
      <c r="BT13" s="113">
        <v>8</v>
      </c>
      <c r="BU13" s="439">
        <v>80.53</v>
      </c>
      <c r="BV13" s="439">
        <v>81.34</v>
      </c>
      <c r="BW13" s="439">
        <v>82.25</v>
      </c>
      <c r="BX13" s="426"/>
      <c r="CD13" s="113">
        <v>8</v>
      </c>
      <c r="CE13" s="439">
        <v>85.11</v>
      </c>
      <c r="CF13" s="439">
        <v>86.04</v>
      </c>
      <c r="CG13" s="439">
        <v>87.04</v>
      </c>
      <c r="CH13" s="426"/>
      <c r="CN13" s="113">
        <v>8</v>
      </c>
      <c r="CO13" s="439">
        <v>89.94</v>
      </c>
      <c r="CP13" s="439">
        <v>90.98</v>
      </c>
      <c r="CQ13" s="439">
        <v>92.08</v>
      </c>
      <c r="CR13" s="426"/>
    </row>
    <row r="14" spans="2:100" x14ac:dyDescent="0.2">
      <c r="B14" s="113">
        <v>9</v>
      </c>
      <c r="C14" s="439">
        <v>55.36</v>
      </c>
      <c r="D14" s="439">
        <v>55.59</v>
      </c>
      <c r="E14" s="439">
        <v>56.05</v>
      </c>
      <c r="F14" s="426"/>
      <c r="L14" s="113">
        <v>9</v>
      </c>
      <c r="M14" s="439">
        <v>58.65</v>
      </c>
      <c r="N14" s="439">
        <v>58.95</v>
      </c>
      <c r="O14" s="439">
        <v>59.46</v>
      </c>
      <c r="P14" s="426"/>
      <c r="V14" s="113">
        <v>9</v>
      </c>
      <c r="W14" s="439">
        <v>62.13</v>
      </c>
      <c r="X14" s="439">
        <v>62.49</v>
      </c>
      <c r="Y14" s="439">
        <v>63.06</v>
      </c>
      <c r="Z14" s="426"/>
      <c r="AF14" s="113">
        <v>9</v>
      </c>
      <c r="AG14" s="439">
        <v>65.790000000000006</v>
      </c>
      <c r="AH14" s="439">
        <v>66.239999999999995</v>
      </c>
      <c r="AI14" s="439">
        <v>66.87</v>
      </c>
      <c r="AJ14" s="426"/>
      <c r="AP14" s="113">
        <v>9</v>
      </c>
      <c r="AQ14" s="439">
        <v>69.66</v>
      </c>
      <c r="AR14" s="439">
        <v>70.19</v>
      </c>
      <c r="AS14" s="439">
        <v>70.89</v>
      </c>
      <c r="AT14" s="426"/>
      <c r="AZ14" s="113">
        <v>9</v>
      </c>
      <c r="BA14" s="439">
        <v>72.2</v>
      </c>
      <c r="BB14" s="439">
        <v>72.8</v>
      </c>
      <c r="BC14" s="439">
        <v>73.56</v>
      </c>
      <c r="BD14" s="426"/>
      <c r="BJ14" s="113">
        <v>9</v>
      </c>
      <c r="BK14" s="439">
        <v>76.349999999999994</v>
      </c>
      <c r="BL14" s="439">
        <v>77.05</v>
      </c>
      <c r="BM14" s="439">
        <v>77.88</v>
      </c>
      <c r="BN14" s="426"/>
      <c r="BT14" s="113">
        <v>9</v>
      </c>
      <c r="BU14" s="439">
        <v>80.72</v>
      </c>
      <c r="BV14" s="439">
        <v>81.53</v>
      </c>
      <c r="BW14" s="439">
        <v>82.44</v>
      </c>
      <c r="BX14" s="426"/>
      <c r="CD14" s="113">
        <v>9</v>
      </c>
      <c r="CE14" s="439">
        <v>85.32</v>
      </c>
      <c r="CF14" s="439">
        <v>86.25</v>
      </c>
      <c r="CG14" s="439">
        <v>87.25</v>
      </c>
      <c r="CH14" s="426"/>
      <c r="CN14" s="113">
        <v>9</v>
      </c>
      <c r="CO14" s="439">
        <v>90.17</v>
      </c>
      <c r="CP14" s="439">
        <v>91.22</v>
      </c>
      <c r="CQ14" s="439">
        <v>92.32</v>
      </c>
      <c r="CR14" s="426"/>
    </row>
    <row r="15" spans="2:100" x14ac:dyDescent="0.2">
      <c r="B15" s="113">
        <v>10</v>
      </c>
      <c r="C15" s="439">
        <v>55.45</v>
      </c>
      <c r="D15" s="439">
        <v>55.68</v>
      </c>
      <c r="E15" s="439">
        <v>56.14</v>
      </c>
      <c r="F15" s="426"/>
      <c r="L15" s="113">
        <v>10</v>
      </c>
      <c r="M15" s="439">
        <v>58.75</v>
      </c>
      <c r="N15" s="439">
        <v>59.05</v>
      </c>
      <c r="O15" s="439">
        <v>59.56</v>
      </c>
      <c r="P15" s="426"/>
      <c r="V15" s="113">
        <v>10</v>
      </c>
      <c r="W15" s="439">
        <v>62.24</v>
      </c>
      <c r="X15" s="439">
        <v>62.61</v>
      </c>
      <c r="Y15" s="439">
        <v>63.180000000000007</v>
      </c>
      <c r="Z15" s="426"/>
      <c r="AF15" s="113">
        <v>10</v>
      </c>
      <c r="AG15" s="439">
        <v>65.92</v>
      </c>
      <c r="AH15" s="439">
        <v>66.36</v>
      </c>
      <c r="AI15" s="439">
        <v>67</v>
      </c>
      <c r="AJ15" s="426"/>
      <c r="AP15" s="113">
        <v>10</v>
      </c>
      <c r="AQ15" s="439">
        <v>69.8</v>
      </c>
      <c r="AR15" s="439">
        <v>70.33</v>
      </c>
      <c r="AS15" s="439">
        <v>71.03</v>
      </c>
      <c r="AT15" s="426"/>
      <c r="AZ15" s="113">
        <v>10</v>
      </c>
      <c r="BA15" s="439">
        <v>72.349999999999994</v>
      </c>
      <c r="BB15" s="439">
        <v>72.959999999999994</v>
      </c>
      <c r="BC15" s="439">
        <v>73.72</v>
      </c>
      <c r="BD15" s="426"/>
      <c r="BJ15" s="113">
        <v>10</v>
      </c>
      <c r="BK15" s="439">
        <v>76.52</v>
      </c>
      <c r="BL15" s="439">
        <v>77.23</v>
      </c>
      <c r="BM15" s="439">
        <v>78.06</v>
      </c>
      <c r="BN15" s="426"/>
      <c r="BT15" s="113">
        <v>10</v>
      </c>
      <c r="BU15" s="439">
        <v>80.91</v>
      </c>
      <c r="BV15" s="439">
        <v>81.73</v>
      </c>
      <c r="BW15" s="439">
        <v>82.64</v>
      </c>
      <c r="BX15" s="426"/>
      <c r="CD15" s="113">
        <v>10</v>
      </c>
      <c r="CE15" s="439">
        <v>85.54</v>
      </c>
      <c r="CF15" s="439">
        <v>86.47</v>
      </c>
      <c r="CG15" s="439">
        <v>87.48</v>
      </c>
      <c r="CH15" s="426"/>
      <c r="CN15" s="113">
        <v>10</v>
      </c>
      <c r="CO15" s="439">
        <v>90.41</v>
      </c>
      <c r="CP15" s="439">
        <v>91.46</v>
      </c>
      <c r="CQ15" s="439">
        <v>92.57</v>
      </c>
      <c r="CR15" s="426"/>
    </row>
    <row r="16" spans="2:100" x14ac:dyDescent="0.2">
      <c r="B16" s="113">
        <v>11</v>
      </c>
      <c r="C16" s="439">
        <v>55.54</v>
      </c>
      <c r="D16" s="439">
        <v>55.78</v>
      </c>
      <c r="E16" s="439">
        <v>56.24</v>
      </c>
      <c r="F16" s="426"/>
      <c r="L16" s="113">
        <v>11</v>
      </c>
      <c r="M16" s="439">
        <v>58.85</v>
      </c>
      <c r="N16" s="439">
        <v>59.16</v>
      </c>
      <c r="O16" s="439">
        <v>59.67</v>
      </c>
      <c r="P16" s="426"/>
      <c r="V16" s="113">
        <v>11</v>
      </c>
      <c r="W16" s="439">
        <v>62.35</v>
      </c>
      <c r="X16" s="439">
        <v>62.72</v>
      </c>
      <c r="Y16" s="439">
        <v>63.3</v>
      </c>
      <c r="Z16" s="426"/>
      <c r="AF16" s="113">
        <v>11</v>
      </c>
      <c r="AG16" s="439">
        <v>66.05</v>
      </c>
      <c r="AH16" s="439">
        <v>66.5</v>
      </c>
      <c r="AI16" s="439">
        <v>67.13</v>
      </c>
      <c r="AJ16" s="426"/>
      <c r="AP16" s="113">
        <v>11</v>
      </c>
      <c r="AQ16" s="439">
        <v>69.95</v>
      </c>
      <c r="AR16" s="439">
        <v>70.48</v>
      </c>
      <c r="AS16" s="439">
        <v>71.180000000000007</v>
      </c>
      <c r="AT16" s="426"/>
      <c r="AZ16" s="113">
        <v>11</v>
      </c>
      <c r="BA16" s="439">
        <v>72.52</v>
      </c>
      <c r="BB16" s="439">
        <v>73.13</v>
      </c>
      <c r="BC16" s="439">
        <v>73.89</v>
      </c>
      <c r="BD16" s="426"/>
      <c r="BJ16" s="113">
        <v>11</v>
      </c>
      <c r="BK16" s="439">
        <v>76.709999999999994</v>
      </c>
      <c r="BL16" s="439">
        <v>77.41</v>
      </c>
      <c r="BM16" s="439">
        <v>78.25</v>
      </c>
      <c r="BN16" s="426"/>
      <c r="BT16" s="113">
        <v>11</v>
      </c>
      <c r="BU16" s="439">
        <v>81.12</v>
      </c>
      <c r="BV16" s="439">
        <v>81.93</v>
      </c>
      <c r="BW16" s="439">
        <v>82.86</v>
      </c>
      <c r="BX16" s="426"/>
      <c r="CD16" s="113">
        <v>11</v>
      </c>
      <c r="CE16" s="439">
        <v>85.77</v>
      </c>
      <c r="CF16" s="439">
        <v>86.7</v>
      </c>
      <c r="CG16" s="439">
        <v>87.71</v>
      </c>
      <c r="CH16" s="426"/>
      <c r="CN16" s="113">
        <v>11</v>
      </c>
      <c r="CO16" s="439">
        <v>90.67</v>
      </c>
      <c r="CP16" s="439">
        <v>91.72</v>
      </c>
      <c r="CQ16" s="439">
        <v>92.83</v>
      </c>
      <c r="CR16" s="426"/>
    </row>
    <row r="17" spans="2:96" x14ac:dyDescent="0.2">
      <c r="B17" s="113">
        <v>12</v>
      </c>
      <c r="C17" s="439">
        <v>55.64</v>
      </c>
      <c r="D17" s="439">
        <v>55.88</v>
      </c>
      <c r="E17" s="439">
        <v>56.34</v>
      </c>
      <c r="F17" s="426"/>
      <c r="L17" s="113">
        <v>12</v>
      </c>
      <c r="M17" s="439">
        <v>58.96</v>
      </c>
      <c r="N17" s="439">
        <v>59.27</v>
      </c>
      <c r="O17" s="439">
        <v>59.78</v>
      </c>
      <c r="P17" s="426"/>
      <c r="V17" s="113">
        <v>12</v>
      </c>
      <c r="W17" s="439">
        <v>62.48</v>
      </c>
      <c r="X17" s="439">
        <v>62.849999999999994</v>
      </c>
      <c r="Y17" s="439">
        <v>63.42</v>
      </c>
      <c r="Z17" s="426"/>
      <c r="AF17" s="113">
        <v>12</v>
      </c>
      <c r="AG17" s="439">
        <v>66.19</v>
      </c>
      <c r="AH17" s="439">
        <v>66.63</v>
      </c>
      <c r="AI17" s="439">
        <v>67.27</v>
      </c>
      <c r="AJ17" s="426"/>
      <c r="AP17" s="113">
        <v>12</v>
      </c>
      <c r="AQ17" s="439">
        <v>70.099999999999994</v>
      </c>
      <c r="AR17" s="439">
        <v>70.63</v>
      </c>
      <c r="AS17" s="439">
        <v>71.34</v>
      </c>
      <c r="AT17" s="426"/>
      <c r="AZ17" s="113">
        <v>12</v>
      </c>
      <c r="BA17" s="439">
        <v>72.69</v>
      </c>
      <c r="BB17" s="439">
        <v>73.3</v>
      </c>
      <c r="BC17" s="439">
        <v>74.069999999999993</v>
      </c>
      <c r="BD17" s="426"/>
      <c r="BJ17" s="113">
        <v>12</v>
      </c>
      <c r="BK17" s="439">
        <v>76.900000000000006</v>
      </c>
      <c r="BL17" s="439">
        <v>77.61</v>
      </c>
      <c r="BM17" s="439">
        <v>78.45</v>
      </c>
      <c r="BN17" s="426"/>
      <c r="BT17" s="113">
        <v>12</v>
      </c>
      <c r="BU17" s="439">
        <v>81.33</v>
      </c>
      <c r="BV17" s="439">
        <v>82.15</v>
      </c>
      <c r="BW17" s="439">
        <v>83.08</v>
      </c>
      <c r="BX17" s="426"/>
      <c r="CD17" s="113">
        <v>12</v>
      </c>
      <c r="CE17" s="439">
        <v>86.01</v>
      </c>
      <c r="CF17" s="439">
        <v>86.94</v>
      </c>
      <c r="CG17" s="439">
        <v>87.96</v>
      </c>
      <c r="CH17" s="426"/>
      <c r="CN17" s="113">
        <v>12</v>
      </c>
      <c r="CO17" s="439">
        <v>90.93</v>
      </c>
      <c r="CP17" s="439">
        <v>91.99</v>
      </c>
      <c r="CQ17" s="439">
        <v>93.11</v>
      </c>
      <c r="CR17" s="426"/>
    </row>
    <row r="18" spans="2:96" x14ac:dyDescent="0.2">
      <c r="B18" s="113">
        <v>13</v>
      </c>
      <c r="C18" s="439">
        <v>55.74</v>
      </c>
      <c r="D18" s="439">
        <v>55.98</v>
      </c>
      <c r="E18" s="439">
        <v>56.44</v>
      </c>
      <c r="F18" s="426"/>
      <c r="L18" s="113">
        <v>13</v>
      </c>
      <c r="M18" s="439">
        <v>59.08</v>
      </c>
      <c r="N18" s="439">
        <v>59.38</v>
      </c>
      <c r="O18" s="439">
        <v>59.9</v>
      </c>
      <c r="P18" s="426"/>
      <c r="V18" s="113">
        <v>13</v>
      </c>
      <c r="W18" s="439">
        <v>62.61</v>
      </c>
      <c r="X18" s="439">
        <v>62.980000000000004</v>
      </c>
      <c r="Y18" s="439">
        <v>63.56</v>
      </c>
      <c r="Z18" s="426"/>
      <c r="AF18" s="113">
        <v>13</v>
      </c>
      <c r="AG18" s="439">
        <v>66.33</v>
      </c>
      <c r="AH18" s="439">
        <v>66.78</v>
      </c>
      <c r="AI18" s="439">
        <v>67.42</v>
      </c>
      <c r="AJ18" s="426"/>
      <c r="AP18" s="113">
        <v>13</v>
      </c>
      <c r="AQ18" s="439">
        <v>70.260000000000005</v>
      </c>
      <c r="AR18" s="439">
        <v>70.8</v>
      </c>
      <c r="AS18" s="439">
        <v>71.510000000000005</v>
      </c>
      <c r="AT18" s="426"/>
      <c r="AZ18" s="113">
        <v>13</v>
      </c>
      <c r="BA18" s="439">
        <v>72.87</v>
      </c>
      <c r="BB18" s="439">
        <v>73.489999999999995</v>
      </c>
      <c r="BC18" s="439">
        <v>74.25</v>
      </c>
      <c r="BD18" s="426"/>
      <c r="BJ18" s="113">
        <v>13</v>
      </c>
      <c r="BK18" s="439">
        <v>77.099999999999994</v>
      </c>
      <c r="BL18" s="439">
        <v>77.81</v>
      </c>
      <c r="BM18" s="439">
        <v>78.66</v>
      </c>
      <c r="BN18" s="426"/>
      <c r="BT18" s="113">
        <v>13</v>
      </c>
      <c r="BU18" s="439">
        <v>81.56</v>
      </c>
      <c r="BV18" s="439">
        <v>82.38</v>
      </c>
      <c r="BW18" s="439">
        <v>83.31</v>
      </c>
      <c r="BX18" s="426"/>
      <c r="CD18" s="113">
        <v>13</v>
      </c>
      <c r="CE18" s="439">
        <v>86.26</v>
      </c>
      <c r="CF18" s="439">
        <v>87.2</v>
      </c>
      <c r="CG18" s="439">
        <v>88.22</v>
      </c>
      <c r="CH18" s="426"/>
      <c r="CN18" s="113">
        <v>13</v>
      </c>
      <c r="CO18" s="439">
        <v>91.21</v>
      </c>
      <c r="CP18" s="439">
        <v>92.27</v>
      </c>
      <c r="CQ18" s="439">
        <v>93.39</v>
      </c>
      <c r="CR18" s="426"/>
    </row>
    <row r="19" spans="2:96" x14ac:dyDescent="0.2">
      <c r="B19" s="113">
        <v>14</v>
      </c>
      <c r="C19" s="439">
        <v>55.85</v>
      </c>
      <c r="D19" s="439">
        <v>56.09</v>
      </c>
      <c r="E19" s="439">
        <v>56.55</v>
      </c>
      <c r="F19" s="426"/>
      <c r="L19" s="113">
        <v>14</v>
      </c>
      <c r="M19" s="439">
        <v>59.2</v>
      </c>
      <c r="N19" s="439">
        <v>59.5</v>
      </c>
      <c r="O19" s="439">
        <v>60.02</v>
      </c>
      <c r="P19" s="426"/>
      <c r="V19" s="113">
        <v>14</v>
      </c>
      <c r="W19" s="439">
        <v>62.739999999999995</v>
      </c>
      <c r="X19" s="439">
        <v>63.120000000000005</v>
      </c>
      <c r="Y19" s="439">
        <v>63.7</v>
      </c>
      <c r="Z19" s="426"/>
      <c r="AF19" s="113">
        <v>14</v>
      </c>
      <c r="AG19" s="439">
        <v>66.48</v>
      </c>
      <c r="AH19" s="439">
        <v>66.94</v>
      </c>
      <c r="AI19" s="439">
        <v>67.58</v>
      </c>
      <c r="AJ19" s="426"/>
      <c r="AP19" s="113">
        <v>14</v>
      </c>
      <c r="AQ19" s="439">
        <v>70.44</v>
      </c>
      <c r="AR19" s="439">
        <v>70.97</v>
      </c>
      <c r="AS19" s="439">
        <v>71.69</v>
      </c>
      <c r="AT19" s="426"/>
      <c r="AZ19" s="113">
        <v>14</v>
      </c>
      <c r="BA19" s="439">
        <v>73.06</v>
      </c>
      <c r="BB19" s="439">
        <v>73.680000000000007</v>
      </c>
      <c r="BC19" s="439">
        <v>74.45</v>
      </c>
      <c r="BD19" s="426"/>
      <c r="BJ19" s="113">
        <v>14</v>
      </c>
      <c r="BK19" s="439">
        <v>77.31</v>
      </c>
      <c r="BL19" s="439">
        <v>78.03</v>
      </c>
      <c r="BM19" s="439">
        <v>78.88</v>
      </c>
      <c r="BN19" s="426"/>
      <c r="BT19" s="113">
        <v>14</v>
      </c>
      <c r="BU19" s="439">
        <v>81.8</v>
      </c>
      <c r="BV19" s="439">
        <v>82.62</v>
      </c>
      <c r="BW19" s="439">
        <v>83.55</v>
      </c>
      <c r="BX19" s="426"/>
      <c r="CD19" s="113">
        <v>14</v>
      </c>
      <c r="CE19" s="439">
        <v>86.52</v>
      </c>
      <c r="CF19" s="439">
        <v>87.46</v>
      </c>
      <c r="CG19" s="439">
        <v>88.49</v>
      </c>
      <c r="CH19" s="426"/>
      <c r="CN19" s="113">
        <v>14</v>
      </c>
      <c r="CO19" s="439">
        <v>91.5</v>
      </c>
      <c r="CP19" s="439">
        <v>92.57</v>
      </c>
      <c r="CQ19" s="439">
        <v>93.69</v>
      </c>
      <c r="CR19" s="426"/>
    </row>
    <row r="20" spans="2:96" x14ac:dyDescent="0.2">
      <c r="B20" s="113">
        <v>15</v>
      </c>
      <c r="C20" s="439">
        <v>55.96</v>
      </c>
      <c r="D20" s="439">
        <v>56.2</v>
      </c>
      <c r="E20" s="439">
        <v>56.67</v>
      </c>
      <c r="F20" s="426"/>
      <c r="L20" s="113">
        <v>15</v>
      </c>
      <c r="M20" s="439">
        <v>59.33</v>
      </c>
      <c r="N20" s="439">
        <v>59.63</v>
      </c>
      <c r="O20" s="439">
        <v>60.15</v>
      </c>
      <c r="P20" s="426"/>
      <c r="V20" s="113">
        <v>15</v>
      </c>
      <c r="W20" s="439">
        <v>62.89</v>
      </c>
      <c r="X20" s="439">
        <v>63.260000000000005</v>
      </c>
      <c r="Y20" s="439">
        <v>63.84</v>
      </c>
      <c r="Z20" s="426"/>
      <c r="AF20" s="113">
        <v>15</v>
      </c>
      <c r="AG20" s="439">
        <v>66.650000000000006</v>
      </c>
      <c r="AH20" s="439">
        <v>67.099999999999994</v>
      </c>
      <c r="AI20" s="439">
        <v>67.739999999999995</v>
      </c>
      <c r="AJ20" s="426"/>
      <c r="AP20" s="113">
        <v>15</v>
      </c>
      <c r="AQ20" s="439">
        <v>70.62</v>
      </c>
      <c r="AR20" s="439">
        <v>71.150000000000006</v>
      </c>
      <c r="AS20" s="439">
        <v>71.87</v>
      </c>
      <c r="AT20" s="426"/>
      <c r="AZ20" s="113">
        <v>15</v>
      </c>
      <c r="BA20" s="439">
        <v>73.260000000000005</v>
      </c>
      <c r="BB20" s="439">
        <v>73.88</v>
      </c>
      <c r="BC20" s="439">
        <v>74.650000000000006</v>
      </c>
      <c r="BD20" s="426"/>
      <c r="BJ20" s="113">
        <v>15</v>
      </c>
      <c r="BK20" s="439">
        <v>77.540000000000006</v>
      </c>
      <c r="BL20" s="439">
        <v>78.25</v>
      </c>
      <c r="BM20" s="439">
        <v>79.11</v>
      </c>
      <c r="BN20" s="426"/>
      <c r="BT20" s="113">
        <v>15</v>
      </c>
      <c r="BU20" s="439">
        <v>82.04</v>
      </c>
      <c r="BV20" s="439">
        <v>82.87</v>
      </c>
      <c r="BW20" s="439">
        <v>83.81</v>
      </c>
      <c r="BX20" s="426"/>
      <c r="CD20" s="113">
        <v>15</v>
      </c>
      <c r="CE20" s="439">
        <v>86.79</v>
      </c>
      <c r="CF20" s="439">
        <v>87.74</v>
      </c>
      <c r="CG20" s="439">
        <v>88.77</v>
      </c>
      <c r="CH20" s="426"/>
      <c r="CN20" s="113">
        <v>15</v>
      </c>
      <c r="CO20" s="439">
        <v>91.8</v>
      </c>
      <c r="CP20" s="439">
        <v>92.87</v>
      </c>
      <c r="CQ20" s="439">
        <v>94.01</v>
      </c>
      <c r="CR20" s="426"/>
    </row>
    <row r="21" spans="2:96" x14ac:dyDescent="0.2">
      <c r="B21" s="113">
        <v>16</v>
      </c>
      <c r="C21" s="439">
        <v>56.08</v>
      </c>
      <c r="D21" s="439">
        <v>56.32</v>
      </c>
      <c r="E21" s="439">
        <v>56.79</v>
      </c>
      <c r="F21" s="426"/>
      <c r="L21" s="113">
        <v>16</v>
      </c>
      <c r="M21" s="439">
        <v>59.46</v>
      </c>
      <c r="N21" s="439">
        <v>59.77</v>
      </c>
      <c r="O21" s="439">
        <v>60.29</v>
      </c>
      <c r="P21" s="426"/>
      <c r="V21" s="113">
        <v>16</v>
      </c>
      <c r="W21" s="439">
        <v>63.040000000000006</v>
      </c>
      <c r="X21" s="439">
        <v>63.41</v>
      </c>
      <c r="Y21" s="439">
        <v>64</v>
      </c>
      <c r="Z21" s="426"/>
      <c r="AF21" s="113">
        <v>16</v>
      </c>
      <c r="AG21" s="439">
        <v>66.81</v>
      </c>
      <c r="AH21" s="439">
        <v>67.27</v>
      </c>
      <c r="AI21" s="439">
        <v>67.92</v>
      </c>
      <c r="AJ21" s="426"/>
      <c r="AP21" s="113">
        <v>16</v>
      </c>
      <c r="AQ21" s="439">
        <v>70.81</v>
      </c>
      <c r="AR21" s="439">
        <v>71.34</v>
      </c>
      <c r="AS21" s="439">
        <v>72.069999999999993</v>
      </c>
      <c r="AT21" s="426"/>
      <c r="AZ21" s="113">
        <v>16</v>
      </c>
      <c r="BA21" s="439">
        <v>73.47</v>
      </c>
      <c r="BB21" s="439">
        <v>74.09</v>
      </c>
      <c r="BC21" s="439">
        <v>74.87</v>
      </c>
      <c r="BD21" s="426"/>
      <c r="BJ21" s="113">
        <v>16</v>
      </c>
      <c r="BK21" s="439">
        <v>77.77</v>
      </c>
      <c r="BL21" s="439">
        <v>78.489999999999995</v>
      </c>
      <c r="BM21" s="439">
        <v>79.34</v>
      </c>
      <c r="BN21" s="426"/>
      <c r="BT21" s="113">
        <v>16</v>
      </c>
      <c r="BU21" s="439">
        <v>82.3</v>
      </c>
      <c r="BV21" s="439">
        <v>83.13</v>
      </c>
      <c r="BW21" s="439">
        <v>84.07</v>
      </c>
      <c r="BX21" s="426"/>
      <c r="CD21" s="113">
        <v>16</v>
      </c>
      <c r="CE21" s="439">
        <v>87.08</v>
      </c>
      <c r="CF21" s="439">
        <v>88.02</v>
      </c>
      <c r="CG21" s="439">
        <v>89.06</v>
      </c>
      <c r="CH21" s="426"/>
      <c r="CN21" s="113">
        <v>16</v>
      </c>
      <c r="CO21" s="439">
        <v>92.12</v>
      </c>
      <c r="CP21" s="439">
        <v>93.19</v>
      </c>
      <c r="CQ21" s="439">
        <v>94.33</v>
      </c>
      <c r="CR21" s="426"/>
    </row>
    <row r="22" spans="2:96" x14ac:dyDescent="0.2">
      <c r="B22" s="113">
        <v>17</v>
      </c>
      <c r="C22" s="439">
        <v>56.21</v>
      </c>
      <c r="D22" s="439">
        <v>56.45</v>
      </c>
      <c r="E22" s="439">
        <v>56.92</v>
      </c>
      <c r="F22" s="426"/>
      <c r="L22" s="113">
        <v>17</v>
      </c>
      <c r="M22" s="439">
        <v>59.6</v>
      </c>
      <c r="N22" s="439">
        <v>59.91</v>
      </c>
      <c r="O22" s="439">
        <v>60.44</v>
      </c>
      <c r="P22" s="426"/>
      <c r="V22" s="113">
        <v>17</v>
      </c>
      <c r="W22" s="439">
        <v>63.2</v>
      </c>
      <c r="X22" s="439">
        <v>63.569999999999993</v>
      </c>
      <c r="Y22" s="439">
        <v>64.16</v>
      </c>
      <c r="Z22" s="426"/>
      <c r="AF22" s="113">
        <v>17</v>
      </c>
      <c r="AG22" s="439">
        <v>66.989999999999995</v>
      </c>
      <c r="AH22" s="439">
        <v>67.45</v>
      </c>
      <c r="AI22" s="439">
        <v>68.099999999999994</v>
      </c>
      <c r="AJ22" s="426"/>
      <c r="AP22" s="113">
        <v>17</v>
      </c>
      <c r="AQ22" s="439">
        <v>71</v>
      </c>
      <c r="AR22" s="439">
        <v>71.540000000000006</v>
      </c>
      <c r="AS22" s="439">
        <v>72.27</v>
      </c>
      <c r="AT22" s="426"/>
      <c r="AZ22" s="113">
        <v>17</v>
      </c>
      <c r="BA22" s="439">
        <v>73.69</v>
      </c>
      <c r="BB22" s="439">
        <v>74.31</v>
      </c>
      <c r="BC22" s="439">
        <v>75.09</v>
      </c>
      <c r="BD22" s="426"/>
      <c r="BJ22" s="113">
        <v>17</v>
      </c>
      <c r="BK22" s="439">
        <v>78.010000000000005</v>
      </c>
      <c r="BL22" s="439">
        <v>78.73</v>
      </c>
      <c r="BM22" s="439">
        <v>79.59</v>
      </c>
      <c r="BN22" s="426"/>
      <c r="BT22" s="113">
        <v>17</v>
      </c>
      <c r="BU22" s="439">
        <v>82.57</v>
      </c>
      <c r="BV22" s="439">
        <v>83.4</v>
      </c>
      <c r="BW22" s="439">
        <v>84.35</v>
      </c>
      <c r="BX22" s="426"/>
      <c r="CD22" s="113">
        <v>17</v>
      </c>
      <c r="CE22" s="439">
        <v>87.38</v>
      </c>
      <c r="CF22" s="439">
        <v>88.33</v>
      </c>
      <c r="CG22" s="439">
        <v>89.37</v>
      </c>
      <c r="CH22" s="426"/>
      <c r="CN22" s="113">
        <v>17</v>
      </c>
      <c r="CO22" s="439">
        <v>92.45</v>
      </c>
      <c r="CP22" s="439">
        <v>93.53</v>
      </c>
      <c r="CQ22" s="439">
        <v>94.68</v>
      </c>
      <c r="CR22" s="426"/>
    </row>
    <row r="23" spans="2:96" x14ac:dyDescent="0.2">
      <c r="B23" s="113">
        <v>18</v>
      </c>
      <c r="C23" s="439">
        <v>56.34</v>
      </c>
      <c r="D23" s="439">
        <v>56.58</v>
      </c>
      <c r="E23" s="439">
        <v>57.05</v>
      </c>
      <c r="F23" s="426"/>
      <c r="L23" s="113">
        <v>18</v>
      </c>
      <c r="M23" s="439">
        <v>59.75</v>
      </c>
      <c r="N23" s="439">
        <v>60.06</v>
      </c>
      <c r="O23" s="439">
        <v>60.59</v>
      </c>
      <c r="P23" s="426"/>
      <c r="V23" s="113">
        <v>18</v>
      </c>
      <c r="W23" s="439">
        <v>63.36</v>
      </c>
      <c r="X23" s="439">
        <v>63.739999999999995</v>
      </c>
      <c r="Y23" s="439">
        <v>64.33</v>
      </c>
      <c r="Z23" s="426"/>
      <c r="AF23" s="113">
        <v>18</v>
      </c>
      <c r="AG23" s="439">
        <v>67.180000000000007</v>
      </c>
      <c r="AH23" s="439">
        <v>67.63</v>
      </c>
      <c r="AI23" s="439">
        <v>68.290000000000006</v>
      </c>
      <c r="AJ23" s="426"/>
      <c r="AP23" s="113">
        <v>18</v>
      </c>
      <c r="AQ23" s="439">
        <v>71.209999999999994</v>
      </c>
      <c r="AR23" s="439">
        <v>71.75</v>
      </c>
      <c r="AS23" s="439">
        <v>72.48</v>
      </c>
      <c r="AT23" s="426"/>
      <c r="AZ23" s="113">
        <v>18</v>
      </c>
      <c r="BA23" s="439">
        <v>73.92</v>
      </c>
      <c r="BB23" s="439">
        <v>74.540000000000006</v>
      </c>
      <c r="BC23" s="439">
        <v>75.33</v>
      </c>
      <c r="BD23" s="426"/>
      <c r="BJ23" s="113">
        <v>18</v>
      </c>
      <c r="BK23" s="439">
        <v>78.260000000000005</v>
      </c>
      <c r="BL23" s="439">
        <v>78.989999999999995</v>
      </c>
      <c r="BM23" s="439">
        <v>79.849999999999994</v>
      </c>
      <c r="BN23" s="426"/>
      <c r="BT23" s="113">
        <v>18</v>
      </c>
      <c r="BU23" s="439">
        <v>82.85</v>
      </c>
      <c r="BV23" s="439">
        <v>83.68</v>
      </c>
      <c r="BW23" s="439">
        <v>84.64</v>
      </c>
      <c r="BX23" s="426"/>
      <c r="CD23" s="113">
        <v>18</v>
      </c>
      <c r="CE23" s="439">
        <v>87.69</v>
      </c>
      <c r="CF23" s="439">
        <v>88.65</v>
      </c>
      <c r="CG23" s="439">
        <v>89.7</v>
      </c>
      <c r="CH23" s="426"/>
      <c r="CN23" s="113">
        <v>18</v>
      </c>
      <c r="CO23" s="439">
        <v>92.8</v>
      </c>
      <c r="CP23" s="439">
        <v>93.89</v>
      </c>
      <c r="CQ23" s="439">
        <v>95.04</v>
      </c>
      <c r="CR23" s="426"/>
    </row>
    <row r="24" spans="2:96" x14ac:dyDescent="0.2">
      <c r="B24" s="113">
        <v>19</v>
      </c>
      <c r="C24" s="439">
        <v>56.48</v>
      </c>
      <c r="D24" s="439">
        <v>56.72</v>
      </c>
      <c r="E24" s="439">
        <v>57.2</v>
      </c>
      <c r="F24" s="426"/>
      <c r="L24" s="113">
        <v>19</v>
      </c>
      <c r="M24" s="439">
        <v>59.91</v>
      </c>
      <c r="N24" s="439">
        <v>60.22</v>
      </c>
      <c r="O24" s="439">
        <v>60.75</v>
      </c>
      <c r="P24" s="426"/>
      <c r="V24" s="113">
        <v>19</v>
      </c>
      <c r="W24" s="439">
        <v>63.540000000000006</v>
      </c>
      <c r="X24" s="439">
        <v>63.92</v>
      </c>
      <c r="Y24" s="439">
        <v>64.510000000000005</v>
      </c>
      <c r="Z24" s="426"/>
      <c r="AF24" s="113">
        <v>19</v>
      </c>
      <c r="AG24" s="439">
        <v>67.37</v>
      </c>
      <c r="AH24" s="439">
        <v>67.83</v>
      </c>
      <c r="AI24" s="439">
        <v>68.489999999999995</v>
      </c>
      <c r="AJ24" s="426"/>
      <c r="AP24" s="113">
        <v>19</v>
      </c>
      <c r="AQ24" s="439">
        <v>71.42</v>
      </c>
      <c r="AR24" s="439">
        <v>71.97</v>
      </c>
      <c r="AS24" s="439">
        <v>72.7</v>
      </c>
      <c r="AT24" s="426"/>
      <c r="AZ24" s="113">
        <v>19</v>
      </c>
      <c r="BA24" s="439">
        <v>74.16</v>
      </c>
      <c r="BB24" s="439">
        <v>74.78</v>
      </c>
      <c r="BC24" s="439">
        <v>75.569999999999993</v>
      </c>
      <c r="BD24" s="426"/>
      <c r="BJ24" s="113">
        <v>19</v>
      </c>
      <c r="BK24" s="439">
        <v>78.53</v>
      </c>
      <c r="BL24" s="439">
        <v>79.260000000000005</v>
      </c>
      <c r="BM24" s="439">
        <v>80.13</v>
      </c>
      <c r="BN24" s="426"/>
      <c r="BT24" s="113">
        <v>19</v>
      </c>
      <c r="BU24" s="439">
        <v>83.09</v>
      </c>
      <c r="BV24" s="439">
        <v>83.96</v>
      </c>
      <c r="BW24" s="439">
        <v>84.93</v>
      </c>
      <c r="BX24" s="426"/>
      <c r="CD24" s="113">
        <v>19</v>
      </c>
      <c r="CE24" s="439">
        <v>88.02</v>
      </c>
      <c r="CF24" s="439">
        <v>88.98</v>
      </c>
      <c r="CG24" s="439">
        <v>90.04</v>
      </c>
      <c r="CH24" s="426"/>
      <c r="CN24" s="113">
        <v>19</v>
      </c>
      <c r="CO24" s="439">
        <v>93.17</v>
      </c>
      <c r="CP24" s="439">
        <v>94.26</v>
      </c>
      <c r="CQ24" s="439">
        <v>95.42</v>
      </c>
      <c r="CR24" s="426"/>
    </row>
    <row r="25" spans="2:96" x14ac:dyDescent="0.2">
      <c r="B25" s="113">
        <v>20</v>
      </c>
      <c r="C25" s="439">
        <v>56.63</v>
      </c>
      <c r="D25" s="439">
        <v>56.87</v>
      </c>
      <c r="E25" s="439">
        <v>57.35</v>
      </c>
      <c r="F25" s="426"/>
      <c r="L25" s="113">
        <v>20</v>
      </c>
      <c r="M25" s="439">
        <v>60.07</v>
      </c>
      <c r="N25" s="439">
        <v>60.38</v>
      </c>
      <c r="O25" s="439">
        <v>60.91</v>
      </c>
      <c r="P25" s="426"/>
      <c r="V25" s="113">
        <v>20</v>
      </c>
      <c r="W25" s="439">
        <v>63.72</v>
      </c>
      <c r="X25" s="439">
        <v>64.099999999999994</v>
      </c>
      <c r="Y25" s="439">
        <v>64.69</v>
      </c>
      <c r="Z25" s="426"/>
      <c r="AF25" s="113">
        <v>20</v>
      </c>
      <c r="AG25" s="439">
        <v>67.569999999999993</v>
      </c>
      <c r="AH25" s="439">
        <v>68.03</v>
      </c>
      <c r="AI25" s="439">
        <v>68.69</v>
      </c>
      <c r="AJ25" s="426"/>
      <c r="AP25" s="113">
        <v>20</v>
      </c>
      <c r="AQ25" s="439">
        <v>71.650000000000006</v>
      </c>
      <c r="AR25" s="439">
        <v>72.19</v>
      </c>
      <c r="AS25" s="439">
        <v>72.930000000000007</v>
      </c>
      <c r="AT25" s="426"/>
      <c r="AZ25" s="113">
        <v>20</v>
      </c>
      <c r="BA25" s="439">
        <v>74.41</v>
      </c>
      <c r="BB25" s="439">
        <v>75.040000000000006</v>
      </c>
      <c r="BC25" s="439">
        <v>75.83</v>
      </c>
      <c r="BD25" s="426"/>
      <c r="BJ25" s="113">
        <v>20</v>
      </c>
      <c r="BK25" s="439">
        <v>78.81</v>
      </c>
      <c r="BL25" s="439">
        <v>79.540000000000006</v>
      </c>
      <c r="BM25" s="439">
        <v>80.42</v>
      </c>
      <c r="BN25" s="426"/>
      <c r="BT25" s="113">
        <v>20</v>
      </c>
      <c r="BU25" s="439">
        <v>83.19</v>
      </c>
      <c r="BV25" s="439">
        <v>84.06</v>
      </c>
      <c r="BW25" s="439">
        <v>85.04</v>
      </c>
      <c r="BX25" s="426"/>
      <c r="CD25" s="113">
        <v>20</v>
      </c>
      <c r="CE25" s="439">
        <v>88.16</v>
      </c>
      <c r="CF25" s="439">
        <v>89.15</v>
      </c>
      <c r="CG25" s="439">
        <v>90.23</v>
      </c>
      <c r="CH25" s="426"/>
      <c r="CN25" s="113">
        <v>20</v>
      </c>
      <c r="CO25" s="439">
        <v>93.4</v>
      </c>
      <c r="CP25" s="439">
        <v>94.54</v>
      </c>
      <c r="CQ25" s="439">
        <v>95.72</v>
      </c>
      <c r="CR25" s="426"/>
    </row>
    <row r="26" spans="2:96" x14ac:dyDescent="0.2">
      <c r="B26" s="113">
        <v>21</v>
      </c>
      <c r="C26" s="439">
        <v>56.78</v>
      </c>
      <c r="D26" s="439">
        <v>57.02</v>
      </c>
      <c r="E26" s="439">
        <v>57.5</v>
      </c>
      <c r="F26" s="426"/>
      <c r="L26" s="113">
        <v>21</v>
      </c>
      <c r="M26" s="439">
        <v>60.24</v>
      </c>
      <c r="N26" s="439">
        <v>60.55</v>
      </c>
      <c r="O26" s="439">
        <v>61.09</v>
      </c>
      <c r="P26" s="426"/>
      <c r="V26" s="113">
        <v>21</v>
      </c>
      <c r="W26" s="439">
        <v>63.91</v>
      </c>
      <c r="X26" s="439">
        <v>64.290000000000006</v>
      </c>
      <c r="Y26" s="439">
        <v>64.89</v>
      </c>
      <c r="Z26" s="426"/>
      <c r="AF26" s="113">
        <v>21</v>
      </c>
      <c r="AG26" s="439">
        <v>67.78</v>
      </c>
      <c r="AH26" s="439">
        <v>68.239999999999995</v>
      </c>
      <c r="AI26" s="439">
        <v>68.91</v>
      </c>
      <c r="AJ26" s="426"/>
      <c r="AP26" s="113">
        <v>21</v>
      </c>
      <c r="AQ26" s="439">
        <v>71.88</v>
      </c>
      <c r="AR26" s="439">
        <v>72.430000000000007</v>
      </c>
      <c r="AS26" s="439">
        <v>73.17</v>
      </c>
      <c r="AT26" s="426"/>
      <c r="AZ26" s="113">
        <v>21</v>
      </c>
      <c r="BA26" s="439">
        <v>74.67</v>
      </c>
      <c r="BB26" s="439">
        <v>75.3</v>
      </c>
      <c r="BC26" s="439">
        <v>76.099999999999994</v>
      </c>
      <c r="BD26" s="426"/>
      <c r="BJ26" s="113">
        <v>21</v>
      </c>
      <c r="BK26" s="439">
        <v>79.099999999999994</v>
      </c>
      <c r="BL26" s="439">
        <v>79.84</v>
      </c>
      <c r="BM26" s="439">
        <v>80.72</v>
      </c>
      <c r="BN26" s="426"/>
      <c r="BT26" s="113">
        <v>21</v>
      </c>
      <c r="BU26" s="439">
        <v>83.3</v>
      </c>
      <c r="BV26" s="439">
        <v>84.17</v>
      </c>
      <c r="BW26" s="439">
        <v>85.15</v>
      </c>
      <c r="BX26" s="426"/>
      <c r="CD26" s="113">
        <v>21</v>
      </c>
      <c r="CE26" s="439">
        <v>88.29</v>
      </c>
      <c r="CF26" s="439">
        <v>89.29</v>
      </c>
      <c r="CG26" s="439">
        <v>90.37</v>
      </c>
      <c r="CH26" s="426"/>
      <c r="CN26" s="113">
        <v>21</v>
      </c>
      <c r="CO26" s="439">
        <v>93.56</v>
      </c>
      <c r="CP26" s="439">
        <v>94.7</v>
      </c>
      <c r="CQ26" s="439">
        <v>95.89</v>
      </c>
      <c r="CR26" s="426"/>
    </row>
    <row r="27" spans="2:96" x14ac:dyDescent="0.2">
      <c r="B27" s="113">
        <v>22</v>
      </c>
      <c r="C27" s="439">
        <v>56.94</v>
      </c>
      <c r="D27" s="439">
        <v>57.19</v>
      </c>
      <c r="E27" s="439">
        <v>57.67</v>
      </c>
      <c r="F27" s="426"/>
      <c r="L27" s="113">
        <v>22</v>
      </c>
      <c r="M27" s="439">
        <v>60.42</v>
      </c>
      <c r="N27" s="439">
        <v>60.73</v>
      </c>
      <c r="O27" s="439">
        <v>61.27</v>
      </c>
      <c r="P27" s="426"/>
      <c r="V27" s="113">
        <v>22</v>
      </c>
      <c r="W27" s="439">
        <v>64.11</v>
      </c>
      <c r="X27" s="439">
        <v>64.489999999999995</v>
      </c>
      <c r="Y27" s="439">
        <v>65.09</v>
      </c>
      <c r="Z27" s="426"/>
      <c r="AF27" s="113">
        <v>22</v>
      </c>
      <c r="AG27" s="439">
        <v>68.010000000000005</v>
      </c>
      <c r="AH27" s="439">
        <v>68.47</v>
      </c>
      <c r="AI27" s="439">
        <v>69.14</v>
      </c>
      <c r="AJ27" s="426"/>
      <c r="AP27" s="113">
        <v>22</v>
      </c>
      <c r="AQ27" s="439">
        <v>72.13</v>
      </c>
      <c r="AR27" s="439">
        <v>72.680000000000007</v>
      </c>
      <c r="AS27" s="439">
        <v>73.430000000000007</v>
      </c>
      <c r="AT27" s="426"/>
      <c r="AZ27" s="113">
        <v>22</v>
      </c>
      <c r="BA27" s="439">
        <v>74.95</v>
      </c>
      <c r="BB27" s="439">
        <v>75.58</v>
      </c>
      <c r="BC27" s="439">
        <v>76.39</v>
      </c>
      <c r="BD27" s="426"/>
      <c r="BJ27" s="113">
        <v>22</v>
      </c>
      <c r="BK27" s="439">
        <v>79.41</v>
      </c>
      <c r="BL27" s="439">
        <v>80.150000000000006</v>
      </c>
      <c r="BM27" s="439">
        <v>81.040000000000006</v>
      </c>
      <c r="BN27" s="426"/>
      <c r="BT27" s="113">
        <v>22</v>
      </c>
      <c r="BU27" s="439">
        <v>83.41</v>
      </c>
      <c r="BV27" s="439">
        <v>84.29</v>
      </c>
      <c r="BW27" s="439">
        <v>85.27</v>
      </c>
      <c r="BX27" s="426"/>
      <c r="CD27" s="113">
        <v>22</v>
      </c>
      <c r="CE27" s="439">
        <v>88.43</v>
      </c>
      <c r="CF27" s="439">
        <v>89.43</v>
      </c>
      <c r="CG27" s="439">
        <v>90.52</v>
      </c>
      <c r="CH27" s="426"/>
      <c r="CN27" s="113">
        <v>22</v>
      </c>
      <c r="CO27" s="439">
        <v>93.73</v>
      </c>
      <c r="CP27" s="439">
        <v>94.87</v>
      </c>
      <c r="CQ27" s="439">
        <v>96.07</v>
      </c>
      <c r="CR27" s="426"/>
    </row>
    <row r="28" spans="2:96" x14ac:dyDescent="0.2">
      <c r="B28" s="113">
        <v>23</v>
      </c>
      <c r="C28" s="439">
        <v>57.11</v>
      </c>
      <c r="D28" s="439">
        <v>57.35</v>
      </c>
      <c r="E28" s="439">
        <v>57.84</v>
      </c>
      <c r="F28" s="426"/>
      <c r="L28" s="113">
        <v>23</v>
      </c>
      <c r="M28" s="439">
        <v>60.61</v>
      </c>
      <c r="N28" s="439">
        <v>60.92</v>
      </c>
      <c r="O28" s="439">
        <v>61.46</v>
      </c>
      <c r="P28" s="426"/>
      <c r="V28" s="113">
        <v>23</v>
      </c>
      <c r="W28" s="439">
        <v>64.31</v>
      </c>
      <c r="X28" s="439">
        <v>64.7</v>
      </c>
      <c r="Y28" s="439">
        <v>65.3</v>
      </c>
      <c r="Z28" s="426"/>
      <c r="AF28" s="113">
        <v>23</v>
      </c>
      <c r="AG28" s="439">
        <v>68.239999999999995</v>
      </c>
      <c r="AH28" s="439">
        <v>68.709999999999994</v>
      </c>
      <c r="AI28" s="439">
        <v>69.38</v>
      </c>
      <c r="AJ28" s="426"/>
      <c r="AP28" s="113">
        <v>23</v>
      </c>
      <c r="AQ28" s="439">
        <v>72.39</v>
      </c>
      <c r="AR28" s="439">
        <v>72.95</v>
      </c>
      <c r="AS28" s="439">
        <v>73.7</v>
      </c>
      <c r="AT28" s="426"/>
      <c r="AZ28" s="113">
        <v>23</v>
      </c>
      <c r="BA28" s="439">
        <v>75.239999999999995</v>
      </c>
      <c r="BB28" s="439">
        <v>75.88</v>
      </c>
      <c r="BC28" s="439">
        <v>76.69</v>
      </c>
      <c r="BD28" s="426"/>
      <c r="BJ28" s="113">
        <v>23</v>
      </c>
      <c r="BK28" s="439">
        <v>79.739999999999995</v>
      </c>
      <c r="BL28" s="439">
        <v>80.48</v>
      </c>
      <c r="BM28" s="439">
        <v>81.38</v>
      </c>
      <c r="BN28" s="426"/>
      <c r="BT28" s="113">
        <v>23</v>
      </c>
      <c r="BU28" s="439">
        <v>83.53</v>
      </c>
      <c r="BV28" s="439">
        <v>84.41</v>
      </c>
      <c r="BW28" s="439">
        <v>85.4</v>
      </c>
      <c r="BX28" s="426"/>
      <c r="CD28" s="113">
        <v>23</v>
      </c>
      <c r="CE28" s="439">
        <v>88.57</v>
      </c>
      <c r="CF28" s="439">
        <v>89.58</v>
      </c>
      <c r="CG28" s="439">
        <v>90.67</v>
      </c>
      <c r="CH28" s="426"/>
      <c r="CN28" s="113">
        <v>23</v>
      </c>
      <c r="CO28" s="439">
        <v>93.9</v>
      </c>
      <c r="CP28" s="439">
        <v>95.05</v>
      </c>
      <c r="CQ28" s="439">
        <v>96.25</v>
      </c>
      <c r="CR28" s="426"/>
    </row>
    <row r="29" spans="2:96" x14ac:dyDescent="0.2">
      <c r="B29" s="113">
        <v>24</v>
      </c>
      <c r="C29" s="439">
        <v>57.28</v>
      </c>
      <c r="D29" s="439">
        <v>57.53</v>
      </c>
      <c r="E29" s="439">
        <v>58.02</v>
      </c>
      <c r="F29" s="426"/>
      <c r="L29" s="113">
        <v>24</v>
      </c>
      <c r="M29" s="439">
        <v>60.8</v>
      </c>
      <c r="N29" s="439">
        <v>61.12</v>
      </c>
      <c r="O29" s="439">
        <v>61.66</v>
      </c>
      <c r="P29" s="426"/>
      <c r="V29" s="113">
        <v>24</v>
      </c>
      <c r="W29" s="439">
        <v>64.53</v>
      </c>
      <c r="X29" s="439">
        <v>64.92</v>
      </c>
      <c r="Y29" s="439">
        <v>65.53</v>
      </c>
      <c r="Z29" s="426"/>
      <c r="AF29" s="113">
        <v>24</v>
      </c>
      <c r="AG29" s="439">
        <v>68.489999999999995</v>
      </c>
      <c r="AH29" s="439">
        <v>68.95</v>
      </c>
      <c r="AI29" s="439">
        <v>69.63</v>
      </c>
      <c r="AJ29" s="426"/>
      <c r="AP29" s="113">
        <v>24</v>
      </c>
      <c r="AQ29" s="439">
        <v>72.67</v>
      </c>
      <c r="AR29" s="439">
        <v>73.23</v>
      </c>
      <c r="AS29" s="439">
        <v>73.98</v>
      </c>
      <c r="AT29" s="426"/>
      <c r="AZ29" s="113">
        <v>24</v>
      </c>
      <c r="BA29" s="439">
        <v>75.55</v>
      </c>
      <c r="BB29" s="439">
        <v>76.19</v>
      </c>
      <c r="BC29" s="439">
        <v>77.010000000000005</v>
      </c>
      <c r="BD29" s="426"/>
      <c r="BJ29" s="113">
        <v>24</v>
      </c>
      <c r="BK29" s="439">
        <v>80.09</v>
      </c>
      <c r="BL29" s="439">
        <v>80.83</v>
      </c>
      <c r="BM29" s="439">
        <v>81.73</v>
      </c>
      <c r="BN29" s="426"/>
      <c r="BT29" s="113">
        <v>24</v>
      </c>
      <c r="BU29" s="439">
        <v>83.65</v>
      </c>
      <c r="BV29" s="439">
        <v>84.54</v>
      </c>
      <c r="BW29" s="439">
        <v>85.53</v>
      </c>
      <c r="BX29" s="426"/>
      <c r="CD29" s="113">
        <v>24</v>
      </c>
      <c r="CE29" s="439">
        <v>88.72</v>
      </c>
      <c r="CF29" s="439">
        <v>89.74</v>
      </c>
      <c r="CG29" s="439">
        <v>90.83</v>
      </c>
      <c r="CH29" s="426"/>
      <c r="CN29" s="113">
        <v>24</v>
      </c>
      <c r="CO29" s="439">
        <v>94.08</v>
      </c>
      <c r="CP29" s="439">
        <v>95.24</v>
      </c>
      <c r="CQ29" s="439">
        <v>96.45</v>
      </c>
      <c r="CR29" s="426"/>
    </row>
    <row r="30" spans="2:96" x14ac:dyDescent="0.2">
      <c r="B30" s="113">
        <v>25</v>
      </c>
      <c r="C30" s="439">
        <v>57.47</v>
      </c>
      <c r="D30" s="439">
        <v>57.72</v>
      </c>
      <c r="E30" s="439">
        <v>58.2</v>
      </c>
      <c r="F30" s="426"/>
      <c r="L30" s="113">
        <v>25</v>
      </c>
      <c r="M30" s="439">
        <v>61.01</v>
      </c>
      <c r="N30" s="439">
        <v>61.33</v>
      </c>
      <c r="O30" s="439">
        <v>61.87</v>
      </c>
      <c r="P30" s="426"/>
      <c r="V30" s="113">
        <v>25</v>
      </c>
      <c r="W30" s="439">
        <v>64.77</v>
      </c>
      <c r="X30" s="439">
        <v>65.16</v>
      </c>
      <c r="Y30" s="439">
        <v>65.77</v>
      </c>
      <c r="Z30" s="426"/>
      <c r="AF30" s="113">
        <v>25</v>
      </c>
      <c r="AG30" s="439">
        <v>68.75</v>
      </c>
      <c r="AH30" s="439">
        <v>69.22</v>
      </c>
      <c r="AI30" s="439">
        <v>69.900000000000006</v>
      </c>
      <c r="AJ30" s="426"/>
      <c r="AP30" s="113">
        <v>25</v>
      </c>
      <c r="AQ30" s="439">
        <v>72.959999999999994</v>
      </c>
      <c r="AR30" s="439">
        <v>73.52</v>
      </c>
      <c r="AS30" s="439">
        <v>74.28</v>
      </c>
      <c r="AT30" s="426"/>
      <c r="AZ30" s="113">
        <v>25</v>
      </c>
      <c r="BA30" s="439">
        <v>75.88</v>
      </c>
      <c r="BB30" s="439">
        <v>76.52</v>
      </c>
      <c r="BC30" s="439">
        <v>77.34</v>
      </c>
      <c r="BD30" s="426"/>
      <c r="BJ30" s="113">
        <v>25</v>
      </c>
      <c r="BK30" s="439">
        <v>80.459999999999994</v>
      </c>
      <c r="BL30" s="439">
        <v>81.209999999999994</v>
      </c>
      <c r="BM30" s="439">
        <v>82.11</v>
      </c>
      <c r="BN30" s="426"/>
      <c r="BT30" s="113">
        <v>25</v>
      </c>
      <c r="BU30" s="439">
        <v>83.78</v>
      </c>
      <c r="BV30" s="439">
        <v>84.67</v>
      </c>
      <c r="BW30" s="439">
        <v>85.67</v>
      </c>
      <c r="BX30" s="426"/>
      <c r="CD30" s="113">
        <v>25</v>
      </c>
      <c r="CE30" s="439">
        <v>88.88</v>
      </c>
      <c r="CF30" s="439">
        <v>89.9</v>
      </c>
      <c r="CG30" s="439">
        <v>91</v>
      </c>
      <c r="CH30" s="426"/>
      <c r="CN30" s="113">
        <v>25</v>
      </c>
      <c r="CO30" s="439">
        <v>94.28</v>
      </c>
      <c r="CP30" s="439">
        <v>95.44</v>
      </c>
      <c r="CQ30" s="439">
        <v>96.65</v>
      </c>
      <c r="CR30" s="426"/>
    </row>
    <row r="31" spans="2:96" x14ac:dyDescent="0.2">
      <c r="B31" s="113">
        <v>26</v>
      </c>
      <c r="C31" s="439">
        <v>57.66</v>
      </c>
      <c r="D31" s="439">
        <v>57.91</v>
      </c>
      <c r="E31" s="439">
        <v>58.4</v>
      </c>
      <c r="F31" s="426"/>
      <c r="L31" s="113">
        <v>26</v>
      </c>
      <c r="M31" s="439">
        <v>61.23</v>
      </c>
      <c r="N31" s="439">
        <v>61.55</v>
      </c>
      <c r="O31" s="439">
        <v>62.1</v>
      </c>
      <c r="P31" s="426"/>
      <c r="V31" s="113">
        <v>26</v>
      </c>
      <c r="W31" s="439">
        <v>65.010000000000005</v>
      </c>
      <c r="X31" s="439">
        <v>65.400000000000006</v>
      </c>
      <c r="Y31" s="439">
        <v>66.02</v>
      </c>
      <c r="Z31" s="426"/>
      <c r="AF31" s="113">
        <v>26</v>
      </c>
      <c r="AG31" s="439">
        <v>69.02</v>
      </c>
      <c r="AH31" s="439">
        <v>69.489999999999995</v>
      </c>
      <c r="AI31" s="439">
        <v>70.180000000000007</v>
      </c>
      <c r="AJ31" s="426"/>
      <c r="AP31" s="113">
        <v>26</v>
      </c>
      <c r="AQ31" s="439">
        <v>73.27</v>
      </c>
      <c r="AR31" s="439">
        <v>73.84</v>
      </c>
      <c r="AS31" s="439">
        <v>74.599999999999994</v>
      </c>
      <c r="AT31" s="426"/>
      <c r="AZ31" s="113">
        <v>26</v>
      </c>
      <c r="BA31" s="439">
        <v>76.19</v>
      </c>
      <c r="BB31" s="439">
        <v>76.87</v>
      </c>
      <c r="BC31" s="439">
        <v>77.7</v>
      </c>
      <c r="BD31" s="426"/>
      <c r="BJ31" s="113">
        <v>26</v>
      </c>
      <c r="BK31" s="439">
        <v>80.849999999999994</v>
      </c>
      <c r="BL31" s="439">
        <v>81.599999999999994</v>
      </c>
      <c r="BM31" s="439">
        <v>82.51</v>
      </c>
      <c r="BN31" s="426"/>
      <c r="BT31" s="113">
        <v>26</v>
      </c>
      <c r="BU31" s="439">
        <v>83.92</v>
      </c>
      <c r="BV31" s="439">
        <v>84.81</v>
      </c>
      <c r="BW31" s="439">
        <v>85.82</v>
      </c>
      <c r="BX31" s="426"/>
      <c r="CD31" s="113">
        <v>26</v>
      </c>
      <c r="CE31" s="439">
        <v>89.05</v>
      </c>
      <c r="CF31" s="439">
        <v>90.07</v>
      </c>
      <c r="CG31" s="439">
        <v>91.18</v>
      </c>
      <c r="CH31" s="426"/>
      <c r="CN31" s="113">
        <v>26</v>
      </c>
      <c r="CO31" s="439">
        <v>94.47</v>
      </c>
      <c r="CP31" s="439">
        <v>95.64</v>
      </c>
      <c r="CQ31" s="439">
        <v>96.86</v>
      </c>
      <c r="CR31" s="426"/>
    </row>
    <row r="32" spans="2:96" x14ac:dyDescent="0.2">
      <c r="B32" s="113">
        <v>27</v>
      </c>
      <c r="C32" s="439">
        <v>57.87</v>
      </c>
      <c r="D32" s="439">
        <v>58.12</v>
      </c>
      <c r="E32" s="439">
        <v>58.61</v>
      </c>
      <c r="F32" s="426"/>
      <c r="L32" s="113">
        <v>27</v>
      </c>
      <c r="M32" s="439">
        <v>61.46</v>
      </c>
      <c r="N32" s="439">
        <v>61.78</v>
      </c>
      <c r="O32" s="439">
        <v>62.33</v>
      </c>
      <c r="P32" s="426"/>
      <c r="V32" s="113">
        <v>27</v>
      </c>
      <c r="W32" s="439">
        <v>65.27</v>
      </c>
      <c r="X32" s="439">
        <v>65.66</v>
      </c>
      <c r="Y32" s="439">
        <v>66.28</v>
      </c>
      <c r="Z32" s="426"/>
      <c r="AF32" s="113">
        <v>27</v>
      </c>
      <c r="AG32" s="439">
        <v>69.31</v>
      </c>
      <c r="AH32" s="439">
        <v>69.790000000000006</v>
      </c>
      <c r="AI32" s="439">
        <v>70.48</v>
      </c>
      <c r="AJ32" s="426"/>
      <c r="AP32" s="113">
        <v>27</v>
      </c>
      <c r="AQ32" s="439">
        <v>73.599999999999994</v>
      </c>
      <c r="AR32" s="439">
        <v>74.17</v>
      </c>
      <c r="AS32" s="439">
        <v>74.94</v>
      </c>
      <c r="AT32" s="426"/>
      <c r="AZ32" s="113">
        <v>27</v>
      </c>
      <c r="BA32" s="439">
        <v>76.290000000000006</v>
      </c>
      <c r="BB32" s="439">
        <v>76.97</v>
      </c>
      <c r="BC32" s="439">
        <v>77.81</v>
      </c>
      <c r="BD32" s="426"/>
      <c r="BJ32" s="113">
        <v>27</v>
      </c>
      <c r="BK32" s="439">
        <v>81.06</v>
      </c>
      <c r="BL32" s="439">
        <v>81.849999999999994</v>
      </c>
      <c r="BM32" s="439">
        <v>82.79</v>
      </c>
      <c r="BN32" s="426"/>
      <c r="BT32" s="113">
        <v>27</v>
      </c>
      <c r="BU32" s="439">
        <v>84.06</v>
      </c>
      <c r="BV32" s="439">
        <v>84.96</v>
      </c>
      <c r="BW32" s="439">
        <v>85.97</v>
      </c>
      <c r="BX32" s="426"/>
      <c r="CD32" s="113">
        <v>27</v>
      </c>
      <c r="CE32" s="439">
        <v>89.22</v>
      </c>
      <c r="CF32" s="439">
        <v>90.25</v>
      </c>
      <c r="CG32" s="439">
        <v>91.37</v>
      </c>
      <c r="CH32" s="426"/>
      <c r="CN32" s="113">
        <v>27</v>
      </c>
      <c r="CO32" s="439">
        <v>94.68</v>
      </c>
      <c r="CP32" s="439">
        <v>95.86</v>
      </c>
      <c r="CQ32" s="439">
        <v>97.09</v>
      </c>
      <c r="CR32" s="426"/>
    </row>
    <row r="33" spans="2:96" x14ac:dyDescent="0.2">
      <c r="B33" s="113">
        <v>28</v>
      </c>
      <c r="C33" s="439">
        <v>58.08</v>
      </c>
      <c r="D33" s="439">
        <v>58.34</v>
      </c>
      <c r="E33" s="439">
        <v>58.83</v>
      </c>
      <c r="F33" s="426"/>
      <c r="L33" s="113">
        <v>28</v>
      </c>
      <c r="M33" s="439">
        <v>61.7</v>
      </c>
      <c r="N33" s="439">
        <v>62.02</v>
      </c>
      <c r="O33" s="439">
        <v>62.58</v>
      </c>
      <c r="P33" s="426"/>
      <c r="V33" s="113">
        <v>28</v>
      </c>
      <c r="W33" s="439">
        <v>65.55</v>
      </c>
      <c r="X33" s="439">
        <v>65.94</v>
      </c>
      <c r="Y33" s="439">
        <v>66.56</v>
      </c>
      <c r="Z33" s="426"/>
      <c r="AF33" s="113">
        <v>28</v>
      </c>
      <c r="AG33" s="439">
        <v>69.62</v>
      </c>
      <c r="AH33" s="439">
        <v>70.099999999999994</v>
      </c>
      <c r="AI33" s="439">
        <v>70.8</v>
      </c>
      <c r="AJ33" s="426"/>
      <c r="AP33" s="113">
        <v>28</v>
      </c>
      <c r="AQ33" s="439">
        <v>73.95</v>
      </c>
      <c r="AR33" s="439">
        <v>74.52</v>
      </c>
      <c r="AS33" s="439">
        <v>75.3</v>
      </c>
      <c r="AT33" s="426"/>
      <c r="AZ33" s="113">
        <v>28</v>
      </c>
      <c r="BA33" s="439">
        <v>76.39</v>
      </c>
      <c r="BB33" s="439">
        <v>77.069999999999993</v>
      </c>
      <c r="BC33" s="439">
        <v>77.92</v>
      </c>
      <c r="BD33" s="426"/>
      <c r="BJ33" s="113">
        <v>28</v>
      </c>
      <c r="BK33" s="439">
        <v>81.180000000000007</v>
      </c>
      <c r="BL33" s="439">
        <v>81.98</v>
      </c>
      <c r="BM33" s="439">
        <v>82.92</v>
      </c>
      <c r="BN33" s="426"/>
      <c r="BT33" s="113">
        <v>28</v>
      </c>
      <c r="BU33" s="439">
        <v>84.21</v>
      </c>
      <c r="BV33" s="439">
        <v>85.11</v>
      </c>
      <c r="BW33" s="439">
        <v>86.13</v>
      </c>
      <c r="BX33" s="426"/>
      <c r="CD33" s="113">
        <v>28</v>
      </c>
      <c r="CE33" s="439">
        <v>89.4</v>
      </c>
      <c r="CF33" s="439">
        <v>90.44</v>
      </c>
      <c r="CG33" s="439">
        <v>91.56</v>
      </c>
      <c r="CH33" s="426"/>
      <c r="CN33" s="113">
        <v>28</v>
      </c>
      <c r="CO33" s="439">
        <v>94.9</v>
      </c>
      <c r="CP33" s="439">
        <v>96.08</v>
      </c>
      <c r="CQ33" s="439">
        <v>97.32</v>
      </c>
      <c r="CR33" s="426"/>
    </row>
    <row r="34" spans="2:96" x14ac:dyDescent="0.2">
      <c r="B34" s="113">
        <v>29</v>
      </c>
      <c r="C34" s="439">
        <v>58.31</v>
      </c>
      <c r="D34" s="439">
        <v>58.57</v>
      </c>
      <c r="E34" s="439">
        <v>59.07</v>
      </c>
      <c r="F34" s="426"/>
      <c r="L34" s="113">
        <v>29</v>
      </c>
      <c r="M34" s="439">
        <v>61.96</v>
      </c>
      <c r="N34" s="439">
        <v>62.28</v>
      </c>
      <c r="O34" s="439">
        <v>62.849999999999994</v>
      </c>
      <c r="P34" s="426"/>
      <c r="V34" s="113">
        <v>29</v>
      </c>
      <c r="W34" s="439">
        <v>65.84</v>
      </c>
      <c r="X34" s="439">
        <v>66.23</v>
      </c>
      <c r="Y34" s="439">
        <v>66.86</v>
      </c>
      <c r="Z34" s="426"/>
      <c r="AF34" s="113">
        <v>29</v>
      </c>
      <c r="AG34" s="439">
        <v>69.95</v>
      </c>
      <c r="AH34" s="439">
        <v>70.430000000000007</v>
      </c>
      <c r="AI34" s="439">
        <v>71.13</v>
      </c>
      <c r="AJ34" s="426"/>
      <c r="AP34" s="113">
        <v>29</v>
      </c>
      <c r="AQ34" s="439">
        <v>74.319999999999993</v>
      </c>
      <c r="AR34" s="439">
        <v>74.89</v>
      </c>
      <c r="AS34" s="439">
        <v>75.67</v>
      </c>
      <c r="AT34" s="426"/>
      <c r="AZ34" s="113">
        <v>29</v>
      </c>
      <c r="BA34" s="439">
        <v>76.489999999999995</v>
      </c>
      <c r="BB34" s="439">
        <v>77.180000000000007</v>
      </c>
      <c r="BC34" s="439">
        <v>78.03</v>
      </c>
      <c r="BD34" s="426"/>
      <c r="BJ34" s="113">
        <v>29</v>
      </c>
      <c r="BK34" s="439">
        <v>81.31</v>
      </c>
      <c r="BL34" s="439">
        <v>82.12</v>
      </c>
      <c r="BM34" s="439">
        <v>83.06</v>
      </c>
      <c r="BN34" s="426"/>
      <c r="BT34" s="113">
        <v>29</v>
      </c>
      <c r="BU34" s="439">
        <v>84.36</v>
      </c>
      <c r="BV34" s="439">
        <v>85.27</v>
      </c>
      <c r="BW34" s="439">
        <v>86.29</v>
      </c>
      <c r="BX34" s="426"/>
      <c r="CD34" s="113">
        <v>29</v>
      </c>
      <c r="CE34" s="439">
        <v>89.59</v>
      </c>
      <c r="CF34" s="439">
        <v>90.63</v>
      </c>
      <c r="CG34" s="439">
        <v>91.76</v>
      </c>
      <c r="CH34" s="426"/>
      <c r="CN34" s="113">
        <v>29</v>
      </c>
      <c r="CO34" s="439">
        <v>95.12</v>
      </c>
      <c r="CP34" s="439">
        <v>96.31</v>
      </c>
      <c r="CQ34" s="439">
        <v>97.55</v>
      </c>
      <c r="CR34" s="426"/>
    </row>
    <row r="35" spans="2:96" x14ac:dyDescent="0.2">
      <c r="B35" s="113">
        <v>30</v>
      </c>
      <c r="C35" s="439">
        <v>58.56</v>
      </c>
      <c r="D35" s="439">
        <v>58.81</v>
      </c>
      <c r="E35" s="439">
        <v>59.32</v>
      </c>
      <c r="F35" s="426"/>
      <c r="L35" s="113">
        <v>30</v>
      </c>
      <c r="M35" s="439">
        <v>62.24</v>
      </c>
      <c r="N35" s="439">
        <v>62.56</v>
      </c>
      <c r="O35" s="439">
        <v>63.129999999999995</v>
      </c>
      <c r="P35" s="426"/>
      <c r="V35" s="113">
        <v>30</v>
      </c>
      <c r="W35" s="439">
        <v>66.150000000000006</v>
      </c>
      <c r="X35" s="439">
        <v>66.540000000000006</v>
      </c>
      <c r="Y35" s="439">
        <v>67.180000000000007</v>
      </c>
      <c r="Z35" s="426"/>
      <c r="AF35" s="113">
        <v>30</v>
      </c>
      <c r="AG35" s="439">
        <v>70.3</v>
      </c>
      <c r="AH35" s="439">
        <v>70.78</v>
      </c>
      <c r="AI35" s="439">
        <v>71.489999999999995</v>
      </c>
      <c r="AJ35" s="426"/>
      <c r="AP35" s="113">
        <v>30</v>
      </c>
      <c r="AQ35" s="439">
        <v>74.709999999999994</v>
      </c>
      <c r="AR35" s="439">
        <v>75.290000000000006</v>
      </c>
      <c r="AS35" s="439">
        <v>76.069999999999993</v>
      </c>
      <c r="AT35" s="426"/>
      <c r="AZ35" s="113">
        <v>30</v>
      </c>
      <c r="BA35" s="439">
        <v>76.599999999999994</v>
      </c>
      <c r="BB35" s="439">
        <v>77.290000000000006</v>
      </c>
      <c r="BC35" s="439">
        <v>78.14</v>
      </c>
      <c r="BD35" s="426"/>
      <c r="BJ35" s="113">
        <v>30</v>
      </c>
      <c r="BK35" s="439">
        <v>81.45</v>
      </c>
      <c r="BL35" s="439">
        <v>82.26</v>
      </c>
      <c r="BM35" s="439">
        <v>83.21</v>
      </c>
      <c r="BN35" s="426"/>
      <c r="BT35" s="113">
        <v>30</v>
      </c>
      <c r="BU35" s="439">
        <v>84.52</v>
      </c>
      <c r="BV35" s="439">
        <v>85.44</v>
      </c>
      <c r="BW35" s="439">
        <v>86.47</v>
      </c>
      <c r="BX35" s="426"/>
      <c r="CD35" s="113">
        <v>30</v>
      </c>
      <c r="CE35" s="439">
        <v>89.78</v>
      </c>
      <c r="CF35" s="439">
        <v>90.83</v>
      </c>
      <c r="CG35" s="439">
        <v>91.97</v>
      </c>
      <c r="CH35" s="426"/>
      <c r="CN35" s="113">
        <v>30</v>
      </c>
      <c r="CO35" s="439">
        <v>95.35</v>
      </c>
      <c r="CP35" s="439">
        <v>96.55</v>
      </c>
      <c r="CQ35" s="439">
        <v>97.8</v>
      </c>
      <c r="CR35" s="426"/>
    </row>
    <row r="36" spans="2:96" x14ac:dyDescent="0.2">
      <c r="B36" s="113">
        <v>31</v>
      </c>
      <c r="C36" s="439">
        <v>58.81</v>
      </c>
      <c r="D36" s="439">
        <v>59.07</v>
      </c>
      <c r="E36" s="439">
        <v>59.58</v>
      </c>
      <c r="F36" s="426"/>
      <c r="L36" s="113">
        <v>31</v>
      </c>
      <c r="M36" s="439">
        <v>62.53</v>
      </c>
      <c r="N36" s="439">
        <v>62.849999999999994</v>
      </c>
      <c r="O36" s="439">
        <v>63.42</v>
      </c>
      <c r="P36" s="426"/>
      <c r="V36" s="113">
        <v>31</v>
      </c>
      <c r="W36" s="439">
        <v>66.47</v>
      </c>
      <c r="X36" s="439">
        <v>66.88</v>
      </c>
      <c r="Y36" s="439">
        <v>67.510000000000005</v>
      </c>
      <c r="Z36" s="426"/>
      <c r="AF36" s="113">
        <v>31</v>
      </c>
      <c r="AG36" s="439">
        <v>70.67</v>
      </c>
      <c r="AH36" s="439">
        <v>71.150000000000006</v>
      </c>
      <c r="AI36" s="439">
        <v>71.87</v>
      </c>
      <c r="AJ36" s="426"/>
      <c r="AP36" s="113">
        <v>31</v>
      </c>
      <c r="AQ36" s="439">
        <v>75.12</v>
      </c>
      <c r="AR36" s="439">
        <v>75.7</v>
      </c>
      <c r="AS36" s="439">
        <v>76.5</v>
      </c>
      <c r="AT36" s="426"/>
      <c r="AZ36" s="113">
        <v>31</v>
      </c>
      <c r="BA36" s="439">
        <v>76.7</v>
      </c>
      <c r="BB36" s="439">
        <v>77.39</v>
      </c>
      <c r="BC36" s="439">
        <v>78.260000000000005</v>
      </c>
      <c r="BD36" s="426"/>
      <c r="BJ36" s="113">
        <v>31</v>
      </c>
      <c r="BK36" s="439">
        <v>81.58</v>
      </c>
      <c r="BL36" s="439">
        <v>82.39</v>
      </c>
      <c r="BM36" s="439">
        <v>83.35</v>
      </c>
      <c r="BN36" s="426"/>
      <c r="BT36" s="113">
        <v>31</v>
      </c>
      <c r="BU36" s="439">
        <v>84.68</v>
      </c>
      <c r="BV36" s="439">
        <v>85.6</v>
      </c>
      <c r="BW36" s="439">
        <v>86.63</v>
      </c>
      <c r="BX36" s="426"/>
      <c r="CD36" s="113">
        <v>31</v>
      </c>
      <c r="CE36" s="439">
        <v>89.97</v>
      </c>
      <c r="CF36" s="439">
        <v>91.03</v>
      </c>
      <c r="CG36" s="439">
        <v>92.17</v>
      </c>
      <c r="CH36" s="426"/>
      <c r="CN36" s="113">
        <v>31</v>
      </c>
      <c r="CO36" s="439">
        <v>95.57</v>
      </c>
      <c r="CP36" s="439">
        <v>96.78</v>
      </c>
      <c r="CQ36" s="439">
        <v>98.05</v>
      </c>
      <c r="CR36" s="426"/>
    </row>
    <row r="37" spans="2:96" x14ac:dyDescent="0.2">
      <c r="B37" s="113">
        <v>32</v>
      </c>
      <c r="C37" s="439">
        <v>59.09</v>
      </c>
      <c r="D37" s="439">
        <v>59.35</v>
      </c>
      <c r="E37" s="439">
        <v>59.86</v>
      </c>
      <c r="F37" s="426"/>
      <c r="L37" s="113">
        <v>32</v>
      </c>
      <c r="M37" s="439">
        <v>62.84</v>
      </c>
      <c r="N37" s="439">
        <v>63.16</v>
      </c>
      <c r="O37" s="439">
        <v>63.739999999999995</v>
      </c>
      <c r="P37" s="426"/>
      <c r="V37" s="113">
        <v>32</v>
      </c>
      <c r="W37" s="439">
        <v>66.819999999999993</v>
      </c>
      <c r="X37" s="439">
        <v>67.22</v>
      </c>
      <c r="Y37" s="439">
        <v>67.87</v>
      </c>
      <c r="Z37" s="426"/>
      <c r="AF37" s="113">
        <v>32</v>
      </c>
      <c r="AG37" s="439">
        <v>71.06</v>
      </c>
      <c r="AH37" s="439">
        <v>71.55</v>
      </c>
      <c r="AI37" s="439">
        <v>72.27</v>
      </c>
      <c r="AJ37" s="426"/>
      <c r="AP37" s="113">
        <v>32</v>
      </c>
      <c r="AQ37" s="439">
        <v>75.56</v>
      </c>
      <c r="AR37" s="439">
        <v>76.14</v>
      </c>
      <c r="AS37" s="439">
        <v>76.94</v>
      </c>
      <c r="AT37" s="426"/>
      <c r="AZ37" s="113">
        <v>32</v>
      </c>
      <c r="BA37" s="439">
        <v>76.790000000000006</v>
      </c>
      <c r="BB37" s="439">
        <v>77.489999999999995</v>
      </c>
      <c r="BC37" s="439">
        <v>78.36</v>
      </c>
      <c r="BD37" s="426"/>
      <c r="BJ37" s="113">
        <v>32</v>
      </c>
      <c r="BK37" s="439">
        <v>81.709999999999994</v>
      </c>
      <c r="BL37" s="439">
        <v>82.53</v>
      </c>
      <c r="BM37" s="439">
        <v>83.49</v>
      </c>
      <c r="BN37" s="426"/>
      <c r="BT37" s="113">
        <v>32</v>
      </c>
      <c r="BU37" s="439">
        <v>84.83</v>
      </c>
      <c r="BV37" s="439">
        <v>85.76</v>
      </c>
      <c r="BW37" s="439">
        <v>86.8</v>
      </c>
      <c r="BX37" s="426"/>
      <c r="CD37" s="113">
        <v>32</v>
      </c>
      <c r="CE37" s="439">
        <v>90.16</v>
      </c>
      <c r="CF37" s="439">
        <v>91.22</v>
      </c>
      <c r="CG37" s="439">
        <v>92.37</v>
      </c>
      <c r="CH37" s="426"/>
      <c r="CN37" s="113">
        <v>32</v>
      </c>
      <c r="CO37" s="439">
        <v>95.8</v>
      </c>
      <c r="CP37" s="439">
        <v>97.01</v>
      </c>
      <c r="CQ37" s="439">
        <v>98.28</v>
      </c>
      <c r="CR37" s="426"/>
    </row>
    <row r="38" spans="2:96" x14ac:dyDescent="0.2">
      <c r="B38" s="113">
        <v>33</v>
      </c>
      <c r="C38" s="439">
        <v>59.38</v>
      </c>
      <c r="D38" s="439">
        <v>59.64</v>
      </c>
      <c r="E38" s="439">
        <v>60.16</v>
      </c>
      <c r="F38" s="426"/>
      <c r="L38" s="113">
        <v>33</v>
      </c>
      <c r="M38" s="439">
        <v>63.16</v>
      </c>
      <c r="N38" s="439">
        <v>63.489999999999995</v>
      </c>
      <c r="O38" s="439">
        <v>64.069999999999993</v>
      </c>
      <c r="P38" s="426"/>
      <c r="V38" s="113">
        <v>33</v>
      </c>
      <c r="W38" s="439">
        <v>67.19</v>
      </c>
      <c r="X38" s="439">
        <v>67.59</v>
      </c>
      <c r="Y38" s="439">
        <v>68.239999999999995</v>
      </c>
      <c r="Z38" s="426"/>
      <c r="AF38" s="113">
        <v>33</v>
      </c>
      <c r="AG38" s="439">
        <v>71.47</v>
      </c>
      <c r="AH38" s="439">
        <v>71.959999999999994</v>
      </c>
      <c r="AI38" s="439">
        <v>72.69</v>
      </c>
      <c r="AJ38" s="426"/>
      <c r="AP38" s="113">
        <v>33</v>
      </c>
      <c r="AQ38" s="439">
        <v>76.02</v>
      </c>
      <c r="AR38" s="439">
        <v>76.61</v>
      </c>
      <c r="AS38" s="439">
        <v>77.42</v>
      </c>
      <c r="AT38" s="426"/>
      <c r="AZ38" s="113">
        <v>33</v>
      </c>
      <c r="BA38" s="439">
        <v>76.88</v>
      </c>
      <c r="BB38" s="439">
        <v>77.59</v>
      </c>
      <c r="BC38" s="439">
        <v>78.459999999999994</v>
      </c>
      <c r="BD38" s="426"/>
      <c r="BJ38" s="113">
        <v>33</v>
      </c>
      <c r="BK38" s="439">
        <v>81.83</v>
      </c>
      <c r="BL38" s="439">
        <v>82.65</v>
      </c>
      <c r="BM38" s="439">
        <v>83.62</v>
      </c>
      <c r="BN38" s="426"/>
      <c r="BT38" s="113">
        <v>33</v>
      </c>
      <c r="BU38" s="439">
        <v>84.97</v>
      </c>
      <c r="BV38" s="439">
        <v>85.91</v>
      </c>
      <c r="BW38" s="439">
        <v>86.96</v>
      </c>
      <c r="BX38" s="426"/>
      <c r="CD38" s="113">
        <v>33</v>
      </c>
      <c r="CE38" s="439">
        <v>90.34</v>
      </c>
      <c r="CF38" s="439">
        <v>91.41</v>
      </c>
      <c r="CG38" s="439">
        <v>92.57</v>
      </c>
      <c r="CH38" s="426"/>
      <c r="CN38" s="113">
        <v>33</v>
      </c>
      <c r="CO38" s="439">
        <v>96.01</v>
      </c>
      <c r="CP38" s="439">
        <v>97.24</v>
      </c>
      <c r="CQ38" s="439">
        <v>98.52</v>
      </c>
      <c r="CR38" s="426"/>
    </row>
    <row r="39" spans="2:96" x14ac:dyDescent="0.2">
      <c r="B39" s="113">
        <v>34</v>
      </c>
      <c r="C39" s="439">
        <v>59.69</v>
      </c>
      <c r="D39" s="439">
        <v>59.95</v>
      </c>
      <c r="E39" s="439">
        <v>60.47</v>
      </c>
      <c r="F39" s="426"/>
      <c r="L39" s="113">
        <v>34</v>
      </c>
      <c r="M39" s="439">
        <v>63.510000000000005</v>
      </c>
      <c r="N39" s="439">
        <v>63.84</v>
      </c>
      <c r="O39" s="439">
        <v>64.430000000000007</v>
      </c>
      <c r="P39" s="426"/>
      <c r="V39" s="113">
        <v>34</v>
      </c>
      <c r="W39" s="439">
        <v>67.569999999999993</v>
      </c>
      <c r="X39" s="439">
        <v>67.98</v>
      </c>
      <c r="Y39" s="439">
        <v>68.64</v>
      </c>
      <c r="Z39" s="426"/>
      <c r="AF39" s="113">
        <v>34</v>
      </c>
      <c r="AG39" s="439">
        <v>71.900000000000006</v>
      </c>
      <c r="AH39" s="439">
        <v>72.400000000000006</v>
      </c>
      <c r="AI39" s="439">
        <v>73.13</v>
      </c>
      <c r="AJ39" s="426"/>
      <c r="AP39" s="113">
        <v>34</v>
      </c>
      <c r="AQ39" s="439">
        <v>76.5</v>
      </c>
      <c r="AR39" s="439">
        <v>77.099999999999994</v>
      </c>
      <c r="AS39" s="439">
        <v>77.91</v>
      </c>
      <c r="AT39" s="426"/>
      <c r="AZ39" s="113">
        <v>34</v>
      </c>
      <c r="BA39" s="439">
        <v>76.959999999999994</v>
      </c>
      <c r="BB39" s="439">
        <v>77.67</v>
      </c>
      <c r="BC39" s="439">
        <v>78.55</v>
      </c>
      <c r="BD39" s="426"/>
      <c r="BJ39" s="113">
        <v>34</v>
      </c>
      <c r="BK39" s="439">
        <v>81.94</v>
      </c>
      <c r="BL39" s="439">
        <v>82.77</v>
      </c>
      <c r="BM39" s="439">
        <v>83.74</v>
      </c>
      <c r="BN39" s="426"/>
      <c r="BT39" s="113">
        <v>34</v>
      </c>
      <c r="BU39" s="439">
        <v>85.11</v>
      </c>
      <c r="BV39" s="439">
        <v>86.05</v>
      </c>
      <c r="BW39" s="439">
        <v>87.11</v>
      </c>
      <c r="BX39" s="426"/>
      <c r="CD39" s="113">
        <v>34</v>
      </c>
      <c r="CE39" s="439">
        <v>90.51</v>
      </c>
      <c r="CF39" s="439">
        <v>91.59</v>
      </c>
      <c r="CG39" s="439">
        <v>92.76</v>
      </c>
      <c r="CH39" s="426"/>
      <c r="CN39" s="113">
        <v>34</v>
      </c>
      <c r="CO39" s="439">
        <v>96.21</v>
      </c>
      <c r="CP39" s="439">
        <v>97.45</v>
      </c>
      <c r="CQ39" s="439">
        <v>98.74</v>
      </c>
      <c r="CR39" s="426"/>
    </row>
    <row r="40" spans="2:96" x14ac:dyDescent="0.2">
      <c r="B40" s="113">
        <v>35</v>
      </c>
      <c r="C40" s="439">
        <v>60.01</v>
      </c>
      <c r="D40" s="439">
        <v>60.28</v>
      </c>
      <c r="E40" s="439">
        <v>60.8</v>
      </c>
      <c r="F40" s="426"/>
      <c r="L40" s="113">
        <v>35</v>
      </c>
      <c r="M40" s="439">
        <v>63.870000000000005</v>
      </c>
      <c r="N40" s="439">
        <v>64.209999999999994</v>
      </c>
      <c r="O40" s="439">
        <v>64.8</v>
      </c>
      <c r="P40" s="426"/>
      <c r="V40" s="113">
        <v>35</v>
      </c>
      <c r="W40" s="439">
        <v>67.98</v>
      </c>
      <c r="X40" s="439">
        <v>68.400000000000006</v>
      </c>
      <c r="Y40" s="439">
        <v>69.06</v>
      </c>
      <c r="Z40" s="426"/>
      <c r="AF40" s="113">
        <v>35</v>
      </c>
      <c r="AG40" s="439">
        <v>72.349999999999994</v>
      </c>
      <c r="AH40" s="439">
        <v>72.86</v>
      </c>
      <c r="AI40" s="439">
        <v>73.599999999999994</v>
      </c>
      <c r="AJ40" s="426"/>
      <c r="AP40" s="113">
        <v>35</v>
      </c>
      <c r="AQ40" s="439">
        <v>77.010000000000005</v>
      </c>
      <c r="AR40" s="439">
        <v>77.61</v>
      </c>
      <c r="AS40" s="439">
        <v>78.430000000000007</v>
      </c>
      <c r="AT40" s="426"/>
      <c r="AZ40" s="113">
        <v>35</v>
      </c>
      <c r="BA40" s="439">
        <v>77.040000000000006</v>
      </c>
      <c r="BB40" s="439">
        <v>77.75</v>
      </c>
      <c r="BC40" s="439">
        <v>78.63</v>
      </c>
      <c r="BD40" s="426"/>
      <c r="BJ40" s="113">
        <v>35</v>
      </c>
      <c r="BK40" s="439">
        <v>82.04</v>
      </c>
      <c r="BL40" s="439">
        <v>82.88</v>
      </c>
      <c r="BM40" s="439">
        <v>83.86</v>
      </c>
      <c r="BN40" s="426"/>
      <c r="BT40" s="113">
        <v>35</v>
      </c>
      <c r="BU40" s="439">
        <v>85.24</v>
      </c>
      <c r="BV40" s="439">
        <v>86.19</v>
      </c>
      <c r="BW40" s="439">
        <v>87.25</v>
      </c>
      <c r="BX40" s="426"/>
      <c r="CD40" s="113">
        <v>35</v>
      </c>
      <c r="CE40" s="439">
        <v>90.67</v>
      </c>
      <c r="CF40" s="439">
        <v>91.76</v>
      </c>
      <c r="CG40" s="439">
        <v>92.94</v>
      </c>
      <c r="CH40" s="426"/>
      <c r="CN40" s="113">
        <v>35</v>
      </c>
      <c r="CO40" s="439">
        <v>96.41</v>
      </c>
      <c r="CP40" s="439">
        <v>97.66</v>
      </c>
      <c r="CQ40" s="439">
        <v>98.96</v>
      </c>
      <c r="CR40" s="426"/>
    </row>
    <row r="41" spans="2:96" x14ac:dyDescent="0.2">
      <c r="B41" s="113">
        <v>36</v>
      </c>
      <c r="C41" s="439">
        <v>60.36</v>
      </c>
      <c r="D41" s="439">
        <v>60.62</v>
      </c>
      <c r="E41" s="439">
        <v>61.15</v>
      </c>
      <c r="F41" s="426"/>
      <c r="L41" s="113">
        <v>36</v>
      </c>
      <c r="M41" s="439">
        <v>64.260000000000005</v>
      </c>
      <c r="N41" s="439">
        <v>64.599999999999994</v>
      </c>
      <c r="O41" s="439">
        <v>65.19</v>
      </c>
      <c r="P41" s="426"/>
      <c r="V41" s="113">
        <v>36</v>
      </c>
      <c r="W41" s="439">
        <v>68.41</v>
      </c>
      <c r="X41" s="439">
        <v>68.83</v>
      </c>
      <c r="Y41" s="439">
        <v>69.5</v>
      </c>
      <c r="Z41" s="426"/>
      <c r="AF41" s="113">
        <v>36</v>
      </c>
      <c r="AG41" s="439">
        <v>72.84</v>
      </c>
      <c r="AH41" s="439">
        <v>73.34</v>
      </c>
      <c r="AI41" s="439">
        <v>74.09</v>
      </c>
      <c r="AJ41" s="426"/>
      <c r="AP41" s="113">
        <v>36</v>
      </c>
      <c r="AQ41" s="439">
        <v>77.55</v>
      </c>
      <c r="AR41" s="439">
        <v>78.150000000000006</v>
      </c>
      <c r="AS41" s="439">
        <v>78.98</v>
      </c>
      <c r="AT41" s="426"/>
      <c r="AZ41" s="113">
        <v>36</v>
      </c>
      <c r="BA41" s="439">
        <v>77.099999999999994</v>
      </c>
      <c r="BB41" s="439">
        <v>77.819999999999993</v>
      </c>
      <c r="BC41" s="439">
        <v>78.709999999999994</v>
      </c>
      <c r="BD41" s="426"/>
      <c r="BJ41" s="113">
        <v>36</v>
      </c>
      <c r="BK41" s="439">
        <v>82.13</v>
      </c>
      <c r="BL41" s="439">
        <v>82.98</v>
      </c>
      <c r="BM41" s="439">
        <v>83.97</v>
      </c>
      <c r="BN41" s="426"/>
      <c r="BT41" s="113">
        <v>36</v>
      </c>
      <c r="BU41" s="439">
        <v>85.36</v>
      </c>
      <c r="BV41" s="439">
        <v>86.32</v>
      </c>
      <c r="BW41" s="439">
        <v>87.39</v>
      </c>
      <c r="BX41" s="426"/>
      <c r="CD41" s="113">
        <v>36</v>
      </c>
      <c r="CE41" s="439">
        <v>90.82</v>
      </c>
      <c r="CF41" s="439">
        <v>91.92</v>
      </c>
      <c r="CG41" s="439">
        <v>93.1</v>
      </c>
      <c r="CH41" s="426"/>
      <c r="CN41" s="113">
        <v>36</v>
      </c>
      <c r="CO41" s="439">
        <v>96.59</v>
      </c>
      <c r="CP41" s="439">
        <v>97.85</v>
      </c>
      <c r="CQ41" s="439">
        <v>99.16</v>
      </c>
      <c r="CR41" s="426"/>
    </row>
    <row r="42" spans="2:96" x14ac:dyDescent="0.2">
      <c r="B42" s="113">
        <v>37</v>
      </c>
      <c r="C42" s="439">
        <v>60.72</v>
      </c>
      <c r="D42" s="439">
        <v>60.99</v>
      </c>
      <c r="E42" s="439">
        <v>61.53</v>
      </c>
      <c r="F42" s="426"/>
      <c r="L42" s="113">
        <v>37</v>
      </c>
      <c r="M42" s="439">
        <v>64.66</v>
      </c>
      <c r="N42" s="439">
        <v>65.010000000000005</v>
      </c>
      <c r="O42" s="439">
        <v>65.61</v>
      </c>
      <c r="P42" s="426"/>
      <c r="V42" s="113">
        <v>37</v>
      </c>
      <c r="W42" s="439">
        <v>68.87</v>
      </c>
      <c r="X42" s="439">
        <v>69.290000000000006</v>
      </c>
      <c r="Y42" s="439">
        <v>69.97</v>
      </c>
      <c r="Z42" s="426"/>
      <c r="AF42" s="113">
        <v>37</v>
      </c>
      <c r="AG42" s="439">
        <v>73.02</v>
      </c>
      <c r="AH42" s="439">
        <v>73.569999999999993</v>
      </c>
      <c r="AI42" s="439">
        <v>74.34</v>
      </c>
      <c r="AJ42" s="426"/>
      <c r="AP42" s="113">
        <v>37</v>
      </c>
      <c r="AQ42" s="439">
        <v>78.06</v>
      </c>
      <c r="AR42" s="439">
        <v>78.72</v>
      </c>
      <c r="AS42" s="439">
        <v>79.56</v>
      </c>
      <c r="AT42" s="426"/>
      <c r="AZ42" s="113">
        <v>37</v>
      </c>
      <c r="BA42" s="439">
        <v>77.150000000000006</v>
      </c>
      <c r="BB42" s="439">
        <v>77.88</v>
      </c>
      <c r="BC42" s="439">
        <v>78.77</v>
      </c>
      <c r="BD42" s="426"/>
      <c r="BJ42" s="113">
        <v>37</v>
      </c>
      <c r="BK42" s="439">
        <v>82.22</v>
      </c>
      <c r="BL42" s="439">
        <v>83.07</v>
      </c>
      <c r="BM42" s="439">
        <v>84.06</v>
      </c>
      <c r="BN42" s="426"/>
      <c r="BT42" s="113">
        <v>37</v>
      </c>
      <c r="BU42" s="439">
        <v>85.47</v>
      </c>
      <c r="BV42" s="439">
        <v>86.43</v>
      </c>
      <c r="BW42" s="439">
        <v>87.51</v>
      </c>
      <c r="BX42" s="426"/>
      <c r="CD42" s="113">
        <v>37</v>
      </c>
      <c r="CE42" s="439">
        <v>90.96</v>
      </c>
      <c r="CF42" s="439">
        <v>92.07</v>
      </c>
      <c r="CG42" s="439">
        <v>93.26</v>
      </c>
      <c r="CH42" s="426"/>
      <c r="CN42" s="113">
        <v>37</v>
      </c>
      <c r="CO42" s="439">
        <v>96.76</v>
      </c>
      <c r="CP42" s="439">
        <v>98.03</v>
      </c>
      <c r="CQ42" s="439">
        <v>99.34</v>
      </c>
      <c r="CR42" s="426"/>
    </row>
    <row r="43" spans="2:96" x14ac:dyDescent="0.2">
      <c r="B43" s="113">
        <v>38</v>
      </c>
      <c r="C43" s="439">
        <v>61.11</v>
      </c>
      <c r="D43" s="439">
        <v>61.38</v>
      </c>
      <c r="E43" s="439">
        <v>61.92</v>
      </c>
      <c r="F43" s="426"/>
      <c r="L43" s="113">
        <v>38</v>
      </c>
      <c r="M43" s="439">
        <v>65.09</v>
      </c>
      <c r="N43" s="439">
        <v>65.44</v>
      </c>
      <c r="O43" s="439">
        <v>66.05</v>
      </c>
      <c r="P43" s="426"/>
      <c r="V43" s="113">
        <v>38</v>
      </c>
      <c r="W43" s="439">
        <v>69.349999999999994</v>
      </c>
      <c r="X43" s="439">
        <v>69.77</v>
      </c>
      <c r="Y43" s="439">
        <v>70.459999999999994</v>
      </c>
      <c r="Z43" s="426"/>
      <c r="AF43" s="113">
        <v>38</v>
      </c>
      <c r="AG43" s="439">
        <v>73.02</v>
      </c>
      <c r="AH43" s="439">
        <v>73.569999999999993</v>
      </c>
      <c r="AI43" s="439">
        <v>74.349999999999994</v>
      </c>
      <c r="AJ43" s="426"/>
      <c r="AP43" s="113">
        <v>38</v>
      </c>
      <c r="AQ43" s="439">
        <v>78.08</v>
      </c>
      <c r="AR43" s="439">
        <v>78.75</v>
      </c>
      <c r="AS43" s="439">
        <v>79.62</v>
      </c>
      <c r="AT43" s="426"/>
      <c r="AZ43" s="113">
        <v>38</v>
      </c>
      <c r="BA43" s="439">
        <v>77.19</v>
      </c>
      <c r="BB43" s="439">
        <v>77.92</v>
      </c>
      <c r="BC43" s="439">
        <v>78.819999999999993</v>
      </c>
      <c r="BD43" s="426"/>
      <c r="BJ43" s="113">
        <v>38</v>
      </c>
      <c r="BK43" s="439">
        <v>82.29</v>
      </c>
      <c r="BL43" s="439">
        <v>83.14</v>
      </c>
      <c r="BM43" s="439">
        <v>84.15</v>
      </c>
      <c r="BN43" s="426"/>
      <c r="BT43" s="113">
        <v>38</v>
      </c>
      <c r="BU43" s="439">
        <v>85.56</v>
      </c>
      <c r="BV43" s="439">
        <v>86.53</v>
      </c>
      <c r="BW43" s="439">
        <v>87.62</v>
      </c>
      <c r="BX43" s="426"/>
      <c r="CD43" s="113">
        <v>38</v>
      </c>
      <c r="CE43" s="439">
        <v>91.08</v>
      </c>
      <c r="CF43" s="439">
        <v>92.2</v>
      </c>
      <c r="CG43" s="439">
        <v>93.4</v>
      </c>
      <c r="CH43" s="426"/>
      <c r="CN43" s="113">
        <v>38</v>
      </c>
      <c r="CO43" s="439">
        <v>96.91</v>
      </c>
      <c r="CP43" s="439">
        <v>98.19</v>
      </c>
      <c r="CQ43" s="439">
        <v>99.51</v>
      </c>
      <c r="CR43" s="426"/>
    </row>
    <row r="44" spans="2:96" x14ac:dyDescent="0.2">
      <c r="B44" s="113">
        <v>39</v>
      </c>
      <c r="C44" s="439">
        <v>61.19</v>
      </c>
      <c r="D44" s="439">
        <v>61.49</v>
      </c>
      <c r="E44" s="439">
        <v>62.05</v>
      </c>
      <c r="F44" s="426"/>
      <c r="L44" s="113">
        <v>39</v>
      </c>
      <c r="M44" s="439">
        <v>65.55</v>
      </c>
      <c r="N44" s="439">
        <v>65.900000000000006</v>
      </c>
      <c r="O44" s="439">
        <v>66.510000000000005</v>
      </c>
      <c r="P44" s="426"/>
      <c r="V44" s="113">
        <v>39</v>
      </c>
      <c r="W44" s="439">
        <v>69.849999999999994</v>
      </c>
      <c r="X44" s="439">
        <v>70.28</v>
      </c>
      <c r="Y44" s="439">
        <v>70.98</v>
      </c>
      <c r="Z44" s="426"/>
      <c r="AF44" s="113">
        <v>39</v>
      </c>
      <c r="AG44" s="439">
        <v>73</v>
      </c>
      <c r="AH44" s="439">
        <v>73.56</v>
      </c>
      <c r="AI44" s="439">
        <v>74.34</v>
      </c>
      <c r="AJ44" s="426"/>
      <c r="AP44" s="113">
        <v>39</v>
      </c>
      <c r="AQ44" s="439">
        <v>78.099999999999994</v>
      </c>
      <c r="AR44" s="439">
        <v>78.77</v>
      </c>
      <c r="AS44" s="439">
        <v>79.650000000000006</v>
      </c>
      <c r="AT44" s="426"/>
      <c r="AZ44" s="113">
        <v>39</v>
      </c>
      <c r="BA44" s="439">
        <v>77.22</v>
      </c>
      <c r="BB44" s="439">
        <v>77.959999999999994</v>
      </c>
      <c r="BC44" s="439">
        <v>78.86</v>
      </c>
      <c r="BD44" s="426"/>
      <c r="BJ44" s="113">
        <v>39</v>
      </c>
      <c r="BK44" s="439">
        <v>82.34</v>
      </c>
      <c r="BL44" s="439">
        <v>83.21</v>
      </c>
      <c r="BM44" s="439">
        <v>84.22</v>
      </c>
      <c r="BN44" s="426"/>
      <c r="BT44" s="113">
        <v>39</v>
      </c>
      <c r="BU44" s="439">
        <v>85.64</v>
      </c>
      <c r="BV44" s="439">
        <v>86.62</v>
      </c>
      <c r="BW44" s="439">
        <v>87.71</v>
      </c>
      <c r="BX44" s="426"/>
      <c r="CD44" s="113">
        <v>39</v>
      </c>
      <c r="CE44" s="439">
        <v>91.18</v>
      </c>
      <c r="CF44" s="439">
        <v>92.31</v>
      </c>
      <c r="CG44" s="439">
        <v>93.52</v>
      </c>
      <c r="CH44" s="426"/>
      <c r="CN44" s="113">
        <v>39</v>
      </c>
      <c r="CO44" s="439">
        <v>97.03</v>
      </c>
      <c r="CP44" s="439">
        <v>98.33</v>
      </c>
      <c r="CQ44" s="439">
        <v>99.66</v>
      </c>
      <c r="CR44" s="426"/>
    </row>
    <row r="45" spans="2:96" x14ac:dyDescent="0.2">
      <c r="B45" s="113">
        <v>40</v>
      </c>
      <c r="C45" s="439">
        <v>61.1</v>
      </c>
      <c r="D45" s="439">
        <v>61.4</v>
      </c>
      <c r="E45" s="439">
        <v>61.96</v>
      </c>
      <c r="F45" s="426"/>
      <c r="L45" s="113">
        <v>40</v>
      </c>
      <c r="M45" s="439">
        <v>65.48</v>
      </c>
      <c r="N45" s="439">
        <v>65.87</v>
      </c>
      <c r="O45" s="439">
        <v>66.5</v>
      </c>
      <c r="P45" s="426"/>
      <c r="V45" s="113">
        <v>40</v>
      </c>
      <c r="W45" s="439">
        <v>70.180000000000007</v>
      </c>
      <c r="X45" s="439">
        <v>70.66</v>
      </c>
      <c r="Y45" s="439">
        <v>71.38</v>
      </c>
      <c r="Z45" s="426"/>
      <c r="AF45" s="113">
        <v>40</v>
      </c>
      <c r="AG45" s="439">
        <v>72.97</v>
      </c>
      <c r="AH45" s="439">
        <v>73.540000000000006</v>
      </c>
      <c r="AI45" s="439">
        <v>74.319999999999993</v>
      </c>
      <c r="AJ45" s="426"/>
      <c r="AP45" s="113">
        <v>40</v>
      </c>
      <c r="AQ45" s="439">
        <v>78.099999999999994</v>
      </c>
      <c r="AR45" s="439">
        <v>78.77</v>
      </c>
      <c r="AS45" s="439">
        <v>79.66</v>
      </c>
      <c r="AT45" s="426"/>
      <c r="AZ45" s="113">
        <v>40</v>
      </c>
      <c r="BA45" s="439">
        <v>77.23</v>
      </c>
      <c r="BB45" s="439">
        <v>77.97</v>
      </c>
      <c r="BC45" s="439">
        <v>78.88</v>
      </c>
      <c r="BD45" s="426"/>
      <c r="BJ45" s="113">
        <v>40</v>
      </c>
      <c r="BK45" s="439">
        <v>82.38</v>
      </c>
      <c r="BL45" s="439">
        <v>83.25</v>
      </c>
      <c r="BM45" s="439">
        <v>84.27</v>
      </c>
      <c r="BN45" s="426"/>
      <c r="BT45" s="113">
        <v>40</v>
      </c>
      <c r="BU45" s="439">
        <v>85.69</v>
      </c>
      <c r="BV45" s="439">
        <v>86.68</v>
      </c>
      <c r="BW45" s="439">
        <v>87.79</v>
      </c>
      <c r="BX45" s="426"/>
      <c r="CD45" s="113">
        <v>40</v>
      </c>
      <c r="CE45" s="439">
        <v>91.26</v>
      </c>
      <c r="CF45" s="439">
        <v>92.4</v>
      </c>
      <c r="CG45" s="439">
        <v>93.62</v>
      </c>
      <c r="CH45" s="426"/>
      <c r="CN45" s="113">
        <v>40</v>
      </c>
      <c r="CO45" s="439">
        <v>97.14</v>
      </c>
      <c r="CP45" s="439">
        <v>98.45</v>
      </c>
      <c r="CQ45" s="439">
        <v>99.79</v>
      </c>
      <c r="CR45" s="426"/>
    </row>
    <row r="46" spans="2:96" x14ac:dyDescent="0.2">
      <c r="B46" s="113">
        <v>41</v>
      </c>
      <c r="C46" s="439">
        <v>60.99</v>
      </c>
      <c r="D46" s="439">
        <v>61.29</v>
      </c>
      <c r="E46" s="439">
        <v>61.85</v>
      </c>
      <c r="F46" s="426"/>
      <c r="L46" s="113">
        <v>41</v>
      </c>
      <c r="M46" s="439">
        <v>65.39</v>
      </c>
      <c r="N46" s="439">
        <v>65.78</v>
      </c>
      <c r="O46" s="439">
        <v>66.42</v>
      </c>
      <c r="P46" s="426"/>
      <c r="V46" s="113">
        <v>41</v>
      </c>
      <c r="W46" s="439">
        <v>70.11</v>
      </c>
      <c r="X46" s="439">
        <v>70.599999999999994</v>
      </c>
      <c r="Y46" s="439">
        <v>71.319999999999993</v>
      </c>
      <c r="Z46" s="426"/>
      <c r="AF46" s="113">
        <v>41</v>
      </c>
      <c r="AG46" s="439">
        <v>72.92</v>
      </c>
      <c r="AH46" s="439">
        <v>73.489999999999995</v>
      </c>
      <c r="AI46" s="439">
        <v>74.28</v>
      </c>
      <c r="AJ46" s="426"/>
      <c r="AP46" s="113">
        <v>41</v>
      </c>
      <c r="AQ46" s="439">
        <v>78.08</v>
      </c>
      <c r="AR46" s="439">
        <v>78.760000000000005</v>
      </c>
      <c r="AS46" s="439">
        <v>79.650000000000006</v>
      </c>
      <c r="AT46" s="426"/>
      <c r="AZ46" s="113">
        <v>41</v>
      </c>
      <c r="BA46" s="439">
        <v>77.22</v>
      </c>
      <c r="BB46" s="439">
        <v>77.97</v>
      </c>
      <c r="BC46" s="439">
        <v>78.89</v>
      </c>
      <c r="BD46" s="426"/>
      <c r="BJ46" s="113">
        <v>41</v>
      </c>
      <c r="BK46" s="439">
        <v>82.4</v>
      </c>
      <c r="BL46" s="439">
        <v>83.28</v>
      </c>
      <c r="BM46" s="439">
        <v>84.3</v>
      </c>
      <c r="BN46" s="426"/>
      <c r="BT46" s="113">
        <v>41</v>
      </c>
      <c r="BU46" s="439">
        <v>85.73</v>
      </c>
      <c r="BV46" s="439">
        <v>86.73</v>
      </c>
      <c r="BW46" s="439">
        <v>87.84</v>
      </c>
      <c r="BX46" s="426"/>
      <c r="CD46" s="113">
        <v>41</v>
      </c>
      <c r="CE46" s="439">
        <v>91.32</v>
      </c>
      <c r="CF46" s="439">
        <v>92.47</v>
      </c>
      <c r="CG46" s="439">
        <v>93.7</v>
      </c>
      <c r="CH46" s="426"/>
      <c r="CN46" s="113">
        <v>41</v>
      </c>
      <c r="CO46" s="439">
        <v>97.22</v>
      </c>
      <c r="CP46" s="439">
        <v>98.54</v>
      </c>
      <c r="CQ46" s="439">
        <v>99.9</v>
      </c>
      <c r="CR46" s="426"/>
    </row>
    <row r="47" spans="2:96" x14ac:dyDescent="0.2">
      <c r="B47" s="113">
        <v>42</v>
      </c>
      <c r="C47" s="439">
        <v>60.86</v>
      </c>
      <c r="D47" s="439">
        <v>61.16</v>
      </c>
      <c r="E47" s="439">
        <v>61.72</v>
      </c>
      <c r="F47" s="426"/>
      <c r="L47" s="113">
        <v>42</v>
      </c>
      <c r="M47" s="439">
        <v>65.28</v>
      </c>
      <c r="N47" s="439">
        <v>65.67</v>
      </c>
      <c r="O47" s="439">
        <v>66.31</v>
      </c>
      <c r="P47" s="426"/>
      <c r="V47" s="113">
        <v>42</v>
      </c>
      <c r="W47" s="439">
        <v>70.03</v>
      </c>
      <c r="X47" s="439">
        <v>70.510000000000005</v>
      </c>
      <c r="Y47" s="439">
        <v>71.239999999999995</v>
      </c>
      <c r="Z47" s="426"/>
      <c r="AF47" s="113">
        <v>42</v>
      </c>
      <c r="AG47" s="439">
        <v>72.86</v>
      </c>
      <c r="AH47" s="439">
        <v>73.430000000000007</v>
      </c>
      <c r="AI47" s="439">
        <v>74.23</v>
      </c>
      <c r="AJ47" s="426"/>
      <c r="AP47" s="113">
        <v>42</v>
      </c>
      <c r="AQ47" s="439">
        <v>78.040000000000006</v>
      </c>
      <c r="AR47" s="439">
        <v>78.73</v>
      </c>
      <c r="AS47" s="439">
        <v>79.62</v>
      </c>
      <c r="AT47" s="426"/>
      <c r="AZ47" s="113">
        <v>42</v>
      </c>
      <c r="BA47" s="439">
        <v>77.19</v>
      </c>
      <c r="BB47" s="439">
        <v>77.95</v>
      </c>
      <c r="BC47" s="439">
        <v>78.88</v>
      </c>
      <c r="BD47" s="426"/>
      <c r="BJ47" s="113">
        <v>42</v>
      </c>
      <c r="BK47" s="439">
        <v>82.4</v>
      </c>
      <c r="BL47" s="439">
        <v>83.28</v>
      </c>
      <c r="BM47" s="439">
        <v>84.31</v>
      </c>
      <c r="BN47" s="426"/>
      <c r="BT47" s="113">
        <v>42</v>
      </c>
      <c r="BU47" s="439">
        <v>85.75</v>
      </c>
      <c r="BV47" s="439">
        <v>86.76</v>
      </c>
      <c r="BW47" s="439">
        <v>87.87</v>
      </c>
      <c r="BX47" s="426"/>
      <c r="CD47" s="113">
        <v>42</v>
      </c>
      <c r="CE47" s="439">
        <v>91.36</v>
      </c>
      <c r="CF47" s="439">
        <v>92.52</v>
      </c>
      <c r="CG47" s="439">
        <v>93.76</v>
      </c>
      <c r="CH47" s="426"/>
      <c r="CN47" s="113">
        <v>42</v>
      </c>
      <c r="CO47" s="439">
        <v>97.28</v>
      </c>
      <c r="CP47" s="439">
        <v>98.61</v>
      </c>
      <c r="CQ47" s="439">
        <v>99.98</v>
      </c>
      <c r="CR47" s="426"/>
    </row>
    <row r="48" spans="2:96" x14ac:dyDescent="0.2">
      <c r="B48" s="113">
        <v>43</v>
      </c>
      <c r="C48" s="439">
        <v>60.71</v>
      </c>
      <c r="D48" s="439">
        <v>61.01</v>
      </c>
      <c r="E48" s="439">
        <v>61.58</v>
      </c>
      <c r="F48" s="426"/>
      <c r="L48" s="113">
        <v>43</v>
      </c>
      <c r="M48" s="439">
        <v>65.150000000000006</v>
      </c>
      <c r="N48" s="439">
        <v>65.55</v>
      </c>
      <c r="O48" s="439">
        <v>66.19</v>
      </c>
      <c r="P48" s="426"/>
      <c r="V48" s="113">
        <v>43</v>
      </c>
      <c r="W48" s="439">
        <v>69.92</v>
      </c>
      <c r="X48" s="439">
        <v>70.41</v>
      </c>
      <c r="Y48" s="439">
        <v>71.14</v>
      </c>
      <c r="Z48" s="426"/>
      <c r="AF48" s="113">
        <v>43</v>
      </c>
      <c r="AG48" s="439">
        <v>72.77</v>
      </c>
      <c r="AH48" s="439">
        <v>73.349999999999994</v>
      </c>
      <c r="AI48" s="439">
        <v>74.150000000000006</v>
      </c>
      <c r="AJ48" s="426"/>
      <c r="AP48" s="113">
        <v>43</v>
      </c>
      <c r="AQ48" s="439">
        <v>77.98</v>
      </c>
      <c r="AR48" s="439">
        <v>78.67</v>
      </c>
      <c r="AS48" s="439">
        <v>79.569999999999993</v>
      </c>
      <c r="AT48" s="426"/>
      <c r="AZ48" s="113">
        <v>43</v>
      </c>
      <c r="BA48" s="439">
        <v>77.150000000000006</v>
      </c>
      <c r="BB48" s="439">
        <v>77.91</v>
      </c>
      <c r="BC48" s="439">
        <v>78.84</v>
      </c>
      <c r="BD48" s="426"/>
      <c r="BJ48" s="113">
        <v>43</v>
      </c>
      <c r="BK48" s="439">
        <v>82.37</v>
      </c>
      <c r="BL48" s="439">
        <v>83.27</v>
      </c>
      <c r="BM48" s="439">
        <v>84.3</v>
      </c>
      <c r="BN48" s="426"/>
      <c r="BT48" s="113">
        <v>43</v>
      </c>
      <c r="BU48" s="439">
        <v>85.73</v>
      </c>
      <c r="BV48" s="439">
        <v>86.75</v>
      </c>
      <c r="BW48" s="439">
        <v>87.88</v>
      </c>
      <c r="BX48" s="426"/>
      <c r="CD48" s="113">
        <v>43</v>
      </c>
      <c r="CE48" s="439">
        <v>91.37</v>
      </c>
      <c r="CF48" s="439">
        <v>92.54</v>
      </c>
      <c r="CG48" s="439">
        <v>93.79</v>
      </c>
      <c r="CH48" s="426"/>
      <c r="CN48" s="113">
        <v>43</v>
      </c>
      <c r="CO48" s="439">
        <v>97.3</v>
      </c>
      <c r="CP48" s="439">
        <v>98.65</v>
      </c>
      <c r="CQ48" s="439">
        <v>100.03</v>
      </c>
      <c r="CR48" s="426"/>
    </row>
    <row r="49" spans="2:100" x14ac:dyDescent="0.2">
      <c r="B49" s="113">
        <v>44</v>
      </c>
      <c r="C49" s="439">
        <v>60.54</v>
      </c>
      <c r="D49" s="439">
        <v>60.85</v>
      </c>
      <c r="E49" s="439">
        <v>61.41</v>
      </c>
      <c r="F49" s="426"/>
      <c r="L49" s="113">
        <v>44</v>
      </c>
      <c r="M49" s="439">
        <v>65</v>
      </c>
      <c r="N49" s="439">
        <v>65.400000000000006</v>
      </c>
      <c r="O49" s="439">
        <v>66.040000000000006</v>
      </c>
      <c r="P49" s="426"/>
      <c r="V49" s="113">
        <v>44</v>
      </c>
      <c r="W49" s="439">
        <v>69.790000000000006</v>
      </c>
      <c r="X49" s="439">
        <v>70.290000000000006</v>
      </c>
      <c r="Y49" s="439">
        <v>71.02</v>
      </c>
      <c r="Z49" s="426"/>
      <c r="AF49" s="113">
        <v>44</v>
      </c>
      <c r="AG49" s="439">
        <v>72.67</v>
      </c>
      <c r="AH49" s="439">
        <v>73.25</v>
      </c>
      <c r="AI49" s="439">
        <v>74.05</v>
      </c>
      <c r="AJ49" s="426"/>
      <c r="AP49" s="113">
        <v>44</v>
      </c>
      <c r="AQ49" s="439">
        <v>77.89</v>
      </c>
      <c r="AR49" s="439">
        <v>78.599999999999994</v>
      </c>
      <c r="AS49" s="439">
        <v>79.5</v>
      </c>
      <c r="AT49" s="426"/>
      <c r="AZ49" s="113">
        <v>44</v>
      </c>
      <c r="BA49" s="439">
        <v>77.069999999999993</v>
      </c>
      <c r="BB49" s="439">
        <v>77.84</v>
      </c>
      <c r="BC49" s="439">
        <v>78.78</v>
      </c>
      <c r="BD49" s="426"/>
      <c r="BJ49" s="113">
        <v>44</v>
      </c>
      <c r="BK49" s="439">
        <v>82.31</v>
      </c>
      <c r="BL49" s="439">
        <v>83.22</v>
      </c>
      <c r="BM49" s="439">
        <v>84.27</v>
      </c>
      <c r="BN49" s="426"/>
      <c r="BT49" s="113">
        <v>44</v>
      </c>
      <c r="BU49" s="439">
        <v>85.7</v>
      </c>
      <c r="BV49" s="439">
        <v>86.73</v>
      </c>
      <c r="BW49" s="439">
        <v>87.86</v>
      </c>
      <c r="BX49" s="426"/>
      <c r="CD49" s="113">
        <v>44</v>
      </c>
      <c r="CE49" s="439">
        <v>91.35</v>
      </c>
      <c r="CF49" s="439">
        <v>92.54</v>
      </c>
      <c r="CG49" s="439">
        <v>93.79</v>
      </c>
      <c r="CH49" s="426"/>
      <c r="CN49" s="113">
        <v>44</v>
      </c>
      <c r="CO49" s="439">
        <v>97.3</v>
      </c>
      <c r="CP49" s="439">
        <v>98.66</v>
      </c>
      <c r="CQ49" s="439">
        <v>100.05</v>
      </c>
      <c r="CR49" s="426"/>
    </row>
    <row r="50" spans="2:100" x14ac:dyDescent="0.2">
      <c r="B50" s="113">
        <v>45</v>
      </c>
      <c r="C50" s="439">
        <v>60.35</v>
      </c>
      <c r="D50" s="439">
        <v>60.66</v>
      </c>
      <c r="E50" s="439">
        <v>61.23</v>
      </c>
      <c r="F50" s="426"/>
      <c r="L50" s="113">
        <v>45</v>
      </c>
      <c r="M50" s="439">
        <v>64.83</v>
      </c>
      <c r="N50" s="439">
        <v>65.23</v>
      </c>
      <c r="O50" s="439">
        <v>65.88</v>
      </c>
      <c r="P50" s="426"/>
      <c r="V50" s="113">
        <v>45</v>
      </c>
      <c r="W50" s="439">
        <v>69.64</v>
      </c>
      <c r="X50" s="439">
        <v>70.14</v>
      </c>
      <c r="Y50" s="439">
        <v>70.87</v>
      </c>
      <c r="Z50" s="426"/>
      <c r="AF50" s="113">
        <v>45</v>
      </c>
      <c r="AG50" s="439">
        <v>72.53</v>
      </c>
      <c r="AH50" s="439">
        <v>73.12</v>
      </c>
      <c r="AI50" s="439">
        <v>73.930000000000007</v>
      </c>
      <c r="AJ50" s="426"/>
      <c r="AP50" s="113">
        <v>45</v>
      </c>
      <c r="AQ50" s="439">
        <v>77.78</v>
      </c>
      <c r="AR50" s="439">
        <v>78.489999999999995</v>
      </c>
      <c r="AS50" s="439">
        <v>79.400000000000006</v>
      </c>
      <c r="AT50" s="426"/>
      <c r="AZ50" s="113">
        <v>45</v>
      </c>
      <c r="BA50" s="439">
        <v>76.97</v>
      </c>
      <c r="BB50" s="439">
        <v>77.75</v>
      </c>
      <c r="BC50" s="439">
        <v>78.69</v>
      </c>
      <c r="BD50" s="426"/>
      <c r="BJ50" s="113">
        <v>45</v>
      </c>
      <c r="BK50" s="439">
        <v>82.23</v>
      </c>
      <c r="BL50" s="439">
        <v>83.15</v>
      </c>
      <c r="BM50" s="439">
        <v>84.2</v>
      </c>
      <c r="BN50" s="426"/>
      <c r="BT50" s="113">
        <v>45</v>
      </c>
      <c r="BU50" s="439">
        <v>85.63</v>
      </c>
      <c r="BV50" s="439">
        <v>86.67</v>
      </c>
      <c r="BW50" s="439">
        <v>87.81</v>
      </c>
      <c r="BX50" s="426"/>
      <c r="CD50" s="113">
        <v>45</v>
      </c>
      <c r="CE50" s="439">
        <v>91.3</v>
      </c>
      <c r="CF50" s="439">
        <v>92.5</v>
      </c>
      <c r="CG50" s="439">
        <v>93.77</v>
      </c>
      <c r="CH50" s="426"/>
      <c r="CN50" s="113">
        <v>45</v>
      </c>
      <c r="CO50" s="439">
        <v>97.27</v>
      </c>
      <c r="CP50" s="439">
        <v>98.65</v>
      </c>
      <c r="CQ50" s="439">
        <v>100.05</v>
      </c>
      <c r="CR50" s="426"/>
    </row>
    <row r="51" spans="2:100" x14ac:dyDescent="0.2">
      <c r="B51" s="113">
        <v>46</v>
      </c>
      <c r="C51" s="439">
        <v>60.13</v>
      </c>
      <c r="D51" s="439">
        <v>60.44</v>
      </c>
      <c r="E51" s="439">
        <v>61.01</v>
      </c>
      <c r="F51" s="426"/>
      <c r="L51" s="113">
        <v>46</v>
      </c>
      <c r="M51" s="439">
        <v>64.63</v>
      </c>
      <c r="N51" s="439">
        <v>65.03</v>
      </c>
      <c r="O51" s="439">
        <v>65.680000000000007</v>
      </c>
      <c r="P51" s="426"/>
      <c r="V51" s="113">
        <v>46</v>
      </c>
      <c r="W51" s="439">
        <v>69.459999999999994</v>
      </c>
      <c r="X51" s="439">
        <v>69.959999999999994</v>
      </c>
      <c r="Y51" s="439">
        <v>70.7</v>
      </c>
      <c r="Z51" s="426"/>
      <c r="AF51" s="113">
        <v>46</v>
      </c>
      <c r="AG51" s="439">
        <v>72.37</v>
      </c>
      <c r="AH51" s="439">
        <v>72.97</v>
      </c>
      <c r="AI51" s="439">
        <v>73.78</v>
      </c>
      <c r="AJ51" s="426"/>
      <c r="AP51" s="113">
        <v>46</v>
      </c>
      <c r="AQ51" s="439">
        <v>77.64</v>
      </c>
      <c r="AR51" s="439">
        <v>78.36</v>
      </c>
      <c r="AS51" s="439">
        <v>79.27</v>
      </c>
      <c r="AT51" s="426"/>
      <c r="AZ51" s="113">
        <v>46</v>
      </c>
      <c r="BA51" s="439">
        <v>76.84</v>
      </c>
      <c r="BB51" s="439">
        <v>77.63</v>
      </c>
      <c r="BC51" s="439">
        <v>78.58</v>
      </c>
      <c r="BD51" s="426"/>
      <c r="BJ51" s="113">
        <v>46</v>
      </c>
      <c r="BK51" s="439">
        <v>82.12</v>
      </c>
      <c r="BL51" s="439">
        <v>83.05</v>
      </c>
      <c r="BM51" s="439">
        <v>84.1</v>
      </c>
      <c r="BN51" s="426"/>
      <c r="BT51" s="113">
        <v>46</v>
      </c>
      <c r="BU51" s="439">
        <v>85.53</v>
      </c>
      <c r="BV51" s="439">
        <v>86.58</v>
      </c>
      <c r="BW51" s="439">
        <v>87.73</v>
      </c>
      <c r="BX51" s="426"/>
      <c r="CD51" s="113">
        <v>46</v>
      </c>
      <c r="CE51" s="439">
        <v>91.22</v>
      </c>
      <c r="CF51" s="439">
        <v>92.43</v>
      </c>
      <c r="CG51" s="439">
        <v>93.71</v>
      </c>
      <c r="CH51" s="426"/>
      <c r="CN51" s="113">
        <v>46</v>
      </c>
      <c r="CO51" s="439">
        <v>97.21</v>
      </c>
      <c r="CP51" s="439">
        <v>98.6</v>
      </c>
      <c r="CQ51" s="439">
        <v>100.01</v>
      </c>
      <c r="CR51" s="426"/>
    </row>
    <row r="52" spans="2:100" x14ac:dyDescent="0.2">
      <c r="B52" s="113">
        <v>47</v>
      </c>
      <c r="C52" s="439">
        <v>59.89</v>
      </c>
      <c r="D52" s="439">
        <v>60.2</v>
      </c>
      <c r="E52" s="439">
        <v>60.77</v>
      </c>
      <c r="F52" s="426"/>
      <c r="L52" s="113">
        <v>47</v>
      </c>
      <c r="M52" s="439">
        <v>64.41</v>
      </c>
      <c r="N52" s="439">
        <v>64.81</v>
      </c>
      <c r="O52" s="439">
        <v>65.459999999999994</v>
      </c>
      <c r="P52" s="426"/>
      <c r="V52" s="113">
        <v>47</v>
      </c>
      <c r="W52" s="439">
        <v>69.260000000000005</v>
      </c>
      <c r="X52" s="439">
        <v>69.760000000000005</v>
      </c>
      <c r="Y52" s="439">
        <v>70.5</v>
      </c>
      <c r="Z52" s="426"/>
      <c r="AF52" s="113">
        <v>47</v>
      </c>
      <c r="AG52" s="439">
        <v>72.180000000000007</v>
      </c>
      <c r="AH52" s="439">
        <v>72.78</v>
      </c>
      <c r="AI52" s="439">
        <v>73.59</v>
      </c>
      <c r="AJ52" s="426"/>
      <c r="AP52" s="113">
        <v>47</v>
      </c>
      <c r="AQ52" s="439">
        <v>77.47</v>
      </c>
      <c r="AR52" s="439">
        <v>78.19</v>
      </c>
      <c r="AS52" s="439">
        <v>79.11</v>
      </c>
      <c r="AT52" s="426"/>
      <c r="AZ52" s="113">
        <v>47</v>
      </c>
      <c r="BA52" s="439">
        <v>76.680000000000007</v>
      </c>
      <c r="BB52" s="439">
        <v>77.47</v>
      </c>
      <c r="BC52" s="439">
        <v>78.430000000000007</v>
      </c>
      <c r="BD52" s="426"/>
      <c r="BJ52" s="113">
        <v>47</v>
      </c>
      <c r="BK52" s="439">
        <v>81.97</v>
      </c>
      <c r="BL52" s="439">
        <v>82.91</v>
      </c>
      <c r="BM52" s="439">
        <v>83.98</v>
      </c>
      <c r="BN52" s="426"/>
      <c r="BT52" s="113">
        <v>47</v>
      </c>
      <c r="BU52" s="439">
        <v>85.4</v>
      </c>
      <c r="BV52" s="439">
        <v>86.47</v>
      </c>
      <c r="BW52" s="439">
        <v>87.63</v>
      </c>
      <c r="BX52" s="426"/>
      <c r="CD52" s="113">
        <v>47</v>
      </c>
      <c r="CE52" s="439">
        <v>91.11</v>
      </c>
      <c r="CF52" s="439">
        <v>92.34</v>
      </c>
      <c r="CG52" s="439">
        <v>93.62</v>
      </c>
      <c r="CH52" s="426"/>
      <c r="CN52" s="113">
        <v>47</v>
      </c>
      <c r="CO52" s="439">
        <v>97.12</v>
      </c>
      <c r="CP52" s="439">
        <v>98.53</v>
      </c>
      <c r="CQ52" s="439">
        <v>99.95</v>
      </c>
      <c r="CR52" s="426"/>
    </row>
    <row r="53" spans="2:100" x14ac:dyDescent="0.2">
      <c r="B53" s="113">
        <v>48</v>
      </c>
      <c r="C53" s="439">
        <v>59.61</v>
      </c>
      <c r="D53" s="439">
        <v>59.93</v>
      </c>
      <c r="E53" s="439">
        <v>60.5</v>
      </c>
      <c r="F53" s="426"/>
      <c r="L53" s="113">
        <v>48</v>
      </c>
      <c r="M53" s="439">
        <v>64.150000000000006</v>
      </c>
      <c r="N53" s="439">
        <v>64.55</v>
      </c>
      <c r="O53" s="439">
        <v>65.209999999999994</v>
      </c>
      <c r="P53" s="426"/>
      <c r="V53" s="113">
        <v>48</v>
      </c>
      <c r="W53" s="439">
        <v>69.02</v>
      </c>
      <c r="X53" s="439">
        <v>69.53</v>
      </c>
      <c r="Y53" s="439">
        <v>70.27</v>
      </c>
      <c r="Z53" s="426"/>
      <c r="AF53" s="113">
        <v>48</v>
      </c>
      <c r="AG53" s="439">
        <v>71.959999999999994</v>
      </c>
      <c r="AH53" s="439">
        <v>72.56</v>
      </c>
      <c r="AI53" s="439">
        <v>73.38</v>
      </c>
      <c r="AJ53" s="426"/>
      <c r="AP53" s="113">
        <v>48</v>
      </c>
      <c r="AQ53" s="439">
        <v>77.260000000000005</v>
      </c>
      <c r="AR53" s="439">
        <v>77.989999999999995</v>
      </c>
      <c r="AS53" s="439">
        <v>78.91</v>
      </c>
      <c r="AT53" s="426"/>
      <c r="AZ53" s="113">
        <v>48</v>
      </c>
      <c r="BA53" s="439">
        <v>76.48</v>
      </c>
      <c r="BB53" s="439">
        <v>77.290000000000006</v>
      </c>
      <c r="BC53" s="439">
        <v>78.25</v>
      </c>
      <c r="BD53" s="426"/>
      <c r="BJ53" s="113">
        <v>48</v>
      </c>
      <c r="BK53" s="439">
        <v>81.8</v>
      </c>
      <c r="BL53" s="439">
        <v>82.74</v>
      </c>
      <c r="BM53" s="439">
        <v>83.82</v>
      </c>
      <c r="BN53" s="426"/>
      <c r="BT53" s="113">
        <v>48</v>
      </c>
      <c r="BU53" s="439">
        <v>85.24</v>
      </c>
      <c r="BV53" s="439">
        <v>86.32</v>
      </c>
      <c r="BW53" s="439">
        <v>87.49</v>
      </c>
      <c r="BX53" s="426"/>
      <c r="CD53" s="113">
        <v>48</v>
      </c>
      <c r="CE53" s="439">
        <v>90.97</v>
      </c>
      <c r="CF53" s="439">
        <v>92.21</v>
      </c>
      <c r="CG53" s="439">
        <v>93.51</v>
      </c>
      <c r="CH53" s="426"/>
      <c r="CN53" s="113">
        <v>48</v>
      </c>
      <c r="CO53" s="439">
        <v>96.99</v>
      </c>
      <c r="CP53" s="439">
        <v>98.41</v>
      </c>
      <c r="CQ53" s="439">
        <v>99.84</v>
      </c>
      <c r="CR53" s="426"/>
    </row>
    <row r="54" spans="2:100" x14ac:dyDescent="0.2">
      <c r="B54" s="113">
        <v>49</v>
      </c>
      <c r="C54" s="439">
        <v>59.31</v>
      </c>
      <c r="D54" s="439">
        <v>59.63</v>
      </c>
      <c r="E54" s="439">
        <v>60.2</v>
      </c>
      <c r="F54" s="426"/>
      <c r="L54" s="113">
        <v>49</v>
      </c>
      <c r="M54" s="439">
        <v>63.86</v>
      </c>
      <c r="N54" s="439">
        <v>64.27</v>
      </c>
      <c r="O54" s="439">
        <v>64.930000000000007</v>
      </c>
      <c r="P54" s="426"/>
      <c r="V54" s="113">
        <v>49</v>
      </c>
      <c r="W54" s="439">
        <v>68.739999999999995</v>
      </c>
      <c r="X54" s="439">
        <v>69.260000000000005</v>
      </c>
      <c r="Y54" s="439">
        <v>70.010000000000005</v>
      </c>
      <c r="Z54" s="426"/>
      <c r="AF54" s="113">
        <v>49</v>
      </c>
      <c r="AG54" s="439">
        <v>71.7</v>
      </c>
      <c r="AH54" s="439">
        <v>72.31</v>
      </c>
      <c r="AI54" s="439">
        <v>73.13</v>
      </c>
      <c r="AJ54" s="426"/>
      <c r="AP54" s="113">
        <v>49</v>
      </c>
      <c r="AQ54" s="439">
        <v>77.02</v>
      </c>
      <c r="AR54" s="439">
        <v>77.760000000000005</v>
      </c>
      <c r="AS54" s="439">
        <v>78.69</v>
      </c>
      <c r="AT54" s="426"/>
      <c r="AZ54" s="113">
        <v>49</v>
      </c>
      <c r="BA54" s="439">
        <v>76.25</v>
      </c>
      <c r="BB54" s="439">
        <v>77.069999999999993</v>
      </c>
      <c r="BC54" s="439">
        <v>78.040000000000006</v>
      </c>
      <c r="BD54" s="426"/>
      <c r="BJ54" s="113">
        <v>49</v>
      </c>
      <c r="BK54" s="439">
        <v>81.58</v>
      </c>
      <c r="BL54" s="439">
        <v>82.54</v>
      </c>
      <c r="BM54" s="439">
        <v>83.62</v>
      </c>
      <c r="BN54" s="426"/>
      <c r="BT54" s="113">
        <v>49</v>
      </c>
      <c r="BU54" s="439">
        <v>85.05</v>
      </c>
      <c r="BV54" s="439">
        <v>86.14</v>
      </c>
      <c r="BW54" s="439">
        <v>87.32</v>
      </c>
      <c r="BX54" s="426"/>
      <c r="CD54" s="113">
        <v>49</v>
      </c>
      <c r="CE54" s="439">
        <v>90.79</v>
      </c>
      <c r="CF54" s="439">
        <v>92.05</v>
      </c>
      <c r="CG54" s="439">
        <v>93.35</v>
      </c>
      <c r="CH54" s="426"/>
      <c r="CN54" s="113">
        <v>49</v>
      </c>
      <c r="CO54" s="439">
        <v>96.81</v>
      </c>
      <c r="CP54" s="439">
        <v>98.26</v>
      </c>
      <c r="CQ54" s="439">
        <v>99.7</v>
      </c>
      <c r="CR54" s="426"/>
    </row>
    <row r="55" spans="2:100" x14ac:dyDescent="0.2">
      <c r="B55" s="113">
        <v>50</v>
      </c>
      <c r="C55" s="439">
        <v>58.98</v>
      </c>
      <c r="D55" s="439">
        <v>59.29</v>
      </c>
      <c r="E55" s="439">
        <v>59.87</v>
      </c>
      <c r="F55" s="426"/>
      <c r="G55" s="426"/>
      <c r="I55" s="440"/>
      <c r="J55" s="441"/>
      <c r="L55" s="113">
        <v>50</v>
      </c>
      <c r="M55" s="439">
        <v>63.54</v>
      </c>
      <c r="N55" s="439">
        <v>63.95</v>
      </c>
      <c r="O55" s="439">
        <v>64.61</v>
      </c>
      <c r="P55" s="426"/>
      <c r="Q55" s="426"/>
      <c r="S55" s="440"/>
      <c r="T55" s="441"/>
      <c r="V55" s="113">
        <v>50</v>
      </c>
      <c r="W55" s="439">
        <v>68.430000000000007</v>
      </c>
      <c r="X55" s="439">
        <v>68.95</v>
      </c>
      <c r="Y55" s="439">
        <v>69.709999999999994</v>
      </c>
      <c r="Z55" s="426"/>
      <c r="AA55" s="426"/>
      <c r="AC55" s="440"/>
      <c r="AD55" s="441"/>
      <c r="AF55" s="113">
        <v>50</v>
      </c>
      <c r="AG55" s="439">
        <v>71.400000000000006</v>
      </c>
      <c r="AH55" s="439">
        <v>72.02</v>
      </c>
      <c r="AI55" s="439">
        <v>72.849999999999994</v>
      </c>
      <c r="AJ55" s="426"/>
      <c r="AK55" s="426"/>
      <c r="AM55" s="440"/>
      <c r="AN55" s="441"/>
      <c r="AP55" s="113">
        <v>50</v>
      </c>
      <c r="AQ55" s="439">
        <v>76.739999999999995</v>
      </c>
      <c r="AR55" s="439">
        <v>77.489999999999995</v>
      </c>
      <c r="AS55" s="439">
        <v>78.42</v>
      </c>
      <c r="AT55" s="426"/>
      <c r="AU55" s="426"/>
      <c r="AW55" s="440"/>
      <c r="AX55" s="441"/>
      <c r="AZ55" s="113">
        <v>50</v>
      </c>
      <c r="BA55" s="439">
        <v>75.989999999999995</v>
      </c>
      <c r="BB55" s="439">
        <v>76.819999999999993</v>
      </c>
      <c r="BC55" s="439">
        <v>77.790000000000006</v>
      </c>
      <c r="BD55" s="426"/>
      <c r="BE55" s="426"/>
      <c r="BG55" s="440"/>
      <c r="BH55" s="441"/>
      <c r="BJ55" s="113">
        <v>50</v>
      </c>
      <c r="BK55" s="439">
        <v>81.34</v>
      </c>
      <c r="BL55" s="439">
        <v>82.31</v>
      </c>
      <c r="BM55" s="439">
        <v>83.4</v>
      </c>
      <c r="BN55" s="426"/>
      <c r="BO55" s="426"/>
      <c r="BQ55" s="440"/>
      <c r="BR55" s="441"/>
      <c r="BT55" s="113">
        <v>50</v>
      </c>
      <c r="BU55" s="439">
        <v>84.82</v>
      </c>
      <c r="BV55" s="439">
        <v>85.93</v>
      </c>
      <c r="BW55" s="439">
        <v>87.11</v>
      </c>
      <c r="BX55" s="426"/>
      <c r="BY55" s="426"/>
      <c r="CA55" s="440"/>
      <c r="CB55" s="441"/>
      <c r="CD55" s="113">
        <v>50</v>
      </c>
      <c r="CE55" s="439">
        <v>90.57</v>
      </c>
      <c r="CF55" s="439">
        <v>91.85</v>
      </c>
      <c r="CG55" s="439">
        <v>93.17</v>
      </c>
      <c r="CH55" s="426"/>
      <c r="CI55" s="426"/>
      <c r="CK55" s="440"/>
      <c r="CL55" s="441"/>
      <c r="CN55" s="113">
        <v>50</v>
      </c>
      <c r="CO55" s="439">
        <v>96.6</v>
      </c>
      <c r="CP55" s="439">
        <v>98.06</v>
      </c>
      <c r="CQ55" s="439">
        <v>99.51</v>
      </c>
      <c r="CR55" s="426"/>
      <c r="CS55" s="426"/>
      <c r="CU55" s="440"/>
      <c r="CV55" s="441"/>
    </row>
    <row r="56" spans="2:100" x14ac:dyDescent="0.2">
      <c r="B56" s="113">
        <v>51</v>
      </c>
      <c r="C56" s="439">
        <v>58.61</v>
      </c>
      <c r="D56" s="439">
        <v>58.93</v>
      </c>
      <c r="E56" s="439">
        <v>59.5</v>
      </c>
      <c r="L56" s="113">
        <v>51</v>
      </c>
      <c r="M56" s="439">
        <v>63.18</v>
      </c>
      <c r="N56" s="439">
        <v>63.6</v>
      </c>
      <c r="O56" s="439">
        <v>64.260000000000005</v>
      </c>
      <c r="V56" s="113">
        <v>51</v>
      </c>
      <c r="W56" s="439">
        <v>68.09</v>
      </c>
      <c r="X56" s="439">
        <v>68.61</v>
      </c>
      <c r="Y56" s="439">
        <v>69.37</v>
      </c>
      <c r="AF56" s="113">
        <v>51</v>
      </c>
      <c r="AG56" s="439">
        <v>71.08</v>
      </c>
      <c r="AH56" s="439">
        <v>71.7</v>
      </c>
      <c r="AI56" s="439">
        <v>72.53</v>
      </c>
      <c r="AP56" s="113">
        <v>51</v>
      </c>
      <c r="AQ56" s="439">
        <v>76.430000000000007</v>
      </c>
      <c r="AR56" s="439">
        <v>77.180000000000007</v>
      </c>
      <c r="AS56" s="439">
        <v>78.12</v>
      </c>
      <c r="AZ56" s="113">
        <v>51</v>
      </c>
      <c r="BA56" s="439">
        <v>75.69</v>
      </c>
      <c r="BB56" s="439">
        <v>76.53</v>
      </c>
      <c r="BC56" s="439">
        <v>77.510000000000005</v>
      </c>
      <c r="BJ56" s="113">
        <v>51</v>
      </c>
      <c r="BK56" s="439">
        <v>81.06</v>
      </c>
      <c r="BL56" s="439">
        <v>82.05</v>
      </c>
      <c r="BM56" s="439">
        <v>83.14</v>
      </c>
      <c r="BT56" s="113">
        <v>51</v>
      </c>
      <c r="BU56" s="439">
        <v>84.56</v>
      </c>
      <c r="BV56" s="439">
        <v>85.68</v>
      </c>
      <c r="BW56" s="439">
        <v>86.88</v>
      </c>
      <c r="CD56" s="113">
        <v>51</v>
      </c>
      <c r="CE56" s="439">
        <v>90.32</v>
      </c>
      <c r="CF56" s="439">
        <v>91.62</v>
      </c>
      <c r="CG56" s="439">
        <v>92.94</v>
      </c>
      <c r="CN56" s="113">
        <v>51</v>
      </c>
      <c r="CO56" s="439">
        <v>96.34</v>
      </c>
      <c r="CP56" s="439">
        <v>97.82</v>
      </c>
      <c r="CQ56" s="439">
        <v>99.28</v>
      </c>
    </row>
    <row r="57" spans="2:100" x14ac:dyDescent="0.2">
      <c r="B57" s="113">
        <v>52</v>
      </c>
      <c r="C57" s="439">
        <v>58.2</v>
      </c>
      <c r="D57" s="439">
        <v>58.53</v>
      </c>
      <c r="E57" s="439">
        <v>59.11</v>
      </c>
      <c r="L57" s="113">
        <v>52</v>
      </c>
      <c r="M57" s="439">
        <v>62.79</v>
      </c>
      <c r="N57" s="439">
        <v>63.21</v>
      </c>
      <c r="O57" s="439">
        <v>63.87</v>
      </c>
      <c r="V57" s="113">
        <v>52</v>
      </c>
      <c r="W57" s="439">
        <v>67.709999999999994</v>
      </c>
      <c r="X57" s="439">
        <v>68.239999999999995</v>
      </c>
      <c r="Y57" s="439">
        <v>69</v>
      </c>
      <c r="AF57" s="113">
        <v>52</v>
      </c>
      <c r="AG57" s="439">
        <v>70.709999999999994</v>
      </c>
      <c r="AH57" s="439">
        <v>71.34</v>
      </c>
      <c r="AI57" s="439">
        <v>72.180000000000007</v>
      </c>
      <c r="AP57" s="113">
        <v>52</v>
      </c>
      <c r="AQ57" s="439">
        <v>76.069999999999993</v>
      </c>
      <c r="AR57" s="439">
        <v>76.84</v>
      </c>
      <c r="AS57" s="439">
        <v>77.78</v>
      </c>
      <c r="AZ57" s="113">
        <v>52</v>
      </c>
      <c r="BA57" s="439">
        <v>75.37</v>
      </c>
      <c r="BB57" s="439">
        <v>76.22</v>
      </c>
      <c r="BC57" s="439">
        <v>77.2</v>
      </c>
      <c r="BJ57" s="113">
        <v>52</v>
      </c>
      <c r="BK57" s="439">
        <v>80.760000000000005</v>
      </c>
      <c r="BL57" s="439">
        <v>81.75</v>
      </c>
      <c r="BM57" s="439">
        <v>82.86</v>
      </c>
      <c r="BT57" s="113">
        <v>52</v>
      </c>
      <c r="BU57" s="439">
        <v>84.27</v>
      </c>
      <c r="BV57" s="439">
        <v>85.41</v>
      </c>
      <c r="BW57" s="439">
        <v>86.61</v>
      </c>
      <c r="CD57" s="113">
        <v>52</v>
      </c>
      <c r="CE57" s="439">
        <v>90.03</v>
      </c>
      <c r="CF57" s="439">
        <v>91.34</v>
      </c>
      <c r="CG57" s="439">
        <v>92.68</v>
      </c>
      <c r="CN57" s="113">
        <v>52</v>
      </c>
      <c r="CO57" s="439">
        <v>96.03</v>
      </c>
      <c r="CP57" s="439">
        <v>97.54</v>
      </c>
      <c r="CQ57" s="439">
        <v>99.01</v>
      </c>
    </row>
    <row r="58" spans="2:100" x14ac:dyDescent="0.2">
      <c r="B58" s="113">
        <v>53</v>
      </c>
      <c r="C58" s="439">
        <v>57.77</v>
      </c>
      <c r="D58" s="439">
        <v>58.09</v>
      </c>
      <c r="E58" s="439">
        <v>58.67</v>
      </c>
      <c r="L58" s="113">
        <v>53</v>
      </c>
      <c r="M58" s="439">
        <v>62.36</v>
      </c>
      <c r="N58" s="439">
        <v>62.78</v>
      </c>
      <c r="O58" s="439">
        <v>63.45</v>
      </c>
      <c r="V58" s="113">
        <v>53</v>
      </c>
      <c r="W58" s="439">
        <v>67.290000000000006</v>
      </c>
      <c r="X58" s="439">
        <v>67.83</v>
      </c>
      <c r="Y58" s="439">
        <v>68.59</v>
      </c>
      <c r="AF58" s="113">
        <v>53</v>
      </c>
      <c r="AG58" s="439">
        <v>70.31</v>
      </c>
      <c r="AH58" s="439">
        <v>70.95</v>
      </c>
      <c r="AI58" s="439">
        <v>71.790000000000006</v>
      </c>
      <c r="AP58" s="113">
        <v>53</v>
      </c>
      <c r="AQ58" s="439">
        <v>75.69</v>
      </c>
      <c r="AR58" s="439">
        <v>76.459999999999994</v>
      </c>
      <c r="AS58" s="439">
        <v>77.41</v>
      </c>
      <c r="AZ58" s="113">
        <v>53</v>
      </c>
      <c r="BA58" s="439">
        <v>75.010000000000005</v>
      </c>
      <c r="BB58" s="439">
        <v>75.87</v>
      </c>
      <c r="BC58" s="439">
        <v>76.86</v>
      </c>
      <c r="BJ58" s="113">
        <v>53</v>
      </c>
      <c r="BK58" s="439">
        <v>80.41</v>
      </c>
      <c r="BL58" s="439">
        <v>81.42</v>
      </c>
      <c r="BM58" s="439">
        <v>82.54</v>
      </c>
      <c r="BT58" s="113">
        <v>53</v>
      </c>
      <c r="BU58" s="439">
        <v>83.93</v>
      </c>
      <c r="BV58" s="439">
        <v>85.09</v>
      </c>
      <c r="BW58" s="439">
        <v>86.3</v>
      </c>
      <c r="CD58" s="113">
        <v>53</v>
      </c>
      <c r="CE58" s="439">
        <v>89.69</v>
      </c>
      <c r="CF58" s="439">
        <v>91.02</v>
      </c>
      <c r="CG58" s="439">
        <v>92.37</v>
      </c>
      <c r="CN58" s="113">
        <v>53</v>
      </c>
      <c r="CO58" s="439">
        <v>95.68</v>
      </c>
      <c r="CP58" s="439">
        <v>97.21</v>
      </c>
      <c r="CQ58" s="439">
        <v>98.69</v>
      </c>
    </row>
    <row r="59" spans="2:100" x14ac:dyDescent="0.2">
      <c r="B59" s="113">
        <v>54</v>
      </c>
      <c r="C59" s="439">
        <v>57.29</v>
      </c>
      <c r="D59" s="439">
        <v>57.62</v>
      </c>
      <c r="E59" s="439">
        <v>58.19</v>
      </c>
      <c r="L59" s="113">
        <v>54</v>
      </c>
      <c r="M59" s="439">
        <v>61.89</v>
      </c>
      <c r="N59" s="439">
        <v>62.32</v>
      </c>
      <c r="O59" s="439">
        <v>62.98</v>
      </c>
      <c r="V59" s="113">
        <v>54</v>
      </c>
      <c r="W59" s="439">
        <v>66.83</v>
      </c>
      <c r="X59" s="439">
        <v>67.37</v>
      </c>
      <c r="Y59" s="439">
        <v>68.14</v>
      </c>
      <c r="AF59" s="113">
        <v>54</v>
      </c>
      <c r="AG59" s="439">
        <v>69.86</v>
      </c>
      <c r="AH59" s="439">
        <v>70.510000000000005</v>
      </c>
      <c r="AI59" s="439">
        <v>71.349999999999994</v>
      </c>
      <c r="AP59" s="113">
        <v>54</v>
      </c>
      <c r="AQ59" s="439">
        <v>75.260000000000005</v>
      </c>
      <c r="AR59" s="439">
        <v>76.040000000000006</v>
      </c>
      <c r="AS59" s="439">
        <v>77</v>
      </c>
      <c r="AZ59" s="113">
        <v>54</v>
      </c>
      <c r="BA59" s="439">
        <v>74.61</v>
      </c>
      <c r="BB59" s="439">
        <v>75.48</v>
      </c>
      <c r="BC59" s="439">
        <v>76.48</v>
      </c>
      <c r="BJ59" s="113">
        <v>54</v>
      </c>
      <c r="BK59" s="439">
        <v>80.03</v>
      </c>
      <c r="BL59" s="439">
        <v>81.06</v>
      </c>
      <c r="BM59" s="439">
        <v>82.18</v>
      </c>
      <c r="BT59" s="113">
        <v>54</v>
      </c>
      <c r="BU59" s="439">
        <v>83.55</v>
      </c>
      <c r="BV59" s="439">
        <v>84.73</v>
      </c>
      <c r="BW59" s="439">
        <v>85.95</v>
      </c>
      <c r="CD59" s="113">
        <v>54</v>
      </c>
      <c r="CE59" s="439">
        <v>89.29</v>
      </c>
      <c r="CF59" s="439">
        <v>90.65</v>
      </c>
      <c r="CG59" s="439">
        <v>92.01</v>
      </c>
      <c r="CN59" s="113">
        <v>54</v>
      </c>
      <c r="CO59" s="439">
        <v>95.26</v>
      </c>
      <c r="CP59" s="439">
        <v>96.82</v>
      </c>
      <c r="CQ59" s="439">
        <v>98.31</v>
      </c>
    </row>
    <row r="60" spans="2:100" x14ac:dyDescent="0.2">
      <c r="B60" s="113">
        <v>55</v>
      </c>
      <c r="C60" s="439">
        <v>56.76</v>
      </c>
      <c r="D60" s="439">
        <v>57.1</v>
      </c>
      <c r="E60" s="439">
        <v>57.67</v>
      </c>
      <c r="L60" s="113">
        <v>55</v>
      </c>
      <c r="M60" s="439">
        <v>61.37</v>
      </c>
      <c r="N60" s="439">
        <v>61.81</v>
      </c>
      <c r="O60" s="439">
        <v>62.47</v>
      </c>
      <c r="V60" s="113">
        <v>55</v>
      </c>
      <c r="W60" s="439">
        <v>66.33</v>
      </c>
      <c r="X60" s="439">
        <v>66.87</v>
      </c>
      <c r="Y60" s="439">
        <v>67.64</v>
      </c>
      <c r="AF60" s="113">
        <v>55</v>
      </c>
      <c r="AG60" s="439">
        <v>69.38</v>
      </c>
      <c r="AH60" s="439">
        <v>70.03</v>
      </c>
      <c r="AI60" s="439">
        <v>70.88</v>
      </c>
      <c r="AP60" s="113">
        <v>55</v>
      </c>
      <c r="AQ60" s="439">
        <v>74.790000000000006</v>
      </c>
      <c r="AR60" s="439">
        <v>75.59</v>
      </c>
      <c r="AS60" s="439">
        <v>76.540000000000006</v>
      </c>
      <c r="AZ60" s="113">
        <v>55</v>
      </c>
      <c r="BA60" s="439">
        <v>74.17</v>
      </c>
      <c r="BB60" s="439">
        <v>75.05</v>
      </c>
      <c r="BC60" s="439">
        <v>76.06</v>
      </c>
      <c r="BJ60" s="113">
        <v>55</v>
      </c>
      <c r="BK60" s="439">
        <v>79.59</v>
      </c>
      <c r="BL60" s="439">
        <v>80.64</v>
      </c>
      <c r="BM60" s="439">
        <v>81.77</v>
      </c>
      <c r="BT60" s="113">
        <v>55</v>
      </c>
      <c r="BU60" s="439">
        <v>83.11</v>
      </c>
      <c r="BV60" s="439">
        <v>84.31</v>
      </c>
      <c r="BW60" s="439">
        <v>85.54</v>
      </c>
      <c r="CD60" s="113">
        <v>55</v>
      </c>
      <c r="CE60" s="439">
        <v>88.84</v>
      </c>
      <c r="CF60" s="439">
        <v>90.22</v>
      </c>
      <c r="CG60" s="439">
        <v>91.58</v>
      </c>
      <c r="CN60" s="113">
        <v>55</v>
      </c>
      <c r="CO60" s="439">
        <v>94.78</v>
      </c>
      <c r="CP60" s="439">
        <v>96.36</v>
      </c>
      <c r="CQ60" s="439">
        <v>97.87</v>
      </c>
    </row>
    <row r="61" spans="2:100" x14ac:dyDescent="0.2">
      <c r="B61" s="113">
        <v>56</v>
      </c>
      <c r="C61" s="439">
        <v>57.13</v>
      </c>
      <c r="D61" s="439">
        <v>57.47</v>
      </c>
      <c r="E61" s="439">
        <v>58.05</v>
      </c>
      <c r="L61" s="113">
        <v>56</v>
      </c>
      <c r="M61" s="439">
        <v>61.82</v>
      </c>
      <c r="N61" s="439">
        <v>62.26</v>
      </c>
      <c r="O61" s="439">
        <v>62.94</v>
      </c>
      <c r="V61" s="113">
        <v>56</v>
      </c>
      <c r="W61" s="439">
        <v>66.87</v>
      </c>
      <c r="X61" s="439">
        <v>67.42</v>
      </c>
      <c r="Y61" s="439">
        <v>68.2</v>
      </c>
      <c r="AF61" s="113">
        <v>56</v>
      </c>
      <c r="AG61" s="439">
        <v>70.02</v>
      </c>
      <c r="AH61" s="439">
        <v>70.680000000000007</v>
      </c>
      <c r="AI61" s="439">
        <v>71.540000000000006</v>
      </c>
      <c r="AP61" s="113">
        <v>56</v>
      </c>
      <c r="AQ61" s="439">
        <v>75.540000000000006</v>
      </c>
      <c r="AR61" s="439">
        <v>76.349999999999994</v>
      </c>
      <c r="AS61" s="439">
        <v>77.33</v>
      </c>
      <c r="AZ61" s="113">
        <v>56</v>
      </c>
      <c r="BA61" s="439">
        <v>75</v>
      </c>
      <c r="BB61" s="439">
        <v>75.900000000000006</v>
      </c>
      <c r="BC61" s="439">
        <v>76.930000000000007</v>
      </c>
      <c r="BJ61" s="113">
        <v>56</v>
      </c>
      <c r="BK61" s="439">
        <v>80.53</v>
      </c>
      <c r="BL61" s="439">
        <v>81.59</v>
      </c>
      <c r="BM61" s="439">
        <v>82.74</v>
      </c>
      <c r="BT61" s="113">
        <v>56</v>
      </c>
      <c r="BU61" s="439">
        <v>84.11</v>
      </c>
      <c r="BV61" s="439">
        <v>85.33</v>
      </c>
      <c r="BW61" s="439">
        <v>86.58</v>
      </c>
      <c r="CD61" s="113">
        <v>56</v>
      </c>
      <c r="CE61" s="439">
        <v>89.89</v>
      </c>
      <c r="CF61" s="439">
        <v>91.29</v>
      </c>
      <c r="CG61" s="439">
        <v>92.68</v>
      </c>
      <c r="CN61" s="113">
        <v>56</v>
      </c>
      <c r="CO61" s="439">
        <v>95.84</v>
      </c>
      <c r="CP61" s="439">
        <v>97.45</v>
      </c>
      <c r="CQ61" s="439">
        <v>98.98</v>
      </c>
    </row>
    <row r="62" spans="2:100" x14ac:dyDescent="0.2">
      <c r="B62" s="113">
        <v>57</v>
      </c>
      <c r="C62" s="439">
        <v>57.5</v>
      </c>
      <c r="D62" s="439">
        <v>57.84</v>
      </c>
      <c r="E62" s="439">
        <v>58.44</v>
      </c>
      <c r="L62" s="113">
        <v>57</v>
      </c>
      <c r="M62" s="439">
        <v>62.28</v>
      </c>
      <c r="N62" s="439">
        <v>62.73</v>
      </c>
      <c r="O62" s="439">
        <v>63.42</v>
      </c>
      <c r="V62" s="113">
        <v>57</v>
      </c>
      <c r="W62" s="439">
        <v>67.430000000000007</v>
      </c>
      <c r="X62" s="439">
        <v>67.989999999999995</v>
      </c>
      <c r="Y62" s="439">
        <v>68.78</v>
      </c>
      <c r="AF62" s="113">
        <v>57</v>
      </c>
      <c r="AG62" s="439">
        <v>70.680000000000007</v>
      </c>
      <c r="AH62" s="439">
        <v>71.36</v>
      </c>
      <c r="AI62" s="439">
        <v>72.23</v>
      </c>
      <c r="AP62" s="113">
        <v>57</v>
      </c>
      <c r="AQ62" s="439">
        <v>76.33</v>
      </c>
      <c r="AR62" s="439">
        <v>77.150000000000006</v>
      </c>
      <c r="AS62" s="439">
        <v>78.14</v>
      </c>
      <c r="AZ62" s="113">
        <v>57</v>
      </c>
      <c r="BA62" s="439">
        <v>75.86</v>
      </c>
      <c r="BB62" s="439">
        <v>76.78</v>
      </c>
      <c r="BC62" s="439">
        <v>77.83</v>
      </c>
      <c r="BJ62" s="113">
        <v>57</v>
      </c>
      <c r="BK62" s="439">
        <v>81.48</v>
      </c>
      <c r="BL62" s="439">
        <v>82.57</v>
      </c>
      <c r="BM62" s="439">
        <v>83.73</v>
      </c>
      <c r="BT62" s="113">
        <v>57</v>
      </c>
      <c r="BU62" s="439">
        <v>85.12</v>
      </c>
      <c r="BV62" s="439">
        <v>86.36</v>
      </c>
      <c r="BW62" s="439">
        <v>87.63</v>
      </c>
      <c r="CD62" s="113">
        <v>57</v>
      </c>
      <c r="CE62" s="439">
        <v>90.92</v>
      </c>
      <c r="CF62" s="439">
        <v>92.36</v>
      </c>
      <c r="CG62" s="439">
        <v>93.76</v>
      </c>
      <c r="CN62" s="113">
        <v>57</v>
      </c>
      <c r="CO62" s="439">
        <v>96.88</v>
      </c>
      <c r="CP62" s="439">
        <v>98.52</v>
      </c>
      <c r="CQ62" s="439">
        <v>100.06</v>
      </c>
    </row>
    <row r="63" spans="2:100" x14ac:dyDescent="0.2">
      <c r="B63" s="113">
        <v>58</v>
      </c>
      <c r="C63" s="439">
        <v>57.87</v>
      </c>
      <c r="D63" s="439">
        <v>58.22</v>
      </c>
      <c r="E63" s="439">
        <v>58.82</v>
      </c>
      <c r="L63" s="113">
        <v>58</v>
      </c>
      <c r="M63" s="439">
        <v>62.75</v>
      </c>
      <c r="N63" s="439">
        <v>63.2</v>
      </c>
      <c r="O63" s="439">
        <v>63.9</v>
      </c>
      <c r="V63" s="113">
        <v>58</v>
      </c>
      <c r="W63" s="439">
        <v>68</v>
      </c>
      <c r="X63" s="439">
        <v>68.58</v>
      </c>
      <c r="Y63" s="439">
        <v>69.38</v>
      </c>
      <c r="AF63" s="113">
        <v>58</v>
      </c>
      <c r="AG63" s="439">
        <v>71.37</v>
      </c>
      <c r="AH63" s="439">
        <v>72.06</v>
      </c>
      <c r="AI63" s="439">
        <v>72.95</v>
      </c>
      <c r="AP63" s="113">
        <v>58</v>
      </c>
      <c r="AQ63" s="439">
        <v>77.14</v>
      </c>
      <c r="AR63" s="439">
        <v>77.98</v>
      </c>
      <c r="AS63" s="439">
        <v>78.989999999999995</v>
      </c>
      <c r="AZ63" s="113">
        <v>58</v>
      </c>
      <c r="BA63" s="439">
        <v>76.739999999999995</v>
      </c>
      <c r="BB63" s="439">
        <v>77.69</v>
      </c>
      <c r="BC63" s="439">
        <v>78.75</v>
      </c>
      <c r="BJ63" s="113">
        <v>58</v>
      </c>
      <c r="BK63" s="439">
        <v>82.45</v>
      </c>
      <c r="BL63" s="439">
        <v>83.56</v>
      </c>
      <c r="BM63" s="439">
        <v>84.74</v>
      </c>
      <c r="BT63" s="113">
        <v>58</v>
      </c>
      <c r="BU63" s="439">
        <v>86.12</v>
      </c>
      <c r="BV63" s="439">
        <v>87.39</v>
      </c>
      <c r="BW63" s="439">
        <v>88.68</v>
      </c>
      <c r="CD63" s="113">
        <v>58</v>
      </c>
      <c r="CE63" s="439">
        <v>91.94</v>
      </c>
      <c r="CF63" s="439">
        <v>93.4</v>
      </c>
      <c r="CG63" s="439">
        <v>94.83</v>
      </c>
      <c r="CN63" s="113">
        <v>58</v>
      </c>
      <c r="CO63" s="439">
        <v>97.86</v>
      </c>
      <c r="CP63" s="439">
        <v>99.53</v>
      </c>
      <c r="CQ63" s="439">
        <v>101.09</v>
      </c>
    </row>
    <row r="64" spans="2:100" x14ac:dyDescent="0.2">
      <c r="B64" s="113">
        <v>59</v>
      </c>
      <c r="C64" s="439">
        <v>58.24</v>
      </c>
      <c r="D64" s="439">
        <v>58.6</v>
      </c>
      <c r="E64" s="439">
        <v>59.21</v>
      </c>
      <c r="L64" s="113">
        <v>59</v>
      </c>
      <c r="M64" s="439">
        <v>63.22</v>
      </c>
      <c r="N64" s="439">
        <v>63.69</v>
      </c>
      <c r="O64" s="439">
        <v>64.400000000000006</v>
      </c>
      <c r="V64" s="113">
        <v>59</v>
      </c>
      <c r="W64" s="439">
        <v>68.599999999999994</v>
      </c>
      <c r="X64" s="439">
        <v>69.19</v>
      </c>
      <c r="Y64" s="439">
        <v>70</v>
      </c>
      <c r="AF64" s="113">
        <v>59</v>
      </c>
      <c r="AG64" s="439">
        <v>72.08</v>
      </c>
      <c r="AH64" s="439">
        <v>72.790000000000006</v>
      </c>
      <c r="AI64" s="439">
        <v>73.69</v>
      </c>
      <c r="AP64" s="113">
        <v>59</v>
      </c>
      <c r="AQ64" s="439">
        <v>77.97</v>
      </c>
      <c r="AR64" s="439">
        <v>78.83</v>
      </c>
      <c r="AS64" s="439">
        <v>79.849999999999994</v>
      </c>
      <c r="AZ64" s="113">
        <v>59</v>
      </c>
      <c r="BA64" s="439">
        <v>77.64</v>
      </c>
      <c r="BB64" s="439">
        <v>78.599999999999994</v>
      </c>
      <c r="BC64" s="439">
        <v>79.680000000000007</v>
      </c>
      <c r="BJ64" s="113">
        <v>59</v>
      </c>
      <c r="BK64" s="439">
        <v>83.41</v>
      </c>
      <c r="BL64" s="439">
        <v>84.55</v>
      </c>
      <c r="BM64" s="439">
        <v>85.76</v>
      </c>
      <c r="BT64" s="113">
        <v>59</v>
      </c>
      <c r="BU64" s="439">
        <v>87.11</v>
      </c>
      <c r="BV64" s="439">
        <v>88.41</v>
      </c>
      <c r="BW64" s="439">
        <v>89.72</v>
      </c>
      <c r="CD64" s="113">
        <v>59</v>
      </c>
      <c r="CE64" s="439">
        <v>92.91</v>
      </c>
      <c r="CF64" s="439">
        <v>94.41</v>
      </c>
      <c r="CG64" s="439">
        <v>95.85</v>
      </c>
      <c r="CN64" s="113">
        <v>59</v>
      </c>
      <c r="CO64" s="439">
        <v>98.77</v>
      </c>
      <c r="CP64" s="439">
        <v>100.48</v>
      </c>
      <c r="CQ64" s="439">
        <v>102.05</v>
      </c>
    </row>
    <row r="65" spans="2:95" x14ac:dyDescent="0.2">
      <c r="B65" s="113">
        <v>60</v>
      </c>
      <c r="C65" s="439">
        <v>58.62</v>
      </c>
      <c r="D65" s="439">
        <v>58.98</v>
      </c>
      <c r="E65" s="439">
        <v>59.6</v>
      </c>
      <c r="L65" s="113">
        <v>60</v>
      </c>
      <c r="M65" s="439">
        <v>63.71</v>
      </c>
      <c r="N65" s="439">
        <v>64.180000000000007</v>
      </c>
      <c r="O65" s="439">
        <v>64.900000000000006</v>
      </c>
      <c r="V65" s="113">
        <v>60</v>
      </c>
      <c r="W65" s="439">
        <v>69.209999999999994</v>
      </c>
      <c r="X65" s="439">
        <v>69.81</v>
      </c>
      <c r="Y65" s="439">
        <v>70.64</v>
      </c>
      <c r="AF65" s="113">
        <v>60</v>
      </c>
      <c r="AG65" s="439">
        <v>72.81</v>
      </c>
      <c r="AH65" s="439">
        <v>73.53</v>
      </c>
      <c r="AI65" s="439">
        <v>74.45</v>
      </c>
      <c r="AP65" s="113">
        <v>60</v>
      </c>
      <c r="AQ65" s="439">
        <v>78.81</v>
      </c>
      <c r="AR65" s="439">
        <v>79.7</v>
      </c>
      <c r="AS65" s="439">
        <v>80.739999999999995</v>
      </c>
      <c r="AZ65" s="113">
        <v>60</v>
      </c>
      <c r="BA65" s="439">
        <v>78.540000000000006</v>
      </c>
      <c r="BB65" s="439">
        <v>79.53</v>
      </c>
      <c r="BC65" s="439">
        <v>80.63</v>
      </c>
      <c r="BJ65" s="113">
        <v>60</v>
      </c>
      <c r="BK65" s="439">
        <v>84.37</v>
      </c>
      <c r="BL65" s="439">
        <v>85.54</v>
      </c>
      <c r="BM65" s="439">
        <v>86.76</v>
      </c>
      <c r="BT65" s="113">
        <v>60</v>
      </c>
      <c r="BU65" s="439">
        <v>88.07</v>
      </c>
      <c r="BV65" s="439">
        <v>89.4</v>
      </c>
      <c r="BW65" s="439">
        <v>90.73</v>
      </c>
      <c r="CD65" s="113">
        <v>60</v>
      </c>
      <c r="CE65" s="439">
        <v>93.84</v>
      </c>
      <c r="CF65" s="439">
        <v>95.36</v>
      </c>
      <c r="CG65" s="439">
        <v>96.82</v>
      </c>
      <c r="CN65" s="113">
        <v>60</v>
      </c>
      <c r="CO65" s="439">
        <v>99.6</v>
      </c>
      <c r="CP65" s="439">
        <v>101.34</v>
      </c>
      <c r="CQ65" s="439">
        <v>102.93</v>
      </c>
    </row>
    <row r="66" spans="2:95" x14ac:dyDescent="0.2">
      <c r="B66" s="113">
        <v>61</v>
      </c>
      <c r="C66" s="439">
        <v>58.99</v>
      </c>
      <c r="D66" s="439">
        <v>59.36</v>
      </c>
      <c r="E66" s="439">
        <v>59.99</v>
      </c>
      <c r="L66" s="113">
        <v>61</v>
      </c>
      <c r="M66" s="439">
        <v>64.2</v>
      </c>
      <c r="N66" s="439">
        <v>64.69</v>
      </c>
      <c r="O66" s="439">
        <v>65.42</v>
      </c>
      <c r="V66" s="113">
        <v>61</v>
      </c>
      <c r="W66" s="439">
        <v>69.83</v>
      </c>
      <c r="X66" s="439">
        <v>70.45</v>
      </c>
      <c r="Y66" s="439">
        <v>71.290000000000006</v>
      </c>
      <c r="AF66" s="113">
        <v>61</v>
      </c>
      <c r="AG66" s="439">
        <v>73.55</v>
      </c>
      <c r="AH66" s="439">
        <v>74.290000000000006</v>
      </c>
      <c r="AI66" s="439">
        <v>75.22</v>
      </c>
      <c r="AP66" s="113">
        <v>61</v>
      </c>
      <c r="AQ66" s="439">
        <v>79.67</v>
      </c>
      <c r="AR66" s="439">
        <v>80.569999999999993</v>
      </c>
      <c r="AS66" s="439">
        <v>81.63</v>
      </c>
      <c r="AZ66" s="113">
        <v>61</v>
      </c>
      <c r="BA66" s="439">
        <v>79.44</v>
      </c>
      <c r="BB66" s="439">
        <v>80.45</v>
      </c>
      <c r="BC66" s="439">
        <v>81.569999999999993</v>
      </c>
      <c r="BJ66" s="113">
        <v>61</v>
      </c>
      <c r="BK66" s="439">
        <v>85.31</v>
      </c>
      <c r="BL66" s="439">
        <v>86.51</v>
      </c>
      <c r="BM66" s="439">
        <v>87.75</v>
      </c>
      <c r="BT66" s="113">
        <v>61</v>
      </c>
      <c r="BU66" s="439">
        <v>88.98</v>
      </c>
      <c r="BV66" s="439">
        <v>90.35</v>
      </c>
      <c r="BW66" s="439">
        <v>91.69</v>
      </c>
      <c r="CD66" s="113">
        <v>61</v>
      </c>
      <c r="CE66" s="439">
        <v>94.68</v>
      </c>
      <c r="CF66" s="439">
        <v>96.24</v>
      </c>
      <c r="CG66" s="439">
        <v>97.72</v>
      </c>
      <c r="CN66" s="113">
        <v>61</v>
      </c>
      <c r="CO66" s="439">
        <v>100.32</v>
      </c>
      <c r="CP66" s="439">
        <v>102.09</v>
      </c>
      <c r="CQ66" s="439">
        <v>103.69</v>
      </c>
    </row>
    <row r="67" spans="2:95" x14ac:dyDescent="0.2">
      <c r="B67" s="113">
        <v>62</v>
      </c>
      <c r="C67" s="439">
        <v>59.36</v>
      </c>
      <c r="D67" s="439">
        <v>59.74</v>
      </c>
      <c r="E67" s="439">
        <v>60.37</v>
      </c>
      <c r="L67" s="113">
        <v>62</v>
      </c>
      <c r="M67" s="439">
        <v>64.7</v>
      </c>
      <c r="N67" s="439">
        <v>65.19</v>
      </c>
      <c r="O67" s="439">
        <v>65.930000000000007</v>
      </c>
      <c r="V67" s="113">
        <v>62</v>
      </c>
      <c r="W67" s="439">
        <v>70.459999999999994</v>
      </c>
      <c r="X67" s="439">
        <v>71.09</v>
      </c>
      <c r="Y67" s="439">
        <v>71.94</v>
      </c>
      <c r="AF67" s="113">
        <v>62</v>
      </c>
      <c r="AG67" s="439">
        <v>74.290000000000006</v>
      </c>
      <c r="AH67" s="439">
        <v>75.05</v>
      </c>
      <c r="AI67" s="439">
        <v>76</v>
      </c>
      <c r="AP67" s="113">
        <v>62</v>
      </c>
      <c r="AQ67" s="439">
        <v>80.510000000000005</v>
      </c>
      <c r="AR67" s="439">
        <v>81.44</v>
      </c>
      <c r="AS67" s="439">
        <v>82.51</v>
      </c>
      <c r="AZ67" s="113">
        <v>62</v>
      </c>
      <c r="BA67" s="439">
        <v>80.319999999999993</v>
      </c>
      <c r="BB67" s="439">
        <v>81.36</v>
      </c>
      <c r="BC67" s="439">
        <v>82.49</v>
      </c>
      <c r="BJ67" s="113">
        <v>62</v>
      </c>
      <c r="BK67" s="439">
        <v>86.21</v>
      </c>
      <c r="BL67" s="439">
        <v>87.43</v>
      </c>
      <c r="BM67" s="439">
        <v>88.7</v>
      </c>
      <c r="BT67" s="113">
        <v>62</v>
      </c>
      <c r="BU67" s="439">
        <v>89.84</v>
      </c>
      <c r="BV67" s="439">
        <v>91.23</v>
      </c>
      <c r="BW67" s="439">
        <v>92.59</v>
      </c>
      <c r="CD67" s="113">
        <v>62</v>
      </c>
      <c r="CE67" s="439">
        <v>95.43</v>
      </c>
      <c r="CF67" s="439">
        <v>97.02</v>
      </c>
      <c r="CG67" s="439">
        <v>98.51</v>
      </c>
      <c r="CN67" s="113">
        <v>62</v>
      </c>
      <c r="CO67" s="439">
        <v>100.9</v>
      </c>
      <c r="CP67" s="439">
        <v>102.7</v>
      </c>
      <c r="CQ67" s="439">
        <v>104.31</v>
      </c>
    </row>
    <row r="68" spans="2:95" x14ac:dyDescent="0.2">
      <c r="B68" s="113">
        <v>63</v>
      </c>
      <c r="C68" s="439">
        <v>59.72</v>
      </c>
      <c r="D68" s="439">
        <v>60.1</v>
      </c>
      <c r="E68" s="439">
        <v>60.75</v>
      </c>
      <c r="L68" s="113">
        <v>63</v>
      </c>
      <c r="M68" s="439">
        <v>65.19</v>
      </c>
      <c r="N68" s="439">
        <v>65.7</v>
      </c>
      <c r="O68" s="439">
        <v>66.45</v>
      </c>
      <c r="V68" s="113">
        <v>63</v>
      </c>
      <c r="W68" s="439">
        <v>71.08</v>
      </c>
      <c r="X68" s="439">
        <v>71.73</v>
      </c>
      <c r="Y68" s="439">
        <v>72.599999999999994</v>
      </c>
      <c r="AF68" s="113">
        <v>63</v>
      </c>
      <c r="AG68" s="439">
        <v>75.02</v>
      </c>
      <c r="AH68" s="439">
        <v>75.81</v>
      </c>
      <c r="AI68" s="439">
        <v>76.77</v>
      </c>
      <c r="AP68" s="113">
        <v>63</v>
      </c>
      <c r="AQ68" s="439">
        <v>81.34</v>
      </c>
      <c r="AR68" s="439">
        <v>82.3</v>
      </c>
      <c r="AS68" s="439">
        <v>83.39</v>
      </c>
      <c r="AZ68" s="113">
        <v>63</v>
      </c>
      <c r="BA68" s="439">
        <v>81.16</v>
      </c>
      <c r="BB68" s="439">
        <v>82.23</v>
      </c>
      <c r="BC68" s="439">
        <v>83.38</v>
      </c>
      <c r="BJ68" s="113">
        <v>63</v>
      </c>
      <c r="BK68" s="439">
        <v>87.05</v>
      </c>
      <c r="BL68" s="439">
        <v>88.31</v>
      </c>
      <c r="BM68" s="439">
        <v>89.59</v>
      </c>
      <c r="BT68" s="113">
        <v>63</v>
      </c>
      <c r="BU68" s="439">
        <v>90.6</v>
      </c>
      <c r="BV68" s="439">
        <v>92.03</v>
      </c>
      <c r="BW68" s="439">
        <v>93.41</v>
      </c>
      <c r="CD68" s="113">
        <v>63</v>
      </c>
      <c r="CE68" s="439">
        <v>96.06</v>
      </c>
      <c r="CF68" s="439">
        <v>97.68</v>
      </c>
      <c r="CG68" s="439">
        <v>99.18</v>
      </c>
      <c r="CN68" s="113">
        <v>63</v>
      </c>
      <c r="CO68" s="439">
        <v>101.33</v>
      </c>
      <c r="CP68" s="439">
        <v>103.16</v>
      </c>
      <c r="CQ68" s="439">
        <v>104.77</v>
      </c>
    </row>
    <row r="69" spans="2:95" x14ac:dyDescent="0.2">
      <c r="B69" s="113">
        <v>64</v>
      </c>
      <c r="C69" s="439">
        <v>60.06</v>
      </c>
      <c r="D69" s="439">
        <v>60.46</v>
      </c>
      <c r="E69" s="439">
        <v>61.12</v>
      </c>
      <c r="L69" s="113">
        <v>64</v>
      </c>
      <c r="M69" s="439">
        <v>65.67</v>
      </c>
      <c r="N69" s="439">
        <v>66.19</v>
      </c>
      <c r="O69" s="439">
        <v>66.95</v>
      </c>
      <c r="V69" s="113">
        <v>64</v>
      </c>
      <c r="W69" s="439">
        <v>71.7</v>
      </c>
      <c r="X69" s="439">
        <v>72.36</v>
      </c>
      <c r="Y69" s="439">
        <v>73.239999999999995</v>
      </c>
      <c r="AF69" s="113">
        <v>64</v>
      </c>
      <c r="AG69" s="439">
        <v>75.739999999999995</v>
      </c>
      <c r="AH69" s="439">
        <v>76.55</v>
      </c>
      <c r="AI69" s="439">
        <v>77.53</v>
      </c>
      <c r="AP69" s="113">
        <v>64</v>
      </c>
      <c r="AQ69" s="439">
        <v>82.14</v>
      </c>
      <c r="AR69" s="439">
        <v>83.13</v>
      </c>
      <c r="AS69" s="439">
        <v>84.23</v>
      </c>
      <c r="AZ69" s="113">
        <v>64</v>
      </c>
      <c r="BA69" s="439">
        <v>81.97</v>
      </c>
      <c r="BB69" s="439">
        <v>83.06</v>
      </c>
      <c r="BC69" s="439">
        <v>84.23</v>
      </c>
      <c r="BJ69" s="113">
        <v>64</v>
      </c>
      <c r="BK69" s="439">
        <v>87.83</v>
      </c>
      <c r="BL69" s="439">
        <v>89.12</v>
      </c>
      <c r="BM69" s="439">
        <v>90.41</v>
      </c>
      <c r="BT69" s="113">
        <v>64</v>
      </c>
      <c r="BU69" s="439">
        <v>91.27</v>
      </c>
      <c r="BV69" s="439">
        <v>92.73</v>
      </c>
      <c r="BW69" s="439">
        <v>94.12</v>
      </c>
      <c r="CD69" s="113">
        <v>64</v>
      </c>
      <c r="CE69" s="439">
        <v>96.56</v>
      </c>
      <c r="CF69" s="439">
        <v>98.21</v>
      </c>
      <c r="CG69" s="439">
        <v>99.72</v>
      </c>
      <c r="CN69" s="113">
        <v>64</v>
      </c>
      <c r="CO69" s="439">
        <v>101.59</v>
      </c>
      <c r="CP69" s="439">
        <v>103.44</v>
      </c>
      <c r="CQ69" s="439">
        <v>105.06</v>
      </c>
    </row>
    <row r="70" spans="2:95" x14ac:dyDescent="0.2">
      <c r="B70" s="113">
        <v>65</v>
      </c>
      <c r="C70" s="439">
        <v>60.4</v>
      </c>
      <c r="D70" s="439">
        <v>60.8</v>
      </c>
      <c r="E70" s="439">
        <v>61.47</v>
      </c>
      <c r="L70" s="113">
        <v>65</v>
      </c>
      <c r="M70" s="439">
        <v>66.14</v>
      </c>
      <c r="N70" s="439">
        <v>66.680000000000007</v>
      </c>
      <c r="O70" s="439">
        <v>67.45</v>
      </c>
      <c r="V70" s="113">
        <v>65</v>
      </c>
      <c r="W70" s="439">
        <v>72.3</v>
      </c>
      <c r="X70" s="439">
        <v>72.989999999999995</v>
      </c>
      <c r="Y70" s="439">
        <v>73.88</v>
      </c>
      <c r="AF70" s="113">
        <v>65</v>
      </c>
      <c r="AG70" s="439">
        <v>76.44</v>
      </c>
      <c r="AH70" s="439">
        <v>77.28</v>
      </c>
      <c r="AI70" s="439">
        <v>78.27</v>
      </c>
      <c r="AP70" s="113">
        <v>65</v>
      </c>
      <c r="AQ70" s="439">
        <v>82.92</v>
      </c>
      <c r="AR70" s="439">
        <v>83.93</v>
      </c>
      <c r="AS70" s="439">
        <v>85.05</v>
      </c>
      <c r="AZ70" s="113">
        <v>65</v>
      </c>
      <c r="BA70" s="439">
        <v>82.72</v>
      </c>
      <c r="BB70" s="439">
        <v>83.85</v>
      </c>
      <c r="BC70" s="439">
        <v>85.04</v>
      </c>
      <c r="BJ70" s="113">
        <v>65</v>
      </c>
      <c r="BK70" s="439">
        <v>88.52</v>
      </c>
      <c r="BL70" s="439">
        <v>89.85</v>
      </c>
      <c r="BM70" s="439">
        <v>91.16</v>
      </c>
      <c r="BT70" s="113">
        <v>65</v>
      </c>
      <c r="BU70" s="439">
        <v>91.83</v>
      </c>
      <c r="BV70" s="439">
        <v>93.32</v>
      </c>
      <c r="BW70" s="439">
        <v>94.73</v>
      </c>
      <c r="CD70" s="113">
        <v>65</v>
      </c>
      <c r="CE70" s="439">
        <v>96.91</v>
      </c>
      <c r="CF70" s="439">
        <v>98.6</v>
      </c>
      <c r="CG70" s="439">
        <v>100.11</v>
      </c>
      <c r="CN70" s="113">
        <v>65</v>
      </c>
      <c r="CO70" s="439">
        <v>101.67</v>
      </c>
      <c r="CP70" s="439">
        <v>103.55</v>
      </c>
      <c r="CQ70" s="439">
        <v>105.16</v>
      </c>
    </row>
    <row r="71" spans="2:95" x14ac:dyDescent="0.2">
      <c r="B71" s="113">
        <v>66</v>
      </c>
      <c r="C71" s="439">
        <v>60.71</v>
      </c>
      <c r="D71" s="439">
        <v>61.13</v>
      </c>
      <c r="E71" s="439">
        <v>61.8</v>
      </c>
      <c r="L71" s="113">
        <v>66</v>
      </c>
      <c r="M71" s="439">
        <v>66.599999999999994</v>
      </c>
      <c r="N71" s="439">
        <v>67.150000000000006</v>
      </c>
      <c r="O71" s="439">
        <v>67.94</v>
      </c>
      <c r="V71" s="113">
        <v>66</v>
      </c>
      <c r="W71" s="439">
        <v>72.89</v>
      </c>
      <c r="X71" s="439">
        <v>73.599999999999994</v>
      </c>
      <c r="Y71" s="439">
        <v>74.5</v>
      </c>
      <c r="AF71" s="113">
        <v>66</v>
      </c>
      <c r="AG71" s="439">
        <v>77.12</v>
      </c>
      <c r="AH71" s="439">
        <v>77.98</v>
      </c>
      <c r="AI71" s="439">
        <v>78.989999999999995</v>
      </c>
      <c r="AP71" s="113">
        <v>66</v>
      </c>
      <c r="AQ71" s="439">
        <v>83.65</v>
      </c>
      <c r="AR71" s="439">
        <v>84.69</v>
      </c>
      <c r="AS71" s="439">
        <v>85.83</v>
      </c>
      <c r="AZ71" s="113">
        <v>66</v>
      </c>
      <c r="BA71" s="439">
        <v>83.41</v>
      </c>
      <c r="BB71" s="439">
        <v>84.58</v>
      </c>
      <c r="BC71" s="439">
        <v>85.78</v>
      </c>
      <c r="BJ71" s="113">
        <v>66</v>
      </c>
      <c r="BK71" s="439">
        <v>89.13</v>
      </c>
      <c r="BL71" s="439">
        <v>90.49</v>
      </c>
      <c r="BM71" s="439">
        <v>91.81</v>
      </c>
      <c r="BT71" s="113">
        <v>66</v>
      </c>
      <c r="BU71" s="439">
        <v>92.27</v>
      </c>
      <c r="BV71" s="439">
        <v>93.8</v>
      </c>
      <c r="BW71" s="439">
        <v>95.21</v>
      </c>
      <c r="CD71" s="113">
        <v>66</v>
      </c>
      <c r="CE71" s="439">
        <v>97.11</v>
      </c>
      <c r="CF71" s="439">
        <v>98.82</v>
      </c>
      <c r="CG71" s="439">
        <v>100.34</v>
      </c>
      <c r="CN71" s="113">
        <v>66</v>
      </c>
      <c r="CO71" s="439">
        <v>101.56</v>
      </c>
      <c r="CP71" s="439">
        <v>103.47</v>
      </c>
      <c r="CQ71" s="439">
        <v>105.07</v>
      </c>
    </row>
    <row r="72" spans="2:95" x14ac:dyDescent="0.2">
      <c r="B72" s="113">
        <v>67</v>
      </c>
      <c r="C72" s="439">
        <v>61.01</v>
      </c>
      <c r="D72" s="439">
        <v>61.44</v>
      </c>
      <c r="E72" s="439">
        <v>62.12</v>
      </c>
      <c r="L72" s="113">
        <v>67</v>
      </c>
      <c r="M72" s="439">
        <v>67.040000000000006</v>
      </c>
      <c r="N72" s="439">
        <v>67.61</v>
      </c>
      <c r="O72" s="439">
        <v>68.41</v>
      </c>
      <c r="V72" s="113">
        <v>67</v>
      </c>
      <c r="W72" s="439">
        <v>73.459999999999994</v>
      </c>
      <c r="X72" s="439">
        <v>74.19</v>
      </c>
      <c r="Y72" s="439">
        <v>75.11</v>
      </c>
      <c r="AF72" s="113">
        <v>67</v>
      </c>
      <c r="AG72" s="439">
        <v>77.77</v>
      </c>
      <c r="AH72" s="439">
        <v>78.66</v>
      </c>
      <c r="AI72" s="439">
        <v>79.69</v>
      </c>
      <c r="AP72" s="113">
        <v>67</v>
      </c>
      <c r="AQ72" s="439">
        <v>84.34</v>
      </c>
      <c r="AR72" s="439">
        <v>85.41</v>
      </c>
      <c r="AS72" s="439">
        <v>86.57</v>
      </c>
      <c r="AZ72" s="113">
        <v>67</v>
      </c>
      <c r="BA72" s="439">
        <v>84.04</v>
      </c>
      <c r="BB72" s="439">
        <v>85.24</v>
      </c>
      <c r="BC72" s="439">
        <v>86.46</v>
      </c>
      <c r="BJ72" s="113">
        <v>67</v>
      </c>
      <c r="BK72" s="439">
        <v>89.64</v>
      </c>
      <c r="BL72" s="439">
        <v>91.03</v>
      </c>
      <c r="BM72" s="439">
        <v>92.37</v>
      </c>
      <c r="BT72" s="113">
        <v>67</v>
      </c>
      <c r="BU72" s="439">
        <v>92.58</v>
      </c>
      <c r="BV72" s="439">
        <v>94.14</v>
      </c>
      <c r="BW72" s="439">
        <v>95.56</v>
      </c>
      <c r="CD72" s="113">
        <v>67</v>
      </c>
      <c r="CE72" s="439">
        <v>97.14</v>
      </c>
      <c r="CF72" s="439">
        <v>98.89</v>
      </c>
      <c r="CG72" s="439">
        <v>100.4</v>
      </c>
      <c r="CN72" s="113">
        <v>67</v>
      </c>
      <c r="CO72" s="439">
        <v>101.26</v>
      </c>
      <c r="CP72" s="439">
        <v>103.19</v>
      </c>
      <c r="CQ72" s="439">
        <v>104.79</v>
      </c>
    </row>
    <row r="73" spans="2:95" x14ac:dyDescent="0.2">
      <c r="B73" s="113">
        <v>68</v>
      </c>
      <c r="C73" s="439">
        <v>61.29</v>
      </c>
      <c r="D73" s="439">
        <v>61.73</v>
      </c>
      <c r="E73" s="439">
        <v>62.42</v>
      </c>
      <c r="L73" s="113">
        <v>68</v>
      </c>
      <c r="M73" s="439">
        <v>67.459999999999994</v>
      </c>
      <c r="N73" s="439">
        <v>68.05</v>
      </c>
      <c r="O73" s="439">
        <v>68.86</v>
      </c>
      <c r="V73" s="113">
        <v>68</v>
      </c>
      <c r="W73" s="439">
        <v>74.010000000000005</v>
      </c>
      <c r="X73" s="439">
        <v>74.760000000000005</v>
      </c>
      <c r="Y73" s="439">
        <v>75.7</v>
      </c>
      <c r="AF73" s="113">
        <v>68</v>
      </c>
      <c r="AG73" s="439">
        <v>78.39</v>
      </c>
      <c r="AH73" s="439">
        <v>79.31</v>
      </c>
      <c r="AI73" s="439">
        <v>80.349999999999994</v>
      </c>
      <c r="AP73" s="113">
        <v>68</v>
      </c>
      <c r="AQ73" s="439">
        <v>84.97</v>
      </c>
      <c r="AR73" s="439">
        <v>86.08</v>
      </c>
      <c r="AS73" s="439">
        <v>87.25</v>
      </c>
      <c r="AZ73" s="113">
        <v>68</v>
      </c>
      <c r="BA73" s="439">
        <v>84.59</v>
      </c>
      <c r="BB73" s="439">
        <v>85.82</v>
      </c>
      <c r="BC73" s="439">
        <v>87.05</v>
      </c>
      <c r="BJ73" s="113">
        <v>68</v>
      </c>
      <c r="BK73" s="439">
        <v>90.04</v>
      </c>
      <c r="BL73" s="439">
        <v>91.47</v>
      </c>
      <c r="BM73" s="439">
        <v>92.81</v>
      </c>
      <c r="BT73" s="113">
        <v>68</v>
      </c>
      <c r="BU73" s="439">
        <v>92.74</v>
      </c>
      <c r="BV73" s="439">
        <v>94.34</v>
      </c>
      <c r="BW73" s="439">
        <v>95.76</v>
      </c>
      <c r="CD73" s="113">
        <v>68</v>
      </c>
      <c r="CE73" s="439">
        <v>97</v>
      </c>
      <c r="CF73" s="439">
        <v>98.78</v>
      </c>
      <c r="CG73" s="439">
        <v>100.29</v>
      </c>
      <c r="CN73" s="113">
        <v>68</v>
      </c>
      <c r="CO73" s="439">
        <v>100.77</v>
      </c>
      <c r="CP73" s="439">
        <v>102.72</v>
      </c>
      <c r="CQ73" s="439">
        <v>104.31</v>
      </c>
    </row>
    <row r="74" spans="2:95" x14ac:dyDescent="0.2">
      <c r="B74" s="113">
        <v>69</v>
      </c>
      <c r="C74" s="439">
        <v>61.54</v>
      </c>
      <c r="D74" s="439">
        <v>62</v>
      </c>
      <c r="E74" s="439">
        <v>62.7</v>
      </c>
      <c r="L74" s="113">
        <v>69</v>
      </c>
      <c r="M74" s="439">
        <v>67.86</v>
      </c>
      <c r="N74" s="439">
        <v>68.47</v>
      </c>
      <c r="O74" s="439">
        <v>69.3</v>
      </c>
      <c r="V74" s="113">
        <v>69</v>
      </c>
      <c r="W74" s="439">
        <v>74.53</v>
      </c>
      <c r="X74" s="439">
        <v>75.31</v>
      </c>
      <c r="Y74" s="439">
        <v>76.260000000000005</v>
      </c>
      <c r="AF74" s="113">
        <v>69</v>
      </c>
      <c r="AG74" s="439">
        <v>78.97</v>
      </c>
      <c r="AH74" s="439">
        <v>79.92</v>
      </c>
      <c r="AI74" s="439">
        <v>80.98</v>
      </c>
      <c r="AP74" s="113">
        <v>69</v>
      </c>
      <c r="AQ74" s="439">
        <v>85.54</v>
      </c>
      <c r="AR74" s="439">
        <v>86.69</v>
      </c>
      <c r="AS74" s="439">
        <v>87.87</v>
      </c>
      <c r="AZ74" s="113">
        <v>69</v>
      </c>
      <c r="BA74" s="439">
        <v>85.05</v>
      </c>
      <c r="BB74" s="439">
        <v>86.32</v>
      </c>
      <c r="BC74" s="439">
        <v>87.56</v>
      </c>
      <c r="BJ74" s="113">
        <v>69</v>
      </c>
      <c r="BK74" s="439">
        <v>90.32</v>
      </c>
      <c r="BL74" s="439">
        <v>91.78</v>
      </c>
      <c r="BM74" s="439">
        <v>93.13</v>
      </c>
      <c r="BT74" s="113">
        <v>69</v>
      </c>
      <c r="BU74" s="439">
        <v>92.76</v>
      </c>
      <c r="BV74" s="439">
        <v>94.39</v>
      </c>
      <c r="BW74" s="439">
        <v>95.82</v>
      </c>
      <c r="CD74" s="113">
        <v>69</v>
      </c>
      <c r="CE74" s="439">
        <v>96.69</v>
      </c>
      <c r="CF74" s="439">
        <v>98.49</v>
      </c>
      <c r="CG74" s="439">
        <v>100</v>
      </c>
      <c r="CN74" s="113">
        <v>69</v>
      </c>
      <c r="CO74" s="439">
        <v>100.08</v>
      </c>
      <c r="CP74" s="439">
        <v>102.05</v>
      </c>
      <c r="CQ74" s="439">
        <v>103.63</v>
      </c>
    </row>
    <row r="75" spans="2:95" x14ac:dyDescent="0.2">
      <c r="B75" s="113">
        <v>70</v>
      </c>
      <c r="C75" s="439">
        <v>61.77</v>
      </c>
      <c r="D75" s="439">
        <v>62.24</v>
      </c>
      <c r="E75" s="439">
        <v>62.96</v>
      </c>
      <c r="L75" s="113">
        <v>70</v>
      </c>
      <c r="M75" s="439">
        <v>68.239999999999995</v>
      </c>
      <c r="N75" s="439">
        <v>68.87</v>
      </c>
      <c r="O75" s="439">
        <v>69.709999999999994</v>
      </c>
      <c r="V75" s="113">
        <v>70</v>
      </c>
      <c r="W75" s="439">
        <v>75.02</v>
      </c>
      <c r="X75" s="439">
        <v>75.83</v>
      </c>
      <c r="Y75" s="439">
        <v>76.8</v>
      </c>
      <c r="AF75" s="113">
        <v>70</v>
      </c>
      <c r="AG75" s="439">
        <v>79.510000000000005</v>
      </c>
      <c r="AH75" s="439">
        <v>80.489999999999995</v>
      </c>
      <c r="AI75" s="439">
        <v>81.56</v>
      </c>
      <c r="AP75" s="113">
        <v>70</v>
      </c>
      <c r="AQ75" s="439">
        <v>86.04</v>
      </c>
      <c r="AR75" s="439">
        <v>87.23</v>
      </c>
      <c r="AS75" s="439">
        <v>88.42</v>
      </c>
      <c r="AZ75" s="113">
        <v>70</v>
      </c>
      <c r="BA75" s="439">
        <v>85.41</v>
      </c>
      <c r="BB75" s="439">
        <v>86.72</v>
      </c>
      <c r="BC75" s="439">
        <v>87.98</v>
      </c>
      <c r="BJ75" s="113">
        <v>70</v>
      </c>
      <c r="BK75" s="439">
        <v>90.47</v>
      </c>
      <c r="BL75" s="439">
        <v>91.97</v>
      </c>
      <c r="BM75" s="439">
        <v>93.33</v>
      </c>
      <c r="BT75" s="113">
        <v>70</v>
      </c>
      <c r="BU75" s="439">
        <v>92.62</v>
      </c>
      <c r="BV75" s="439">
        <v>94.28</v>
      </c>
      <c r="BW75" s="439">
        <v>95.71</v>
      </c>
      <c r="CD75" s="113">
        <v>70</v>
      </c>
      <c r="CE75" s="439">
        <v>96.2</v>
      </c>
      <c r="CF75" s="439">
        <v>98.03</v>
      </c>
      <c r="CG75" s="439">
        <v>99.53</v>
      </c>
      <c r="CN75" s="113">
        <v>70</v>
      </c>
      <c r="CO75" s="439">
        <v>99.16</v>
      </c>
      <c r="CP75" s="439">
        <v>101.14</v>
      </c>
      <c r="CQ75" s="439">
        <v>102.69</v>
      </c>
    </row>
    <row r="76" spans="2:95" x14ac:dyDescent="0.2">
      <c r="B76" s="113">
        <v>71</v>
      </c>
      <c r="C76" s="439">
        <v>61.98</v>
      </c>
      <c r="D76" s="439">
        <v>62.47</v>
      </c>
      <c r="E76" s="439">
        <v>63.2</v>
      </c>
      <c r="L76" s="113">
        <v>71</v>
      </c>
      <c r="M76" s="439">
        <v>68.599999999999994</v>
      </c>
      <c r="N76" s="439">
        <v>69.25</v>
      </c>
      <c r="O76" s="439">
        <v>70.099999999999994</v>
      </c>
      <c r="V76" s="113">
        <v>71</v>
      </c>
      <c r="W76" s="439">
        <v>75.48</v>
      </c>
      <c r="X76" s="439">
        <v>76.319999999999993</v>
      </c>
      <c r="Y76" s="439">
        <v>77.3</v>
      </c>
      <c r="AF76" s="113">
        <v>71</v>
      </c>
      <c r="AG76" s="439">
        <v>79.989999999999995</v>
      </c>
      <c r="AH76" s="439">
        <v>81</v>
      </c>
      <c r="AI76" s="439">
        <v>82.09</v>
      </c>
      <c r="AP76" s="113">
        <v>71</v>
      </c>
      <c r="AQ76" s="439">
        <v>86.47</v>
      </c>
      <c r="AR76" s="439">
        <v>87.69</v>
      </c>
      <c r="AS76" s="439">
        <v>88.9</v>
      </c>
      <c r="AZ76" s="113">
        <v>71</v>
      </c>
      <c r="BA76" s="439">
        <v>85.67</v>
      </c>
      <c r="BB76" s="439">
        <v>87.02</v>
      </c>
      <c r="BC76" s="439">
        <v>88.29</v>
      </c>
      <c r="BJ76" s="113">
        <v>71</v>
      </c>
      <c r="BK76" s="439">
        <v>90.48</v>
      </c>
      <c r="BL76" s="439">
        <v>92.01</v>
      </c>
      <c r="BM76" s="439">
        <v>93.38</v>
      </c>
      <c r="BT76" s="113">
        <v>71</v>
      </c>
      <c r="BU76" s="439">
        <v>92.32</v>
      </c>
      <c r="BV76" s="439">
        <v>94.01</v>
      </c>
      <c r="BW76" s="439">
        <v>95.44</v>
      </c>
      <c r="CD76" s="113">
        <v>71</v>
      </c>
      <c r="CE76" s="439">
        <v>95.53</v>
      </c>
      <c r="CF76" s="439">
        <v>97.38</v>
      </c>
      <c r="CG76" s="439">
        <v>98.87</v>
      </c>
      <c r="CN76" s="113">
        <v>71</v>
      </c>
      <c r="CO76" s="439">
        <v>97.98</v>
      </c>
      <c r="CP76" s="439">
        <v>99.97</v>
      </c>
      <c r="CQ76" s="439">
        <v>101.51</v>
      </c>
    </row>
    <row r="77" spans="2:95" x14ac:dyDescent="0.2">
      <c r="B77" s="113">
        <v>72</v>
      </c>
      <c r="C77" s="439">
        <v>62.13</v>
      </c>
      <c r="D77" s="439">
        <v>62.64</v>
      </c>
      <c r="E77" s="439">
        <v>63.38</v>
      </c>
      <c r="L77" s="113">
        <v>72</v>
      </c>
      <c r="M77" s="439">
        <v>68.92</v>
      </c>
      <c r="N77" s="439">
        <v>69.599999999999994</v>
      </c>
      <c r="O77" s="439">
        <v>70.47</v>
      </c>
      <c r="V77" s="113">
        <v>72</v>
      </c>
      <c r="W77" s="439">
        <v>75.91</v>
      </c>
      <c r="X77" s="439">
        <v>76.78</v>
      </c>
      <c r="Y77" s="439">
        <v>77.77</v>
      </c>
      <c r="AF77" s="113">
        <v>72</v>
      </c>
      <c r="AG77" s="439">
        <v>80.42</v>
      </c>
      <c r="AH77" s="439">
        <v>81.47</v>
      </c>
      <c r="AI77" s="439">
        <v>82.57</v>
      </c>
      <c r="AP77" s="113">
        <v>72</v>
      </c>
      <c r="AQ77" s="439">
        <v>86.81</v>
      </c>
      <c r="AR77" s="439">
        <v>88.07</v>
      </c>
      <c r="AS77" s="439">
        <v>89.29</v>
      </c>
      <c r="AZ77" s="113">
        <v>72</v>
      </c>
      <c r="BA77" s="439">
        <v>85.82</v>
      </c>
      <c r="BB77" s="439">
        <v>87.2</v>
      </c>
      <c r="BC77" s="439">
        <v>88.48</v>
      </c>
      <c r="BJ77" s="113">
        <v>72</v>
      </c>
      <c r="BK77" s="439">
        <v>90.35</v>
      </c>
      <c r="BL77" s="439">
        <v>91.92</v>
      </c>
      <c r="BM77" s="439">
        <v>93.29</v>
      </c>
      <c r="BT77" s="113">
        <v>72</v>
      </c>
      <c r="BU77" s="439">
        <v>91.86</v>
      </c>
      <c r="BV77" s="439">
        <v>93.58</v>
      </c>
      <c r="BW77" s="439">
        <v>95</v>
      </c>
      <c r="CD77" s="113">
        <v>72</v>
      </c>
      <c r="CE77" s="439">
        <v>94.68</v>
      </c>
      <c r="CF77" s="439">
        <v>96.55</v>
      </c>
      <c r="CG77" s="439">
        <v>98.04</v>
      </c>
      <c r="CN77" s="113">
        <v>72</v>
      </c>
      <c r="CO77" s="439">
        <v>96.63</v>
      </c>
      <c r="CP77" s="439">
        <v>98.64</v>
      </c>
      <c r="CQ77" s="439">
        <v>100.16</v>
      </c>
    </row>
    <row r="78" spans="2:95" x14ac:dyDescent="0.2">
      <c r="B78" s="113">
        <v>73</v>
      </c>
      <c r="C78" s="439">
        <v>62.24</v>
      </c>
      <c r="D78" s="439">
        <v>62.76</v>
      </c>
      <c r="E78" s="439">
        <v>63.510000000000005</v>
      </c>
      <c r="L78" s="113">
        <v>73</v>
      </c>
      <c r="M78" s="439">
        <v>69.19</v>
      </c>
      <c r="N78" s="439">
        <v>69.89</v>
      </c>
      <c r="O78" s="439">
        <v>70.78</v>
      </c>
      <c r="V78" s="113">
        <v>73</v>
      </c>
      <c r="W78" s="439">
        <v>76.290000000000006</v>
      </c>
      <c r="X78" s="439">
        <v>77.19</v>
      </c>
      <c r="Y78" s="439">
        <v>78.2</v>
      </c>
      <c r="AF78" s="113">
        <v>73</v>
      </c>
      <c r="AG78" s="439">
        <v>80.78</v>
      </c>
      <c r="AH78" s="439">
        <v>81.87</v>
      </c>
      <c r="AI78" s="439">
        <v>82.99</v>
      </c>
      <c r="AP78" s="113">
        <v>73</v>
      </c>
      <c r="AQ78" s="439">
        <v>87.05</v>
      </c>
      <c r="AR78" s="439">
        <v>88.35</v>
      </c>
      <c r="AS78" s="439">
        <v>89.59</v>
      </c>
      <c r="AZ78" s="113">
        <v>73</v>
      </c>
      <c r="BA78" s="439">
        <v>85.85</v>
      </c>
      <c r="BB78" s="439">
        <v>87.27</v>
      </c>
      <c r="BC78" s="439">
        <v>88.56</v>
      </c>
      <c r="BJ78" s="113">
        <v>73</v>
      </c>
      <c r="BK78" s="439">
        <v>90.07</v>
      </c>
      <c r="BL78" s="439">
        <v>91.67</v>
      </c>
      <c r="BM78" s="439">
        <v>93.05</v>
      </c>
      <c r="BT78" s="113">
        <v>73</v>
      </c>
      <c r="BU78" s="439">
        <v>91.23</v>
      </c>
      <c r="BV78" s="439">
        <v>92.98</v>
      </c>
      <c r="BW78" s="439">
        <v>94.4</v>
      </c>
      <c r="CD78" s="113">
        <v>73</v>
      </c>
      <c r="CE78" s="439">
        <v>93.66</v>
      </c>
      <c r="CF78" s="439">
        <v>95.55</v>
      </c>
      <c r="CG78" s="439">
        <v>97.02</v>
      </c>
      <c r="CN78" s="113">
        <v>73</v>
      </c>
      <c r="CO78" s="439">
        <v>95.13</v>
      </c>
      <c r="CP78" s="439">
        <v>97.14</v>
      </c>
      <c r="CQ78" s="439">
        <v>98.64</v>
      </c>
    </row>
    <row r="79" spans="2:95" x14ac:dyDescent="0.2">
      <c r="B79" s="113">
        <v>74</v>
      </c>
      <c r="C79" s="439">
        <v>62.31</v>
      </c>
      <c r="D79" s="439">
        <v>62.85</v>
      </c>
      <c r="E79" s="439">
        <v>63.620000000000005</v>
      </c>
      <c r="L79" s="113">
        <v>74</v>
      </c>
      <c r="M79" s="439">
        <v>69.400000000000006</v>
      </c>
      <c r="N79" s="439">
        <v>70.13</v>
      </c>
      <c r="O79" s="439">
        <v>71.03</v>
      </c>
      <c r="V79" s="113">
        <v>74</v>
      </c>
      <c r="W79" s="439">
        <v>76.58</v>
      </c>
      <c r="X79" s="439">
        <v>77.52</v>
      </c>
      <c r="Y79" s="439">
        <v>78.55</v>
      </c>
      <c r="AF79" s="113">
        <v>74</v>
      </c>
      <c r="AG79" s="439">
        <v>81.08</v>
      </c>
      <c r="AH79" s="439">
        <v>82.2</v>
      </c>
      <c r="AI79" s="439">
        <v>83.34</v>
      </c>
      <c r="AP79" s="113">
        <v>74</v>
      </c>
      <c r="AQ79" s="439">
        <v>87.2</v>
      </c>
      <c r="AR79" s="439">
        <v>88.54</v>
      </c>
      <c r="AS79" s="439">
        <v>89.79</v>
      </c>
      <c r="AZ79" s="113">
        <v>74</v>
      </c>
      <c r="BA79" s="439">
        <v>85.75</v>
      </c>
      <c r="BB79" s="439">
        <v>87.21</v>
      </c>
      <c r="BC79" s="439">
        <v>88.51</v>
      </c>
      <c r="BJ79" s="113">
        <v>74</v>
      </c>
      <c r="BK79" s="439">
        <v>89.64</v>
      </c>
      <c r="BL79" s="439">
        <v>91.27</v>
      </c>
      <c r="BM79" s="439">
        <v>92.65</v>
      </c>
      <c r="BT79" s="113">
        <v>74</v>
      </c>
      <c r="BU79" s="439">
        <v>90.44</v>
      </c>
      <c r="BV79" s="439">
        <v>92.21</v>
      </c>
      <c r="BW79" s="439">
        <v>93.63</v>
      </c>
      <c r="CD79" s="113">
        <v>74</v>
      </c>
      <c r="CE79" s="439">
        <v>92.42</v>
      </c>
      <c r="CF79" s="439">
        <v>94.33</v>
      </c>
      <c r="CG79" s="439">
        <v>95.78</v>
      </c>
      <c r="CN79" s="113">
        <v>74</v>
      </c>
      <c r="CO79" s="439">
        <v>93.48</v>
      </c>
      <c r="CP79" s="439">
        <v>95.5</v>
      </c>
      <c r="CQ79" s="439">
        <v>96.98</v>
      </c>
    </row>
    <row r="80" spans="2:95" x14ac:dyDescent="0.2">
      <c r="B80" s="113">
        <v>75</v>
      </c>
      <c r="C80" s="439">
        <v>62.36</v>
      </c>
      <c r="D80" s="439">
        <v>62.92</v>
      </c>
      <c r="E80" s="439">
        <v>63.7</v>
      </c>
      <c r="L80" s="113">
        <v>75</v>
      </c>
      <c r="M80" s="439">
        <v>69.58</v>
      </c>
      <c r="N80" s="439">
        <v>70.33</v>
      </c>
      <c r="O80" s="439">
        <v>71.25</v>
      </c>
      <c r="V80" s="113">
        <v>75</v>
      </c>
      <c r="W80" s="439">
        <v>76.81</v>
      </c>
      <c r="X80" s="439">
        <v>77.78</v>
      </c>
      <c r="Y80" s="439">
        <v>78.83</v>
      </c>
      <c r="AF80" s="113">
        <v>75</v>
      </c>
      <c r="AG80" s="439">
        <v>81.239999999999995</v>
      </c>
      <c r="AH80" s="439">
        <v>82.4</v>
      </c>
      <c r="AI80" s="439">
        <v>83.56</v>
      </c>
      <c r="AP80" s="113">
        <v>75</v>
      </c>
      <c r="AQ80" s="439">
        <v>87.21</v>
      </c>
      <c r="AR80" s="439">
        <v>88.59</v>
      </c>
      <c r="AS80" s="439">
        <v>89.85</v>
      </c>
      <c r="AZ80" s="113">
        <v>75</v>
      </c>
      <c r="BA80" s="439">
        <v>85.52</v>
      </c>
      <c r="BB80" s="439">
        <v>87.01</v>
      </c>
      <c r="BC80" s="439">
        <v>88.32</v>
      </c>
      <c r="BJ80" s="113">
        <v>75</v>
      </c>
      <c r="BK80" s="439">
        <v>89.05</v>
      </c>
      <c r="BL80" s="439">
        <v>90.72</v>
      </c>
      <c r="BM80" s="439">
        <v>92.1</v>
      </c>
      <c r="BT80" s="113">
        <v>75</v>
      </c>
      <c r="BU80" s="439">
        <v>89.49</v>
      </c>
      <c r="BV80" s="439">
        <v>91.28</v>
      </c>
      <c r="BW80" s="439">
        <v>92.69</v>
      </c>
      <c r="CD80" s="113">
        <v>75</v>
      </c>
      <c r="CE80" s="439">
        <v>90.99</v>
      </c>
      <c r="CF80" s="439">
        <v>92.92</v>
      </c>
      <c r="CG80" s="439">
        <v>94.36</v>
      </c>
      <c r="CN80" s="113">
        <v>75</v>
      </c>
      <c r="CO80" s="439">
        <v>91.7</v>
      </c>
      <c r="CP80" s="439">
        <v>93.73</v>
      </c>
      <c r="CQ80" s="439">
        <v>95.19</v>
      </c>
    </row>
    <row r="81" spans="2:95" x14ac:dyDescent="0.2">
      <c r="B81" s="113">
        <v>76</v>
      </c>
      <c r="C81" s="439">
        <v>62.38</v>
      </c>
      <c r="D81" s="439">
        <v>62.96</v>
      </c>
      <c r="E81" s="439">
        <v>63.75</v>
      </c>
      <c r="L81" s="113">
        <v>76</v>
      </c>
      <c r="M81" s="439">
        <v>69.72</v>
      </c>
      <c r="N81" s="439">
        <v>70.510000000000005</v>
      </c>
      <c r="O81" s="439">
        <v>71.44</v>
      </c>
      <c r="V81" s="113">
        <v>76</v>
      </c>
      <c r="W81" s="439">
        <v>76.989999999999995</v>
      </c>
      <c r="X81" s="439">
        <v>78</v>
      </c>
      <c r="Y81" s="439">
        <v>79.06</v>
      </c>
      <c r="AF81" s="113">
        <v>76</v>
      </c>
      <c r="AG81" s="439">
        <v>81.319999999999993</v>
      </c>
      <c r="AH81" s="439">
        <v>82.52</v>
      </c>
      <c r="AI81" s="439">
        <v>83.69</v>
      </c>
      <c r="AP81" s="113">
        <v>76</v>
      </c>
      <c r="AQ81" s="439">
        <v>87.07</v>
      </c>
      <c r="AR81" s="439">
        <v>88.49</v>
      </c>
      <c r="AS81" s="439">
        <v>89.76</v>
      </c>
      <c r="AZ81" s="113">
        <v>76</v>
      </c>
      <c r="BA81" s="439">
        <v>85.08</v>
      </c>
      <c r="BB81" s="439">
        <v>86.61</v>
      </c>
      <c r="BC81" s="439">
        <v>87.93</v>
      </c>
      <c r="BJ81" s="113">
        <v>76</v>
      </c>
      <c r="BK81" s="439">
        <v>88.25</v>
      </c>
      <c r="BL81" s="439">
        <v>89.95</v>
      </c>
      <c r="BM81" s="439">
        <v>91.33</v>
      </c>
      <c r="BT81" s="113">
        <v>76</v>
      </c>
      <c r="BU81" s="439">
        <v>88.31</v>
      </c>
      <c r="BV81" s="439">
        <v>90.13</v>
      </c>
      <c r="BW81" s="439">
        <v>91.53</v>
      </c>
      <c r="CD81" s="113">
        <v>76</v>
      </c>
      <c r="CE81" s="439">
        <v>89.43</v>
      </c>
      <c r="CF81" s="439">
        <v>91.37</v>
      </c>
      <c r="CG81" s="439">
        <v>92.79</v>
      </c>
      <c r="CN81" s="113">
        <v>76</v>
      </c>
      <c r="CO81" s="439">
        <v>89.81</v>
      </c>
      <c r="CP81" s="439">
        <v>91.84</v>
      </c>
      <c r="CQ81" s="439">
        <v>93.28</v>
      </c>
    </row>
    <row r="82" spans="2:95" x14ac:dyDescent="0.2">
      <c r="B82" s="113">
        <v>77</v>
      </c>
      <c r="C82" s="439">
        <v>62.37</v>
      </c>
      <c r="D82" s="439">
        <v>62.97</v>
      </c>
      <c r="E82" s="439">
        <v>63.78</v>
      </c>
      <c r="L82" s="113">
        <v>77</v>
      </c>
      <c r="M82" s="439">
        <v>69.83</v>
      </c>
      <c r="N82" s="439">
        <v>70.650000000000006</v>
      </c>
      <c r="O82" s="439">
        <v>71.59</v>
      </c>
      <c r="V82" s="113">
        <v>77</v>
      </c>
      <c r="W82" s="439">
        <v>77.11</v>
      </c>
      <c r="X82" s="439">
        <v>78.16</v>
      </c>
      <c r="Y82" s="439">
        <v>79.239999999999995</v>
      </c>
      <c r="AF82" s="113">
        <v>77</v>
      </c>
      <c r="AG82" s="439">
        <v>81.319999999999993</v>
      </c>
      <c r="AH82" s="439">
        <v>82.56</v>
      </c>
      <c r="AI82" s="439">
        <v>83.75</v>
      </c>
      <c r="AP82" s="113">
        <v>77</v>
      </c>
      <c r="AQ82" s="439">
        <v>86.82</v>
      </c>
      <c r="AR82" s="439">
        <v>88.28</v>
      </c>
      <c r="AS82" s="439">
        <v>89.56</v>
      </c>
      <c r="AZ82" s="113">
        <v>77</v>
      </c>
      <c r="BA82" s="439">
        <v>84.51</v>
      </c>
      <c r="BB82" s="439">
        <v>86.08</v>
      </c>
      <c r="BC82" s="439">
        <v>87.4</v>
      </c>
      <c r="BJ82" s="113">
        <v>77</v>
      </c>
      <c r="BK82" s="439">
        <v>87.29</v>
      </c>
      <c r="BL82" s="439">
        <v>89.02</v>
      </c>
      <c r="BM82" s="439">
        <v>90.39</v>
      </c>
      <c r="BT82" s="113">
        <v>77</v>
      </c>
      <c r="BU82" s="439">
        <v>86.98</v>
      </c>
      <c r="BV82" s="439">
        <v>88.82</v>
      </c>
      <c r="BW82" s="439">
        <v>90.21</v>
      </c>
      <c r="CD82" s="113">
        <v>77</v>
      </c>
      <c r="CE82" s="439">
        <v>87.74</v>
      </c>
      <c r="CF82" s="439">
        <v>89.69</v>
      </c>
      <c r="CG82" s="439">
        <v>91.1</v>
      </c>
      <c r="CN82" s="113">
        <v>77</v>
      </c>
      <c r="CO82" s="439">
        <v>87.81</v>
      </c>
      <c r="CP82" s="439">
        <v>89.86</v>
      </c>
      <c r="CQ82" s="439">
        <v>91.27</v>
      </c>
    </row>
    <row r="83" spans="2:95" x14ac:dyDescent="0.2">
      <c r="B83" s="113">
        <v>78</v>
      </c>
      <c r="C83" s="439">
        <v>62.33</v>
      </c>
      <c r="D83" s="439">
        <v>62.96</v>
      </c>
      <c r="E83" s="439">
        <v>63.769999999999996</v>
      </c>
      <c r="L83" s="113">
        <v>78</v>
      </c>
      <c r="M83" s="439">
        <v>69.900000000000006</v>
      </c>
      <c r="N83" s="439">
        <v>70.75</v>
      </c>
      <c r="O83" s="439">
        <v>71.709999999999994</v>
      </c>
      <c r="V83" s="113">
        <v>78</v>
      </c>
      <c r="W83" s="439">
        <v>77.180000000000007</v>
      </c>
      <c r="X83" s="439">
        <v>78.260000000000005</v>
      </c>
      <c r="Y83" s="439">
        <v>79.36</v>
      </c>
      <c r="AF83" s="113">
        <v>78</v>
      </c>
      <c r="AG83" s="439">
        <v>81.23</v>
      </c>
      <c r="AH83" s="439">
        <v>82.52</v>
      </c>
      <c r="AI83" s="439">
        <v>83.71</v>
      </c>
      <c r="AP83" s="113">
        <v>78</v>
      </c>
      <c r="AQ83" s="439">
        <v>86.44</v>
      </c>
      <c r="AR83" s="439">
        <v>87.94</v>
      </c>
      <c r="AS83" s="439">
        <v>89.23</v>
      </c>
      <c r="AZ83" s="113">
        <v>78</v>
      </c>
      <c r="BA83" s="439">
        <v>83.8</v>
      </c>
      <c r="BB83" s="439">
        <v>85.41</v>
      </c>
      <c r="BC83" s="439">
        <v>86.73</v>
      </c>
      <c r="BJ83" s="113">
        <v>78</v>
      </c>
      <c r="BK83" s="439">
        <v>86.18</v>
      </c>
      <c r="BL83" s="439">
        <v>87.94</v>
      </c>
      <c r="BM83" s="439">
        <v>89.31</v>
      </c>
      <c r="BT83" s="113">
        <v>78</v>
      </c>
      <c r="BU83" s="439">
        <v>85.51</v>
      </c>
      <c r="BV83" s="439">
        <v>87.37</v>
      </c>
      <c r="BW83" s="439">
        <v>88.75</v>
      </c>
      <c r="CD83" s="113">
        <v>78</v>
      </c>
      <c r="CE83" s="439">
        <v>85.93</v>
      </c>
      <c r="CF83" s="439">
        <v>87.9</v>
      </c>
      <c r="CG83" s="439">
        <v>89.29</v>
      </c>
      <c r="CN83" s="113">
        <v>78</v>
      </c>
      <c r="CO83" s="439">
        <v>85.74</v>
      </c>
      <c r="CP83" s="439">
        <v>87.78</v>
      </c>
      <c r="CQ83" s="439">
        <v>89.17</v>
      </c>
    </row>
    <row r="84" spans="2:95" x14ac:dyDescent="0.2">
      <c r="B84" s="113">
        <v>79</v>
      </c>
      <c r="C84" s="439">
        <v>62.26</v>
      </c>
      <c r="D84" s="439">
        <v>62.91</v>
      </c>
      <c r="E84" s="439">
        <v>63.739999999999995</v>
      </c>
      <c r="L84" s="113">
        <v>79</v>
      </c>
      <c r="M84" s="439">
        <v>69.930000000000007</v>
      </c>
      <c r="N84" s="439">
        <v>70.819999999999993</v>
      </c>
      <c r="O84" s="439">
        <v>71.790000000000006</v>
      </c>
      <c r="V84" s="113">
        <v>79</v>
      </c>
      <c r="W84" s="439">
        <v>77.180000000000007</v>
      </c>
      <c r="X84" s="439">
        <v>78.31</v>
      </c>
      <c r="Y84" s="439">
        <v>79.41</v>
      </c>
      <c r="AF84" s="113">
        <v>79</v>
      </c>
      <c r="AG84" s="439">
        <v>81.05</v>
      </c>
      <c r="AH84" s="439">
        <v>82.38</v>
      </c>
      <c r="AI84" s="439">
        <v>83.59</v>
      </c>
      <c r="AP84" s="113">
        <v>79</v>
      </c>
      <c r="AQ84" s="439">
        <v>85.95</v>
      </c>
      <c r="AR84" s="439">
        <v>87.48</v>
      </c>
      <c r="AS84" s="439">
        <v>88.78</v>
      </c>
      <c r="AZ84" s="113">
        <v>79</v>
      </c>
      <c r="BA84" s="439">
        <v>82.96</v>
      </c>
      <c r="BB84" s="439">
        <v>84.6</v>
      </c>
      <c r="BC84" s="439">
        <v>85.92</v>
      </c>
      <c r="BJ84" s="113">
        <v>79</v>
      </c>
      <c r="BK84" s="439">
        <v>84.94</v>
      </c>
      <c r="BL84" s="439">
        <v>86.72</v>
      </c>
      <c r="BM84" s="439">
        <v>88.08</v>
      </c>
      <c r="BT84" s="113">
        <v>79</v>
      </c>
      <c r="BU84" s="439">
        <v>83.92</v>
      </c>
      <c r="BV84" s="439">
        <v>85.8</v>
      </c>
      <c r="BW84" s="439">
        <v>87.17</v>
      </c>
      <c r="CD84" s="113">
        <v>79</v>
      </c>
      <c r="CE84" s="439">
        <v>84.03</v>
      </c>
      <c r="CF84" s="439">
        <v>86</v>
      </c>
      <c r="CG84" s="439">
        <v>87.38</v>
      </c>
      <c r="CN84" s="113">
        <v>79</v>
      </c>
      <c r="CO84" s="439">
        <v>83.59</v>
      </c>
      <c r="CP84" s="439">
        <v>85.64</v>
      </c>
      <c r="CQ84" s="439">
        <v>87.01</v>
      </c>
    </row>
    <row r="85" spans="2:95" x14ac:dyDescent="0.2">
      <c r="B85" s="113">
        <v>80</v>
      </c>
      <c r="C85" s="439">
        <v>62.13</v>
      </c>
      <c r="D85" s="439">
        <v>62.81</v>
      </c>
      <c r="E85" s="439">
        <v>63.650000000000006</v>
      </c>
      <c r="L85" s="113">
        <v>80</v>
      </c>
      <c r="M85" s="439">
        <v>69.92</v>
      </c>
      <c r="N85" s="439">
        <v>70.84</v>
      </c>
      <c r="O85" s="439">
        <v>71.83</v>
      </c>
      <c r="V85" s="113">
        <v>80</v>
      </c>
      <c r="W85" s="439">
        <v>77.12</v>
      </c>
      <c r="X85" s="439">
        <v>78.28</v>
      </c>
      <c r="Y85" s="439">
        <v>79.41</v>
      </c>
      <c r="AF85" s="113">
        <v>80</v>
      </c>
      <c r="AG85" s="439">
        <v>80.77</v>
      </c>
      <c r="AH85" s="439">
        <v>82.14</v>
      </c>
      <c r="AI85" s="439">
        <v>83.36</v>
      </c>
      <c r="AP85" s="113">
        <v>80</v>
      </c>
      <c r="AQ85" s="439">
        <v>85.32</v>
      </c>
      <c r="AR85" s="439">
        <v>86.9</v>
      </c>
      <c r="AS85" s="439">
        <v>88.21</v>
      </c>
      <c r="AZ85" s="113">
        <v>80</v>
      </c>
      <c r="BA85" s="439">
        <v>81.98</v>
      </c>
      <c r="BB85" s="439">
        <v>83.65</v>
      </c>
      <c r="BC85" s="439">
        <v>84.98</v>
      </c>
      <c r="BJ85" s="113">
        <v>80</v>
      </c>
      <c r="BK85" s="439">
        <v>83.56</v>
      </c>
      <c r="BL85" s="439">
        <v>85.37</v>
      </c>
      <c r="BM85" s="439">
        <v>86.72</v>
      </c>
      <c r="BT85" s="113">
        <v>80</v>
      </c>
      <c r="BU85" s="439">
        <v>82.21</v>
      </c>
      <c r="BV85" s="439">
        <v>84.11</v>
      </c>
      <c r="BW85" s="439">
        <v>85.47</v>
      </c>
      <c r="CD85" s="113">
        <v>80</v>
      </c>
      <c r="CE85" s="439">
        <v>82.04</v>
      </c>
      <c r="CF85" s="439">
        <v>84.02</v>
      </c>
      <c r="CG85" s="439">
        <v>85.38</v>
      </c>
      <c r="CN85" s="113">
        <v>80</v>
      </c>
      <c r="CO85" s="439">
        <v>81.39</v>
      </c>
      <c r="CP85" s="439">
        <v>83.45</v>
      </c>
      <c r="CQ85" s="439">
        <v>84.79</v>
      </c>
    </row>
    <row r="86" spans="2:95" x14ac:dyDescent="0.2">
      <c r="B86" s="113">
        <v>81</v>
      </c>
      <c r="C86" s="439">
        <v>61.9</v>
      </c>
      <c r="D86" s="439">
        <v>62.6</v>
      </c>
      <c r="E86" s="439">
        <v>63.47</v>
      </c>
      <c r="L86" s="113">
        <v>81</v>
      </c>
      <c r="M86" s="439">
        <v>69.790000000000006</v>
      </c>
      <c r="N86" s="439">
        <v>70.739999999999995</v>
      </c>
      <c r="O86" s="439">
        <v>71.760000000000005</v>
      </c>
      <c r="V86" s="113">
        <v>81</v>
      </c>
      <c r="W86" s="439">
        <v>76.94</v>
      </c>
      <c r="X86" s="439">
        <v>78.16</v>
      </c>
      <c r="Y86" s="439">
        <v>79.3</v>
      </c>
      <c r="AF86" s="113">
        <v>81</v>
      </c>
      <c r="AG86" s="439">
        <v>80.38</v>
      </c>
      <c r="AH86" s="439">
        <v>81.8</v>
      </c>
      <c r="AI86" s="439">
        <v>83.03</v>
      </c>
      <c r="AP86" s="113">
        <v>81</v>
      </c>
      <c r="AQ86" s="439">
        <v>84.57</v>
      </c>
      <c r="AR86" s="439">
        <v>86.19</v>
      </c>
      <c r="AS86" s="439">
        <v>87.5</v>
      </c>
      <c r="AZ86" s="113">
        <v>81</v>
      </c>
      <c r="BA86" s="439">
        <v>80.86</v>
      </c>
      <c r="BB86" s="439">
        <v>82.57</v>
      </c>
      <c r="BC86" s="439">
        <v>83.9</v>
      </c>
      <c r="BJ86" s="113">
        <v>81</v>
      </c>
      <c r="BK86" s="439">
        <v>82.05</v>
      </c>
      <c r="BL86" s="439">
        <v>83.88</v>
      </c>
      <c r="BM86" s="439">
        <v>85.24</v>
      </c>
      <c r="BT86" s="113">
        <v>81</v>
      </c>
      <c r="BU86" s="439">
        <v>80.41</v>
      </c>
      <c r="BV86" s="439">
        <v>82.32</v>
      </c>
      <c r="BW86" s="439">
        <v>83.67</v>
      </c>
      <c r="CD86" s="113">
        <v>81</v>
      </c>
      <c r="CE86" s="439">
        <v>79.97</v>
      </c>
      <c r="CF86" s="439">
        <v>81.97</v>
      </c>
      <c r="CG86" s="439">
        <v>83.31</v>
      </c>
      <c r="CN86" s="113">
        <v>81</v>
      </c>
      <c r="CO86" s="439">
        <v>79.150000000000006</v>
      </c>
      <c r="CP86" s="439">
        <v>81.209999999999994</v>
      </c>
      <c r="CQ86" s="439">
        <v>82.53</v>
      </c>
    </row>
    <row r="87" spans="2:95" x14ac:dyDescent="0.2">
      <c r="B87" s="113">
        <v>82</v>
      </c>
      <c r="C87" s="439">
        <v>61.65</v>
      </c>
      <c r="D87" s="439">
        <v>62.38</v>
      </c>
      <c r="E87" s="439">
        <v>63.260000000000005</v>
      </c>
      <c r="L87" s="113">
        <v>82</v>
      </c>
      <c r="M87" s="439">
        <v>69.58</v>
      </c>
      <c r="N87" s="439">
        <v>70.58</v>
      </c>
      <c r="O87" s="439">
        <v>71.61</v>
      </c>
      <c r="V87" s="113">
        <v>82</v>
      </c>
      <c r="W87" s="439">
        <v>76.62</v>
      </c>
      <c r="X87" s="439">
        <v>77.88</v>
      </c>
      <c r="Y87" s="439">
        <v>79.040000000000006</v>
      </c>
      <c r="AF87" s="113">
        <v>82</v>
      </c>
      <c r="AG87" s="439">
        <v>79.78</v>
      </c>
      <c r="AH87" s="439">
        <v>81.25</v>
      </c>
      <c r="AI87" s="439">
        <v>82.49</v>
      </c>
      <c r="AP87" s="113">
        <v>82</v>
      </c>
      <c r="AQ87" s="439">
        <v>83.6</v>
      </c>
      <c r="AR87" s="439">
        <v>85.25</v>
      </c>
      <c r="AS87" s="439">
        <v>86.57</v>
      </c>
      <c r="AZ87" s="113">
        <v>82</v>
      </c>
      <c r="BA87" s="439">
        <v>79.55</v>
      </c>
      <c r="BB87" s="439">
        <v>81.290000000000006</v>
      </c>
      <c r="BC87" s="439">
        <v>82.61</v>
      </c>
      <c r="BJ87" s="113">
        <v>82</v>
      </c>
      <c r="BK87" s="439">
        <v>80.36</v>
      </c>
      <c r="BL87" s="439">
        <v>82.22</v>
      </c>
      <c r="BM87" s="439">
        <v>83.56</v>
      </c>
      <c r="BT87" s="113">
        <v>82</v>
      </c>
      <c r="BU87" s="439">
        <v>78.44</v>
      </c>
      <c r="BV87" s="439">
        <v>80.38</v>
      </c>
      <c r="BW87" s="439">
        <v>81.709999999999994</v>
      </c>
      <c r="CD87" s="113">
        <v>82</v>
      </c>
      <c r="CE87" s="439">
        <v>77.78</v>
      </c>
      <c r="CF87" s="439">
        <v>79.790000000000006</v>
      </c>
      <c r="CG87" s="439">
        <v>81.11</v>
      </c>
      <c r="CN87" s="113">
        <v>82</v>
      </c>
      <c r="CO87" s="439">
        <v>76.81</v>
      </c>
      <c r="CP87" s="439">
        <v>78.87</v>
      </c>
      <c r="CQ87" s="439">
        <v>80.17</v>
      </c>
    </row>
    <row r="88" spans="2:95" x14ac:dyDescent="0.2">
      <c r="B88" s="113">
        <v>83</v>
      </c>
      <c r="C88" s="439">
        <v>61.36</v>
      </c>
      <c r="D88" s="439">
        <v>62.13</v>
      </c>
      <c r="E88" s="439">
        <v>63.019999999999996</v>
      </c>
      <c r="L88" s="113">
        <v>83</v>
      </c>
      <c r="M88" s="439">
        <v>69.34</v>
      </c>
      <c r="N88" s="439">
        <v>70.37</v>
      </c>
      <c r="O88" s="439">
        <v>71.42</v>
      </c>
      <c r="V88" s="113">
        <v>83</v>
      </c>
      <c r="W88" s="439">
        <v>76.23</v>
      </c>
      <c r="X88" s="439">
        <v>77.53</v>
      </c>
      <c r="Y88" s="439">
        <v>78.709999999999994</v>
      </c>
      <c r="AF88" s="113">
        <v>83</v>
      </c>
      <c r="AG88" s="439">
        <v>79.08</v>
      </c>
      <c r="AH88" s="439">
        <v>80.58</v>
      </c>
      <c r="AI88" s="439">
        <v>81.84</v>
      </c>
      <c r="AP88" s="113">
        <v>83</v>
      </c>
      <c r="AQ88" s="439">
        <v>82.47</v>
      </c>
      <c r="AR88" s="439">
        <v>84.17</v>
      </c>
      <c r="AS88" s="439">
        <v>85.49</v>
      </c>
      <c r="AZ88" s="113">
        <v>83</v>
      </c>
      <c r="BA88" s="439">
        <v>78.06</v>
      </c>
      <c r="BB88" s="439">
        <v>79.83</v>
      </c>
      <c r="BC88" s="439">
        <v>81.150000000000006</v>
      </c>
      <c r="BJ88" s="113">
        <v>83</v>
      </c>
      <c r="BK88" s="439">
        <v>78.510000000000005</v>
      </c>
      <c r="BL88" s="439">
        <v>80.39</v>
      </c>
      <c r="BM88" s="439">
        <v>81.72</v>
      </c>
      <c r="BT88" s="113">
        <v>83</v>
      </c>
      <c r="BU88" s="439">
        <v>76.34</v>
      </c>
      <c r="BV88" s="439">
        <v>78.290000000000006</v>
      </c>
      <c r="BW88" s="439">
        <v>79.61</v>
      </c>
      <c r="CD88" s="113">
        <v>83</v>
      </c>
      <c r="CE88" s="439">
        <v>75.489999999999995</v>
      </c>
      <c r="CF88" s="439">
        <v>77.510000000000005</v>
      </c>
      <c r="CG88" s="439">
        <v>78.81</v>
      </c>
      <c r="CN88" s="113">
        <v>83</v>
      </c>
      <c r="CO88" s="439">
        <v>74.400000000000006</v>
      </c>
      <c r="CP88" s="439">
        <v>76.47</v>
      </c>
      <c r="CQ88" s="439">
        <v>77.75</v>
      </c>
    </row>
    <row r="89" spans="2:95" x14ac:dyDescent="0.2">
      <c r="B89" s="113">
        <v>84</v>
      </c>
      <c r="C89" s="439">
        <v>61.05</v>
      </c>
      <c r="D89" s="439">
        <v>61.85</v>
      </c>
      <c r="E89" s="439">
        <v>62.76</v>
      </c>
      <c r="L89" s="113">
        <v>84</v>
      </c>
      <c r="M89" s="439">
        <v>69.05</v>
      </c>
      <c r="N89" s="439">
        <v>70.12</v>
      </c>
      <c r="O89" s="439">
        <v>71.19</v>
      </c>
      <c r="V89" s="113">
        <v>84</v>
      </c>
      <c r="W89" s="439">
        <v>75.77</v>
      </c>
      <c r="X89" s="439">
        <v>77.11</v>
      </c>
      <c r="Y89" s="439">
        <v>78.31</v>
      </c>
      <c r="AF89" s="113">
        <v>84</v>
      </c>
      <c r="AG89" s="439">
        <v>78.27</v>
      </c>
      <c r="AH89" s="439">
        <v>79.819999999999993</v>
      </c>
      <c r="AI89" s="439">
        <v>81.09</v>
      </c>
      <c r="AP89" s="113">
        <v>84</v>
      </c>
      <c r="AQ89" s="439">
        <v>81.23</v>
      </c>
      <c r="AR89" s="439">
        <v>82.96</v>
      </c>
      <c r="AS89" s="439">
        <v>84.29</v>
      </c>
      <c r="AZ89" s="113">
        <v>84</v>
      </c>
      <c r="BA89" s="439">
        <v>76.47</v>
      </c>
      <c r="BB89" s="439">
        <v>78.27</v>
      </c>
      <c r="BC89" s="439">
        <v>79.59</v>
      </c>
      <c r="BJ89" s="113">
        <v>84</v>
      </c>
      <c r="BK89" s="439">
        <v>76.569999999999993</v>
      </c>
      <c r="BL89" s="439">
        <v>78.48</v>
      </c>
      <c r="BM89" s="439">
        <v>79.8</v>
      </c>
      <c r="BT89" s="113">
        <v>84</v>
      </c>
      <c r="BU89" s="439">
        <v>74.19</v>
      </c>
      <c r="BV89" s="439">
        <v>76.16</v>
      </c>
      <c r="BW89" s="439">
        <v>77.459999999999994</v>
      </c>
      <c r="CD89" s="113">
        <v>84</v>
      </c>
      <c r="CE89" s="439">
        <v>73.180000000000007</v>
      </c>
      <c r="CF89" s="439">
        <v>75.2</v>
      </c>
      <c r="CG89" s="439">
        <v>76.489999999999995</v>
      </c>
      <c r="CN89" s="113">
        <v>84</v>
      </c>
      <c r="CO89" s="439">
        <v>72</v>
      </c>
      <c r="CP89" s="439">
        <v>74.069999999999993</v>
      </c>
      <c r="CQ89" s="439">
        <v>75.34</v>
      </c>
    </row>
    <row r="90" spans="2:95" x14ac:dyDescent="0.2">
      <c r="B90" s="113">
        <v>85</v>
      </c>
      <c r="C90" s="439">
        <v>60.71</v>
      </c>
      <c r="D90" s="439">
        <v>61.54</v>
      </c>
      <c r="E90" s="439">
        <v>62.46</v>
      </c>
      <c r="L90" s="113">
        <v>85</v>
      </c>
      <c r="M90" s="439">
        <v>68.7</v>
      </c>
      <c r="N90" s="439">
        <v>69.819999999999993</v>
      </c>
      <c r="O90" s="439">
        <v>70.91</v>
      </c>
      <c r="V90" s="113">
        <v>85</v>
      </c>
      <c r="W90" s="439">
        <v>75.22</v>
      </c>
      <c r="X90" s="439">
        <v>76.61</v>
      </c>
      <c r="Y90" s="439">
        <v>77.819999999999993</v>
      </c>
      <c r="AF90" s="113">
        <v>85</v>
      </c>
      <c r="AG90" s="439">
        <v>77.349999999999994</v>
      </c>
      <c r="AH90" s="439">
        <v>78.94</v>
      </c>
      <c r="AI90" s="439">
        <v>80.23</v>
      </c>
      <c r="AP90" s="113">
        <v>85</v>
      </c>
      <c r="AQ90" s="439">
        <v>79.88</v>
      </c>
      <c r="AR90" s="439">
        <v>81.64</v>
      </c>
      <c r="AS90" s="439">
        <v>82.98</v>
      </c>
      <c r="AZ90" s="113">
        <v>85</v>
      </c>
      <c r="BA90" s="439">
        <v>74.77</v>
      </c>
      <c r="BB90" s="439">
        <v>76.599999999999994</v>
      </c>
      <c r="BC90" s="439">
        <v>77.92</v>
      </c>
      <c r="BJ90" s="113">
        <v>85</v>
      </c>
      <c r="BK90" s="439">
        <v>74.56</v>
      </c>
      <c r="BL90" s="439">
        <v>76.489999999999995</v>
      </c>
      <c r="BM90" s="439">
        <v>77.81</v>
      </c>
      <c r="BT90" s="113">
        <v>85</v>
      </c>
      <c r="BU90" s="439">
        <v>72</v>
      </c>
      <c r="BV90" s="439">
        <v>73.98</v>
      </c>
      <c r="BW90" s="439">
        <v>75.27</v>
      </c>
      <c r="CD90" s="113">
        <v>85</v>
      </c>
      <c r="CE90" s="439">
        <v>70.849999999999994</v>
      </c>
      <c r="CF90" s="439">
        <v>72.89</v>
      </c>
      <c r="CG90" s="439">
        <v>74.16</v>
      </c>
      <c r="CN90" s="113">
        <v>85</v>
      </c>
      <c r="CO90" s="439">
        <v>69.62</v>
      </c>
      <c r="CP90" s="439">
        <v>71.69</v>
      </c>
      <c r="CQ90" s="439">
        <v>72.94</v>
      </c>
    </row>
    <row r="91" spans="2:95" x14ac:dyDescent="0.2">
      <c r="B91" s="113">
        <v>86</v>
      </c>
      <c r="C91" s="439">
        <v>60.33</v>
      </c>
      <c r="D91" s="439">
        <v>61.19</v>
      </c>
      <c r="E91" s="439">
        <v>62.13</v>
      </c>
      <c r="L91" s="113">
        <v>86</v>
      </c>
      <c r="M91" s="439">
        <v>68.3</v>
      </c>
      <c r="N91" s="439">
        <v>69.47</v>
      </c>
      <c r="O91" s="439">
        <v>70.569999999999993</v>
      </c>
      <c r="V91" s="113">
        <v>86</v>
      </c>
      <c r="W91" s="439">
        <v>74.58</v>
      </c>
      <c r="X91" s="439">
        <v>76.02</v>
      </c>
      <c r="Y91" s="439">
        <v>77.25</v>
      </c>
      <c r="AF91" s="113">
        <v>86</v>
      </c>
      <c r="AG91" s="439">
        <v>76.33</v>
      </c>
      <c r="AH91" s="439">
        <v>77.959999999999994</v>
      </c>
      <c r="AI91" s="439">
        <v>79.260000000000005</v>
      </c>
      <c r="AP91" s="113">
        <v>86</v>
      </c>
      <c r="AQ91" s="439">
        <v>78.41</v>
      </c>
      <c r="AR91" s="439">
        <v>80.209999999999994</v>
      </c>
      <c r="AS91" s="439">
        <v>81.55</v>
      </c>
      <c r="AZ91" s="113">
        <v>86</v>
      </c>
      <c r="BA91" s="439">
        <v>72.989999999999995</v>
      </c>
      <c r="BB91" s="439">
        <v>74.849999999999994</v>
      </c>
      <c r="BC91" s="439">
        <v>76.17</v>
      </c>
      <c r="BJ91" s="113">
        <v>86</v>
      </c>
      <c r="BK91" s="439">
        <v>72.489999999999995</v>
      </c>
      <c r="BL91" s="439">
        <v>74.44</v>
      </c>
      <c r="BM91" s="439">
        <v>75.75</v>
      </c>
      <c r="BT91" s="113">
        <v>86</v>
      </c>
      <c r="BU91" s="439">
        <v>69.77</v>
      </c>
      <c r="BV91" s="439">
        <v>71.77</v>
      </c>
      <c r="BW91" s="439">
        <v>73.05</v>
      </c>
      <c r="CD91" s="113">
        <v>86</v>
      </c>
      <c r="CE91" s="439">
        <v>68.53</v>
      </c>
      <c r="CF91" s="439">
        <v>70.569999999999993</v>
      </c>
      <c r="CG91" s="439">
        <v>71.83</v>
      </c>
      <c r="CN91" s="113">
        <v>86</v>
      </c>
      <c r="CO91" s="439">
        <v>67.25</v>
      </c>
      <c r="CP91" s="439">
        <v>69.33</v>
      </c>
      <c r="CQ91" s="439">
        <v>70.569999999999993</v>
      </c>
    </row>
    <row r="92" spans="2:95" x14ac:dyDescent="0.2">
      <c r="B92" s="113">
        <v>87</v>
      </c>
      <c r="C92" s="439">
        <v>59.91</v>
      </c>
      <c r="D92" s="439">
        <v>60.81</v>
      </c>
      <c r="E92" s="439">
        <v>61.77</v>
      </c>
      <c r="L92" s="113">
        <v>87</v>
      </c>
      <c r="M92" s="439">
        <v>67.84</v>
      </c>
      <c r="N92" s="439">
        <v>69.05</v>
      </c>
      <c r="O92" s="439">
        <v>70.180000000000007</v>
      </c>
      <c r="V92" s="113">
        <v>87</v>
      </c>
      <c r="W92" s="439">
        <v>73.86</v>
      </c>
      <c r="X92" s="439">
        <v>75.34</v>
      </c>
      <c r="Y92" s="439">
        <v>76.59</v>
      </c>
      <c r="AF92" s="113">
        <v>87</v>
      </c>
      <c r="AG92" s="439">
        <v>75.19</v>
      </c>
      <c r="AH92" s="439">
        <v>76.87</v>
      </c>
      <c r="AI92" s="439">
        <v>78.17</v>
      </c>
      <c r="AP92" s="113">
        <v>87</v>
      </c>
      <c r="AQ92" s="439">
        <v>76.83</v>
      </c>
      <c r="AR92" s="439">
        <v>78.66</v>
      </c>
      <c r="AS92" s="439">
        <v>80</v>
      </c>
      <c r="AZ92" s="113">
        <v>87</v>
      </c>
      <c r="BA92" s="439">
        <v>71.11</v>
      </c>
      <c r="BB92" s="439">
        <v>73</v>
      </c>
      <c r="BC92" s="439">
        <v>74.319999999999993</v>
      </c>
      <c r="BJ92" s="113">
        <v>87</v>
      </c>
      <c r="BK92" s="439">
        <v>70.36</v>
      </c>
      <c r="BL92" s="439">
        <v>72.33</v>
      </c>
      <c r="BM92" s="439">
        <v>73.63</v>
      </c>
      <c r="BT92" s="113">
        <v>87</v>
      </c>
      <c r="BU92" s="439">
        <v>67.52</v>
      </c>
      <c r="BV92" s="439">
        <v>69.540000000000006</v>
      </c>
      <c r="BW92" s="439">
        <v>70.8</v>
      </c>
      <c r="CD92" s="113">
        <v>87</v>
      </c>
      <c r="CE92" s="439">
        <v>66.2</v>
      </c>
      <c r="CF92" s="439">
        <v>68.260000000000005</v>
      </c>
      <c r="CG92" s="439">
        <v>69.5</v>
      </c>
      <c r="CN92" s="113">
        <v>87</v>
      </c>
      <c r="CO92" s="439">
        <v>64.91</v>
      </c>
      <c r="CP92" s="439">
        <v>67</v>
      </c>
      <c r="CQ92" s="439">
        <v>68.22</v>
      </c>
    </row>
    <row r="93" spans="2:95" x14ac:dyDescent="0.2">
      <c r="B93" s="113">
        <v>88</v>
      </c>
      <c r="C93" s="439">
        <v>59.46</v>
      </c>
      <c r="D93" s="439">
        <v>60.39</v>
      </c>
      <c r="E93" s="439">
        <v>61.37</v>
      </c>
      <c r="L93" s="113">
        <v>88</v>
      </c>
      <c r="M93" s="439">
        <v>67.319999999999993</v>
      </c>
      <c r="N93" s="439">
        <v>68.569999999999993</v>
      </c>
      <c r="O93" s="439">
        <v>69.72</v>
      </c>
      <c r="V93" s="113">
        <v>88</v>
      </c>
      <c r="W93" s="439">
        <v>73.03</v>
      </c>
      <c r="X93" s="439">
        <v>74.569999999999993</v>
      </c>
      <c r="Y93" s="439">
        <v>75.83</v>
      </c>
      <c r="AF93" s="113">
        <v>88</v>
      </c>
      <c r="AG93" s="439">
        <v>73.94</v>
      </c>
      <c r="AH93" s="439">
        <v>75.66</v>
      </c>
      <c r="AI93" s="439">
        <v>76.98</v>
      </c>
      <c r="AP93" s="113">
        <v>88</v>
      </c>
      <c r="AQ93" s="439">
        <v>75.14</v>
      </c>
      <c r="AR93" s="439">
        <v>77.010000000000005</v>
      </c>
      <c r="AS93" s="439">
        <v>78.349999999999994</v>
      </c>
      <c r="AZ93" s="113">
        <v>88</v>
      </c>
      <c r="BA93" s="439">
        <v>69.16</v>
      </c>
      <c r="BB93" s="439">
        <v>71.08</v>
      </c>
      <c r="BC93" s="439">
        <v>72.39</v>
      </c>
      <c r="BJ93" s="113">
        <v>88</v>
      </c>
      <c r="BK93" s="439">
        <v>68.180000000000007</v>
      </c>
      <c r="BL93" s="439">
        <v>70.17</v>
      </c>
      <c r="BM93" s="439">
        <v>71.459999999999994</v>
      </c>
      <c r="BT93" s="113">
        <v>88</v>
      </c>
      <c r="BU93" s="439">
        <v>65.25</v>
      </c>
      <c r="BV93" s="439">
        <v>67.28</v>
      </c>
      <c r="BW93" s="439">
        <v>68.540000000000006</v>
      </c>
      <c r="CD93" s="113">
        <v>88</v>
      </c>
      <c r="CE93" s="439">
        <v>63.879999999999995</v>
      </c>
      <c r="CF93" s="439">
        <v>65.95</v>
      </c>
      <c r="CG93" s="439">
        <v>67.180000000000007</v>
      </c>
      <c r="CN93" s="113">
        <v>88</v>
      </c>
      <c r="CO93" s="439">
        <v>62.6</v>
      </c>
      <c r="CP93" s="439">
        <v>64.69</v>
      </c>
      <c r="CQ93" s="439">
        <v>65.900000000000006</v>
      </c>
    </row>
    <row r="94" spans="2:95" x14ac:dyDescent="0.2">
      <c r="B94" s="113">
        <v>89</v>
      </c>
      <c r="C94" s="439">
        <v>58.95</v>
      </c>
      <c r="D94" s="439">
        <v>59.92</v>
      </c>
      <c r="E94" s="439">
        <v>60.93</v>
      </c>
      <c r="L94" s="113">
        <v>89</v>
      </c>
      <c r="M94" s="439">
        <v>66.72</v>
      </c>
      <c r="N94" s="439">
        <v>68.02</v>
      </c>
      <c r="O94" s="439">
        <v>69.19</v>
      </c>
      <c r="V94" s="113">
        <v>89</v>
      </c>
      <c r="W94" s="439">
        <v>72.099999999999994</v>
      </c>
      <c r="X94" s="439">
        <v>73.69</v>
      </c>
      <c r="Y94" s="439">
        <v>74.97</v>
      </c>
      <c r="AF94" s="113">
        <v>89</v>
      </c>
      <c r="AG94" s="439">
        <v>72.569999999999993</v>
      </c>
      <c r="AH94" s="439">
        <v>74.34</v>
      </c>
      <c r="AI94" s="439">
        <v>75.67</v>
      </c>
      <c r="AP94" s="113">
        <v>89</v>
      </c>
      <c r="AQ94" s="439">
        <v>73.349999999999994</v>
      </c>
      <c r="AR94" s="439">
        <v>75.25</v>
      </c>
      <c r="AS94" s="439">
        <v>76.599999999999994</v>
      </c>
      <c r="AZ94" s="113">
        <v>89</v>
      </c>
      <c r="BA94" s="439">
        <v>67.13</v>
      </c>
      <c r="BB94" s="439">
        <v>69.08</v>
      </c>
      <c r="BC94" s="439">
        <v>70.39</v>
      </c>
      <c r="BJ94" s="113">
        <v>89</v>
      </c>
      <c r="BK94" s="439">
        <v>65.959999999999994</v>
      </c>
      <c r="BL94" s="439">
        <v>67.98</v>
      </c>
      <c r="BM94" s="439">
        <v>69.260000000000005</v>
      </c>
      <c r="BT94" s="113">
        <v>89</v>
      </c>
      <c r="BU94" s="439">
        <v>62.96</v>
      </c>
      <c r="BV94" s="439">
        <v>65.02</v>
      </c>
      <c r="BW94" s="439">
        <v>66.260000000000005</v>
      </c>
      <c r="CD94" s="113">
        <v>89</v>
      </c>
      <c r="CE94" s="439">
        <v>61.57</v>
      </c>
      <c r="CF94" s="439">
        <v>63.66</v>
      </c>
      <c r="CG94" s="439">
        <v>64.88</v>
      </c>
      <c r="CN94" s="113">
        <v>89</v>
      </c>
      <c r="CO94" s="439">
        <v>60.31</v>
      </c>
      <c r="CP94" s="439">
        <v>62.41</v>
      </c>
      <c r="CQ94" s="439">
        <v>63.61</v>
      </c>
    </row>
    <row r="95" spans="2:95" x14ac:dyDescent="0.2">
      <c r="B95" s="113">
        <v>90</v>
      </c>
      <c r="C95" s="439">
        <v>58.4</v>
      </c>
      <c r="D95" s="439">
        <v>59.41</v>
      </c>
      <c r="E95" s="439">
        <v>60.43</v>
      </c>
      <c r="L95" s="113">
        <v>90</v>
      </c>
      <c r="M95" s="439">
        <v>66.040000000000006</v>
      </c>
      <c r="N95" s="439">
        <v>67.400000000000006</v>
      </c>
      <c r="O95" s="439">
        <v>68.59</v>
      </c>
      <c r="V95" s="113">
        <v>90</v>
      </c>
      <c r="W95" s="439">
        <v>71.069999999999993</v>
      </c>
      <c r="X95" s="439">
        <v>72.709999999999994</v>
      </c>
      <c r="Y95" s="439">
        <v>74.010000000000005</v>
      </c>
      <c r="AF95" s="113">
        <v>90</v>
      </c>
      <c r="AG95" s="439">
        <v>71.09</v>
      </c>
      <c r="AH95" s="439">
        <v>72.900000000000006</v>
      </c>
      <c r="AI95" s="439">
        <v>74.239999999999995</v>
      </c>
      <c r="AP95" s="113">
        <v>90</v>
      </c>
      <c r="AQ95" s="439">
        <v>71.45</v>
      </c>
      <c r="AR95" s="439">
        <v>73.400000000000006</v>
      </c>
      <c r="AS95" s="439">
        <v>74.75</v>
      </c>
      <c r="AZ95" s="113">
        <v>90</v>
      </c>
      <c r="BA95" s="439">
        <v>65.03</v>
      </c>
      <c r="BB95" s="439">
        <v>67.02</v>
      </c>
      <c r="BC95" s="439">
        <v>68.319999999999993</v>
      </c>
      <c r="BJ95" s="113">
        <v>90</v>
      </c>
      <c r="BK95" s="439">
        <v>63.7</v>
      </c>
      <c r="BL95" s="439">
        <v>65.75</v>
      </c>
      <c r="BM95" s="439">
        <v>67.02</v>
      </c>
      <c r="BT95" s="113">
        <v>90</v>
      </c>
      <c r="BU95" s="439">
        <v>60.67</v>
      </c>
      <c r="BV95" s="439">
        <v>62.74</v>
      </c>
      <c r="BW95" s="439">
        <v>63.980000000000004</v>
      </c>
      <c r="CD95" s="113">
        <v>90</v>
      </c>
      <c r="CE95" s="439">
        <v>59.28</v>
      </c>
      <c r="CF95" s="439">
        <v>61.37</v>
      </c>
      <c r="CG95" s="439">
        <v>62.59</v>
      </c>
      <c r="CN95" s="113">
        <v>90</v>
      </c>
      <c r="CO95" s="439">
        <v>58.04</v>
      </c>
      <c r="CP95" s="439">
        <v>60.15</v>
      </c>
      <c r="CQ95" s="439">
        <v>61.35</v>
      </c>
    </row>
    <row r="96" spans="2:95" x14ac:dyDescent="0.2">
      <c r="B96" s="113">
        <v>91</v>
      </c>
      <c r="C96" s="439">
        <v>57.78</v>
      </c>
      <c r="D96" s="439">
        <v>58.85</v>
      </c>
      <c r="E96" s="439">
        <v>59.89</v>
      </c>
      <c r="L96" s="113">
        <v>91</v>
      </c>
      <c r="M96" s="439">
        <v>65.28</v>
      </c>
      <c r="N96" s="439">
        <v>66.69</v>
      </c>
      <c r="O96" s="439">
        <v>67.91</v>
      </c>
      <c r="V96" s="113">
        <v>91</v>
      </c>
      <c r="W96" s="439">
        <v>69.92</v>
      </c>
      <c r="X96" s="439">
        <v>71.61</v>
      </c>
      <c r="Y96" s="439">
        <v>72.930000000000007</v>
      </c>
      <c r="AF96" s="113">
        <v>91</v>
      </c>
      <c r="AG96" s="439">
        <v>69.489999999999995</v>
      </c>
      <c r="AH96" s="439">
        <v>71.349999999999994</v>
      </c>
      <c r="AI96" s="439">
        <v>72.7</v>
      </c>
      <c r="AP96" s="113">
        <v>91</v>
      </c>
      <c r="AQ96" s="439">
        <v>69.47</v>
      </c>
      <c r="AR96" s="439">
        <v>71.45</v>
      </c>
      <c r="AS96" s="439">
        <v>72.8</v>
      </c>
      <c r="AZ96" s="113">
        <v>91</v>
      </c>
      <c r="BA96" s="439">
        <v>62.87</v>
      </c>
      <c r="BB96" s="439">
        <v>64.89</v>
      </c>
      <c r="BC96" s="439">
        <v>66.19</v>
      </c>
      <c r="BJ96" s="113">
        <v>91</v>
      </c>
      <c r="BK96" s="439">
        <v>61.41</v>
      </c>
      <c r="BL96" s="439">
        <v>63.480000000000004</v>
      </c>
      <c r="BM96" s="439">
        <v>64.75</v>
      </c>
      <c r="BT96" s="113">
        <v>91</v>
      </c>
      <c r="BU96" s="439">
        <v>58.37</v>
      </c>
      <c r="BV96" s="439">
        <v>60.46</v>
      </c>
      <c r="BW96" s="439">
        <v>61.69</v>
      </c>
      <c r="CD96" s="113">
        <v>91</v>
      </c>
      <c r="CE96" s="439">
        <v>56.99</v>
      </c>
      <c r="CF96" s="439">
        <v>59.1</v>
      </c>
      <c r="CG96" s="439">
        <v>60.31</v>
      </c>
      <c r="CN96" s="113">
        <v>91</v>
      </c>
      <c r="CO96" s="439">
        <v>55.8</v>
      </c>
      <c r="CP96" s="439">
        <v>57.92</v>
      </c>
      <c r="CQ96" s="439">
        <v>59.11</v>
      </c>
    </row>
    <row r="97" spans="2:95" x14ac:dyDescent="0.2">
      <c r="B97" s="113">
        <v>92</v>
      </c>
      <c r="C97" s="439">
        <v>57.11</v>
      </c>
      <c r="D97" s="439">
        <v>58.22</v>
      </c>
      <c r="E97" s="439">
        <v>59.29</v>
      </c>
      <c r="L97" s="113">
        <v>92</v>
      </c>
      <c r="M97" s="439">
        <v>64.430000000000007</v>
      </c>
      <c r="N97" s="439">
        <v>65.89</v>
      </c>
      <c r="O97" s="439">
        <v>67.14</v>
      </c>
      <c r="V97" s="113">
        <v>92</v>
      </c>
      <c r="W97" s="439">
        <v>68.66</v>
      </c>
      <c r="X97" s="439">
        <v>70.41</v>
      </c>
      <c r="Y97" s="439">
        <v>71.739999999999995</v>
      </c>
      <c r="AF97" s="113">
        <v>92</v>
      </c>
      <c r="AG97" s="439">
        <v>67.78</v>
      </c>
      <c r="AH97" s="439">
        <v>69.69</v>
      </c>
      <c r="AI97" s="439">
        <v>71.05</v>
      </c>
      <c r="AP97" s="113">
        <v>92</v>
      </c>
      <c r="AQ97" s="439">
        <v>67.39</v>
      </c>
      <c r="AR97" s="439">
        <v>69.41</v>
      </c>
      <c r="AS97" s="439">
        <v>70.760000000000005</v>
      </c>
      <c r="AZ97" s="113">
        <v>92</v>
      </c>
      <c r="BA97" s="439">
        <v>60.66</v>
      </c>
      <c r="BB97" s="439">
        <v>62.71</v>
      </c>
      <c r="BC97" s="439">
        <v>64</v>
      </c>
      <c r="BJ97" s="113">
        <v>92</v>
      </c>
      <c r="BK97" s="439">
        <v>59.1</v>
      </c>
      <c r="BL97" s="439">
        <v>61.19</v>
      </c>
      <c r="BM97" s="439">
        <v>62.46</v>
      </c>
      <c r="BT97" s="113">
        <v>92</v>
      </c>
      <c r="BU97" s="439">
        <v>56.07</v>
      </c>
      <c r="BV97" s="439">
        <v>58.18</v>
      </c>
      <c r="BW97" s="439">
        <v>59.41</v>
      </c>
      <c r="CD97" s="113">
        <v>92</v>
      </c>
      <c r="CE97" s="439">
        <v>54.72</v>
      </c>
      <c r="CF97" s="439">
        <v>56.84</v>
      </c>
      <c r="CG97" s="439">
        <v>58.05</v>
      </c>
      <c r="CN97" s="113">
        <v>92</v>
      </c>
      <c r="CO97" s="439">
        <v>53.47</v>
      </c>
      <c r="CP97" s="439">
        <v>55.6</v>
      </c>
      <c r="CQ97" s="439">
        <v>56.78</v>
      </c>
    </row>
    <row r="98" spans="2:95" x14ac:dyDescent="0.2">
      <c r="B98" s="113">
        <v>93</v>
      </c>
      <c r="C98" s="439">
        <v>56.38</v>
      </c>
      <c r="D98" s="439">
        <v>57.53</v>
      </c>
      <c r="E98" s="439">
        <v>58.63</v>
      </c>
      <c r="L98" s="113">
        <v>93</v>
      </c>
      <c r="M98" s="439">
        <v>63.480000000000004</v>
      </c>
      <c r="N98" s="439">
        <v>65</v>
      </c>
      <c r="O98" s="439">
        <v>66.27</v>
      </c>
      <c r="V98" s="113">
        <v>93</v>
      </c>
      <c r="W98" s="439">
        <v>67.28</v>
      </c>
      <c r="X98" s="439">
        <v>69.08</v>
      </c>
      <c r="Y98" s="439">
        <v>70.430000000000007</v>
      </c>
      <c r="AF98" s="113">
        <v>93</v>
      </c>
      <c r="AG98" s="439">
        <v>65.959999999999994</v>
      </c>
      <c r="AH98" s="439">
        <v>67.91</v>
      </c>
      <c r="AI98" s="439">
        <v>69.28</v>
      </c>
      <c r="AP98" s="113">
        <v>93</v>
      </c>
      <c r="AQ98" s="439">
        <v>65.23</v>
      </c>
      <c r="AR98" s="439">
        <v>67.290000000000006</v>
      </c>
      <c r="AS98" s="439">
        <v>68.64</v>
      </c>
      <c r="AZ98" s="113">
        <v>93</v>
      </c>
      <c r="BA98" s="439">
        <v>58.39</v>
      </c>
      <c r="BB98" s="439">
        <v>60.47</v>
      </c>
      <c r="BC98" s="439">
        <v>61.76</v>
      </c>
      <c r="BJ98" s="113">
        <v>93</v>
      </c>
      <c r="BK98" s="439">
        <v>56.76</v>
      </c>
      <c r="BL98" s="439">
        <v>58.89</v>
      </c>
      <c r="BM98" s="439">
        <v>60.14</v>
      </c>
      <c r="BT98" s="113">
        <v>93</v>
      </c>
      <c r="BU98" s="439">
        <v>53.76</v>
      </c>
      <c r="BV98" s="439">
        <v>55.9</v>
      </c>
      <c r="BW98" s="439">
        <v>57.12</v>
      </c>
      <c r="CD98" s="113">
        <v>93</v>
      </c>
      <c r="CE98" s="439">
        <v>52.45</v>
      </c>
      <c r="CF98" s="439">
        <v>54.6</v>
      </c>
      <c r="CG98" s="439">
        <v>55.8</v>
      </c>
      <c r="CN98" s="113">
        <v>93</v>
      </c>
      <c r="CO98" s="439">
        <v>51.14</v>
      </c>
      <c r="CP98" s="439">
        <v>53.28</v>
      </c>
      <c r="CQ98" s="439">
        <v>54.46</v>
      </c>
    </row>
    <row r="99" spans="2:95" x14ac:dyDescent="0.2">
      <c r="B99" s="113">
        <v>94</v>
      </c>
      <c r="C99" s="439">
        <v>55.57</v>
      </c>
      <c r="D99" s="439">
        <v>56.77</v>
      </c>
      <c r="E99" s="439">
        <v>57.9</v>
      </c>
      <c r="L99" s="113">
        <v>94</v>
      </c>
      <c r="M99" s="439">
        <v>62.42</v>
      </c>
      <c r="N99" s="439">
        <v>64.010000000000005</v>
      </c>
      <c r="O99" s="439">
        <v>65.3</v>
      </c>
      <c r="V99" s="113">
        <v>94</v>
      </c>
      <c r="W99" s="439">
        <v>65.77</v>
      </c>
      <c r="X99" s="439">
        <v>67.63</v>
      </c>
      <c r="Y99" s="439">
        <v>69</v>
      </c>
      <c r="AF99" s="113">
        <v>94</v>
      </c>
      <c r="AG99" s="439">
        <v>64.02</v>
      </c>
      <c r="AH99" s="439">
        <v>66.02</v>
      </c>
      <c r="AI99" s="439">
        <v>67.400000000000006</v>
      </c>
      <c r="AP99" s="113">
        <v>94</v>
      </c>
      <c r="AQ99" s="439">
        <v>62.99</v>
      </c>
      <c r="AR99" s="439">
        <v>65.09</v>
      </c>
      <c r="AS99" s="439">
        <v>66.45</v>
      </c>
      <c r="AZ99" s="113">
        <v>94</v>
      </c>
      <c r="BA99" s="439">
        <v>56.07</v>
      </c>
      <c r="BB99" s="439">
        <v>58.19</v>
      </c>
      <c r="BC99" s="439">
        <v>59.48</v>
      </c>
      <c r="BJ99" s="113">
        <v>94</v>
      </c>
      <c r="BK99" s="439">
        <v>54.4</v>
      </c>
      <c r="BL99" s="439">
        <v>56.55</v>
      </c>
      <c r="BM99" s="439">
        <v>57.81</v>
      </c>
      <c r="BT99" s="113">
        <v>94</v>
      </c>
      <c r="BU99" s="439">
        <v>51.45</v>
      </c>
      <c r="BV99" s="439">
        <v>53.61</v>
      </c>
      <c r="BW99" s="439">
        <v>54.83</v>
      </c>
      <c r="CD99" s="113">
        <v>94</v>
      </c>
      <c r="CE99" s="439">
        <v>50.05</v>
      </c>
      <c r="CF99" s="439">
        <v>52.2</v>
      </c>
      <c r="CG99" s="439">
        <v>53.41</v>
      </c>
      <c r="CN99" s="113">
        <v>94</v>
      </c>
      <c r="CO99" s="439">
        <v>48.82</v>
      </c>
      <c r="CP99" s="439">
        <v>50.97</v>
      </c>
      <c r="CQ99" s="439">
        <v>52.15</v>
      </c>
    </row>
    <row r="100" spans="2:95" x14ac:dyDescent="0.2">
      <c r="B100" s="113">
        <v>95</v>
      </c>
      <c r="C100" s="439">
        <v>54.67</v>
      </c>
      <c r="D100" s="439">
        <v>55.94</v>
      </c>
      <c r="E100" s="439">
        <v>57.09</v>
      </c>
      <c r="L100" s="113">
        <v>95</v>
      </c>
      <c r="M100" s="439">
        <v>61.25</v>
      </c>
      <c r="N100" s="439">
        <v>62.9</v>
      </c>
      <c r="O100" s="439">
        <v>64.22</v>
      </c>
      <c r="V100" s="113">
        <v>95</v>
      </c>
      <c r="W100" s="439">
        <v>64.13</v>
      </c>
      <c r="X100" s="439">
        <v>66.05</v>
      </c>
      <c r="Y100" s="439">
        <v>67.45</v>
      </c>
      <c r="AF100" s="113">
        <v>95</v>
      </c>
      <c r="AG100" s="439">
        <v>61.97</v>
      </c>
      <c r="AH100" s="439">
        <v>64.02</v>
      </c>
      <c r="AI100" s="439">
        <v>65.42</v>
      </c>
      <c r="AP100" s="113">
        <v>95</v>
      </c>
      <c r="AQ100" s="439">
        <v>60.67</v>
      </c>
      <c r="AR100" s="439">
        <v>62.8</v>
      </c>
      <c r="AS100" s="439">
        <v>64.17</v>
      </c>
      <c r="AZ100" s="113">
        <v>95</v>
      </c>
      <c r="BA100" s="439">
        <v>53.7</v>
      </c>
      <c r="BB100" s="439">
        <v>55.86</v>
      </c>
      <c r="BC100" s="439">
        <v>57.15</v>
      </c>
      <c r="BJ100" s="113">
        <v>95</v>
      </c>
      <c r="BK100" s="439">
        <v>52.02</v>
      </c>
      <c r="BL100" s="439">
        <v>54.2</v>
      </c>
      <c r="BM100" s="439">
        <v>55.45</v>
      </c>
      <c r="BT100" s="113">
        <v>95</v>
      </c>
      <c r="BU100" s="439">
        <v>49.12</v>
      </c>
      <c r="BV100" s="439">
        <v>51.3</v>
      </c>
      <c r="BW100" s="439">
        <v>52.53</v>
      </c>
      <c r="CD100" s="113">
        <v>95</v>
      </c>
      <c r="CE100" s="439">
        <v>47.62</v>
      </c>
      <c r="CF100" s="439">
        <v>49.79</v>
      </c>
      <c r="CG100" s="439">
        <v>50.99</v>
      </c>
      <c r="CN100" s="113">
        <v>95</v>
      </c>
      <c r="CO100" s="439">
        <v>46.48</v>
      </c>
      <c r="CP100" s="439">
        <v>48.65</v>
      </c>
      <c r="CQ100" s="439">
        <v>49.84</v>
      </c>
    </row>
    <row r="101" spans="2:95" x14ac:dyDescent="0.2">
      <c r="B101" s="113">
        <v>96</v>
      </c>
      <c r="C101" s="439">
        <v>53.69</v>
      </c>
      <c r="D101" s="439">
        <v>55.01</v>
      </c>
      <c r="E101" s="439">
        <v>56.19</v>
      </c>
      <c r="L101" s="113">
        <v>96</v>
      </c>
      <c r="M101" s="439">
        <v>59.96</v>
      </c>
      <c r="N101" s="439">
        <v>61.67</v>
      </c>
      <c r="O101" s="439">
        <v>63.019999999999996</v>
      </c>
      <c r="V101" s="113">
        <v>96</v>
      </c>
      <c r="W101" s="439">
        <v>62.36</v>
      </c>
      <c r="X101" s="439">
        <v>64.34</v>
      </c>
      <c r="Y101" s="439">
        <v>65.760000000000005</v>
      </c>
      <c r="AF101" s="113">
        <v>96</v>
      </c>
      <c r="AG101" s="439">
        <v>59.81</v>
      </c>
      <c r="AH101" s="439">
        <v>61.91</v>
      </c>
      <c r="AI101" s="439">
        <v>63.31</v>
      </c>
      <c r="AP101" s="113">
        <v>96</v>
      </c>
      <c r="AQ101" s="439">
        <v>58.26</v>
      </c>
      <c r="AR101" s="439">
        <v>60.45</v>
      </c>
      <c r="AS101" s="439">
        <v>61.81</v>
      </c>
      <c r="AZ101" s="113">
        <v>96</v>
      </c>
      <c r="BA101" s="439">
        <v>51.28</v>
      </c>
      <c r="BB101" s="439">
        <v>53.48</v>
      </c>
      <c r="BC101" s="439">
        <v>54.77</v>
      </c>
      <c r="BJ101" s="113">
        <v>96</v>
      </c>
      <c r="BK101" s="439">
        <v>49.6</v>
      </c>
      <c r="BL101" s="439">
        <v>51.81</v>
      </c>
      <c r="BM101" s="439">
        <v>53.08</v>
      </c>
      <c r="BT101" s="113">
        <v>96</v>
      </c>
      <c r="BU101" s="439">
        <v>46.58</v>
      </c>
      <c r="BV101" s="439">
        <v>48.79</v>
      </c>
      <c r="BW101" s="439">
        <v>50.01</v>
      </c>
      <c r="CD101" s="113">
        <v>96</v>
      </c>
      <c r="CE101" s="439">
        <v>45.17</v>
      </c>
      <c r="CF101" s="439">
        <v>47.37</v>
      </c>
      <c r="CG101" s="439">
        <v>48.57</v>
      </c>
      <c r="CN101" s="113">
        <v>96</v>
      </c>
      <c r="CO101" s="439">
        <v>44.13</v>
      </c>
      <c r="CP101" s="439">
        <v>46.31</v>
      </c>
      <c r="CQ101" s="439">
        <v>47.5</v>
      </c>
    </row>
    <row r="102" spans="2:95" x14ac:dyDescent="0.2">
      <c r="B102" s="113">
        <v>97</v>
      </c>
      <c r="C102" s="439">
        <v>52.6</v>
      </c>
      <c r="D102" s="439">
        <v>53.99</v>
      </c>
      <c r="E102" s="439">
        <v>55.19</v>
      </c>
      <c r="L102" s="113">
        <v>97</v>
      </c>
      <c r="M102" s="439">
        <v>58.53</v>
      </c>
      <c r="N102" s="439">
        <v>60.31</v>
      </c>
      <c r="O102" s="439">
        <v>61.69</v>
      </c>
      <c r="V102" s="113">
        <v>97</v>
      </c>
      <c r="W102" s="439">
        <v>60.44</v>
      </c>
      <c r="X102" s="439">
        <v>62.49</v>
      </c>
      <c r="Y102" s="439">
        <v>63.930000000000007</v>
      </c>
      <c r="AF102" s="113">
        <v>97</v>
      </c>
      <c r="AG102" s="439">
        <v>57.52</v>
      </c>
      <c r="AH102" s="439">
        <v>59.69</v>
      </c>
      <c r="AI102" s="439">
        <v>61.09</v>
      </c>
      <c r="AP102" s="113">
        <v>97</v>
      </c>
      <c r="AQ102" s="439">
        <v>55.78</v>
      </c>
      <c r="AR102" s="439">
        <v>58.01</v>
      </c>
      <c r="AS102" s="439">
        <v>59.38</v>
      </c>
      <c r="AZ102" s="113">
        <v>97</v>
      </c>
      <c r="BA102" s="439">
        <v>48.81</v>
      </c>
      <c r="BB102" s="439">
        <v>51.04</v>
      </c>
      <c r="BC102" s="439">
        <v>52.34</v>
      </c>
      <c r="BJ102" s="113">
        <v>97</v>
      </c>
      <c r="BK102" s="439">
        <v>47.15</v>
      </c>
      <c r="BL102" s="439">
        <v>49.4</v>
      </c>
      <c r="BM102" s="439">
        <v>50.66</v>
      </c>
      <c r="BT102" s="113">
        <v>97</v>
      </c>
      <c r="BU102" s="439">
        <v>43.99</v>
      </c>
      <c r="BV102" s="439">
        <v>46.21</v>
      </c>
      <c r="BW102" s="439">
        <v>47.44</v>
      </c>
      <c r="CD102" s="113">
        <v>97</v>
      </c>
      <c r="CE102" s="439">
        <v>42.68</v>
      </c>
      <c r="CF102" s="439">
        <v>44.9</v>
      </c>
      <c r="CG102" s="439">
        <v>46.1</v>
      </c>
      <c r="CN102" s="113">
        <v>97</v>
      </c>
      <c r="CO102" s="439">
        <v>41.72</v>
      </c>
      <c r="CP102" s="439">
        <v>43.93</v>
      </c>
      <c r="CQ102" s="439">
        <v>45.12</v>
      </c>
    </row>
    <row r="103" spans="2:95" x14ac:dyDescent="0.2">
      <c r="B103" s="113">
        <v>98</v>
      </c>
      <c r="C103" s="439">
        <v>51.38</v>
      </c>
      <c r="D103" s="439">
        <v>52.84</v>
      </c>
      <c r="E103" s="439">
        <v>54.08</v>
      </c>
      <c r="L103" s="113">
        <v>98</v>
      </c>
      <c r="M103" s="439">
        <v>56.94</v>
      </c>
      <c r="N103" s="439">
        <v>58.81</v>
      </c>
      <c r="O103" s="439">
        <v>60.22</v>
      </c>
      <c r="V103" s="113">
        <v>98</v>
      </c>
      <c r="W103" s="439">
        <v>58.37</v>
      </c>
      <c r="X103" s="439">
        <v>60.49</v>
      </c>
      <c r="Y103" s="439">
        <v>61.94</v>
      </c>
      <c r="AF103" s="113">
        <v>98</v>
      </c>
      <c r="AG103" s="439">
        <v>55.11</v>
      </c>
      <c r="AH103" s="439">
        <v>57.34</v>
      </c>
      <c r="AI103" s="439">
        <v>58.76</v>
      </c>
      <c r="AP103" s="113">
        <v>98</v>
      </c>
      <c r="AQ103" s="439">
        <v>53.2</v>
      </c>
      <c r="AR103" s="439">
        <v>55.49</v>
      </c>
      <c r="AS103" s="439">
        <v>56.86</v>
      </c>
      <c r="AZ103" s="113">
        <v>98</v>
      </c>
      <c r="BA103" s="439">
        <v>46.26</v>
      </c>
      <c r="BB103" s="439">
        <v>48.55</v>
      </c>
      <c r="BC103" s="439">
        <v>49.85</v>
      </c>
      <c r="BJ103" s="113">
        <v>98</v>
      </c>
      <c r="BK103" s="439">
        <v>44.36</v>
      </c>
      <c r="BL103" s="439">
        <v>46.64</v>
      </c>
      <c r="BM103" s="439">
        <v>47.91</v>
      </c>
      <c r="BT103" s="113">
        <v>98</v>
      </c>
      <c r="BU103" s="439">
        <v>41.32</v>
      </c>
      <c r="BV103" s="439">
        <v>43.58</v>
      </c>
      <c r="BW103" s="439">
        <v>44.81</v>
      </c>
      <c r="CD103" s="113">
        <v>98</v>
      </c>
      <c r="CE103" s="439">
        <v>40.119999999999997</v>
      </c>
      <c r="CF103" s="439">
        <v>42.36</v>
      </c>
      <c r="CG103" s="439">
        <v>43.57</v>
      </c>
      <c r="CN103" s="113">
        <v>98</v>
      </c>
      <c r="CO103" s="439">
        <v>39.24</v>
      </c>
      <c r="CP103" s="439">
        <v>41.47</v>
      </c>
      <c r="CQ103" s="439">
        <v>42.67</v>
      </c>
    </row>
    <row r="104" spans="2:95" x14ac:dyDescent="0.2">
      <c r="B104" s="113">
        <v>99</v>
      </c>
      <c r="C104" s="439">
        <v>50.02</v>
      </c>
      <c r="D104" s="439">
        <v>51.56</v>
      </c>
      <c r="E104" s="439">
        <v>52.84</v>
      </c>
      <c r="L104" s="113">
        <v>99</v>
      </c>
      <c r="M104" s="439">
        <v>55.18</v>
      </c>
      <c r="N104" s="439">
        <v>57.13</v>
      </c>
      <c r="O104" s="439">
        <v>58.58</v>
      </c>
      <c r="V104" s="113">
        <v>99</v>
      </c>
      <c r="W104" s="439">
        <v>56.13</v>
      </c>
      <c r="X104" s="439">
        <v>58.32</v>
      </c>
      <c r="Y104" s="439">
        <v>59.8</v>
      </c>
      <c r="AF104" s="113">
        <v>99</v>
      </c>
      <c r="AG104" s="439">
        <v>52.56</v>
      </c>
      <c r="AH104" s="439">
        <v>54.85</v>
      </c>
      <c r="AI104" s="439">
        <v>56.28</v>
      </c>
      <c r="AP104" s="113">
        <v>99</v>
      </c>
      <c r="AQ104" s="439">
        <v>50.52</v>
      </c>
      <c r="AR104" s="439">
        <v>52.86</v>
      </c>
      <c r="AS104" s="439">
        <v>54.25</v>
      </c>
      <c r="AZ104" s="113">
        <v>99</v>
      </c>
      <c r="BA104" s="439">
        <v>43.62</v>
      </c>
      <c r="BB104" s="439">
        <v>45.96</v>
      </c>
      <c r="BC104" s="439">
        <v>47.28</v>
      </c>
      <c r="BJ104" s="113">
        <v>99</v>
      </c>
      <c r="BK104" s="439">
        <v>41.45</v>
      </c>
      <c r="BL104" s="439">
        <v>43.76</v>
      </c>
      <c r="BM104" s="439">
        <v>45.03</v>
      </c>
      <c r="BT104" s="113">
        <v>99</v>
      </c>
      <c r="BU104" s="439">
        <v>38.56</v>
      </c>
      <c r="BV104" s="439">
        <v>40.840000000000003</v>
      </c>
      <c r="BW104" s="439">
        <v>42.09</v>
      </c>
      <c r="CD104" s="113">
        <v>99</v>
      </c>
      <c r="CE104" s="439">
        <v>37.450000000000003</v>
      </c>
      <c r="CF104" s="439">
        <v>39.72</v>
      </c>
      <c r="CG104" s="439">
        <v>40.950000000000003</v>
      </c>
      <c r="CN104" s="113">
        <v>99</v>
      </c>
      <c r="CO104" s="439">
        <v>36.64</v>
      </c>
      <c r="CP104" s="439">
        <v>38.9</v>
      </c>
      <c r="CQ104" s="439">
        <v>40.11</v>
      </c>
    </row>
    <row r="105" spans="2:95" x14ac:dyDescent="0.2">
      <c r="B105" s="113">
        <v>100</v>
      </c>
      <c r="C105" s="439">
        <v>48.49</v>
      </c>
      <c r="D105" s="439">
        <v>50.12</v>
      </c>
      <c r="E105" s="439">
        <v>51.42</v>
      </c>
      <c r="L105" s="113">
        <v>100</v>
      </c>
      <c r="M105" s="439">
        <v>53.22</v>
      </c>
      <c r="N105" s="439">
        <v>55.26</v>
      </c>
      <c r="O105" s="439">
        <v>56.74</v>
      </c>
      <c r="V105" s="113">
        <v>100</v>
      </c>
      <c r="W105" s="439">
        <v>53.7</v>
      </c>
      <c r="X105" s="439">
        <v>55.97</v>
      </c>
      <c r="Y105" s="439">
        <v>57.47</v>
      </c>
      <c r="AF105" s="113">
        <v>100</v>
      </c>
      <c r="AG105" s="439">
        <v>49.84</v>
      </c>
      <c r="AH105" s="439">
        <v>52.22</v>
      </c>
      <c r="AI105" s="439">
        <v>53.66</v>
      </c>
      <c r="AP105" s="113">
        <v>100</v>
      </c>
      <c r="AQ105" s="439">
        <v>47.71</v>
      </c>
      <c r="AR105" s="439">
        <v>50.12</v>
      </c>
      <c r="AS105" s="439">
        <v>51.51</v>
      </c>
      <c r="AZ105" s="113">
        <v>100</v>
      </c>
      <c r="BA105" s="439">
        <v>40.44</v>
      </c>
      <c r="BB105" s="439">
        <v>42.83</v>
      </c>
      <c r="BC105" s="439">
        <v>44.16</v>
      </c>
      <c r="BJ105" s="113">
        <v>100</v>
      </c>
      <c r="BK105" s="439">
        <v>38.39</v>
      </c>
      <c r="BL105" s="439">
        <v>40.74</v>
      </c>
      <c r="BM105" s="439">
        <v>42.02</v>
      </c>
      <c r="BT105" s="113">
        <v>100</v>
      </c>
      <c r="BU105" s="439">
        <v>35.64</v>
      </c>
      <c r="BV105" s="439">
        <v>37.97</v>
      </c>
      <c r="BW105" s="439">
        <v>39.22</v>
      </c>
      <c r="CD105" s="113">
        <v>100</v>
      </c>
      <c r="CE105" s="439">
        <v>34.630000000000003</v>
      </c>
      <c r="CF105" s="439">
        <v>36.94</v>
      </c>
      <c r="CG105" s="439">
        <v>38.17</v>
      </c>
      <c r="CN105" s="113">
        <v>100</v>
      </c>
      <c r="CO105" s="439">
        <v>33.880000000000003</v>
      </c>
      <c r="CP105" s="439">
        <v>36.18</v>
      </c>
      <c r="CQ105" s="439">
        <v>37.39</v>
      </c>
    </row>
  </sheetData>
  <mergeCells count="10">
    <mergeCell ref="BJ3:BR3"/>
    <mergeCell ref="BT3:CB3"/>
    <mergeCell ref="CD3:CL3"/>
    <mergeCell ref="CN3:CV3"/>
    <mergeCell ref="B3:J3"/>
    <mergeCell ref="L3:T3"/>
    <mergeCell ref="V3:AD3"/>
    <mergeCell ref="AF3:AN3"/>
    <mergeCell ref="AP3:AX3"/>
    <mergeCell ref="AZ3:BH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tint="0.39997558519241921"/>
  </sheetPr>
  <dimension ref="B1:J105"/>
  <sheetViews>
    <sheetView workbookViewId="0">
      <selection activeCell="B5" sqref="B5:E105"/>
    </sheetView>
  </sheetViews>
  <sheetFormatPr defaultColWidth="9.140625" defaultRowHeight="12.75" x14ac:dyDescent="0.2"/>
  <cols>
    <col min="1" max="1" width="9.140625" style="426"/>
    <col min="2" max="2" width="10" style="452" bestFit="1" customWidth="1"/>
    <col min="3" max="3" width="13" style="452" customWidth="1"/>
    <col min="4" max="4" width="12.5703125" style="452" customWidth="1"/>
    <col min="5" max="5" width="9.42578125" style="452" customWidth="1"/>
    <col min="6" max="6" width="3.140625" style="426" customWidth="1"/>
    <col min="7" max="7" width="8.85546875" style="426" customWidth="1"/>
    <col min="8" max="8" width="11.42578125" style="426" customWidth="1"/>
    <col min="9" max="9" width="13.85546875" style="426" customWidth="1"/>
    <col min="10" max="10" width="14.42578125" style="426" customWidth="1"/>
    <col min="11" max="11" width="11.42578125" style="426" bestFit="1" customWidth="1"/>
    <col min="12" max="16384" width="9.140625" style="426"/>
  </cols>
  <sheetData>
    <row r="1" spans="2:10" x14ac:dyDescent="0.2">
      <c r="J1" s="437" t="s">
        <v>151</v>
      </c>
    </row>
    <row r="2" spans="2:10" ht="20.25" customHeight="1" x14ac:dyDescent="0.2">
      <c r="B2" s="453">
        <f>SUM(C5:E105)</f>
        <v>30794.929999999997</v>
      </c>
      <c r="C2" s="426">
        <v>30661.735083311407</v>
      </c>
      <c r="D2" s="454">
        <f>C2-B2</f>
        <v>-133.19491668858973</v>
      </c>
      <c r="E2" s="426"/>
    </row>
    <row r="3" spans="2:10" ht="27" customHeight="1" x14ac:dyDescent="0.2">
      <c r="B3" s="762" t="s">
        <v>152</v>
      </c>
      <c r="C3" s="763"/>
      <c r="D3" s="763"/>
      <c r="E3" s="763"/>
      <c r="F3" s="764"/>
      <c r="G3" s="764"/>
      <c r="H3" s="764"/>
      <c r="I3" s="764"/>
      <c r="J3" s="764"/>
    </row>
    <row r="4" spans="2:10" ht="25.5" x14ac:dyDescent="0.2">
      <c r="B4" s="109" t="s">
        <v>1</v>
      </c>
      <c r="C4" s="109" t="s">
        <v>153</v>
      </c>
      <c r="D4" s="110" t="s">
        <v>154</v>
      </c>
      <c r="E4" s="110" t="s">
        <v>155</v>
      </c>
      <c r="F4" s="429"/>
    </row>
    <row r="5" spans="2:10" x14ac:dyDescent="0.2">
      <c r="B5" s="455">
        <v>0</v>
      </c>
      <c r="C5" s="320">
        <v>56.25</v>
      </c>
      <c r="D5" s="320">
        <v>56.43</v>
      </c>
      <c r="E5" s="320">
        <v>56.86</v>
      </c>
      <c r="G5" s="456"/>
      <c r="H5" s="456"/>
      <c r="I5" s="456"/>
    </row>
    <row r="6" spans="2:10" x14ac:dyDescent="0.2">
      <c r="B6" s="455">
        <v>1</v>
      </c>
      <c r="C6" s="320">
        <v>56.3</v>
      </c>
      <c r="D6" s="320">
        <v>56.49</v>
      </c>
      <c r="E6" s="320">
        <v>56.91</v>
      </c>
      <c r="G6" s="456"/>
      <c r="H6" s="456"/>
      <c r="I6" s="456"/>
    </row>
    <row r="7" spans="2:10" x14ac:dyDescent="0.2">
      <c r="B7" s="455">
        <v>2</v>
      </c>
      <c r="C7" s="320">
        <v>56.35</v>
      </c>
      <c r="D7" s="320">
        <v>56.54</v>
      </c>
      <c r="E7" s="320">
        <v>56.97</v>
      </c>
      <c r="G7" s="456"/>
      <c r="H7" s="456"/>
      <c r="I7" s="456"/>
    </row>
    <row r="8" spans="2:10" x14ac:dyDescent="0.2">
      <c r="B8" s="455">
        <v>3</v>
      </c>
      <c r="C8" s="320">
        <v>56.41</v>
      </c>
      <c r="D8" s="320">
        <v>56.6</v>
      </c>
      <c r="E8" s="320">
        <v>57.03</v>
      </c>
      <c r="G8" s="456"/>
      <c r="H8" s="456"/>
      <c r="I8" s="456"/>
    </row>
    <row r="9" spans="2:10" x14ac:dyDescent="0.2">
      <c r="B9" s="455">
        <v>4</v>
      </c>
      <c r="C9" s="320">
        <v>56.47</v>
      </c>
      <c r="D9" s="320">
        <v>56.66</v>
      </c>
      <c r="E9" s="320">
        <v>57.09</v>
      </c>
      <c r="G9" s="456"/>
      <c r="H9" s="456"/>
      <c r="I9" s="456"/>
    </row>
    <row r="10" spans="2:10" x14ac:dyDescent="0.2">
      <c r="B10" s="455">
        <v>5</v>
      </c>
      <c r="C10" s="320">
        <v>56.54</v>
      </c>
      <c r="D10" s="320">
        <v>56.73</v>
      </c>
      <c r="E10" s="320">
        <v>57.16</v>
      </c>
      <c r="G10" s="456"/>
      <c r="H10" s="456"/>
      <c r="I10" s="456"/>
    </row>
    <row r="11" spans="2:10" x14ac:dyDescent="0.2">
      <c r="B11" s="455">
        <v>6</v>
      </c>
      <c r="C11" s="320">
        <v>56.6</v>
      </c>
      <c r="D11" s="320">
        <v>56.79</v>
      </c>
      <c r="E11" s="320">
        <v>57.22</v>
      </c>
      <c r="G11" s="456"/>
      <c r="H11" s="456"/>
      <c r="I11" s="456"/>
    </row>
    <row r="12" spans="2:10" x14ac:dyDescent="0.2">
      <c r="B12" s="455">
        <v>7</v>
      </c>
      <c r="C12" s="320">
        <v>56.67</v>
      </c>
      <c r="D12" s="320">
        <v>56.86</v>
      </c>
      <c r="E12" s="320">
        <v>57.29</v>
      </c>
      <c r="G12" s="456"/>
      <c r="H12" s="456"/>
      <c r="I12" s="456"/>
    </row>
    <row r="13" spans="2:10" x14ac:dyDescent="0.2">
      <c r="B13" s="455">
        <v>8</v>
      </c>
      <c r="C13" s="320">
        <v>56.75</v>
      </c>
      <c r="D13" s="320">
        <v>56.94</v>
      </c>
      <c r="E13" s="320">
        <v>57.37</v>
      </c>
      <c r="G13" s="456"/>
      <c r="H13" s="456"/>
      <c r="I13" s="456"/>
    </row>
    <row r="14" spans="2:10" x14ac:dyDescent="0.2">
      <c r="B14" s="455">
        <v>9</v>
      </c>
      <c r="C14" s="320">
        <v>56.82</v>
      </c>
      <c r="D14" s="320">
        <v>57.01</v>
      </c>
      <c r="E14" s="320">
        <v>57.45</v>
      </c>
      <c r="G14" s="456"/>
      <c r="H14" s="456"/>
      <c r="I14" s="456"/>
    </row>
    <row r="15" spans="2:10" x14ac:dyDescent="0.2">
      <c r="B15" s="455">
        <v>10</v>
      </c>
      <c r="C15" s="320">
        <v>56.9</v>
      </c>
      <c r="D15" s="320">
        <v>57.1</v>
      </c>
      <c r="E15" s="320">
        <v>57.53</v>
      </c>
      <c r="G15" s="456"/>
      <c r="H15" s="456"/>
      <c r="I15" s="456"/>
    </row>
    <row r="16" spans="2:10" x14ac:dyDescent="0.2">
      <c r="B16" s="455">
        <v>11</v>
      </c>
      <c r="C16" s="320">
        <v>56.99</v>
      </c>
      <c r="D16" s="320">
        <v>57.18</v>
      </c>
      <c r="E16" s="320">
        <v>57.62</v>
      </c>
      <c r="G16" s="456"/>
      <c r="H16" s="456"/>
      <c r="I16" s="456"/>
    </row>
    <row r="17" spans="2:9" x14ac:dyDescent="0.2">
      <c r="B17" s="455">
        <v>12</v>
      </c>
      <c r="C17" s="320">
        <v>57.08</v>
      </c>
      <c r="D17" s="320">
        <v>57.27</v>
      </c>
      <c r="E17" s="320">
        <v>57.71</v>
      </c>
      <c r="G17" s="456"/>
      <c r="H17" s="456"/>
      <c r="I17" s="456"/>
    </row>
    <row r="18" spans="2:9" x14ac:dyDescent="0.2">
      <c r="B18" s="455">
        <v>13</v>
      </c>
      <c r="C18" s="320">
        <v>57.17</v>
      </c>
      <c r="D18" s="320">
        <v>57.36</v>
      </c>
      <c r="E18" s="320">
        <v>57.8</v>
      </c>
      <c r="G18" s="456"/>
      <c r="H18" s="456"/>
      <c r="I18" s="456"/>
    </row>
    <row r="19" spans="2:9" x14ac:dyDescent="0.2">
      <c r="B19" s="455">
        <v>14</v>
      </c>
      <c r="C19" s="320">
        <v>57.27</v>
      </c>
      <c r="D19" s="320">
        <v>57.46</v>
      </c>
      <c r="E19" s="320">
        <v>57.9</v>
      </c>
      <c r="G19" s="456"/>
      <c r="H19" s="456"/>
      <c r="I19" s="456"/>
    </row>
    <row r="20" spans="2:9" x14ac:dyDescent="0.2">
      <c r="B20" s="455">
        <v>15</v>
      </c>
      <c r="C20" s="320">
        <v>57.37</v>
      </c>
      <c r="D20" s="320">
        <v>57.57</v>
      </c>
      <c r="E20" s="320">
        <v>58.01</v>
      </c>
      <c r="G20" s="456"/>
      <c r="H20" s="456"/>
      <c r="I20" s="456"/>
    </row>
    <row r="21" spans="2:9" x14ac:dyDescent="0.2">
      <c r="B21" s="455">
        <v>16</v>
      </c>
      <c r="C21" s="320">
        <v>57.48</v>
      </c>
      <c r="D21" s="320">
        <v>57.68</v>
      </c>
      <c r="E21" s="320">
        <v>58.12</v>
      </c>
      <c r="G21" s="456"/>
      <c r="H21" s="456"/>
      <c r="I21" s="456"/>
    </row>
    <row r="22" spans="2:9" x14ac:dyDescent="0.2">
      <c r="B22" s="455">
        <v>17</v>
      </c>
      <c r="C22" s="320">
        <v>57.6</v>
      </c>
      <c r="D22" s="320">
        <v>57.79</v>
      </c>
      <c r="E22" s="320">
        <v>58.24</v>
      </c>
      <c r="G22" s="456"/>
      <c r="H22" s="456"/>
      <c r="I22" s="456"/>
    </row>
    <row r="23" spans="2:9" x14ac:dyDescent="0.2">
      <c r="B23" s="455">
        <v>18</v>
      </c>
      <c r="C23" s="320">
        <v>57.72</v>
      </c>
      <c r="D23" s="320">
        <v>57.91</v>
      </c>
      <c r="E23" s="320">
        <v>58.36</v>
      </c>
      <c r="G23" s="456"/>
      <c r="H23" s="456"/>
      <c r="I23" s="456"/>
    </row>
    <row r="24" spans="2:9" x14ac:dyDescent="0.2">
      <c r="B24" s="455">
        <v>19</v>
      </c>
      <c r="C24" s="320">
        <v>57.85</v>
      </c>
      <c r="D24" s="320">
        <v>58.04</v>
      </c>
      <c r="E24" s="320">
        <v>58.49</v>
      </c>
      <c r="G24" s="456"/>
      <c r="H24" s="456"/>
      <c r="I24" s="456"/>
    </row>
    <row r="25" spans="2:9" x14ac:dyDescent="0.2">
      <c r="B25" s="455">
        <v>20</v>
      </c>
      <c r="C25" s="320">
        <v>57.98</v>
      </c>
      <c r="D25" s="320">
        <v>58.18</v>
      </c>
      <c r="E25" s="320">
        <v>58.63</v>
      </c>
      <c r="G25" s="456"/>
      <c r="H25" s="456"/>
      <c r="I25" s="456"/>
    </row>
    <row r="26" spans="2:9" x14ac:dyDescent="0.2">
      <c r="B26" s="455">
        <v>21</v>
      </c>
      <c r="C26" s="320">
        <v>58.12</v>
      </c>
      <c r="D26" s="320">
        <v>58.32</v>
      </c>
      <c r="E26" s="320">
        <v>58.77</v>
      </c>
      <c r="G26" s="456"/>
      <c r="H26" s="456"/>
      <c r="I26" s="456"/>
    </row>
    <row r="27" spans="2:9" x14ac:dyDescent="0.2">
      <c r="B27" s="455">
        <v>22</v>
      </c>
      <c r="C27" s="320">
        <v>58.27</v>
      </c>
      <c r="D27" s="320">
        <v>58.47</v>
      </c>
      <c r="E27" s="320">
        <v>58.92</v>
      </c>
      <c r="G27" s="456"/>
      <c r="H27" s="456"/>
      <c r="I27" s="456"/>
    </row>
    <row r="28" spans="2:9" x14ac:dyDescent="0.2">
      <c r="B28" s="455">
        <v>23</v>
      </c>
      <c r="C28" s="320">
        <v>58.42</v>
      </c>
      <c r="D28" s="320">
        <v>58.62</v>
      </c>
      <c r="E28" s="320">
        <v>59.08</v>
      </c>
      <c r="G28" s="456"/>
      <c r="H28" s="456"/>
      <c r="I28" s="456"/>
    </row>
    <row r="29" spans="2:9" x14ac:dyDescent="0.2">
      <c r="B29" s="455">
        <v>24</v>
      </c>
      <c r="C29" s="320">
        <v>58.58</v>
      </c>
      <c r="D29" s="320">
        <v>58.78</v>
      </c>
      <c r="E29" s="320">
        <v>59.24</v>
      </c>
      <c r="G29" s="456"/>
      <c r="H29" s="456"/>
      <c r="I29" s="456"/>
    </row>
    <row r="30" spans="2:9" x14ac:dyDescent="0.2">
      <c r="B30" s="455">
        <v>25</v>
      </c>
      <c r="C30" s="320">
        <v>58.75</v>
      </c>
      <c r="D30" s="320">
        <v>58.95</v>
      </c>
      <c r="E30" s="320">
        <v>59.42</v>
      </c>
      <c r="G30" s="456"/>
      <c r="H30" s="456"/>
      <c r="I30" s="456"/>
    </row>
    <row r="31" spans="2:9" x14ac:dyDescent="0.2">
      <c r="B31" s="455">
        <v>26</v>
      </c>
      <c r="C31" s="320">
        <v>58.93</v>
      </c>
      <c r="D31" s="320">
        <v>59.13</v>
      </c>
      <c r="E31" s="320">
        <v>59.6</v>
      </c>
      <c r="G31" s="456"/>
      <c r="H31" s="456"/>
      <c r="I31" s="456"/>
    </row>
    <row r="32" spans="2:9" x14ac:dyDescent="0.2">
      <c r="B32" s="455">
        <v>27</v>
      </c>
      <c r="C32" s="320">
        <v>59.12</v>
      </c>
      <c r="D32" s="320">
        <v>59.32</v>
      </c>
      <c r="E32" s="320">
        <v>59.79</v>
      </c>
      <c r="G32" s="456"/>
      <c r="H32" s="456"/>
      <c r="I32" s="456"/>
    </row>
    <row r="33" spans="2:9" x14ac:dyDescent="0.2">
      <c r="B33" s="455">
        <v>28</v>
      </c>
      <c r="C33" s="320">
        <v>59.32</v>
      </c>
      <c r="D33" s="320">
        <v>59.52</v>
      </c>
      <c r="E33" s="320">
        <v>59.99</v>
      </c>
      <c r="G33" s="456"/>
      <c r="H33" s="456"/>
      <c r="I33" s="456"/>
    </row>
    <row r="34" spans="2:9" x14ac:dyDescent="0.2">
      <c r="B34" s="455">
        <v>29</v>
      </c>
      <c r="C34" s="320">
        <v>59.52</v>
      </c>
      <c r="D34" s="320">
        <v>59.73</v>
      </c>
      <c r="E34" s="320">
        <v>60.2</v>
      </c>
      <c r="G34" s="456"/>
      <c r="H34" s="456"/>
      <c r="I34" s="456"/>
    </row>
    <row r="35" spans="2:9" x14ac:dyDescent="0.2">
      <c r="B35" s="455">
        <v>30</v>
      </c>
      <c r="C35" s="320">
        <v>59.74</v>
      </c>
      <c r="D35" s="320">
        <v>59.95</v>
      </c>
      <c r="E35" s="320">
        <v>60.43</v>
      </c>
      <c r="G35" s="456"/>
      <c r="H35" s="456"/>
      <c r="I35" s="456"/>
    </row>
    <row r="36" spans="2:9" x14ac:dyDescent="0.2">
      <c r="B36" s="455">
        <v>31</v>
      </c>
      <c r="C36" s="320">
        <v>59.98</v>
      </c>
      <c r="D36" s="320">
        <v>60.19</v>
      </c>
      <c r="E36" s="320">
        <v>60.67</v>
      </c>
      <c r="G36" s="456"/>
      <c r="H36" s="456"/>
      <c r="I36" s="456"/>
    </row>
    <row r="37" spans="2:9" x14ac:dyDescent="0.2">
      <c r="B37" s="455">
        <v>32</v>
      </c>
      <c r="C37" s="320">
        <v>60.23</v>
      </c>
      <c r="D37" s="320">
        <v>60.44</v>
      </c>
      <c r="E37" s="320">
        <v>60.92</v>
      </c>
      <c r="G37" s="456"/>
      <c r="H37" s="456"/>
      <c r="I37" s="456"/>
    </row>
    <row r="38" spans="2:9" x14ac:dyDescent="0.2">
      <c r="B38" s="455">
        <v>33</v>
      </c>
      <c r="C38" s="320">
        <v>60.49</v>
      </c>
      <c r="D38" s="320">
        <v>60.7</v>
      </c>
      <c r="E38" s="320">
        <v>61.19</v>
      </c>
      <c r="G38" s="456"/>
      <c r="H38" s="456"/>
      <c r="I38" s="456"/>
    </row>
    <row r="39" spans="2:9" x14ac:dyDescent="0.2">
      <c r="B39" s="455">
        <v>34</v>
      </c>
      <c r="C39" s="320">
        <v>60.77</v>
      </c>
      <c r="D39" s="320">
        <v>60.99</v>
      </c>
      <c r="E39" s="320">
        <v>61.48</v>
      </c>
      <c r="G39" s="456"/>
      <c r="H39" s="456"/>
      <c r="I39" s="456"/>
    </row>
    <row r="40" spans="2:9" x14ac:dyDescent="0.2">
      <c r="B40" s="455">
        <v>35</v>
      </c>
      <c r="C40" s="320">
        <v>61.07</v>
      </c>
      <c r="D40" s="320">
        <v>61.29</v>
      </c>
      <c r="E40" s="320">
        <v>61.78</v>
      </c>
      <c r="G40" s="456"/>
      <c r="H40" s="456"/>
      <c r="I40" s="456"/>
    </row>
    <row r="41" spans="2:9" x14ac:dyDescent="0.2">
      <c r="B41" s="455">
        <v>36</v>
      </c>
      <c r="C41" s="320">
        <v>61.39</v>
      </c>
      <c r="D41" s="320">
        <v>61.6</v>
      </c>
      <c r="E41" s="320">
        <v>62.1</v>
      </c>
      <c r="G41" s="456"/>
      <c r="H41" s="456"/>
      <c r="I41" s="456"/>
    </row>
    <row r="42" spans="2:9" x14ac:dyDescent="0.2">
      <c r="B42" s="455">
        <v>37</v>
      </c>
      <c r="C42" s="320">
        <v>61.72</v>
      </c>
      <c r="D42" s="320">
        <v>61.94</v>
      </c>
      <c r="E42" s="320">
        <v>62.44</v>
      </c>
      <c r="G42" s="456"/>
      <c r="H42" s="456"/>
      <c r="I42" s="456"/>
    </row>
    <row r="43" spans="2:9" x14ac:dyDescent="0.2">
      <c r="B43" s="455">
        <v>38</v>
      </c>
      <c r="C43" s="320">
        <v>62.07</v>
      </c>
      <c r="D43" s="320">
        <v>62.3</v>
      </c>
      <c r="E43" s="320">
        <v>62.8</v>
      </c>
      <c r="G43" s="456"/>
      <c r="H43" s="456"/>
      <c r="I43" s="456"/>
    </row>
    <row r="44" spans="2:9" x14ac:dyDescent="0.2">
      <c r="B44" s="455">
        <v>39</v>
      </c>
      <c r="C44" s="320">
        <v>62.45</v>
      </c>
      <c r="D44" s="320">
        <v>62.67</v>
      </c>
      <c r="E44" s="320">
        <v>63.19</v>
      </c>
      <c r="G44" s="456"/>
      <c r="H44" s="456"/>
      <c r="I44" s="456"/>
    </row>
    <row r="45" spans="2:9" x14ac:dyDescent="0.2">
      <c r="B45" s="455">
        <v>40</v>
      </c>
      <c r="C45" s="320">
        <v>62.84</v>
      </c>
      <c r="D45" s="320">
        <v>63.07</v>
      </c>
      <c r="E45" s="320">
        <v>63.59</v>
      </c>
      <c r="G45" s="456"/>
      <c r="H45" s="456"/>
      <c r="I45" s="456"/>
    </row>
    <row r="46" spans="2:9" x14ac:dyDescent="0.2">
      <c r="B46" s="455">
        <v>41</v>
      </c>
      <c r="C46" s="320">
        <v>63.26</v>
      </c>
      <c r="D46" s="320">
        <v>63.49</v>
      </c>
      <c r="E46" s="320">
        <v>64.02</v>
      </c>
      <c r="G46" s="456"/>
      <c r="H46" s="456"/>
      <c r="I46" s="456"/>
    </row>
    <row r="47" spans="2:9" x14ac:dyDescent="0.2">
      <c r="B47" s="455">
        <v>42</v>
      </c>
      <c r="C47" s="320">
        <v>63.7</v>
      </c>
      <c r="D47" s="320">
        <v>63.94</v>
      </c>
      <c r="E47" s="320">
        <v>64.47</v>
      </c>
      <c r="G47" s="456"/>
      <c r="H47" s="456"/>
      <c r="I47" s="456"/>
    </row>
    <row r="48" spans="2:9" x14ac:dyDescent="0.2">
      <c r="B48" s="455">
        <v>43</v>
      </c>
      <c r="C48" s="320">
        <v>64.17</v>
      </c>
      <c r="D48" s="320">
        <v>64.41</v>
      </c>
      <c r="E48" s="320">
        <v>64.94</v>
      </c>
      <c r="G48" s="456"/>
      <c r="H48" s="456"/>
      <c r="I48" s="456"/>
    </row>
    <row r="49" spans="2:9" x14ac:dyDescent="0.2">
      <c r="B49" s="455">
        <v>44</v>
      </c>
      <c r="C49" s="320">
        <v>64.66</v>
      </c>
      <c r="D49" s="320">
        <v>64.900000000000006</v>
      </c>
      <c r="E49" s="320">
        <v>65.44</v>
      </c>
      <c r="G49" s="456"/>
      <c r="H49" s="456"/>
      <c r="I49" s="456"/>
    </row>
    <row r="50" spans="2:9" x14ac:dyDescent="0.2">
      <c r="B50" s="455">
        <v>45</v>
      </c>
      <c r="C50" s="320">
        <v>65.19</v>
      </c>
      <c r="D50" s="320">
        <v>65.430000000000007</v>
      </c>
      <c r="E50" s="320">
        <v>65.98</v>
      </c>
      <c r="G50" s="456"/>
      <c r="H50" s="456"/>
      <c r="I50" s="456"/>
    </row>
    <row r="51" spans="2:9" x14ac:dyDescent="0.2">
      <c r="B51" s="455">
        <v>46</v>
      </c>
      <c r="C51" s="320">
        <v>65.75</v>
      </c>
      <c r="D51" s="320">
        <v>65.989999999999995</v>
      </c>
      <c r="E51" s="320">
        <v>66.55</v>
      </c>
      <c r="G51" s="456"/>
      <c r="H51" s="456"/>
      <c r="I51" s="456"/>
    </row>
    <row r="52" spans="2:9" x14ac:dyDescent="0.2">
      <c r="B52" s="455">
        <v>47</v>
      </c>
      <c r="C52" s="320">
        <v>66.34</v>
      </c>
      <c r="D52" s="320">
        <v>66.59</v>
      </c>
      <c r="E52" s="320">
        <v>67.150000000000006</v>
      </c>
      <c r="G52" s="456"/>
      <c r="H52" s="456"/>
      <c r="I52" s="456"/>
    </row>
    <row r="53" spans="2:9" x14ac:dyDescent="0.2">
      <c r="B53" s="455">
        <v>48</v>
      </c>
      <c r="C53" s="320">
        <v>66.959999999999994</v>
      </c>
      <c r="D53" s="320">
        <v>67.22</v>
      </c>
      <c r="E53" s="320">
        <v>67.790000000000006</v>
      </c>
      <c r="G53" s="456"/>
      <c r="H53" s="456"/>
      <c r="I53" s="456"/>
    </row>
    <row r="54" spans="2:9" x14ac:dyDescent="0.2">
      <c r="B54" s="455">
        <v>49</v>
      </c>
      <c r="C54" s="320">
        <v>67.63</v>
      </c>
      <c r="D54" s="320">
        <v>67.89</v>
      </c>
      <c r="E54" s="320">
        <v>68.459999999999994</v>
      </c>
      <c r="G54" s="456"/>
      <c r="H54" s="456"/>
      <c r="I54" s="456"/>
    </row>
    <row r="55" spans="2:9" x14ac:dyDescent="0.2">
      <c r="B55" s="455">
        <v>50</v>
      </c>
      <c r="C55" s="320">
        <v>68.319999999999993</v>
      </c>
      <c r="D55" s="320">
        <v>68.59</v>
      </c>
      <c r="E55" s="320">
        <v>69.180000000000007</v>
      </c>
      <c r="G55" s="456"/>
      <c r="H55" s="456"/>
      <c r="I55" s="456"/>
    </row>
    <row r="56" spans="2:9" x14ac:dyDescent="0.2">
      <c r="B56" s="455">
        <v>51</v>
      </c>
      <c r="C56" s="439">
        <v>69.06</v>
      </c>
      <c r="D56" s="439">
        <v>69.34</v>
      </c>
      <c r="E56" s="439">
        <v>69.930000000000007</v>
      </c>
      <c r="G56" s="456"/>
      <c r="H56" s="456"/>
      <c r="I56" s="456"/>
    </row>
    <row r="57" spans="2:9" x14ac:dyDescent="0.2">
      <c r="B57" s="455">
        <v>52</v>
      </c>
      <c r="C57" s="439">
        <v>69.84</v>
      </c>
      <c r="D57" s="439">
        <v>70.12</v>
      </c>
      <c r="E57" s="439">
        <v>70.72</v>
      </c>
      <c r="G57" s="456"/>
      <c r="H57" s="456"/>
      <c r="I57" s="456"/>
    </row>
    <row r="58" spans="2:9" x14ac:dyDescent="0.2">
      <c r="B58" s="455">
        <v>53</v>
      </c>
      <c r="C58" s="439">
        <v>70.650000000000006</v>
      </c>
      <c r="D58" s="439">
        <v>70.94</v>
      </c>
      <c r="E58" s="439">
        <v>71.55</v>
      </c>
      <c r="G58" s="456"/>
      <c r="H58" s="456"/>
      <c r="I58" s="456"/>
    </row>
    <row r="59" spans="2:9" x14ac:dyDescent="0.2">
      <c r="B59" s="455">
        <v>54</v>
      </c>
      <c r="C59" s="439">
        <v>71.510000000000005</v>
      </c>
      <c r="D59" s="439">
        <v>71.8</v>
      </c>
      <c r="E59" s="439">
        <v>72.42</v>
      </c>
      <c r="G59" s="456"/>
      <c r="H59" s="456"/>
      <c r="I59" s="456"/>
    </row>
    <row r="60" spans="2:9" x14ac:dyDescent="0.2">
      <c r="B60" s="455">
        <v>55</v>
      </c>
      <c r="C60" s="439">
        <v>72.41</v>
      </c>
      <c r="D60" s="439">
        <v>72.709999999999994</v>
      </c>
      <c r="E60" s="439">
        <v>73.34</v>
      </c>
      <c r="G60" s="456"/>
      <c r="H60" s="456"/>
      <c r="I60" s="456"/>
    </row>
    <row r="61" spans="2:9" x14ac:dyDescent="0.2">
      <c r="B61" s="455">
        <v>56</v>
      </c>
      <c r="C61" s="439">
        <v>73.36</v>
      </c>
      <c r="D61" s="439">
        <v>73.67</v>
      </c>
      <c r="E61" s="439">
        <v>74.31</v>
      </c>
      <c r="G61" s="456"/>
      <c r="H61" s="456"/>
      <c r="I61" s="456"/>
    </row>
    <row r="62" spans="2:9" x14ac:dyDescent="0.2">
      <c r="B62" s="455">
        <v>57</v>
      </c>
      <c r="C62" s="439">
        <v>74.37</v>
      </c>
      <c r="D62" s="439">
        <v>74.69</v>
      </c>
      <c r="E62" s="439">
        <v>75.33</v>
      </c>
      <c r="G62" s="456"/>
      <c r="H62" s="456"/>
      <c r="I62" s="456"/>
    </row>
    <row r="63" spans="2:9" x14ac:dyDescent="0.2">
      <c r="B63" s="455">
        <v>58</v>
      </c>
      <c r="C63" s="439">
        <v>75.45</v>
      </c>
      <c r="D63" s="439">
        <v>75.78</v>
      </c>
      <c r="E63" s="439">
        <v>76.430000000000007</v>
      </c>
      <c r="G63" s="456"/>
      <c r="H63" s="456"/>
      <c r="I63" s="456"/>
    </row>
    <row r="64" spans="2:9" x14ac:dyDescent="0.2">
      <c r="B64" s="455">
        <v>59</v>
      </c>
      <c r="C64" s="439">
        <v>76.599999999999994</v>
      </c>
      <c r="D64" s="439">
        <v>76.94</v>
      </c>
      <c r="E64" s="439">
        <v>77.599999999999994</v>
      </c>
      <c r="G64" s="456"/>
      <c r="H64" s="456"/>
      <c r="I64" s="456"/>
    </row>
    <row r="65" spans="2:9" x14ac:dyDescent="0.2">
      <c r="B65" s="455">
        <v>60</v>
      </c>
      <c r="C65" s="439">
        <v>77.819999999999993</v>
      </c>
      <c r="D65" s="439">
        <v>78.180000000000007</v>
      </c>
      <c r="E65" s="439">
        <v>78.849999999999994</v>
      </c>
      <c r="G65" s="456"/>
      <c r="H65" s="456"/>
      <c r="I65" s="456"/>
    </row>
    <row r="66" spans="2:9" x14ac:dyDescent="0.2">
      <c r="B66" s="455">
        <v>61</v>
      </c>
      <c r="C66" s="439">
        <v>79.14</v>
      </c>
      <c r="D66" s="439">
        <v>79.510000000000005</v>
      </c>
      <c r="E66" s="439">
        <v>80.19</v>
      </c>
      <c r="G66" s="456"/>
      <c r="H66" s="456"/>
      <c r="I66" s="456"/>
    </row>
    <row r="67" spans="2:9" x14ac:dyDescent="0.2">
      <c r="B67" s="455">
        <v>62</v>
      </c>
      <c r="C67" s="439">
        <v>80.58</v>
      </c>
      <c r="D67" s="439">
        <v>80.959999999999994</v>
      </c>
      <c r="E67" s="439">
        <v>81.650000000000006</v>
      </c>
      <c r="G67" s="456"/>
      <c r="H67" s="456"/>
      <c r="I67" s="456"/>
    </row>
    <row r="68" spans="2:9" x14ac:dyDescent="0.2">
      <c r="B68" s="455">
        <v>63</v>
      </c>
      <c r="C68" s="439">
        <v>82.17</v>
      </c>
      <c r="D68" s="439">
        <v>82.57</v>
      </c>
      <c r="E68" s="439">
        <v>83.28</v>
      </c>
      <c r="G68" s="456"/>
      <c r="H68" s="456"/>
      <c r="I68" s="456"/>
    </row>
    <row r="69" spans="2:9" x14ac:dyDescent="0.2">
      <c r="B69" s="455">
        <v>64</v>
      </c>
      <c r="C69" s="439">
        <v>83.93</v>
      </c>
      <c r="D69" s="439">
        <v>84.35</v>
      </c>
      <c r="E69" s="439">
        <v>85.06</v>
      </c>
      <c r="G69" s="456"/>
      <c r="H69" s="456"/>
      <c r="I69" s="456"/>
    </row>
    <row r="70" spans="2:9" x14ac:dyDescent="0.2">
      <c r="B70" s="455">
        <v>65</v>
      </c>
      <c r="C70" s="439">
        <v>85.84</v>
      </c>
      <c r="D70" s="439">
        <v>86.29</v>
      </c>
      <c r="E70" s="439">
        <v>87.01</v>
      </c>
      <c r="G70" s="456"/>
      <c r="H70" s="456"/>
      <c r="I70" s="456"/>
    </row>
    <row r="71" spans="2:9" x14ac:dyDescent="0.2">
      <c r="B71" s="455">
        <v>66</v>
      </c>
      <c r="C71" s="439">
        <v>87.92</v>
      </c>
      <c r="D71" s="439">
        <v>88.39</v>
      </c>
      <c r="E71" s="439">
        <v>89.13</v>
      </c>
      <c r="G71" s="456"/>
      <c r="H71" s="456"/>
      <c r="I71" s="456"/>
    </row>
    <row r="72" spans="2:9" x14ac:dyDescent="0.2">
      <c r="B72" s="455">
        <v>67</v>
      </c>
      <c r="C72" s="439">
        <v>90.17</v>
      </c>
      <c r="D72" s="439">
        <v>90.67</v>
      </c>
      <c r="E72" s="439">
        <v>91.41</v>
      </c>
      <c r="G72" s="456"/>
      <c r="H72" s="456"/>
      <c r="I72" s="456"/>
    </row>
    <row r="73" spans="2:9" x14ac:dyDescent="0.2">
      <c r="B73" s="455">
        <v>68</v>
      </c>
      <c r="C73" s="439">
        <v>92.6</v>
      </c>
      <c r="D73" s="439">
        <v>93.13</v>
      </c>
      <c r="E73" s="439">
        <v>93.88</v>
      </c>
      <c r="G73" s="456"/>
      <c r="H73" s="456"/>
      <c r="I73" s="456"/>
    </row>
    <row r="74" spans="2:9" x14ac:dyDescent="0.2">
      <c r="B74" s="455">
        <v>69</v>
      </c>
      <c r="C74" s="439">
        <v>95.2</v>
      </c>
      <c r="D74" s="439">
        <v>95.76</v>
      </c>
      <c r="E74" s="439">
        <v>96.53</v>
      </c>
      <c r="G74" s="456"/>
      <c r="H74" s="456"/>
      <c r="I74" s="456"/>
    </row>
    <row r="75" spans="2:9" x14ac:dyDescent="0.2">
      <c r="B75" s="455">
        <v>70</v>
      </c>
      <c r="C75" s="439">
        <v>97.99</v>
      </c>
      <c r="D75" s="439">
        <v>98.59</v>
      </c>
      <c r="E75" s="439">
        <v>99.36</v>
      </c>
      <c r="G75" s="456"/>
      <c r="H75" s="456"/>
      <c r="I75" s="456"/>
    </row>
    <row r="76" spans="2:9" x14ac:dyDescent="0.2">
      <c r="B76" s="455">
        <v>71</v>
      </c>
      <c r="C76" s="439">
        <v>100.97</v>
      </c>
      <c r="D76" s="439">
        <v>101.61</v>
      </c>
      <c r="E76" s="439">
        <v>102.39</v>
      </c>
      <c r="G76" s="456"/>
      <c r="H76" s="456"/>
      <c r="I76" s="456"/>
    </row>
    <row r="77" spans="2:9" x14ac:dyDescent="0.2">
      <c r="B77" s="455">
        <v>72</v>
      </c>
      <c r="C77" s="439">
        <v>104.14</v>
      </c>
      <c r="D77" s="439">
        <v>104.83</v>
      </c>
      <c r="E77" s="439">
        <v>105.61</v>
      </c>
      <c r="G77" s="456"/>
      <c r="H77" s="456"/>
      <c r="I77" s="456"/>
    </row>
    <row r="78" spans="2:9" x14ac:dyDescent="0.2">
      <c r="B78" s="455">
        <v>73</v>
      </c>
      <c r="C78" s="439">
        <v>107.52</v>
      </c>
      <c r="D78" s="439">
        <v>108.25</v>
      </c>
      <c r="E78" s="439">
        <v>109.05</v>
      </c>
      <c r="G78" s="456"/>
      <c r="H78" s="456"/>
      <c r="I78" s="456"/>
    </row>
    <row r="79" spans="2:9" x14ac:dyDescent="0.2">
      <c r="B79" s="455">
        <v>74</v>
      </c>
      <c r="C79" s="439">
        <v>111.1</v>
      </c>
      <c r="D79" s="439">
        <v>111.89</v>
      </c>
      <c r="E79" s="439">
        <v>112.69</v>
      </c>
      <c r="G79" s="456"/>
      <c r="H79" s="456"/>
      <c r="I79" s="456"/>
    </row>
    <row r="80" spans="2:9" x14ac:dyDescent="0.2">
      <c r="B80" s="455">
        <v>75</v>
      </c>
      <c r="C80" s="439">
        <v>114.91</v>
      </c>
      <c r="D80" s="439">
        <v>115.75</v>
      </c>
      <c r="E80" s="439">
        <v>116.56</v>
      </c>
      <c r="G80" s="456"/>
      <c r="H80" s="456"/>
      <c r="I80" s="456"/>
    </row>
    <row r="81" spans="2:9" x14ac:dyDescent="0.2">
      <c r="B81" s="455">
        <v>76</v>
      </c>
      <c r="C81" s="439">
        <v>118.94</v>
      </c>
      <c r="D81" s="439">
        <v>119.84</v>
      </c>
      <c r="E81" s="439">
        <v>120.65</v>
      </c>
      <c r="G81" s="456"/>
      <c r="H81" s="456"/>
      <c r="I81" s="456"/>
    </row>
    <row r="82" spans="2:9" x14ac:dyDescent="0.2">
      <c r="B82" s="455">
        <v>77</v>
      </c>
      <c r="C82" s="439">
        <v>123.2</v>
      </c>
      <c r="D82" s="439">
        <v>124.17</v>
      </c>
      <c r="E82" s="439">
        <v>124.99</v>
      </c>
      <c r="G82" s="456"/>
      <c r="H82" s="456"/>
      <c r="I82" s="456"/>
    </row>
    <row r="83" spans="2:9" x14ac:dyDescent="0.2">
      <c r="B83" s="455">
        <v>78</v>
      </c>
      <c r="C83" s="439">
        <v>127.71</v>
      </c>
      <c r="D83" s="439">
        <v>128.75</v>
      </c>
      <c r="E83" s="439">
        <v>129.57</v>
      </c>
      <c r="G83" s="456"/>
      <c r="H83" s="456"/>
      <c r="I83" s="456"/>
    </row>
    <row r="84" spans="2:9" x14ac:dyDescent="0.2">
      <c r="B84" s="455">
        <v>79</v>
      </c>
      <c r="C84" s="439">
        <v>132.47999999999999</v>
      </c>
      <c r="D84" s="439">
        <v>133.58000000000001</v>
      </c>
      <c r="E84" s="439">
        <v>134.41</v>
      </c>
      <c r="G84" s="456"/>
      <c r="H84" s="456"/>
      <c r="I84" s="456"/>
    </row>
    <row r="85" spans="2:9" x14ac:dyDescent="0.2">
      <c r="B85" s="455">
        <v>80</v>
      </c>
      <c r="C85" s="439">
        <v>137.51</v>
      </c>
      <c r="D85" s="439">
        <v>138.68</v>
      </c>
      <c r="E85" s="439">
        <v>139.51</v>
      </c>
      <c r="G85" s="456"/>
      <c r="H85" s="456"/>
      <c r="I85" s="456"/>
    </row>
    <row r="86" spans="2:9" x14ac:dyDescent="0.2">
      <c r="B86" s="455">
        <v>81</v>
      </c>
      <c r="C86" s="439">
        <v>142.83000000000001</v>
      </c>
      <c r="D86" s="439">
        <v>144.06</v>
      </c>
      <c r="E86" s="439">
        <v>144.9</v>
      </c>
      <c r="G86" s="456"/>
      <c r="H86" s="456"/>
      <c r="I86" s="456"/>
    </row>
    <row r="87" spans="2:9" x14ac:dyDescent="0.2">
      <c r="B87" s="455">
        <v>82</v>
      </c>
      <c r="C87" s="439">
        <v>148.44</v>
      </c>
      <c r="D87" s="439">
        <v>149.72999999999999</v>
      </c>
      <c r="E87" s="439">
        <v>150.57</v>
      </c>
      <c r="G87" s="456"/>
      <c r="H87" s="456"/>
      <c r="I87" s="456"/>
    </row>
    <row r="88" spans="2:9" x14ac:dyDescent="0.2">
      <c r="B88" s="455">
        <v>83</v>
      </c>
      <c r="C88" s="439">
        <v>154.35</v>
      </c>
      <c r="D88" s="439">
        <v>155.69999999999999</v>
      </c>
      <c r="E88" s="439">
        <v>156.55000000000001</v>
      </c>
      <c r="G88" s="456"/>
      <c r="H88" s="456"/>
      <c r="I88" s="456"/>
    </row>
    <row r="89" spans="2:9" x14ac:dyDescent="0.2">
      <c r="B89" s="455">
        <v>84</v>
      </c>
      <c r="C89" s="439">
        <v>160.58000000000001</v>
      </c>
      <c r="D89" s="439">
        <v>161.99</v>
      </c>
      <c r="E89" s="439">
        <v>162.84</v>
      </c>
      <c r="G89" s="456"/>
      <c r="H89" s="456"/>
      <c r="I89" s="456"/>
    </row>
    <row r="90" spans="2:9" x14ac:dyDescent="0.2">
      <c r="B90" s="455">
        <v>85</v>
      </c>
      <c r="C90" s="439">
        <v>167.15</v>
      </c>
      <c r="D90" s="439">
        <v>168.6</v>
      </c>
      <c r="E90" s="439">
        <v>169.46</v>
      </c>
      <c r="G90" s="456"/>
      <c r="H90" s="456"/>
      <c r="I90" s="456"/>
    </row>
    <row r="91" spans="2:9" x14ac:dyDescent="0.2">
      <c r="B91" s="455">
        <v>86</v>
      </c>
      <c r="C91" s="439">
        <v>174.06</v>
      </c>
      <c r="D91" s="439">
        <v>175.57</v>
      </c>
      <c r="E91" s="439">
        <v>176.43</v>
      </c>
      <c r="G91" s="456"/>
      <c r="H91" s="456"/>
      <c r="I91" s="456"/>
    </row>
    <row r="92" spans="2:9" x14ac:dyDescent="0.2">
      <c r="B92" s="455">
        <v>87</v>
      </c>
      <c r="C92" s="439">
        <v>181.35</v>
      </c>
      <c r="D92" s="439">
        <v>182.89</v>
      </c>
      <c r="E92" s="439">
        <v>183.77</v>
      </c>
      <c r="G92" s="456"/>
      <c r="H92" s="456"/>
      <c r="I92" s="456"/>
    </row>
    <row r="93" spans="2:9" x14ac:dyDescent="0.2">
      <c r="B93" s="455">
        <v>88</v>
      </c>
      <c r="C93" s="439">
        <v>189.01</v>
      </c>
      <c r="D93" s="439">
        <v>190.6</v>
      </c>
      <c r="E93" s="439">
        <v>191.48</v>
      </c>
      <c r="G93" s="456"/>
      <c r="H93" s="456"/>
      <c r="I93" s="456"/>
    </row>
    <row r="94" spans="2:9" x14ac:dyDescent="0.2">
      <c r="B94" s="455">
        <v>89</v>
      </c>
      <c r="C94" s="439">
        <v>197.08</v>
      </c>
      <c r="D94" s="439">
        <v>198.71</v>
      </c>
      <c r="E94" s="439">
        <v>199.6</v>
      </c>
      <c r="G94" s="456"/>
      <c r="H94" s="456"/>
      <c r="I94" s="456"/>
    </row>
    <row r="95" spans="2:9" x14ac:dyDescent="0.2">
      <c r="B95" s="455">
        <v>90</v>
      </c>
      <c r="C95" s="439">
        <v>205.58</v>
      </c>
      <c r="D95" s="439">
        <v>207.24</v>
      </c>
      <c r="E95" s="439">
        <v>208.14</v>
      </c>
      <c r="G95" s="456"/>
      <c r="H95" s="456"/>
      <c r="I95" s="456"/>
    </row>
    <row r="96" spans="2:9" x14ac:dyDescent="0.2">
      <c r="B96" s="455">
        <v>91</v>
      </c>
      <c r="C96" s="439">
        <v>214.53</v>
      </c>
      <c r="D96" s="439">
        <v>216.22</v>
      </c>
      <c r="E96" s="439">
        <v>217.14</v>
      </c>
      <c r="G96" s="456"/>
      <c r="H96" s="456"/>
      <c r="I96" s="456"/>
    </row>
    <row r="97" spans="2:9" x14ac:dyDescent="0.2">
      <c r="B97" s="455">
        <v>92</v>
      </c>
      <c r="C97" s="439">
        <v>223.96</v>
      </c>
      <c r="D97" s="439">
        <v>225.68</v>
      </c>
      <c r="E97" s="439">
        <v>226.61</v>
      </c>
      <c r="G97" s="456"/>
      <c r="H97" s="456"/>
      <c r="I97" s="456"/>
    </row>
    <row r="98" spans="2:9" x14ac:dyDescent="0.2">
      <c r="B98" s="455">
        <v>93</v>
      </c>
      <c r="C98" s="439">
        <v>233.9</v>
      </c>
      <c r="D98" s="439">
        <v>235.66</v>
      </c>
      <c r="E98" s="439">
        <v>236.61</v>
      </c>
      <c r="G98" s="456"/>
      <c r="H98" s="456"/>
      <c r="I98" s="456"/>
    </row>
    <row r="99" spans="2:9" x14ac:dyDescent="0.2">
      <c r="B99" s="455">
        <v>94</v>
      </c>
      <c r="C99" s="439">
        <v>244.4</v>
      </c>
      <c r="D99" s="439">
        <v>246.2</v>
      </c>
      <c r="E99" s="439">
        <v>247.15</v>
      </c>
      <c r="G99" s="456"/>
      <c r="H99" s="456"/>
      <c r="I99" s="456"/>
    </row>
    <row r="100" spans="2:9" x14ac:dyDescent="0.2">
      <c r="B100" s="455">
        <v>95</v>
      </c>
      <c r="C100" s="439">
        <v>255.51</v>
      </c>
      <c r="D100" s="439">
        <v>257.33999999999997</v>
      </c>
      <c r="E100" s="439">
        <v>258.31</v>
      </c>
      <c r="G100" s="456"/>
      <c r="H100" s="456"/>
      <c r="I100" s="456"/>
    </row>
    <row r="101" spans="2:9" x14ac:dyDescent="0.2">
      <c r="B101" s="455">
        <v>96</v>
      </c>
      <c r="C101" s="439">
        <v>267.29000000000002</v>
      </c>
      <c r="D101" s="439">
        <v>269.14</v>
      </c>
      <c r="E101" s="439">
        <v>270.14</v>
      </c>
      <c r="G101" s="456"/>
      <c r="H101" s="456"/>
      <c r="I101" s="456"/>
    </row>
    <row r="102" spans="2:9" x14ac:dyDescent="0.2">
      <c r="B102" s="455">
        <v>97</v>
      </c>
      <c r="C102" s="439">
        <v>279.81</v>
      </c>
      <c r="D102" s="439">
        <v>281.7</v>
      </c>
      <c r="E102" s="439">
        <v>282.70999999999998</v>
      </c>
      <c r="G102" s="456"/>
      <c r="H102" s="456"/>
      <c r="I102" s="456"/>
    </row>
    <row r="103" spans="2:9" x14ac:dyDescent="0.2">
      <c r="B103" s="455">
        <v>98</v>
      </c>
      <c r="C103" s="439">
        <v>293.19</v>
      </c>
      <c r="D103" s="439">
        <v>295.12</v>
      </c>
      <c r="E103" s="439">
        <v>296.14999999999998</v>
      </c>
      <c r="G103" s="456"/>
      <c r="H103" s="456"/>
      <c r="I103" s="456"/>
    </row>
    <row r="104" spans="2:9" x14ac:dyDescent="0.2">
      <c r="B104" s="455">
        <v>99</v>
      </c>
      <c r="C104" s="439">
        <v>307.57</v>
      </c>
      <c r="D104" s="439">
        <v>309.54000000000002</v>
      </c>
      <c r="E104" s="439">
        <v>310.58999999999997</v>
      </c>
      <c r="G104" s="456"/>
      <c r="H104" s="456"/>
      <c r="I104" s="456"/>
    </row>
    <row r="105" spans="2:9" x14ac:dyDescent="0.2">
      <c r="B105" s="455">
        <v>100</v>
      </c>
      <c r="C105" s="439">
        <v>323.14999999999998</v>
      </c>
      <c r="D105" s="439">
        <v>325.17</v>
      </c>
      <c r="E105" s="439">
        <v>326.25</v>
      </c>
      <c r="G105" s="456"/>
      <c r="H105" s="456"/>
      <c r="I105" s="456"/>
    </row>
  </sheetData>
  <mergeCells count="1">
    <mergeCell ref="B3:J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tint="0.39997558519241921"/>
  </sheetPr>
  <dimension ref="B3:J107"/>
  <sheetViews>
    <sheetView workbookViewId="0">
      <selection activeCell="B7" sqref="B7:E107"/>
    </sheetView>
  </sheetViews>
  <sheetFormatPr defaultColWidth="8.85546875" defaultRowHeight="12.75" x14ac:dyDescent="0.2"/>
  <cols>
    <col min="1" max="1" width="8.85546875" style="429"/>
    <col min="2" max="2" width="10" style="429" bestFit="1" customWidth="1"/>
    <col min="3" max="3" width="8.85546875" style="429"/>
    <col min="4" max="4" width="9.85546875" style="429" bestFit="1" customWidth="1"/>
    <col min="5" max="16384" width="8.85546875" style="429"/>
  </cols>
  <sheetData>
    <row r="3" spans="2:10" x14ac:dyDescent="0.2">
      <c r="B3" s="425"/>
      <c r="C3" s="425"/>
      <c r="D3" s="425"/>
      <c r="E3" s="426"/>
      <c r="F3" s="426"/>
      <c r="G3" s="426"/>
      <c r="H3" s="426"/>
      <c r="I3" s="426"/>
      <c r="J3" s="437" t="s">
        <v>151</v>
      </c>
    </row>
    <row r="4" spans="2:10" x14ac:dyDescent="0.2">
      <c r="B4" s="453">
        <f>SUM(C7:E107)</f>
        <v>18053.660000000014</v>
      </c>
      <c r="C4" s="426">
        <v>17911.39740359292</v>
      </c>
      <c r="D4" s="454">
        <f>C4-B4</f>
        <v>-142.26259640709395</v>
      </c>
      <c r="E4" s="426"/>
      <c r="F4" s="426"/>
      <c r="G4" s="426"/>
      <c r="H4" s="426"/>
      <c r="I4" s="426"/>
      <c r="J4" s="426"/>
    </row>
    <row r="5" spans="2:10" x14ac:dyDescent="0.2">
      <c r="B5" s="753" t="s">
        <v>156</v>
      </c>
      <c r="C5" s="754"/>
      <c r="D5" s="754"/>
      <c r="E5" s="754"/>
      <c r="F5" s="755"/>
      <c r="G5" s="765"/>
      <c r="H5" s="765"/>
      <c r="I5" s="765"/>
      <c r="J5" s="765"/>
    </row>
    <row r="6" spans="2:10" ht="38.25" x14ac:dyDescent="0.2">
      <c r="B6" s="109" t="s">
        <v>1</v>
      </c>
      <c r="C6" s="109" t="s">
        <v>153</v>
      </c>
      <c r="D6" s="110" t="s">
        <v>154</v>
      </c>
      <c r="E6" s="110" t="s">
        <v>155</v>
      </c>
      <c r="G6" s="114"/>
      <c r="H6" s="114"/>
      <c r="I6" s="115"/>
      <c r="J6" s="115"/>
    </row>
    <row r="7" spans="2:10" x14ac:dyDescent="0.2">
      <c r="B7" s="113">
        <v>0</v>
      </c>
      <c r="C7" s="439">
        <v>55.75</v>
      </c>
      <c r="D7" s="439">
        <v>55.93</v>
      </c>
      <c r="E7" s="439">
        <v>56.36</v>
      </c>
      <c r="F7" s="426"/>
      <c r="G7" s="116"/>
      <c r="H7" s="457"/>
      <c r="I7" s="457"/>
      <c r="J7" s="457"/>
    </row>
    <row r="8" spans="2:10" x14ac:dyDescent="0.2">
      <c r="B8" s="113">
        <v>1</v>
      </c>
      <c r="C8" s="439">
        <v>55.8</v>
      </c>
      <c r="D8" s="439">
        <v>55.99</v>
      </c>
      <c r="E8" s="439">
        <v>56.41</v>
      </c>
      <c r="F8" s="426"/>
      <c r="G8" s="116"/>
      <c r="H8" s="457"/>
      <c r="I8" s="457"/>
      <c r="J8" s="457"/>
    </row>
    <row r="9" spans="2:10" x14ac:dyDescent="0.2">
      <c r="B9" s="113">
        <v>2</v>
      </c>
      <c r="C9" s="439">
        <v>55.85</v>
      </c>
      <c r="D9" s="439">
        <v>56.04</v>
      </c>
      <c r="E9" s="439">
        <v>56.47</v>
      </c>
      <c r="F9" s="426"/>
      <c r="G9" s="116"/>
      <c r="H9" s="457"/>
      <c r="I9" s="457"/>
      <c r="J9" s="457"/>
    </row>
    <row r="10" spans="2:10" x14ac:dyDescent="0.2">
      <c r="B10" s="113">
        <v>3</v>
      </c>
      <c r="C10" s="439">
        <v>55.91</v>
      </c>
      <c r="D10" s="439">
        <v>56.1</v>
      </c>
      <c r="E10" s="439">
        <v>56.53</v>
      </c>
      <c r="F10" s="426"/>
      <c r="G10" s="116"/>
      <c r="H10" s="457"/>
      <c r="I10" s="457"/>
      <c r="J10" s="457"/>
    </row>
    <row r="11" spans="2:10" x14ac:dyDescent="0.2">
      <c r="B11" s="113">
        <v>4</v>
      </c>
      <c r="C11" s="439">
        <v>55.97</v>
      </c>
      <c r="D11" s="439">
        <v>56.16</v>
      </c>
      <c r="E11" s="439">
        <v>56.59</v>
      </c>
      <c r="F11" s="426"/>
      <c r="G11" s="116"/>
      <c r="H11" s="457"/>
      <c r="I11" s="457"/>
      <c r="J11" s="457"/>
    </row>
    <row r="12" spans="2:10" x14ac:dyDescent="0.2">
      <c r="B12" s="113">
        <v>5</v>
      </c>
      <c r="C12" s="439">
        <v>56.04</v>
      </c>
      <c r="D12" s="439">
        <v>56.23</v>
      </c>
      <c r="E12" s="439">
        <v>56.66</v>
      </c>
      <c r="F12" s="426"/>
      <c r="G12" s="116"/>
      <c r="H12" s="457"/>
      <c r="I12" s="457"/>
      <c r="J12" s="457"/>
    </row>
    <row r="13" spans="2:10" x14ac:dyDescent="0.2">
      <c r="B13" s="113">
        <v>6</v>
      </c>
      <c r="C13" s="439">
        <v>56.1</v>
      </c>
      <c r="D13" s="439">
        <v>56.29</v>
      </c>
      <c r="E13" s="439">
        <v>56.72</v>
      </c>
      <c r="F13" s="426"/>
      <c r="G13" s="116"/>
      <c r="H13" s="457"/>
      <c r="I13" s="457"/>
      <c r="J13" s="457"/>
    </row>
    <row r="14" spans="2:10" x14ac:dyDescent="0.2">
      <c r="B14" s="113">
        <v>7</v>
      </c>
      <c r="C14" s="439">
        <v>56.17</v>
      </c>
      <c r="D14" s="439">
        <v>56.36</v>
      </c>
      <c r="E14" s="439">
        <v>56.79</v>
      </c>
      <c r="F14" s="426"/>
      <c r="G14" s="116"/>
      <c r="H14" s="457"/>
      <c r="I14" s="457"/>
      <c r="J14" s="457"/>
    </row>
    <row r="15" spans="2:10" x14ac:dyDescent="0.2">
      <c r="B15" s="113">
        <v>8</v>
      </c>
      <c r="C15" s="439">
        <v>56.25</v>
      </c>
      <c r="D15" s="439">
        <v>56.44</v>
      </c>
      <c r="E15" s="439">
        <v>56.87</v>
      </c>
      <c r="F15" s="426"/>
      <c r="G15" s="116"/>
      <c r="H15" s="457"/>
      <c r="I15" s="457"/>
      <c r="J15" s="457"/>
    </row>
    <row r="16" spans="2:10" x14ac:dyDescent="0.2">
      <c r="B16" s="113">
        <v>9</v>
      </c>
      <c r="C16" s="439">
        <v>56.32</v>
      </c>
      <c r="D16" s="439">
        <v>56.51</v>
      </c>
      <c r="E16" s="439">
        <v>56.95</v>
      </c>
      <c r="F16" s="426"/>
      <c r="G16" s="116"/>
      <c r="H16" s="457"/>
      <c r="I16" s="457"/>
      <c r="J16" s="457"/>
    </row>
    <row r="17" spans="2:10" x14ac:dyDescent="0.2">
      <c r="B17" s="113">
        <v>10</v>
      </c>
      <c r="C17" s="439">
        <v>56.4</v>
      </c>
      <c r="D17" s="439">
        <v>56.6</v>
      </c>
      <c r="E17" s="439">
        <v>57.03</v>
      </c>
      <c r="F17" s="426"/>
      <c r="G17" s="116"/>
      <c r="H17" s="457"/>
      <c r="I17" s="457"/>
      <c r="J17" s="457"/>
    </row>
    <row r="18" spans="2:10" x14ac:dyDescent="0.2">
      <c r="B18" s="113">
        <v>11</v>
      </c>
      <c r="C18" s="439">
        <v>56.49</v>
      </c>
      <c r="D18" s="439">
        <v>56.68</v>
      </c>
      <c r="E18" s="439">
        <v>57.12</v>
      </c>
      <c r="F18" s="426"/>
      <c r="G18" s="116"/>
      <c r="H18" s="457"/>
      <c r="I18" s="457"/>
      <c r="J18" s="457"/>
    </row>
    <row r="19" spans="2:10" x14ac:dyDescent="0.2">
      <c r="B19" s="113">
        <v>12</v>
      </c>
      <c r="C19" s="439">
        <v>56.58</v>
      </c>
      <c r="D19" s="439">
        <v>56.77</v>
      </c>
      <c r="E19" s="439">
        <v>57.21</v>
      </c>
      <c r="F19" s="426"/>
      <c r="G19" s="116"/>
      <c r="H19" s="457"/>
      <c r="I19" s="457"/>
      <c r="J19" s="457"/>
    </row>
    <row r="20" spans="2:10" x14ac:dyDescent="0.2">
      <c r="B20" s="113">
        <v>13</v>
      </c>
      <c r="C20" s="439">
        <v>56.67</v>
      </c>
      <c r="D20" s="439">
        <v>56.86</v>
      </c>
      <c r="E20" s="439">
        <v>57.3</v>
      </c>
      <c r="F20" s="426"/>
      <c r="G20" s="116"/>
      <c r="H20" s="457"/>
      <c r="I20" s="457"/>
      <c r="J20" s="457"/>
    </row>
    <row r="21" spans="2:10" x14ac:dyDescent="0.2">
      <c r="B21" s="113">
        <v>14</v>
      </c>
      <c r="C21" s="439">
        <v>56.77</v>
      </c>
      <c r="D21" s="439">
        <v>56.96</v>
      </c>
      <c r="E21" s="439">
        <v>57.4</v>
      </c>
      <c r="F21" s="426"/>
      <c r="G21" s="116"/>
      <c r="H21" s="457"/>
      <c r="I21" s="457"/>
      <c r="J21" s="457"/>
    </row>
    <row r="22" spans="2:10" x14ac:dyDescent="0.2">
      <c r="B22" s="113">
        <v>15</v>
      </c>
      <c r="C22" s="439">
        <v>56.87</v>
      </c>
      <c r="D22" s="439">
        <v>57.07</v>
      </c>
      <c r="E22" s="439">
        <v>57.51</v>
      </c>
      <c r="F22" s="426"/>
      <c r="G22" s="116"/>
      <c r="H22" s="457"/>
      <c r="I22" s="457"/>
      <c r="J22" s="457"/>
    </row>
    <row r="23" spans="2:10" x14ac:dyDescent="0.2">
      <c r="B23" s="113">
        <v>16</v>
      </c>
      <c r="C23" s="439">
        <v>56.98</v>
      </c>
      <c r="D23" s="439">
        <v>57.18</v>
      </c>
      <c r="E23" s="439">
        <v>57.62</v>
      </c>
      <c r="F23" s="426"/>
      <c r="G23" s="116"/>
      <c r="H23" s="457"/>
      <c r="I23" s="457"/>
      <c r="J23" s="457"/>
    </row>
    <row r="24" spans="2:10" x14ac:dyDescent="0.2">
      <c r="B24" s="113">
        <v>17</v>
      </c>
      <c r="C24" s="439">
        <v>57.1</v>
      </c>
      <c r="D24" s="439">
        <v>57.29</v>
      </c>
      <c r="E24" s="439">
        <v>57.74</v>
      </c>
      <c r="F24" s="426"/>
      <c r="G24" s="116"/>
      <c r="H24" s="457"/>
      <c r="I24" s="457"/>
      <c r="J24" s="457"/>
    </row>
    <row r="25" spans="2:10" x14ac:dyDescent="0.2">
      <c r="B25" s="113">
        <v>18</v>
      </c>
      <c r="C25" s="439">
        <v>57.22</v>
      </c>
      <c r="D25" s="439">
        <v>57.41</v>
      </c>
      <c r="E25" s="439">
        <v>57.86</v>
      </c>
      <c r="F25" s="426"/>
      <c r="G25" s="116"/>
      <c r="H25" s="457"/>
      <c r="I25" s="457"/>
      <c r="J25" s="457"/>
    </row>
    <row r="26" spans="2:10" x14ac:dyDescent="0.2">
      <c r="B26" s="113">
        <v>19</v>
      </c>
      <c r="C26" s="439">
        <v>57.35</v>
      </c>
      <c r="D26" s="439">
        <v>57.54</v>
      </c>
      <c r="E26" s="439">
        <v>57.99</v>
      </c>
      <c r="F26" s="426"/>
      <c r="G26" s="116"/>
      <c r="H26" s="457"/>
      <c r="I26" s="457"/>
      <c r="J26" s="457"/>
    </row>
    <row r="27" spans="2:10" x14ac:dyDescent="0.2">
      <c r="B27" s="113">
        <v>20</v>
      </c>
      <c r="C27" s="439">
        <v>57.48</v>
      </c>
      <c r="D27" s="439">
        <v>57.68</v>
      </c>
      <c r="E27" s="439">
        <v>58.13</v>
      </c>
      <c r="F27" s="426"/>
      <c r="G27" s="116"/>
      <c r="H27" s="457"/>
      <c r="I27" s="457"/>
      <c r="J27" s="457"/>
    </row>
    <row r="28" spans="2:10" x14ac:dyDescent="0.2">
      <c r="B28" s="113">
        <v>21</v>
      </c>
      <c r="C28" s="439">
        <v>57.62</v>
      </c>
      <c r="D28" s="439">
        <v>57.82</v>
      </c>
      <c r="E28" s="439">
        <v>58.27</v>
      </c>
      <c r="F28" s="426"/>
      <c r="G28" s="116"/>
      <c r="H28" s="457"/>
      <c r="I28" s="457"/>
      <c r="J28" s="457"/>
    </row>
    <row r="29" spans="2:10" x14ac:dyDescent="0.2">
      <c r="B29" s="113">
        <v>22</v>
      </c>
      <c r="C29" s="439">
        <v>57.77</v>
      </c>
      <c r="D29" s="439">
        <v>57.97</v>
      </c>
      <c r="E29" s="439">
        <v>58.42</v>
      </c>
      <c r="F29" s="426"/>
      <c r="G29" s="116"/>
      <c r="H29" s="457"/>
      <c r="I29" s="457"/>
      <c r="J29" s="457"/>
    </row>
    <row r="30" spans="2:10" x14ac:dyDescent="0.2">
      <c r="B30" s="113">
        <v>23</v>
      </c>
      <c r="C30" s="439">
        <v>57.92</v>
      </c>
      <c r="D30" s="439">
        <v>58.12</v>
      </c>
      <c r="E30" s="439">
        <v>58.58</v>
      </c>
      <c r="F30" s="426"/>
      <c r="G30" s="116"/>
      <c r="H30" s="457"/>
      <c r="I30" s="457"/>
      <c r="J30" s="457"/>
    </row>
    <row r="31" spans="2:10" x14ac:dyDescent="0.2">
      <c r="B31" s="113">
        <v>24</v>
      </c>
      <c r="C31" s="439">
        <v>58.08</v>
      </c>
      <c r="D31" s="439">
        <v>58.28</v>
      </c>
      <c r="E31" s="439">
        <v>58.74</v>
      </c>
      <c r="F31" s="426"/>
      <c r="G31" s="116"/>
      <c r="H31" s="457"/>
      <c r="I31" s="457"/>
      <c r="J31" s="457"/>
    </row>
    <row r="32" spans="2:10" x14ac:dyDescent="0.2">
      <c r="B32" s="113">
        <v>25</v>
      </c>
      <c r="C32" s="439">
        <v>58.25</v>
      </c>
      <c r="D32" s="439">
        <v>58.45</v>
      </c>
      <c r="E32" s="439">
        <v>58.92</v>
      </c>
      <c r="F32" s="426"/>
      <c r="G32" s="116"/>
      <c r="H32" s="457"/>
      <c r="I32" s="457"/>
      <c r="J32" s="457"/>
    </row>
    <row r="33" spans="2:10" x14ac:dyDescent="0.2">
      <c r="B33" s="113">
        <v>26</v>
      </c>
      <c r="C33" s="439">
        <v>58.43</v>
      </c>
      <c r="D33" s="439">
        <v>58.63</v>
      </c>
      <c r="E33" s="439">
        <v>59.1</v>
      </c>
      <c r="F33" s="426"/>
      <c r="G33" s="116"/>
      <c r="H33" s="457"/>
      <c r="I33" s="457"/>
      <c r="J33" s="457"/>
    </row>
    <row r="34" spans="2:10" x14ac:dyDescent="0.2">
      <c r="B34" s="113">
        <v>27</v>
      </c>
      <c r="C34" s="439">
        <v>58.62</v>
      </c>
      <c r="D34" s="439">
        <v>58.82</v>
      </c>
      <c r="E34" s="439">
        <v>59.29</v>
      </c>
      <c r="F34" s="426"/>
      <c r="G34" s="116"/>
      <c r="H34" s="457"/>
      <c r="I34" s="457"/>
      <c r="J34" s="457"/>
    </row>
    <row r="35" spans="2:10" x14ac:dyDescent="0.2">
      <c r="B35" s="113">
        <v>28</v>
      </c>
      <c r="C35" s="439">
        <v>58.82</v>
      </c>
      <c r="D35" s="439">
        <v>59.02</v>
      </c>
      <c r="E35" s="439">
        <v>59.49</v>
      </c>
      <c r="F35" s="426"/>
      <c r="G35" s="116"/>
      <c r="H35" s="457"/>
      <c r="I35" s="457"/>
      <c r="J35" s="457"/>
    </row>
    <row r="36" spans="2:10" x14ac:dyDescent="0.2">
      <c r="B36" s="113">
        <v>29</v>
      </c>
      <c r="C36" s="439">
        <v>59.02</v>
      </c>
      <c r="D36" s="439">
        <v>59.23</v>
      </c>
      <c r="E36" s="439">
        <v>59.7</v>
      </c>
      <c r="F36" s="426"/>
      <c r="G36" s="116"/>
      <c r="H36" s="457"/>
      <c r="I36" s="457"/>
      <c r="J36" s="457"/>
    </row>
    <row r="37" spans="2:10" x14ac:dyDescent="0.2">
      <c r="B37" s="113">
        <v>30</v>
      </c>
      <c r="C37" s="439">
        <v>59.24</v>
      </c>
      <c r="D37" s="439">
        <v>59.45</v>
      </c>
      <c r="E37" s="439">
        <v>59.93</v>
      </c>
      <c r="F37" s="426"/>
      <c r="G37" s="116"/>
      <c r="H37" s="457"/>
      <c r="I37" s="457"/>
      <c r="J37" s="457"/>
    </row>
    <row r="38" spans="2:10" x14ac:dyDescent="0.2">
      <c r="B38" s="113">
        <v>31</v>
      </c>
      <c r="C38" s="439">
        <v>59.48</v>
      </c>
      <c r="D38" s="439">
        <v>59.69</v>
      </c>
      <c r="E38" s="439">
        <v>60.17</v>
      </c>
      <c r="F38" s="426"/>
      <c r="G38" s="116"/>
      <c r="H38" s="457"/>
      <c r="I38" s="457"/>
      <c r="J38" s="457"/>
    </row>
    <row r="39" spans="2:10" x14ac:dyDescent="0.2">
      <c r="B39" s="113">
        <v>32</v>
      </c>
      <c r="C39" s="439">
        <v>59.73</v>
      </c>
      <c r="D39" s="439">
        <v>59.94</v>
      </c>
      <c r="E39" s="439">
        <v>60.42</v>
      </c>
      <c r="F39" s="426"/>
      <c r="G39" s="116"/>
      <c r="H39" s="457"/>
      <c r="I39" s="457"/>
      <c r="J39" s="457"/>
    </row>
    <row r="40" spans="2:10" x14ac:dyDescent="0.2">
      <c r="B40" s="113">
        <v>33</v>
      </c>
      <c r="C40" s="439">
        <v>59.99</v>
      </c>
      <c r="D40" s="439">
        <v>60.2</v>
      </c>
      <c r="E40" s="439">
        <v>60.69</v>
      </c>
      <c r="F40" s="426"/>
      <c r="G40" s="116"/>
      <c r="H40" s="457"/>
      <c r="I40" s="457"/>
      <c r="J40" s="457"/>
    </row>
    <row r="41" spans="2:10" x14ac:dyDescent="0.2">
      <c r="B41" s="113">
        <v>34</v>
      </c>
      <c r="C41" s="439">
        <v>60.27</v>
      </c>
      <c r="D41" s="439">
        <v>60.49</v>
      </c>
      <c r="E41" s="439">
        <v>60.98</v>
      </c>
      <c r="F41" s="426"/>
      <c r="G41" s="116"/>
      <c r="H41" s="457"/>
      <c r="I41" s="457"/>
      <c r="J41" s="457"/>
    </row>
    <row r="42" spans="2:10" x14ac:dyDescent="0.2">
      <c r="B42" s="113">
        <v>35</v>
      </c>
      <c r="C42" s="439">
        <v>60.34</v>
      </c>
      <c r="D42" s="439">
        <v>60.56</v>
      </c>
      <c r="E42" s="439">
        <v>61.28</v>
      </c>
      <c r="F42" s="426"/>
      <c r="G42" s="116"/>
      <c r="H42" s="457"/>
      <c r="I42" s="457"/>
      <c r="J42" s="457"/>
    </row>
    <row r="43" spans="2:10" x14ac:dyDescent="0.2">
      <c r="B43" s="113">
        <v>36</v>
      </c>
      <c r="C43" s="439">
        <v>60.39</v>
      </c>
      <c r="D43" s="439">
        <v>60.62</v>
      </c>
      <c r="E43" s="439">
        <v>61.54</v>
      </c>
      <c r="F43" s="426"/>
      <c r="G43" s="116"/>
      <c r="H43" s="457"/>
      <c r="I43" s="457"/>
      <c r="J43" s="457"/>
    </row>
    <row r="44" spans="2:10" x14ac:dyDescent="0.2">
      <c r="B44" s="113">
        <v>37</v>
      </c>
      <c r="C44" s="439">
        <v>60.45</v>
      </c>
      <c r="D44" s="439">
        <v>60.68</v>
      </c>
      <c r="E44" s="439">
        <v>61.6</v>
      </c>
      <c r="F44" s="426"/>
      <c r="G44" s="116"/>
      <c r="H44" s="457"/>
      <c r="I44" s="457"/>
      <c r="J44" s="457"/>
    </row>
    <row r="45" spans="2:10" x14ac:dyDescent="0.2">
      <c r="B45" s="113">
        <v>38</v>
      </c>
      <c r="C45" s="439">
        <v>60.51</v>
      </c>
      <c r="D45" s="439">
        <v>60.74</v>
      </c>
      <c r="E45" s="439">
        <v>61.66</v>
      </c>
      <c r="F45" s="426"/>
      <c r="G45" s="116"/>
      <c r="H45" s="457"/>
      <c r="I45" s="457"/>
      <c r="J45" s="457"/>
    </row>
    <row r="46" spans="2:10" x14ac:dyDescent="0.2">
      <c r="B46" s="113">
        <v>39</v>
      </c>
      <c r="C46" s="439">
        <v>60.56</v>
      </c>
      <c r="D46" s="439">
        <v>60.79</v>
      </c>
      <c r="E46" s="439">
        <v>61.73</v>
      </c>
      <c r="F46" s="426"/>
      <c r="G46" s="116"/>
      <c r="H46" s="457"/>
      <c r="I46" s="457"/>
      <c r="J46" s="457"/>
    </row>
    <row r="47" spans="2:10" x14ac:dyDescent="0.2">
      <c r="B47" s="113">
        <v>40</v>
      </c>
      <c r="C47" s="439">
        <v>60.62</v>
      </c>
      <c r="D47" s="439">
        <v>60.85</v>
      </c>
      <c r="E47" s="439">
        <v>61.79</v>
      </c>
      <c r="F47" s="426"/>
      <c r="G47" s="116"/>
      <c r="H47" s="457"/>
      <c r="I47" s="457"/>
      <c r="J47" s="457"/>
    </row>
    <row r="48" spans="2:10" x14ac:dyDescent="0.2">
      <c r="B48" s="113">
        <v>41</v>
      </c>
      <c r="C48" s="439">
        <v>60.68</v>
      </c>
      <c r="D48" s="439">
        <v>60.91</v>
      </c>
      <c r="E48" s="439">
        <v>61.85</v>
      </c>
      <c r="F48" s="426"/>
      <c r="G48" s="116"/>
      <c r="H48" s="457"/>
      <c r="I48" s="457"/>
      <c r="J48" s="457"/>
    </row>
    <row r="49" spans="2:10" x14ac:dyDescent="0.2">
      <c r="B49" s="113">
        <v>42</v>
      </c>
      <c r="C49" s="439">
        <v>60.73</v>
      </c>
      <c r="D49" s="439">
        <v>60.97</v>
      </c>
      <c r="E49" s="439">
        <v>61.91</v>
      </c>
      <c r="F49" s="426"/>
      <c r="G49" s="116"/>
      <c r="H49" s="457"/>
      <c r="I49" s="457"/>
      <c r="J49" s="457"/>
    </row>
    <row r="50" spans="2:10" x14ac:dyDescent="0.2">
      <c r="B50" s="113">
        <v>43</v>
      </c>
      <c r="C50" s="439">
        <v>60.79</v>
      </c>
      <c r="D50" s="439">
        <v>61.02</v>
      </c>
      <c r="E50" s="439">
        <v>61.98</v>
      </c>
      <c r="F50" s="426"/>
      <c r="G50" s="116"/>
      <c r="H50" s="457"/>
      <c r="I50" s="457"/>
      <c r="J50" s="457"/>
    </row>
    <row r="51" spans="2:10" x14ac:dyDescent="0.2">
      <c r="B51" s="113">
        <v>44</v>
      </c>
      <c r="C51" s="439">
        <v>60.84</v>
      </c>
      <c r="D51" s="439">
        <v>61.08</v>
      </c>
      <c r="E51" s="439">
        <v>62.04</v>
      </c>
      <c r="F51" s="426"/>
      <c r="G51" s="116"/>
      <c r="H51" s="457"/>
      <c r="I51" s="457"/>
      <c r="J51" s="457"/>
    </row>
    <row r="52" spans="2:10" x14ac:dyDescent="0.2">
      <c r="B52" s="113">
        <v>45</v>
      </c>
      <c r="C52" s="439">
        <v>60.89</v>
      </c>
      <c r="D52" s="439">
        <v>61.13</v>
      </c>
      <c r="E52" s="439">
        <v>62.1</v>
      </c>
      <c r="F52" s="426"/>
      <c r="G52" s="116"/>
      <c r="H52" s="457"/>
      <c r="I52" s="457"/>
      <c r="J52" s="457"/>
    </row>
    <row r="53" spans="2:10" x14ac:dyDescent="0.2">
      <c r="B53" s="113">
        <v>46</v>
      </c>
      <c r="C53" s="439">
        <v>60.94</v>
      </c>
      <c r="D53" s="439">
        <v>61.18</v>
      </c>
      <c r="E53" s="439">
        <v>62.15</v>
      </c>
      <c r="F53" s="426"/>
      <c r="G53" s="116"/>
      <c r="H53" s="457"/>
      <c r="I53" s="457"/>
      <c r="J53" s="457"/>
    </row>
    <row r="54" spans="2:10" x14ac:dyDescent="0.2">
      <c r="B54" s="113">
        <v>47</v>
      </c>
      <c r="C54" s="439">
        <v>60.99</v>
      </c>
      <c r="D54" s="439">
        <v>61.23</v>
      </c>
      <c r="E54" s="439">
        <v>62.21</v>
      </c>
      <c r="F54" s="426"/>
      <c r="G54" s="116"/>
      <c r="H54" s="457"/>
      <c r="I54" s="457"/>
      <c r="J54" s="457"/>
    </row>
    <row r="55" spans="2:10" x14ac:dyDescent="0.2">
      <c r="B55" s="113">
        <v>48</v>
      </c>
      <c r="C55" s="439">
        <v>61.03</v>
      </c>
      <c r="D55" s="439">
        <v>61.28</v>
      </c>
      <c r="E55" s="439">
        <v>62.26</v>
      </c>
      <c r="F55" s="426"/>
      <c r="G55" s="116"/>
      <c r="H55" s="457"/>
      <c r="I55" s="457"/>
      <c r="J55" s="457"/>
    </row>
    <row r="56" spans="2:10" x14ac:dyDescent="0.2">
      <c r="B56" s="113">
        <v>49</v>
      </c>
      <c r="C56" s="439">
        <v>61.07</v>
      </c>
      <c r="D56" s="439">
        <v>61.32</v>
      </c>
      <c r="E56" s="439">
        <v>62.32</v>
      </c>
      <c r="F56" s="426"/>
      <c r="G56" s="116"/>
      <c r="H56" s="458"/>
      <c r="I56" s="458"/>
      <c r="J56" s="457"/>
    </row>
    <row r="57" spans="2:10" x14ac:dyDescent="0.2">
      <c r="B57" s="113">
        <v>50</v>
      </c>
      <c r="C57" s="439">
        <v>61.11</v>
      </c>
      <c r="D57" s="439">
        <v>61.36</v>
      </c>
      <c r="E57" s="439">
        <v>62.36</v>
      </c>
      <c r="F57" s="426"/>
      <c r="G57" s="426"/>
      <c r="I57" s="459"/>
      <c r="J57" s="458"/>
    </row>
    <row r="58" spans="2:10" x14ac:dyDescent="0.2">
      <c r="B58" s="113">
        <v>51</v>
      </c>
      <c r="C58" s="439">
        <v>61.15</v>
      </c>
      <c r="D58" s="439">
        <v>61.4</v>
      </c>
      <c r="E58" s="439">
        <v>62.41</v>
      </c>
    </row>
    <row r="59" spans="2:10" x14ac:dyDescent="0.2">
      <c r="B59" s="113">
        <v>52</v>
      </c>
      <c r="C59" s="439">
        <v>61.18</v>
      </c>
      <c r="D59" s="439">
        <v>61.44</v>
      </c>
      <c r="E59" s="439">
        <v>62.45</v>
      </c>
    </row>
    <row r="60" spans="2:10" x14ac:dyDescent="0.2">
      <c r="B60" s="113">
        <v>53</v>
      </c>
      <c r="C60" s="439">
        <v>61.21</v>
      </c>
      <c r="D60" s="439">
        <v>61.47</v>
      </c>
      <c r="E60" s="439">
        <v>62.5</v>
      </c>
    </row>
    <row r="61" spans="2:10" x14ac:dyDescent="0.2">
      <c r="B61" s="113">
        <v>54</v>
      </c>
      <c r="C61" s="439">
        <v>61.23</v>
      </c>
      <c r="D61" s="439">
        <v>61.5</v>
      </c>
      <c r="E61" s="439">
        <v>62.53</v>
      </c>
    </row>
    <row r="62" spans="2:10" x14ac:dyDescent="0.2">
      <c r="B62" s="113">
        <v>55</v>
      </c>
      <c r="C62" s="439">
        <v>61.25</v>
      </c>
      <c r="D62" s="439">
        <v>61.52</v>
      </c>
      <c r="E62" s="439">
        <v>62.57</v>
      </c>
    </row>
    <row r="63" spans="2:10" x14ac:dyDescent="0.2">
      <c r="B63" s="113">
        <v>56</v>
      </c>
      <c r="C63" s="439">
        <v>61.27</v>
      </c>
      <c r="D63" s="439">
        <v>61.54</v>
      </c>
      <c r="E63" s="439">
        <v>62.6</v>
      </c>
    </row>
    <row r="64" spans="2:10" x14ac:dyDescent="0.2">
      <c r="B64" s="113">
        <v>57</v>
      </c>
      <c r="C64" s="439">
        <v>61.28</v>
      </c>
      <c r="D64" s="439">
        <v>61.56</v>
      </c>
      <c r="E64" s="439">
        <v>62.62</v>
      </c>
    </row>
    <row r="65" spans="2:5" x14ac:dyDescent="0.2">
      <c r="B65" s="113">
        <v>58</v>
      </c>
      <c r="C65" s="439">
        <v>61.29</v>
      </c>
      <c r="D65" s="439">
        <v>61.57</v>
      </c>
      <c r="E65" s="439">
        <v>62.65</v>
      </c>
    </row>
    <row r="66" spans="2:5" x14ac:dyDescent="0.2">
      <c r="B66" s="113">
        <v>59</v>
      </c>
      <c r="C66" s="439">
        <v>61.3</v>
      </c>
      <c r="D66" s="439">
        <v>61.58</v>
      </c>
      <c r="E66" s="439">
        <v>62.67</v>
      </c>
    </row>
    <row r="67" spans="2:5" x14ac:dyDescent="0.2">
      <c r="B67" s="113">
        <v>60</v>
      </c>
      <c r="C67" s="439">
        <v>61.3</v>
      </c>
      <c r="D67" s="439">
        <v>61.58</v>
      </c>
      <c r="E67" s="439">
        <v>62.68</v>
      </c>
    </row>
    <row r="68" spans="2:5" x14ac:dyDescent="0.2">
      <c r="B68" s="113">
        <v>61</v>
      </c>
      <c r="C68" s="439">
        <v>61.29</v>
      </c>
      <c r="D68" s="439">
        <v>61.58</v>
      </c>
      <c r="E68" s="439">
        <v>62.7</v>
      </c>
    </row>
    <row r="69" spans="2:5" x14ac:dyDescent="0.2">
      <c r="B69" s="113">
        <v>62</v>
      </c>
      <c r="C69" s="439">
        <v>61.28</v>
      </c>
      <c r="D69" s="439">
        <v>61.57</v>
      </c>
      <c r="E69" s="439">
        <v>62.7</v>
      </c>
    </row>
    <row r="70" spans="2:5" x14ac:dyDescent="0.2">
      <c r="B70" s="113">
        <v>63</v>
      </c>
      <c r="C70" s="439">
        <v>61.26</v>
      </c>
      <c r="D70" s="439">
        <v>61.56</v>
      </c>
      <c r="E70" s="439">
        <v>62.7</v>
      </c>
    </row>
    <row r="71" spans="2:5" x14ac:dyDescent="0.2">
      <c r="B71" s="113">
        <v>64</v>
      </c>
      <c r="C71" s="439">
        <v>61.24</v>
      </c>
      <c r="D71" s="439">
        <v>61.54</v>
      </c>
      <c r="E71" s="439">
        <v>62.7</v>
      </c>
    </row>
    <row r="72" spans="2:5" x14ac:dyDescent="0.2">
      <c r="B72" s="113">
        <v>65</v>
      </c>
      <c r="C72" s="439">
        <v>61.2</v>
      </c>
      <c r="D72" s="439">
        <v>61.52</v>
      </c>
      <c r="E72" s="439">
        <v>62.69</v>
      </c>
    </row>
    <row r="73" spans="2:5" x14ac:dyDescent="0.2">
      <c r="B73" s="113">
        <v>66</v>
      </c>
      <c r="C73" s="439">
        <v>61.16</v>
      </c>
      <c r="D73" s="439">
        <v>61.48</v>
      </c>
      <c r="E73" s="439">
        <v>62.68</v>
      </c>
    </row>
    <row r="74" spans="2:5" x14ac:dyDescent="0.2">
      <c r="B74" s="113">
        <v>67</v>
      </c>
      <c r="C74" s="439">
        <v>61.12</v>
      </c>
      <c r="D74" s="439">
        <v>61.44</v>
      </c>
      <c r="E74" s="439">
        <v>62.66</v>
      </c>
    </row>
    <row r="75" spans="2:5" x14ac:dyDescent="0.2">
      <c r="B75" s="113">
        <v>68</v>
      </c>
      <c r="C75" s="439">
        <v>61.06</v>
      </c>
      <c r="D75" s="439">
        <v>61.4</v>
      </c>
      <c r="E75" s="439">
        <v>62.64</v>
      </c>
    </row>
    <row r="76" spans="2:5" x14ac:dyDescent="0.2">
      <c r="B76" s="113">
        <v>69</v>
      </c>
      <c r="C76" s="439">
        <v>61</v>
      </c>
      <c r="D76" s="439">
        <v>61.35</v>
      </c>
      <c r="E76" s="439">
        <v>62.61</v>
      </c>
    </row>
    <row r="77" spans="2:5" x14ac:dyDescent="0.2">
      <c r="B77" s="113">
        <v>70</v>
      </c>
      <c r="C77" s="439">
        <v>60.94</v>
      </c>
      <c r="D77" s="439">
        <v>61.29</v>
      </c>
      <c r="E77" s="439">
        <v>62.58</v>
      </c>
    </row>
    <row r="78" spans="2:5" x14ac:dyDescent="0.2">
      <c r="B78" s="113">
        <v>71</v>
      </c>
      <c r="C78" s="439">
        <v>60.86</v>
      </c>
      <c r="D78" s="439">
        <v>61.23</v>
      </c>
      <c r="E78" s="439">
        <v>62.54</v>
      </c>
    </row>
    <row r="79" spans="2:5" x14ac:dyDescent="0.2">
      <c r="B79" s="113">
        <v>72</v>
      </c>
      <c r="C79" s="439">
        <v>60.78</v>
      </c>
      <c r="D79" s="439">
        <v>61.15</v>
      </c>
      <c r="E79" s="439">
        <v>62.49</v>
      </c>
    </row>
    <row r="80" spans="2:5" x14ac:dyDescent="0.2">
      <c r="B80" s="113">
        <v>73</v>
      </c>
      <c r="C80" s="439">
        <v>60.68</v>
      </c>
      <c r="D80" s="439">
        <v>61.07</v>
      </c>
      <c r="E80" s="439">
        <v>62.44</v>
      </c>
    </row>
    <row r="81" spans="2:5" x14ac:dyDescent="0.2">
      <c r="B81" s="113">
        <v>74</v>
      </c>
      <c r="C81" s="439">
        <v>60.58</v>
      </c>
      <c r="D81" s="439">
        <v>60.98</v>
      </c>
      <c r="E81" s="439">
        <v>62.38</v>
      </c>
    </row>
    <row r="82" spans="2:5" x14ac:dyDescent="0.2">
      <c r="B82" s="113">
        <v>75</v>
      </c>
      <c r="C82" s="439">
        <v>60.48</v>
      </c>
      <c r="D82" s="439">
        <v>60.89</v>
      </c>
      <c r="E82" s="439">
        <v>62.32</v>
      </c>
    </row>
    <row r="83" spans="2:5" x14ac:dyDescent="0.2">
      <c r="B83" s="113">
        <v>76</v>
      </c>
      <c r="C83" s="439">
        <v>60.36</v>
      </c>
      <c r="D83" s="439">
        <v>60.79</v>
      </c>
      <c r="E83" s="439">
        <v>62.25</v>
      </c>
    </row>
    <row r="84" spans="2:5" x14ac:dyDescent="0.2">
      <c r="B84" s="113">
        <v>77</v>
      </c>
      <c r="C84" s="439">
        <v>60.24</v>
      </c>
      <c r="D84" s="439">
        <v>60.68</v>
      </c>
      <c r="E84" s="439">
        <v>62.18</v>
      </c>
    </row>
    <row r="85" spans="2:5" x14ac:dyDescent="0.2">
      <c r="B85" s="113">
        <v>78</v>
      </c>
      <c r="C85" s="439">
        <v>60.11</v>
      </c>
      <c r="D85" s="439">
        <v>60.57</v>
      </c>
      <c r="E85" s="439">
        <v>62.1</v>
      </c>
    </row>
    <row r="86" spans="2:5" x14ac:dyDescent="0.2">
      <c r="B86" s="113">
        <v>79</v>
      </c>
      <c r="C86" s="439">
        <v>59.98</v>
      </c>
      <c r="D86" s="439">
        <v>60.45</v>
      </c>
      <c r="E86" s="439">
        <v>62.02</v>
      </c>
    </row>
    <row r="87" spans="2:5" x14ac:dyDescent="0.2">
      <c r="B87" s="113">
        <v>80</v>
      </c>
      <c r="C87" s="439">
        <v>59.83</v>
      </c>
      <c r="D87" s="439">
        <v>60.32</v>
      </c>
      <c r="E87" s="439">
        <v>61.93</v>
      </c>
    </row>
    <row r="88" spans="2:5" x14ac:dyDescent="0.2">
      <c r="B88" s="113">
        <v>81</v>
      </c>
      <c r="C88" s="439">
        <v>59.68</v>
      </c>
      <c r="D88" s="439">
        <v>60.18</v>
      </c>
      <c r="E88" s="439">
        <v>61.84</v>
      </c>
    </row>
    <row r="89" spans="2:5" x14ac:dyDescent="0.2">
      <c r="B89" s="113">
        <v>82</v>
      </c>
      <c r="C89" s="439">
        <v>59.51</v>
      </c>
      <c r="D89" s="439">
        <v>60.03</v>
      </c>
      <c r="E89" s="439">
        <v>61.74</v>
      </c>
    </row>
    <row r="90" spans="2:5" x14ac:dyDescent="0.2">
      <c r="B90" s="113">
        <v>83</v>
      </c>
      <c r="C90" s="439">
        <v>59.34</v>
      </c>
      <c r="D90" s="439">
        <v>59.88</v>
      </c>
      <c r="E90" s="439">
        <v>61.64</v>
      </c>
    </row>
    <row r="91" spans="2:5" x14ac:dyDescent="0.2">
      <c r="B91" s="113">
        <v>84</v>
      </c>
      <c r="C91" s="439">
        <v>59.15</v>
      </c>
      <c r="D91" s="439">
        <v>59.72</v>
      </c>
      <c r="E91" s="439">
        <v>61.52</v>
      </c>
    </row>
    <row r="92" spans="2:5" x14ac:dyDescent="0.2">
      <c r="B92" s="113">
        <v>85</v>
      </c>
      <c r="C92" s="439">
        <v>58.96</v>
      </c>
      <c r="D92" s="439">
        <v>59.54</v>
      </c>
      <c r="E92" s="439">
        <v>61.4</v>
      </c>
    </row>
    <row r="93" spans="2:5" x14ac:dyDescent="0.2">
      <c r="B93" s="113">
        <v>86</v>
      </c>
      <c r="C93" s="439">
        <v>58.75</v>
      </c>
      <c r="D93" s="439">
        <v>59.36</v>
      </c>
      <c r="E93" s="439">
        <v>61.28</v>
      </c>
    </row>
    <row r="94" spans="2:5" x14ac:dyDescent="0.2">
      <c r="B94" s="113">
        <v>87</v>
      </c>
      <c r="C94" s="439">
        <v>58.53</v>
      </c>
      <c r="D94" s="439">
        <v>59.16</v>
      </c>
      <c r="E94" s="439">
        <v>61.14</v>
      </c>
    </row>
    <row r="95" spans="2:5" x14ac:dyDescent="0.2">
      <c r="B95" s="113">
        <v>88</v>
      </c>
      <c r="C95" s="439">
        <v>58.3</v>
      </c>
      <c r="D95" s="439">
        <v>58.96</v>
      </c>
      <c r="E95" s="439">
        <v>61</v>
      </c>
    </row>
    <row r="96" spans="2:5" x14ac:dyDescent="0.2">
      <c r="B96" s="113">
        <v>89</v>
      </c>
      <c r="C96" s="439">
        <v>58.06</v>
      </c>
      <c r="D96" s="439">
        <v>58.74</v>
      </c>
      <c r="E96" s="439">
        <v>60.84</v>
      </c>
    </row>
    <row r="97" spans="2:5" x14ac:dyDescent="0.2">
      <c r="B97" s="113">
        <v>90</v>
      </c>
      <c r="C97" s="439">
        <v>57.8</v>
      </c>
      <c r="D97" s="439">
        <v>58.5</v>
      </c>
      <c r="E97" s="439">
        <v>60.68</v>
      </c>
    </row>
    <row r="98" spans="2:5" x14ac:dyDescent="0.2">
      <c r="B98" s="113">
        <v>91</v>
      </c>
      <c r="C98" s="439">
        <v>57.52</v>
      </c>
      <c r="D98" s="439">
        <v>58.25</v>
      </c>
      <c r="E98" s="439">
        <v>60.5</v>
      </c>
    </row>
    <row r="99" spans="2:5" x14ac:dyDescent="0.2">
      <c r="B99" s="113">
        <v>92</v>
      </c>
      <c r="C99" s="439">
        <v>57.23</v>
      </c>
      <c r="D99" s="439">
        <v>57.99</v>
      </c>
      <c r="E99" s="439">
        <v>60.31</v>
      </c>
    </row>
    <row r="100" spans="2:5" x14ac:dyDescent="0.2">
      <c r="B100" s="113">
        <v>93</v>
      </c>
      <c r="C100" s="439">
        <v>56.91</v>
      </c>
      <c r="D100" s="439">
        <v>57.71</v>
      </c>
      <c r="E100" s="439">
        <v>60.11</v>
      </c>
    </row>
    <row r="101" spans="2:5" x14ac:dyDescent="0.2">
      <c r="B101" s="113">
        <v>94</v>
      </c>
      <c r="C101" s="439">
        <v>56.58</v>
      </c>
      <c r="D101" s="439">
        <v>57.41</v>
      </c>
      <c r="E101" s="439">
        <v>59.9</v>
      </c>
    </row>
    <row r="102" spans="2:5" x14ac:dyDescent="0.2">
      <c r="B102" s="113">
        <v>95</v>
      </c>
      <c r="C102" s="439">
        <v>56.22</v>
      </c>
      <c r="D102" s="439">
        <v>57.09</v>
      </c>
      <c r="E102" s="439">
        <v>59.66</v>
      </c>
    </row>
    <row r="103" spans="2:5" x14ac:dyDescent="0.2">
      <c r="B103" s="113">
        <v>96</v>
      </c>
      <c r="C103" s="439">
        <v>55.84</v>
      </c>
      <c r="D103" s="439">
        <v>56.74</v>
      </c>
      <c r="E103" s="439">
        <v>59.41</v>
      </c>
    </row>
    <row r="104" spans="2:5" x14ac:dyDescent="0.2">
      <c r="B104" s="113">
        <v>97</v>
      </c>
      <c r="C104" s="439">
        <v>55.43</v>
      </c>
      <c r="D104" s="439">
        <v>56.36</v>
      </c>
      <c r="E104" s="439">
        <v>59.14</v>
      </c>
    </row>
    <row r="105" spans="2:5" x14ac:dyDescent="0.2">
      <c r="B105" s="113">
        <v>98</v>
      </c>
      <c r="C105" s="439">
        <v>54.98</v>
      </c>
      <c r="D105" s="439">
        <v>55.95</v>
      </c>
      <c r="E105" s="439">
        <v>58.84</v>
      </c>
    </row>
    <row r="106" spans="2:5" x14ac:dyDescent="0.2">
      <c r="B106" s="113">
        <v>99</v>
      </c>
      <c r="C106" s="439">
        <v>54.48</v>
      </c>
      <c r="D106" s="439">
        <v>55.5</v>
      </c>
      <c r="E106" s="439">
        <v>58.5</v>
      </c>
    </row>
    <row r="107" spans="2:5" x14ac:dyDescent="0.2">
      <c r="B107" s="113">
        <v>100</v>
      </c>
      <c r="C107" s="439">
        <v>53.93</v>
      </c>
      <c r="D107" s="439">
        <v>54.99</v>
      </c>
      <c r="E107" s="439">
        <v>58.12</v>
      </c>
    </row>
  </sheetData>
  <mergeCells count="1">
    <mergeCell ref="B5:J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Y194"/>
  <sheetViews>
    <sheetView workbookViewId="0">
      <selection activeCell="F5" sqref="F5"/>
    </sheetView>
  </sheetViews>
  <sheetFormatPr defaultRowHeight="12.75" x14ac:dyDescent="0.2"/>
  <cols>
    <col min="1" max="1" width="1.85546875" customWidth="1"/>
    <col min="3" max="3" width="12.5703125" bestFit="1" customWidth="1"/>
    <col min="5" max="5" width="11.5703125" bestFit="1" customWidth="1"/>
    <col min="6" max="6" width="1.140625" customWidth="1"/>
    <col min="7" max="7" width="5.42578125" customWidth="1"/>
    <col min="8" max="8" width="10.5703125" bestFit="1" customWidth="1"/>
    <col min="9" max="9" width="5.42578125" customWidth="1"/>
    <col min="10" max="10" width="10.5703125" bestFit="1" customWidth="1"/>
    <col min="11" max="11" width="5.42578125" customWidth="1"/>
    <col min="12" max="12" width="10.5703125" bestFit="1" customWidth="1"/>
    <col min="13" max="13" width="5.42578125" customWidth="1"/>
    <col min="14" max="14" width="10.5703125" bestFit="1" customWidth="1"/>
    <col min="15" max="15" width="5.42578125" customWidth="1"/>
    <col min="16" max="16" width="10.5703125" bestFit="1" customWidth="1"/>
    <col min="17" max="17" width="5.42578125" customWidth="1"/>
    <col min="18" max="18" width="10.5703125" bestFit="1" customWidth="1"/>
    <col min="19" max="19" width="1.42578125" customWidth="1"/>
    <col min="21" max="21" width="10.5703125" bestFit="1" customWidth="1"/>
    <col min="22" max="23" width="3" bestFit="1" customWidth="1"/>
    <col min="24" max="24" width="9.42578125" customWidth="1"/>
    <col min="25" max="25" width="11.5703125" bestFit="1" customWidth="1"/>
  </cols>
  <sheetData>
    <row r="1" spans="2:25" ht="5.25" customHeight="1" x14ac:dyDescent="0.2"/>
    <row r="2" spans="2:25" x14ac:dyDescent="0.2">
      <c r="B2" s="270" t="s">
        <v>485</v>
      </c>
      <c r="C2" t="s">
        <v>486</v>
      </c>
    </row>
    <row r="3" spans="2:25" x14ac:dyDescent="0.2">
      <c r="B3" s="270" t="s">
        <v>487</v>
      </c>
      <c r="C3" t="s">
        <v>488</v>
      </c>
      <c r="X3" s="30"/>
    </row>
    <row r="4" spans="2:25" ht="15" customHeight="1" x14ac:dyDescent="0.2">
      <c r="B4" s="767" t="s">
        <v>489</v>
      </c>
      <c r="C4" s="768"/>
      <c r="D4" s="768"/>
      <c r="E4" s="769"/>
      <c r="G4" s="767" t="s">
        <v>490</v>
      </c>
      <c r="H4" s="768"/>
      <c r="I4" s="768"/>
      <c r="J4" s="769"/>
      <c r="K4" s="767" t="s">
        <v>96</v>
      </c>
      <c r="L4" s="768"/>
      <c r="M4" s="768"/>
      <c r="N4" s="769"/>
      <c r="O4" s="767" t="s">
        <v>98</v>
      </c>
      <c r="P4" s="768"/>
      <c r="Q4" s="768"/>
      <c r="R4" s="769"/>
      <c r="T4" s="766" t="s">
        <v>491</v>
      </c>
      <c r="U4" s="766"/>
      <c r="X4" s="766"/>
      <c r="Y4" s="766"/>
    </row>
    <row r="5" spans="2:25" x14ac:dyDescent="0.2">
      <c r="B5" s="271" t="s">
        <v>485</v>
      </c>
      <c r="C5" s="271" t="s">
        <v>492</v>
      </c>
      <c r="D5" s="271" t="s">
        <v>485</v>
      </c>
      <c r="E5" s="271" t="s">
        <v>492</v>
      </c>
      <c r="G5" s="271" t="s">
        <v>485</v>
      </c>
      <c r="H5" s="271" t="s">
        <v>493</v>
      </c>
      <c r="I5" s="271" t="s">
        <v>485</v>
      </c>
      <c r="J5" s="271" t="s">
        <v>493</v>
      </c>
      <c r="K5" s="271" t="s">
        <v>485</v>
      </c>
      <c r="L5" s="271" t="s">
        <v>493</v>
      </c>
      <c r="M5" s="271" t="s">
        <v>485</v>
      </c>
      <c r="N5" s="271" t="s">
        <v>493</v>
      </c>
      <c r="O5" s="271" t="s">
        <v>485</v>
      </c>
      <c r="P5" s="271" t="s">
        <v>493</v>
      </c>
      <c r="Q5" s="271" t="s">
        <v>485</v>
      </c>
      <c r="R5" s="271" t="s">
        <v>493</v>
      </c>
      <c r="T5" s="271" t="s">
        <v>487</v>
      </c>
      <c r="U5" s="271" t="s">
        <v>494</v>
      </c>
      <c r="X5" s="271"/>
      <c r="Y5" s="271"/>
    </row>
    <row r="6" spans="2:25" x14ac:dyDescent="0.2">
      <c r="B6" s="272">
        <v>0</v>
      </c>
      <c r="C6" s="273">
        <v>11.720381400000001</v>
      </c>
      <c r="G6" s="272">
        <v>0</v>
      </c>
      <c r="H6" s="273">
        <v>1.01327E-2</v>
      </c>
      <c r="I6" s="272"/>
      <c r="J6" s="273"/>
      <c r="K6" s="272">
        <v>0</v>
      </c>
      <c r="L6" s="273">
        <v>1.02798E-2</v>
      </c>
      <c r="O6" s="272">
        <v>0</v>
      </c>
      <c r="P6" s="273">
        <v>1.0683099999999999E-2</v>
      </c>
      <c r="T6" s="272">
        <v>10</v>
      </c>
      <c r="U6" s="273">
        <v>0.45252369999999997</v>
      </c>
      <c r="V6">
        <v>1</v>
      </c>
      <c r="W6">
        <v>50</v>
      </c>
      <c r="X6" s="278"/>
      <c r="Y6" s="195"/>
    </row>
    <row r="7" spans="2:25" x14ac:dyDescent="0.2">
      <c r="B7" s="272">
        <v>1</v>
      </c>
      <c r="C7" s="273">
        <v>11.717924200000001</v>
      </c>
      <c r="G7" s="272">
        <v>1</v>
      </c>
      <c r="H7" s="273">
        <v>1.0332600000000001E-2</v>
      </c>
      <c r="I7" s="272"/>
      <c r="J7" s="273"/>
      <c r="K7" s="272">
        <v>1</v>
      </c>
      <c r="L7" s="273">
        <v>1.0492400000000001E-2</v>
      </c>
      <c r="O7" s="272">
        <v>1</v>
      </c>
      <c r="P7" s="273">
        <v>1.0930199999999999E-2</v>
      </c>
      <c r="T7" s="272">
        <v>9</v>
      </c>
      <c r="U7" s="273">
        <v>0.48924859999999998</v>
      </c>
      <c r="V7">
        <v>2</v>
      </c>
      <c r="W7">
        <f>W6+1</f>
        <v>51</v>
      </c>
      <c r="X7" s="278"/>
      <c r="Y7" s="195"/>
    </row>
    <row r="8" spans="2:25" x14ac:dyDescent="0.2">
      <c r="B8" s="272">
        <v>2</v>
      </c>
      <c r="C8" s="273">
        <v>11.715256399999999</v>
      </c>
      <c r="G8" s="272">
        <v>2</v>
      </c>
      <c r="H8" s="273">
        <v>1.05497E-2</v>
      </c>
      <c r="I8" s="272"/>
      <c r="J8" s="273"/>
      <c r="K8" s="272">
        <v>2</v>
      </c>
      <c r="L8" s="273">
        <v>1.0723099999999999E-2</v>
      </c>
      <c r="O8" s="272">
        <v>2</v>
      </c>
      <c r="P8" s="273">
        <v>1.1198400000000001E-2</v>
      </c>
      <c r="T8" s="272">
        <v>8</v>
      </c>
      <c r="U8" s="273">
        <v>0.5290146</v>
      </c>
      <c r="V8">
        <v>3</v>
      </c>
      <c r="W8">
        <f t="shared" ref="W8:W15" si="0">W7+1</f>
        <v>52</v>
      </c>
      <c r="X8" s="278"/>
      <c r="Y8" s="195"/>
    </row>
    <row r="9" spans="2:25" x14ac:dyDescent="0.2">
      <c r="B9" s="272">
        <v>3</v>
      </c>
      <c r="C9" s="273">
        <v>11.71236</v>
      </c>
      <c r="G9" s="272">
        <v>3</v>
      </c>
      <c r="H9" s="273">
        <v>1.0785299999999999E-2</v>
      </c>
      <c r="I9" s="272"/>
      <c r="J9" s="273"/>
      <c r="K9" s="272">
        <v>3</v>
      </c>
      <c r="L9" s="273">
        <v>1.09736E-2</v>
      </c>
      <c r="O9" s="272">
        <v>3</v>
      </c>
      <c r="P9" s="273">
        <v>1.14897E-2</v>
      </c>
      <c r="T9" s="272">
        <v>7</v>
      </c>
      <c r="U9" s="273">
        <v>0.57209620000000005</v>
      </c>
      <c r="V9">
        <v>4</v>
      </c>
      <c r="W9">
        <f t="shared" si="0"/>
        <v>53</v>
      </c>
      <c r="X9" s="278"/>
      <c r="Y9" s="195"/>
    </row>
    <row r="10" spans="2:25" x14ac:dyDescent="0.2">
      <c r="B10" s="272">
        <v>4</v>
      </c>
      <c r="C10" s="273">
        <v>11.7092153</v>
      </c>
      <c r="G10" s="272">
        <v>4</v>
      </c>
      <c r="H10" s="273">
        <v>1.1041199999999999E-2</v>
      </c>
      <c r="I10" s="272"/>
      <c r="J10" s="273"/>
      <c r="K10" s="272">
        <v>4</v>
      </c>
      <c r="L10" s="273">
        <v>1.12456E-2</v>
      </c>
      <c r="O10" s="272">
        <v>4</v>
      </c>
      <c r="P10" s="273">
        <v>1.1805899999999999E-2</v>
      </c>
      <c r="T10" s="272">
        <v>6</v>
      </c>
      <c r="U10" s="273">
        <v>0.61883149999999998</v>
      </c>
      <c r="V10">
        <v>5</v>
      </c>
      <c r="W10">
        <f t="shared" si="0"/>
        <v>54</v>
      </c>
      <c r="X10" s="278"/>
      <c r="Y10" s="195"/>
    </row>
    <row r="11" spans="2:25" x14ac:dyDescent="0.2">
      <c r="B11" s="272">
        <v>5</v>
      </c>
      <c r="C11" s="273">
        <v>11.7058012</v>
      </c>
      <c r="G11" s="272">
        <v>5</v>
      </c>
      <c r="H11" s="273">
        <v>1.1318999999999999E-2</v>
      </c>
      <c r="I11" s="272"/>
      <c r="J11" s="273"/>
      <c r="K11" s="272">
        <v>5</v>
      </c>
      <c r="L11" s="273">
        <v>1.15409E-2</v>
      </c>
      <c r="O11" s="272">
        <v>5</v>
      </c>
      <c r="P11" s="273">
        <v>1.2149200000000001E-2</v>
      </c>
      <c r="T11" s="272">
        <v>5</v>
      </c>
      <c r="U11" s="273">
        <v>0.66959500000000005</v>
      </c>
      <c r="V11">
        <v>6</v>
      </c>
      <c r="W11">
        <f t="shared" si="0"/>
        <v>55</v>
      </c>
      <c r="X11" s="278"/>
      <c r="Y11" s="195"/>
    </row>
    <row r="12" spans="2:25" x14ac:dyDescent="0.2">
      <c r="B12" s="272">
        <v>6</v>
      </c>
      <c r="C12" s="273">
        <v>11.702094499999999</v>
      </c>
      <c r="G12" s="272">
        <v>6</v>
      </c>
      <c r="H12" s="273">
        <v>1.16206E-2</v>
      </c>
      <c r="I12" s="272"/>
      <c r="J12" s="273"/>
      <c r="K12" s="272">
        <v>6</v>
      </c>
      <c r="L12" s="273">
        <v>1.18616E-2</v>
      </c>
      <c r="O12" s="272">
        <v>6</v>
      </c>
      <c r="P12" s="273">
        <v>1.2522E-2</v>
      </c>
      <c r="T12" s="272">
        <v>4</v>
      </c>
      <c r="U12" s="273">
        <v>0.72480199999999995</v>
      </c>
      <c r="V12">
        <v>7</v>
      </c>
      <c r="W12">
        <f t="shared" si="0"/>
        <v>56</v>
      </c>
      <c r="X12" s="278"/>
      <c r="Y12" s="195"/>
    </row>
    <row r="13" spans="2:25" x14ac:dyDescent="0.2">
      <c r="B13" s="272">
        <v>7</v>
      </c>
      <c r="C13" s="273">
        <v>11.6980702</v>
      </c>
      <c r="G13" s="272">
        <v>7</v>
      </c>
      <c r="H13" s="273">
        <v>1.1948E-2</v>
      </c>
      <c r="I13" s="272"/>
      <c r="J13" s="273"/>
      <c r="K13" s="272">
        <v>7</v>
      </c>
      <c r="L13" s="273">
        <v>1.2209599999999999E-2</v>
      </c>
      <c r="O13" s="272">
        <v>7</v>
      </c>
      <c r="P13" s="273">
        <v>1.2926699999999999E-2</v>
      </c>
      <c r="T13" s="272">
        <v>3</v>
      </c>
      <c r="U13" s="273">
        <v>0.78491290000000002</v>
      </c>
      <c r="V13">
        <v>8</v>
      </c>
      <c r="W13">
        <f t="shared" si="0"/>
        <v>57</v>
      </c>
      <c r="X13" s="278"/>
      <c r="Y13" s="195"/>
    </row>
    <row r="14" spans="2:25" x14ac:dyDescent="0.2">
      <c r="B14" s="272">
        <v>8</v>
      </c>
      <c r="C14" s="273">
        <v>11.6937009</v>
      </c>
      <c r="G14" s="272">
        <v>8</v>
      </c>
      <c r="H14" s="273">
        <v>1.23035E-2</v>
      </c>
      <c r="I14" s="272"/>
      <c r="J14" s="273"/>
      <c r="K14" s="272">
        <v>8</v>
      </c>
      <c r="L14" s="273">
        <v>1.2587599999999999E-2</v>
      </c>
      <c r="O14" s="272">
        <v>8</v>
      </c>
      <c r="P14" s="273">
        <v>1.3365999999999999E-2</v>
      </c>
      <c r="T14" s="272">
        <v>2</v>
      </c>
      <c r="U14" s="273">
        <v>0.85043279999999999</v>
      </c>
      <c r="V14">
        <v>9</v>
      </c>
      <c r="W14">
        <f t="shared" si="0"/>
        <v>58</v>
      </c>
      <c r="X14" s="278"/>
      <c r="Y14" s="195"/>
    </row>
    <row r="15" spans="2:25" x14ac:dyDescent="0.2">
      <c r="B15" s="272">
        <v>9</v>
      </c>
      <c r="C15" s="273">
        <v>11.688957200000001</v>
      </c>
      <c r="G15" s="272">
        <v>9</v>
      </c>
      <c r="H15" s="273">
        <v>1.2689499999999999E-2</v>
      </c>
      <c r="I15" s="272"/>
      <c r="J15" s="273"/>
      <c r="K15" s="272">
        <v>9</v>
      </c>
      <c r="L15" s="273">
        <v>1.29979E-2</v>
      </c>
      <c r="O15" s="272">
        <v>9</v>
      </c>
      <c r="P15" s="273">
        <v>1.3843100000000001E-2</v>
      </c>
      <c r="T15" s="272">
        <v>1</v>
      </c>
      <c r="U15" s="273">
        <v>0.92191979999999996</v>
      </c>
      <c r="V15">
        <v>10</v>
      </c>
      <c r="W15">
        <f t="shared" si="0"/>
        <v>59</v>
      </c>
      <c r="X15" s="278"/>
      <c r="Y15" s="195"/>
    </row>
    <row r="16" spans="2:25" x14ac:dyDescent="0.2">
      <c r="B16" s="272">
        <v>10</v>
      </c>
      <c r="C16" s="273">
        <v>11.683807</v>
      </c>
      <c r="G16" s="272">
        <v>10</v>
      </c>
      <c r="H16" s="273">
        <v>1.31085E-2</v>
      </c>
      <c r="I16" s="272"/>
      <c r="J16" s="273"/>
      <c r="K16" s="272">
        <v>10</v>
      </c>
      <c r="L16" s="273">
        <v>1.3443399999999999E-2</v>
      </c>
      <c r="O16" s="272">
        <v>10</v>
      </c>
      <c r="P16" s="273">
        <v>1.4361000000000001E-2</v>
      </c>
      <c r="X16" s="274"/>
    </row>
    <row r="17" spans="2:24" x14ac:dyDescent="0.2">
      <c r="B17" s="272">
        <v>11</v>
      </c>
      <c r="C17" s="273">
        <v>11.6782155</v>
      </c>
      <c r="G17" s="272">
        <v>11</v>
      </c>
      <c r="H17" s="273">
        <v>1.35634E-2</v>
      </c>
      <c r="I17" s="272"/>
      <c r="J17" s="273"/>
      <c r="K17" s="272">
        <v>11</v>
      </c>
      <c r="L17" s="273">
        <v>1.3927E-2</v>
      </c>
      <c r="O17" s="272">
        <v>11</v>
      </c>
      <c r="P17" s="273">
        <v>1.4923199999999999E-2</v>
      </c>
      <c r="X17" s="274"/>
    </row>
    <row r="18" spans="2:24" x14ac:dyDescent="0.2">
      <c r="B18" s="272">
        <v>12</v>
      </c>
      <c r="C18" s="273">
        <v>11.6721447</v>
      </c>
      <c r="G18" s="272">
        <v>12</v>
      </c>
      <c r="H18" s="273">
        <v>1.4057399999999999E-2</v>
      </c>
      <c r="I18" s="272"/>
      <c r="J18" s="273"/>
      <c r="K18" s="272">
        <v>12</v>
      </c>
      <c r="L18" s="273">
        <v>1.4452100000000001E-2</v>
      </c>
      <c r="O18" s="272">
        <v>12</v>
      </c>
      <c r="P18" s="273">
        <v>1.5533699999999999E-2</v>
      </c>
      <c r="W18" t="s">
        <v>511</v>
      </c>
      <c r="X18" s="274"/>
    </row>
    <row r="19" spans="2:24" x14ac:dyDescent="0.2">
      <c r="B19" s="272">
        <v>13</v>
      </c>
      <c r="C19" s="273">
        <v>11.6655537</v>
      </c>
      <c r="G19" s="272">
        <v>13</v>
      </c>
      <c r="H19" s="273">
        <v>1.4593699999999999E-2</v>
      </c>
      <c r="I19" s="272"/>
      <c r="J19" s="273"/>
      <c r="K19" s="272">
        <v>13</v>
      </c>
      <c r="L19" s="273">
        <v>1.5022199999999999E-2</v>
      </c>
      <c r="O19" s="272">
        <v>13</v>
      </c>
      <c r="P19" s="273">
        <v>1.6196499999999999E-2</v>
      </c>
      <c r="X19" s="274"/>
    </row>
    <row r="20" spans="2:24" x14ac:dyDescent="0.2">
      <c r="B20" s="272">
        <v>14</v>
      </c>
      <c r="C20" s="273">
        <v>11.658397900000001</v>
      </c>
      <c r="G20" s="272">
        <v>14</v>
      </c>
      <c r="H20" s="273">
        <v>1.5175900000000001E-2</v>
      </c>
      <c r="I20" s="272"/>
      <c r="J20" s="273"/>
      <c r="K20" s="272">
        <v>14</v>
      </c>
      <c r="L20" s="273">
        <v>1.5641100000000002E-2</v>
      </c>
      <c r="O20" s="272">
        <v>14</v>
      </c>
      <c r="P20" s="273">
        <v>1.69161E-2</v>
      </c>
      <c r="X20" s="274"/>
    </row>
    <row r="21" spans="2:24" x14ac:dyDescent="0.2">
      <c r="B21" s="272">
        <v>15</v>
      </c>
      <c r="C21" s="273">
        <v>11.6506288</v>
      </c>
      <c r="G21" s="272">
        <v>15</v>
      </c>
      <c r="H21" s="273">
        <v>1.5807999999999999E-2</v>
      </c>
      <c r="I21" s="272"/>
      <c r="J21" s="273"/>
      <c r="K21" s="272">
        <v>15</v>
      </c>
      <c r="L21" s="273">
        <v>1.6313100000000001E-2</v>
      </c>
      <c r="O21" s="272">
        <v>15</v>
      </c>
      <c r="P21" s="273">
        <v>1.7697299999999999E-2</v>
      </c>
      <c r="X21" s="274"/>
    </row>
    <row r="22" spans="2:24" x14ac:dyDescent="0.2">
      <c r="B22" s="272">
        <v>16</v>
      </c>
      <c r="C22" s="273">
        <v>11.642193900000001</v>
      </c>
      <c r="G22" s="272">
        <v>16</v>
      </c>
      <c r="H22" s="273">
        <v>1.64943E-2</v>
      </c>
      <c r="I22" s="272"/>
      <c r="J22" s="273"/>
      <c r="K22" s="272">
        <v>16</v>
      </c>
      <c r="L22" s="273">
        <v>1.7042700000000001E-2</v>
      </c>
      <c r="O22" s="272">
        <v>16</v>
      </c>
      <c r="P22" s="273">
        <v>1.8545599999999999E-2</v>
      </c>
      <c r="X22" s="274"/>
    </row>
    <row r="23" spans="2:24" x14ac:dyDescent="0.2">
      <c r="B23" s="272">
        <v>17</v>
      </c>
      <c r="C23" s="273">
        <v>11.6330361</v>
      </c>
      <c r="G23" s="272">
        <v>17</v>
      </c>
      <c r="H23" s="273">
        <v>1.7239399999999998E-2</v>
      </c>
      <c r="I23" s="272"/>
      <c r="J23" s="273"/>
      <c r="K23" s="272">
        <v>17</v>
      </c>
      <c r="L23" s="273">
        <v>1.7834800000000001E-2</v>
      </c>
      <c r="O23" s="272">
        <v>17</v>
      </c>
      <c r="P23" s="273">
        <v>1.9466500000000001E-2</v>
      </c>
      <c r="X23" s="274"/>
    </row>
    <row r="24" spans="2:24" x14ac:dyDescent="0.2">
      <c r="B24" s="272">
        <v>18</v>
      </c>
      <c r="C24" s="273">
        <v>11.623093600000001</v>
      </c>
      <c r="G24" s="272">
        <v>18</v>
      </c>
      <c r="H24" s="273">
        <v>1.8048399999999999E-2</v>
      </c>
      <c r="I24" s="272"/>
      <c r="J24" s="273"/>
      <c r="K24" s="272">
        <v>18</v>
      </c>
      <c r="L24" s="273">
        <v>1.8694800000000001E-2</v>
      </c>
      <c r="O24" s="272">
        <v>18</v>
      </c>
      <c r="P24" s="273">
        <v>2.04663E-2</v>
      </c>
      <c r="X24" s="274"/>
    </row>
    <row r="25" spans="2:24" x14ac:dyDescent="0.2">
      <c r="B25" s="272">
        <v>19</v>
      </c>
      <c r="C25" s="273">
        <v>11.612298900000001</v>
      </c>
      <c r="G25" s="272">
        <v>19</v>
      </c>
      <c r="H25" s="273">
        <v>1.8926700000000001E-2</v>
      </c>
      <c r="I25" s="272"/>
      <c r="J25" s="273"/>
      <c r="K25" s="272">
        <v>19</v>
      </c>
      <c r="L25" s="273">
        <v>1.96285E-2</v>
      </c>
      <c r="O25" s="272">
        <v>19</v>
      </c>
      <c r="P25" s="273">
        <v>2.1551799999999999E-2</v>
      </c>
      <c r="X25" s="274"/>
    </row>
    <row r="26" spans="2:24" x14ac:dyDescent="0.2">
      <c r="B26" s="272">
        <v>20</v>
      </c>
      <c r="C26" s="273">
        <v>11.6005935</v>
      </c>
      <c r="G26" s="272">
        <v>20</v>
      </c>
      <c r="H26" s="273">
        <v>1.9879000000000001E-2</v>
      </c>
      <c r="I26" s="272"/>
      <c r="J26" s="273"/>
      <c r="K26" s="272">
        <v>20</v>
      </c>
      <c r="L26" s="273">
        <v>2.0641E-2</v>
      </c>
      <c r="O26" s="272">
        <v>20</v>
      </c>
      <c r="P26" s="273">
        <v>2.2729099999999999E-2</v>
      </c>
      <c r="X26" s="274"/>
    </row>
    <row r="27" spans="2:24" x14ac:dyDescent="0.2">
      <c r="B27" s="272">
        <v>21</v>
      </c>
      <c r="C27" s="273">
        <v>11.5880817</v>
      </c>
      <c r="G27" s="272">
        <v>21</v>
      </c>
      <c r="H27" s="273">
        <v>2.0896999999999999E-2</v>
      </c>
      <c r="I27" s="272"/>
      <c r="J27" s="273"/>
      <c r="K27" s="272">
        <v>21</v>
      </c>
      <c r="L27" s="273">
        <v>2.1724299999999998E-2</v>
      </c>
      <c r="O27" s="272">
        <v>21</v>
      </c>
      <c r="P27" s="273">
        <v>2.39913E-2</v>
      </c>
      <c r="X27" s="274"/>
    </row>
    <row r="28" spans="2:24" x14ac:dyDescent="0.2">
      <c r="B28" s="272">
        <v>22</v>
      </c>
      <c r="C28" s="273">
        <v>11.5748449</v>
      </c>
      <c r="G28" s="272">
        <v>22</v>
      </c>
      <c r="H28" s="273">
        <v>2.1973900000000001E-2</v>
      </c>
      <c r="I28" s="272"/>
      <c r="J28" s="273"/>
      <c r="K28" s="272">
        <v>22</v>
      </c>
      <c r="L28" s="273">
        <v>2.2872099999999999E-2</v>
      </c>
      <c r="O28" s="272">
        <v>22</v>
      </c>
      <c r="P28" s="273">
        <v>2.5333600000000001E-2</v>
      </c>
      <c r="X28" s="274"/>
    </row>
    <row r="29" spans="2:24" x14ac:dyDescent="0.2">
      <c r="B29" s="272">
        <v>23</v>
      </c>
      <c r="C29" s="273">
        <v>11.560785299999999</v>
      </c>
      <c r="G29" s="272">
        <v>23</v>
      </c>
      <c r="H29" s="273">
        <v>2.3117800000000001E-2</v>
      </c>
      <c r="I29" s="272"/>
      <c r="J29" s="273"/>
      <c r="K29" s="272">
        <v>23</v>
      </c>
      <c r="L29" s="273">
        <v>2.4093099999999999E-2</v>
      </c>
      <c r="O29" s="272">
        <v>23</v>
      </c>
      <c r="P29" s="273">
        <v>2.67657E-2</v>
      </c>
      <c r="X29" s="274"/>
    </row>
    <row r="30" spans="2:24" x14ac:dyDescent="0.2">
      <c r="B30" s="272">
        <v>24</v>
      </c>
      <c r="C30" s="273">
        <v>11.5457971</v>
      </c>
      <c r="G30" s="272">
        <v>24</v>
      </c>
      <c r="H30" s="273">
        <v>2.43372E-2</v>
      </c>
      <c r="I30" s="272"/>
      <c r="J30" s="273"/>
      <c r="K30" s="272">
        <v>24</v>
      </c>
      <c r="L30" s="273">
        <v>2.5396200000000001E-2</v>
      </c>
      <c r="O30" s="272">
        <v>24</v>
      </c>
      <c r="P30" s="273">
        <v>2.82981E-2</v>
      </c>
      <c r="X30" s="274"/>
    </row>
    <row r="31" spans="2:24" x14ac:dyDescent="0.2">
      <c r="B31" s="272">
        <v>25</v>
      </c>
      <c r="C31" s="273">
        <v>11.5297733</v>
      </c>
      <c r="G31" s="272">
        <v>25</v>
      </c>
      <c r="H31" s="273">
        <v>2.5641000000000001E-2</v>
      </c>
      <c r="I31" s="272"/>
      <c r="J31" s="273"/>
      <c r="K31" s="272">
        <v>25</v>
      </c>
      <c r="L31" s="273">
        <v>2.67908E-2</v>
      </c>
      <c r="M31" s="275"/>
      <c r="N31" s="275"/>
      <c r="O31" s="272">
        <v>25</v>
      </c>
      <c r="P31" s="273">
        <v>2.9941700000000002E-2</v>
      </c>
      <c r="X31" s="274"/>
    </row>
    <row r="32" spans="2:24" x14ac:dyDescent="0.2">
      <c r="B32" s="272">
        <v>26</v>
      </c>
      <c r="C32" s="273">
        <v>11.5125894</v>
      </c>
      <c r="G32" s="272">
        <v>26</v>
      </c>
      <c r="H32" s="273">
        <v>2.70391E-2</v>
      </c>
      <c r="I32" s="272"/>
      <c r="J32" s="273"/>
      <c r="K32" s="272">
        <v>26</v>
      </c>
      <c r="L32" s="273">
        <v>2.8287699999999999E-2</v>
      </c>
      <c r="M32" s="275"/>
      <c r="N32" s="275"/>
      <c r="O32" s="272">
        <v>26</v>
      </c>
      <c r="P32" s="273">
        <v>3.1709099999999997E-2</v>
      </c>
      <c r="X32" s="274"/>
    </row>
    <row r="33" spans="2:24" x14ac:dyDescent="0.2">
      <c r="B33" s="272">
        <v>27</v>
      </c>
      <c r="C33" s="273">
        <v>11.4941105</v>
      </c>
      <c r="G33" s="272">
        <v>27</v>
      </c>
      <c r="H33" s="273">
        <v>2.8542600000000001E-2</v>
      </c>
      <c r="I33" s="272"/>
      <c r="J33" s="273"/>
      <c r="K33" s="272">
        <v>27</v>
      </c>
      <c r="L33" s="273">
        <v>2.9898399999999999E-2</v>
      </c>
      <c r="M33" s="275"/>
      <c r="N33" s="275"/>
      <c r="O33" s="272">
        <v>27</v>
      </c>
      <c r="P33" s="273">
        <v>3.3613499999999998E-2</v>
      </c>
      <c r="X33" s="274"/>
    </row>
    <row r="34" spans="2:24" x14ac:dyDescent="0.2">
      <c r="B34" s="272">
        <v>28</v>
      </c>
      <c r="C34" s="273">
        <v>11.47419</v>
      </c>
      <c r="G34" s="272">
        <v>28</v>
      </c>
      <c r="H34" s="273">
        <v>3.01634E-2</v>
      </c>
      <c r="I34" s="272"/>
      <c r="J34" s="273"/>
      <c r="K34" s="272">
        <v>28</v>
      </c>
      <c r="L34" s="273">
        <v>3.16356E-2</v>
      </c>
      <c r="M34" s="275"/>
      <c r="N34" s="275"/>
      <c r="O34" s="272">
        <v>28</v>
      </c>
      <c r="P34" s="273">
        <v>3.5669800000000002E-2</v>
      </c>
      <c r="X34" s="274"/>
    </row>
    <row r="35" spans="2:24" x14ac:dyDescent="0.2">
      <c r="B35" s="272">
        <v>29</v>
      </c>
      <c r="C35" s="273">
        <v>11.4526697</v>
      </c>
      <c r="G35" s="272">
        <v>29</v>
      </c>
      <c r="H35" s="273">
        <v>3.1914400000000002E-2</v>
      </c>
      <c r="I35" s="272"/>
      <c r="J35" s="273"/>
      <c r="K35" s="272">
        <v>29</v>
      </c>
      <c r="L35" s="273">
        <v>3.3513000000000001E-2</v>
      </c>
      <c r="M35" s="275"/>
      <c r="N35" s="275"/>
      <c r="O35" s="272">
        <v>29</v>
      </c>
      <c r="P35" s="273">
        <v>3.78936E-2</v>
      </c>
      <c r="Q35" s="275"/>
      <c r="R35" s="275"/>
      <c r="X35" s="274"/>
    </row>
    <row r="36" spans="2:24" x14ac:dyDescent="0.2">
      <c r="B36" s="272">
        <v>30</v>
      </c>
      <c r="C36" s="273">
        <v>11.429384499999999</v>
      </c>
      <c r="G36" s="272">
        <v>30</v>
      </c>
      <c r="H36" s="273">
        <v>3.3808999999999999E-2</v>
      </c>
      <c r="I36" s="272"/>
      <c r="J36" s="273"/>
      <c r="K36" s="272">
        <v>30</v>
      </c>
      <c r="L36" s="273">
        <v>3.5544899999999997E-2</v>
      </c>
      <c r="M36" s="275"/>
      <c r="N36" s="275"/>
      <c r="O36" s="272">
        <v>30</v>
      </c>
      <c r="P36" s="273">
        <v>4.0301799999999999E-2</v>
      </c>
      <c r="Q36" s="275"/>
      <c r="R36" s="275"/>
      <c r="X36" s="274"/>
    </row>
    <row r="37" spans="2:24" x14ac:dyDescent="0.2">
      <c r="B37" s="272">
        <v>31</v>
      </c>
      <c r="C37" s="273">
        <v>11.404140699999999</v>
      </c>
      <c r="G37" s="272">
        <v>31</v>
      </c>
      <c r="H37" s="273">
        <v>3.5862999999999999E-2</v>
      </c>
      <c r="I37" s="272"/>
      <c r="J37" s="273"/>
      <c r="K37" s="272">
        <v>31</v>
      </c>
      <c r="L37" s="273">
        <v>3.7747999999999997E-2</v>
      </c>
      <c r="M37" s="275"/>
      <c r="N37" s="275"/>
      <c r="O37" s="272">
        <v>31</v>
      </c>
      <c r="P37" s="273">
        <v>4.2913399999999997E-2</v>
      </c>
      <c r="Q37" s="275"/>
      <c r="R37" s="275"/>
      <c r="X37" s="274"/>
    </row>
    <row r="38" spans="2:24" x14ac:dyDescent="0.2">
      <c r="B38" s="272">
        <v>32</v>
      </c>
      <c r="C38" s="273">
        <v>11.3767453</v>
      </c>
      <c r="G38" s="272">
        <v>32</v>
      </c>
      <c r="H38" s="273">
        <v>3.8092099999999997E-2</v>
      </c>
      <c r="I38" s="272"/>
      <c r="J38" s="273"/>
      <c r="K38" s="272">
        <v>32</v>
      </c>
      <c r="L38" s="273">
        <v>4.0139000000000001E-2</v>
      </c>
      <c r="M38" s="275"/>
      <c r="N38" s="275"/>
      <c r="O38" s="272">
        <v>32</v>
      </c>
      <c r="P38" s="273">
        <v>4.5747999999999997E-2</v>
      </c>
      <c r="Q38" s="275"/>
      <c r="R38" s="275"/>
      <c r="X38" s="274"/>
    </row>
    <row r="39" spans="2:24" x14ac:dyDescent="0.2">
      <c r="B39" s="272">
        <v>33</v>
      </c>
      <c r="C39" s="273">
        <v>11.347014700000001</v>
      </c>
      <c r="G39" s="272">
        <v>33</v>
      </c>
      <c r="H39" s="273">
        <v>4.0511100000000001E-2</v>
      </c>
      <c r="I39" s="272"/>
      <c r="J39" s="273"/>
      <c r="K39" s="272">
        <v>33</v>
      </c>
      <c r="L39" s="273">
        <v>4.2733800000000002E-2</v>
      </c>
      <c r="M39" s="275"/>
      <c r="N39" s="275"/>
      <c r="O39" s="272">
        <v>33</v>
      </c>
      <c r="P39" s="273">
        <v>4.8824600000000003E-2</v>
      </c>
      <c r="Q39" s="275"/>
      <c r="R39" s="275"/>
      <c r="X39" s="274"/>
    </row>
    <row r="40" spans="2:24" x14ac:dyDescent="0.2">
      <c r="B40" s="272">
        <v>34</v>
      </c>
      <c r="C40" s="273">
        <v>11.314874400000001</v>
      </c>
      <c r="G40" s="272">
        <v>34</v>
      </c>
      <c r="H40" s="273">
        <v>4.3126200000000003E-2</v>
      </c>
      <c r="I40" s="272"/>
      <c r="J40" s="273"/>
      <c r="K40" s="272">
        <v>34</v>
      </c>
      <c r="L40" s="273">
        <v>4.5539799999999998E-2</v>
      </c>
      <c r="M40" s="275"/>
      <c r="N40" s="275"/>
      <c r="O40" s="272">
        <v>34</v>
      </c>
      <c r="P40" s="273">
        <v>5.21538E-2</v>
      </c>
      <c r="Q40" s="275"/>
      <c r="R40" s="275"/>
      <c r="X40" s="274"/>
    </row>
    <row r="41" spans="2:24" x14ac:dyDescent="0.2">
      <c r="B41" s="272">
        <v>35</v>
      </c>
      <c r="C41" s="273">
        <v>11.2803079</v>
      </c>
      <c r="G41" s="272">
        <v>35</v>
      </c>
      <c r="H41" s="273">
        <v>4.5938600000000003E-2</v>
      </c>
      <c r="I41" s="272"/>
      <c r="J41" s="273"/>
      <c r="K41" s="272">
        <v>35</v>
      </c>
      <c r="L41" s="273">
        <v>4.8559699999999997E-2</v>
      </c>
      <c r="M41" s="275"/>
      <c r="N41" s="275"/>
      <c r="O41" s="272">
        <v>35</v>
      </c>
      <c r="P41" s="273">
        <v>5.5742100000000003E-2</v>
      </c>
      <c r="Q41" s="275"/>
      <c r="R41" s="275"/>
      <c r="X41" s="274"/>
    </row>
    <row r="42" spans="2:24" x14ac:dyDescent="0.2">
      <c r="B42" s="272">
        <v>36</v>
      </c>
      <c r="C42" s="273">
        <v>11.2432345</v>
      </c>
      <c r="G42" s="272">
        <v>36</v>
      </c>
      <c r="H42" s="273">
        <v>4.8954999999999999E-2</v>
      </c>
      <c r="I42" s="272"/>
      <c r="J42" s="273"/>
      <c r="K42" s="272">
        <v>36</v>
      </c>
      <c r="L42" s="273">
        <v>5.1801399999999997E-2</v>
      </c>
      <c r="M42" s="275"/>
      <c r="N42" s="275"/>
      <c r="O42" s="272">
        <v>36</v>
      </c>
      <c r="P42" s="273">
        <v>5.9601300000000003E-2</v>
      </c>
      <c r="Q42" s="275"/>
      <c r="R42" s="275"/>
      <c r="X42" s="274"/>
    </row>
    <row r="43" spans="2:24" x14ac:dyDescent="0.2">
      <c r="B43" s="272">
        <v>37</v>
      </c>
      <c r="C43" s="273">
        <v>11.2035874</v>
      </c>
      <c r="G43" s="272">
        <v>37</v>
      </c>
      <c r="H43" s="273">
        <v>5.2180799999999999E-2</v>
      </c>
      <c r="I43" s="272"/>
      <c r="J43" s="273"/>
      <c r="K43" s="272">
        <v>37</v>
      </c>
      <c r="L43" s="273">
        <v>5.5272099999999998E-2</v>
      </c>
      <c r="M43" s="275"/>
      <c r="N43" s="275"/>
      <c r="O43" s="272">
        <v>37</v>
      </c>
      <c r="P43" s="273">
        <v>6.3742999999999994E-2</v>
      </c>
      <c r="Q43" s="275"/>
      <c r="R43" s="275"/>
      <c r="X43" s="274"/>
    </row>
    <row r="44" spans="2:24" x14ac:dyDescent="0.2">
      <c r="B44" s="272">
        <v>38</v>
      </c>
      <c r="C44" s="273">
        <v>11.1612765</v>
      </c>
      <c r="G44" s="272">
        <v>38</v>
      </c>
      <c r="H44" s="273">
        <v>5.5623300000000001E-2</v>
      </c>
      <c r="I44" s="272"/>
      <c r="J44" s="273"/>
      <c r="K44" s="272">
        <v>38</v>
      </c>
      <c r="L44" s="273">
        <v>5.8980699999999997E-2</v>
      </c>
      <c r="M44" s="275"/>
      <c r="N44" s="275"/>
      <c r="O44" s="272">
        <v>38</v>
      </c>
      <c r="P44" s="273">
        <v>6.8180900000000003E-2</v>
      </c>
      <c r="Q44" s="275"/>
      <c r="R44" s="275"/>
      <c r="X44" s="274"/>
    </row>
    <row r="45" spans="2:24" x14ac:dyDescent="0.2">
      <c r="B45" s="272">
        <v>39</v>
      </c>
      <c r="C45" s="273">
        <v>11.116201999999999</v>
      </c>
      <c r="G45" s="272">
        <v>39</v>
      </c>
      <c r="H45" s="273">
        <v>5.9290599999999999E-2</v>
      </c>
      <c r="I45" s="272"/>
      <c r="J45" s="273"/>
      <c r="K45" s="272">
        <v>39</v>
      </c>
      <c r="L45" s="273">
        <v>6.2937400000000004E-2</v>
      </c>
      <c r="M45" s="275"/>
      <c r="N45" s="275"/>
      <c r="O45" s="272">
        <v>39</v>
      </c>
      <c r="P45" s="273">
        <v>7.2930499999999995E-2</v>
      </c>
      <c r="Q45" s="275"/>
      <c r="R45" s="275"/>
      <c r="X45" s="274"/>
    </row>
    <row r="46" spans="2:24" x14ac:dyDescent="0.2">
      <c r="B46" s="272">
        <v>40</v>
      </c>
      <c r="C46" s="273">
        <v>11.068254100000001</v>
      </c>
      <c r="G46" s="272">
        <v>40</v>
      </c>
      <c r="H46" s="273">
        <v>6.3191800000000006E-2</v>
      </c>
      <c r="I46" s="272"/>
      <c r="J46" s="273"/>
      <c r="K46" s="272">
        <v>40</v>
      </c>
      <c r="L46" s="273">
        <v>6.7153099999999993E-2</v>
      </c>
      <c r="M46" s="275"/>
      <c r="N46" s="275"/>
      <c r="O46" s="272">
        <v>40</v>
      </c>
      <c r="P46" s="273">
        <v>7.8008300000000003E-2</v>
      </c>
      <c r="Q46" s="275"/>
      <c r="R46" s="275"/>
      <c r="X46" s="274"/>
    </row>
    <row r="47" spans="2:24" x14ac:dyDescent="0.2">
      <c r="B47" s="272">
        <v>41</v>
      </c>
      <c r="C47" s="273">
        <v>11.0173272</v>
      </c>
      <c r="G47" s="272">
        <v>41</v>
      </c>
      <c r="H47" s="273">
        <v>6.7335300000000001E-2</v>
      </c>
      <c r="I47" s="272"/>
      <c r="J47" s="273"/>
      <c r="K47" s="272">
        <v>41</v>
      </c>
      <c r="L47" s="273">
        <v>7.1638800000000002E-2</v>
      </c>
      <c r="M47" s="275"/>
      <c r="N47" s="275"/>
      <c r="O47" s="272">
        <v>41</v>
      </c>
      <c r="P47" s="273">
        <v>8.3431599999999995E-2</v>
      </c>
      <c r="Q47" s="275"/>
      <c r="R47" s="275"/>
      <c r="X47" s="274"/>
    </row>
    <row r="48" spans="2:24" x14ac:dyDescent="0.2">
      <c r="B48" s="272">
        <v>42</v>
      </c>
      <c r="C48" s="273">
        <v>10.963400500000001</v>
      </c>
      <c r="G48" s="272">
        <v>42</v>
      </c>
      <c r="H48" s="273">
        <v>7.1722800000000003E-2</v>
      </c>
      <c r="I48" s="272"/>
      <c r="J48" s="273"/>
      <c r="K48" s="272">
        <v>42</v>
      </c>
      <c r="L48" s="273">
        <v>7.6398599999999997E-2</v>
      </c>
      <c r="M48" s="275"/>
      <c r="N48" s="275"/>
      <c r="O48" s="272">
        <v>42</v>
      </c>
      <c r="P48" s="273">
        <v>8.9211499999999999E-2</v>
      </c>
      <c r="Q48" s="275"/>
      <c r="R48" s="275"/>
      <c r="X48" s="274"/>
    </row>
    <row r="49" spans="2:24" x14ac:dyDescent="0.2">
      <c r="B49" s="272">
        <v>43</v>
      </c>
      <c r="C49" s="273">
        <v>10.9063876</v>
      </c>
      <c r="G49" s="272">
        <v>43</v>
      </c>
      <c r="H49" s="273">
        <v>7.6361499999999999E-2</v>
      </c>
      <c r="I49" s="272"/>
      <c r="J49" s="273"/>
      <c r="K49" s="272">
        <v>43</v>
      </c>
      <c r="L49" s="273">
        <v>8.1442500000000001E-2</v>
      </c>
      <c r="M49" s="275"/>
      <c r="N49" s="275"/>
      <c r="O49" s="272">
        <v>43</v>
      </c>
      <c r="P49" s="273">
        <v>9.5365500000000006E-2</v>
      </c>
      <c r="Q49" s="275"/>
      <c r="R49" s="275"/>
      <c r="X49" s="274"/>
    </row>
    <row r="50" spans="2:24" x14ac:dyDescent="0.2">
      <c r="B50" s="272">
        <v>44</v>
      </c>
      <c r="C50" s="273">
        <v>10.8459409</v>
      </c>
      <c r="G50" s="272">
        <v>44</v>
      </c>
      <c r="H50" s="273">
        <v>8.1279699999999996E-2</v>
      </c>
      <c r="I50" s="272"/>
      <c r="J50" s="273"/>
      <c r="K50" s="272">
        <v>44</v>
      </c>
      <c r="L50" s="273">
        <v>8.6801600000000007E-2</v>
      </c>
      <c r="M50" s="275"/>
      <c r="N50" s="275"/>
      <c r="O50" s="272">
        <v>44</v>
      </c>
      <c r="P50" s="273">
        <v>0.101933</v>
      </c>
      <c r="Q50" s="275"/>
      <c r="R50" s="275"/>
      <c r="X50" s="274"/>
    </row>
    <row r="51" spans="2:24" x14ac:dyDescent="0.2">
      <c r="B51" s="272">
        <v>45</v>
      </c>
      <c r="C51" s="273">
        <v>10.781719799999999</v>
      </c>
      <c r="G51" s="272">
        <v>45</v>
      </c>
      <c r="H51" s="273">
        <v>8.6504999999999999E-2</v>
      </c>
      <c r="I51" s="272"/>
      <c r="J51" s="273"/>
      <c r="K51" s="272">
        <v>45</v>
      </c>
      <c r="L51" s="273">
        <v>9.2506900000000003E-2</v>
      </c>
      <c r="M51" s="275"/>
      <c r="N51" s="275"/>
      <c r="O51" s="272">
        <v>45</v>
      </c>
      <c r="P51" s="273">
        <v>0.10895349999999999</v>
      </c>
      <c r="Q51" s="275"/>
      <c r="R51" s="275"/>
      <c r="X51" s="274"/>
    </row>
    <row r="52" spans="2:24" x14ac:dyDescent="0.2">
      <c r="B52" s="272">
        <v>46</v>
      </c>
      <c r="C52" s="273">
        <v>10.713634900000001</v>
      </c>
      <c r="G52" s="272">
        <v>46</v>
      </c>
      <c r="H52" s="273">
        <v>9.2044600000000004E-2</v>
      </c>
      <c r="I52" s="272"/>
      <c r="J52" s="273"/>
      <c r="K52" s="272">
        <v>46</v>
      </c>
      <c r="L52" s="273">
        <v>9.8569100000000007E-2</v>
      </c>
      <c r="M52" s="275"/>
      <c r="N52" s="275"/>
      <c r="O52" s="272">
        <v>46</v>
      </c>
      <c r="P52" s="273">
        <v>0.116448</v>
      </c>
      <c r="Q52" s="275"/>
      <c r="R52" s="275"/>
      <c r="X52" s="274"/>
    </row>
    <row r="53" spans="2:24" x14ac:dyDescent="0.2">
      <c r="B53" s="272">
        <v>47</v>
      </c>
      <c r="C53" s="273">
        <v>10.641711600000001</v>
      </c>
      <c r="G53" s="272">
        <v>47</v>
      </c>
      <c r="H53" s="273">
        <v>9.7896499999999997E-2</v>
      </c>
      <c r="I53" s="272"/>
      <c r="J53" s="273"/>
      <c r="K53" s="272">
        <v>47</v>
      </c>
      <c r="L53" s="273">
        <v>0.1049905</v>
      </c>
      <c r="M53" s="275"/>
      <c r="N53" s="275"/>
      <c r="O53" s="272">
        <v>47</v>
      </c>
      <c r="P53" s="273">
        <v>0.12442979999999999</v>
      </c>
      <c r="Q53" s="275"/>
      <c r="R53" s="275"/>
      <c r="X53" s="274"/>
    </row>
    <row r="54" spans="2:24" x14ac:dyDescent="0.2">
      <c r="B54" s="272">
        <v>48</v>
      </c>
      <c r="C54" s="273">
        <v>10.5659837</v>
      </c>
      <c r="G54" s="272">
        <v>48</v>
      </c>
      <c r="H54" s="273">
        <v>0.10405789999999999</v>
      </c>
      <c r="I54" s="272"/>
      <c r="J54" s="273"/>
      <c r="K54" s="272">
        <v>48</v>
      </c>
      <c r="L54" s="273">
        <v>0.1117727</v>
      </c>
      <c r="M54" s="275"/>
      <c r="N54" s="275"/>
      <c r="O54" s="272">
        <v>48</v>
      </c>
      <c r="P54" s="273">
        <v>0.13291330000000001</v>
      </c>
      <c r="Q54" s="275"/>
      <c r="R54" s="275"/>
      <c r="X54" s="274"/>
    </row>
    <row r="55" spans="2:24" x14ac:dyDescent="0.2">
      <c r="B55" s="272">
        <v>49</v>
      </c>
      <c r="C55" s="273">
        <v>10.486484900000001</v>
      </c>
      <c r="G55" s="272">
        <v>49</v>
      </c>
      <c r="H55" s="273">
        <v>0.1105261</v>
      </c>
      <c r="I55" s="272"/>
      <c r="J55" s="273"/>
      <c r="K55" s="272">
        <v>49</v>
      </c>
      <c r="L55" s="273">
        <v>0.1189182</v>
      </c>
      <c r="M55" s="275"/>
      <c r="N55" s="275"/>
      <c r="O55" s="272">
        <v>49</v>
      </c>
      <c r="P55" s="273">
        <v>0.1419147</v>
      </c>
      <c r="Q55" s="275"/>
      <c r="R55" s="275"/>
      <c r="X55" s="274"/>
    </row>
    <row r="56" spans="2:24" x14ac:dyDescent="0.2">
      <c r="B56" s="272">
        <v>50</v>
      </c>
      <c r="C56" s="273">
        <v>10.4032398</v>
      </c>
      <c r="D56" s="276"/>
      <c r="E56" s="276"/>
      <c r="G56" s="272">
        <v>50</v>
      </c>
      <c r="H56" s="273">
        <v>0.11729920000000001</v>
      </c>
      <c r="I56" s="275"/>
      <c r="J56" s="275"/>
      <c r="K56" s="272">
        <v>50</v>
      </c>
      <c r="L56" s="273">
        <v>0.1264306</v>
      </c>
      <c r="M56" s="275"/>
      <c r="N56" s="275"/>
      <c r="O56" s="272">
        <v>50</v>
      </c>
      <c r="P56" s="273">
        <v>0.151453</v>
      </c>
      <c r="Q56" s="275"/>
      <c r="R56" s="275"/>
      <c r="X56" s="274"/>
    </row>
    <row r="57" spans="2:24" x14ac:dyDescent="0.2">
      <c r="B57" s="272">
        <v>51</v>
      </c>
      <c r="C57" s="273">
        <v>10.3162924</v>
      </c>
      <c r="D57" s="275"/>
      <c r="E57" s="276"/>
      <c r="G57" s="272">
        <v>51</v>
      </c>
      <c r="H57" s="273">
        <v>0.12437330000000001</v>
      </c>
      <c r="I57" s="275"/>
      <c r="J57" s="276"/>
      <c r="K57" s="272">
        <v>51</v>
      </c>
      <c r="L57" s="273">
        <v>0.1343124</v>
      </c>
      <c r="M57" s="275"/>
      <c r="N57" s="276"/>
      <c r="O57" s="272">
        <v>51</v>
      </c>
      <c r="P57" s="273">
        <v>0.1615481</v>
      </c>
      <c r="Q57" s="275"/>
      <c r="R57" s="276"/>
      <c r="X57" s="274"/>
    </row>
    <row r="58" spans="2:24" x14ac:dyDescent="0.2">
      <c r="B58" s="272">
        <v>52</v>
      </c>
      <c r="C58" s="273">
        <v>10.226190900000001</v>
      </c>
      <c r="D58" s="275"/>
      <c r="E58" s="276"/>
      <c r="G58" s="272">
        <v>52</v>
      </c>
      <c r="H58" s="273">
        <v>0.13170409999999999</v>
      </c>
      <c r="I58" s="275"/>
      <c r="J58" s="276"/>
      <c r="K58" s="272">
        <v>52</v>
      </c>
      <c r="L58" s="273">
        <v>0.14252670000000001</v>
      </c>
      <c r="M58" s="275"/>
      <c r="N58" s="276"/>
      <c r="O58" s="272">
        <v>52</v>
      </c>
      <c r="P58" s="273">
        <v>0.17218339999999999</v>
      </c>
      <c r="Q58" s="275"/>
      <c r="R58" s="276"/>
      <c r="X58" s="274"/>
    </row>
    <row r="59" spans="2:24" x14ac:dyDescent="0.2">
      <c r="B59" s="272">
        <v>53</v>
      </c>
      <c r="C59" s="273">
        <v>10.133278000000001</v>
      </c>
      <c r="D59" s="275"/>
      <c r="E59" s="276"/>
      <c r="G59" s="272">
        <v>53</v>
      </c>
      <c r="H59" s="273">
        <v>0.13926369999999999</v>
      </c>
      <c r="I59" s="275"/>
      <c r="J59" s="276"/>
      <c r="K59" s="272">
        <v>53</v>
      </c>
      <c r="L59" s="273">
        <v>0.15105389999999999</v>
      </c>
      <c r="M59" s="275"/>
      <c r="N59" s="276"/>
      <c r="O59" s="272">
        <v>53</v>
      </c>
      <c r="P59" s="273">
        <v>0.1833622</v>
      </c>
      <c r="Q59" s="275"/>
      <c r="R59" s="276"/>
      <c r="X59" s="274"/>
    </row>
    <row r="60" spans="2:24" x14ac:dyDescent="0.2">
      <c r="B60" s="272">
        <v>54</v>
      </c>
      <c r="C60" s="273">
        <v>10.037235000000001</v>
      </c>
      <c r="D60" s="275"/>
      <c r="E60" s="276"/>
      <c r="G60" s="272">
        <v>54</v>
      </c>
      <c r="H60" s="273">
        <v>0.14707819999999999</v>
      </c>
      <c r="I60" s="275"/>
      <c r="J60" s="276"/>
      <c r="K60" s="272">
        <v>54</v>
      </c>
      <c r="L60" s="273">
        <v>0.15992870000000001</v>
      </c>
      <c r="M60" s="275"/>
      <c r="N60" s="276"/>
      <c r="O60" s="272">
        <v>54</v>
      </c>
      <c r="P60" s="273">
        <v>0.19514210000000001</v>
      </c>
      <c r="Q60" s="275"/>
      <c r="R60" s="276"/>
      <c r="X60" s="274"/>
    </row>
    <row r="61" spans="2:24" x14ac:dyDescent="0.2">
      <c r="B61" s="272">
        <v>55</v>
      </c>
      <c r="C61" s="273">
        <v>9.9376859999999994</v>
      </c>
      <c r="D61" s="275"/>
      <c r="E61" s="276"/>
      <c r="G61" s="272">
        <v>55</v>
      </c>
      <c r="H61" s="273">
        <v>0.15517819999999999</v>
      </c>
      <c r="I61" s="275"/>
      <c r="J61" s="276"/>
      <c r="K61" s="272">
        <v>55</v>
      </c>
      <c r="L61" s="273">
        <v>0.1691908</v>
      </c>
      <c r="M61" s="275"/>
      <c r="N61" s="276"/>
      <c r="O61" s="272">
        <v>55</v>
      </c>
      <c r="P61" s="273">
        <v>0.20758879999999999</v>
      </c>
      <c r="Q61" s="275"/>
      <c r="R61" s="276"/>
      <c r="X61" s="274"/>
    </row>
    <row r="62" spans="2:24" x14ac:dyDescent="0.2">
      <c r="B62" s="272">
        <v>56</v>
      </c>
      <c r="C62" s="273">
        <v>9.8341892000000009</v>
      </c>
      <c r="D62" s="275"/>
      <c r="E62" s="276"/>
      <c r="G62" s="272">
        <v>56</v>
      </c>
      <c r="H62" s="273">
        <v>0.16359969999999999</v>
      </c>
      <c r="I62" s="275"/>
      <c r="J62" s="276"/>
      <c r="K62" s="272">
        <v>56</v>
      </c>
      <c r="L62" s="273">
        <v>0.17888670000000001</v>
      </c>
      <c r="M62" s="275"/>
      <c r="N62" s="276"/>
      <c r="O62" s="272">
        <v>56</v>
      </c>
      <c r="P62" s="273">
        <v>0.2207769</v>
      </c>
      <c r="Q62" s="275"/>
      <c r="R62" s="276"/>
      <c r="X62" s="274"/>
    </row>
    <row r="63" spans="2:24" x14ac:dyDescent="0.2">
      <c r="B63" s="272">
        <v>57</v>
      </c>
      <c r="C63" s="273">
        <v>9.7261941000000007</v>
      </c>
      <c r="D63" s="275"/>
      <c r="E63" s="276"/>
      <c r="G63" s="272">
        <v>57</v>
      </c>
      <c r="H63" s="273">
        <v>0.17238729999999999</v>
      </c>
      <c r="I63" s="275"/>
      <c r="J63" s="276"/>
      <c r="K63" s="272">
        <v>57</v>
      </c>
      <c r="L63" s="273">
        <v>0.1890724</v>
      </c>
      <c r="M63" s="275"/>
      <c r="N63" s="276"/>
      <c r="O63" s="272">
        <v>57</v>
      </c>
      <c r="P63" s="273">
        <v>0.23479359999999999</v>
      </c>
      <c r="Q63" s="275"/>
      <c r="R63" s="276"/>
      <c r="X63" s="274"/>
    </row>
    <row r="64" spans="2:24" x14ac:dyDescent="0.2">
      <c r="B64" s="272">
        <v>58</v>
      </c>
      <c r="C64" s="273">
        <v>9.6132752000000004</v>
      </c>
      <c r="D64" s="275"/>
      <c r="E64" s="276"/>
      <c r="G64" s="272">
        <v>58</v>
      </c>
      <c r="H64" s="273">
        <v>0.18157580000000001</v>
      </c>
      <c r="I64" s="275"/>
      <c r="J64" s="276"/>
      <c r="K64" s="272">
        <v>58</v>
      </c>
      <c r="L64" s="273">
        <v>0.19979530000000001</v>
      </c>
      <c r="M64" s="275"/>
      <c r="N64" s="276"/>
      <c r="O64" s="272">
        <v>58</v>
      </c>
      <c r="P64" s="273">
        <v>0.24972130000000001</v>
      </c>
      <c r="Q64" s="275"/>
      <c r="R64" s="276"/>
      <c r="X64" s="274"/>
    </row>
    <row r="65" spans="2:24" x14ac:dyDescent="0.2">
      <c r="B65" s="272">
        <v>59</v>
      </c>
      <c r="C65" s="273">
        <v>9.4952079999999999</v>
      </c>
      <c r="D65" s="275"/>
      <c r="E65" s="276"/>
      <c r="G65" s="272">
        <v>59</v>
      </c>
      <c r="H65" s="273">
        <v>0.1911833</v>
      </c>
      <c r="I65" s="275"/>
      <c r="J65" s="276"/>
      <c r="K65" s="272">
        <v>59</v>
      </c>
      <c r="L65" s="273">
        <v>0.21108840000000001</v>
      </c>
      <c r="M65" s="275"/>
      <c r="N65" s="276"/>
      <c r="O65" s="272">
        <v>59</v>
      </c>
      <c r="P65" s="273">
        <v>0.26563330000000002</v>
      </c>
      <c r="Q65" s="275"/>
      <c r="R65" s="276"/>
      <c r="X65" s="274"/>
    </row>
    <row r="66" spans="2:24" x14ac:dyDescent="0.2">
      <c r="B66" s="272">
        <v>60</v>
      </c>
      <c r="C66" s="273">
        <v>9.3717185000000001</v>
      </c>
      <c r="D66" s="275"/>
      <c r="E66" s="276"/>
      <c r="G66" s="272">
        <v>60</v>
      </c>
      <c r="H66" s="273">
        <v>0.2012323</v>
      </c>
      <c r="I66" s="275"/>
      <c r="J66" s="276"/>
      <c r="K66" s="272">
        <v>60</v>
      </c>
      <c r="L66" s="273">
        <v>0.22299050000000001</v>
      </c>
      <c r="M66" s="275"/>
      <c r="N66" s="276"/>
      <c r="O66" s="272">
        <v>60</v>
      </c>
      <c r="P66" s="273">
        <v>0.28261350000000002</v>
      </c>
      <c r="Q66" s="275"/>
      <c r="R66" s="276"/>
      <c r="X66" s="274"/>
    </row>
    <row r="67" spans="2:24" x14ac:dyDescent="0.2">
      <c r="B67" s="272">
        <v>61</v>
      </c>
      <c r="C67" s="273">
        <v>9.242229</v>
      </c>
      <c r="G67">
        <v>61</v>
      </c>
      <c r="H67">
        <v>0.2117705</v>
      </c>
      <c r="K67" s="272">
        <v>61</v>
      </c>
      <c r="L67" s="273">
        <v>0.23556730000000001</v>
      </c>
      <c r="O67" s="272">
        <v>61</v>
      </c>
      <c r="P67" s="273">
        <v>0.3007763</v>
      </c>
      <c r="X67" s="274"/>
    </row>
    <row r="68" spans="2:24" x14ac:dyDescent="0.2">
      <c r="B68" s="272">
        <v>62</v>
      </c>
      <c r="C68" s="273">
        <v>9.1034740999999997</v>
      </c>
      <c r="G68">
        <v>62</v>
      </c>
      <c r="H68">
        <v>0.2230635</v>
      </c>
      <c r="K68" s="272">
        <v>62</v>
      </c>
      <c r="L68" s="273">
        <v>0.24909709999999999</v>
      </c>
      <c r="O68" s="272">
        <v>62</v>
      </c>
      <c r="P68" s="273">
        <v>0.32043579999999999</v>
      </c>
      <c r="X68" s="274"/>
    </row>
    <row r="69" spans="2:24" x14ac:dyDescent="0.2">
      <c r="B69" s="272">
        <v>63</v>
      </c>
      <c r="C69" s="273">
        <v>8.9532440999999992</v>
      </c>
      <c r="G69">
        <v>63</v>
      </c>
      <c r="H69">
        <v>0.23528979999999999</v>
      </c>
      <c r="K69" s="272">
        <v>63</v>
      </c>
      <c r="L69" s="273">
        <v>0.26377509999999998</v>
      </c>
      <c r="O69" s="272">
        <v>63</v>
      </c>
      <c r="P69" s="273">
        <v>0.34183219999999997</v>
      </c>
      <c r="X69" s="274"/>
    </row>
    <row r="70" spans="2:24" x14ac:dyDescent="0.2">
      <c r="B70" s="272">
        <v>64</v>
      </c>
      <c r="C70" s="273">
        <v>8.7927607000000005</v>
      </c>
      <c r="G70">
        <v>64</v>
      </c>
      <c r="H70">
        <v>0.24834999999999999</v>
      </c>
      <c r="K70" s="272">
        <v>64</v>
      </c>
      <c r="L70" s="273">
        <v>0.27953060000000002</v>
      </c>
      <c r="O70" s="272">
        <v>64</v>
      </c>
      <c r="P70" s="273">
        <v>0.3649732</v>
      </c>
      <c r="X70" s="274"/>
    </row>
    <row r="71" spans="2:24" x14ac:dyDescent="0.2">
      <c r="B71" s="272">
        <v>65</v>
      </c>
      <c r="C71" s="273">
        <v>8.6232269000000006</v>
      </c>
      <c r="G71">
        <v>65</v>
      </c>
      <c r="H71">
        <v>0.2621464</v>
      </c>
      <c r="K71" s="272">
        <v>65</v>
      </c>
      <c r="L71" s="273">
        <v>0.29629919999999998</v>
      </c>
      <c r="O71" s="272">
        <v>65</v>
      </c>
      <c r="P71" s="273">
        <v>0.38988640000000002</v>
      </c>
      <c r="X71" s="274"/>
    </row>
    <row r="72" spans="2:24" x14ac:dyDescent="0.2">
      <c r="B72" s="272">
        <v>66</v>
      </c>
      <c r="C72" s="273">
        <v>8.4458265000000008</v>
      </c>
      <c r="G72">
        <v>66</v>
      </c>
      <c r="H72">
        <v>0.27658270000000001</v>
      </c>
      <c r="K72" s="272">
        <v>66</v>
      </c>
      <c r="L72" s="273">
        <v>0.31402419999999998</v>
      </c>
      <c r="O72" s="272">
        <v>66</v>
      </c>
      <c r="P72" s="273">
        <v>0.41662339999999998</v>
      </c>
      <c r="X72" s="274"/>
    </row>
    <row r="73" spans="2:24" x14ac:dyDescent="0.2">
      <c r="B73" s="272">
        <v>67</v>
      </c>
      <c r="C73" s="273">
        <v>8.2616978999999997</v>
      </c>
      <c r="G73">
        <v>67</v>
      </c>
      <c r="H73">
        <v>0.2915664</v>
      </c>
      <c r="K73" s="272">
        <v>67</v>
      </c>
      <c r="L73" s="273">
        <v>0.3326597</v>
      </c>
      <c r="O73" s="272">
        <v>67</v>
      </c>
      <c r="P73" s="273">
        <v>0.44526589999999999</v>
      </c>
      <c r="X73" s="274"/>
    </row>
    <row r="74" spans="2:24" x14ac:dyDescent="0.2">
      <c r="B74" s="272">
        <v>68</v>
      </c>
      <c r="C74" s="273">
        <v>8.0719525999999995</v>
      </c>
      <c r="G74">
        <v>68</v>
      </c>
      <c r="H74">
        <v>0.30700699999999997</v>
      </c>
      <c r="K74" s="272">
        <v>68</v>
      </c>
      <c r="L74" s="273">
        <v>0.3521705</v>
      </c>
      <c r="O74" s="272">
        <v>68</v>
      </c>
      <c r="P74" s="273">
        <v>0.47592970000000001</v>
      </c>
      <c r="X74" s="274"/>
    </row>
    <row r="75" spans="2:24" x14ac:dyDescent="0.2">
      <c r="B75" s="272">
        <v>69</v>
      </c>
      <c r="C75" s="273">
        <v>7.8776403000000004</v>
      </c>
      <c r="G75">
        <v>69</v>
      </c>
      <c r="H75">
        <v>0.32281929999999998</v>
      </c>
      <c r="K75" s="272">
        <v>69</v>
      </c>
      <c r="L75" s="273">
        <v>0.37253649999999999</v>
      </c>
      <c r="O75" s="272">
        <v>69</v>
      </c>
      <c r="P75" s="273">
        <v>0.5087739</v>
      </c>
      <c r="X75" s="274"/>
    </row>
    <row r="76" spans="2:24" x14ac:dyDescent="0.2">
      <c r="B76" s="272">
        <v>70</v>
      </c>
      <c r="C76" s="273">
        <v>7.6797548999999998</v>
      </c>
      <c r="G76">
        <v>70</v>
      </c>
      <c r="H76">
        <v>0.33892260000000002</v>
      </c>
      <c r="K76" s="272">
        <v>70</v>
      </c>
      <c r="L76" s="273">
        <v>0.39375470000000001</v>
      </c>
      <c r="O76" s="272">
        <v>70</v>
      </c>
      <c r="P76" s="273">
        <v>0.54400859999999995</v>
      </c>
      <c r="X76" s="274"/>
    </row>
    <row r="77" spans="2:24" x14ac:dyDescent="0.2">
      <c r="B77" s="272">
        <v>71</v>
      </c>
      <c r="C77" s="273">
        <v>7.4792300000000003</v>
      </c>
      <c r="G77">
        <v>71</v>
      </c>
      <c r="H77">
        <v>0.35524080000000002</v>
      </c>
      <c r="K77" s="272">
        <v>71</v>
      </c>
      <c r="L77" s="273">
        <v>0.41584209999999999</v>
      </c>
      <c r="O77" s="272">
        <v>71</v>
      </c>
      <c r="P77" s="273">
        <v>0.53164020000000001</v>
      </c>
      <c r="X77" s="274"/>
    </row>
    <row r="78" spans="2:24" x14ac:dyDescent="0.2">
      <c r="B78" s="272">
        <v>72</v>
      </c>
      <c r="C78" s="273">
        <v>7.2769366</v>
      </c>
      <c r="G78">
        <v>72</v>
      </c>
      <c r="H78">
        <v>0.37170330000000001</v>
      </c>
      <c r="K78" s="272">
        <v>72</v>
      </c>
      <c r="L78" s="273">
        <v>0.43883919999999998</v>
      </c>
      <c r="O78" s="272">
        <v>72</v>
      </c>
      <c r="P78" s="273">
        <v>0.51796070000000005</v>
      </c>
      <c r="X78" s="274"/>
    </row>
    <row r="79" spans="2:24" x14ac:dyDescent="0.2">
      <c r="B79" s="272">
        <v>73</v>
      </c>
      <c r="C79" s="273">
        <v>7.0736863999999997</v>
      </c>
      <c r="G79">
        <v>73</v>
      </c>
      <c r="H79">
        <v>0.38824409999999998</v>
      </c>
      <c r="K79" s="272">
        <v>73</v>
      </c>
      <c r="L79" s="273">
        <v>0.46281369999999999</v>
      </c>
      <c r="O79" s="272">
        <v>73</v>
      </c>
      <c r="P79" s="273">
        <v>0.50291370000000002</v>
      </c>
      <c r="X79" s="274"/>
    </row>
    <row r="80" spans="2:24" x14ac:dyDescent="0.2">
      <c r="B80" s="272">
        <v>74</v>
      </c>
      <c r="C80" s="273">
        <v>6.8702250999999999</v>
      </c>
      <c r="G80">
        <v>74</v>
      </c>
      <c r="H80">
        <v>0.40480250000000001</v>
      </c>
      <c r="K80" s="272">
        <v>74</v>
      </c>
      <c r="L80" s="273">
        <v>0.48786689999999999</v>
      </c>
      <c r="O80" s="272">
        <v>74</v>
      </c>
      <c r="P80" s="273">
        <v>0.48645300000000002</v>
      </c>
      <c r="X80" s="274"/>
    </row>
    <row r="81" spans="2:24" x14ac:dyDescent="0.2">
      <c r="B81" s="272">
        <v>75</v>
      </c>
      <c r="C81" s="273">
        <v>6.6672285999999996</v>
      </c>
      <c r="G81">
        <v>75</v>
      </c>
      <c r="H81">
        <v>0.42132380000000003</v>
      </c>
      <c r="K81" s="272">
        <v>75</v>
      </c>
      <c r="L81" s="273">
        <v>0.51413980000000004</v>
      </c>
      <c r="O81" s="272">
        <v>75</v>
      </c>
      <c r="P81" s="273">
        <v>0.46854109999999999</v>
      </c>
      <c r="X81" s="274"/>
    </row>
    <row r="82" spans="2:24" x14ac:dyDescent="0.2">
      <c r="B82" s="272">
        <v>76</v>
      </c>
      <c r="C82" s="273">
        <v>6.4653086999999996</v>
      </c>
      <c r="G82">
        <v>76</v>
      </c>
      <c r="H82">
        <v>0.43775809999999998</v>
      </c>
      <c r="K82" s="272">
        <v>76</v>
      </c>
      <c r="L82" s="273">
        <v>0.54182160000000001</v>
      </c>
      <c r="O82" s="272">
        <v>76</v>
      </c>
      <c r="P82" s="273">
        <v>0.44914749999999998</v>
      </c>
      <c r="X82" s="274"/>
    </row>
    <row r="83" spans="2:24" x14ac:dyDescent="0.2">
      <c r="B83" s="272">
        <v>77</v>
      </c>
      <c r="C83" s="273">
        <v>6.2650145999999998</v>
      </c>
      <c r="G83">
        <v>77</v>
      </c>
      <c r="H83">
        <v>0.45406099999999999</v>
      </c>
      <c r="K83" s="272">
        <v>77</v>
      </c>
      <c r="L83" s="273">
        <v>0.57116020000000001</v>
      </c>
      <c r="O83" s="272">
        <v>77</v>
      </c>
      <c r="P83" s="273">
        <v>0.42824719999999999</v>
      </c>
      <c r="X83" s="274"/>
    </row>
    <row r="84" spans="2:24" x14ac:dyDescent="0.2">
      <c r="B84" s="272">
        <v>78</v>
      </c>
      <c r="C84" s="273">
        <v>6.0668398000000003</v>
      </c>
      <c r="G84">
        <v>78</v>
      </c>
      <c r="H84">
        <v>0.47019230000000001</v>
      </c>
      <c r="K84" s="272">
        <v>78</v>
      </c>
      <c r="L84" s="273">
        <v>0.60247519999999999</v>
      </c>
      <c r="O84" s="272">
        <v>78</v>
      </c>
      <c r="P84" s="273">
        <v>0.40581840000000002</v>
      </c>
      <c r="X84" s="274"/>
    </row>
    <row r="85" spans="2:24" x14ac:dyDescent="0.2">
      <c r="B85" s="272">
        <v>79</v>
      </c>
      <c r="C85" s="273">
        <v>5.8712153000000002</v>
      </c>
      <c r="G85">
        <v>79</v>
      </c>
      <c r="H85">
        <v>0.48611700000000002</v>
      </c>
      <c r="K85" s="272">
        <v>79</v>
      </c>
      <c r="L85" s="273">
        <v>0.63617650000000003</v>
      </c>
      <c r="O85" s="272">
        <v>79</v>
      </c>
      <c r="P85" s="273">
        <v>0.38184059999999997</v>
      </c>
      <c r="X85" s="274"/>
    </row>
    <row r="86" spans="2:24" x14ac:dyDescent="0.2">
      <c r="B86" s="272">
        <v>80</v>
      </c>
      <c r="C86" s="273">
        <v>5.6785215999999998</v>
      </c>
      <c r="G86">
        <v>80</v>
      </c>
      <c r="H86">
        <v>0.50180440000000004</v>
      </c>
      <c r="K86" s="272">
        <v>80</v>
      </c>
      <c r="L86" s="273">
        <v>0.6727862</v>
      </c>
      <c r="O86" s="272">
        <v>80</v>
      </c>
      <c r="P86" s="273">
        <v>0.3562921</v>
      </c>
      <c r="X86" s="274"/>
    </row>
    <row r="87" spans="2:24" x14ac:dyDescent="0.2">
      <c r="B87" s="272">
        <v>81</v>
      </c>
      <c r="C87" s="273">
        <v>5.4890827</v>
      </c>
      <c r="G87">
        <v>81</v>
      </c>
      <c r="H87">
        <v>0.51722809999999997</v>
      </c>
      <c r="K87" s="272">
        <v>81</v>
      </c>
      <c r="L87" s="273">
        <v>0.71296890000000002</v>
      </c>
      <c r="O87" s="272">
        <v>81</v>
      </c>
      <c r="P87" s="273">
        <v>0.32914710000000003</v>
      </c>
      <c r="X87" s="274"/>
    </row>
    <row r="88" spans="2:24" x14ac:dyDescent="0.2">
      <c r="B88" s="272">
        <v>82</v>
      </c>
      <c r="C88" s="273">
        <v>5.3031739</v>
      </c>
      <c r="G88">
        <v>82</v>
      </c>
      <c r="H88">
        <v>0.53236589999999995</v>
      </c>
      <c r="K88" s="272">
        <v>82</v>
      </c>
      <c r="L88" s="273">
        <v>0.75757079999999999</v>
      </c>
      <c r="O88" s="272">
        <v>82</v>
      </c>
      <c r="P88" s="273">
        <v>0.30037219999999998</v>
      </c>
      <c r="X88" s="274"/>
    </row>
    <row r="89" spans="2:24" x14ac:dyDescent="0.2">
      <c r="B89" s="272">
        <v>83</v>
      </c>
      <c r="C89" s="273">
        <v>5.1210249000000001</v>
      </c>
      <c r="G89">
        <v>83</v>
      </c>
      <c r="H89">
        <v>0.5471992</v>
      </c>
      <c r="K89" s="272">
        <v>83</v>
      </c>
      <c r="L89" s="273">
        <v>0.80767109999999998</v>
      </c>
      <c r="O89" s="272">
        <v>83</v>
      </c>
      <c r="P89" s="273">
        <v>0.26992169999999999</v>
      </c>
      <c r="X89" s="274"/>
    </row>
    <row r="90" spans="2:24" x14ac:dyDescent="0.2">
      <c r="B90" s="272">
        <v>84</v>
      </c>
      <c r="C90" s="273">
        <v>4.9428270999999997</v>
      </c>
      <c r="G90">
        <v>84</v>
      </c>
      <c r="H90">
        <v>0.56171260000000001</v>
      </c>
      <c r="K90" s="272">
        <v>84</v>
      </c>
      <c r="L90" s="273">
        <v>0.86465119999999995</v>
      </c>
      <c r="O90" s="272">
        <v>84</v>
      </c>
      <c r="P90" s="273">
        <v>0.23773269999999999</v>
      </c>
      <c r="X90" s="274"/>
    </row>
    <row r="91" spans="2:24" x14ac:dyDescent="0.2">
      <c r="B91" s="272">
        <v>85</v>
      </c>
      <c r="C91" s="273">
        <v>4.7687324000000002</v>
      </c>
      <c r="G91">
        <v>85</v>
      </c>
      <c r="H91">
        <v>0.57589389999999996</v>
      </c>
      <c r="K91" s="272">
        <v>85</v>
      </c>
      <c r="L91" s="273">
        <v>0.93028650000000002</v>
      </c>
      <c r="O91" s="272">
        <v>85</v>
      </c>
      <c r="P91" s="273">
        <v>0.20371729999999999</v>
      </c>
      <c r="X91" s="274"/>
    </row>
    <row r="92" spans="2:24" x14ac:dyDescent="0.2">
      <c r="B92" s="272">
        <v>86</v>
      </c>
      <c r="C92" s="273">
        <v>4.5988522999999999</v>
      </c>
      <c r="G92">
        <v>86</v>
      </c>
      <c r="H92">
        <v>0.58973430000000004</v>
      </c>
      <c r="O92" s="272">
        <v>86</v>
      </c>
      <c r="P92" s="273">
        <v>0.1677544</v>
      </c>
      <c r="X92" s="274"/>
    </row>
    <row r="93" spans="2:24" x14ac:dyDescent="0.2">
      <c r="B93" s="272">
        <v>87</v>
      </c>
      <c r="C93" s="273">
        <v>4.4332646999999996</v>
      </c>
      <c r="G93">
        <v>87</v>
      </c>
      <c r="H93">
        <v>0.60322770000000003</v>
      </c>
      <c r="O93" s="272">
        <v>87</v>
      </c>
      <c r="P93" s="273">
        <v>0.1296764</v>
      </c>
      <c r="X93" s="274"/>
    </row>
    <row r="94" spans="2:24" x14ac:dyDescent="0.2">
      <c r="B94" s="272">
        <v>88</v>
      </c>
      <c r="C94" s="273">
        <v>4.2720158000000001</v>
      </c>
      <c r="G94">
        <v>88</v>
      </c>
      <c r="H94">
        <v>0.61637070000000005</v>
      </c>
      <c r="O94" s="272">
        <v>88</v>
      </c>
      <c r="P94" s="273">
        <v>8.9253799999999994E-2</v>
      </c>
      <c r="X94" s="274"/>
    </row>
    <row r="95" spans="2:24" x14ac:dyDescent="0.2">
      <c r="B95" s="272">
        <v>89</v>
      </c>
      <c r="C95" s="273">
        <v>4.1151223999999997</v>
      </c>
      <c r="G95">
        <v>89</v>
      </c>
      <c r="H95">
        <v>0.6291622</v>
      </c>
      <c r="O95" s="272">
        <v>89</v>
      </c>
      <c r="P95" s="273">
        <v>4.6171700000000003E-2</v>
      </c>
      <c r="X95" s="274"/>
    </row>
    <row r="96" spans="2:24" x14ac:dyDescent="0.2">
      <c r="B96" s="272">
        <v>90</v>
      </c>
      <c r="C96" s="273">
        <v>3.9625789</v>
      </c>
      <c r="G96">
        <v>90</v>
      </c>
      <c r="H96">
        <v>0.64160340000000005</v>
      </c>
      <c r="X96" s="274"/>
    </row>
    <row r="97" spans="2:24" x14ac:dyDescent="0.2">
      <c r="B97" s="272">
        <v>91</v>
      </c>
      <c r="C97" s="273">
        <v>3.8143429000000002</v>
      </c>
      <c r="G97">
        <v>91</v>
      </c>
      <c r="H97">
        <v>0.65369820000000001</v>
      </c>
      <c r="X97" s="274"/>
    </row>
    <row r="98" spans="2:24" x14ac:dyDescent="0.2">
      <c r="B98" s="272">
        <v>92</v>
      </c>
      <c r="C98" s="273">
        <v>3.6703492999999998</v>
      </c>
      <c r="G98">
        <v>92</v>
      </c>
      <c r="H98">
        <v>0.66545299999999996</v>
      </c>
      <c r="X98" s="274"/>
    </row>
    <row r="99" spans="2:24" x14ac:dyDescent="0.2">
      <c r="B99" s="272">
        <v>93</v>
      </c>
      <c r="C99" s="273">
        <v>3.5304997999999999</v>
      </c>
      <c r="G99">
        <v>93</v>
      </c>
      <c r="H99">
        <v>0.67687699999999995</v>
      </c>
      <c r="X99" s="274"/>
    </row>
    <row r="100" spans="2:24" x14ac:dyDescent="0.2">
      <c r="B100" s="272">
        <v>94</v>
      </c>
      <c r="C100" s="273">
        <v>3.3946649</v>
      </c>
      <c r="G100">
        <v>94</v>
      </c>
      <c r="H100">
        <v>0.68798239999999999</v>
      </c>
      <c r="X100" s="274"/>
    </row>
    <row r="101" spans="2:24" x14ac:dyDescent="0.2">
      <c r="B101" s="272">
        <v>95</v>
      </c>
      <c r="C101" s="273">
        <v>3.2626708</v>
      </c>
      <c r="G101">
        <v>95</v>
      </c>
      <c r="H101">
        <v>0.69878549999999995</v>
      </c>
      <c r="X101" s="274"/>
    </row>
    <row r="102" spans="2:24" x14ac:dyDescent="0.2">
      <c r="B102" s="272">
        <v>96</v>
      </c>
      <c r="C102" s="273">
        <v>3.1342919999999999</v>
      </c>
      <c r="G102">
        <v>96</v>
      </c>
      <c r="H102">
        <v>0.7093081</v>
      </c>
      <c r="X102" s="274"/>
    </row>
    <row r="103" spans="2:24" x14ac:dyDescent="0.2">
      <c r="B103" s="272">
        <v>97</v>
      </c>
      <c r="C103" s="273">
        <v>3.009236</v>
      </c>
      <c r="G103">
        <v>97</v>
      </c>
      <c r="H103">
        <v>0.71957819999999995</v>
      </c>
      <c r="X103" s="274"/>
    </row>
    <row r="104" spans="2:24" x14ac:dyDescent="0.2">
      <c r="B104" s="272">
        <v>98</v>
      </c>
      <c r="C104" s="273">
        <v>2.8871121999999998</v>
      </c>
      <c r="G104">
        <v>98</v>
      </c>
      <c r="H104">
        <v>0.72963389999999995</v>
      </c>
      <c r="X104" s="274"/>
    </row>
    <row r="105" spans="2:24" x14ac:dyDescent="0.2">
      <c r="B105" s="272">
        <v>99</v>
      </c>
      <c r="C105" s="273">
        <v>2.7673931999999999</v>
      </c>
      <c r="G105">
        <v>99</v>
      </c>
      <c r="H105">
        <v>0.7395273</v>
      </c>
      <c r="X105" s="274"/>
    </row>
    <row r="106" spans="2:24" x14ac:dyDescent="0.2">
      <c r="B106" s="272">
        <v>100</v>
      </c>
      <c r="C106" s="273">
        <v>2.6493521000000002</v>
      </c>
      <c r="G106">
        <v>100</v>
      </c>
      <c r="H106">
        <v>0.74933059999999996</v>
      </c>
      <c r="X106" s="274"/>
    </row>
    <row r="107" spans="2:24" x14ac:dyDescent="0.2">
      <c r="B107" s="272">
        <v>101</v>
      </c>
      <c r="C107" s="273">
        <v>2.5319704000000001</v>
      </c>
      <c r="G107">
        <v>101</v>
      </c>
      <c r="H107">
        <v>0.75914590000000004</v>
      </c>
      <c r="X107" s="274"/>
    </row>
    <row r="108" spans="2:24" x14ac:dyDescent="0.2">
      <c r="B108" s="272">
        <v>102</v>
      </c>
      <c r="C108" s="273">
        <v>2.4137737000000001</v>
      </c>
      <c r="G108">
        <v>102</v>
      </c>
      <c r="H108">
        <v>0.76912179999999997</v>
      </c>
      <c r="X108" s="274"/>
    </row>
    <row r="109" spans="2:24" x14ac:dyDescent="0.2">
      <c r="B109" s="272">
        <v>103</v>
      </c>
      <c r="C109" s="273">
        <v>2.2926028999999999</v>
      </c>
      <c r="G109">
        <v>103</v>
      </c>
      <c r="H109">
        <v>0.77947659999999996</v>
      </c>
      <c r="X109" s="274"/>
    </row>
    <row r="110" spans="2:24" x14ac:dyDescent="0.2">
      <c r="B110" s="272">
        <v>104</v>
      </c>
      <c r="C110" s="273">
        <v>2.165225</v>
      </c>
      <c r="G110">
        <v>104</v>
      </c>
      <c r="H110">
        <v>0.79053879999999999</v>
      </c>
      <c r="X110" s="274"/>
    </row>
    <row r="111" spans="2:24" x14ac:dyDescent="0.2">
      <c r="B111" s="272">
        <v>105</v>
      </c>
      <c r="C111" s="273">
        <v>2.0267176</v>
      </c>
      <c r="G111">
        <v>105</v>
      </c>
      <c r="H111">
        <v>0.80280929999999995</v>
      </c>
      <c r="X111" s="274"/>
    </row>
    <row r="112" spans="2:24" x14ac:dyDescent="0.2">
      <c r="B112" s="272">
        <v>106</v>
      </c>
      <c r="C112" s="273">
        <v>1.8694497999999999</v>
      </c>
      <c r="G112">
        <v>106</v>
      </c>
      <c r="H112">
        <v>0.81706570000000001</v>
      </c>
      <c r="X112" s="274"/>
    </row>
    <row r="113" spans="2:24" x14ac:dyDescent="0.2">
      <c r="B113" s="272">
        <v>107</v>
      </c>
      <c r="C113" s="273">
        <v>1.6814121</v>
      </c>
      <c r="G113">
        <v>107</v>
      </c>
      <c r="H113">
        <v>0.83453339999999998</v>
      </c>
      <c r="X113" s="274"/>
    </row>
    <row r="114" spans="2:24" x14ac:dyDescent="0.2">
      <c r="B114" s="272">
        <v>108</v>
      </c>
      <c r="C114" s="273">
        <v>1.4433779</v>
      </c>
      <c r="G114">
        <v>108</v>
      </c>
      <c r="H114">
        <v>0.85717520000000003</v>
      </c>
      <c r="X114" s="274"/>
    </row>
    <row r="115" spans="2:24" x14ac:dyDescent="0.2">
      <c r="B115" s="272">
        <v>109</v>
      </c>
      <c r="C115" s="273">
        <v>1.1240888</v>
      </c>
      <c r="G115">
        <v>109</v>
      </c>
      <c r="H115">
        <v>0.88818379999999997</v>
      </c>
      <c r="X115" s="274"/>
    </row>
    <row r="116" spans="2:24" x14ac:dyDescent="0.2">
      <c r="B116" s="272">
        <v>110</v>
      </c>
      <c r="C116" s="273">
        <v>0.67188769999999998</v>
      </c>
      <c r="G116">
        <v>110</v>
      </c>
      <c r="H116">
        <v>0.93283649999999996</v>
      </c>
      <c r="X116" s="274"/>
    </row>
    <row r="117" spans="2:24" x14ac:dyDescent="0.2">
      <c r="X117" s="274"/>
    </row>
    <row r="118" spans="2:24" x14ac:dyDescent="0.2">
      <c r="X118" s="274"/>
    </row>
    <row r="119" spans="2:24" x14ac:dyDescent="0.2">
      <c r="X119" s="274"/>
    </row>
    <row r="120" spans="2:24" x14ac:dyDescent="0.2">
      <c r="X120" s="274"/>
    </row>
    <row r="121" spans="2:24" x14ac:dyDescent="0.2">
      <c r="X121" s="274"/>
    </row>
    <row r="122" spans="2:24" x14ac:dyDescent="0.2">
      <c r="X122" s="274"/>
    </row>
    <row r="123" spans="2:24" x14ac:dyDescent="0.2">
      <c r="X123" s="274"/>
    </row>
    <row r="124" spans="2:24" x14ac:dyDescent="0.2">
      <c r="X124" s="274"/>
    </row>
    <row r="125" spans="2:24" x14ac:dyDescent="0.2">
      <c r="X125" s="274"/>
    </row>
    <row r="126" spans="2:24" x14ac:dyDescent="0.2">
      <c r="X126" s="274"/>
    </row>
    <row r="127" spans="2:24" x14ac:dyDescent="0.2">
      <c r="X127" s="274"/>
    </row>
    <row r="128" spans="2:24" x14ac:dyDescent="0.2">
      <c r="X128" s="274"/>
    </row>
    <row r="129" spans="24:24" x14ac:dyDescent="0.2">
      <c r="X129" s="274"/>
    </row>
    <row r="130" spans="24:24" x14ac:dyDescent="0.2">
      <c r="X130" s="274"/>
    </row>
    <row r="131" spans="24:24" x14ac:dyDescent="0.2">
      <c r="X131" s="274"/>
    </row>
    <row r="132" spans="24:24" x14ac:dyDescent="0.2">
      <c r="X132" s="274"/>
    </row>
    <row r="133" spans="24:24" x14ac:dyDescent="0.2">
      <c r="X133" s="274"/>
    </row>
    <row r="134" spans="24:24" x14ac:dyDescent="0.2">
      <c r="X134" s="274"/>
    </row>
    <row r="135" spans="24:24" x14ac:dyDescent="0.2">
      <c r="X135" s="274"/>
    </row>
    <row r="136" spans="24:24" x14ac:dyDescent="0.2">
      <c r="X136" s="274"/>
    </row>
    <row r="137" spans="24:24" x14ac:dyDescent="0.2">
      <c r="X137" s="274"/>
    </row>
    <row r="138" spans="24:24" x14ac:dyDescent="0.2">
      <c r="X138" s="274"/>
    </row>
    <row r="139" spans="24:24" x14ac:dyDescent="0.2">
      <c r="X139" s="274"/>
    </row>
    <row r="140" spans="24:24" x14ac:dyDescent="0.2">
      <c r="X140" s="274"/>
    </row>
    <row r="141" spans="24:24" x14ac:dyDescent="0.2">
      <c r="X141" s="274"/>
    </row>
    <row r="142" spans="24:24" x14ac:dyDescent="0.2">
      <c r="X142" s="274"/>
    </row>
    <row r="143" spans="24:24" x14ac:dyDescent="0.2">
      <c r="X143" s="274"/>
    </row>
    <row r="144" spans="24:24" x14ac:dyDescent="0.2">
      <c r="X144" s="274"/>
    </row>
    <row r="145" spans="24:24" x14ac:dyDescent="0.2">
      <c r="X145" s="274"/>
    </row>
    <row r="146" spans="24:24" x14ac:dyDescent="0.2">
      <c r="X146" s="274"/>
    </row>
    <row r="147" spans="24:24" x14ac:dyDescent="0.2">
      <c r="X147" s="274"/>
    </row>
    <row r="148" spans="24:24" x14ac:dyDescent="0.2">
      <c r="X148" s="274"/>
    </row>
    <row r="149" spans="24:24" x14ac:dyDescent="0.2">
      <c r="X149" s="274"/>
    </row>
    <row r="150" spans="24:24" x14ac:dyDescent="0.2">
      <c r="X150" s="274"/>
    </row>
    <row r="151" spans="24:24" x14ac:dyDescent="0.2">
      <c r="X151" s="274"/>
    </row>
    <row r="152" spans="24:24" x14ac:dyDescent="0.2">
      <c r="X152" s="274"/>
    </row>
    <row r="153" spans="24:24" x14ac:dyDescent="0.2">
      <c r="X153" s="274"/>
    </row>
    <row r="154" spans="24:24" x14ac:dyDescent="0.2">
      <c r="X154" s="274"/>
    </row>
    <row r="155" spans="24:24" x14ac:dyDescent="0.2">
      <c r="X155" s="274"/>
    </row>
    <row r="156" spans="24:24" x14ac:dyDescent="0.2">
      <c r="X156" s="274"/>
    </row>
    <row r="157" spans="24:24" x14ac:dyDescent="0.2">
      <c r="X157" s="274"/>
    </row>
    <row r="158" spans="24:24" x14ac:dyDescent="0.2">
      <c r="X158" s="274"/>
    </row>
    <row r="159" spans="24:24" x14ac:dyDescent="0.2">
      <c r="X159" s="274"/>
    </row>
    <row r="160" spans="24:24" x14ac:dyDescent="0.2">
      <c r="X160" s="274"/>
    </row>
    <row r="161" spans="24:24" x14ac:dyDescent="0.2">
      <c r="X161" s="274"/>
    </row>
    <row r="162" spans="24:24" x14ac:dyDescent="0.2">
      <c r="X162" s="274"/>
    </row>
    <row r="163" spans="24:24" x14ac:dyDescent="0.2">
      <c r="X163" s="274"/>
    </row>
    <row r="164" spans="24:24" x14ac:dyDescent="0.2">
      <c r="X164" s="274"/>
    </row>
    <row r="165" spans="24:24" x14ac:dyDescent="0.2">
      <c r="X165" s="274"/>
    </row>
    <row r="166" spans="24:24" x14ac:dyDescent="0.2">
      <c r="X166" s="274"/>
    </row>
    <row r="167" spans="24:24" x14ac:dyDescent="0.2">
      <c r="X167" s="274"/>
    </row>
    <row r="168" spans="24:24" x14ac:dyDescent="0.2">
      <c r="X168" s="274"/>
    </row>
    <row r="169" spans="24:24" x14ac:dyDescent="0.2">
      <c r="X169" s="274"/>
    </row>
    <row r="170" spans="24:24" x14ac:dyDescent="0.2">
      <c r="X170" s="274"/>
    </row>
    <row r="171" spans="24:24" x14ac:dyDescent="0.2">
      <c r="X171" s="274"/>
    </row>
    <row r="172" spans="24:24" x14ac:dyDescent="0.2">
      <c r="X172" s="274"/>
    </row>
    <row r="173" spans="24:24" x14ac:dyDescent="0.2">
      <c r="X173" s="274"/>
    </row>
    <row r="174" spans="24:24" x14ac:dyDescent="0.2">
      <c r="X174" s="274"/>
    </row>
    <row r="175" spans="24:24" x14ac:dyDescent="0.2">
      <c r="X175" s="274"/>
    </row>
    <row r="176" spans="24:24" x14ac:dyDescent="0.2">
      <c r="X176" s="274"/>
    </row>
    <row r="177" spans="24:24" x14ac:dyDescent="0.2">
      <c r="X177" s="274"/>
    </row>
    <row r="178" spans="24:24" x14ac:dyDescent="0.2">
      <c r="X178" s="274"/>
    </row>
    <row r="179" spans="24:24" x14ac:dyDescent="0.2">
      <c r="X179" s="274"/>
    </row>
    <row r="180" spans="24:24" x14ac:dyDescent="0.2">
      <c r="X180" s="274"/>
    </row>
    <row r="181" spans="24:24" x14ac:dyDescent="0.2">
      <c r="X181" s="274"/>
    </row>
    <row r="182" spans="24:24" x14ac:dyDescent="0.2">
      <c r="X182" s="274"/>
    </row>
    <row r="183" spans="24:24" x14ac:dyDescent="0.2">
      <c r="X183" s="274"/>
    </row>
    <row r="184" spans="24:24" x14ac:dyDescent="0.2">
      <c r="X184" s="274"/>
    </row>
    <row r="185" spans="24:24" x14ac:dyDescent="0.2">
      <c r="X185" s="274"/>
    </row>
    <row r="186" spans="24:24" x14ac:dyDescent="0.2">
      <c r="X186" s="274"/>
    </row>
    <row r="187" spans="24:24" x14ac:dyDescent="0.2">
      <c r="X187" s="274"/>
    </row>
    <row r="188" spans="24:24" x14ac:dyDescent="0.2">
      <c r="X188" s="274"/>
    </row>
    <row r="189" spans="24:24" x14ac:dyDescent="0.2">
      <c r="X189" s="274"/>
    </row>
    <row r="190" spans="24:24" x14ac:dyDescent="0.2">
      <c r="X190" s="274"/>
    </row>
    <row r="191" spans="24:24" x14ac:dyDescent="0.2">
      <c r="X191" s="274"/>
    </row>
    <row r="192" spans="24:24" x14ac:dyDescent="0.2">
      <c r="X192" s="274"/>
    </row>
    <row r="193" spans="24:24" x14ac:dyDescent="0.2">
      <c r="X193" s="274"/>
    </row>
    <row r="194" spans="24:24" x14ac:dyDescent="0.2">
      <c r="X194" s="274"/>
    </row>
  </sheetData>
  <mergeCells count="6">
    <mergeCell ref="X4:Y4"/>
    <mergeCell ref="B4:E4"/>
    <mergeCell ref="G4:J4"/>
    <mergeCell ref="K4:N4"/>
    <mergeCell ref="O4:R4"/>
    <mergeCell ref="T4:U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2:E17"/>
  <sheetViews>
    <sheetView workbookViewId="0">
      <selection activeCell="C13" sqref="C13"/>
    </sheetView>
  </sheetViews>
  <sheetFormatPr defaultRowHeight="12.75" x14ac:dyDescent="0.2"/>
  <sheetData>
    <row r="2" spans="2:5" ht="15" x14ac:dyDescent="0.25">
      <c r="B2" s="277" t="s">
        <v>495</v>
      </c>
    </row>
    <row r="3" spans="2:5" x14ac:dyDescent="0.2">
      <c r="E3" s="142" t="s">
        <v>510</v>
      </c>
    </row>
    <row r="4" spans="2:5" x14ac:dyDescent="0.2">
      <c r="B4" t="s">
        <v>496</v>
      </c>
    </row>
    <row r="5" spans="2:5" x14ac:dyDescent="0.2">
      <c r="B5" t="s">
        <v>497</v>
      </c>
    </row>
    <row r="6" spans="2:5" x14ac:dyDescent="0.2">
      <c r="B6" t="s">
        <v>498</v>
      </c>
    </row>
    <row r="7" spans="2:5" x14ac:dyDescent="0.2">
      <c r="B7" t="s">
        <v>499</v>
      </c>
    </row>
    <row r="8" spans="2:5" x14ac:dyDescent="0.2">
      <c r="B8" t="s">
        <v>500</v>
      </c>
    </row>
    <row r="10" spans="2:5" ht="15" x14ac:dyDescent="0.25">
      <c r="B10" s="277" t="s">
        <v>501</v>
      </c>
    </row>
    <row r="12" spans="2:5" x14ac:dyDescent="0.2">
      <c r="B12" t="s">
        <v>502</v>
      </c>
    </row>
    <row r="13" spans="2:5" x14ac:dyDescent="0.2">
      <c r="B13" t="s">
        <v>503</v>
      </c>
    </row>
    <row r="14" spans="2:5" x14ac:dyDescent="0.2">
      <c r="B14" t="s">
        <v>504</v>
      </c>
    </row>
    <row r="15" spans="2:5" x14ac:dyDescent="0.2">
      <c r="B15" t="s">
        <v>499</v>
      </c>
    </row>
    <row r="16" spans="2:5" x14ac:dyDescent="0.2">
      <c r="B16" t="s">
        <v>500</v>
      </c>
    </row>
    <row r="17" spans="2:2" x14ac:dyDescent="0.2">
      <c r="B17" t="s">
        <v>505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tint="0.39997558519241921"/>
  </sheetPr>
  <dimension ref="B1:J105"/>
  <sheetViews>
    <sheetView workbookViewId="0">
      <selection activeCell="B5" sqref="B5:E105"/>
    </sheetView>
  </sheetViews>
  <sheetFormatPr defaultColWidth="8.85546875" defaultRowHeight="12.75" x14ac:dyDescent="0.2"/>
  <cols>
    <col min="1" max="1" width="8.85546875" style="429"/>
    <col min="2" max="2" width="10" style="429" bestFit="1" customWidth="1"/>
    <col min="3" max="3" width="9.85546875" style="429" bestFit="1" customWidth="1"/>
    <col min="4" max="16384" width="8.85546875" style="429"/>
  </cols>
  <sheetData>
    <row r="1" spans="2:10" x14ac:dyDescent="0.2">
      <c r="B1" s="452"/>
      <c r="C1" s="452"/>
      <c r="D1" s="452"/>
      <c r="E1" s="452"/>
      <c r="F1" s="426"/>
      <c r="G1" s="426"/>
      <c r="H1" s="426"/>
      <c r="I1" s="426"/>
      <c r="J1" s="437" t="s">
        <v>151</v>
      </c>
    </row>
    <row r="2" spans="2:10" x14ac:dyDescent="0.2">
      <c r="B2" s="453">
        <f>SUM(C5:E105)</f>
        <v>27228.210000000003</v>
      </c>
      <c r="C2" s="460">
        <v>27105.092916950089</v>
      </c>
      <c r="D2" s="454">
        <f>C2-B2</f>
        <v>-123.11708304991407</v>
      </c>
      <c r="E2" s="426"/>
      <c r="F2" s="426"/>
      <c r="G2" s="426"/>
      <c r="H2" s="426"/>
      <c r="I2" s="426"/>
      <c r="J2" s="426"/>
    </row>
    <row r="3" spans="2:10" x14ac:dyDescent="0.2">
      <c r="B3" s="762" t="s">
        <v>158</v>
      </c>
      <c r="C3" s="763"/>
      <c r="D3" s="763"/>
      <c r="E3" s="763"/>
      <c r="F3" s="764"/>
      <c r="G3" s="764"/>
      <c r="H3" s="764"/>
      <c r="I3" s="764"/>
      <c r="J3" s="764"/>
    </row>
    <row r="4" spans="2:10" ht="38.25" x14ac:dyDescent="0.2">
      <c r="B4" s="109" t="s">
        <v>1</v>
      </c>
      <c r="C4" s="109" t="s">
        <v>153</v>
      </c>
      <c r="D4" s="110" t="s">
        <v>154</v>
      </c>
      <c r="E4" s="110" t="s">
        <v>155</v>
      </c>
      <c r="G4" s="109"/>
      <c r="H4" s="109"/>
      <c r="I4" s="110"/>
      <c r="J4" s="110"/>
    </row>
    <row r="5" spans="2:10" x14ac:dyDescent="0.2">
      <c r="B5" s="120">
        <v>0</v>
      </c>
      <c r="C5" s="417">
        <v>56.22</v>
      </c>
      <c r="D5" s="417">
        <v>56.41</v>
      </c>
      <c r="E5" s="417">
        <v>56.83</v>
      </c>
      <c r="F5" s="426"/>
      <c r="G5" s="120"/>
      <c r="H5" s="461"/>
      <c r="I5" s="461"/>
      <c r="J5" s="461"/>
    </row>
    <row r="6" spans="2:10" x14ac:dyDescent="0.2">
      <c r="B6" s="120">
        <v>1</v>
      </c>
      <c r="C6" s="417">
        <v>56.27</v>
      </c>
      <c r="D6" s="417">
        <v>56.46</v>
      </c>
      <c r="E6" s="417">
        <v>56.89</v>
      </c>
      <c r="F6" s="426"/>
      <c r="G6" s="120"/>
      <c r="H6" s="461"/>
      <c r="I6" s="461"/>
      <c r="J6" s="461"/>
    </row>
    <row r="7" spans="2:10" x14ac:dyDescent="0.2">
      <c r="B7" s="120">
        <v>2</v>
      </c>
      <c r="C7" s="417">
        <v>56.33</v>
      </c>
      <c r="D7" s="417">
        <v>56.52</v>
      </c>
      <c r="E7" s="417">
        <v>56.94</v>
      </c>
      <c r="F7" s="426"/>
      <c r="G7" s="120"/>
      <c r="H7" s="461"/>
      <c r="I7" s="461"/>
      <c r="J7" s="461"/>
    </row>
    <row r="8" spans="2:10" x14ac:dyDescent="0.2">
      <c r="B8" s="120">
        <v>3</v>
      </c>
      <c r="C8" s="417">
        <v>56.39</v>
      </c>
      <c r="D8" s="417">
        <v>56.57</v>
      </c>
      <c r="E8" s="417">
        <v>57</v>
      </c>
      <c r="F8" s="426"/>
      <c r="G8" s="120"/>
      <c r="H8" s="461"/>
      <c r="I8" s="461"/>
      <c r="J8" s="461"/>
    </row>
    <row r="9" spans="2:10" x14ac:dyDescent="0.2">
      <c r="B9" s="120">
        <v>4</v>
      </c>
      <c r="C9" s="417">
        <v>56.45</v>
      </c>
      <c r="D9" s="417">
        <v>56.64</v>
      </c>
      <c r="E9" s="417">
        <v>57.06</v>
      </c>
      <c r="F9" s="426"/>
      <c r="G9" s="120"/>
      <c r="H9" s="461"/>
      <c r="I9" s="461"/>
      <c r="J9" s="461"/>
    </row>
    <row r="10" spans="2:10" x14ac:dyDescent="0.2">
      <c r="B10" s="120">
        <v>5</v>
      </c>
      <c r="C10" s="417">
        <v>56.51</v>
      </c>
      <c r="D10" s="417">
        <v>56.7</v>
      </c>
      <c r="E10" s="417">
        <v>57.13</v>
      </c>
      <c r="F10" s="426"/>
      <c r="G10" s="120"/>
      <c r="H10" s="461"/>
      <c r="I10" s="461"/>
      <c r="J10" s="461"/>
    </row>
    <row r="11" spans="2:10" x14ac:dyDescent="0.2">
      <c r="B11" s="120">
        <v>6</v>
      </c>
      <c r="C11" s="417">
        <v>56.58</v>
      </c>
      <c r="D11" s="417">
        <v>56.77</v>
      </c>
      <c r="E11" s="417">
        <v>57.2</v>
      </c>
      <c r="F11" s="426"/>
      <c r="G11" s="120"/>
      <c r="H11" s="461"/>
      <c r="I11" s="461"/>
      <c r="J11" s="461"/>
    </row>
    <row r="12" spans="2:10" x14ac:dyDescent="0.2">
      <c r="B12" s="120">
        <v>7</v>
      </c>
      <c r="C12" s="417">
        <v>56.65</v>
      </c>
      <c r="D12" s="417">
        <v>56.84</v>
      </c>
      <c r="E12" s="417">
        <v>57.27</v>
      </c>
      <c r="F12" s="426"/>
      <c r="G12" s="120"/>
      <c r="H12" s="461"/>
      <c r="I12" s="461"/>
      <c r="J12" s="461"/>
    </row>
    <row r="13" spans="2:10" x14ac:dyDescent="0.2">
      <c r="B13" s="120">
        <v>8</v>
      </c>
      <c r="C13" s="417">
        <v>56.72</v>
      </c>
      <c r="D13" s="417">
        <v>56.91</v>
      </c>
      <c r="E13" s="417">
        <v>57.34</v>
      </c>
      <c r="F13" s="426"/>
      <c r="G13" s="120"/>
      <c r="H13" s="461"/>
      <c r="I13" s="461"/>
      <c r="J13" s="461"/>
    </row>
    <row r="14" spans="2:10" x14ac:dyDescent="0.2">
      <c r="B14" s="120">
        <v>9</v>
      </c>
      <c r="C14" s="417">
        <v>56.8</v>
      </c>
      <c r="D14" s="417">
        <v>56.99</v>
      </c>
      <c r="E14" s="417">
        <v>57.42</v>
      </c>
      <c r="F14" s="426"/>
      <c r="G14" s="120"/>
      <c r="H14" s="461"/>
      <c r="I14" s="461"/>
      <c r="J14" s="461"/>
    </row>
    <row r="15" spans="2:10" x14ac:dyDescent="0.2">
      <c r="B15" s="120">
        <v>10</v>
      </c>
      <c r="C15" s="417">
        <v>56.88</v>
      </c>
      <c r="D15" s="417">
        <v>57.07</v>
      </c>
      <c r="E15" s="417">
        <v>57.5</v>
      </c>
      <c r="F15" s="426"/>
      <c r="G15" s="120"/>
      <c r="H15" s="461"/>
      <c r="I15" s="461"/>
      <c r="J15" s="461"/>
    </row>
    <row r="16" spans="2:10" x14ac:dyDescent="0.2">
      <c r="B16" s="120">
        <v>11</v>
      </c>
      <c r="C16" s="417">
        <v>56.96</v>
      </c>
      <c r="D16" s="417">
        <v>57.15</v>
      </c>
      <c r="E16" s="417">
        <v>57.59</v>
      </c>
      <c r="F16" s="426"/>
      <c r="G16" s="120"/>
      <c r="H16" s="461"/>
      <c r="I16" s="461"/>
      <c r="J16" s="461"/>
    </row>
    <row r="17" spans="2:10" x14ac:dyDescent="0.2">
      <c r="B17" s="120">
        <v>12</v>
      </c>
      <c r="C17" s="417">
        <v>57.05</v>
      </c>
      <c r="D17" s="417">
        <v>57.24</v>
      </c>
      <c r="E17" s="417">
        <v>57.68</v>
      </c>
      <c r="F17" s="426"/>
      <c r="G17" s="120"/>
      <c r="H17" s="461"/>
      <c r="I17" s="461"/>
      <c r="J17" s="461"/>
    </row>
    <row r="18" spans="2:10" x14ac:dyDescent="0.2">
      <c r="B18" s="120">
        <v>13</v>
      </c>
      <c r="C18" s="417">
        <v>57.15</v>
      </c>
      <c r="D18" s="417">
        <v>57.34</v>
      </c>
      <c r="E18" s="417">
        <v>57.78</v>
      </c>
      <c r="F18" s="426"/>
      <c r="G18" s="120"/>
      <c r="H18" s="461"/>
      <c r="I18" s="461"/>
      <c r="J18" s="461"/>
    </row>
    <row r="19" spans="2:10" x14ac:dyDescent="0.2">
      <c r="B19" s="120">
        <v>14</v>
      </c>
      <c r="C19" s="417">
        <v>57.24</v>
      </c>
      <c r="D19" s="417">
        <v>57.44</v>
      </c>
      <c r="E19" s="417">
        <v>57.88</v>
      </c>
      <c r="F19" s="426"/>
      <c r="G19" s="120"/>
      <c r="H19" s="461"/>
      <c r="I19" s="461"/>
      <c r="J19" s="461"/>
    </row>
    <row r="20" spans="2:10" x14ac:dyDescent="0.2">
      <c r="B20" s="120">
        <v>15</v>
      </c>
      <c r="C20" s="417">
        <v>57.35</v>
      </c>
      <c r="D20" s="417">
        <v>57.54</v>
      </c>
      <c r="E20" s="417">
        <v>57.98</v>
      </c>
      <c r="F20" s="426"/>
      <c r="G20" s="120"/>
      <c r="H20" s="461"/>
      <c r="I20" s="461"/>
      <c r="J20" s="461"/>
    </row>
    <row r="21" spans="2:10" x14ac:dyDescent="0.2">
      <c r="B21" s="120">
        <v>16</v>
      </c>
      <c r="C21" s="417">
        <v>57.46</v>
      </c>
      <c r="D21" s="417">
        <v>57.65</v>
      </c>
      <c r="E21" s="417">
        <v>58.09</v>
      </c>
      <c r="F21" s="426"/>
      <c r="G21" s="120"/>
      <c r="H21" s="461"/>
      <c r="I21" s="461"/>
      <c r="J21" s="461"/>
    </row>
    <row r="22" spans="2:10" x14ac:dyDescent="0.2">
      <c r="B22" s="120">
        <v>17</v>
      </c>
      <c r="C22" s="417">
        <v>57.57</v>
      </c>
      <c r="D22" s="417">
        <v>57.77</v>
      </c>
      <c r="E22" s="417">
        <v>58.21</v>
      </c>
      <c r="F22" s="426"/>
      <c r="G22" s="120"/>
      <c r="H22" s="461"/>
      <c r="I22" s="461"/>
      <c r="J22" s="461"/>
    </row>
    <row r="23" spans="2:10" x14ac:dyDescent="0.2">
      <c r="B23" s="120">
        <v>18</v>
      </c>
      <c r="C23" s="417">
        <v>57.69</v>
      </c>
      <c r="D23" s="417">
        <v>57.89</v>
      </c>
      <c r="E23" s="417">
        <v>58.33</v>
      </c>
      <c r="F23" s="426"/>
      <c r="G23" s="120"/>
      <c r="H23" s="461"/>
      <c r="I23" s="461"/>
      <c r="J23" s="461"/>
    </row>
    <row r="24" spans="2:10" x14ac:dyDescent="0.2">
      <c r="B24" s="120">
        <v>19</v>
      </c>
      <c r="C24" s="417">
        <v>57.82</v>
      </c>
      <c r="D24" s="417">
        <v>58.01</v>
      </c>
      <c r="E24" s="417">
        <v>58.46</v>
      </c>
      <c r="F24" s="426"/>
      <c r="G24" s="120"/>
      <c r="H24" s="461"/>
      <c r="I24" s="461"/>
      <c r="J24" s="461"/>
    </row>
    <row r="25" spans="2:10" x14ac:dyDescent="0.2">
      <c r="B25" s="120">
        <v>20</v>
      </c>
      <c r="C25" s="417">
        <v>57.95</v>
      </c>
      <c r="D25" s="417">
        <v>58.15</v>
      </c>
      <c r="E25" s="417">
        <v>58.6</v>
      </c>
      <c r="F25" s="426"/>
      <c r="G25" s="120"/>
      <c r="H25" s="461"/>
      <c r="I25" s="461"/>
      <c r="J25" s="461"/>
    </row>
    <row r="26" spans="2:10" x14ac:dyDescent="0.2">
      <c r="B26" s="120">
        <v>21</v>
      </c>
      <c r="C26" s="417">
        <v>58.09</v>
      </c>
      <c r="D26" s="417">
        <v>58.29</v>
      </c>
      <c r="E26" s="417">
        <v>58.74</v>
      </c>
      <c r="F26" s="426"/>
      <c r="G26" s="120"/>
      <c r="H26" s="461"/>
      <c r="I26" s="461"/>
      <c r="J26" s="461"/>
    </row>
    <row r="27" spans="2:10" x14ac:dyDescent="0.2">
      <c r="B27" s="120">
        <v>22</v>
      </c>
      <c r="C27" s="417">
        <v>58.24</v>
      </c>
      <c r="D27" s="417">
        <v>58.44</v>
      </c>
      <c r="E27" s="417">
        <v>58.89</v>
      </c>
      <c r="F27" s="426"/>
      <c r="G27" s="120"/>
      <c r="H27" s="461"/>
      <c r="I27" s="461"/>
      <c r="J27" s="461"/>
    </row>
    <row r="28" spans="2:10" x14ac:dyDescent="0.2">
      <c r="B28" s="120">
        <v>23</v>
      </c>
      <c r="C28" s="417">
        <v>58.39</v>
      </c>
      <c r="D28" s="417">
        <v>58.59</v>
      </c>
      <c r="E28" s="417">
        <v>59.05</v>
      </c>
      <c r="F28" s="426"/>
      <c r="G28" s="120"/>
      <c r="H28" s="461"/>
      <c r="I28" s="461"/>
      <c r="J28" s="461"/>
    </row>
    <row r="29" spans="2:10" x14ac:dyDescent="0.2">
      <c r="B29" s="120">
        <v>24</v>
      </c>
      <c r="C29" s="417">
        <v>58.55</v>
      </c>
      <c r="D29" s="417">
        <v>58.75</v>
      </c>
      <c r="E29" s="417">
        <v>59.21</v>
      </c>
      <c r="F29" s="426"/>
      <c r="G29" s="120"/>
      <c r="H29" s="461"/>
      <c r="I29" s="461"/>
      <c r="J29" s="461"/>
    </row>
    <row r="30" spans="2:10" x14ac:dyDescent="0.2">
      <c r="B30" s="120">
        <v>25</v>
      </c>
      <c r="C30" s="417">
        <v>58.72</v>
      </c>
      <c r="D30" s="417">
        <v>58.92</v>
      </c>
      <c r="E30" s="417">
        <v>59.38</v>
      </c>
      <c r="F30" s="426"/>
      <c r="G30" s="120"/>
      <c r="H30" s="461"/>
      <c r="I30" s="461"/>
      <c r="J30" s="461"/>
    </row>
    <row r="31" spans="2:10" x14ac:dyDescent="0.2">
      <c r="B31" s="120">
        <v>26</v>
      </c>
      <c r="C31" s="417">
        <v>58.9</v>
      </c>
      <c r="D31" s="417">
        <v>59.1</v>
      </c>
      <c r="E31" s="417">
        <v>59.56</v>
      </c>
      <c r="F31" s="426"/>
      <c r="G31" s="120"/>
      <c r="H31" s="461"/>
      <c r="I31" s="461"/>
      <c r="J31" s="461"/>
    </row>
    <row r="32" spans="2:10" x14ac:dyDescent="0.2">
      <c r="B32" s="120">
        <v>27</v>
      </c>
      <c r="C32" s="417">
        <v>59.08</v>
      </c>
      <c r="D32" s="417">
        <v>59.28</v>
      </c>
      <c r="E32" s="417">
        <v>59.75</v>
      </c>
      <c r="F32" s="426"/>
      <c r="G32" s="120"/>
      <c r="H32" s="461"/>
      <c r="I32" s="461"/>
      <c r="J32" s="461"/>
    </row>
    <row r="33" spans="2:10" x14ac:dyDescent="0.2">
      <c r="B33" s="120">
        <v>28</v>
      </c>
      <c r="C33" s="417">
        <v>59.28</v>
      </c>
      <c r="D33" s="417">
        <v>59.48</v>
      </c>
      <c r="E33" s="417">
        <v>59.95</v>
      </c>
      <c r="F33" s="426"/>
      <c r="G33" s="120"/>
      <c r="H33" s="461"/>
      <c r="I33" s="461"/>
      <c r="J33" s="461"/>
    </row>
    <row r="34" spans="2:10" x14ac:dyDescent="0.2">
      <c r="B34" s="120">
        <v>29</v>
      </c>
      <c r="C34" s="417">
        <v>59.49</v>
      </c>
      <c r="D34" s="417">
        <v>59.69</v>
      </c>
      <c r="E34" s="417">
        <v>60.17</v>
      </c>
      <c r="F34" s="426"/>
      <c r="G34" s="120"/>
      <c r="H34" s="461"/>
      <c r="I34" s="461"/>
      <c r="J34" s="461"/>
    </row>
    <row r="35" spans="2:10" x14ac:dyDescent="0.2">
      <c r="B35" s="120">
        <v>30</v>
      </c>
      <c r="C35" s="417">
        <v>59.71</v>
      </c>
      <c r="D35" s="417">
        <v>59.91</v>
      </c>
      <c r="E35" s="417">
        <v>60.39</v>
      </c>
      <c r="F35" s="426"/>
      <c r="G35" s="120"/>
      <c r="H35" s="461"/>
      <c r="I35" s="461"/>
      <c r="J35" s="461"/>
    </row>
    <row r="36" spans="2:10" x14ac:dyDescent="0.2">
      <c r="B36" s="120">
        <v>31</v>
      </c>
      <c r="C36" s="417">
        <v>59.94</v>
      </c>
      <c r="D36" s="417">
        <v>60.15</v>
      </c>
      <c r="E36" s="417">
        <v>60.63</v>
      </c>
      <c r="F36" s="426"/>
      <c r="G36" s="120"/>
      <c r="H36" s="461"/>
      <c r="I36" s="461"/>
      <c r="J36" s="461"/>
    </row>
    <row r="37" spans="2:10" x14ac:dyDescent="0.2">
      <c r="B37" s="120">
        <v>32</v>
      </c>
      <c r="C37" s="417">
        <v>60.19</v>
      </c>
      <c r="D37" s="417">
        <v>60.4</v>
      </c>
      <c r="E37" s="417">
        <v>60.88</v>
      </c>
      <c r="F37" s="426"/>
      <c r="G37" s="120"/>
      <c r="H37" s="461"/>
      <c r="I37" s="461"/>
      <c r="J37" s="461"/>
    </row>
    <row r="38" spans="2:10" x14ac:dyDescent="0.2">
      <c r="B38" s="120">
        <v>33</v>
      </c>
      <c r="C38" s="417">
        <v>60.45</v>
      </c>
      <c r="D38" s="417">
        <v>60.66</v>
      </c>
      <c r="E38" s="417">
        <v>61.15</v>
      </c>
      <c r="F38" s="426"/>
      <c r="G38" s="120"/>
      <c r="H38" s="461"/>
      <c r="I38" s="461"/>
      <c r="J38" s="461"/>
    </row>
    <row r="39" spans="2:10" x14ac:dyDescent="0.2">
      <c r="B39" s="120">
        <v>34</v>
      </c>
      <c r="C39" s="417">
        <v>60.73</v>
      </c>
      <c r="D39" s="417">
        <v>60.94</v>
      </c>
      <c r="E39" s="417">
        <v>61.43</v>
      </c>
      <c r="F39" s="426"/>
      <c r="G39" s="120"/>
      <c r="H39" s="461"/>
      <c r="I39" s="461"/>
      <c r="J39" s="461"/>
    </row>
    <row r="40" spans="2:10" x14ac:dyDescent="0.2">
      <c r="B40" s="120">
        <v>35</v>
      </c>
      <c r="C40" s="417">
        <v>61.03</v>
      </c>
      <c r="D40" s="417">
        <v>61.24</v>
      </c>
      <c r="E40" s="417">
        <v>61.73</v>
      </c>
      <c r="F40" s="426"/>
      <c r="G40" s="120"/>
      <c r="H40" s="461"/>
      <c r="I40" s="461"/>
      <c r="J40" s="461"/>
    </row>
    <row r="41" spans="2:10" x14ac:dyDescent="0.2">
      <c r="B41" s="120">
        <v>36</v>
      </c>
      <c r="C41" s="417">
        <v>61.34</v>
      </c>
      <c r="D41" s="417">
        <v>61.55</v>
      </c>
      <c r="E41" s="417">
        <v>62.05</v>
      </c>
      <c r="F41" s="426"/>
      <c r="G41" s="120"/>
      <c r="H41" s="461"/>
      <c r="I41" s="461"/>
      <c r="J41" s="461"/>
    </row>
    <row r="42" spans="2:10" x14ac:dyDescent="0.2">
      <c r="B42" s="120">
        <v>37</v>
      </c>
      <c r="C42" s="417">
        <v>61.67</v>
      </c>
      <c r="D42" s="417">
        <v>61.89</v>
      </c>
      <c r="E42" s="417">
        <v>62.39</v>
      </c>
      <c r="F42" s="426"/>
      <c r="G42" s="120"/>
      <c r="H42" s="461"/>
      <c r="I42" s="461"/>
      <c r="J42" s="461"/>
    </row>
    <row r="43" spans="2:10" x14ac:dyDescent="0.2">
      <c r="B43" s="120">
        <v>38</v>
      </c>
      <c r="C43" s="417">
        <v>62.02</v>
      </c>
      <c r="D43" s="417">
        <v>62.24</v>
      </c>
      <c r="E43" s="417">
        <v>62.75</v>
      </c>
      <c r="F43" s="426"/>
      <c r="G43" s="120"/>
      <c r="H43" s="461"/>
      <c r="I43" s="461"/>
      <c r="J43" s="461"/>
    </row>
    <row r="44" spans="2:10" x14ac:dyDescent="0.2">
      <c r="B44" s="120">
        <v>39</v>
      </c>
      <c r="C44" s="417">
        <v>62.38</v>
      </c>
      <c r="D44" s="417">
        <v>62.61</v>
      </c>
      <c r="E44" s="417">
        <v>63.12</v>
      </c>
      <c r="F44" s="426"/>
      <c r="G44" s="120"/>
      <c r="H44" s="461"/>
      <c r="I44" s="461"/>
      <c r="J44" s="461"/>
    </row>
    <row r="45" spans="2:10" x14ac:dyDescent="0.2">
      <c r="B45" s="120">
        <v>40</v>
      </c>
      <c r="C45" s="417">
        <v>62.77</v>
      </c>
      <c r="D45" s="417">
        <v>63</v>
      </c>
      <c r="E45" s="417">
        <v>63.52</v>
      </c>
      <c r="F45" s="426"/>
      <c r="G45" s="120"/>
      <c r="H45" s="461"/>
      <c r="I45" s="461"/>
      <c r="J45" s="461"/>
    </row>
    <row r="46" spans="2:10" x14ac:dyDescent="0.2">
      <c r="B46" s="120">
        <v>41</v>
      </c>
      <c r="C46" s="417">
        <v>63.18</v>
      </c>
      <c r="D46" s="417">
        <v>63.41</v>
      </c>
      <c r="E46" s="417">
        <v>63.94</v>
      </c>
      <c r="F46" s="426"/>
      <c r="G46" s="120"/>
      <c r="H46" s="461"/>
      <c r="I46" s="461"/>
      <c r="J46" s="461"/>
    </row>
    <row r="47" spans="2:10" x14ac:dyDescent="0.2">
      <c r="B47" s="120">
        <v>42</v>
      </c>
      <c r="C47" s="417">
        <v>63.62</v>
      </c>
      <c r="D47" s="417">
        <v>63.85</v>
      </c>
      <c r="E47" s="417">
        <v>64.38</v>
      </c>
      <c r="F47" s="426"/>
      <c r="G47" s="120"/>
      <c r="H47" s="461"/>
      <c r="I47" s="461"/>
      <c r="J47" s="461"/>
    </row>
    <row r="48" spans="2:10" x14ac:dyDescent="0.2">
      <c r="B48" s="120">
        <v>43</v>
      </c>
      <c r="C48" s="417">
        <v>64.08</v>
      </c>
      <c r="D48" s="417">
        <v>64.31</v>
      </c>
      <c r="E48" s="417">
        <v>64.849999999999994</v>
      </c>
      <c r="F48" s="426"/>
      <c r="G48" s="120"/>
      <c r="H48" s="461"/>
      <c r="I48" s="461"/>
      <c r="J48" s="461"/>
    </row>
    <row r="49" spans="2:10" x14ac:dyDescent="0.2">
      <c r="B49" s="120">
        <v>44</v>
      </c>
      <c r="C49" s="417">
        <v>64.56</v>
      </c>
      <c r="D49" s="417">
        <v>64.8</v>
      </c>
      <c r="E49" s="417">
        <v>65.34</v>
      </c>
      <c r="F49" s="426"/>
      <c r="G49" s="120"/>
      <c r="H49" s="461"/>
      <c r="I49" s="461"/>
      <c r="J49" s="461"/>
    </row>
    <row r="50" spans="2:10" x14ac:dyDescent="0.2">
      <c r="B50" s="120">
        <v>45</v>
      </c>
      <c r="C50" s="417">
        <v>65.069999999999993</v>
      </c>
      <c r="D50" s="417">
        <v>65.31</v>
      </c>
      <c r="E50" s="417">
        <v>65.86</v>
      </c>
      <c r="F50" s="426"/>
      <c r="G50" s="120"/>
      <c r="H50" s="461"/>
      <c r="I50" s="461"/>
      <c r="J50" s="461"/>
    </row>
    <row r="51" spans="2:10" x14ac:dyDescent="0.2">
      <c r="B51" s="120">
        <v>46</v>
      </c>
      <c r="C51" s="417">
        <v>65.62</v>
      </c>
      <c r="D51" s="417">
        <v>65.86</v>
      </c>
      <c r="E51" s="417">
        <v>66.42</v>
      </c>
      <c r="F51" s="426"/>
      <c r="G51" s="120"/>
      <c r="H51" s="461"/>
      <c r="I51" s="461"/>
      <c r="J51" s="461"/>
    </row>
    <row r="52" spans="2:10" x14ac:dyDescent="0.2">
      <c r="B52" s="120">
        <v>47</v>
      </c>
      <c r="C52" s="417">
        <v>66.19</v>
      </c>
      <c r="D52" s="417">
        <v>66.44</v>
      </c>
      <c r="E52" s="417">
        <v>67</v>
      </c>
      <c r="F52" s="426"/>
      <c r="G52" s="120"/>
      <c r="H52" s="461"/>
      <c r="I52" s="461"/>
      <c r="J52" s="461"/>
    </row>
    <row r="53" spans="2:10" x14ac:dyDescent="0.2">
      <c r="B53" s="120">
        <v>48</v>
      </c>
      <c r="C53" s="417">
        <v>66.8</v>
      </c>
      <c r="D53" s="417">
        <v>67.05</v>
      </c>
      <c r="E53" s="417">
        <v>67.62</v>
      </c>
      <c r="F53" s="426"/>
      <c r="G53" s="120"/>
      <c r="H53" s="461"/>
      <c r="I53" s="461"/>
      <c r="J53" s="461"/>
    </row>
    <row r="54" spans="2:10" x14ac:dyDescent="0.2">
      <c r="B54" s="120">
        <v>49</v>
      </c>
      <c r="C54" s="417">
        <v>67.44</v>
      </c>
      <c r="D54" s="417">
        <v>67.69</v>
      </c>
      <c r="E54" s="417">
        <v>68.27</v>
      </c>
      <c r="F54" s="426"/>
      <c r="G54" s="120"/>
      <c r="H54" s="461"/>
      <c r="I54" s="461"/>
      <c r="J54" s="461"/>
    </row>
    <row r="55" spans="2:10" x14ac:dyDescent="0.2">
      <c r="B55" s="120">
        <v>50</v>
      </c>
      <c r="C55" s="417">
        <v>68.11</v>
      </c>
      <c r="D55" s="417">
        <v>68.37</v>
      </c>
      <c r="E55" s="417">
        <v>68.95</v>
      </c>
      <c r="F55" s="426"/>
      <c r="G55" s="426"/>
    </row>
    <row r="56" spans="2:10" x14ac:dyDescent="0.2">
      <c r="B56" s="120">
        <v>51</v>
      </c>
      <c r="C56" s="439">
        <v>68.819999999999993</v>
      </c>
      <c r="D56" s="439">
        <v>69.09</v>
      </c>
      <c r="E56" s="439">
        <v>69.680000000000007</v>
      </c>
    </row>
    <row r="57" spans="2:10" x14ac:dyDescent="0.2">
      <c r="B57" s="120">
        <v>52</v>
      </c>
      <c r="C57" s="439">
        <v>69.56</v>
      </c>
      <c r="D57" s="439">
        <v>69.83</v>
      </c>
      <c r="E57" s="439">
        <v>70.430000000000007</v>
      </c>
    </row>
    <row r="58" spans="2:10" x14ac:dyDescent="0.2">
      <c r="B58" s="120">
        <v>53</v>
      </c>
      <c r="C58" s="439">
        <v>70.34</v>
      </c>
      <c r="D58" s="439">
        <v>70.62</v>
      </c>
      <c r="E58" s="439">
        <v>71.23</v>
      </c>
    </row>
    <row r="59" spans="2:10" x14ac:dyDescent="0.2">
      <c r="B59" s="120">
        <v>54</v>
      </c>
      <c r="C59" s="439">
        <v>71.150000000000006</v>
      </c>
      <c r="D59" s="439">
        <v>71.44</v>
      </c>
      <c r="E59" s="439">
        <v>72.06</v>
      </c>
    </row>
    <row r="60" spans="2:10" x14ac:dyDescent="0.2">
      <c r="B60" s="120">
        <v>55</v>
      </c>
      <c r="C60" s="439">
        <v>72.010000000000005</v>
      </c>
      <c r="D60" s="439">
        <v>72.31</v>
      </c>
      <c r="E60" s="439">
        <v>72.930000000000007</v>
      </c>
    </row>
    <row r="61" spans="2:10" x14ac:dyDescent="0.2">
      <c r="B61" s="120">
        <v>56</v>
      </c>
      <c r="C61" s="439">
        <v>72.92</v>
      </c>
      <c r="D61" s="439">
        <v>73.23</v>
      </c>
      <c r="E61" s="439">
        <v>73.86</v>
      </c>
    </row>
    <row r="62" spans="2:10" x14ac:dyDescent="0.2">
      <c r="B62" s="120">
        <v>57</v>
      </c>
      <c r="C62" s="439">
        <v>73.89</v>
      </c>
      <c r="D62" s="439">
        <v>74.2</v>
      </c>
      <c r="E62" s="439">
        <v>74.84</v>
      </c>
    </row>
    <row r="63" spans="2:10" x14ac:dyDescent="0.2">
      <c r="B63" s="120">
        <v>58</v>
      </c>
      <c r="C63" s="439">
        <v>74.92</v>
      </c>
      <c r="D63" s="439">
        <v>75.239999999999995</v>
      </c>
      <c r="E63" s="439">
        <v>75.89</v>
      </c>
    </row>
    <row r="64" spans="2:10" x14ac:dyDescent="0.2">
      <c r="B64" s="120">
        <v>59</v>
      </c>
      <c r="C64" s="439">
        <v>76.02</v>
      </c>
      <c r="D64" s="439">
        <v>76.349999999999994</v>
      </c>
      <c r="E64" s="439">
        <v>77.010000000000005</v>
      </c>
    </row>
    <row r="65" spans="2:5" x14ac:dyDescent="0.2">
      <c r="B65" s="120">
        <v>60</v>
      </c>
      <c r="C65" s="439">
        <v>77.2</v>
      </c>
      <c r="D65" s="439">
        <v>77.55</v>
      </c>
      <c r="E65" s="439">
        <v>78.209999999999994</v>
      </c>
    </row>
    <row r="66" spans="2:5" x14ac:dyDescent="0.2">
      <c r="B66" s="120">
        <v>61</v>
      </c>
      <c r="C66" s="439">
        <v>78.47</v>
      </c>
      <c r="D66" s="439">
        <v>78.83</v>
      </c>
      <c r="E66" s="439">
        <v>79.510000000000005</v>
      </c>
    </row>
    <row r="67" spans="2:5" x14ac:dyDescent="0.2">
      <c r="B67" s="120">
        <v>62</v>
      </c>
      <c r="C67" s="439">
        <v>79.849999999999994</v>
      </c>
      <c r="D67" s="439">
        <v>80.22</v>
      </c>
      <c r="E67" s="439">
        <v>80.91</v>
      </c>
    </row>
    <row r="68" spans="2:5" x14ac:dyDescent="0.2">
      <c r="B68" s="120">
        <v>63</v>
      </c>
      <c r="C68" s="439">
        <v>81.36</v>
      </c>
      <c r="D68" s="439">
        <v>81.75</v>
      </c>
      <c r="E68" s="439">
        <v>82.45</v>
      </c>
    </row>
    <row r="69" spans="2:5" x14ac:dyDescent="0.2">
      <c r="B69" s="120">
        <v>64</v>
      </c>
      <c r="C69" s="439">
        <v>83</v>
      </c>
      <c r="D69" s="439">
        <v>83.41</v>
      </c>
      <c r="E69" s="439">
        <v>84.11</v>
      </c>
    </row>
    <row r="70" spans="2:5" x14ac:dyDescent="0.2">
      <c r="B70" s="120">
        <v>65</v>
      </c>
      <c r="C70" s="439">
        <v>84.77</v>
      </c>
      <c r="D70" s="439">
        <v>85.2</v>
      </c>
      <c r="E70" s="439">
        <v>85.91</v>
      </c>
    </row>
    <row r="71" spans="2:5" x14ac:dyDescent="0.2">
      <c r="B71" s="120">
        <v>66</v>
      </c>
      <c r="C71" s="439">
        <v>86.67</v>
      </c>
      <c r="D71" s="439">
        <v>87.12</v>
      </c>
      <c r="E71" s="439">
        <v>87.85</v>
      </c>
    </row>
    <row r="72" spans="2:5" x14ac:dyDescent="0.2">
      <c r="B72" s="120">
        <v>67</v>
      </c>
      <c r="C72" s="439">
        <v>88.69</v>
      </c>
      <c r="D72" s="439">
        <v>89.18</v>
      </c>
      <c r="E72" s="439">
        <v>89.91</v>
      </c>
    </row>
    <row r="73" spans="2:5" x14ac:dyDescent="0.2">
      <c r="B73" s="120">
        <v>68</v>
      </c>
      <c r="C73" s="439">
        <v>90.85</v>
      </c>
      <c r="D73" s="439">
        <v>91.36</v>
      </c>
      <c r="E73" s="439">
        <v>92.1</v>
      </c>
    </row>
    <row r="74" spans="2:5" x14ac:dyDescent="0.2">
      <c r="B74" s="120">
        <v>69</v>
      </c>
      <c r="C74" s="439">
        <v>93.13</v>
      </c>
      <c r="D74" s="439">
        <v>93.67</v>
      </c>
      <c r="E74" s="439">
        <v>94.42</v>
      </c>
    </row>
    <row r="75" spans="2:5" x14ac:dyDescent="0.2">
      <c r="B75" s="120">
        <v>70</v>
      </c>
      <c r="C75" s="439">
        <v>95.54</v>
      </c>
      <c r="D75" s="439">
        <v>96.11</v>
      </c>
      <c r="E75" s="439">
        <v>96.86</v>
      </c>
    </row>
    <row r="76" spans="2:5" x14ac:dyDescent="0.2">
      <c r="B76" s="120">
        <v>71</v>
      </c>
      <c r="C76" s="439">
        <v>98.06</v>
      </c>
      <c r="D76" s="439">
        <v>98.67</v>
      </c>
      <c r="E76" s="439">
        <v>99.43</v>
      </c>
    </row>
    <row r="77" spans="2:5" x14ac:dyDescent="0.2">
      <c r="B77" s="120">
        <v>72</v>
      </c>
      <c r="C77" s="439">
        <v>100.71</v>
      </c>
      <c r="D77" s="439">
        <v>101.36</v>
      </c>
      <c r="E77" s="439">
        <v>102.12</v>
      </c>
    </row>
    <row r="78" spans="2:5" x14ac:dyDescent="0.2">
      <c r="B78" s="120">
        <v>73</v>
      </c>
      <c r="C78" s="439">
        <v>103.47</v>
      </c>
      <c r="D78" s="439">
        <v>104.16</v>
      </c>
      <c r="E78" s="439">
        <v>104.93</v>
      </c>
    </row>
    <row r="79" spans="2:5" x14ac:dyDescent="0.2">
      <c r="B79" s="120">
        <v>74</v>
      </c>
      <c r="C79" s="439">
        <v>106.35</v>
      </c>
      <c r="D79" s="439">
        <v>107.08</v>
      </c>
      <c r="E79" s="439">
        <v>107.86</v>
      </c>
    </row>
    <row r="80" spans="2:5" x14ac:dyDescent="0.2">
      <c r="B80" s="120">
        <v>75</v>
      </c>
      <c r="C80" s="439">
        <v>109.33</v>
      </c>
      <c r="D80" s="439">
        <v>110.11</v>
      </c>
      <c r="E80" s="439">
        <v>110.89</v>
      </c>
    </row>
    <row r="81" spans="2:5" x14ac:dyDescent="0.2">
      <c r="B81" s="120">
        <v>76</v>
      </c>
      <c r="C81" s="439">
        <v>112.42</v>
      </c>
      <c r="D81" s="439">
        <v>113.24</v>
      </c>
      <c r="E81" s="439">
        <v>114.03</v>
      </c>
    </row>
    <row r="82" spans="2:5" x14ac:dyDescent="0.2">
      <c r="B82" s="120">
        <v>77</v>
      </c>
      <c r="C82" s="439">
        <v>115.61</v>
      </c>
      <c r="D82" s="439">
        <v>116.48</v>
      </c>
      <c r="E82" s="439">
        <v>117.27</v>
      </c>
    </row>
    <row r="83" spans="2:5" x14ac:dyDescent="0.2">
      <c r="B83" s="120">
        <v>78</v>
      </c>
      <c r="C83" s="439">
        <v>118.88</v>
      </c>
      <c r="D83" s="439">
        <v>119.8</v>
      </c>
      <c r="E83" s="439">
        <v>120.59</v>
      </c>
    </row>
    <row r="84" spans="2:5" x14ac:dyDescent="0.2">
      <c r="B84" s="120">
        <v>79</v>
      </c>
      <c r="C84" s="439">
        <v>122.24</v>
      </c>
      <c r="D84" s="439">
        <v>123.21</v>
      </c>
      <c r="E84" s="439">
        <v>124.01</v>
      </c>
    </row>
    <row r="85" spans="2:5" x14ac:dyDescent="0.2">
      <c r="B85" s="120">
        <v>80</v>
      </c>
      <c r="C85" s="439">
        <v>125.67</v>
      </c>
      <c r="D85" s="439">
        <v>126.7</v>
      </c>
      <c r="E85" s="439">
        <v>127.49</v>
      </c>
    </row>
    <row r="86" spans="2:5" x14ac:dyDescent="0.2">
      <c r="B86" s="120">
        <v>81</v>
      </c>
      <c r="C86" s="439">
        <v>129.18</v>
      </c>
      <c r="D86" s="439">
        <v>130.26</v>
      </c>
      <c r="E86" s="439">
        <v>131.05000000000001</v>
      </c>
    </row>
    <row r="87" spans="2:5" x14ac:dyDescent="0.2">
      <c r="B87" s="120">
        <v>82</v>
      </c>
      <c r="C87" s="439">
        <v>132.74</v>
      </c>
      <c r="D87" s="439">
        <v>133.87</v>
      </c>
      <c r="E87" s="439">
        <v>134.66</v>
      </c>
    </row>
    <row r="88" spans="2:5" x14ac:dyDescent="0.2">
      <c r="B88" s="120">
        <v>83</v>
      </c>
      <c r="C88" s="439">
        <v>136.35</v>
      </c>
      <c r="D88" s="439">
        <v>137.52000000000001</v>
      </c>
      <c r="E88" s="439">
        <v>138.32</v>
      </c>
    </row>
    <row r="89" spans="2:5" x14ac:dyDescent="0.2">
      <c r="B89" s="120">
        <v>84</v>
      </c>
      <c r="C89" s="439">
        <v>140</v>
      </c>
      <c r="D89" s="439">
        <v>141.22</v>
      </c>
      <c r="E89" s="439">
        <v>142.01</v>
      </c>
    </row>
    <row r="90" spans="2:5" x14ac:dyDescent="0.2">
      <c r="B90" s="120">
        <v>85</v>
      </c>
      <c r="C90" s="439">
        <v>143.68</v>
      </c>
      <c r="D90" s="439">
        <v>144.94</v>
      </c>
      <c r="E90" s="439">
        <v>145.72999999999999</v>
      </c>
    </row>
    <row r="91" spans="2:5" x14ac:dyDescent="0.2">
      <c r="B91" s="120">
        <v>86</v>
      </c>
      <c r="C91" s="439">
        <v>147.37</v>
      </c>
      <c r="D91" s="439">
        <v>148.66999999999999</v>
      </c>
      <c r="E91" s="439">
        <v>149.47</v>
      </c>
    </row>
    <row r="92" spans="2:5" x14ac:dyDescent="0.2">
      <c r="B92" s="120">
        <v>87</v>
      </c>
      <c r="C92" s="439">
        <v>151.07</v>
      </c>
      <c r="D92" s="439">
        <v>152.4</v>
      </c>
      <c r="E92" s="439">
        <v>153.19999999999999</v>
      </c>
    </row>
    <row r="93" spans="2:5" x14ac:dyDescent="0.2">
      <c r="B93" s="120">
        <v>88</v>
      </c>
      <c r="C93" s="439">
        <v>154.77000000000001</v>
      </c>
      <c r="D93" s="439">
        <v>156.13</v>
      </c>
      <c r="E93" s="439">
        <v>156.93</v>
      </c>
    </row>
    <row r="94" spans="2:5" x14ac:dyDescent="0.2">
      <c r="B94" s="120">
        <v>89</v>
      </c>
      <c r="C94" s="439">
        <v>158.44</v>
      </c>
      <c r="D94" s="439">
        <v>159.83000000000001</v>
      </c>
      <c r="E94" s="439">
        <v>160.63</v>
      </c>
    </row>
    <row r="95" spans="2:5" x14ac:dyDescent="0.2">
      <c r="B95" s="120">
        <v>90</v>
      </c>
      <c r="C95" s="439">
        <v>162.09</v>
      </c>
      <c r="D95" s="439">
        <v>163.5</v>
      </c>
      <c r="E95" s="439">
        <v>164.3</v>
      </c>
    </row>
    <row r="96" spans="2:5" x14ac:dyDescent="0.2">
      <c r="B96" s="120">
        <v>91</v>
      </c>
      <c r="C96" s="439">
        <v>165.7</v>
      </c>
      <c r="D96" s="439">
        <v>167.13</v>
      </c>
      <c r="E96" s="439">
        <v>167.93</v>
      </c>
    </row>
    <row r="97" spans="2:5" x14ac:dyDescent="0.2">
      <c r="B97" s="120">
        <v>92</v>
      </c>
      <c r="C97" s="439">
        <v>169.26</v>
      </c>
      <c r="D97" s="439">
        <v>170.71</v>
      </c>
      <c r="E97" s="439">
        <v>171.51</v>
      </c>
    </row>
    <row r="98" spans="2:5" x14ac:dyDescent="0.2">
      <c r="B98" s="120">
        <v>93</v>
      </c>
      <c r="C98" s="439">
        <v>172.77</v>
      </c>
      <c r="D98" s="439">
        <v>174.23</v>
      </c>
      <c r="E98" s="439">
        <v>175.03</v>
      </c>
    </row>
    <row r="99" spans="2:5" x14ac:dyDescent="0.2">
      <c r="B99" s="120">
        <v>94</v>
      </c>
      <c r="C99" s="439">
        <v>176.21</v>
      </c>
      <c r="D99" s="439">
        <v>177.69</v>
      </c>
      <c r="E99" s="439">
        <v>178.49</v>
      </c>
    </row>
    <row r="100" spans="2:5" x14ac:dyDescent="0.2">
      <c r="B100" s="120">
        <v>95</v>
      </c>
      <c r="C100" s="439">
        <v>179.6</v>
      </c>
      <c r="D100" s="439">
        <v>181.08</v>
      </c>
      <c r="E100" s="439">
        <v>181.89</v>
      </c>
    </row>
    <row r="101" spans="2:5" x14ac:dyDescent="0.2">
      <c r="B101" s="120">
        <v>96</v>
      </c>
      <c r="C101" s="439">
        <v>182.92</v>
      </c>
      <c r="D101" s="439">
        <v>184.41</v>
      </c>
      <c r="E101" s="439">
        <v>185.22</v>
      </c>
    </row>
    <row r="102" spans="2:5" x14ac:dyDescent="0.2">
      <c r="B102" s="120">
        <v>97</v>
      </c>
      <c r="C102" s="439">
        <v>186.18</v>
      </c>
      <c r="D102" s="439">
        <v>187.69</v>
      </c>
      <c r="E102" s="439">
        <v>188.5</v>
      </c>
    </row>
    <row r="103" spans="2:5" x14ac:dyDescent="0.2">
      <c r="B103" s="120">
        <v>98</v>
      </c>
      <c r="C103" s="439">
        <v>189.4</v>
      </c>
      <c r="D103" s="439">
        <v>190.92</v>
      </c>
      <c r="E103" s="439">
        <v>191.73</v>
      </c>
    </row>
    <row r="104" spans="2:5" x14ac:dyDescent="0.2">
      <c r="B104" s="120">
        <v>99</v>
      </c>
      <c r="C104" s="439">
        <v>192.6</v>
      </c>
      <c r="D104" s="439">
        <v>194.12</v>
      </c>
      <c r="E104" s="439">
        <v>194.94</v>
      </c>
    </row>
    <row r="105" spans="2:5" x14ac:dyDescent="0.2">
      <c r="B105" s="120">
        <v>100</v>
      </c>
      <c r="C105" s="439">
        <v>195.81</v>
      </c>
      <c r="D105" s="439">
        <v>197.34</v>
      </c>
      <c r="E105" s="439">
        <v>198.15</v>
      </c>
    </row>
  </sheetData>
  <mergeCells count="1">
    <mergeCell ref="B3:J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tint="0.39997558519241921"/>
  </sheetPr>
  <dimension ref="B1:J105"/>
  <sheetViews>
    <sheetView workbookViewId="0">
      <selection activeCell="B5" sqref="B5:E105"/>
    </sheetView>
  </sheetViews>
  <sheetFormatPr defaultColWidth="8.85546875" defaultRowHeight="12.75" x14ac:dyDescent="0.2"/>
  <cols>
    <col min="1" max="1" width="8.85546875" style="429"/>
    <col min="2" max="2" width="8.85546875" style="452" customWidth="1"/>
    <col min="3" max="3" width="13" style="452" customWidth="1"/>
    <col min="4" max="4" width="12.5703125" style="452" customWidth="1"/>
    <col min="5" max="5" width="9" style="452" customWidth="1"/>
    <col min="6" max="6" width="3.140625" style="426" customWidth="1"/>
    <col min="7" max="7" width="8.85546875" style="426" customWidth="1"/>
    <col min="8" max="8" width="9" style="426" customWidth="1"/>
    <col min="9" max="9" width="13.85546875" style="426" customWidth="1"/>
    <col min="10" max="10" width="14.42578125" style="426" customWidth="1"/>
    <col min="11" max="16384" width="8.85546875" style="429"/>
  </cols>
  <sheetData>
    <row r="1" spans="2:10" x14ac:dyDescent="0.2">
      <c r="J1" s="437" t="s">
        <v>151</v>
      </c>
    </row>
    <row r="2" spans="2:10" x14ac:dyDescent="0.2">
      <c r="B2" s="453">
        <f>SUM(C5:E105)</f>
        <v>24073.62999999999</v>
      </c>
      <c r="C2" s="426">
        <v>23955.189773469523</v>
      </c>
      <c r="D2" s="454">
        <f>C2-B2</f>
        <v>-118.44022653046704</v>
      </c>
      <c r="E2" s="426"/>
    </row>
    <row r="3" spans="2:10" x14ac:dyDescent="0.2">
      <c r="B3" s="770" t="s">
        <v>159</v>
      </c>
      <c r="C3" s="771"/>
      <c r="D3" s="771"/>
      <c r="E3" s="771"/>
      <c r="F3" s="772"/>
      <c r="G3" s="772"/>
      <c r="H3" s="772"/>
      <c r="I3" s="772"/>
      <c r="J3" s="773"/>
    </row>
    <row r="4" spans="2:10" ht="25.5" x14ac:dyDescent="0.2">
      <c r="B4" s="109" t="s">
        <v>1</v>
      </c>
      <c r="C4" s="109" t="s">
        <v>153</v>
      </c>
      <c r="D4" s="110" t="s">
        <v>154</v>
      </c>
      <c r="E4" s="110" t="s">
        <v>155</v>
      </c>
      <c r="F4" s="429"/>
      <c r="G4" s="109"/>
      <c r="H4" s="109"/>
      <c r="I4" s="110"/>
      <c r="J4" s="110"/>
    </row>
    <row r="5" spans="2:10" x14ac:dyDescent="0.2">
      <c r="B5" s="120">
        <v>0</v>
      </c>
      <c r="C5" s="417">
        <v>56.17</v>
      </c>
      <c r="D5" s="417">
        <v>56.36</v>
      </c>
      <c r="E5" s="417">
        <v>56.78</v>
      </c>
      <c r="G5" s="120"/>
      <c r="H5" s="461"/>
      <c r="I5" s="461"/>
      <c r="J5" s="461"/>
    </row>
    <row r="6" spans="2:10" x14ac:dyDescent="0.2">
      <c r="B6" s="120">
        <v>1</v>
      </c>
      <c r="C6" s="417">
        <v>56.22</v>
      </c>
      <c r="D6" s="417">
        <v>56.41</v>
      </c>
      <c r="E6" s="417">
        <v>56.84</v>
      </c>
      <c r="G6" s="120"/>
      <c r="H6" s="461"/>
      <c r="I6" s="461"/>
      <c r="J6" s="461"/>
    </row>
    <row r="7" spans="2:10" x14ac:dyDescent="0.2">
      <c r="B7" s="120">
        <v>2</v>
      </c>
      <c r="C7" s="417">
        <v>56.28</v>
      </c>
      <c r="D7" s="417">
        <v>56.47</v>
      </c>
      <c r="E7" s="417">
        <v>56.89</v>
      </c>
      <c r="G7" s="120"/>
      <c r="H7" s="461"/>
      <c r="I7" s="461"/>
      <c r="J7" s="461"/>
    </row>
    <row r="8" spans="2:10" x14ac:dyDescent="0.2">
      <c r="B8" s="120">
        <v>3</v>
      </c>
      <c r="C8" s="417">
        <v>56.34</v>
      </c>
      <c r="D8" s="417">
        <v>56.52</v>
      </c>
      <c r="E8" s="417">
        <v>56.95</v>
      </c>
      <c r="G8" s="120"/>
      <c r="H8" s="461"/>
      <c r="I8" s="461"/>
      <c r="J8" s="461"/>
    </row>
    <row r="9" spans="2:10" x14ac:dyDescent="0.2">
      <c r="B9" s="120">
        <v>4</v>
      </c>
      <c r="C9" s="417">
        <v>56.4</v>
      </c>
      <c r="D9" s="417">
        <v>56.59</v>
      </c>
      <c r="E9" s="417">
        <v>57.01</v>
      </c>
      <c r="G9" s="120"/>
      <c r="H9" s="461"/>
      <c r="I9" s="461"/>
      <c r="J9" s="461"/>
    </row>
    <row r="10" spans="2:10" x14ac:dyDescent="0.2">
      <c r="B10" s="120">
        <v>5</v>
      </c>
      <c r="C10" s="417">
        <v>56.46</v>
      </c>
      <c r="D10" s="417">
        <v>56.65</v>
      </c>
      <c r="E10" s="417">
        <v>57.08</v>
      </c>
      <c r="G10" s="120"/>
      <c r="H10" s="461"/>
      <c r="I10" s="461"/>
      <c r="J10" s="461"/>
    </row>
    <row r="11" spans="2:10" x14ac:dyDescent="0.2">
      <c r="B11" s="120">
        <v>6</v>
      </c>
      <c r="C11" s="417">
        <v>56.53</v>
      </c>
      <c r="D11" s="417">
        <v>56.72</v>
      </c>
      <c r="E11" s="417">
        <v>57.15</v>
      </c>
      <c r="G11" s="120"/>
      <c r="H11" s="461"/>
      <c r="I11" s="461"/>
      <c r="J11" s="461"/>
    </row>
    <row r="12" spans="2:10" x14ac:dyDescent="0.2">
      <c r="B12" s="120">
        <v>7</v>
      </c>
      <c r="C12" s="417">
        <v>56.6</v>
      </c>
      <c r="D12" s="417">
        <v>56.79</v>
      </c>
      <c r="E12" s="417">
        <v>57.22</v>
      </c>
      <c r="G12" s="120"/>
      <c r="H12" s="461"/>
      <c r="I12" s="461"/>
      <c r="J12" s="461"/>
    </row>
    <row r="13" spans="2:10" x14ac:dyDescent="0.2">
      <c r="B13" s="120">
        <v>8</v>
      </c>
      <c r="C13" s="417">
        <v>56.67</v>
      </c>
      <c r="D13" s="417">
        <v>56.86</v>
      </c>
      <c r="E13" s="417">
        <v>57.29</v>
      </c>
      <c r="G13" s="120"/>
      <c r="H13" s="461"/>
      <c r="I13" s="461"/>
      <c r="J13" s="461"/>
    </row>
    <row r="14" spans="2:10" x14ac:dyDescent="0.2">
      <c r="B14" s="120">
        <v>9</v>
      </c>
      <c r="C14" s="417">
        <v>56.75</v>
      </c>
      <c r="D14" s="417">
        <v>56.94</v>
      </c>
      <c r="E14" s="417">
        <v>57.37</v>
      </c>
      <c r="G14" s="120"/>
      <c r="H14" s="461"/>
      <c r="I14" s="461"/>
      <c r="J14" s="461"/>
    </row>
    <row r="15" spans="2:10" x14ac:dyDescent="0.2">
      <c r="B15" s="120">
        <v>10</v>
      </c>
      <c r="C15" s="417">
        <v>56.83</v>
      </c>
      <c r="D15" s="417">
        <v>57.02</v>
      </c>
      <c r="E15" s="417">
        <v>57.45</v>
      </c>
      <c r="G15" s="120"/>
      <c r="H15" s="461"/>
      <c r="I15" s="461"/>
      <c r="J15" s="461"/>
    </row>
    <row r="16" spans="2:10" x14ac:dyDescent="0.2">
      <c r="B16" s="120">
        <v>11</v>
      </c>
      <c r="C16" s="417">
        <v>56.91</v>
      </c>
      <c r="D16" s="417">
        <v>57.1</v>
      </c>
      <c r="E16" s="417">
        <v>57.54</v>
      </c>
      <c r="G16" s="120"/>
      <c r="H16" s="461"/>
      <c r="I16" s="461"/>
      <c r="J16" s="461"/>
    </row>
    <row r="17" spans="2:10" x14ac:dyDescent="0.2">
      <c r="B17" s="120">
        <v>12</v>
      </c>
      <c r="C17" s="417">
        <v>57</v>
      </c>
      <c r="D17" s="417">
        <v>57.19</v>
      </c>
      <c r="E17" s="417">
        <v>57.63</v>
      </c>
      <c r="G17" s="120"/>
      <c r="H17" s="461"/>
      <c r="I17" s="461"/>
      <c r="J17" s="461"/>
    </row>
    <row r="18" spans="2:10" x14ac:dyDescent="0.2">
      <c r="B18" s="120">
        <v>13</v>
      </c>
      <c r="C18" s="417">
        <v>57.09</v>
      </c>
      <c r="D18" s="417">
        <v>57.29</v>
      </c>
      <c r="E18" s="417">
        <v>57.72</v>
      </c>
      <c r="G18" s="120"/>
      <c r="H18" s="461"/>
      <c r="I18" s="461"/>
      <c r="J18" s="461"/>
    </row>
    <row r="19" spans="2:10" x14ac:dyDescent="0.2">
      <c r="B19" s="120">
        <v>14</v>
      </c>
      <c r="C19" s="417">
        <v>57.19</v>
      </c>
      <c r="D19" s="417">
        <v>57.38</v>
      </c>
      <c r="E19" s="417">
        <v>57.82</v>
      </c>
      <c r="G19" s="120"/>
      <c r="H19" s="461"/>
      <c r="I19" s="461"/>
      <c r="J19" s="461"/>
    </row>
    <row r="20" spans="2:10" x14ac:dyDescent="0.2">
      <c r="B20" s="120">
        <v>15</v>
      </c>
      <c r="C20" s="417">
        <v>57.29</v>
      </c>
      <c r="D20" s="417">
        <v>57.49</v>
      </c>
      <c r="E20" s="417">
        <v>57.93</v>
      </c>
      <c r="G20" s="120"/>
      <c r="H20" s="461"/>
      <c r="I20" s="461"/>
      <c r="J20" s="461"/>
    </row>
    <row r="21" spans="2:10" x14ac:dyDescent="0.2">
      <c r="B21" s="120">
        <v>16</v>
      </c>
      <c r="C21" s="417">
        <v>57.4</v>
      </c>
      <c r="D21" s="417">
        <v>57.6</v>
      </c>
      <c r="E21" s="417">
        <v>58.04</v>
      </c>
      <c r="G21" s="120"/>
      <c r="H21" s="461"/>
      <c r="I21" s="461"/>
      <c r="J21" s="461"/>
    </row>
    <row r="22" spans="2:10" x14ac:dyDescent="0.2">
      <c r="B22" s="120">
        <v>17</v>
      </c>
      <c r="C22" s="417">
        <v>57.52</v>
      </c>
      <c r="D22" s="417">
        <v>57.71</v>
      </c>
      <c r="E22" s="417">
        <v>58.15</v>
      </c>
      <c r="G22" s="120"/>
      <c r="H22" s="461"/>
      <c r="I22" s="461"/>
      <c r="J22" s="461"/>
    </row>
    <row r="23" spans="2:10" x14ac:dyDescent="0.2">
      <c r="B23" s="120">
        <v>18</v>
      </c>
      <c r="C23" s="417">
        <v>57.63</v>
      </c>
      <c r="D23" s="417">
        <v>57.83</v>
      </c>
      <c r="E23" s="417">
        <v>58.28</v>
      </c>
      <c r="G23" s="120"/>
      <c r="H23" s="461"/>
      <c r="I23" s="461"/>
      <c r="J23" s="461"/>
    </row>
    <row r="24" spans="2:10" x14ac:dyDescent="0.2">
      <c r="B24" s="120">
        <v>19</v>
      </c>
      <c r="C24" s="417">
        <v>57.76</v>
      </c>
      <c r="D24" s="417">
        <v>57.95</v>
      </c>
      <c r="E24" s="417">
        <v>58.4</v>
      </c>
      <c r="G24" s="120"/>
      <c r="H24" s="461"/>
      <c r="I24" s="461"/>
      <c r="J24" s="461"/>
    </row>
    <row r="25" spans="2:10" x14ac:dyDescent="0.2">
      <c r="B25" s="120">
        <v>20</v>
      </c>
      <c r="C25" s="417">
        <v>57.89</v>
      </c>
      <c r="D25" s="417">
        <v>58.09</v>
      </c>
      <c r="E25" s="417">
        <v>58.54</v>
      </c>
      <c r="G25" s="120"/>
      <c r="H25" s="461"/>
      <c r="I25" s="461"/>
      <c r="J25" s="461"/>
    </row>
    <row r="26" spans="2:10" x14ac:dyDescent="0.2">
      <c r="B26" s="120">
        <v>21</v>
      </c>
      <c r="C26" s="417">
        <v>58.03</v>
      </c>
      <c r="D26" s="417">
        <v>58.23</v>
      </c>
      <c r="E26" s="417">
        <v>58.68</v>
      </c>
      <c r="G26" s="120"/>
      <c r="H26" s="461"/>
      <c r="I26" s="461"/>
      <c r="J26" s="461"/>
    </row>
    <row r="27" spans="2:10" x14ac:dyDescent="0.2">
      <c r="B27" s="120">
        <v>22</v>
      </c>
      <c r="C27" s="417">
        <v>58.17</v>
      </c>
      <c r="D27" s="417">
        <v>58.37</v>
      </c>
      <c r="E27" s="417">
        <v>58.83</v>
      </c>
      <c r="G27" s="120"/>
      <c r="H27" s="461"/>
      <c r="I27" s="461"/>
      <c r="J27" s="461"/>
    </row>
    <row r="28" spans="2:10" x14ac:dyDescent="0.2">
      <c r="B28" s="120">
        <v>23</v>
      </c>
      <c r="C28" s="417">
        <v>58.32</v>
      </c>
      <c r="D28" s="417">
        <v>58.52</v>
      </c>
      <c r="E28" s="417">
        <v>58.98</v>
      </c>
      <c r="G28" s="120"/>
      <c r="H28" s="461"/>
      <c r="I28" s="461"/>
      <c r="J28" s="461"/>
    </row>
    <row r="29" spans="2:10" x14ac:dyDescent="0.2">
      <c r="B29" s="120">
        <v>24</v>
      </c>
      <c r="C29" s="417">
        <v>58.48</v>
      </c>
      <c r="D29" s="417">
        <v>58.68</v>
      </c>
      <c r="E29" s="417">
        <v>59.14</v>
      </c>
      <c r="G29" s="120"/>
      <c r="H29" s="461"/>
      <c r="I29" s="461"/>
      <c r="J29" s="461"/>
    </row>
    <row r="30" spans="2:10" x14ac:dyDescent="0.2">
      <c r="B30" s="120">
        <v>25</v>
      </c>
      <c r="C30" s="417">
        <v>58.65</v>
      </c>
      <c r="D30" s="417">
        <v>58.85</v>
      </c>
      <c r="E30" s="417">
        <v>59.31</v>
      </c>
      <c r="G30" s="120"/>
      <c r="H30" s="461"/>
      <c r="I30" s="461"/>
      <c r="J30" s="461"/>
    </row>
    <row r="31" spans="2:10" x14ac:dyDescent="0.2">
      <c r="B31" s="120">
        <v>26</v>
      </c>
      <c r="C31" s="417">
        <v>58.83</v>
      </c>
      <c r="D31" s="417">
        <v>59.03</v>
      </c>
      <c r="E31" s="417">
        <v>59.49</v>
      </c>
      <c r="G31" s="120"/>
      <c r="H31" s="461"/>
      <c r="I31" s="461"/>
      <c r="J31" s="461"/>
    </row>
    <row r="32" spans="2:10" x14ac:dyDescent="0.2">
      <c r="B32" s="120">
        <v>27</v>
      </c>
      <c r="C32" s="417">
        <v>59.01</v>
      </c>
      <c r="D32" s="417">
        <v>59.21</v>
      </c>
      <c r="E32" s="417">
        <v>59.68</v>
      </c>
      <c r="G32" s="120"/>
      <c r="H32" s="461"/>
      <c r="I32" s="461"/>
      <c r="J32" s="461"/>
    </row>
    <row r="33" spans="2:10" x14ac:dyDescent="0.2">
      <c r="B33" s="120">
        <v>28</v>
      </c>
      <c r="C33" s="417">
        <v>59.21</v>
      </c>
      <c r="D33" s="417">
        <v>59.41</v>
      </c>
      <c r="E33" s="417">
        <v>59.88</v>
      </c>
      <c r="G33" s="120"/>
      <c r="H33" s="461"/>
      <c r="I33" s="461"/>
      <c r="J33" s="461"/>
    </row>
    <row r="34" spans="2:10" x14ac:dyDescent="0.2">
      <c r="B34" s="120">
        <v>29</v>
      </c>
      <c r="C34" s="417">
        <v>59.41</v>
      </c>
      <c r="D34" s="417">
        <v>59.62</v>
      </c>
      <c r="E34" s="417">
        <v>60.09</v>
      </c>
      <c r="G34" s="120"/>
      <c r="H34" s="461"/>
      <c r="I34" s="461"/>
      <c r="J34" s="461"/>
    </row>
    <row r="35" spans="2:10" x14ac:dyDescent="0.2">
      <c r="B35" s="120">
        <v>30</v>
      </c>
      <c r="C35" s="417">
        <v>59.63</v>
      </c>
      <c r="D35" s="417">
        <v>59.84</v>
      </c>
      <c r="E35" s="417">
        <v>60.31</v>
      </c>
      <c r="G35" s="120"/>
      <c r="H35" s="461"/>
      <c r="I35" s="461"/>
      <c r="J35" s="461"/>
    </row>
    <row r="36" spans="2:10" x14ac:dyDescent="0.2">
      <c r="B36" s="120">
        <v>31</v>
      </c>
      <c r="C36" s="417">
        <v>59.86</v>
      </c>
      <c r="D36" s="417">
        <v>60.07</v>
      </c>
      <c r="E36" s="417">
        <v>60.55</v>
      </c>
      <c r="G36" s="120"/>
      <c r="H36" s="461"/>
      <c r="I36" s="461"/>
      <c r="J36" s="461"/>
    </row>
    <row r="37" spans="2:10" x14ac:dyDescent="0.2">
      <c r="B37" s="120">
        <v>32</v>
      </c>
      <c r="C37" s="417">
        <v>60.1</v>
      </c>
      <c r="D37" s="417">
        <v>60.31</v>
      </c>
      <c r="E37" s="417">
        <v>60.8</v>
      </c>
      <c r="G37" s="120"/>
      <c r="H37" s="461"/>
      <c r="I37" s="461"/>
      <c r="J37" s="461"/>
    </row>
    <row r="38" spans="2:10" x14ac:dyDescent="0.2">
      <c r="B38" s="120">
        <v>33</v>
      </c>
      <c r="C38" s="417">
        <v>60.36</v>
      </c>
      <c r="D38" s="417">
        <v>60.57</v>
      </c>
      <c r="E38" s="417">
        <v>61.06</v>
      </c>
      <c r="G38" s="120"/>
      <c r="H38" s="461"/>
      <c r="I38" s="461"/>
      <c r="J38" s="461"/>
    </row>
    <row r="39" spans="2:10" x14ac:dyDescent="0.2">
      <c r="B39" s="120">
        <v>34</v>
      </c>
      <c r="C39" s="417">
        <v>60.63</v>
      </c>
      <c r="D39" s="417">
        <v>60.84</v>
      </c>
      <c r="E39" s="417">
        <v>61.33</v>
      </c>
      <c r="G39" s="120"/>
      <c r="H39" s="461"/>
      <c r="I39" s="461"/>
      <c r="J39" s="461"/>
    </row>
    <row r="40" spans="2:10" x14ac:dyDescent="0.2">
      <c r="B40" s="120">
        <v>35</v>
      </c>
      <c r="C40" s="417">
        <v>60.92</v>
      </c>
      <c r="D40" s="417">
        <v>61.13</v>
      </c>
      <c r="E40" s="417">
        <v>61.63</v>
      </c>
      <c r="G40" s="120"/>
      <c r="H40" s="461"/>
      <c r="I40" s="461"/>
      <c r="J40" s="461"/>
    </row>
    <row r="41" spans="2:10" x14ac:dyDescent="0.2">
      <c r="B41" s="120">
        <v>36</v>
      </c>
      <c r="C41" s="417">
        <v>61.22</v>
      </c>
      <c r="D41" s="417">
        <v>61.44</v>
      </c>
      <c r="E41" s="417">
        <v>61.94</v>
      </c>
      <c r="G41" s="120"/>
      <c r="H41" s="461"/>
      <c r="I41" s="461"/>
      <c r="J41" s="461"/>
    </row>
    <row r="42" spans="2:10" x14ac:dyDescent="0.2">
      <c r="B42" s="120">
        <v>37</v>
      </c>
      <c r="C42" s="417">
        <v>61.54</v>
      </c>
      <c r="D42" s="417">
        <v>61.76</v>
      </c>
      <c r="E42" s="417">
        <v>62.26</v>
      </c>
      <c r="G42" s="120"/>
      <c r="H42" s="461"/>
      <c r="I42" s="461"/>
      <c r="J42" s="461"/>
    </row>
    <row r="43" spans="2:10" x14ac:dyDescent="0.2">
      <c r="B43" s="120">
        <v>38</v>
      </c>
      <c r="C43" s="417">
        <v>61.88</v>
      </c>
      <c r="D43" s="417">
        <v>62.1</v>
      </c>
      <c r="E43" s="417">
        <v>62.61</v>
      </c>
      <c r="G43" s="120"/>
      <c r="H43" s="461"/>
      <c r="I43" s="461"/>
      <c r="J43" s="461"/>
    </row>
    <row r="44" spans="2:10" x14ac:dyDescent="0.2">
      <c r="B44" s="120">
        <v>39</v>
      </c>
      <c r="C44" s="417">
        <v>62.23</v>
      </c>
      <c r="D44" s="417">
        <v>62.46</v>
      </c>
      <c r="E44" s="417">
        <v>62.97</v>
      </c>
      <c r="G44" s="120"/>
      <c r="H44" s="461"/>
      <c r="I44" s="461"/>
      <c r="J44" s="461"/>
    </row>
    <row r="45" spans="2:10" x14ac:dyDescent="0.2">
      <c r="B45" s="120">
        <v>40</v>
      </c>
      <c r="C45" s="417">
        <v>62.61</v>
      </c>
      <c r="D45" s="417">
        <v>62.83</v>
      </c>
      <c r="E45" s="417">
        <v>63.35</v>
      </c>
      <c r="G45" s="120"/>
      <c r="H45" s="461"/>
      <c r="I45" s="461"/>
      <c r="J45" s="461"/>
    </row>
    <row r="46" spans="2:10" x14ac:dyDescent="0.2">
      <c r="B46" s="120">
        <v>41</v>
      </c>
      <c r="C46" s="417">
        <v>63</v>
      </c>
      <c r="D46" s="417">
        <v>63.23</v>
      </c>
      <c r="E46" s="417">
        <v>63.75</v>
      </c>
      <c r="G46" s="120"/>
      <c r="H46" s="461"/>
      <c r="I46" s="461"/>
      <c r="J46" s="461"/>
    </row>
    <row r="47" spans="2:10" x14ac:dyDescent="0.2">
      <c r="B47" s="120">
        <v>42</v>
      </c>
      <c r="C47" s="417">
        <v>63.41</v>
      </c>
      <c r="D47" s="417">
        <v>63.64</v>
      </c>
      <c r="E47" s="417">
        <v>64.17</v>
      </c>
      <c r="G47" s="120"/>
      <c r="H47" s="461"/>
      <c r="I47" s="461"/>
      <c r="J47" s="461"/>
    </row>
    <row r="48" spans="2:10" x14ac:dyDescent="0.2">
      <c r="B48" s="120">
        <v>43</v>
      </c>
      <c r="C48" s="417">
        <v>63.85</v>
      </c>
      <c r="D48" s="417">
        <v>64.08</v>
      </c>
      <c r="E48" s="417">
        <v>64.61</v>
      </c>
      <c r="G48" s="120"/>
      <c r="H48" s="461"/>
      <c r="I48" s="461"/>
      <c r="J48" s="461"/>
    </row>
    <row r="49" spans="2:10" x14ac:dyDescent="0.2">
      <c r="B49" s="120">
        <v>44</v>
      </c>
      <c r="C49" s="417">
        <v>64.3</v>
      </c>
      <c r="D49" s="417">
        <v>64.540000000000006</v>
      </c>
      <c r="E49" s="417">
        <v>65.08</v>
      </c>
      <c r="G49" s="120"/>
      <c r="H49" s="461"/>
      <c r="I49" s="461"/>
      <c r="J49" s="461"/>
    </row>
    <row r="50" spans="2:10" x14ac:dyDescent="0.2">
      <c r="B50" s="120">
        <v>45</v>
      </c>
      <c r="C50" s="417">
        <v>64.790000000000006</v>
      </c>
      <c r="D50" s="417">
        <v>65.02</v>
      </c>
      <c r="E50" s="417">
        <v>65.569999999999993</v>
      </c>
      <c r="G50" s="120"/>
      <c r="H50" s="461"/>
      <c r="I50" s="461"/>
      <c r="J50" s="461"/>
    </row>
    <row r="51" spans="2:10" x14ac:dyDescent="0.2">
      <c r="B51" s="120">
        <v>46</v>
      </c>
      <c r="C51" s="417">
        <v>65.290000000000006</v>
      </c>
      <c r="D51" s="417">
        <v>65.53</v>
      </c>
      <c r="E51" s="417">
        <v>66.09</v>
      </c>
      <c r="G51" s="120"/>
      <c r="H51" s="461"/>
      <c r="I51" s="461"/>
      <c r="J51" s="461"/>
    </row>
    <row r="52" spans="2:10" x14ac:dyDescent="0.2">
      <c r="B52" s="120">
        <v>47</v>
      </c>
      <c r="C52" s="417">
        <v>65.819999999999993</v>
      </c>
      <c r="D52" s="417">
        <v>66.069999999999993</v>
      </c>
      <c r="E52" s="417">
        <v>66.63</v>
      </c>
      <c r="G52" s="120"/>
      <c r="H52" s="461"/>
      <c r="I52" s="461"/>
      <c r="J52" s="461"/>
    </row>
    <row r="53" spans="2:10" x14ac:dyDescent="0.2">
      <c r="B53" s="120">
        <v>48</v>
      </c>
      <c r="C53" s="417">
        <v>66.38</v>
      </c>
      <c r="D53" s="417">
        <v>66.63</v>
      </c>
      <c r="E53" s="417">
        <v>67.2</v>
      </c>
      <c r="G53" s="120"/>
      <c r="H53" s="461"/>
      <c r="I53" s="461"/>
      <c r="J53" s="461"/>
    </row>
    <row r="54" spans="2:10" x14ac:dyDescent="0.2">
      <c r="B54" s="120">
        <v>49</v>
      </c>
      <c r="C54" s="417">
        <v>66.97</v>
      </c>
      <c r="D54" s="417">
        <v>67.22</v>
      </c>
      <c r="E54" s="417">
        <v>67.790000000000006</v>
      </c>
      <c r="G54" s="120"/>
      <c r="H54" s="461"/>
      <c r="I54" s="461"/>
      <c r="J54" s="461"/>
    </row>
    <row r="55" spans="2:10" x14ac:dyDescent="0.2">
      <c r="B55" s="120">
        <v>50</v>
      </c>
      <c r="C55" s="417">
        <v>67.58</v>
      </c>
      <c r="D55" s="417">
        <v>67.84</v>
      </c>
      <c r="E55" s="417">
        <v>68.42</v>
      </c>
      <c r="H55" s="429"/>
      <c r="I55" s="429"/>
      <c r="J55" s="429"/>
    </row>
    <row r="56" spans="2:10" x14ac:dyDescent="0.2">
      <c r="B56" s="120">
        <v>51</v>
      </c>
      <c r="C56" s="439">
        <v>68.23</v>
      </c>
      <c r="D56" s="439">
        <v>68.489999999999995</v>
      </c>
      <c r="E56" s="439">
        <v>69.08</v>
      </c>
      <c r="H56" s="429"/>
      <c r="I56" s="429"/>
      <c r="J56" s="429"/>
    </row>
    <row r="57" spans="2:10" x14ac:dyDescent="0.2">
      <c r="B57" s="120">
        <v>52</v>
      </c>
      <c r="C57" s="439">
        <v>68.900000000000006</v>
      </c>
      <c r="D57" s="439">
        <v>69.17</v>
      </c>
      <c r="E57" s="439">
        <v>69.77</v>
      </c>
      <c r="H57" s="429"/>
      <c r="I57" s="429"/>
      <c r="J57" s="429"/>
    </row>
    <row r="58" spans="2:10" x14ac:dyDescent="0.2">
      <c r="B58" s="120">
        <v>53</v>
      </c>
      <c r="C58" s="439">
        <v>69.61</v>
      </c>
      <c r="D58" s="439">
        <v>69.89</v>
      </c>
      <c r="E58" s="439">
        <v>70.489999999999995</v>
      </c>
      <c r="H58" s="429"/>
      <c r="I58" s="429"/>
      <c r="J58" s="429"/>
    </row>
    <row r="59" spans="2:10" x14ac:dyDescent="0.2">
      <c r="B59" s="120">
        <v>54</v>
      </c>
      <c r="C59" s="439">
        <v>70.36</v>
      </c>
      <c r="D59" s="439">
        <v>70.64</v>
      </c>
      <c r="E59" s="439">
        <v>71.25</v>
      </c>
    </row>
    <row r="60" spans="2:10" x14ac:dyDescent="0.2">
      <c r="B60" s="120">
        <v>55</v>
      </c>
      <c r="C60" s="439">
        <v>71.150000000000006</v>
      </c>
      <c r="D60" s="439">
        <v>71.44</v>
      </c>
      <c r="E60" s="439">
        <v>72.05</v>
      </c>
    </row>
    <row r="61" spans="2:10" x14ac:dyDescent="0.2">
      <c r="B61" s="120">
        <v>56</v>
      </c>
      <c r="C61" s="439">
        <v>71.98</v>
      </c>
      <c r="D61" s="439">
        <v>72.28</v>
      </c>
      <c r="E61" s="439">
        <v>72.900000000000006</v>
      </c>
    </row>
    <row r="62" spans="2:10" x14ac:dyDescent="0.2">
      <c r="B62" s="120">
        <v>57</v>
      </c>
      <c r="C62" s="439">
        <v>72.86</v>
      </c>
      <c r="D62" s="439">
        <v>73.17</v>
      </c>
      <c r="E62" s="439">
        <v>73.8</v>
      </c>
    </row>
    <row r="63" spans="2:10" x14ac:dyDescent="0.2">
      <c r="B63" s="120">
        <v>58</v>
      </c>
      <c r="C63" s="439">
        <v>73.8</v>
      </c>
      <c r="D63" s="439">
        <v>74.11</v>
      </c>
      <c r="E63" s="439">
        <v>74.760000000000005</v>
      </c>
    </row>
    <row r="64" spans="2:10" x14ac:dyDescent="0.2">
      <c r="B64" s="120">
        <v>59</v>
      </c>
      <c r="C64" s="439">
        <v>74.790000000000006</v>
      </c>
      <c r="D64" s="439">
        <v>75.12</v>
      </c>
      <c r="E64" s="439">
        <v>75.77</v>
      </c>
    </row>
    <row r="65" spans="2:5" x14ac:dyDescent="0.2">
      <c r="B65" s="120">
        <v>60</v>
      </c>
      <c r="C65" s="439">
        <v>75.849999999999994</v>
      </c>
      <c r="D65" s="439">
        <v>76.180000000000007</v>
      </c>
      <c r="E65" s="439">
        <v>76.84</v>
      </c>
    </row>
    <row r="66" spans="2:5" x14ac:dyDescent="0.2">
      <c r="B66" s="120">
        <v>61</v>
      </c>
      <c r="C66" s="439">
        <v>76.959999999999994</v>
      </c>
      <c r="D66" s="439">
        <v>77.31</v>
      </c>
      <c r="E66" s="439">
        <v>77.98</v>
      </c>
    </row>
    <row r="67" spans="2:5" x14ac:dyDescent="0.2">
      <c r="B67" s="120">
        <v>62</v>
      </c>
      <c r="C67" s="439">
        <v>78.16</v>
      </c>
      <c r="D67" s="439">
        <v>78.510000000000005</v>
      </c>
      <c r="E67" s="439">
        <v>79.19</v>
      </c>
    </row>
    <row r="68" spans="2:5" x14ac:dyDescent="0.2">
      <c r="B68" s="120">
        <v>63</v>
      </c>
      <c r="C68" s="439">
        <v>79.430000000000007</v>
      </c>
      <c r="D68" s="439">
        <v>79.8</v>
      </c>
      <c r="E68" s="439">
        <v>80.489999999999995</v>
      </c>
    </row>
    <row r="69" spans="2:5" x14ac:dyDescent="0.2">
      <c r="B69" s="120">
        <v>64</v>
      </c>
      <c r="C69" s="439">
        <v>80.78</v>
      </c>
      <c r="D69" s="439">
        <v>81.17</v>
      </c>
      <c r="E69" s="439">
        <v>81.86</v>
      </c>
    </row>
    <row r="70" spans="2:5" x14ac:dyDescent="0.2">
      <c r="B70" s="120">
        <v>65</v>
      </c>
      <c r="C70" s="439">
        <v>82.2</v>
      </c>
      <c r="D70" s="439">
        <v>82.6</v>
      </c>
      <c r="E70" s="439">
        <v>83.3</v>
      </c>
    </row>
    <row r="71" spans="2:5" x14ac:dyDescent="0.2">
      <c r="B71" s="120">
        <v>66</v>
      </c>
      <c r="C71" s="439">
        <v>83.68</v>
      </c>
      <c r="D71" s="439">
        <v>84.11</v>
      </c>
      <c r="E71" s="439">
        <v>84.82</v>
      </c>
    </row>
    <row r="72" spans="2:5" x14ac:dyDescent="0.2">
      <c r="B72" s="120">
        <v>67</v>
      </c>
      <c r="C72" s="439">
        <v>85.23</v>
      </c>
      <c r="D72" s="439">
        <v>85.67</v>
      </c>
      <c r="E72" s="439">
        <v>86.39</v>
      </c>
    </row>
    <row r="73" spans="2:5" x14ac:dyDescent="0.2">
      <c r="B73" s="120">
        <v>68</v>
      </c>
      <c r="C73" s="439">
        <v>86.83</v>
      </c>
      <c r="D73" s="439">
        <v>87.29</v>
      </c>
      <c r="E73" s="439">
        <v>88.02</v>
      </c>
    </row>
    <row r="74" spans="2:5" x14ac:dyDescent="0.2">
      <c r="B74" s="120">
        <v>69</v>
      </c>
      <c r="C74" s="439">
        <v>88.47</v>
      </c>
      <c r="D74" s="439">
        <v>88.96</v>
      </c>
      <c r="E74" s="439">
        <v>89.69</v>
      </c>
    </row>
    <row r="75" spans="2:5" x14ac:dyDescent="0.2">
      <c r="B75" s="120">
        <v>70</v>
      </c>
      <c r="C75" s="439">
        <v>90.16</v>
      </c>
      <c r="D75" s="439">
        <v>90.66</v>
      </c>
      <c r="E75" s="439">
        <v>91.4</v>
      </c>
    </row>
    <row r="76" spans="2:5" x14ac:dyDescent="0.2">
      <c r="B76" s="120">
        <v>71</v>
      </c>
      <c r="C76" s="439">
        <v>91.87</v>
      </c>
      <c r="D76" s="439">
        <v>92.4</v>
      </c>
      <c r="E76" s="439">
        <v>93.14</v>
      </c>
    </row>
    <row r="77" spans="2:5" x14ac:dyDescent="0.2">
      <c r="B77" s="120">
        <v>72</v>
      </c>
      <c r="C77" s="439">
        <v>93.6</v>
      </c>
      <c r="D77" s="439">
        <v>94.16</v>
      </c>
      <c r="E77" s="439">
        <v>94.9</v>
      </c>
    </row>
    <row r="78" spans="2:5" x14ac:dyDescent="0.2">
      <c r="B78" s="120">
        <v>73</v>
      </c>
      <c r="C78" s="439">
        <v>95.35</v>
      </c>
      <c r="D78" s="439">
        <v>95.93</v>
      </c>
      <c r="E78" s="439">
        <v>96.68</v>
      </c>
    </row>
    <row r="79" spans="2:5" x14ac:dyDescent="0.2">
      <c r="B79" s="120">
        <v>74</v>
      </c>
      <c r="C79" s="439">
        <v>97.1</v>
      </c>
      <c r="D79" s="439">
        <v>97.71</v>
      </c>
      <c r="E79" s="439">
        <v>98.46</v>
      </c>
    </row>
    <row r="80" spans="2:5" x14ac:dyDescent="0.2">
      <c r="B80" s="120">
        <v>75</v>
      </c>
      <c r="C80" s="439">
        <v>98.85</v>
      </c>
      <c r="D80" s="439">
        <v>99.48</v>
      </c>
      <c r="E80" s="439">
        <v>100.23</v>
      </c>
    </row>
    <row r="81" spans="2:5" x14ac:dyDescent="0.2">
      <c r="B81" s="120">
        <v>76</v>
      </c>
      <c r="C81" s="439">
        <v>100.58</v>
      </c>
      <c r="D81" s="439">
        <v>101.24</v>
      </c>
      <c r="E81" s="439">
        <v>102</v>
      </c>
    </row>
    <row r="82" spans="2:5" x14ac:dyDescent="0.2">
      <c r="B82" s="120">
        <v>77</v>
      </c>
      <c r="C82" s="439">
        <v>102.29</v>
      </c>
      <c r="D82" s="439">
        <v>102.98</v>
      </c>
      <c r="E82" s="439">
        <v>103.74</v>
      </c>
    </row>
    <row r="83" spans="2:5" x14ac:dyDescent="0.2">
      <c r="B83" s="120">
        <v>78</v>
      </c>
      <c r="C83" s="439">
        <v>103.98</v>
      </c>
      <c r="D83" s="439">
        <v>104.69</v>
      </c>
      <c r="E83" s="439">
        <v>105.45</v>
      </c>
    </row>
    <row r="84" spans="2:5" x14ac:dyDescent="0.2">
      <c r="B84" s="120">
        <v>79</v>
      </c>
      <c r="C84" s="439">
        <v>105.62</v>
      </c>
      <c r="D84" s="439">
        <v>106.37</v>
      </c>
      <c r="E84" s="439">
        <v>107.12</v>
      </c>
    </row>
    <row r="85" spans="2:5" x14ac:dyDescent="0.2">
      <c r="B85" s="120">
        <v>80</v>
      </c>
      <c r="C85" s="439">
        <v>107.22</v>
      </c>
      <c r="D85" s="439">
        <v>107.99</v>
      </c>
      <c r="E85" s="439">
        <v>108.75</v>
      </c>
    </row>
    <row r="86" spans="2:5" x14ac:dyDescent="0.2">
      <c r="B86" s="120">
        <v>81</v>
      </c>
      <c r="C86" s="439">
        <v>108.78</v>
      </c>
      <c r="D86" s="439">
        <v>109.57</v>
      </c>
      <c r="E86" s="439">
        <v>110.32</v>
      </c>
    </row>
    <row r="87" spans="2:5" x14ac:dyDescent="0.2">
      <c r="B87" s="120">
        <v>82</v>
      </c>
      <c r="C87" s="439">
        <v>110.27</v>
      </c>
      <c r="D87" s="439">
        <v>111.09</v>
      </c>
      <c r="E87" s="439">
        <v>111.84</v>
      </c>
    </row>
    <row r="88" spans="2:5" x14ac:dyDescent="0.2">
      <c r="B88" s="120">
        <v>83</v>
      </c>
      <c r="C88" s="439">
        <v>111.7</v>
      </c>
      <c r="D88" s="439">
        <v>112.55</v>
      </c>
      <c r="E88" s="439">
        <v>113.3</v>
      </c>
    </row>
    <row r="89" spans="2:5" x14ac:dyDescent="0.2">
      <c r="B89" s="120">
        <v>84</v>
      </c>
      <c r="C89" s="439">
        <v>113.07</v>
      </c>
      <c r="D89" s="439">
        <v>113.94</v>
      </c>
      <c r="E89" s="439">
        <v>114.69</v>
      </c>
    </row>
    <row r="90" spans="2:5" x14ac:dyDescent="0.2">
      <c r="B90" s="120">
        <v>85</v>
      </c>
      <c r="C90" s="439">
        <v>114.37</v>
      </c>
      <c r="D90" s="439">
        <v>115.26</v>
      </c>
      <c r="E90" s="439">
        <v>116.01</v>
      </c>
    </row>
    <row r="91" spans="2:5" x14ac:dyDescent="0.2">
      <c r="B91" s="120">
        <v>86</v>
      </c>
      <c r="C91" s="439">
        <v>115.6</v>
      </c>
      <c r="D91" s="439">
        <v>116.51</v>
      </c>
      <c r="E91" s="439">
        <v>117.25</v>
      </c>
    </row>
    <row r="92" spans="2:5" x14ac:dyDescent="0.2">
      <c r="B92" s="120">
        <v>87</v>
      </c>
      <c r="C92" s="439">
        <v>116.75</v>
      </c>
      <c r="D92" s="439">
        <v>117.68</v>
      </c>
      <c r="E92" s="439">
        <v>118.43</v>
      </c>
    </row>
    <row r="93" spans="2:5" x14ac:dyDescent="0.2">
      <c r="B93" s="120">
        <v>88</v>
      </c>
      <c r="C93" s="439">
        <v>117.84</v>
      </c>
      <c r="D93" s="439">
        <v>118.78</v>
      </c>
      <c r="E93" s="439">
        <v>119.53</v>
      </c>
    </row>
    <row r="94" spans="2:5" x14ac:dyDescent="0.2">
      <c r="B94" s="120">
        <v>89</v>
      </c>
      <c r="C94" s="439">
        <v>118.85</v>
      </c>
      <c r="D94" s="439">
        <v>119.81</v>
      </c>
      <c r="E94" s="439">
        <v>120.55</v>
      </c>
    </row>
    <row r="95" spans="2:5" x14ac:dyDescent="0.2">
      <c r="B95" s="120">
        <v>90</v>
      </c>
      <c r="C95" s="439">
        <v>119.79</v>
      </c>
      <c r="D95" s="439">
        <v>120.77</v>
      </c>
      <c r="E95" s="439">
        <v>121.51</v>
      </c>
    </row>
    <row r="96" spans="2:5" x14ac:dyDescent="0.2">
      <c r="B96" s="120">
        <v>91</v>
      </c>
      <c r="C96" s="439">
        <v>120.66</v>
      </c>
      <c r="D96" s="439">
        <v>121.66</v>
      </c>
      <c r="E96" s="439">
        <v>122.4</v>
      </c>
    </row>
    <row r="97" spans="2:5" x14ac:dyDescent="0.2">
      <c r="B97" s="120">
        <v>92</v>
      </c>
      <c r="C97" s="439">
        <v>121.47</v>
      </c>
      <c r="D97" s="439">
        <v>122.48</v>
      </c>
      <c r="E97" s="439">
        <v>123.22</v>
      </c>
    </row>
    <row r="98" spans="2:5" x14ac:dyDescent="0.2">
      <c r="B98" s="120">
        <v>93</v>
      </c>
      <c r="C98" s="439">
        <v>122.22</v>
      </c>
      <c r="D98" s="439">
        <v>123.24</v>
      </c>
      <c r="E98" s="439">
        <v>123.98</v>
      </c>
    </row>
    <row r="99" spans="2:5" x14ac:dyDescent="0.2">
      <c r="B99" s="120">
        <v>94</v>
      </c>
      <c r="C99" s="439">
        <v>122.92</v>
      </c>
      <c r="D99" s="439">
        <v>123.95</v>
      </c>
      <c r="E99" s="439">
        <v>124.68</v>
      </c>
    </row>
    <row r="100" spans="2:5" x14ac:dyDescent="0.2">
      <c r="B100" s="120">
        <v>95</v>
      </c>
      <c r="C100" s="439">
        <v>123.56</v>
      </c>
      <c r="D100" s="439">
        <v>124.6</v>
      </c>
      <c r="E100" s="439">
        <v>125.34</v>
      </c>
    </row>
    <row r="101" spans="2:5" x14ac:dyDescent="0.2">
      <c r="B101" s="120">
        <v>96</v>
      </c>
      <c r="C101" s="439">
        <v>124.16</v>
      </c>
      <c r="D101" s="439">
        <v>125.21</v>
      </c>
      <c r="E101" s="439">
        <v>125.95</v>
      </c>
    </row>
    <row r="102" spans="2:5" x14ac:dyDescent="0.2">
      <c r="B102" s="120">
        <v>97</v>
      </c>
      <c r="C102" s="439">
        <v>124.73</v>
      </c>
      <c r="D102" s="439">
        <v>125.79</v>
      </c>
      <c r="E102" s="439">
        <v>126.53</v>
      </c>
    </row>
    <row r="103" spans="2:5" x14ac:dyDescent="0.2">
      <c r="B103" s="120">
        <v>98</v>
      </c>
      <c r="C103" s="439">
        <v>125.28</v>
      </c>
      <c r="D103" s="439">
        <v>126.35</v>
      </c>
      <c r="E103" s="439">
        <v>127.08</v>
      </c>
    </row>
    <row r="104" spans="2:5" x14ac:dyDescent="0.2">
      <c r="B104" s="120">
        <v>99</v>
      </c>
      <c r="C104" s="439">
        <v>125.82</v>
      </c>
      <c r="D104" s="439">
        <v>126.89</v>
      </c>
      <c r="E104" s="439">
        <v>127.62</v>
      </c>
    </row>
    <row r="105" spans="2:5" x14ac:dyDescent="0.2">
      <c r="B105" s="120">
        <v>100</v>
      </c>
      <c r="C105" s="439">
        <v>126.36</v>
      </c>
      <c r="D105" s="439">
        <v>127.44</v>
      </c>
      <c r="E105" s="439">
        <v>128.18</v>
      </c>
    </row>
  </sheetData>
  <mergeCells count="1">
    <mergeCell ref="B3:J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39997558519241921"/>
  </sheetPr>
  <dimension ref="B1:J105"/>
  <sheetViews>
    <sheetView workbookViewId="0">
      <selection activeCell="B5" sqref="B5:E105"/>
    </sheetView>
  </sheetViews>
  <sheetFormatPr defaultColWidth="8.85546875" defaultRowHeight="12.75" x14ac:dyDescent="0.2"/>
  <cols>
    <col min="1" max="1" width="8.85546875" style="429"/>
    <col min="2" max="2" width="10" style="429" bestFit="1" customWidth="1"/>
    <col min="3" max="16384" width="8.85546875" style="429"/>
  </cols>
  <sheetData>
    <row r="1" spans="2:10" x14ac:dyDescent="0.2">
      <c r="B1" s="452"/>
      <c r="C1" s="452"/>
      <c r="D1" s="452"/>
      <c r="E1" s="452"/>
      <c r="F1" s="452"/>
      <c r="G1" s="426"/>
      <c r="H1" s="426"/>
      <c r="I1" s="426"/>
      <c r="J1" s="437" t="s">
        <v>151</v>
      </c>
    </row>
    <row r="2" spans="2:10" x14ac:dyDescent="0.2">
      <c r="B2" s="453">
        <f>SUM(C5:E105)</f>
        <v>22257.329999999998</v>
      </c>
      <c r="C2" s="426">
        <v>22140.102647448555</v>
      </c>
      <c r="D2" s="454">
        <f>C2-B2</f>
        <v>-117.22735255144289</v>
      </c>
      <c r="E2" s="426"/>
      <c r="F2" s="426"/>
      <c r="G2" s="426"/>
      <c r="H2" s="426"/>
      <c r="I2" s="426"/>
      <c r="J2" s="426"/>
    </row>
    <row r="3" spans="2:10" x14ac:dyDescent="0.2">
      <c r="B3" s="770" t="s">
        <v>160</v>
      </c>
      <c r="C3" s="771"/>
      <c r="D3" s="771"/>
      <c r="E3" s="771"/>
      <c r="F3" s="772"/>
      <c r="G3" s="772"/>
      <c r="H3" s="772"/>
      <c r="I3" s="772"/>
      <c r="J3" s="773"/>
    </row>
    <row r="4" spans="2:10" ht="38.25" x14ac:dyDescent="0.2">
      <c r="B4" s="109" t="s">
        <v>1</v>
      </c>
      <c r="C4" s="109" t="s">
        <v>153</v>
      </c>
      <c r="D4" s="110" t="s">
        <v>154</v>
      </c>
      <c r="E4" s="110" t="s">
        <v>155</v>
      </c>
      <c r="G4" s="109"/>
      <c r="H4" s="109"/>
      <c r="I4" s="110"/>
      <c r="J4" s="110"/>
    </row>
    <row r="5" spans="2:10" x14ac:dyDescent="0.2">
      <c r="B5" s="120">
        <v>0</v>
      </c>
      <c r="C5" s="417">
        <v>56.11</v>
      </c>
      <c r="D5" s="417">
        <v>56.3</v>
      </c>
      <c r="E5" s="417">
        <v>56.72</v>
      </c>
      <c r="F5" s="462"/>
    </row>
    <row r="6" spans="2:10" x14ac:dyDescent="0.2">
      <c r="B6" s="120">
        <v>1</v>
      </c>
      <c r="C6" s="417">
        <v>56.16</v>
      </c>
      <c r="D6" s="417">
        <v>56.35</v>
      </c>
      <c r="E6" s="417">
        <v>56.78</v>
      </c>
      <c r="F6" s="462"/>
    </row>
    <row r="7" spans="2:10" x14ac:dyDescent="0.2">
      <c r="B7" s="120">
        <v>2</v>
      </c>
      <c r="C7" s="417">
        <v>56.22</v>
      </c>
      <c r="D7" s="417">
        <v>56.41</v>
      </c>
      <c r="E7" s="417">
        <v>56.83</v>
      </c>
      <c r="F7" s="462"/>
    </row>
    <row r="8" spans="2:10" x14ac:dyDescent="0.2">
      <c r="B8" s="120">
        <v>3</v>
      </c>
      <c r="C8" s="417">
        <v>56.28</v>
      </c>
      <c r="D8" s="417">
        <v>56.46</v>
      </c>
      <c r="E8" s="417">
        <v>56.89</v>
      </c>
      <c r="F8" s="462"/>
    </row>
    <row r="9" spans="2:10" x14ac:dyDescent="0.2">
      <c r="B9" s="120">
        <v>4</v>
      </c>
      <c r="C9" s="417">
        <v>56.34</v>
      </c>
      <c r="D9" s="417">
        <v>56.52</v>
      </c>
      <c r="E9" s="417">
        <v>56.95</v>
      </c>
      <c r="F9" s="462"/>
    </row>
    <row r="10" spans="2:10" x14ac:dyDescent="0.2">
      <c r="B10" s="120">
        <v>5</v>
      </c>
      <c r="C10" s="417">
        <v>56.4</v>
      </c>
      <c r="D10" s="417">
        <v>56.59</v>
      </c>
      <c r="E10" s="417">
        <v>57.02</v>
      </c>
      <c r="F10" s="462"/>
    </row>
    <row r="11" spans="2:10" x14ac:dyDescent="0.2">
      <c r="B11" s="120">
        <v>6</v>
      </c>
      <c r="C11" s="417">
        <v>56.47</v>
      </c>
      <c r="D11" s="417">
        <v>56.65</v>
      </c>
      <c r="E11" s="417">
        <v>57.08</v>
      </c>
      <c r="F11" s="462"/>
    </row>
    <row r="12" spans="2:10" x14ac:dyDescent="0.2">
      <c r="B12" s="120">
        <v>7</v>
      </c>
      <c r="C12" s="417">
        <v>56.54</v>
      </c>
      <c r="D12" s="417">
        <v>56.72</v>
      </c>
      <c r="E12" s="417">
        <v>57.15</v>
      </c>
      <c r="F12" s="462"/>
    </row>
    <row r="13" spans="2:10" x14ac:dyDescent="0.2">
      <c r="B13" s="120">
        <v>8</v>
      </c>
      <c r="C13" s="417">
        <v>56.61</v>
      </c>
      <c r="D13" s="417">
        <v>56.8</v>
      </c>
      <c r="E13" s="417">
        <v>57.23</v>
      </c>
      <c r="F13" s="462"/>
    </row>
    <row r="14" spans="2:10" x14ac:dyDescent="0.2">
      <c r="B14" s="120">
        <v>9</v>
      </c>
      <c r="C14" s="417">
        <v>56.68</v>
      </c>
      <c r="D14" s="417">
        <v>56.87</v>
      </c>
      <c r="E14" s="417">
        <v>57.31</v>
      </c>
      <c r="F14" s="462"/>
    </row>
    <row r="15" spans="2:10" x14ac:dyDescent="0.2">
      <c r="B15" s="120">
        <v>10</v>
      </c>
      <c r="C15" s="417">
        <v>56.76</v>
      </c>
      <c r="D15" s="417">
        <v>56.95</v>
      </c>
      <c r="E15" s="417">
        <v>57.39</v>
      </c>
      <c r="F15" s="462"/>
    </row>
    <row r="16" spans="2:10" x14ac:dyDescent="0.2">
      <c r="B16" s="120">
        <v>11</v>
      </c>
      <c r="C16" s="417">
        <v>56.85</v>
      </c>
      <c r="D16" s="417">
        <v>57.04</v>
      </c>
      <c r="E16" s="417">
        <v>57.47</v>
      </c>
      <c r="F16" s="462"/>
    </row>
    <row r="17" spans="2:6" x14ac:dyDescent="0.2">
      <c r="B17" s="120">
        <v>12</v>
      </c>
      <c r="C17" s="417">
        <v>56.94</v>
      </c>
      <c r="D17" s="417">
        <v>57.13</v>
      </c>
      <c r="E17" s="417">
        <v>57.56</v>
      </c>
      <c r="F17" s="462"/>
    </row>
    <row r="18" spans="2:6" x14ac:dyDescent="0.2">
      <c r="B18" s="120">
        <v>13</v>
      </c>
      <c r="C18" s="417">
        <v>57.03</v>
      </c>
      <c r="D18" s="417">
        <v>57.22</v>
      </c>
      <c r="E18" s="417">
        <v>57.66</v>
      </c>
      <c r="F18" s="462"/>
    </row>
    <row r="19" spans="2:6" x14ac:dyDescent="0.2">
      <c r="B19" s="120">
        <v>14</v>
      </c>
      <c r="C19" s="417">
        <v>57.13</v>
      </c>
      <c r="D19" s="417">
        <v>57.32</v>
      </c>
      <c r="E19" s="417">
        <v>57.76</v>
      </c>
      <c r="F19" s="462"/>
    </row>
    <row r="20" spans="2:6" x14ac:dyDescent="0.2">
      <c r="B20" s="120">
        <v>15</v>
      </c>
      <c r="C20" s="417">
        <v>57.23</v>
      </c>
      <c r="D20" s="417">
        <v>57.42</v>
      </c>
      <c r="E20" s="417">
        <v>57.86</v>
      </c>
      <c r="F20" s="462"/>
    </row>
    <row r="21" spans="2:6" x14ac:dyDescent="0.2">
      <c r="B21" s="120">
        <v>16</v>
      </c>
      <c r="C21" s="417">
        <v>57.33</v>
      </c>
      <c r="D21" s="417">
        <v>57.53</v>
      </c>
      <c r="E21" s="417">
        <v>57.97</v>
      </c>
      <c r="F21" s="462"/>
    </row>
    <row r="22" spans="2:6" x14ac:dyDescent="0.2">
      <c r="B22" s="120">
        <v>17</v>
      </c>
      <c r="C22" s="417">
        <v>57.44</v>
      </c>
      <c r="D22" s="417">
        <v>57.64</v>
      </c>
      <c r="E22" s="417">
        <v>58.08</v>
      </c>
      <c r="F22" s="462"/>
    </row>
    <row r="23" spans="2:6" x14ac:dyDescent="0.2">
      <c r="B23" s="120">
        <v>18</v>
      </c>
      <c r="C23" s="417">
        <v>57.56</v>
      </c>
      <c r="D23" s="417">
        <v>57.76</v>
      </c>
      <c r="E23" s="417">
        <v>58.2</v>
      </c>
      <c r="F23" s="462"/>
    </row>
    <row r="24" spans="2:6" x14ac:dyDescent="0.2">
      <c r="B24" s="120">
        <v>19</v>
      </c>
      <c r="C24" s="417">
        <v>57.69</v>
      </c>
      <c r="D24" s="417">
        <v>57.88</v>
      </c>
      <c r="E24" s="417">
        <v>58.33</v>
      </c>
      <c r="F24" s="462"/>
    </row>
    <row r="25" spans="2:6" x14ac:dyDescent="0.2">
      <c r="B25" s="120">
        <v>20</v>
      </c>
      <c r="C25" s="417">
        <v>57.82</v>
      </c>
      <c r="D25" s="417">
        <v>58.01</v>
      </c>
      <c r="E25" s="417">
        <v>58.46</v>
      </c>
      <c r="F25" s="462"/>
    </row>
    <row r="26" spans="2:6" x14ac:dyDescent="0.2">
      <c r="B26" s="120">
        <v>21</v>
      </c>
      <c r="C26" s="417">
        <v>57.95</v>
      </c>
      <c r="D26" s="417">
        <v>58.15</v>
      </c>
      <c r="E26" s="417">
        <v>58.6</v>
      </c>
      <c r="F26" s="462"/>
    </row>
    <row r="27" spans="2:6" x14ac:dyDescent="0.2">
      <c r="B27" s="120">
        <v>22</v>
      </c>
      <c r="C27" s="417">
        <v>58.09</v>
      </c>
      <c r="D27" s="417">
        <v>58.29</v>
      </c>
      <c r="E27" s="417">
        <v>58.75</v>
      </c>
      <c r="F27" s="462"/>
    </row>
    <row r="28" spans="2:6" x14ac:dyDescent="0.2">
      <c r="B28" s="120">
        <v>23</v>
      </c>
      <c r="C28" s="417">
        <v>58.24</v>
      </c>
      <c r="D28" s="417">
        <v>58.44</v>
      </c>
      <c r="E28" s="417">
        <v>58.9</v>
      </c>
      <c r="F28" s="462"/>
    </row>
    <row r="29" spans="2:6" x14ac:dyDescent="0.2">
      <c r="B29" s="120">
        <v>24</v>
      </c>
      <c r="C29" s="417">
        <v>58.4</v>
      </c>
      <c r="D29" s="417">
        <v>58.6</v>
      </c>
      <c r="E29" s="417">
        <v>59.06</v>
      </c>
      <c r="F29" s="462"/>
    </row>
    <row r="30" spans="2:6" x14ac:dyDescent="0.2">
      <c r="B30" s="120">
        <v>25</v>
      </c>
      <c r="C30" s="417">
        <v>58.57</v>
      </c>
      <c r="D30" s="417">
        <v>58.77</v>
      </c>
      <c r="E30" s="417">
        <v>59.23</v>
      </c>
      <c r="F30" s="462"/>
    </row>
    <row r="31" spans="2:6" x14ac:dyDescent="0.2">
      <c r="B31" s="120">
        <v>26</v>
      </c>
      <c r="C31" s="417">
        <v>58.74</v>
      </c>
      <c r="D31" s="417">
        <v>58.94</v>
      </c>
      <c r="E31" s="417">
        <v>59.4</v>
      </c>
      <c r="F31" s="462"/>
    </row>
    <row r="32" spans="2:6" x14ac:dyDescent="0.2">
      <c r="B32" s="120">
        <v>27</v>
      </c>
      <c r="C32" s="417">
        <v>58.92</v>
      </c>
      <c r="D32" s="417">
        <v>59.12</v>
      </c>
      <c r="E32" s="417">
        <v>59.59</v>
      </c>
      <c r="F32" s="462"/>
    </row>
    <row r="33" spans="2:6" x14ac:dyDescent="0.2">
      <c r="B33" s="120">
        <v>28</v>
      </c>
      <c r="C33" s="417">
        <v>59.11</v>
      </c>
      <c r="D33" s="417">
        <v>59.31</v>
      </c>
      <c r="E33" s="417">
        <v>59.78</v>
      </c>
      <c r="F33" s="462"/>
    </row>
    <row r="34" spans="2:6" x14ac:dyDescent="0.2">
      <c r="B34" s="120">
        <v>29</v>
      </c>
      <c r="C34" s="417">
        <v>59.31</v>
      </c>
      <c r="D34" s="417">
        <v>59.52</v>
      </c>
      <c r="E34" s="417">
        <v>59.99</v>
      </c>
      <c r="F34" s="462"/>
    </row>
    <row r="35" spans="2:6" x14ac:dyDescent="0.2">
      <c r="B35" s="120">
        <v>30</v>
      </c>
      <c r="C35" s="417">
        <v>59.53</v>
      </c>
      <c r="D35" s="417">
        <v>59.73</v>
      </c>
      <c r="E35" s="417">
        <v>60.21</v>
      </c>
      <c r="F35" s="462"/>
    </row>
    <row r="36" spans="2:6" x14ac:dyDescent="0.2">
      <c r="B36" s="120">
        <v>31</v>
      </c>
      <c r="C36" s="417">
        <v>59.75</v>
      </c>
      <c r="D36" s="417">
        <v>59.95</v>
      </c>
      <c r="E36" s="417">
        <v>60.43</v>
      </c>
      <c r="F36" s="463"/>
    </row>
    <row r="37" spans="2:6" x14ac:dyDescent="0.2">
      <c r="B37" s="120">
        <v>32</v>
      </c>
      <c r="C37" s="417">
        <v>59.98</v>
      </c>
      <c r="D37" s="417">
        <v>60.19</v>
      </c>
      <c r="E37" s="417">
        <v>60.67</v>
      </c>
      <c r="F37" s="463"/>
    </row>
    <row r="38" spans="2:6" x14ac:dyDescent="0.2">
      <c r="B38" s="120">
        <v>33</v>
      </c>
      <c r="C38" s="417">
        <v>60.23</v>
      </c>
      <c r="D38" s="417">
        <v>60.44</v>
      </c>
      <c r="E38" s="417">
        <v>60.93</v>
      </c>
      <c r="F38" s="463"/>
    </row>
    <row r="39" spans="2:6" x14ac:dyDescent="0.2">
      <c r="B39" s="120">
        <v>34</v>
      </c>
      <c r="C39" s="417">
        <v>60.49</v>
      </c>
      <c r="D39" s="417">
        <v>60.7</v>
      </c>
      <c r="E39" s="417">
        <v>61.19</v>
      </c>
      <c r="F39" s="463"/>
    </row>
    <row r="40" spans="2:6" x14ac:dyDescent="0.2">
      <c r="B40" s="120">
        <v>35</v>
      </c>
      <c r="C40" s="417">
        <v>60.77</v>
      </c>
      <c r="D40" s="417">
        <v>60.98</v>
      </c>
      <c r="E40" s="417">
        <v>61.47</v>
      </c>
      <c r="F40" s="463"/>
    </row>
    <row r="41" spans="2:6" x14ac:dyDescent="0.2">
      <c r="B41" s="120">
        <v>36</v>
      </c>
      <c r="C41" s="417">
        <v>61.06</v>
      </c>
      <c r="D41" s="417">
        <v>61.27</v>
      </c>
      <c r="E41" s="417">
        <v>61.77</v>
      </c>
      <c r="F41" s="464"/>
    </row>
    <row r="42" spans="2:6" x14ac:dyDescent="0.2">
      <c r="B42" s="120">
        <v>37</v>
      </c>
      <c r="C42" s="417">
        <v>61.36</v>
      </c>
      <c r="D42" s="417">
        <v>61.57</v>
      </c>
      <c r="E42" s="417">
        <v>62.08</v>
      </c>
      <c r="F42" s="464"/>
    </row>
    <row r="43" spans="2:6" x14ac:dyDescent="0.2">
      <c r="B43" s="120">
        <v>38</v>
      </c>
      <c r="C43" s="417">
        <v>61.67</v>
      </c>
      <c r="D43" s="417">
        <v>61.89</v>
      </c>
      <c r="E43" s="417">
        <v>62.4</v>
      </c>
      <c r="F43" s="464"/>
    </row>
    <row r="44" spans="2:6" x14ac:dyDescent="0.2">
      <c r="B44" s="120">
        <v>39</v>
      </c>
      <c r="C44" s="417">
        <v>62.01</v>
      </c>
      <c r="D44" s="417">
        <v>62.23</v>
      </c>
      <c r="E44" s="417">
        <v>62.74</v>
      </c>
      <c r="F44" s="464"/>
    </row>
    <row r="45" spans="2:6" x14ac:dyDescent="0.2">
      <c r="B45" s="120">
        <v>40</v>
      </c>
      <c r="C45" s="417">
        <v>62.35</v>
      </c>
      <c r="D45" s="417">
        <v>62.58</v>
      </c>
      <c r="E45" s="417">
        <v>63.09</v>
      </c>
      <c r="F45" s="464"/>
    </row>
    <row r="46" spans="2:6" x14ac:dyDescent="0.2">
      <c r="B46" s="120">
        <v>41</v>
      </c>
      <c r="C46" s="417">
        <v>62.72</v>
      </c>
      <c r="D46" s="417">
        <v>62.94</v>
      </c>
      <c r="E46" s="417">
        <v>63.46</v>
      </c>
      <c r="F46" s="452"/>
    </row>
    <row r="47" spans="2:6" x14ac:dyDescent="0.2">
      <c r="B47" s="120">
        <v>42</v>
      </c>
      <c r="C47" s="417">
        <v>63.1</v>
      </c>
      <c r="D47" s="417">
        <v>63.33</v>
      </c>
      <c r="E47" s="417">
        <v>63.85</v>
      </c>
      <c r="F47" s="452"/>
    </row>
    <row r="48" spans="2:6" x14ac:dyDescent="0.2">
      <c r="B48" s="120">
        <v>43</v>
      </c>
      <c r="C48" s="417">
        <v>63.5</v>
      </c>
      <c r="D48" s="417">
        <v>63.73</v>
      </c>
      <c r="E48" s="417">
        <v>64.260000000000005</v>
      </c>
      <c r="F48" s="452"/>
    </row>
    <row r="49" spans="2:7" x14ac:dyDescent="0.2">
      <c r="B49" s="120">
        <v>44</v>
      </c>
      <c r="C49" s="417">
        <v>63.91</v>
      </c>
      <c r="D49" s="417">
        <v>64.150000000000006</v>
      </c>
      <c r="E49" s="417">
        <v>64.680000000000007</v>
      </c>
      <c r="F49" s="452"/>
    </row>
    <row r="50" spans="2:7" x14ac:dyDescent="0.2">
      <c r="B50" s="120">
        <v>45</v>
      </c>
      <c r="C50" s="417">
        <v>64.349999999999994</v>
      </c>
      <c r="D50" s="417">
        <v>64.58</v>
      </c>
      <c r="E50" s="417">
        <v>65.13</v>
      </c>
      <c r="F50" s="452"/>
    </row>
    <row r="51" spans="2:7" x14ac:dyDescent="0.2">
      <c r="B51" s="120">
        <v>46</v>
      </c>
      <c r="C51" s="417">
        <v>64.8</v>
      </c>
      <c r="D51" s="417">
        <v>65.040000000000006</v>
      </c>
      <c r="E51" s="417">
        <v>65.59</v>
      </c>
      <c r="F51" s="452"/>
    </row>
    <row r="52" spans="2:7" x14ac:dyDescent="0.2">
      <c r="B52" s="120">
        <v>47</v>
      </c>
      <c r="C52" s="417">
        <v>65.28</v>
      </c>
      <c r="D52" s="417">
        <v>65.52</v>
      </c>
      <c r="E52" s="417">
        <v>66.08</v>
      </c>
      <c r="F52" s="452"/>
    </row>
    <row r="53" spans="2:7" x14ac:dyDescent="0.2">
      <c r="B53" s="120">
        <v>48</v>
      </c>
      <c r="C53" s="417">
        <v>65.78</v>
      </c>
      <c r="D53" s="417">
        <v>66.03</v>
      </c>
      <c r="E53" s="417">
        <v>66.59</v>
      </c>
      <c r="F53" s="452"/>
    </row>
    <row r="54" spans="2:7" x14ac:dyDescent="0.2">
      <c r="B54" s="120">
        <v>49</v>
      </c>
      <c r="C54" s="417">
        <v>66.31</v>
      </c>
      <c r="D54" s="417">
        <v>66.56</v>
      </c>
      <c r="E54" s="417">
        <v>67.12</v>
      </c>
      <c r="F54" s="452"/>
    </row>
    <row r="55" spans="2:7" x14ac:dyDescent="0.2">
      <c r="B55" s="120">
        <v>50</v>
      </c>
      <c r="C55" s="417">
        <v>66.86</v>
      </c>
      <c r="D55" s="417">
        <v>67.11</v>
      </c>
      <c r="E55" s="417">
        <v>67.680000000000007</v>
      </c>
      <c r="F55" s="452"/>
      <c r="G55" s="426"/>
    </row>
    <row r="56" spans="2:7" x14ac:dyDescent="0.2">
      <c r="B56" s="120">
        <v>51</v>
      </c>
      <c r="C56" s="439">
        <v>67.430000000000007</v>
      </c>
      <c r="D56" s="439">
        <v>67.69</v>
      </c>
      <c r="E56" s="439">
        <v>68.27</v>
      </c>
    </row>
    <row r="57" spans="2:7" x14ac:dyDescent="0.2">
      <c r="B57" s="120">
        <v>52</v>
      </c>
      <c r="C57" s="439">
        <v>68.040000000000006</v>
      </c>
      <c r="D57" s="439">
        <v>68.3</v>
      </c>
      <c r="E57" s="439">
        <v>68.89</v>
      </c>
    </row>
    <row r="58" spans="2:7" x14ac:dyDescent="0.2">
      <c r="B58" s="120">
        <v>53</v>
      </c>
      <c r="C58" s="439">
        <v>68.67</v>
      </c>
      <c r="D58" s="439">
        <v>68.930000000000007</v>
      </c>
      <c r="E58" s="439">
        <v>69.53</v>
      </c>
    </row>
    <row r="59" spans="2:7" x14ac:dyDescent="0.2">
      <c r="B59" s="120">
        <v>54</v>
      </c>
      <c r="C59" s="439">
        <v>69.319999999999993</v>
      </c>
      <c r="D59" s="439">
        <v>69.599999999999994</v>
      </c>
      <c r="E59" s="439">
        <v>70.2</v>
      </c>
    </row>
    <row r="60" spans="2:7" x14ac:dyDescent="0.2">
      <c r="B60" s="120">
        <v>55</v>
      </c>
      <c r="C60" s="439">
        <v>70.010000000000005</v>
      </c>
      <c r="D60" s="439">
        <v>70.290000000000006</v>
      </c>
      <c r="E60" s="439">
        <v>70.900000000000006</v>
      </c>
    </row>
    <row r="61" spans="2:7" x14ac:dyDescent="0.2">
      <c r="B61" s="120">
        <v>56</v>
      </c>
      <c r="C61" s="439">
        <v>70.73</v>
      </c>
      <c r="D61" s="439">
        <v>71.02</v>
      </c>
      <c r="E61" s="439">
        <v>71.64</v>
      </c>
    </row>
    <row r="62" spans="2:7" x14ac:dyDescent="0.2">
      <c r="B62" s="120">
        <v>57</v>
      </c>
      <c r="C62" s="439">
        <v>71.489999999999995</v>
      </c>
      <c r="D62" s="439">
        <v>71.78</v>
      </c>
      <c r="E62" s="439">
        <v>72.400000000000006</v>
      </c>
    </row>
    <row r="63" spans="2:7" x14ac:dyDescent="0.2">
      <c r="B63" s="120">
        <v>58</v>
      </c>
      <c r="C63" s="439">
        <v>72.27</v>
      </c>
      <c r="D63" s="439">
        <v>72.569999999999993</v>
      </c>
      <c r="E63" s="439">
        <v>73.2</v>
      </c>
    </row>
    <row r="64" spans="2:7" x14ac:dyDescent="0.2">
      <c r="B64" s="120">
        <v>59</v>
      </c>
      <c r="C64" s="439">
        <v>73.09</v>
      </c>
      <c r="D64" s="439">
        <v>73.39</v>
      </c>
      <c r="E64" s="439">
        <v>74.03</v>
      </c>
    </row>
    <row r="65" spans="2:5" x14ac:dyDescent="0.2">
      <c r="B65" s="120">
        <v>60</v>
      </c>
      <c r="C65" s="439">
        <v>73.930000000000007</v>
      </c>
      <c r="D65" s="439">
        <v>74.25</v>
      </c>
      <c r="E65" s="439">
        <v>74.900000000000006</v>
      </c>
    </row>
    <row r="66" spans="2:5" x14ac:dyDescent="0.2">
      <c r="B66" s="120">
        <v>61</v>
      </c>
      <c r="C66" s="439">
        <v>74.81</v>
      </c>
      <c r="D66" s="439">
        <v>75.14</v>
      </c>
      <c r="E66" s="439">
        <v>75.790000000000006</v>
      </c>
    </row>
    <row r="67" spans="2:5" x14ac:dyDescent="0.2">
      <c r="B67" s="120">
        <v>62</v>
      </c>
      <c r="C67" s="439">
        <v>75.72</v>
      </c>
      <c r="D67" s="439">
        <v>76.06</v>
      </c>
      <c r="E67" s="439">
        <v>76.72</v>
      </c>
    </row>
    <row r="68" spans="2:5" x14ac:dyDescent="0.2">
      <c r="B68" s="120">
        <v>63</v>
      </c>
      <c r="C68" s="439">
        <v>76.67</v>
      </c>
      <c r="D68" s="439">
        <v>77.010000000000005</v>
      </c>
      <c r="E68" s="439">
        <v>77.680000000000007</v>
      </c>
    </row>
    <row r="69" spans="2:5" x14ac:dyDescent="0.2">
      <c r="B69" s="120">
        <v>64</v>
      </c>
      <c r="C69" s="439">
        <v>77.64</v>
      </c>
      <c r="D69" s="439">
        <v>78</v>
      </c>
      <c r="E69" s="439">
        <v>78.680000000000007</v>
      </c>
    </row>
    <row r="70" spans="2:5" x14ac:dyDescent="0.2">
      <c r="B70" s="120">
        <v>65</v>
      </c>
      <c r="C70" s="439">
        <v>78.64</v>
      </c>
      <c r="D70" s="439">
        <v>79</v>
      </c>
      <c r="E70" s="439">
        <v>79.69</v>
      </c>
    </row>
    <row r="71" spans="2:5" x14ac:dyDescent="0.2">
      <c r="B71" s="120">
        <v>66</v>
      </c>
      <c r="C71" s="439">
        <v>79.650000000000006</v>
      </c>
      <c r="D71" s="439">
        <v>80.02</v>
      </c>
      <c r="E71" s="439">
        <v>80.709999999999994</v>
      </c>
    </row>
    <row r="72" spans="2:5" x14ac:dyDescent="0.2">
      <c r="B72" s="120">
        <v>67</v>
      </c>
      <c r="C72" s="439">
        <v>80.66</v>
      </c>
      <c r="D72" s="439">
        <v>81.05</v>
      </c>
      <c r="E72" s="439">
        <v>81.75</v>
      </c>
    </row>
    <row r="73" spans="2:5" x14ac:dyDescent="0.2">
      <c r="B73" s="120">
        <v>68</v>
      </c>
      <c r="C73" s="439">
        <v>81.680000000000007</v>
      </c>
      <c r="D73" s="439">
        <v>82.08</v>
      </c>
      <c r="E73" s="439">
        <v>82.78</v>
      </c>
    </row>
    <row r="74" spans="2:5" x14ac:dyDescent="0.2">
      <c r="B74" s="120">
        <v>69</v>
      </c>
      <c r="C74" s="439">
        <v>82.68</v>
      </c>
      <c r="D74" s="439">
        <v>83.1</v>
      </c>
      <c r="E74" s="439">
        <v>83.81</v>
      </c>
    </row>
    <row r="75" spans="2:5" x14ac:dyDescent="0.2">
      <c r="B75" s="120">
        <v>70</v>
      </c>
      <c r="C75" s="439">
        <v>83.68</v>
      </c>
      <c r="D75" s="439">
        <v>84.1</v>
      </c>
      <c r="E75" s="439">
        <v>84.82</v>
      </c>
    </row>
    <row r="76" spans="2:5" x14ac:dyDescent="0.2">
      <c r="B76" s="120">
        <v>71</v>
      </c>
      <c r="C76" s="439">
        <v>84.66</v>
      </c>
      <c r="D76" s="439">
        <v>85.09</v>
      </c>
      <c r="E76" s="439">
        <v>85.81</v>
      </c>
    </row>
    <row r="77" spans="2:5" x14ac:dyDescent="0.2">
      <c r="B77" s="120">
        <v>72</v>
      </c>
      <c r="C77" s="439">
        <v>85.61</v>
      </c>
      <c r="D77" s="439">
        <v>86.05</v>
      </c>
      <c r="E77" s="439">
        <v>86.78</v>
      </c>
    </row>
    <row r="78" spans="2:5" x14ac:dyDescent="0.2">
      <c r="B78" s="120">
        <v>73</v>
      </c>
      <c r="C78" s="439">
        <v>86.53</v>
      </c>
      <c r="D78" s="439">
        <v>86.99</v>
      </c>
      <c r="E78" s="439">
        <v>87.71</v>
      </c>
    </row>
    <row r="79" spans="2:5" x14ac:dyDescent="0.2">
      <c r="B79" s="120">
        <v>74</v>
      </c>
      <c r="C79" s="439">
        <v>87.41</v>
      </c>
      <c r="D79" s="439">
        <v>87.89</v>
      </c>
      <c r="E79" s="439">
        <v>88.62</v>
      </c>
    </row>
    <row r="80" spans="2:5" x14ac:dyDescent="0.2">
      <c r="B80" s="120">
        <v>75</v>
      </c>
      <c r="C80" s="439">
        <v>88.26</v>
      </c>
      <c r="D80" s="439">
        <v>88.75</v>
      </c>
      <c r="E80" s="439">
        <v>89.48</v>
      </c>
    </row>
    <row r="81" spans="2:5" x14ac:dyDescent="0.2">
      <c r="B81" s="120">
        <v>76</v>
      </c>
      <c r="C81" s="439">
        <v>89.07</v>
      </c>
      <c r="D81" s="439">
        <v>89.57</v>
      </c>
      <c r="E81" s="439">
        <v>90.3</v>
      </c>
    </row>
    <row r="82" spans="2:5" x14ac:dyDescent="0.2">
      <c r="B82" s="120">
        <v>77</v>
      </c>
      <c r="C82" s="439">
        <v>89.83</v>
      </c>
      <c r="D82" s="439">
        <v>90.34</v>
      </c>
      <c r="E82" s="439">
        <v>91.08</v>
      </c>
    </row>
    <row r="83" spans="2:5" x14ac:dyDescent="0.2">
      <c r="B83" s="120">
        <v>78</v>
      </c>
      <c r="C83" s="439">
        <v>90.55</v>
      </c>
      <c r="D83" s="439">
        <v>91.07</v>
      </c>
      <c r="E83" s="439">
        <v>91.8</v>
      </c>
    </row>
    <row r="84" spans="2:5" x14ac:dyDescent="0.2">
      <c r="B84" s="120">
        <v>79</v>
      </c>
      <c r="C84" s="439">
        <v>91.22</v>
      </c>
      <c r="D84" s="439">
        <v>91.75</v>
      </c>
      <c r="E84" s="439">
        <v>92.48</v>
      </c>
    </row>
    <row r="85" spans="2:5" x14ac:dyDescent="0.2">
      <c r="B85" s="120">
        <v>80</v>
      </c>
      <c r="C85" s="439">
        <v>91.84</v>
      </c>
      <c r="D85" s="439">
        <v>92.38</v>
      </c>
      <c r="E85" s="439">
        <v>93.12</v>
      </c>
    </row>
    <row r="86" spans="2:5" x14ac:dyDescent="0.2">
      <c r="B86" s="120">
        <v>81</v>
      </c>
      <c r="C86" s="439">
        <v>92.41</v>
      </c>
      <c r="D86" s="439">
        <v>92.96</v>
      </c>
      <c r="E86" s="439">
        <v>93.7</v>
      </c>
    </row>
    <row r="87" spans="2:5" x14ac:dyDescent="0.2">
      <c r="B87" s="120">
        <v>82</v>
      </c>
      <c r="C87" s="439">
        <v>92.94</v>
      </c>
      <c r="D87" s="439">
        <v>93.49</v>
      </c>
      <c r="E87" s="439">
        <v>94.24</v>
      </c>
    </row>
    <row r="88" spans="2:5" x14ac:dyDescent="0.2">
      <c r="B88" s="120">
        <v>83</v>
      </c>
      <c r="C88" s="439">
        <v>93.42</v>
      </c>
      <c r="D88" s="439">
        <v>93.98</v>
      </c>
      <c r="E88" s="439">
        <v>94.73</v>
      </c>
    </row>
    <row r="89" spans="2:5" x14ac:dyDescent="0.2">
      <c r="B89" s="120">
        <v>84</v>
      </c>
      <c r="C89" s="439">
        <v>93.86</v>
      </c>
      <c r="D89" s="439">
        <v>94.43</v>
      </c>
      <c r="E89" s="439">
        <v>95.17</v>
      </c>
    </row>
    <row r="90" spans="2:5" x14ac:dyDescent="0.2">
      <c r="B90" s="120">
        <v>85</v>
      </c>
      <c r="C90" s="439">
        <v>94.26</v>
      </c>
      <c r="D90" s="439">
        <v>94.83</v>
      </c>
      <c r="E90" s="439">
        <v>95.57</v>
      </c>
    </row>
    <row r="91" spans="2:5" x14ac:dyDescent="0.2">
      <c r="B91" s="120">
        <v>86</v>
      </c>
      <c r="C91" s="439">
        <v>94.61</v>
      </c>
      <c r="D91" s="439">
        <v>95.19</v>
      </c>
      <c r="E91" s="439">
        <v>95.93</v>
      </c>
    </row>
    <row r="92" spans="2:5" x14ac:dyDescent="0.2">
      <c r="B92" s="120">
        <v>87</v>
      </c>
      <c r="C92" s="439">
        <v>94.93</v>
      </c>
      <c r="D92" s="439">
        <v>95.52</v>
      </c>
      <c r="E92" s="439">
        <v>96.26</v>
      </c>
    </row>
    <row r="93" spans="2:5" x14ac:dyDescent="0.2">
      <c r="B93" s="120">
        <v>88</v>
      </c>
      <c r="C93" s="439">
        <v>95.22</v>
      </c>
      <c r="D93" s="439">
        <v>95.81</v>
      </c>
      <c r="E93" s="439">
        <v>96.55</v>
      </c>
    </row>
    <row r="94" spans="2:5" x14ac:dyDescent="0.2">
      <c r="B94" s="120">
        <v>89</v>
      </c>
      <c r="C94" s="439">
        <v>95.48</v>
      </c>
      <c r="D94" s="439">
        <v>96.07</v>
      </c>
      <c r="E94" s="439">
        <v>96.81</v>
      </c>
    </row>
    <row r="95" spans="2:5" x14ac:dyDescent="0.2">
      <c r="B95" s="120">
        <v>90</v>
      </c>
      <c r="C95" s="439">
        <v>95.7</v>
      </c>
      <c r="D95" s="439">
        <v>96.3</v>
      </c>
      <c r="E95" s="439">
        <v>97.04</v>
      </c>
    </row>
    <row r="96" spans="2:5" x14ac:dyDescent="0.2">
      <c r="B96" s="120">
        <v>91</v>
      </c>
      <c r="C96" s="439">
        <v>95.91</v>
      </c>
      <c r="D96" s="439">
        <v>96.5</v>
      </c>
      <c r="E96" s="439">
        <v>97.25</v>
      </c>
    </row>
    <row r="97" spans="2:5" x14ac:dyDescent="0.2">
      <c r="B97" s="120">
        <v>92</v>
      </c>
      <c r="C97" s="439">
        <v>96.09</v>
      </c>
      <c r="D97" s="439">
        <v>96.69</v>
      </c>
      <c r="E97" s="439">
        <v>97.43</v>
      </c>
    </row>
    <row r="98" spans="2:5" x14ac:dyDescent="0.2">
      <c r="B98" s="120">
        <v>93</v>
      </c>
      <c r="C98" s="439">
        <v>96.25</v>
      </c>
      <c r="D98" s="439">
        <v>96.86</v>
      </c>
      <c r="E98" s="439">
        <v>97.6</v>
      </c>
    </row>
    <row r="99" spans="2:5" x14ac:dyDescent="0.2">
      <c r="B99" s="120">
        <v>94</v>
      </c>
      <c r="C99" s="439">
        <v>96.4</v>
      </c>
      <c r="D99" s="439">
        <v>97.01</v>
      </c>
      <c r="E99" s="439">
        <v>97.75</v>
      </c>
    </row>
    <row r="100" spans="2:5" x14ac:dyDescent="0.2">
      <c r="B100" s="120">
        <v>95</v>
      </c>
      <c r="C100" s="439">
        <v>96.54</v>
      </c>
      <c r="D100" s="439">
        <v>97.15</v>
      </c>
      <c r="E100" s="439">
        <v>97.89</v>
      </c>
    </row>
    <row r="101" spans="2:5" x14ac:dyDescent="0.2">
      <c r="B101" s="120">
        <v>96</v>
      </c>
      <c r="C101" s="439">
        <v>96.68</v>
      </c>
      <c r="D101" s="439">
        <v>97.29</v>
      </c>
      <c r="E101" s="439">
        <v>98.03</v>
      </c>
    </row>
    <row r="102" spans="2:5" x14ac:dyDescent="0.2">
      <c r="B102" s="120">
        <v>97</v>
      </c>
      <c r="C102" s="439">
        <v>100.93</v>
      </c>
      <c r="D102" s="439">
        <v>101.61</v>
      </c>
      <c r="E102" s="439">
        <v>102.34</v>
      </c>
    </row>
    <row r="103" spans="2:5" x14ac:dyDescent="0.2">
      <c r="B103" s="120">
        <v>98</v>
      </c>
      <c r="C103" s="439">
        <v>105.86</v>
      </c>
      <c r="D103" s="439">
        <v>106.63</v>
      </c>
      <c r="E103" s="439">
        <v>107.36</v>
      </c>
    </row>
    <row r="104" spans="2:5" x14ac:dyDescent="0.2">
      <c r="B104" s="120">
        <v>99</v>
      </c>
      <c r="C104" s="439">
        <v>111.67</v>
      </c>
      <c r="D104" s="439">
        <v>112.53</v>
      </c>
      <c r="E104" s="439">
        <v>113.26</v>
      </c>
    </row>
    <row r="105" spans="2:5" x14ac:dyDescent="0.2">
      <c r="B105" s="120">
        <v>100</v>
      </c>
      <c r="C105" s="439">
        <v>118.58</v>
      </c>
      <c r="D105" s="439">
        <v>119.55</v>
      </c>
      <c r="E105" s="439">
        <v>120.28</v>
      </c>
    </row>
  </sheetData>
  <mergeCells count="1">
    <mergeCell ref="B3:J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D110"/>
  <sheetViews>
    <sheetView showGridLines="0" defaultGridColor="0" topLeftCell="B3" colorId="12" zoomScale="80" zoomScaleNormal="80" zoomScaleSheetLayoutView="80" workbookViewId="0">
      <selection activeCell="E35" sqref="E35"/>
    </sheetView>
  </sheetViews>
  <sheetFormatPr defaultColWidth="0" defaultRowHeight="15" zeroHeight="1" x14ac:dyDescent="0.2"/>
  <cols>
    <col min="1" max="1" width="10.85546875" style="335" hidden="1" customWidth="1"/>
    <col min="2" max="2" width="10.85546875" style="335" customWidth="1"/>
    <col min="3" max="3" width="68.42578125" style="335" customWidth="1"/>
    <col min="4" max="8" width="23.85546875" style="335" customWidth="1"/>
    <col min="9" max="9" width="10.140625" style="335" customWidth="1"/>
    <col min="10" max="10" width="23.5703125" style="335" hidden="1" customWidth="1"/>
    <col min="11" max="11" width="20.140625" style="335" hidden="1" customWidth="1"/>
    <col min="12" max="12" width="21.140625" style="335" hidden="1" customWidth="1"/>
    <col min="13" max="13" width="24.140625" style="335" hidden="1" customWidth="1"/>
    <col min="14" max="14" width="17.140625" style="335" hidden="1" customWidth="1"/>
    <col min="15" max="15" width="15.85546875" style="335" hidden="1" customWidth="1"/>
    <col min="16" max="16" width="12.140625" style="335" hidden="1" customWidth="1"/>
    <col min="17" max="17" width="16.85546875" style="335" hidden="1" customWidth="1"/>
    <col min="18" max="18" width="14.42578125" style="335" hidden="1" customWidth="1"/>
    <col min="19" max="19" width="16.85546875" style="335" hidden="1" customWidth="1"/>
    <col min="20" max="27" width="9.140625" style="335" hidden="1" customWidth="1"/>
    <col min="28" max="28" width="80" style="335" hidden="1" customWidth="1"/>
    <col min="29" max="33" width="15" style="335" hidden="1" customWidth="1"/>
    <col min="34" max="36" width="17.42578125" style="335" hidden="1" customWidth="1"/>
    <col min="37" max="38" width="9.140625" style="335" hidden="1" customWidth="1"/>
    <col min="39" max="39" width="108.85546875" style="335" hidden="1" customWidth="1"/>
    <col min="40" max="44" width="17.85546875" style="335" hidden="1" customWidth="1"/>
    <col min="45" max="48" width="9.140625" style="335" hidden="1" customWidth="1"/>
    <col min="49" max="49" width="108.140625" style="335" hidden="1" customWidth="1"/>
    <col min="50" max="55" width="9.140625" style="335" hidden="1" customWidth="1"/>
    <col min="56" max="56" width="11.85546875" style="335" hidden="1" customWidth="1"/>
    <col min="57" max="16384" width="9.140625" style="335" hidden="1"/>
  </cols>
  <sheetData>
    <row r="1" spans="3:10" hidden="1" x14ac:dyDescent="0.2">
      <c r="D1" s="350" t="s">
        <v>12</v>
      </c>
      <c r="F1" s="351"/>
      <c r="G1" s="351"/>
      <c r="H1" s="351"/>
    </row>
    <row r="2" spans="3:10" hidden="1" x14ac:dyDescent="0.25">
      <c r="C2" s="352"/>
      <c r="D2" s="353" t="s">
        <v>157</v>
      </c>
      <c r="E2" s="354"/>
      <c r="F2" s="351" t="s">
        <v>40</v>
      </c>
      <c r="G2" s="351"/>
      <c r="H2" s="351"/>
      <c r="J2" s="355"/>
    </row>
    <row r="3" spans="3:10" ht="36" customHeight="1" x14ac:dyDescent="0.2">
      <c r="C3" s="588" t="s">
        <v>0</v>
      </c>
      <c r="D3" s="588"/>
      <c r="E3" s="588"/>
      <c r="F3" s="588"/>
      <c r="G3" s="588"/>
      <c r="H3" s="588"/>
      <c r="J3" s="355"/>
    </row>
    <row r="4" spans="3:10" s="352" customFormat="1" ht="16.5" hidden="1" customHeight="1" x14ac:dyDescent="0.25"/>
    <row r="5" spans="3:10" hidden="1" x14ac:dyDescent="0.25">
      <c r="C5" s="600" t="s">
        <v>450</v>
      </c>
      <c r="D5" s="601"/>
      <c r="E5" s="321" t="s">
        <v>76</v>
      </c>
      <c r="F5" s="354"/>
      <c r="G5" s="354"/>
      <c r="H5" s="354"/>
      <c r="J5" s="355"/>
    </row>
    <row r="6" spans="3:10" hidden="1" x14ac:dyDescent="0.25">
      <c r="C6" s="598" t="s">
        <v>402</v>
      </c>
      <c r="D6" s="599"/>
      <c r="E6" s="322" t="str">
        <f>'Annuity Calculator'!D9</f>
        <v>Group</v>
      </c>
      <c r="F6" s="354"/>
      <c r="G6" s="354"/>
      <c r="H6" s="354"/>
    </row>
    <row r="7" spans="3:10" hidden="1" x14ac:dyDescent="0.25">
      <c r="C7" s="600" t="s">
        <v>101</v>
      </c>
      <c r="D7" s="601"/>
      <c r="E7" s="321" t="b">
        <f>IF(E6="NPS","NPS")</f>
        <v>0</v>
      </c>
      <c r="F7" s="356"/>
      <c r="G7" s="356"/>
      <c r="H7" s="356"/>
    </row>
    <row r="8" spans="3:10" hidden="1" x14ac:dyDescent="0.25">
      <c r="C8" s="598" t="s">
        <v>130</v>
      </c>
      <c r="D8" s="599"/>
      <c r="E8" s="589" t="str">
        <f>'Annuity Calculator'!D11</f>
        <v>Senna</v>
      </c>
      <c r="F8" s="590"/>
      <c r="G8" s="356"/>
      <c r="H8" s="356"/>
    </row>
    <row r="9" spans="3:10" hidden="1" x14ac:dyDescent="0.25">
      <c r="C9" s="602" t="s">
        <v>125</v>
      </c>
      <c r="D9" s="603"/>
      <c r="E9" s="346" t="str">
        <f>IF('Annuity Calculator'!$D$15="Deferred","Deferred Annuity","Immediate Annuity")</f>
        <v>Immediate Annuity</v>
      </c>
      <c r="F9" s="357"/>
      <c r="G9" s="356"/>
      <c r="H9" s="356"/>
    </row>
    <row r="10" spans="3:10" hidden="1" x14ac:dyDescent="0.25">
      <c r="C10" s="598" t="s">
        <v>110</v>
      </c>
      <c r="D10" s="599"/>
      <c r="E10" s="346" t="str">
        <f>'Annuity Calculator'!K15</f>
        <v>0</v>
      </c>
      <c r="F10" s="358" t="str">
        <f>IF(AND(Select="Immediate Annuity",DP&gt;0),"DP shouldn’t be populated",DP)</f>
        <v>DP shouldn’t be populated</v>
      </c>
      <c r="G10" s="354"/>
      <c r="H10" s="354"/>
    </row>
    <row r="11" spans="3:10" hidden="1" x14ac:dyDescent="0.25">
      <c r="C11" s="598" t="s">
        <v>111</v>
      </c>
      <c r="D11" s="599"/>
      <c r="E11" s="346" t="str">
        <f>'Annuity Calculator'!D13</f>
        <v>Single Premium</v>
      </c>
      <c r="F11" s="357"/>
      <c r="G11" s="356"/>
      <c r="H11" s="356"/>
    </row>
    <row r="12" spans="3:10" hidden="1" x14ac:dyDescent="0.25">
      <c r="C12" s="598" t="s">
        <v>87</v>
      </c>
      <c r="D12" s="599"/>
      <c r="E12" s="346">
        <f>IF(PremiumType="Single Premium",1,'Valid Data-GPG'!C55)</f>
        <v>1</v>
      </c>
      <c r="F12" s="358"/>
      <c r="G12" s="354"/>
      <c r="H12" s="354"/>
    </row>
    <row r="13" spans="3:10" hidden="1" x14ac:dyDescent="0.2">
      <c r="C13" s="355"/>
      <c r="D13" s="355"/>
      <c r="F13" s="358"/>
      <c r="G13" s="354"/>
      <c r="H13" s="354"/>
      <c r="I13" s="355"/>
    </row>
    <row r="14" spans="3:10" hidden="1" x14ac:dyDescent="0.25">
      <c r="C14" s="598" t="s">
        <v>4</v>
      </c>
      <c r="D14" s="599"/>
      <c r="E14" s="591">
        <f>'Annuity Calculator'!H11</f>
        <v>60</v>
      </c>
      <c r="F14" s="592"/>
      <c r="I14" s="355"/>
    </row>
    <row r="15" spans="3:10" ht="117" hidden="1" customHeight="1" x14ac:dyDescent="0.2">
      <c r="C15" s="595" t="s">
        <v>119</v>
      </c>
      <c r="D15" s="595"/>
      <c r="E15" s="359" t="e">
        <f>'Annuity Calculator'!#REF!</f>
        <v>#REF!</v>
      </c>
      <c r="F15" s="326"/>
      <c r="I15" s="355"/>
    </row>
    <row r="16" spans="3:10" hidden="1" x14ac:dyDescent="0.2">
      <c r="C16" s="347" t="s">
        <v>68</v>
      </c>
      <c r="D16" s="348"/>
      <c r="E16" s="593" t="str">
        <f>'Annuity Calculator'!H15</f>
        <v>Monthly</v>
      </c>
      <c r="F16" s="594"/>
      <c r="I16" s="355"/>
    </row>
    <row r="17" spans="3:25" hidden="1" x14ac:dyDescent="0.25">
      <c r="C17" s="598" t="s">
        <v>68</v>
      </c>
      <c r="D17" s="599"/>
      <c r="E17" s="346">
        <f>VLOOKUP(E16,R71:S74,2,0)</f>
        <v>12</v>
      </c>
      <c r="F17" s="326"/>
      <c r="I17" s="355"/>
    </row>
    <row r="18" spans="3:25" ht="21" hidden="1" customHeight="1" x14ac:dyDescent="0.25">
      <c r="C18" s="598" t="s">
        <v>564</v>
      </c>
      <c r="D18" s="599"/>
      <c r="E18" s="346">
        <f>'Annuity Calculator'!D17</f>
        <v>5000000</v>
      </c>
      <c r="F18" s="346" t="str">
        <f>IF('Annuity Calculator'!$E$17="incl. GST","with GST","without GST")</f>
        <v>with GST</v>
      </c>
      <c r="G18" s="360"/>
      <c r="H18" s="360"/>
    </row>
    <row r="19" spans="3:25" hidden="1" x14ac:dyDescent="0.2">
      <c r="C19" s="595" t="s">
        <v>407</v>
      </c>
      <c r="D19" s="595"/>
      <c r="E19" s="346" t="str">
        <f>F19</f>
        <v>Y</v>
      </c>
      <c r="F19" s="361" t="str">
        <f>IF('Valid Data-GPG'!M149&gt;0,"Y","N")</f>
        <v>Y</v>
      </c>
      <c r="G19" s="362"/>
      <c r="H19" s="362"/>
    </row>
    <row r="20" spans="3:25" hidden="1" x14ac:dyDescent="0.2">
      <c r="C20" s="596" t="str">
        <f>IF(Channel="NPS","Second Life Annuitant alive / Available","Joint Life")</f>
        <v>Joint Life</v>
      </c>
      <c r="D20" s="596"/>
      <c r="E20" s="346" t="s">
        <v>543</v>
      </c>
      <c r="F20" s="326"/>
    </row>
    <row r="21" spans="3:25" ht="24.75" hidden="1" customHeight="1" x14ac:dyDescent="0.2">
      <c r="C21" s="595" t="s">
        <v>129</v>
      </c>
      <c r="D21" s="595"/>
      <c r="E21" s="589">
        <f>'Annuity Calculator'!N11</f>
        <v>55</v>
      </c>
      <c r="F21" s="590"/>
    </row>
    <row r="22" spans="3:25" hidden="1" x14ac:dyDescent="0.2">
      <c r="C22" s="597" t="s">
        <v>386</v>
      </c>
      <c r="D22" s="597"/>
      <c r="E22" s="589">
        <f>IF(PremiumType="Single Premium",1,VLOOKUP('Annuity Calculator'!$K$13,R71:S74,2,0))</f>
        <v>1</v>
      </c>
      <c r="F22" s="590"/>
    </row>
    <row r="23" spans="3:25" ht="16.5" hidden="1" customHeight="1" x14ac:dyDescent="0.2">
      <c r="E23" s="363">
        <f>E18*12</f>
        <v>60000000</v>
      </c>
    </row>
    <row r="24" spans="3:25" ht="16.5" hidden="1" customHeight="1" x14ac:dyDescent="0.2">
      <c r="E24" s="363"/>
    </row>
    <row r="25" spans="3:25" ht="16.5" hidden="1" customHeight="1" x14ac:dyDescent="0.2">
      <c r="C25" s="607" t="s">
        <v>565</v>
      </c>
      <c r="D25" s="608"/>
      <c r="E25" s="323">
        <f>IF(F18="without GST",E18,E31)</f>
        <v>4911591.3555992143</v>
      </c>
    </row>
    <row r="26" spans="3:25" ht="16.5" hidden="1" customHeight="1" x14ac:dyDescent="0.2">
      <c r="C26" s="607" t="s">
        <v>566</v>
      </c>
      <c r="D26" s="608"/>
      <c r="E26" s="323">
        <f>E25*IF(PremiumType="Single Premium",1.8%,4.5%)</f>
        <v>88408.644400785866</v>
      </c>
      <c r="X26" s="335" t="s">
        <v>569</v>
      </c>
      <c r="Y26" s="335">
        <v>1</v>
      </c>
    </row>
    <row r="27" spans="3:25" hidden="1" x14ac:dyDescent="0.2">
      <c r="C27" s="607" t="s">
        <v>567</v>
      </c>
      <c r="D27" s="608"/>
      <c r="E27" s="323">
        <f>SUM(E25:E26)</f>
        <v>5000000</v>
      </c>
      <c r="F27" s="364"/>
      <c r="G27" s="364"/>
      <c r="H27" s="364"/>
      <c r="X27" s="335" t="s">
        <v>568</v>
      </c>
      <c r="Y27" s="335">
        <v>2</v>
      </c>
    </row>
    <row r="28" spans="3:25" ht="15.75" hidden="1" thickBot="1" x14ac:dyDescent="0.3">
      <c r="E28" s="363"/>
      <c r="I28" s="365"/>
      <c r="J28" s="366"/>
      <c r="K28" s="352"/>
    </row>
    <row r="29" spans="3:25" hidden="1" x14ac:dyDescent="0.25">
      <c r="C29" s="611" t="str">
        <f>IF(PremiumType="Single Premium","Goods &amp; Service Tax","Goods &amp; Service Tax First Year")</f>
        <v>Goods &amp; Service Tax</v>
      </c>
      <c r="D29" s="612"/>
      <c r="E29" s="367">
        <f>IF(PremiumType="Single Premium",1.8%*$S$84,4.5%*E18)</f>
        <v>90000.000000000015</v>
      </c>
      <c r="F29" s="368"/>
      <c r="G29" s="368"/>
      <c r="H29" s="368"/>
      <c r="I29" s="369"/>
      <c r="J29" s="366"/>
      <c r="K29" s="352"/>
      <c r="Y29" s="335" t="e">
        <f>VLOOKUP(D34,X26:Y27,2,0)</f>
        <v>#N/A</v>
      </c>
    </row>
    <row r="30" spans="3:25" ht="15.75" hidden="1" thickBot="1" x14ac:dyDescent="0.25">
      <c r="C30" s="609" t="str">
        <f>IF(PremiumType="Single Premium", "Purchase Price with Goods &amp; Service Tax
 (to be deposited)","Instalment Premium with Goods &amp; Service Tax
 (to be deposited) for First Year")</f>
        <v>Purchase Price with Goods &amp; Service Tax
 (to be deposited)</v>
      </c>
      <c r="D30" s="610"/>
      <c r="E30" s="370">
        <f>IF(PremiumType="Single Premium",$S$84,E18)+E29</f>
        <v>5090000</v>
      </c>
      <c r="I30" s="609" t="str">
        <f>IF(PremiumType="Single Premium", "Purchase Price with Goods &amp; Service Tax
 (to be deposited)","Instalment Premium with Goods &amp; Service Tax
 (to be deposited) Second Year onwards")</f>
        <v>Purchase Price with Goods &amp; Service Tax
 (to be deposited)</v>
      </c>
      <c r="J30" s="610"/>
      <c r="K30" s="370">
        <f>E18+(E18*2.25%)</f>
        <v>5112500</v>
      </c>
    </row>
    <row r="31" spans="3:25" hidden="1" x14ac:dyDescent="0.2">
      <c r="E31" s="371">
        <f>E18/IF(PremiumType="Single Premium",1.018,1.045)</f>
        <v>4911591.3555992143</v>
      </c>
      <c r="F31" s="363">
        <f>E31*1.8%</f>
        <v>88408.644400785866</v>
      </c>
      <c r="G31" s="363">
        <f>SUM(E31:F31)</f>
        <v>5000000</v>
      </c>
      <c r="H31" s="363"/>
    </row>
    <row r="32" spans="3:25" hidden="1" x14ac:dyDescent="0.2">
      <c r="E32" s="363"/>
      <c r="F32" s="363"/>
      <c r="G32" s="363"/>
      <c r="H32" s="363"/>
    </row>
    <row r="33" spans="3:47" x14ac:dyDescent="0.2">
      <c r="E33" s="363"/>
      <c r="F33" s="363"/>
      <c r="G33" s="363"/>
      <c r="H33" s="363"/>
    </row>
    <row r="34" spans="3:47" ht="24" customHeight="1" x14ac:dyDescent="0.2">
      <c r="C34" s="324"/>
      <c r="D34" s="606" t="s">
        <v>571</v>
      </c>
      <c r="E34" s="606"/>
      <c r="F34" s="606"/>
      <c r="G34" s="606"/>
      <c r="H34" s="606"/>
      <c r="AB34" s="604" t="s">
        <v>575</v>
      </c>
      <c r="AC34" s="604"/>
      <c r="AD34" s="604"/>
      <c r="AE34" s="604"/>
      <c r="AF34" s="604"/>
      <c r="AG34" s="605"/>
      <c r="AH34" s="372"/>
      <c r="AI34" s="373"/>
      <c r="AM34" s="604" t="s">
        <v>576</v>
      </c>
      <c r="AN34" s="604"/>
      <c r="AO34" s="604"/>
      <c r="AP34" s="604"/>
      <c r="AQ34" s="604"/>
      <c r="AR34" s="605"/>
    </row>
    <row r="35" spans="3:47" ht="38.1" customHeight="1" x14ac:dyDescent="0.2">
      <c r="C35" s="344" t="s">
        <v>604</v>
      </c>
      <c r="D35" s="345" t="s">
        <v>601</v>
      </c>
      <c r="E35" s="345" t="str">
        <f>'Annuity Calculator'!$H$15&amp;" Annuity"</f>
        <v>Monthly Annuity</v>
      </c>
      <c r="F35" s="345" t="s">
        <v>602</v>
      </c>
      <c r="G35" s="345" t="s">
        <v>603</v>
      </c>
      <c r="H35" s="345" t="str">
        <f>'Annuity Calculator'!$H$15&amp;" Annuity %"</f>
        <v>Monthly Annuity %</v>
      </c>
      <c r="AB35" s="374" t="s">
        <v>2</v>
      </c>
      <c r="AC35" s="325" t="s">
        <v>563</v>
      </c>
      <c r="AD35" s="325" t="s">
        <v>546</v>
      </c>
      <c r="AE35" s="325" t="s">
        <v>562</v>
      </c>
      <c r="AF35" s="325" t="s">
        <v>563</v>
      </c>
      <c r="AG35" s="325" t="s">
        <v>546</v>
      </c>
      <c r="AH35" s="351"/>
      <c r="AI35" s="375"/>
      <c r="AJ35" s="351"/>
      <c r="AM35" s="374" t="s">
        <v>2</v>
      </c>
      <c r="AN35" s="325" t="s">
        <v>563</v>
      </c>
      <c r="AO35" s="325" t="s">
        <v>546</v>
      </c>
      <c r="AP35" s="325" t="s">
        <v>562</v>
      </c>
      <c r="AQ35" s="325" t="s">
        <v>563</v>
      </c>
      <c r="AR35" s="325" t="s">
        <v>546</v>
      </c>
    </row>
    <row r="36" spans="3:47" ht="17.45" customHeight="1" x14ac:dyDescent="0.2">
      <c r="C36" s="337" t="s">
        <v>93</v>
      </c>
      <c r="D36" s="338">
        <f t="shared" ref="D36:H47" si="0">IF($F$18="without GST",AC36,AN36)</f>
        <v>395024.55795677798</v>
      </c>
      <c r="E36" s="338">
        <f t="shared" si="0"/>
        <v>31799.476915520627</v>
      </c>
      <c r="F36" s="338">
        <f t="shared" si="0"/>
        <v>381593.72298624751</v>
      </c>
      <c r="G36" s="339">
        <f t="shared" si="0"/>
        <v>8.0426999999999998E-2</v>
      </c>
      <c r="H36" s="339">
        <f t="shared" si="0"/>
        <v>7.7692481999999993E-2</v>
      </c>
      <c r="AB36" s="326" t="str">
        <f>'Valid Data-GPG'!$B$14</f>
        <v>Life annuity</v>
      </c>
      <c r="AC36" s="327">
        <f>(ROUND(VLOOKUP($E$14,Imm_OptionA!$B$5:$E$105,VLOOKUP($E$18*$E$22,'Working-GPG'!$E$10:$F$15,2,TRUE)+1,FALSE),2)*(IF($F$19="Y",$S$84*(1+'Valid Data-GPG'!$M$149),$S$84))/1000*(Select="Immediate Annuity"))</f>
        <v>402135</v>
      </c>
      <c r="AD36" s="327">
        <f>AC36*VLOOKUP($E$22,'Valid Data-GPG'!$B$130:$F$134,MATCH(AnnuityMode,'Valid Data-GPG'!$B$130:$F$130,0),FALSE)</f>
        <v>32371.8675</v>
      </c>
      <c r="AE36" s="328">
        <f t="shared" ref="AE36:AE47" si="1">AD36*AnnuityMode</f>
        <v>388462.41000000003</v>
      </c>
      <c r="AF36" s="329">
        <f t="shared" ref="AF36:AF47" si="2">AC36/$E$18</f>
        <v>8.0426999999999998E-2</v>
      </c>
      <c r="AG36" s="329">
        <f t="shared" ref="AG36:AG47" si="3">AE36/$E$18</f>
        <v>7.7692482000000007E-2</v>
      </c>
      <c r="AH36" s="376">
        <f>AC36*VLOOKUP($E$22,'Valid Data-GPG'!$B$130:$F$134,MATCH(AnnuityMode,'Valid Data-GPG'!$B$130:$F$130,0),FALSE)</f>
        <v>32371.8675</v>
      </c>
      <c r="AI36" s="377">
        <f t="shared" ref="AI36:AI47" si="4">AC36/$E$18</f>
        <v>8.0426999999999998E-2</v>
      </c>
      <c r="AJ36" s="351"/>
      <c r="AM36" s="326" t="str">
        <f>'Valid Data-GPG'!$B$14</f>
        <v>Life annuity</v>
      </c>
      <c r="AN36" s="327">
        <f>ROUND(VLOOKUP($E$14,Imm_OptionA!$B$5:$E$105,VLOOKUP($E$31*$E$22,'Working-GPG'!$E$10:$F$15,2,TRUE)+1,FALSE),2)*(IF($F$19="Y",$E$31*(1+'Valid Data-GPG'!$M$149),$E$31))/1000*(Select="Immediate Annuity")</f>
        <v>395024.55795677798</v>
      </c>
      <c r="AO36" s="327">
        <f>AN36*VLOOKUP($E$22,'Valid Data-GPG'!$B$130:$F$134,MATCH(AnnuityMode,'Valid Data-GPG'!$B$130:$F$130,0),FALSE)</f>
        <v>31799.476915520627</v>
      </c>
      <c r="AP36" s="328">
        <f t="shared" ref="AP36:AP47" si="5">AO36*AnnuityMode</f>
        <v>381593.72298624751</v>
      </c>
      <c r="AQ36" s="329">
        <f>AN36/$E$31</f>
        <v>8.0426999999999998E-2</v>
      </c>
      <c r="AR36" s="329">
        <f t="shared" ref="AR36:AR47" si="6">AP36/$E$31</f>
        <v>7.7692481999999993E-2</v>
      </c>
    </row>
    <row r="37" spans="3:47" s="378" customFormat="1" ht="17.45" customHeight="1" x14ac:dyDescent="0.2">
      <c r="C37" s="340" t="s">
        <v>92</v>
      </c>
      <c r="D37" s="341">
        <f t="shared" si="0"/>
        <v>355285.8546168959</v>
      </c>
      <c r="E37" s="341">
        <f t="shared" si="0"/>
        <v>28600.511296660119</v>
      </c>
      <c r="F37" s="341">
        <f t="shared" si="0"/>
        <v>343206.13555992144</v>
      </c>
      <c r="G37" s="342">
        <f t="shared" si="0"/>
        <v>7.2336200000000003E-2</v>
      </c>
      <c r="H37" s="342">
        <f t="shared" si="0"/>
        <v>6.9876769200000008E-2</v>
      </c>
      <c r="AB37" s="330" t="str">
        <f>'Valid Data-GPG'!$B$15</f>
        <v>Life annuity with Return of Purchase Price (ROP) on death of annuitant</v>
      </c>
      <c r="AC37" s="331">
        <f>'SP-input'!$D$20*(Select="Immediate Annuity")</f>
        <v>361681</v>
      </c>
      <c r="AD37" s="331">
        <f>'Immediate Annuity'!AC37*VLOOKUP(AnnuityMode,'Valid Data-SP'!$N$3:$O$6,2,0)</f>
        <v>29115.320500000002</v>
      </c>
      <c r="AE37" s="332">
        <f t="shared" si="1"/>
        <v>349383.84600000002</v>
      </c>
      <c r="AF37" s="333">
        <f t="shared" si="2"/>
        <v>7.2336200000000003E-2</v>
      </c>
      <c r="AG37" s="333">
        <f t="shared" si="3"/>
        <v>6.9876769200000008E-2</v>
      </c>
      <c r="AH37" s="379">
        <f>AC37*VLOOKUP($E$22,'Valid Data-GPG'!$B$130:$F$134,MATCH(AnnuityMode,'Valid Data-GPG'!$B$130:$F$130,0),FALSE)</f>
        <v>29115.320500000002</v>
      </c>
      <c r="AI37" s="380">
        <f t="shared" si="4"/>
        <v>7.2336200000000003E-2</v>
      </c>
      <c r="AJ37" s="379">
        <f>AC37*0.49</f>
        <v>177223.69</v>
      </c>
      <c r="AM37" s="330" t="str">
        <f>'Valid Data-GPG'!$B$15</f>
        <v>Life annuity with Return of Purchase Price (ROP) on death of annuitant</v>
      </c>
      <c r="AN37" s="327">
        <f>'SP-input'!$D$23*(Select="Immediate Annuity")</f>
        <v>355285.8546168959</v>
      </c>
      <c r="AO37" s="327">
        <f>'Immediate Annuity'!AN37*VLOOKUP(AnnuityMode,'Valid Data-SP'!$N$3:$O$6,2,0)</f>
        <v>28600.511296660119</v>
      </c>
      <c r="AP37" s="328">
        <f t="shared" si="5"/>
        <v>343206.13555992144</v>
      </c>
      <c r="AQ37" s="329">
        <f t="shared" ref="AQ37:AQ47" si="7">AN37/$E$31</f>
        <v>7.2336200000000003E-2</v>
      </c>
      <c r="AR37" s="329">
        <f t="shared" si="6"/>
        <v>6.9876769200000008E-2</v>
      </c>
    </row>
    <row r="38" spans="3:47" ht="17.45" customHeight="1" x14ac:dyDescent="0.2">
      <c r="C38" s="337" t="s">
        <v>33</v>
      </c>
      <c r="D38" s="338">
        <f t="shared" si="0"/>
        <v>391818.27111984283</v>
      </c>
      <c r="E38" s="338">
        <f t="shared" si="0"/>
        <v>31541.370825147347</v>
      </c>
      <c r="F38" s="338">
        <f t="shared" si="0"/>
        <v>378496.44990176818</v>
      </c>
      <c r="G38" s="339">
        <f t="shared" si="0"/>
        <v>7.9774200000000003E-2</v>
      </c>
      <c r="H38" s="339">
        <f t="shared" si="0"/>
        <v>7.7061877200000004E-2</v>
      </c>
      <c r="AB38" s="326" t="str">
        <f>'Valid Data-GPG'!$B$16</f>
        <v>Annuity Certain for minimum 5 years and life thereafter</v>
      </c>
      <c r="AC38" s="327">
        <f>(ROUND(VLOOKUP($E$14,Imm_OptionC_G5!$B$5:$E$105,VLOOKUP($S$84,'Working-GPG'!$E$10:$F$15,2,TRUE)+1,FALSE),2)*(IF($F$19="Y",$S$84*(1+'Valid Data-GPG'!$M$149),$S$84))/1000*(Select="Immediate Annuity"))*(Channel&lt;&gt;"POS")</f>
        <v>398870.99999999994</v>
      </c>
      <c r="AD38" s="327">
        <f>AC38*VLOOKUP($E$22,'Valid Data-GPG'!$B$130:$F$134,MATCH(AnnuityMode,'Valid Data-GPG'!$B$130:$F$130,0),FALSE)</f>
        <v>32109.115499999996</v>
      </c>
      <c r="AE38" s="328">
        <f t="shared" si="1"/>
        <v>385309.38599999994</v>
      </c>
      <c r="AF38" s="329">
        <f t="shared" si="2"/>
        <v>7.977419999999999E-2</v>
      </c>
      <c r="AG38" s="329">
        <f t="shared" si="3"/>
        <v>7.706187719999999E-2</v>
      </c>
      <c r="AH38" s="376">
        <f>AC38*VLOOKUP($E$22,'Valid Data-GPG'!$B$130:$F$134,MATCH(AnnuityMode,'Valid Data-GPG'!$B$130:$F$130,0),FALSE)</f>
        <v>32109.115499999996</v>
      </c>
      <c r="AI38" s="377">
        <f t="shared" si="4"/>
        <v>7.977419999999999E-2</v>
      </c>
      <c r="AJ38" s="351"/>
      <c r="AM38" s="326" t="str">
        <f>'Valid Data-GPG'!$B$16</f>
        <v>Annuity Certain for minimum 5 years and life thereafter</v>
      </c>
      <c r="AN38" s="327">
        <f>(ROUND(VLOOKUP($E$14,Imm_OptionC_G5!$B$5:$E$105,VLOOKUP($E$31,'Working-GPG'!$E$10:$F$15,2,TRUE)+1,FALSE),2)*(IF($F$19="Y",$E$31*(1+'Valid Data-GPG'!$M$149),$E$31))/1000*(Select="Immediate Annuity"))*(Channel&lt;&gt;"POS")</f>
        <v>391818.27111984283</v>
      </c>
      <c r="AO38" s="327">
        <f>AN38*VLOOKUP($E$22,'Valid Data-GPG'!$B$130:$F$134,MATCH(AnnuityMode,'Valid Data-GPG'!$B$130:$F$130,0),FALSE)</f>
        <v>31541.370825147347</v>
      </c>
      <c r="AP38" s="328">
        <f t="shared" si="5"/>
        <v>378496.44990176818</v>
      </c>
      <c r="AQ38" s="329">
        <f t="shared" si="7"/>
        <v>7.9774200000000003E-2</v>
      </c>
      <c r="AR38" s="329">
        <f t="shared" si="6"/>
        <v>7.7061877200000004E-2</v>
      </c>
    </row>
    <row r="39" spans="3:47" ht="17.45" customHeight="1" x14ac:dyDescent="0.2">
      <c r="C39" s="337" t="s">
        <v>34</v>
      </c>
      <c r="D39" s="338">
        <f t="shared" si="0"/>
        <v>384954.81335952855</v>
      </c>
      <c r="E39" s="338">
        <f t="shared" si="0"/>
        <v>30988.862475442049</v>
      </c>
      <c r="F39" s="338">
        <f t="shared" si="0"/>
        <v>371866.3497053046</v>
      </c>
      <c r="G39" s="339">
        <f t="shared" si="0"/>
        <v>7.837680000000001E-2</v>
      </c>
      <c r="H39" s="339">
        <f t="shared" si="0"/>
        <v>7.5711988800000019E-2</v>
      </c>
      <c r="AB39" s="326" t="str">
        <f>'Valid Data-GPG'!$B$17</f>
        <v>Annuity Certain for minimum 10 years and life thereafter</v>
      </c>
      <c r="AC39" s="327">
        <f>(ROUND(VLOOKUP($E$14,Imm_OptionC_G10!$B$5:$E$105,VLOOKUP($S$84,'Working-GPG'!$E$10:$F$15,2,TRUE)+1,FALSE),2)*(IF($F$19="Y",$S$84*(1+'Valid Data-GPG'!$M$149),$S$84))/1000*(Select="Immediate Annuity"))*(Channel&lt;&gt;"POS")</f>
        <v>391884</v>
      </c>
      <c r="AD39" s="327">
        <f>AC39*VLOOKUP($E$22,'Valid Data-GPG'!$B$130:$F$134,MATCH(AnnuityMode,'Valid Data-GPG'!$B$130:$F$130,0),FALSE)</f>
        <v>31546.662</v>
      </c>
      <c r="AE39" s="328">
        <f t="shared" si="1"/>
        <v>378559.94400000002</v>
      </c>
      <c r="AF39" s="329">
        <f t="shared" si="2"/>
        <v>7.8376799999999996E-2</v>
      </c>
      <c r="AG39" s="329">
        <f t="shared" si="3"/>
        <v>7.5711988800000005E-2</v>
      </c>
      <c r="AH39" s="376">
        <f>AC39*VLOOKUP($E$22,'Valid Data-GPG'!$B$130:$F$134,MATCH(AnnuityMode,'Valid Data-GPG'!$B$130:$F$130,0),FALSE)</f>
        <v>31546.662</v>
      </c>
      <c r="AI39" s="377">
        <f t="shared" si="4"/>
        <v>7.8376799999999996E-2</v>
      </c>
      <c r="AJ39" s="351"/>
      <c r="AM39" s="326" t="str">
        <f>'Valid Data-GPG'!$B$17</f>
        <v>Annuity Certain for minimum 10 years and life thereafter</v>
      </c>
      <c r="AN39" s="327">
        <f>(ROUND(VLOOKUP($E$14,Imm_OptionC_G10!$B$5:$E$105,VLOOKUP($E$31,'Working-GPG'!$E$10:$F$15,2,TRUE)+1,FALSE),2)*(IF($F$19="Y",$E$31*(1+'Valid Data-GPG'!$M$149),$E$31))/1000*(Select="Immediate Annuity"))*(Channel&lt;&gt;"POS")</f>
        <v>384954.81335952855</v>
      </c>
      <c r="AO39" s="327">
        <f>AN39*VLOOKUP($E$22,'Valid Data-GPG'!$B$130:$F$134,MATCH(AnnuityMode,'Valid Data-GPG'!$B$130:$F$130,0),FALSE)</f>
        <v>30988.862475442049</v>
      </c>
      <c r="AP39" s="328">
        <f t="shared" si="5"/>
        <v>371866.3497053046</v>
      </c>
      <c r="AQ39" s="329">
        <f t="shared" si="7"/>
        <v>7.837680000000001E-2</v>
      </c>
      <c r="AR39" s="329">
        <f t="shared" si="6"/>
        <v>7.5711988800000019E-2</v>
      </c>
    </row>
    <row r="40" spans="3:47" ht="17.45" customHeight="1" x14ac:dyDescent="0.2">
      <c r="C40" s="337" t="s">
        <v>35</v>
      </c>
      <c r="D40" s="338">
        <f t="shared" si="0"/>
        <v>375235.75638506882</v>
      </c>
      <c r="E40" s="338">
        <f t="shared" si="0"/>
        <v>30206.478388998039</v>
      </c>
      <c r="F40" s="338">
        <f t="shared" si="0"/>
        <v>362477.74066797644</v>
      </c>
      <c r="G40" s="339">
        <f t="shared" si="0"/>
        <v>7.6398000000000008E-2</v>
      </c>
      <c r="H40" s="339">
        <f t="shared" si="0"/>
        <v>7.3800467999999994E-2</v>
      </c>
      <c r="AB40" s="326" t="str">
        <f>'Valid Data-GPG'!$B$18</f>
        <v>Annuity Certain for minimum 15 years and life thereafter</v>
      </c>
      <c r="AC40" s="327">
        <f>(ROUND(VLOOKUP($E$14,Imm_OptionC_G15!$B$5:$E$105,VLOOKUP($S$84,'Working-GPG'!$E$10:$F$15,2,TRUE)+1,FALSE),2)*(IF($F$19="Y",$S$84*(1+'Valid Data-GPG'!$M$149),$S$84))/1000*(Select="Immediate Annuity"))*(Channel&lt;&gt;"POS")</f>
        <v>381990</v>
      </c>
      <c r="AD40" s="327">
        <f>AC40*VLOOKUP($E$22,'Valid Data-GPG'!$B$130:$F$134,MATCH(AnnuityMode,'Valid Data-GPG'!$B$130:$F$130,0),FALSE)</f>
        <v>30750.195</v>
      </c>
      <c r="AE40" s="328">
        <f t="shared" si="1"/>
        <v>369002.33999999997</v>
      </c>
      <c r="AF40" s="329">
        <f t="shared" si="2"/>
        <v>7.6397999999999994E-2</v>
      </c>
      <c r="AG40" s="329">
        <f t="shared" si="3"/>
        <v>7.3800467999999994E-2</v>
      </c>
      <c r="AH40" s="376">
        <f>AC40*VLOOKUP($E$22,'Valid Data-GPG'!$B$130:$F$134,MATCH(AnnuityMode,'Valid Data-GPG'!$B$130:$F$130,0),FALSE)</f>
        <v>30750.195</v>
      </c>
      <c r="AI40" s="377">
        <f t="shared" si="4"/>
        <v>7.6397999999999994E-2</v>
      </c>
      <c r="AJ40" s="351"/>
      <c r="AM40" s="326" t="str">
        <f>'Valid Data-GPG'!$B$18</f>
        <v>Annuity Certain for minimum 15 years and life thereafter</v>
      </c>
      <c r="AN40" s="327">
        <f>(ROUND(VLOOKUP($E$14,Imm_OptionC_G15!$B$5:$E$105,VLOOKUP($E$31,'Working-GPG'!$E$10:$F$15,2,TRUE)+1,FALSE),2)*(IF($F$19="Y",$E$31*(1+'Valid Data-GPG'!$M$149),$E$31))/1000*(Select="Immediate Annuity"))*(Channel&lt;&gt;"POS")</f>
        <v>375235.75638506882</v>
      </c>
      <c r="AO40" s="327">
        <f>AN40*VLOOKUP($E$22,'Valid Data-GPG'!$B$130:$F$134,MATCH(AnnuityMode,'Valid Data-GPG'!$B$130:$F$130,0),FALSE)</f>
        <v>30206.478388998039</v>
      </c>
      <c r="AP40" s="328">
        <f t="shared" si="5"/>
        <v>362477.74066797644</v>
      </c>
      <c r="AQ40" s="329">
        <f t="shared" si="7"/>
        <v>7.6398000000000008E-2</v>
      </c>
      <c r="AR40" s="329">
        <f t="shared" si="6"/>
        <v>7.3800467999999994E-2</v>
      </c>
    </row>
    <row r="41" spans="3:47" ht="17.45" customHeight="1" x14ac:dyDescent="0.2">
      <c r="C41" s="337" t="s">
        <v>36</v>
      </c>
      <c r="D41" s="338">
        <f t="shared" si="0"/>
        <v>363462.67190569744</v>
      </c>
      <c r="E41" s="338">
        <f t="shared" si="0"/>
        <v>29258.745088408643</v>
      </c>
      <c r="F41" s="338">
        <f t="shared" si="0"/>
        <v>351104.94106090371</v>
      </c>
      <c r="G41" s="339">
        <f t="shared" si="0"/>
        <v>7.4000999999999997E-2</v>
      </c>
      <c r="H41" s="339">
        <f t="shared" si="0"/>
        <v>7.1484965999999997E-2</v>
      </c>
      <c r="AB41" s="326" t="str">
        <f>'Valid Data-GPG'!$B$19</f>
        <v>Annuity Certain for minimum 20 years and life thereafter</v>
      </c>
      <c r="AC41" s="327">
        <f>(ROUND(VLOOKUP($E$14,Imm_OptionC_G20!$B$5:$E$105,VLOOKUP($S$84,'Working-GPG'!$E$10:$F$15,2,TRUE)+1,FALSE),2)*(IF($F$19="Y",$S$84*(1+'Valid Data-GPG'!$M$149),$S$84))/1000*(Select="Immediate Annuity"))*(Channel&lt;&gt;"POS")</f>
        <v>370005</v>
      </c>
      <c r="AD41" s="327">
        <f>AC41*VLOOKUP($E$22,'Valid Data-GPG'!$B$130:$F$134,MATCH(AnnuityMode,'Valid Data-GPG'!$B$130:$F$130,0),FALSE)</f>
        <v>29785.4025</v>
      </c>
      <c r="AE41" s="328">
        <f t="shared" si="1"/>
        <v>357424.83</v>
      </c>
      <c r="AF41" s="329">
        <f t="shared" si="2"/>
        <v>7.4000999999999997E-2</v>
      </c>
      <c r="AG41" s="329">
        <f t="shared" si="3"/>
        <v>7.1484965999999997E-2</v>
      </c>
      <c r="AH41" s="376">
        <f>AC41*VLOOKUP($E$22,'Valid Data-GPG'!$B$130:$F$134,MATCH(AnnuityMode,'Valid Data-GPG'!$B$130:$F$130,0),FALSE)</f>
        <v>29785.4025</v>
      </c>
      <c r="AI41" s="377">
        <f t="shared" si="4"/>
        <v>7.4000999999999997E-2</v>
      </c>
      <c r="AJ41" s="351"/>
      <c r="AM41" s="326" t="str">
        <f>'Valid Data-GPG'!$B$19</f>
        <v>Annuity Certain for minimum 20 years and life thereafter</v>
      </c>
      <c r="AN41" s="327">
        <f>(ROUND(VLOOKUP($E$14,Imm_OptionC_G20!$B$5:$E$105,VLOOKUP($E$31,'Working-GPG'!$E$10:$F$15,2,TRUE)+1,FALSE),2)*(IF($F$19="Y",$E$31*(1+'Valid Data-GPG'!$M$149),$E$31))/1000*(Select="Immediate Annuity"))*(Channel&lt;&gt;"POS")</f>
        <v>363462.67190569744</v>
      </c>
      <c r="AO41" s="327">
        <f>AN41*VLOOKUP($E$22,'Valid Data-GPG'!$B$130:$F$134,MATCH(AnnuityMode,'Valid Data-GPG'!$B$130:$F$130,0),FALSE)</f>
        <v>29258.745088408643</v>
      </c>
      <c r="AP41" s="328">
        <f t="shared" si="5"/>
        <v>351104.94106090371</v>
      </c>
      <c r="AQ41" s="329">
        <f t="shared" si="7"/>
        <v>7.4000999999999997E-2</v>
      </c>
      <c r="AR41" s="329">
        <f t="shared" si="6"/>
        <v>7.1484965999999997E-2</v>
      </c>
    </row>
    <row r="42" spans="3:47" ht="17.45" customHeight="1" x14ac:dyDescent="0.2">
      <c r="C42" s="337" t="s">
        <v>94</v>
      </c>
      <c r="D42" s="338">
        <f t="shared" ca="1" si="0"/>
        <v>356048.13359528489</v>
      </c>
      <c r="E42" s="338">
        <f t="shared" ca="1" si="0"/>
        <v>28661.874754420434</v>
      </c>
      <c r="F42" s="338">
        <f t="shared" ca="1" si="0"/>
        <v>343942.4970530452</v>
      </c>
      <c r="G42" s="339">
        <f t="shared" ca="1" si="0"/>
        <v>7.2491399999999998E-2</v>
      </c>
      <c r="H42" s="339">
        <f t="shared" ca="1" si="0"/>
        <v>7.0026692399999993E-2</v>
      </c>
      <c r="AB42" s="326" t="str">
        <f>'Valid Data-GPG'!$B$20</f>
        <v>Joint Life Last Survivor with 50% of annuity to spouse</v>
      </c>
      <c r="AC42" s="327">
        <f ca="1">(IFERROR(ROUND(VLOOKUP($E$14,INDIRECT('Working-GPG'!$F$23),VLOOKUP(ABS($E$14-$E$21),'Working-GPG'!$B$9:$C$35,2,TRUE),FALSE),2)*(IF($F$19="Y",$S$84*(1+'Valid Data-GPG'!$M$149),$S$84))/1000,0)*($E$20="Y")*(Select="Immediate Annuity"))*(Channel&lt;&gt;"POS")</f>
        <v>362456.99999999994</v>
      </c>
      <c r="AD42" s="327">
        <f ca="1">AC42*VLOOKUP($E$22,'Valid Data-GPG'!$B$130:$F$134,MATCH(AnnuityMode,'Valid Data-GPG'!$B$130:$F$130,0),FALSE)</f>
        <v>29177.788499999995</v>
      </c>
      <c r="AE42" s="328">
        <f t="shared" ca="1" si="1"/>
        <v>350133.46199999994</v>
      </c>
      <c r="AF42" s="329">
        <f t="shared" ca="1" si="2"/>
        <v>7.2491399999999984E-2</v>
      </c>
      <c r="AG42" s="329">
        <f t="shared" ca="1" si="3"/>
        <v>7.0026692399999993E-2</v>
      </c>
      <c r="AH42" s="376">
        <f ca="1">AC42*VLOOKUP($E$22,'Valid Data-GPG'!$B$130:$F$134,MATCH(AnnuityMode,'Valid Data-GPG'!$B$130:$F$130,0),FALSE)</f>
        <v>29177.788499999995</v>
      </c>
      <c r="AI42" s="377">
        <f t="shared" ca="1" si="4"/>
        <v>7.2491399999999984E-2</v>
      </c>
      <c r="AJ42" s="351"/>
      <c r="AM42" s="326" t="str">
        <f>'Valid Data-GPG'!$B$20</f>
        <v>Joint Life Last Survivor with 50% of annuity to spouse</v>
      </c>
      <c r="AN42" s="327">
        <f ca="1">(IFERROR(ROUND(VLOOKUP($E$14,INDIRECT('Working-GPG'!$H$23),VLOOKUP(ABS($E$14-$E$21),'Working-GPG'!$B$9:$C$35,2,TRUE),FALSE),2)*(IF($F$19="Y",$E$31*(1+'Valid Data-GPG'!$M$149),$E$31))/1000,0)*($E$20="Y")*(Select="Immediate Annuity"))*(Channel&lt;&gt;"POS")</f>
        <v>356048.13359528489</v>
      </c>
      <c r="AO42" s="327">
        <f ca="1">AN42*VLOOKUP($E$22,'Valid Data-GPG'!$B$130:$F$134,MATCH(AnnuityMode,'Valid Data-GPG'!$B$130:$F$130,0),FALSE)</f>
        <v>28661.874754420434</v>
      </c>
      <c r="AP42" s="328">
        <f t="shared" ca="1" si="5"/>
        <v>343942.4970530452</v>
      </c>
      <c r="AQ42" s="329">
        <f t="shared" ca="1" si="7"/>
        <v>7.2491399999999998E-2</v>
      </c>
      <c r="AR42" s="329">
        <f t="shared" ca="1" si="6"/>
        <v>7.0026692399999993E-2</v>
      </c>
    </row>
    <row r="43" spans="3:47" ht="17.45" customHeight="1" x14ac:dyDescent="0.2">
      <c r="C43" s="337" t="s">
        <v>11</v>
      </c>
      <c r="D43" s="338">
        <f t="shared" ca="1" si="0"/>
        <v>332602.16110019648</v>
      </c>
      <c r="E43" s="338">
        <f t="shared" ca="1" si="0"/>
        <v>26774.473968565817</v>
      </c>
      <c r="F43" s="338">
        <f t="shared" ca="1" si="0"/>
        <v>321293.68762278982</v>
      </c>
      <c r="G43" s="339">
        <f t="shared" ca="1" si="0"/>
        <v>6.7717799999999995E-2</v>
      </c>
      <c r="H43" s="339">
        <f t="shared" ca="1" si="0"/>
        <v>6.5415394799999999E-2</v>
      </c>
      <c r="AB43" s="326" t="str">
        <f>'Valid Data-GPG'!$B$21</f>
        <v>Joint Life Last Survivor with 100% of annuity to spouse</v>
      </c>
      <c r="AC43" s="327">
        <f ca="1">(IFERROR(ROUND(VLOOKUP(MIN($E$14,$E$21),INDIRECT('Working-GPG'!$F$24),VLOOKUP(ABS($E$14-$E$21),'Working-GPG'!$B$9:$C$35,2,TRUE),FALSE),2)*(IF($F$19="Y",$S$84*(1+'Valid Data-GPG'!$M$149),$S$84))/1000,0)*($E$20="Y")*(Select="Immediate Annuity"))*(Channel&lt;&gt;"POS")</f>
        <v>338589</v>
      </c>
      <c r="AD43" s="327">
        <f ca="1">AC43*VLOOKUP($E$22,'Valid Data-GPG'!$B$130:$F$134,MATCH(AnnuityMode,'Valid Data-GPG'!$B$130:$F$130,0),FALSE)</f>
        <v>27256.414499999999</v>
      </c>
      <c r="AE43" s="328">
        <f t="shared" ca="1" si="1"/>
        <v>327076.97399999999</v>
      </c>
      <c r="AF43" s="329">
        <f t="shared" ca="1" si="2"/>
        <v>6.7717799999999995E-2</v>
      </c>
      <c r="AG43" s="329">
        <f t="shared" ca="1" si="3"/>
        <v>6.5415394799999999E-2</v>
      </c>
      <c r="AH43" s="376">
        <f ca="1">AC43*VLOOKUP($E$22,'Valid Data-GPG'!$B$130:$F$134,MATCH(AnnuityMode,'Valid Data-GPG'!$B$130:$F$130,0),FALSE)</f>
        <v>27256.414499999999</v>
      </c>
      <c r="AI43" s="377">
        <f t="shared" ca="1" si="4"/>
        <v>6.7717799999999995E-2</v>
      </c>
      <c r="AJ43" s="351"/>
      <c r="AM43" s="326" t="str">
        <f>'Valid Data-GPG'!$B$21</f>
        <v>Joint Life Last Survivor with 100% of annuity to spouse</v>
      </c>
      <c r="AN43" s="327">
        <f ca="1">(IFERROR(ROUND(VLOOKUP(MIN($E$14,$E$21),INDIRECT('Working-GPG'!$H$24),VLOOKUP(ABS($E$14-$E$21),'Working-GPG'!$B$9:$C$35,2,TRUE),FALSE),2)*(IF($F$19="Y",$E$31*(1+'Valid Data-GPG'!$M$149),$E$31))/1000,0)*($E$20="Y")*(Select="Immediate Annuity"))*(Channel&lt;&gt;"POS")</f>
        <v>332602.16110019648</v>
      </c>
      <c r="AO43" s="327">
        <f ca="1">AN43*VLOOKUP($E$22,'Valid Data-GPG'!$B$130:$F$134,MATCH(AnnuityMode,'Valid Data-GPG'!$B$130:$F$130,0),FALSE)</f>
        <v>26774.473968565817</v>
      </c>
      <c r="AP43" s="328">
        <f t="shared" ca="1" si="5"/>
        <v>321293.68762278982</v>
      </c>
      <c r="AQ43" s="329">
        <f t="shared" ca="1" si="7"/>
        <v>6.7717799999999995E-2</v>
      </c>
      <c r="AR43" s="329">
        <f t="shared" ca="1" si="6"/>
        <v>6.5415394799999999E-2</v>
      </c>
    </row>
    <row r="44" spans="3:47" ht="30" x14ac:dyDescent="0.2">
      <c r="C44" s="343" t="s">
        <v>541</v>
      </c>
      <c r="D44" s="338">
        <f t="shared" ca="1" si="0"/>
        <v>353500</v>
      </c>
      <c r="E44" s="338">
        <f t="shared" ca="1" si="0"/>
        <v>28456.75</v>
      </c>
      <c r="F44" s="338">
        <f t="shared" ca="1" si="0"/>
        <v>341481</v>
      </c>
      <c r="G44" s="339">
        <f t="shared" ca="1" si="0"/>
        <v>7.1972599999999998E-2</v>
      </c>
      <c r="H44" s="339">
        <f t="shared" ca="1" si="0"/>
        <v>6.9525531599999996E-2</v>
      </c>
      <c r="AB44" s="334" t="str">
        <f>'Valid Data-GPG'!$B$22</f>
        <v>Joint Life Last Survivor with 100% of annuity to spouse &amp; with Return of Purchase Price on death of Last Survivor</v>
      </c>
      <c r="AC44" s="327">
        <f ca="1">'SP-input'!$D$21*(Select="Immediate Annuity")</f>
        <v>359863</v>
      </c>
      <c r="AD44" s="327">
        <f ca="1">'Immediate Annuity'!AC44*VLOOKUP(AnnuityMode,'Valid Data-SP'!$N$3:$O$6,2,0)</f>
        <v>28968.9715</v>
      </c>
      <c r="AE44" s="328">
        <f t="shared" ca="1" si="1"/>
        <v>347627.658</v>
      </c>
      <c r="AF44" s="329">
        <f t="shared" ca="1" si="2"/>
        <v>7.1972599999999998E-2</v>
      </c>
      <c r="AG44" s="329">
        <f t="shared" ca="1" si="3"/>
        <v>6.9525531599999996E-2</v>
      </c>
      <c r="AH44" s="381">
        <f ca="1">AC44*VLOOKUP($E$22,'Valid Data-GPG'!$B$130:$F$134,MATCH(AnnuityMode,'Valid Data-GPG'!$B$130:$F$130,0),FALSE)</f>
        <v>28968.9715</v>
      </c>
      <c r="AI44" s="382">
        <f t="shared" ca="1" si="4"/>
        <v>7.1972599999999998E-2</v>
      </c>
      <c r="AJ44" s="356"/>
      <c r="AK44" s="383"/>
      <c r="AL44" s="354"/>
      <c r="AM44" s="334" t="str">
        <f>'Valid Data-GPG'!$B$22</f>
        <v>Joint Life Last Survivor with 100% of annuity to spouse &amp; with Return of Purchase Price on death of Last Survivor</v>
      </c>
      <c r="AN44" s="327">
        <f ca="1">'SP-input'!$D$24*(Select="Immediate Annuity")</f>
        <v>353500</v>
      </c>
      <c r="AO44" s="327">
        <f ca="1">'Immediate Annuity'!AN44*VLOOKUP(AnnuityMode,'Valid Data-SP'!$N$3:$O$6,2,0)</f>
        <v>28456.75</v>
      </c>
      <c r="AP44" s="328">
        <f t="shared" ca="1" si="5"/>
        <v>341481</v>
      </c>
      <c r="AQ44" s="329">
        <f t="shared" ca="1" si="7"/>
        <v>7.1972599999999998E-2</v>
      </c>
      <c r="AR44" s="329">
        <f t="shared" ca="1" si="6"/>
        <v>6.9525531599999996E-2</v>
      </c>
    </row>
    <row r="45" spans="3:47" ht="17.100000000000001" customHeight="1" x14ac:dyDescent="0.2">
      <c r="C45" s="343" t="s">
        <v>95</v>
      </c>
      <c r="D45" s="338">
        <f t="shared" si="0"/>
        <v>291571.70923379174</v>
      </c>
      <c r="E45" s="338">
        <f t="shared" si="0"/>
        <v>23471.522593320235</v>
      </c>
      <c r="F45" s="338">
        <f t="shared" si="0"/>
        <v>281658.27111984283</v>
      </c>
      <c r="G45" s="339">
        <f t="shared" si="0"/>
        <v>5.9363999999999993E-2</v>
      </c>
      <c r="H45" s="339">
        <f t="shared" si="0"/>
        <v>5.7345623999999998E-2</v>
      </c>
      <c r="AB45" s="334" t="str">
        <f>'Valid Data-GPG'!$B$23</f>
        <v>Life annuity with Return of Purchase Price (ROP) on death or survival</v>
      </c>
      <c r="AC45" s="327">
        <f>ROUND(VLOOKUP($E$14,'Imm_Option G'!$B$5:$E$105,VLOOKUP($S$84,'Working-GPG'!$E$10:$F$15,2,TRUE)+1,FALSE),2)*(IF($F$19="Y",$S$84*(1+'Valid Data-GPG'!$M$149),$S$84))/1000*(Select="Immediate Annuity")</f>
        <v>296820</v>
      </c>
      <c r="AD45" s="327">
        <f>AC45*VLOOKUP($E$22,'Valid Data-GPG'!$B$130:$F$134,MATCH(AnnuityMode,'Valid Data-GPG'!$B$130:$F$130,0),FALSE)</f>
        <v>23894.010000000002</v>
      </c>
      <c r="AE45" s="328">
        <f t="shared" si="1"/>
        <v>286728.12</v>
      </c>
      <c r="AF45" s="329">
        <f t="shared" si="2"/>
        <v>5.9364E-2</v>
      </c>
      <c r="AG45" s="329">
        <f t="shared" si="3"/>
        <v>5.7345623999999998E-2</v>
      </c>
      <c r="AH45" s="381">
        <f>AC45*VLOOKUP($E$22,'Valid Data-GPG'!$B$130:$F$134,MATCH(AnnuityMode,'Valid Data-GPG'!$B$130:$F$130,0),FALSE)</f>
        <v>23894.010000000002</v>
      </c>
      <c r="AI45" s="382">
        <f t="shared" si="4"/>
        <v>5.9364E-2</v>
      </c>
      <c r="AJ45" s="356"/>
      <c r="AK45" s="354"/>
      <c r="AL45" s="354"/>
      <c r="AM45" s="334" t="str">
        <f>'Valid Data-GPG'!$B$23</f>
        <v>Life annuity with Return of Purchase Price (ROP) on death or survival</v>
      </c>
      <c r="AN45" s="327">
        <f>ROUND(VLOOKUP($E$14,'Imm_Option G'!$B$5:$E$105,VLOOKUP($E$31,'Working-GPG'!$E$10:$F$15,2,TRUE)+1,FALSE),2)*(IF($F$19="Y",$E$31*(1+'Valid Data-GPG'!$M$149),$E$31))/1000*(Select="Immediate Annuity")</f>
        <v>291571.70923379174</v>
      </c>
      <c r="AO45" s="327">
        <f>AN45*VLOOKUP($E$22,'Valid Data-GPG'!$B$130:$F$134,MATCH(AnnuityMode,'Valid Data-GPG'!$B$130:$F$130,0),FALSE)</f>
        <v>23471.522593320235</v>
      </c>
      <c r="AP45" s="328">
        <f t="shared" si="5"/>
        <v>281658.27111984283</v>
      </c>
      <c r="AQ45" s="329">
        <f t="shared" si="7"/>
        <v>5.9363999999999993E-2</v>
      </c>
      <c r="AR45" s="329">
        <f t="shared" si="6"/>
        <v>5.7345623999999998E-2</v>
      </c>
      <c r="AS45" s="384"/>
      <c r="AT45" s="384"/>
      <c r="AU45" s="354"/>
    </row>
    <row r="46" spans="3:47" ht="31.5" customHeight="1" x14ac:dyDescent="0.2">
      <c r="C46" s="343" t="s">
        <v>97</v>
      </c>
      <c r="D46" s="338">
        <f t="shared" si="0"/>
        <v>283355.59921414545</v>
      </c>
      <c r="E46" s="338">
        <f t="shared" si="0"/>
        <v>22810.125736738708</v>
      </c>
      <c r="F46" s="338">
        <f t="shared" si="0"/>
        <v>273721.50884086452</v>
      </c>
      <c r="G46" s="339">
        <f t="shared" si="0"/>
        <v>5.7691200000000012E-2</v>
      </c>
      <c r="H46" s="339">
        <f t="shared" si="0"/>
        <v>5.5729699200000017E-2</v>
      </c>
      <c r="AB46" s="334" t="str">
        <f>'Valid Data-GPG'!$B$24</f>
        <v>Life annuity with Return of Purchase Price (ROP) on death or in annual installments on survival</v>
      </c>
      <c r="AC46" s="327">
        <f>ROUND(VLOOKUP($E$14,'Imm_Option H'!$B$5:$E$105,VLOOKUP($S$84,'Working-GPG'!$E$10:$F$15,2,TRUE)+1,FALSE),2)*(IF($F$19="Y",$S$84*(1+'Valid Data-GPG'!$M$149),$S$84))/1000*(Select="Immediate Annuity")</f>
        <v>288456</v>
      </c>
      <c r="AD46" s="327">
        <f>AC46*VLOOKUP($E$22,'Valid Data-GPG'!$B$130:$F$134,MATCH(AnnuityMode,'Valid Data-GPG'!$B$130:$F$130,0),FALSE)</f>
        <v>23220.708000000002</v>
      </c>
      <c r="AE46" s="328">
        <f t="shared" si="1"/>
        <v>278648.49600000004</v>
      </c>
      <c r="AF46" s="329">
        <f t="shared" si="2"/>
        <v>5.7691199999999998E-2</v>
      </c>
      <c r="AG46" s="329">
        <f t="shared" si="3"/>
        <v>5.572969920000001E-2</v>
      </c>
      <c r="AH46" s="381">
        <f>AC46*VLOOKUP($E$22,'Valid Data-GPG'!$B$130:$F$134,MATCH(AnnuityMode,'Valid Data-GPG'!$B$130:$F$130,0),FALSE)</f>
        <v>23220.708000000002</v>
      </c>
      <c r="AI46" s="382">
        <f t="shared" si="4"/>
        <v>5.7691199999999998E-2</v>
      </c>
      <c r="AJ46" s="356"/>
      <c r="AK46" s="385"/>
      <c r="AL46" s="354"/>
      <c r="AM46" s="334" t="str">
        <f>'Valid Data-GPG'!$B$24</f>
        <v>Life annuity with Return of Purchase Price (ROP) on death or in annual installments on survival</v>
      </c>
      <c r="AN46" s="327">
        <f>ROUND(VLOOKUP($E$14,'Imm_Option H'!$B$5:$E$105,VLOOKUP($E$31,'Working-GPG'!$E$10:$F$15,2,TRUE)+1,FALSE),2)*(IF($F$19="Y",$E$31*(1+'Valid Data-GPG'!$M$149),$E$31))/1000*(Select="Immediate Annuity")</f>
        <v>283355.59921414545</v>
      </c>
      <c r="AO46" s="327">
        <f>AN46*VLOOKUP($E$22,'Valid Data-GPG'!$B$130:$F$134,MATCH(AnnuityMode,'Valid Data-GPG'!$B$130:$F$130,0),FALSE)</f>
        <v>22810.125736738708</v>
      </c>
      <c r="AP46" s="328">
        <f t="shared" si="5"/>
        <v>273721.50884086452</v>
      </c>
      <c r="AQ46" s="329">
        <f t="shared" si="7"/>
        <v>5.7691200000000012E-2</v>
      </c>
      <c r="AR46" s="329">
        <f t="shared" si="6"/>
        <v>5.5729699200000017E-2</v>
      </c>
      <c r="AS46" s="384"/>
      <c r="AT46" s="384"/>
      <c r="AU46" s="354"/>
    </row>
    <row r="47" spans="3:47" ht="17.100000000000001" hidden="1" customHeight="1" x14ac:dyDescent="0.2">
      <c r="C47" s="337" t="s">
        <v>99</v>
      </c>
      <c r="D47" s="338">
        <f t="shared" ca="1" si="0"/>
        <v>319668</v>
      </c>
      <c r="E47" s="338">
        <f t="shared" ca="1" si="0"/>
        <v>25733.274000000001</v>
      </c>
      <c r="F47" s="338">
        <f t="shared" ca="1" si="0"/>
        <v>308799.288</v>
      </c>
      <c r="G47" s="339">
        <f t="shared" ca="1" si="0"/>
        <v>6.5084404799999995E-2</v>
      </c>
      <c r="H47" s="339">
        <f t="shared" ca="1" si="0"/>
        <v>6.28715350368E-2</v>
      </c>
      <c r="AB47" s="334" t="str">
        <f>'Valid Data-GPG'!$B$25</f>
        <v/>
      </c>
      <c r="AC47" s="327">
        <f ca="1">IFERROR(IF(E20="Y",ROUND(VLOOKUP(MIN($E$14,$E$21),INDIRECT('Working-GPG'!$F$25),VLOOKUP(ABS($E$14-$E$21),'Working-GPG'!$B$9:$C$35,2,TRUE),FALSE),2)*(IF($F$19="Y",$S$84*(1+'Valid Data-GPG'!$M$149),$S$84))/1000,ROUND(VLOOKUP($E$14,Imm_OptionB!$B$7:$E$107,VLOOKUP($S$84,'Working-GPG'!$E$10:$F$15,2,TRUE)+1,FALSE),2)*(IF($F$19="Y",$S$84*(1+'Valid Data-GPG'!$M$149),$S$84))/1000),0)*(Select="Immediate Annuity")</f>
        <v>318597</v>
      </c>
      <c r="AD47" s="327">
        <f ca="1">AC47*VLOOKUP($E$22,'Valid Data-GPG'!$B$130:$F$134,MATCH(AnnuityMode,'Valid Data-GPG'!$B$130:$F$130,0),FALSE)</f>
        <v>25647.058499999999</v>
      </c>
      <c r="AE47" s="328">
        <f t="shared" ca="1" si="1"/>
        <v>307764.70199999999</v>
      </c>
      <c r="AF47" s="329">
        <f t="shared" ca="1" si="2"/>
        <v>6.3719399999999995E-2</v>
      </c>
      <c r="AG47" s="329">
        <f t="shared" ca="1" si="3"/>
        <v>6.1552940399999999E-2</v>
      </c>
      <c r="AH47" s="381">
        <f ca="1">AC47*VLOOKUP($E$22,'Valid Data-GPG'!$B$130:$F$134,MATCH(AnnuityMode,'Valid Data-GPG'!$B$130:$F$130,0),FALSE)</f>
        <v>25647.058499999999</v>
      </c>
      <c r="AI47" s="382">
        <f t="shared" ca="1" si="4"/>
        <v>6.3719399999999995E-2</v>
      </c>
      <c r="AJ47" s="354"/>
      <c r="AK47" s="354"/>
      <c r="AL47" s="354"/>
      <c r="AM47" s="334" t="str">
        <f>'Valid Data-GPG'!$B$25</f>
        <v/>
      </c>
      <c r="AN47" s="327">
        <f ca="1">IFERROR(IF(AD39="Y",ROUND(VLOOKUP(MIN($E$14,$E$21),INDIRECT('Working-GPG'!$F$25),VLOOKUP(ABS($E$14-$E$21),'Working-GPG'!$B$9:$C$35,2,TRUE),FALSE),2)*(IF($F$19="Y",$S$84*(1+'Valid Data-GPG'!$M$149),$S$84))/1000,ROUND(VLOOKUP($E$14,Imm_OptionB!$B$7:$E$107,VLOOKUP($S$84,'Working-GPG'!$E$10:$F$15,2,TRUE)+1,FALSE),2)*(IF($F$19="Y",$S$84*(1+'Valid Data-GPG'!$M$149),$S$84))/1000),0)*(Select="Immediate Annuity")</f>
        <v>319668</v>
      </c>
      <c r="AO47" s="327">
        <f ca="1">AN47*VLOOKUP($E$22,'Valid Data-GPG'!$B$130:$F$134,MATCH(AnnuityMode,'Valid Data-GPG'!$B$130:$F$130,0),FALSE)</f>
        <v>25733.274000000001</v>
      </c>
      <c r="AP47" s="328">
        <f t="shared" ca="1" si="5"/>
        <v>308799.288</v>
      </c>
      <c r="AQ47" s="329">
        <f t="shared" ca="1" si="7"/>
        <v>6.5084404799999995E-2</v>
      </c>
      <c r="AR47" s="329">
        <f t="shared" ca="1" si="6"/>
        <v>6.28715350368E-2</v>
      </c>
      <c r="AS47" s="354"/>
      <c r="AT47" s="354"/>
      <c r="AU47" s="354"/>
    </row>
    <row r="48" spans="3:47" hidden="1" x14ac:dyDescent="0.2">
      <c r="E48" s="363"/>
      <c r="F48" s="363"/>
      <c r="G48" s="363"/>
      <c r="H48" s="363"/>
    </row>
    <row r="49" spans="3:44" hidden="1" x14ac:dyDescent="0.2">
      <c r="E49" s="363"/>
      <c r="F49" s="363"/>
      <c r="G49" s="363"/>
      <c r="H49" s="363"/>
    </row>
    <row r="50" spans="3:44" ht="21" hidden="1" x14ac:dyDescent="0.2">
      <c r="C50" s="324"/>
      <c r="D50" s="606" t="s">
        <v>572</v>
      </c>
      <c r="E50" s="606"/>
      <c r="F50" s="606"/>
      <c r="G50" s="606"/>
      <c r="H50" s="606"/>
      <c r="AB50" s="604" t="s">
        <v>574</v>
      </c>
      <c r="AC50" s="604"/>
      <c r="AD50" s="604"/>
      <c r="AE50" s="604"/>
      <c r="AF50" s="604"/>
      <c r="AG50" s="605"/>
      <c r="AM50" s="604" t="s">
        <v>578</v>
      </c>
      <c r="AN50" s="604"/>
      <c r="AO50" s="604"/>
      <c r="AP50" s="604"/>
      <c r="AQ50" s="604"/>
      <c r="AR50" s="605"/>
    </row>
    <row r="51" spans="3:44" ht="39.6" hidden="1" customHeight="1" x14ac:dyDescent="0.2">
      <c r="C51" s="344" t="s">
        <v>604</v>
      </c>
      <c r="D51" s="345" t="s">
        <v>601</v>
      </c>
      <c r="E51" s="345" t="s">
        <v>546</v>
      </c>
      <c r="F51" s="345" t="s">
        <v>602</v>
      </c>
      <c r="G51" s="345" t="s">
        <v>603</v>
      </c>
      <c r="H51" s="345" t="s">
        <v>600</v>
      </c>
      <c r="AB51" s="374" t="s">
        <v>2</v>
      </c>
      <c r="AC51" s="325" t="s">
        <v>563</v>
      </c>
      <c r="AD51" s="325" t="s">
        <v>546</v>
      </c>
      <c r="AE51" s="325" t="s">
        <v>562</v>
      </c>
      <c r="AF51" s="325" t="s">
        <v>563</v>
      </c>
      <c r="AG51" s="325" t="s">
        <v>546</v>
      </c>
      <c r="AM51" s="374" t="s">
        <v>2</v>
      </c>
      <c r="AN51" s="325" t="s">
        <v>563</v>
      </c>
      <c r="AO51" s="325" t="s">
        <v>546</v>
      </c>
      <c r="AP51" s="325" t="s">
        <v>562</v>
      </c>
      <c r="AQ51" s="325" t="s">
        <v>563</v>
      </c>
      <c r="AR51" s="325" t="s">
        <v>546</v>
      </c>
    </row>
    <row r="52" spans="3:44" hidden="1" x14ac:dyDescent="0.2">
      <c r="C52" s="337" t="s">
        <v>93</v>
      </c>
      <c r="D52" s="338">
        <f t="shared" ref="D52:H56" ca="1" si="8">IF($F$18="without GST",AC52,AN52)</f>
        <v>0</v>
      </c>
      <c r="E52" s="338">
        <f t="shared" ca="1" si="8"/>
        <v>0</v>
      </c>
      <c r="F52" s="338">
        <f t="shared" ca="1" si="8"/>
        <v>0</v>
      </c>
      <c r="G52" s="339">
        <f t="shared" ca="1" si="8"/>
        <v>0</v>
      </c>
      <c r="H52" s="339">
        <f t="shared" ca="1" si="8"/>
        <v>0</v>
      </c>
      <c r="AB52" s="326" t="str">
        <f>'Valid Data-GPG'!$B$14</f>
        <v>Life annuity</v>
      </c>
      <c r="AC52" s="327">
        <f ca="1">IFERROR(ROUND(VLOOKUP(Age,INDIRECT('Working-GPG'!$J$11),VLOOKUP($E$18*$E$22,'Working-GPG'!$E$10:$F$12,2,TRUE)+1,FALSE),2)*(IF($F$19="Y",$S$84*(1+'Valid Data-GPG'!$M$149),$S$84))/1000,0)*(AND(Select="Deferred Annuity",PremiumType="Single Premium"))</f>
        <v>0</v>
      </c>
      <c r="AD52" s="327">
        <f ca="1">AC52*VLOOKUP($E$22,'Valid Data-GPG'!$B$130:$F$134,MATCH(AnnuityMode,'Valid Data-GPG'!$B$130:$F$130,0),FALSE)</f>
        <v>0</v>
      </c>
      <c r="AE52" s="328">
        <f ca="1">AD52*AnnuityMode</f>
        <v>0</v>
      </c>
      <c r="AF52" s="329">
        <f ca="1">AC52/$E$18</f>
        <v>0</v>
      </c>
      <c r="AG52" s="329">
        <f ca="1">AE52/$E$18</f>
        <v>0</v>
      </c>
      <c r="AM52" s="326" t="str">
        <f>'Valid Data-GPG'!$B$14</f>
        <v>Life annuity</v>
      </c>
      <c r="AN52" s="327">
        <f ca="1">IFERROR(ROUND(VLOOKUP(Age,INDIRECT('Working-GPG'!$J$11),VLOOKUP($E$31*$E$22,'Working-GPG'!$E$10:$F$12,2,TRUE)+1,FALSE),2)*(IF($F$19="Y",$E$31*(1+'Valid Data-GPG'!$M$149),$E$31))/1000,0)*(AND(Select="Deferred Annuity",PremiumType="Single Premium"))*(Channel&lt;&gt;"POS")</f>
        <v>0</v>
      </c>
      <c r="AO52" s="327">
        <f ca="1">AN52*VLOOKUP($E$22,'Valid Data-GPG'!$B$130:$F$134,MATCH(AnnuityMode,'Valid Data-GPG'!$B$130:$F$130,0),FALSE)</f>
        <v>0</v>
      </c>
      <c r="AP52" s="328">
        <f ca="1">AO52*AnnuityMode</f>
        <v>0</v>
      </c>
      <c r="AQ52" s="329">
        <f ca="1">AN52/$E$31</f>
        <v>0</v>
      </c>
      <c r="AR52" s="329">
        <f ca="1">AP52/$E$31</f>
        <v>0</v>
      </c>
    </row>
    <row r="53" spans="3:44" hidden="1" x14ac:dyDescent="0.2">
      <c r="C53" s="340" t="s">
        <v>92</v>
      </c>
      <c r="D53" s="341">
        <f t="shared" si="8"/>
        <v>0</v>
      </c>
      <c r="E53" s="341">
        <f t="shared" si="8"/>
        <v>0</v>
      </c>
      <c r="F53" s="341">
        <f t="shared" si="8"/>
        <v>0</v>
      </c>
      <c r="G53" s="342">
        <f t="shared" si="8"/>
        <v>0</v>
      </c>
      <c r="H53" s="342">
        <f t="shared" si="8"/>
        <v>0</v>
      </c>
      <c r="AB53" s="330" t="str">
        <f>'Valid Data-GPG'!$B$15</f>
        <v>Life annuity with Return of Purchase Price (ROP) on death of annuitant</v>
      </c>
      <c r="AC53" s="331">
        <f>'SP-input'!$D$20*(Select="Deferred Annuity")</f>
        <v>0</v>
      </c>
      <c r="AD53" s="331">
        <f>'Immediate Annuity'!AC53*VLOOKUP(AnnuityMode,'Valid Data-SP'!$N$3:$O$6,2,0)</f>
        <v>0</v>
      </c>
      <c r="AE53" s="332">
        <f>AD53*AnnuityMode</f>
        <v>0</v>
      </c>
      <c r="AF53" s="333">
        <f>AC53/$E$18</f>
        <v>0</v>
      </c>
      <c r="AG53" s="333">
        <f>AE53/$E$18</f>
        <v>0</v>
      </c>
      <c r="AM53" s="330" t="str">
        <f>'Valid Data-GPG'!$B$15</f>
        <v>Life annuity with Return of Purchase Price (ROP) on death of annuitant</v>
      </c>
      <c r="AN53" s="327">
        <f>'SP-input'!$D$23*(Select="Deferred Annuity")</f>
        <v>0</v>
      </c>
      <c r="AO53" s="327">
        <f>'Immediate Annuity'!AN53*VLOOKUP(AnnuityMode,'Valid Data-SP'!$N$3:$O$6,2,0)</f>
        <v>0</v>
      </c>
      <c r="AP53" s="328">
        <f>AO53*AnnuityMode</f>
        <v>0</v>
      </c>
      <c r="AQ53" s="329">
        <f>AN53/$E$31</f>
        <v>0</v>
      </c>
      <c r="AR53" s="329">
        <f>AP53/$E$31</f>
        <v>0</v>
      </c>
    </row>
    <row r="54" spans="3:44" ht="30" hidden="1" x14ac:dyDescent="0.2">
      <c r="C54" s="343" t="s">
        <v>541</v>
      </c>
      <c r="D54" s="338">
        <f t="shared" ca="1" si="8"/>
        <v>0</v>
      </c>
      <c r="E54" s="338">
        <f t="shared" ca="1" si="8"/>
        <v>0</v>
      </c>
      <c r="F54" s="338">
        <f t="shared" ca="1" si="8"/>
        <v>0</v>
      </c>
      <c r="G54" s="339">
        <f t="shared" ca="1" si="8"/>
        <v>0</v>
      </c>
      <c r="H54" s="339">
        <f t="shared" ca="1" si="8"/>
        <v>0</v>
      </c>
      <c r="AB54" s="334" t="str">
        <f>'Valid Data-GPG'!$B$22</f>
        <v>Joint Life Last Survivor with 100% of annuity to spouse &amp; with Return of Purchase Price on death of Last Survivor</v>
      </c>
      <c r="AC54" s="327">
        <f ca="1">'SP-input'!$D$21*(Select="Deferred Annuity")</f>
        <v>0</v>
      </c>
      <c r="AD54" s="327">
        <f ca="1">'Immediate Annuity'!AC54*VLOOKUP(AnnuityMode,'Valid Data-SP'!$N$3:$O$6,2,0)</f>
        <v>0</v>
      </c>
      <c r="AE54" s="328">
        <f ca="1">AD54*AnnuityMode</f>
        <v>0</v>
      </c>
      <c r="AF54" s="329">
        <f ca="1">AC54/$E$18</f>
        <v>0</v>
      </c>
      <c r="AG54" s="329">
        <f ca="1">AE54/$E$18</f>
        <v>0</v>
      </c>
      <c r="AM54" s="334" t="str">
        <f>'Valid Data-GPG'!$B$22</f>
        <v>Joint Life Last Survivor with 100% of annuity to spouse &amp; with Return of Purchase Price on death of Last Survivor</v>
      </c>
      <c r="AN54" s="327">
        <f ca="1">'SP-input'!$D$24*(Select="Deferred Annuity")</f>
        <v>0</v>
      </c>
      <c r="AO54" s="327">
        <f ca="1">'Immediate Annuity'!AN54*VLOOKUP(AnnuityMode,'Valid Data-SP'!$N$3:$O$6,2,0)</f>
        <v>0</v>
      </c>
      <c r="AP54" s="328">
        <f ca="1">AO54*AnnuityMode</f>
        <v>0</v>
      </c>
      <c r="AQ54" s="329">
        <f ca="1">AN54/$E$31</f>
        <v>0</v>
      </c>
      <c r="AR54" s="329">
        <f ca="1">AP54/$E$31</f>
        <v>0</v>
      </c>
    </row>
    <row r="55" spans="3:44" hidden="1" x14ac:dyDescent="0.2">
      <c r="C55" s="343" t="s">
        <v>95</v>
      </c>
      <c r="D55" s="338">
        <f t="shared" ca="1" si="8"/>
        <v>0</v>
      </c>
      <c r="E55" s="338">
        <f t="shared" ca="1" si="8"/>
        <v>0</v>
      </c>
      <c r="F55" s="338">
        <f t="shared" ca="1" si="8"/>
        <v>0</v>
      </c>
      <c r="G55" s="339">
        <f t="shared" ca="1" si="8"/>
        <v>0</v>
      </c>
      <c r="H55" s="339">
        <f t="shared" ca="1" si="8"/>
        <v>0</v>
      </c>
      <c r="AB55" s="334" t="str">
        <f>'Valid Data-GPG'!$B$23</f>
        <v>Life annuity with Return of Purchase Price (ROP) on death or survival</v>
      </c>
      <c r="AC55" s="327">
        <f ca="1">IFERROR(ROUND(VLOOKUP(Age,INDIRECT('Working-GPG'!$J$14),VLOOKUP($S$84,'Working-GPG'!$E$10:$F$12,2,TRUE)+1,FALSE),2)*(IF($F$19="Y",$S$84*(1+'Valid Data-GPG'!$M$149),$S$84))/1000,0)*(AND(Select="Deferred Annuity",PremiumType="Single Premium"))*(Channel&lt;&gt;"POS")</f>
        <v>0</v>
      </c>
      <c r="AD55" s="327">
        <f ca="1">AC55*VLOOKUP($E$22,'Valid Data-GPG'!$B$130:$F$134,MATCH(AnnuityMode,'Valid Data-GPG'!$B$130:$F$130,0),FALSE)</f>
        <v>0</v>
      </c>
      <c r="AE55" s="328">
        <f ca="1">AD55*AnnuityMode</f>
        <v>0</v>
      </c>
      <c r="AF55" s="329">
        <f ca="1">AC55/$E$18</f>
        <v>0</v>
      </c>
      <c r="AG55" s="329">
        <f ca="1">AE55/$E$18</f>
        <v>0</v>
      </c>
      <c r="AM55" s="334" t="str">
        <f>'Valid Data-GPG'!$B$23</f>
        <v>Life annuity with Return of Purchase Price (ROP) on death or survival</v>
      </c>
      <c r="AN55" s="327">
        <f ca="1">IFERROR(ROUND(VLOOKUP(Age,INDIRECT('Working-GPG'!$J$14),VLOOKUP(AE53,'Working-GPG'!$E$10:$F$12,2,TRUE)+1,FALSE),2)*(IF($F$19="Y",$S$84*(1+'Valid Data-GPG'!$M$149),$S$84))/1000,0)*(AND(Select="Deferred Annuity",PremiumType="Single Premium"))*(Channel&lt;&gt;"POS")</f>
        <v>0</v>
      </c>
      <c r="AO55" s="327">
        <f ca="1">AN55*VLOOKUP($E$22,'Valid Data-GPG'!$B$130:$F$134,MATCH(AnnuityMode,'Valid Data-GPG'!$B$130:$F$130,0),FALSE)</f>
        <v>0</v>
      </c>
      <c r="AP55" s="328">
        <f ca="1">AO55*AnnuityMode</f>
        <v>0</v>
      </c>
      <c r="AQ55" s="329">
        <f ca="1">AN55/$E$31</f>
        <v>0</v>
      </c>
      <c r="AR55" s="329">
        <f ca="1">AP55/$E$31</f>
        <v>0</v>
      </c>
    </row>
    <row r="56" spans="3:44" ht="30" hidden="1" x14ac:dyDescent="0.2">
      <c r="C56" s="343" t="s">
        <v>97</v>
      </c>
      <c r="D56" s="338">
        <f t="shared" ca="1" si="8"/>
        <v>0</v>
      </c>
      <c r="E56" s="338">
        <f t="shared" ca="1" si="8"/>
        <v>0</v>
      </c>
      <c r="F56" s="338">
        <f t="shared" ca="1" si="8"/>
        <v>0</v>
      </c>
      <c r="G56" s="339">
        <f t="shared" ca="1" si="8"/>
        <v>0</v>
      </c>
      <c r="H56" s="339">
        <f t="shared" ca="1" si="8"/>
        <v>0</v>
      </c>
      <c r="AB56" s="334" t="str">
        <f>'Valid Data-GPG'!$B$24</f>
        <v>Life annuity with Return of Purchase Price (ROP) on death or in annual installments on survival</v>
      </c>
      <c r="AC56" s="327">
        <f ca="1">IFERROR(ROUND(VLOOKUP(Age,INDIRECT('Working-GPG'!$J$15),VLOOKUP($S$84,'Working-GPG'!$E$10:$F$12,2,TRUE)+1,FALSE),2)*(IF($F$19="Y",$S$84*(1+'Valid Data-GPG'!$M$149),$S$84))/1000,0)*(AND(Select="Deferred Annuity",PremiumType="Single Premium"))*(Channel&lt;&gt;"POS")</f>
        <v>0</v>
      </c>
      <c r="AD56" s="327">
        <f ca="1">AC56*VLOOKUP($E$22,'Valid Data-GPG'!$B$130:$F$134,MATCH(AnnuityMode,'Valid Data-GPG'!$B$130:$F$130,0),FALSE)</f>
        <v>0</v>
      </c>
      <c r="AE56" s="328">
        <f ca="1">AD56*AnnuityMode</f>
        <v>0</v>
      </c>
      <c r="AF56" s="329">
        <f ca="1">AC56/$E$18</f>
        <v>0</v>
      </c>
      <c r="AG56" s="329">
        <f ca="1">AE56/$E$18</f>
        <v>0</v>
      </c>
      <c r="AM56" s="334" t="str">
        <f>'Valid Data-GPG'!$B$24</f>
        <v>Life annuity with Return of Purchase Price (ROP) on death or in annual installments on survival</v>
      </c>
      <c r="AN56" s="327">
        <f ca="1">IFERROR(ROUND(VLOOKUP(Age,INDIRECT('Working-GPG'!$J$15),VLOOKUP(AE53,'Working-GPG'!$E$10:$F$12,2,TRUE)+1,FALSE),2)*(IF($F$19="Y",$S$84*(1+'Valid Data-GPG'!$M$149),$S$84))/1000,0)*(AND(Select="Deferred Annuity",PremiumType="Single Premium"))*(Channel&lt;&gt;"POS")</f>
        <v>0</v>
      </c>
      <c r="AO56" s="327">
        <f ca="1">AN56*VLOOKUP($E$22,'Valid Data-GPG'!$B$130:$F$134,MATCH(AnnuityMode,'Valid Data-GPG'!$B$130:$F$130,0),FALSE)</f>
        <v>0</v>
      </c>
      <c r="AP56" s="328">
        <f ca="1">AO56*AnnuityMode</f>
        <v>0</v>
      </c>
      <c r="AQ56" s="329">
        <f ca="1">AN56/$E$31</f>
        <v>0</v>
      </c>
      <c r="AR56" s="329">
        <f ca="1">AP56/$E$31</f>
        <v>0</v>
      </c>
    </row>
    <row r="57" spans="3:44" hidden="1" x14ac:dyDescent="0.2">
      <c r="E57" s="363"/>
      <c r="F57" s="363"/>
      <c r="G57" s="363"/>
      <c r="H57" s="363"/>
    </row>
    <row r="58" spans="3:44" hidden="1" x14ac:dyDescent="0.2">
      <c r="E58" s="363"/>
      <c r="F58" s="363"/>
      <c r="G58" s="363"/>
      <c r="H58" s="363"/>
    </row>
    <row r="59" spans="3:44" ht="21" hidden="1" x14ac:dyDescent="0.2">
      <c r="C59" s="324"/>
      <c r="D59" s="606" t="s">
        <v>573</v>
      </c>
      <c r="E59" s="606"/>
      <c r="F59" s="606"/>
      <c r="G59" s="606"/>
      <c r="H59" s="606"/>
      <c r="AB59" s="604" t="s">
        <v>577</v>
      </c>
      <c r="AC59" s="604"/>
      <c r="AD59" s="604"/>
      <c r="AE59" s="604"/>
      <c r="AF59" s="604"/>
      <c r="AG59" s="605"/>
      <c r="AM59" s="604" t="s">
        <v>579</v>
      </c>
      <c r="AN59" s="604"/>
      <c r="AO59" s="604"/>
      <c r="AP59" s="604"/>
      <c r="AQ59" s="604"/>
      <c r="AR59" s="605"/>
    </row>
    <row r="60" spans="3:44" ht="38.450000000000003" hidden="1" customHeight="1" x14ac:dyDescent="0.2">
      <c r="C60" s="344" t="s">
        <v>604</v>
      </c>
      <c r="D60" s="345" t="s">
        <v>601</v>
      </c>
      <c r="E60" s="345" t="s">
        <v>546</v>
      </c>
      <c r="F60" s="345" t="s">
        <v>602</v>
      </c>
      <c r="G60" s="345" t="s">
        <v>603</v>
      </c>
      <c r="H60" s="345" t="s">
        <v>600</v>
      </c>
      <c r="AB60" s="374" t="s">
        <v>2</v>
      </c>
      <c r="AC60" s="325" t="s">
        <v>563</v>
      </c>
      <c r="AD60" s="325" t="s">
        <v>546</v>
      </c>
      <c r="AE60" s="325" t="s">
        <v>562</v>
      </c>
      <c r="AF60" s="325" t="s">
        <v>563</v>
      </c>
      <c r="AG60" s="325" t="s">
        <v>546</v>
      </c>
      <c r="AM60" s="374" t="s">
        <v>2</v>
      </c>
      <c r="AN60" s="325" t="s">
        <v>563</v>
      </c>
      <c r="AO60" s="325" t="s">
        <v>546</v>
      </c>
      <c r="AP60" s="325" t="s">
        <v>562</v>
      </c>
      <c r="AQ60" s="325" t="s">
        <v>563</v>
      </c>
      <c r="AR60" s="325" t="s">
        <v>546</v>
      </c>
    </row>
    <row r="61" spans="3:44" hidden="1" x14ac:dyDescent="0.2">
      <c r="C61" s="337" t="s">
        <v>93</v>
      </c>
      <c r="D61" s="338">
        <f t="shared" ref="D61:H62" ca="1" si="9">IF($F$18="without GST",AC61,AN61)</f>
        <v>0</v>
      </c>
      <c r="E61" s="338">
        <f t="shared" ca="1" si="9"/>
        <v>0</v>
      </c>
      <c r="F61" s="338">
        <f t="shared" ca="1" si="9"/>
        <v>0</v>
      </c>
      <c r="G61" s="339">
        <f t="shared" ca="1" si="9"/>
        <v>0</v>
      </c>
      <c r="H61" s="339">
        <f t="shared" ca="1" si="9"/>
        <v>0</v>
      </c>
      <c r="AB61" s="326" t="str">
        <f>'Valid Data-GPG'!$B$14</f>
        <v>Life annuity</v>
      </c>
      <c r="AC61" s="327">
        <f ca="1">IFERROR(ROUND(VLOOKUP(Age,INDIRECT('Working-GPG'!$M$11),VLOOKUP($E$18*$E$22,'Working-GPG'!$E$10:$F$12,2,TRUE)+1,FALSE),2)*(IF($F$19="Y",$S$84*(1+'Valid Data-GPG'!$M$149),$S$84))/1000,0)*(AND(Select="Deferred Annuity",PremiumType="Regular Premium"))*(Channel&lt;&gt;"POS")</f>
        <v>0</v>
      </c>
      <c r="AD61" s="327">
        <f ca="1">AC61*VLOOKUP($E$22,'Valid Data-GPG'!$B$130:$F$134,MATCH(AnnuityMode,'Valid Data-GPG'!$B$130:$F$130,0),FALSE)</f>
        <v>0</v>
      </c>
      <c r="AE61" s="328">
        <f ca="1">AD61*AnnuityMode</f>
        <v>0</v>
      </c>
      <c r="AF61" s="329">
        <f ca="1">AC61/$S$84</f>
        <v>0</v>
      </c>
      <c r="AG61" s="329">
        <f ca="1">AE61/$S$84</f>
        <v>0</v>
      </c>
      <c r="AM61" s="326" t="str">
        <f>'Valid Data-GPG'!$B$14</f>
        <v>Life annuity</v>
      </c>
      <c r="AN61" s="327">
        <f ca="1">IFERROR(ROUND(VLOOKUP(Age,INDIRECT('Working-GPG'!$M$11),VLOOKUP($E$31*$E$22,'Working-GPG'!$E$10:$F$12,2,TRUE)+1,FALSE),2)*(IF($F$19="Y",$S$85*(1+'Valid Data-GPG'!$M$149),$E$31))/1000,0)*(AND(Select="Deferred Annuity",PremiumType="Regular Premium"))*(Channel&lt;&gt;"POS")</f>
        <v>0</v>
      </c>
      <c r="AO61" s="327">
        <f ca="1">AN61*VLOOKUP($E$22,'Valid Data-GPG'!$B$130:$F$134,MATCH(AnnuityMode,'Valid Data-GPG'!$B$130:$F$130,0),FALSE)</f>
        <v>0</v>
      </c>
      <c r="AP61" s="328">
        <f ca="1">AO61*AnnuityMode</f>
        <v>0</v>
      </c>
      <c r="AQ61" s="329">
        <f ca="1">AN61/$S$85</f>
        <v>0</v>
      </c>
      <c r="AR61" s="329">
        <f ca="1">AP61/$S$84</f>
        <v>0</v>
      </c>
    </row>
    <row r="62" spans="3:44" hidden="1" x14ac:dyDescent="0.2">
      <c r="C62" s="340" t="s">
        <v>92</v>
      </c>
      <c r="D62" s="341">
        <f t="shared" si="9"/>
        <v>0</v>
      </c>
      <c r="E62" s="341">
        <f t="shared" si="9"/>
        <v>0</v>
      </c>
      <c r="F62" s="341">
        <f t="shared" si="9"/>
        <v>0</v>
      </c>
      <c r="G62" s="342">
        <f t="shared" si="9"/>
        <v>0</v>
      </c>
      <c r="H62" s="342">
        <f t="shared" si="9"/>
        <v>0</v>
      </c>
      <c r="AB62" s="330" t="str">
        <f>'Valid Data-GPG'!$B$15</f>
        <v>Life annuity with Return of Purchase Price (ROP) on death of annuitant</v>
      </c>
      <c r="AC62" s="331">
        <f>'SP-input'!$D$20*(Select="Deferred Annuity")</f>
        <v>0</v>
      </c>
      <c r="AD62" s="331">
        <f>'Immediate Annuity'!AC62*VLOOKUP(AnnuityMode,'Valid Data-SP'!$N$3:$O$6,2,0)</f>
        <v>0</v>
      </c>
      <c r="AE62" s="332">
        <f>AD62*AnnuityMode</f>
        <v>0</v>
      </c>
      <c r="AF62" s="333">
        <f>AC62/$E$18</f>
        <v>0</v>
      </c>
      <c r="AG62" s="333">
        <f>AE62/$E$18</f>
        <v>0</v>
      </c>
      <c r="AM62" s="330" t="str">
        <f>'Valid Data-GPG'!$B$15</f>
        <v>Life annuity with Return of Purchase Price (ROP) on death of annuitant</v>
      </c>
      <c r="AN62" s="327">
        <f>'SP-input'!$D$23*(Select="Deferred Annuity")</f>
        <v>0</v>
      </c>
      <c r="AO62" s="327">
        <f>'Immediate Annuity'!AN62*VLOOKUP(AnnuityMode,'Valid Data-SP'!$N$3:$O$6,2,0)</f>
        <v>0</v>
      </c>
      <c r="AP62" s="328">
        <f>AO62*AnnuityMode</f>
        <v>0</v>
      </c>
      <c r="AQ62" s="329">
        <f>AN62/$E$27</f>
        <v>0</v>
      </c>
      <c r="AR62" s="329">
        <f>AP62/$E$27</f>
        <v>0</v>
      </c>
    </row>
    <row r="63" spans="3:44" x14ac:dyDescent="0.2">
      <c r="E63" s="363"/>
      <c r="F63" s="363"/>
      <c r="G63" s="363"/>
      <c r="H63" s="363"/>
    </row>
    <row r="64" spans="3:44" x14ac:dyDescent="0.2">
      <c r="E64" s="363"/>
      <c r="F64" s="363"/>
      <c r="G64" s="363"/>
      <c r="H64" s="363"/>
    </row>
    <row r="65" spans="5:19" hidden="1" x14ac:dyDescent="0.2">
      <c r="E65" s="363"/>
      <c r="F65" s="363"/>
      <c r="G65" s="363"/>
      <c r="H65" s="363"/>
    </row>
    <row r="66" spans="5:19" hidden="1" x14ac:dyDescent="0.2">
      <c r="E66" s="363"/>
      <c r="F66" s="363"/>
      <c r="G66" s="363"/>
      <c r="H66" s="363"/>
    </row>
    <row r="67" spans="5:19" hidden="1" x14ac:dyDescent="0.2">
      <c r="E67" s="363"/>
      <c r="F67" s="363"/>
      <c r="G67" s="363"/>
      <c r="H67" s="363"/>
    </row>
    <row r="68" spans="5:19" hidden="1" x14ac:dyDescent="0.2">
      <c r="E68" s="363"/>
      <c r="F68" s="363"/>
      <c r="G68" s="363"/>
      <c r="H68" s="363"/>
    </row>
    <row r="69" spans="5:19" hidden="1" x14ac:dyDescent="0.2">
      <c r="E69" s="363"/>
      <c r="F69" s="363"/>
      <c r="G69" s="363"/>
      <c r="H69" s="363"/>
      <c r="K69" s="335" t="s">
        <v>367</v>
      </c>
    </row>
    <row r="70" spans="5:19" hidden="1" x14ac:dyDescent="0.2">
      <c r="E70" s="363"/>
      <c r="F70" s="363"/>
      <c r="G70" s="363"/>
      <c r="H70" s="363"/>
      <c r="K70" s="361" t="str">
        <f>IF(AND(Channel="POS",E20="Y"),AB44,IF(Channel="POS",$AB$37,IF(AND(Channel="NPS",E20="N"),AB36,IF(AND(Channel="NPS",E20="Y"),AB42,IF($E$20="N",AB36,AB42)))))</f>
        <v>Joint Life Last Survivor with 50% of annuity to spouse</v>
      </c>
      <c r="N70" s="386"/>
      <c r="O70" s="386"/>
      <c r="P70" s="386"/>
      <c r="Q70" s="387"/>
      <c r="R70" s="387"/>
    </row>
    <row r="71" spans="5:19" ht="45" hidden="1" x14ac:dyDescent="0.2">
      <c r="E71" s="363"/>
      <c r="F71" s="363"/>
      <c r="G71" s="363"/>
      <c r="H71" s="363"/>
      <c r="K71" s="388" t="str">
        <f>IF(AND(Channel="POS",E20="Y"),AB44,IF(Channel="POS",$AB$37,IF(AND(Channel="NPS",E20="N"),AB37,IF(AND(Channel="NPS",E20="Y"),AB43,IF($E$20="N",AB37,AB43)))))</f>
        <v>Joint Life Last Survivor with 100% of annuity to spouse</v>
      </c>
      <c r="L71" s="378"/>
      <c r="M71" s="378"/>
      <c r="N71" s="389"/>
      <c r="O71" s="389"/>
      <c r="P71" s="389"/>
      <c r="Q71" s="390"/>
      <c r="R71" s="378" t="s">
        <v>69</v>
      </c>
      <c r="S71" s="378">
        <v>1</v>
      </c>
    </row>
    <row r="72" spans="5:19" hidden="1" x14ac:dyDescent="0.2">
      <c r="E72" s="363"/>
      <c r="F72" s="363"/>
      <c r="G72" s="363"/>
      <c r="H72" s="363"/>
      <c r="K72" s="361" t="str">
        <f>IF(AND(Channel="POS",E20="Y"),AB44,IF(Channel="POS",$AB$37,IF(AND(Channel="NPS",E20="N"),AB38,IF(AND(Channel="NPS",E20="Y"),AB44,IF($E$20="N",AB38,AB44)))))</f>
        <v>Joint Life Last Survivor with 100% of annuity to spouse &amp; with Return of Purchase Price on death of Last Survivor</v>
      </c>
      <c r="N72" s="386"/>
      <c r="O72" s="386"/>
      <c r="P72" s="386"/>
      <c r="Q72" s="387"/>
      <c r="R72" s="335" t="s">
        <v>72</v>
      </c>
      <c r="S72" s="335">
        <v>2</v>
      </c>
    </row>
    <row r="73" spans="5:19" hidden="1" x14ac:dyDescent="0.2">
      <c r="E73" s="363"/>
      <c r="F73" s="363"/>
      <c r="G73" s="363"/>
      <c r="H73" s="363"/>
      <c r="K73" s="361" t="str">
        <f>IF(AND(Channel="POS",E20="Y"),AB44,IF(Channel="POS",$AB$37,IF(AND(Channel="NPS",E20="N"),AB39,IF(AND(Channel="NPS",E20="Y")," ",IF($E$20="N",AB39," ")))))</f>
        <v xml:space="preserve"> </v>
      </c>
      <c r="N73" s="386"/>
      <c r="O73" s="386"/>
      <c r="P73" s="386"/>
      <c r="Q73" s="387"/>
      <c r="R73" s="335" t="s">
        <v>70</v>
      </c>
      <c r="S73" s="335">
        <v>4</v>
      </c>
    </row>
    <row r="74" spans="5:19" hidden="1" x14ac:dyDescent="0.2">
      <c r="E74" s="363"/>
      <c r="F74" s="363"/>
      <c r="G74" s="363"/>
      <c r="H74" s="363"/>
      <c r="K74" s="391" t="str">
        <f>IF(AND(Channel="POS",E20="Y"),AB44,IF(Channel="POS",$AB$37,IF(AND(Channel="NPS",E20="N"),AB40,IF(AND(Channel="NPS",E20="Y")," ",IF($E$20="N",AB40," ")))))</f>
        <v xml:space="preserve"> </v>
      </c>
      <c r="N74" s="386"/>
      <c r="O74" s="386"/>
      <c r="P74" s="386"/>
      <c r="Q74" s="387"/>
      <c r="R74" s="335" t="s">
        <v>71</v>
      </c>
      <c r="S74" s="335">
        <v>12</v>
      </c>
    </row>
    <row r="75" spans="5:19" hidden="1" x14ac:dyDescent="0.2">
      <c r="E75" s="336"/>
      <c r="F75" s="336"/>
      <c r="G75" s="336"/>
      <c r="H75" s="336"/>
      <c r="I75" s="336"/>
      <c r="K75" s="361" t="str">
        <f>IF(AND(Channel="POS",E20="Y"),AB44,IF(Channel="POS",$AB$37,IF(AND(Channel="NPS",E20="N"),AB41,IF(AND(Channel="NPS",E20="Y")," ",IF($E$20="N",AB41," ")))))</f>
        <v xml:space="preserve"> </v>
      </c>
      <c r="N75" s="386"/>
      <c r="O75" s="386"/>
      <c r="P75" s="386"/>
      <c r="Q75" s="387"/>
      <c r="R75" s="387"/>
    </row>
    <row r="76" spans="5:19" ht="21.75" hidden="1" customHeight="1" x14ac:dyDescent="0.2">
      <c r="K76" s="361" t="str">
        <f>IF(AND(Channel="POS",E20="Y"),AB44,IF(Channel="POS",$AB$37,IF(AND(Channel="NPS",E20="N"),AB45,IF(AND(Channel="NPS",E20="Y")," ",IF($E$20="N",AB45," ")))))</f>
        <v xml:space="preserve"> </v>
      </c>
      <c r="N76" s="386"/>
      <c r="O76" s="386"/>
      <c r="P76" s="386"/>
      <c r="Q76" s="387"/>
      <c r="R76" s="387"/>
    </row>
    <row r="77" spans="5:19" ht="48.75" hidden="1" customHeight="1" x14ac:dyDescent="0.2">
      <c r="K77" s="361" t="str">
        <f>IF(AND(Channel="POS",E20="Y"),AB44,IF(Channel="POS",$AB$37,IF(AND(Channel="NPS",E20="N"),AB46,IF(AND(Channel="NPS",E20="Y")," ",IF($E$20="N",AB46," ")))))</f>
        <v xml:space="preserve"> </v>
      </c>
      <c r="N77" s="386"/>
      <c r="O77" s="386"/>
      <c r="P77" s="386"/>
      <c r="Q77" s="387"/>
      <c r="R77" s="387"/>
    </row>
    <row r="78" spans="5:19" hidden="1" x14ac:dyDescent="0.2">
      <c r="K78" s="358" t="str">
        <f>IF(AND(Channel="POS",E20="Y"),AB44,IF(Channel="POS",$AB$37,IF(AND(LEFT(K70,1)&lt;&gt;"J",Channel="NPS"),AB47,"")))</f>
        <v/>
      </c>
      <c r="L78" s="354"/>
      <c r="M78" s="354"/>
      <c r="N78" s="392"/>
      <c r="O78" s="392"/>
      <c r="P78" s="392"/>
      <c r="Q78" s="384"/>
      <c r="R78" s="384"/>
      <c r="S78" s="354"/>
    </row>
    <row r="79" spans="5:19" hidden="1" x14ac:dyDescent="0.2"/>
    <row r="80" spans="5:19" hidden="1" x14ac:dyDescent="0.2"/>
    <row r="81" spans="6:19" hidden="1" x14ac:dyDescent="0.2"/>
    <row r="82" spans="6:19" hidden="1" x14ac:dyDescent="0.2"/>
    <row r="83" spans="6:19" hidden="1" x14ac:dyDescent="0.2">
      <c r="K83" s="393" t="s">
        <v>589</v>
      </c>
      <c r="L83" s="326"/>
      <c r="M83" s="326"/>
      <c r="N83" s="326"/>
      <c r="O83" s="326"/>
      <c r="P83" s="326"/>
      <c r="S83" s="335" t="str">
        <f>VLOOKUP(E17,'Valid Data-GPG'!$A$92:$B$95,2,0)</f>
        <v>Monthly</v>
      </c>
    </row>
    <row r="84" spans="6:19" hidden="1" x14ac:dyDescent="0.2">
      <c r="K84" s="393"/>
      <c r="L84" s="326"/>
      <c r="M84" s="326"/>
      <c r="N84" s="326"/>
      <c r="O84" s="326"/>
      <c r="P84" s="326"/>
      <c r="R84" s="335" t="s">
        <v>595</v>
      </c>
      <c r="S84" s="394">
        <f>IF(PremiumType="Regular Premium",E18*PPT*E22,E18)</f>
        <v>5000000</v>
      </c>
    </row>
    <row r="85" spans="6:19" hidden="1" x14ac:dyDescent="0.2">
      <c r="K85" s="393" t="s">
        <v>83</v>
      </c>
      <c r="L85" s="326" t="s">
        <v>588</v>
      </c>
      <c r="M85" s="326" t="s">
        <v>590</v>
      </c>
      <c r="N85" s="326"/>
      <c r="O85" s="326"/>
      <c r="P85" s="326"/>
      <c r="R85" s="335" t="s">
        <v>596</v>
      </c>
      <c r="S85" s="395">
        <f>IF(PremiumType="Regular Premium",E31*PPT*E22,E18)</f>
        <v>5000000</v>
      </c>
    </row>
    <row r="86" spans="6:19" s="354" customFormat="1" hidden="1" x14ac:dyDescent="0.2">
      <c r="K86" s="393" t="s">
        <v>82</v>
      </c>
      <c r="L86" s="326" t="s">
        <v>588</v>
      </c>
      <c r="M86" s="326" t="s">
        <v>591</v>
      </c>
      <c r="N86" s="326"/>
      <c r="O86" s="326"/>
      <c r="P86" s="326"/>
      <c r="Q86" s="335"/>
      <c r="R86" s="335"/>
      <c r="S86" s="335"/>
    </row>
    <row r="87" spans="6:19" s="354" customFormat="1" ht="48.75" hidden="1" customHeight="1" x14ac:dyDescent="0.2">
      <c r="K87" s="393" t="s">
        <v>82</v>
      </c>
      <c r="L87" s="326" t="s">
        <v>90</v>
      </c>
      <c r="M87" s="326" t="s">
        <v>592</v>
      </c>
      <c r="N87" s="326"/>
      <c r="O87" s="326"/>
      <c r="P87" s="326"/>
      <c r="Q87" s="335"/>
      <c r="R87" s="335"/>
      <c r="S87" s="335"/>
    </row>
    <row r="88" spans="6:19" s="354" customFormat="1" hidden="1" x14ac:dyDescent="0.2">
      <c r="K88" s="393"/>
      <c r="L88" s="326"/>
      <c r="M88" s="326"/>
      <c r="N88" s="326"/>
      <c r="O88" s="326"/>
      <c r="P88" s="326"/>
      <c r="Q88" s="335"/>
      <c r="R88" s="335"/>
      <c r="S88" s="335"/>
    </row>
    <row r="89" spans="6:19" s="354" customFormat="1" ht="31.5" hidden="1" customHeight="1" x14ac:dyDescent="0.2">
      <c r="K89" s="393"/>
      <c r="L89" s="326"/>
      <c r="M89" s="391" t="str">
        <f>IF(AND('Annuity Calculator'!$D$13=$K$85,'Annuity Calculator'!$D$15=$L$85),$M$85,IF(AND('Annuity Calculator'!$D$13=$K$86,'Annuity Calculator'!D15=$L$86),$M$86,$M$87))</f>
        <v>Imm_Ann_Table</v>
      </c>
      <c r="N89" s="396">
        <f ca="1">IFERROR(VLOOKUP(AnnuityOption,INDIRECT($M$89),2,FALSE),0)</f>
        <v>0</v>
      </c>
      <c r="O89" s="326">
        <f ca="1">IFERROR(VLOOKUP(AnnuityOption,INDIRECT($M$89),3,FALSE),0)</f>
        <v>0</v>
      </c>
      <c r="P89" s="396">
        <f ca="1">IFERROR(VLOOKUP(AnnuityOption,INDIRECT($M$89),4,FALSE),0)</f>
        <v>0</v>
      </c>
      <c r="Q89" s="335"/>
      <c r="R89" s="335"/>
      <c r="S89" s="335"/>
    </row>
    <row r="90" spans="6:19" hidden="1" x14ac:dyDescent="0.2">
      <c r="F90" s="336"/>
      <c r="G90" s="336"/>
      <c r="H90" s="336"/>
      <c r="I90" s="336"/>
      <c r="K90" s="393"/>
      <c r="L90" s="326"/>
      <c r="M90" s="326"/>
      <c r="N90" s="397">
        <f ca="1">IFERROR(VLOOKUP(AnnuityOption,INDIRECT($M$89),5,FALSE),0)</f>
        <v>0</v>
      </c>
      <c r="P90" s="397">
        <f ca="1">IFERROR(VLOOKUP(AnnuityOption,INDIRECT($M$89),6,FALSE),0)</f>
        <v>0</v>
      </c>
    </row>
    <row r="91" spans="6:19" hidden="1" x14ac:dyDescent="0.2">
      <c r="K91" s="355"/>
      <c r="R91" s="335">
        <f>85-32</f>
        <v>53</v>
      </c>
    </row>
    <row r="92" spans="6:19" hidden="1" x14ac:dyDescent="0.2">
      <c r="K92" s="355"/>
    </row>
    <row r="93" spans="6:19" hidden="1" x14ac:dyDescent="0.2">
      <c r="K93" s="393" t="s">
        <v>595</v>
      </c>
      <c r="L93" s="326"/>
      <c r="M93" s="326"/>
      <c r="N93" s="393" t="s">
        <v>596</v>
      </c>
      <c r="O93" s="326"/>
    </row>
    <row r="94" spans="6:19" hidden="1" x14ac:dyDescent="0.2">
      <c r="K94" s="393"/>
      <c r="L94" s="326"/>
      <c r="M94" s="326"/>
      <c r="N94" s="326"/>
      <c r="O94" s="326"/>
    </row>
    <row r="95" spans="6:19" ht="30.75" hidden="1" customHeight="1" x14ac:dyDescent="0.2">
      <c r="K95" s="326" t="str">
        <f>IF(PremiumType="Single Premium","Purchase Price","Annualized Premium")</f>
        <v>Purchase Price</v>
      </c>
      <c r="L95" s="323">
        <f>IF(PremiumType="Single Premium",E18,E18*E22)</f>
        <v>5000000</v>
      </c>
      <c r="M95" s="326"/>
      <c r="N95" s="326" t="str">
        <f>IF(PremiumType="Single Premium","PP","AP")&amp;" + GST"</f>
        <v>PP + GST</v>
      </c>
      <c r="O95" s="323">
        <f>'Immediate Annuity'!E18</f>
        <v>5000000</v>
      </c>
    </row>
    <row r="96" spans="6:19" hidden="1" x14ac:dyDescent="0.2">
      <c r="K96" s="326" t="str">
        <f>IF(PremiumType="Single Premium","GST","GST for 1st year")</f>
        <v>GST</v>
      </c>
      <c r="L96" s="398">
        <f>IF(PremiumType="Single Premium",L95*1.8%,L95*4.5%)</f>
        <v>90000.000000000015</v>
      </c>
      <c r="M96" s="326"/>
      <c r="N96" s="326" t="str">
        <f>IF(PremiumType="Single Premium","GST","GST for 1st year")</f>
        <v>GST</v>
      </c>
      <c r="O96" s="399">
        <f>O95-O97</f>
        <v>88408.644400785677</v>
      </c>
    </row>
    <row r="97" spans="4:15" hidden="1" x14ac:dyDescent="0.2">
      <c r="K97" s="326" t="str">
        <f>IF(PremiumType="Single Premium","PP","AP")&amp;" + GST"</f>
        <v>PP + GST</v>
      </c>
      <c r="L97" s="398">
        <f>L96+L95</f>
        <v>5090000</v>
      </c>
      <c r="M97" s="326"/>
      <c r="N97" s="326" t="s">
        <v>597</v>
      </c>
      <c r="O97" s="399">
        <f>IF(PremiumType="Single Premium",O95/1.018,O95/1.045)</f>
        <v>4911591.3555992143</v>
      </c>
    </row>
    <row r="98" spans="4:15" hidden="1" x14ac:dyDescent="0.2">
      <c r="I98" s="400"/>
      <c r="J98" s="400"/>
      <c r="K98" s="400"/>
      <c r="L98" s="400"/>
      <c r="M98" s="400"/>
      <c r="N98" s="400"/>
      <c r="O98" s="400"/>
    </row>
    <row r="99" spans="4:15" hidden="1" x14ac:dyDescent="0.2">
      <c r="I99" s="400"/>
      <c r="J99" s="400"/>
      <c r="K99" s="400"/>
      <c r="L99" s="400"/>
      <c r="M99" s="400"/>
      <c r="N99" s="400"/>
      <c r="O99" s="400"/>
    </row>
    <row r="100" spans="4:15" hidden="1" x14ac:dyDescent="0.2">
      <c r="I100" s="400"/>
      <c r="J100" s="400"/>
      <c r="K100" s="400"/>
      <c r="L100" s="400"/>
      <c r="M100" s="400"/>
      <c r="N100" s="400"/>
      <c r="O100" s="400"/>
    </row>
    <row r="101" spans="4:15" hidden="1" x14ac:dyDescent="0.2">
      <c r="I101" s="400"/>
      <c r="J101" s="400"/>
      <c r="K101" s="400"/>
      <c r="L101" s="400"/>
      <c r="M101" s="400"/>
      <c r="N101" s="400"/>
      <c r="O101" s="400"/>
    </row>
    <row r="102" spans="4:15" hidden="1" x14ac:dyDescent="0.2">
      <c r="I102" s="400"/>
      <c r="J102" s="400"/>
      <c r="K102" s="400"/>
      <c r="L102" s="400"/>
      <c r="M102" s="400"/>
      <c r="N102" s="400"/>
      <c r="O102" s="400"/>
    </row>
    <row r="103" spans="4:15" hidden="1" x14ac:dyDescent="0.2">
      <c r="I103" s="400"/>
      <c r="J103" s="400"/>
      <c r="K103" s="400"/>
      <c r="L103" s="400"/>
      <c r="M103" s="400"/>
      <c r="N103" s="400"/>
      <c r="O103" s="400"/>
    </row>
    <row r="104" spans="4:15" hidden="1" x14ac:dyDescent="0.2">
      <c r="I104" s="400"/>
      <c r="J104" s="400"/>
      <c r="K104" s="400"/>
      <c r="L104" s="400"/>
      <c r="M104" s="400"/>
      <c r="N104" s="400"/>
      <c r="O104" s="400"/>
    </row>
    <row r="105" spans="4:15" hidden="1" x14ac:dyDescent="0.2">
      <c r="L105" s="400"/>
      <c r="M105" s="400"/>
      <c r="N105" s="400"/>
      <c r="O105" s="400"/>
    </row>
    <row r="106" spans="4:15" hidden="1" x14ac:dyDescent="0.2">
      <c r="D106" s="400"/>
      <c r="F106" s="400"/>
      <c r="G106" s="400"/>
      <c r="H106" s="400"/>
      <c r="L106" s="400"/>
      <c r="M106" s="400"/>
      <c r="N106" s="400"/>
      <c r="O106" s="400"/>
    </row>
    <row r="107" spans="4:15" hidden="1" x14ac:dyDescent="0.2">
      <c r="D107" s="400"/>
      <c r="F107" s="400"/>
      <c r="G107" s="400"/>
      <c r="H107" s="400"/>
      <c r="L107" s="400"/>
      <c r="M107" s="400"/>
      <c r="N107" s="400"/>
      <c r="O107" s="400"/>
    </row>
    <row r="108" spans="4:15" hidden="1" x14ac:dyDescent="0.2">
      <c r="D108" s="400"/>
      <c r="F108" s="400"/>
      <c r="G108" s="400"/>
      <c r="H108" s="400"/>
      <c r="L108" s="400"/>
      <c r="M108" s="400"/>
      <c r="N108" s="400"/>
      <c r="O108" s="400"/>
    </row>
    <row r="109" spans="4:15" hidden="1" x14ac:dyDescent="0.2">
      <c r="M109" s="400"/>
      <c r="N109" s="400"/>
      <c r="O109" s="400"/>
    </row>
    <row r="110" spans="4:15" hidden="1" x14ac:dyDescent="0.2">
      <c r="M110" s="400"/>
      <c r="N110" s="400"/>
      <c r="O110" s="400"/>
    </row>
  </sheetData>
  <sheetProtection algorithmName="SHA-512" hashValue="/uFvf+7aEbvpIGX/SNqvgie2ljZhUjKOtjFIXBSqSAgPRgRC+Iayx7GXHgwD3G/gBQ0PhaSQ/83UZnq5vgW2WA==" saltValue="L3fb7tHnyD/LUCeotLldtw==" spinCount="100000" sheet="1" objects="1" scenarios="1"/>
  <dataConsolidate/>
  <mergeCells count="37">
    <mergeCell ref="AM34:AR34"/>
    <mergeCell ref="D50:H50"/>
    <mergeCell ref="AB50:AG50"/>
    <mergeCell ref="AM50:AR50"/>
    <mergeCell ref="D59:H59"/>
    <mergeCell ref="AB59:AG59"/>
    <mergeCell ref="AM59:AR59"/>
    <mergeCell ref="AB34:AG34"/>
    <mergeCell ref="C27:D27"/>
    <mergeCell ref="C29:D29"/>
    <mergeCell ref="C30:D30"/>
    <mergeCell ref="I30:J30"/>
    <mergeCell ref="D34:H34"/>
    <mergeCell ref="C26:D26"/>
    <mergeCell ref="C15:D15"/>
    <mergeCell ref="E16:F16"/>
    <mergeCell ref="C17:D17"/>
    <mergeCell ref="C18:D18"/>
    <mergeCell ref="C19:D19"/>
    <mergeCell ref="C20:D20"/>
    <mergeCell ref="C21:D21"/>
    <mergeCell ref="E21:F21"/>
    <mergeCell ref="C22:D22"/>
    <mergeCell ref="E22:F22"/>
    <mergeCell ref="C25:D25"/>
    <mergeCell ref="E14:F14"/>
    <mergeCell ref="C3:H3"/>
    <mergeCell ref="C5:D5"/>
    <mergeCell ref="C6:D6"/>
    <mergeCell ref="C7:D7"/>
    <mergeCell ref="C8:D8"/>
    <mergeCell ref="E8:F8"/>
    <mergeCell ref="C9:D9"/>
    <mergeCell ref="C10:D10"/>
    <mergeCell ref="C11:D11"/>
    <mergeCell ref="C12:D12"/>
    <mergeCell ref="C14:D14"/>
  </mergeCells>
  <conditionalFormatting sqref="E11:E12">
    <cfRule type="expression" dxfId="9" priority="8">
      <formula>OR(AND($E$11="Single Premium",$E$12&lt;&gt;1),AND($E$9="Immediate Annuity",$E$11="Regular Premium"))</formula>
    </cfRule>
  </conditionalFormatting>
  <conditionalFormatting sqref="C10:E10">
    <cfRule type="expression" dxfId="8" priority="7">
      <formula>AND($E$9="Immediate Annuity",$E$7="NPS")</formula>
    </cfRule>
  </conditionalFormatting>
  <conditionalFormatting sqref="C7:E7">
    <cfRule type="expression" dxfId="7" priority="6">
      <formula>$E$6="Group"</formula>
    </cfRule>
  </conditionalFormatting>
  <conditionalFormatting sqref="I30:K30">
    <cfRule type="expression" dxfId="6" priority="5">
      <formula>$E$11&lt;&gt;"Regular Premium"</formula>
    </cfRule>
  </conditionalFormatting>
  <conditionalFormatting sqref="C22:F22">
    <cfRule type="expression" dxfId="5" priority="4">
      <formula>$E$11="Single Premium"</formula>
    </cfRule>
  </conditionalFormatting>
  <conditionalFormatting sqref="D61:H62">
    <cfRule type="expression" dxfId="4" priority="3" stopIfTrue="1">
      <formula>$E$11&lt;&gt;"Regular Premium"</formula>
    </cfRule>
  </conditionalFormatting>
  <conditionalFormatting sqref="D52:H56">
    <cfRule type="expression" dxfId="3" priority="2" stopIfTrue="1">
      <formula>OR($E$9&lt;&gt;"Deferred Annuity",$E$11&lt;&gt;"Single Premium")</formula>
    </cfRule>
  </conditionalFormatting>
  <conditionalFormatting sqref="D36:H47">
    <cfRule type="expression" dxfId="2" priority="1" stopIfTrue="1">
      <formula>$E$9&lt;&gt;"Immediate Annuity"</formula>
    </cfRule>
  </conditionalFormatting>
  <dataValidations count="1">
    <dataValidation type="list" allowBlank="1" showInputMessage="1" showErrorMessage="1" sqref="E5">
      <formula1>"Y,N"</formula1>
    </dataValidation>
  </dataValidations>
  <pageMargins left="1.6929133858267718" right="0.59055118110236227" top="0.35433070866141736" bottom="0.39370078740157483" header="0.23622047244094491" footer="0.27559055118110237"/>
  <pageSetup paperSize="9" scale="52" orientation="landscape" r:id="rId1"/>
  <headerFooter alignWithMargins="0">
    <oddFooter>&amp;L&amp;"Book Antiqua,Regular"&amp;12Bajaj Allianz Life Insurance co. Ltd&amp;C&amp;"Book Antiqua,Regular"&amp;12Bajaj Allianz Life Pension Guarantee&amp;R&amp;"Book Antiqua,Regular"&amp;12Page 1 of 2</oddFooter>
  </headerFooter>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14:formula1>
            <xm:f>'Valid Data-GPG'!B7</xm:f>
          </x14:formula1>
          <x14:formula2>
            <xm:f>'Valid Data-GPG'!C7</xm:f>
          </x14:formula2>
          <xm:sqref>E14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39997558519241921"/>
  </sheetPr>
  <dimension ref="B1:J105"/>
  <sheetViews>
    <sheetView workbookViewId="0">
      <selection activeCell="B5" sqref="B5:E105"/>
    </sheetView>
  </sheetViews>
  <sheetFormatPr defaultColWidth="8.85546875" defaultRowHeight="12.75" x14ac:dyDescent="0.2"/>
  <cols>
    <col min="1" max="1" width="8.85546875" style="429"/>
    <col min="2" max="2" width="10" style="429" bestFit="1" customWidth="1"/>
    <col min="3" max="16384" width="8.85546875" style="429"/>
  </cols>
  <sheetData>
    <row r="1" spans="2:10" x14ac:dyDescent="0.2">
      <c r="B1" s="452"/>
      <c r="C1" s="452"/>
      <c r="D1" s="452"/>
      <c r="E1" s="452"/>
      <c r="F1" s="426"/>
      <c r="G1" s="426"/>
      <c r="H1" s="426"/>
      <c r="I1" s="426"/>
      <c r="J1" s="437" t="s">
        <v>151</v>
      </c>
    </row>
    <row r="2" spans="2:10" x14ac:dyDescent="0.2">
      <c r="B2" s="453">
        <f>SUM(C5:E105)</f>
        <v>21270.789999999997</v>
      </c>
      <c r="C2" s="426">
        <v>21153.452623147765</v>
      </c>
      <c r="D2" s="454">
        <f>C2-B2</f>
        <v>-117.33737685223241</v>
      </c>
      <c r="E2" s="426"/>
      <c r="F2" s="426"/>
      <c r="G2" s="426"/>
      <c r="H2" s="426"/>
      <c r="I2" s="426"/>
      <c r="J2" s="426"/>
    </row>
    <row r="3" spans="2:10" x14ac:dyDescent="0.2">
      <c r="B3" s="770" t="s">
        <v>161</v>
      </c>
      <c r="C3" s="771"/>
      <c r="D3" s="771"/>
      <c r="E3" s="771"/>
      <c r="F3" s="772"/>
      <c r="G3" s="772"/>
      <c r="H3" s="772"/>
      <c r="I3" s="772"/>
      <c r="J3" s="773"/>
    </row>
    <row r="4" spans="2:10" ht="38.25" x14ac:dyDescent="0.2">
      <c r="B4" s="109" t="s">
        <v>1</v>
      </c>
      <c r="C4" s="109" t="s">
        <v>153</v>
      </c>
      <c r="D4" s="110" t="s">
        <v>154</v>
      </c>
      <c r="E4" s="110" t="s">
        <v>155</v>
      </c>
      <c r="G4" s="109"/>
      <c r="H4" s="109"/>
      <c r="I4" s="110"/>
      <c r="J4" s="110"/>
    </row>
    <row r="5" spans="2:10" x14ac:dyDescent="0.2">
      <c r="B5" s="111">
        <v>0</v>
      </c>
      <c r="C5" s="417">
        <v>56.05</v>
      </c>
      <c r="D5" s="417">
        <v>56.24</v>
      </c>
      <c r="E5" s="417">
        <v>56.66</v>
      </c>
      <c r="F5" s="426"/>
    </row>
    <row r="6" spans="2:10" x14ac:dyDescent="0.2">
      <c r="B6" s="111">
        <v>1</v>
      </c>
      <c r="C6" s="417">
        <v>56.1</v>
      </c>
      <c r="D6" s="417">
        <v>56.29</v>
      </c>
      <c r="E6" s="417">
        <v>56.71</v>
      </c>
      <c r="F6" s="426"/>
    </row>
    <row r="7" spans="2:10" x14ac:dyDescent="0.2">
      <c r="B7" s="111">
        <v>2</v>
      </c>
      <c r="C7" s="417">
        <v>56.16</v>
      </c>
      <c r="D7" s="417">
        <v>56.34</v>
      </c>
      <c r="E7" s="417">
        <v>56.77</v>
      </c>
      <c r="F7" s="426"/>
    </row>
    <row r="8" spans="2:10" x14ac:dyDescent="0.2">
      <c r="B8" s="111">
        <v>3</v>
      </c>
      <c r="C8" s="417">
        <v>56.21</v>
      </c>
      <c r="D8" s="417">
        <v>56.4</v>
      </c>
      <c r="E8" s="417">
        <v>56.83</v>
      </c>
      <c r="F8" s="426"/>
    </row>
    <row r="9" spans="2:10" x14ac:dyDescent="0.2">
      <c r="B9" s="111">
        <v>4</v>
      </c>
      <c r="C9" s="417">
        <v>56.28</v>
      </c>
      <c r="D9" s="417">
        <v>56.46</v>
      </c>
      <c r="E9" s="417">
        <v>56.89</v>
      </c>
      <c r="F9" s="426"/>
    </row>
    <row r="10" spans="2:10" x14ac:dyDescent="0.2">
      <c r="B10" s="111">
        <v>5</v>
      </c>
      <c r="C10" s="417">
        <v>56.34</v>
      </c>
      <c r="D10" s="417">
        <v>56.53</v>
      </c>
      <c r="E10" s="417">
        <v>56.95</v>
      </c>
      <c r="F10" s="426"/>
    </row>
    <row r="11" spans="2:10" x14ac:dyDescent="0.2">
      <c r="B11" s="111">
        <v>6</v>
      </c>
      <c r="C11" s="417">
        <v>56.4</v>
      </c>
      <c r="D11" s="417">
        <v>56.59</v>
      </c>
      <c r="E11" s="417">
        <v>57.02</v>
      </c>
      <c r="F11" s="426"/>
    </row>
    <row r="12" spans="2:10" x14ac:dyDescent="0.2">
      <c r="B12" s="111">
        <v>7</v>
      </c>
      <c r="C12" s="417">
        <v>56.47</v>
      </c>
      <c r="D12" s="417">
        <v>56.66</v>
      </c>
      <c r="E12" s="417">
        <v>57.09</v>
      </c>
      <c r="F12" s="426"/>
    </row>
    <row r="13" spans="2:10" x14ac:dyDescent="0.2">
      <c r="B13" s="111">
        <v>8</v>
      </c>
      <c r="C13" s="417">
        <v>56.54</v>
      </c>
      <c r="D13" s="417">
        <v>56.73</v>
      </c>
      <c r="E13" s="417">
        <v>57.17</v>
      </c>
      <c r="F13" s="426"/>
    </row>
    <row r="14" spans="2:10" x14ac:dyDescent="0.2">
      <c r="B14" s="111">
        <v>9</v>
      </c>
      <c r="C14" s="417">
        <v>56.62</v>
      </c>
      <c r="D14" s="417">
        <v>56.81</v>
      </c>
      <c r="E14" s="417">
        <v>57.24</v>
      </c>
      <c r="F14" s="426"/>
    </row>
    <row r="15" spans="2:10" x14ac:dyDescent="0.2">
      <c r="B15" s="111">
        <v>10</v>
      </c>
      <c r="C15" s="417">
        <v>56.7</v>
      </c>
      <c r="D15" s="417">
        <v>56.89</v>
      </c>
      <c r="E15" s="417">
        <v>57.32</v>
      </c>
      <c r="F15" s="426"/>
    </row>
    <row r="16" spans="2:10" x14ac:dyDescent="0.2">
      <c r="B16" s="111">
        <v>11</v>
      </c>
      <c r="C16" s="417">
        <v>56.78</v>
      </c>
      <c r="D16" s="417">
        <v>56.97</v>
      </c>
      <c r="E16" s="417">
        <v>57.41</v>
      </c>
      <c r="F16" s="426"/>
    </row>
    <row r="17" spans="2:6" x14ac:dyDescent="0.2">
      <c r="B17" s="111">
        <v>12</v>
      </c>
      <c r="C17" s="417">
        <v>56.87</v>
      </c>
      <c r="D17" s="417">
        <v>57.06</v>
      </c>
      <c r="E17" s="417">
        <v>57.5</v>
      </c>
      <c r="F17" s="426"/>
    </row>
    <row r="18" spans="2:6" x14ac:dyDescent="0.2">
      <c r="B18" s="111">
        <v>13</v>
      </c>
      <c r="C18" s="417">
        <v>56.96</v>
      </c>
      <c r="D18" s="417">
        <v>57.15</v>
      </c>
      <c r="E18" s="417">
        <v>57.59</v>
      </c>
      <c r="F18" s="426"/>
    </row>
    <row r="19" spans="2:6" x14ac:dyDescent="0.2">
      <c r="B19" s="111">
        <v>14</v>
      </c>
      <c r="C19" s="417">
        <v>57.06</v>
      </c>
      <c r="D19" s="417">
        <v>57.25</v>
      </c>
      <c r="E19" s="417">
        <v>57.69</v>
      </c>
      <c r="F19" s="426"/>
    </row>
    <row r="20" spans="2:6" x14ac:dyDescent="0.2">
      <c r="B20" s="111">
        <v>15</v>
      </c>
      <c r="C20" s="417">
        <v>57.16</v>
      </c>
      <c r="D20" s="417">
        <v>57.35</v>
      </c>
      <c r="E20" s="417">
        <v>57.79</v>
      </c>
      <c r="F20" s="426"/>
    </row>
    <row r="21" spans="2:6" x14ac:dyDescent="0.2">
      <c r="B21" s="111">
        <v>16</v>
      </c>
      <c r="C21" s="417">
        <v>57.26</v>
      </c>
      <c r="D21" s="417">
        <v>57.45</v>
      </c>
      <c r="E21" s="417">
        <v>57.9</v>
      </c>
      <c r="F21" s="426"/>
    </row>
    <row r="22" spans="2:6" x14ac:dyDescent="0.2">
      <c r="B22" s="111">
        <v>17</v>
      </c>
      <c r="C22" s="417">
        <v>57.37</v>
      </c>
      <c r="D22" s="417">
        <v>57.57</v>
      </c>
      <c r="E22" s="417">
        <v>58.01</v>
      </c>
      <c r="F22" s="426"/>
    </row>
    <row r="23" spans="2:6" x14ac:dyDescent="0.2">
      <c r="B23" s="111">
        <v>18</v>
      </c>
      <c r="C23" s="417">
        <v>57.49</v>
      </c>
      <c r="D23" s="417">
        <v>57.68</v>
      </c>
      <c r="E23" s="417">
        <v>58.13</v>
      </c>
      <c r="F23" s="426"/>
    </row>
    <row r="24" spans="2:6" x14ac:dyDescent="0.2">
      <c r="B24" s="111">
        <v>19</v>
      </c>
      <c r="C24" s="417">
        <v>57.61</v>
      </c>
      <c r="D24" s="417">
        <v>57.8</v>
      </c>
      <c r="E24" s="417">
        <v>58.25</v>
      </c>
      <c r="F24" s="426"/>
    </row>
    <row r="25" spans="2:6" x14ac:dyDescent="0.2">
      <c r="B25" s="111">
        <v>20</v>
      </c>
      <c r="C25" s="417">
        <v>57.74</v>
      </c>
      <c r="D25" s="417">
        <v>57.93</v>
      </c>
      <c r="E25" s="417">
        <v>58.38</v>
      </c>
      <c r="F25" s="426"/>
    </row>
    <row r="26" spans="2:6" x14ac:dyDescent="0.2">
      <c r="B26" s="111">
        <v>21</v>
      </c>
      <c r="C26" s="417">
        <v>57.87</v>
      </c>
      <c r="D26" s="417">
        <v>58.07</v>
      </c>
      <c r="E26" s="417">
        <v>58.52</v>
      </c>
      <c r="F26" s="426"/>
    </row>
    <row r="27" spans="2:6" x14ac:dyDescent="0.2">
      <c r="B27" s="111">
        <v>22</v>
      </c>
      <c r="C27" s="417">
        <v>58.01</v>
      </c>
      <c r="D27" s="417">
        <v>58.21</v>
      </c>
      <c r="E27" s="417">
        <v>58.66</v>
      </c>
      <c r="F27" s="426"/>
    </row>
    <row r="28" spans="2:6" x14ac:dyDescent="0.2">
      <c r="B28" s="111">
        <v>23</v>
      </c>
      <c r="C28" s="417">
        <v>58.16</v>
      </c>
      <c r="D28" s="417">
        <v>58.35</v>
      </c>
      <c r="E28" s="417">
        <v>58.81</v>
      </c>
      <c r="F28" s="426"/>
    </row>
    <row r="29" spans="2:6" x14ac:dyDescent="0.2">
      <c r="B29" s="111">
        <v>24</v>
      </c>
      <c r="C29" s="417">
        <v>58.31</v>
      </c>
      <c r="D29" s="417">
        <v>58.51</v>
      </c>
      <c r="E29" s="417">
        <v>58.97</v>
      </c>
      <c r="F29" s="426"/>
    </row>
    <row r="30" spans="2:6" x14ac:dyDescent="0.2">
      <c r="B30" s="111">
        <v>25</v>
      </c>
      <c r="C30" s="417">
        <v>58.47</v>
      </c>
      <c r="D30" s="417">
        <v>58.67</v>
      </c>
      <c r="E30" s="417">
        <v>59.13</v>
      </c>
      <c r="F30" s="426"/>
    </row>
    <row r="31" spans="2:6" x14ac:dyDescent="0.2">
      <c r="B31" s="111">
        <v>26</v>
      </c>
      <c r="C31" s="417">
        <v>58.64</v>
      </c>
      <c r="D31" s="417">
        <v>58.84</v>
      </c>
      <c r="E31" s="417">
        <v>59.3</v>
      </c>
      <c r="F31" s="426"/>
    </row>
    <row r="32" spans="2:6" x14ac:dyDescent="0.2">
      <c r="B32" s="111">
        <v>27</v>
      </c>
      <c r="C32" s="417">
        <v>58.82</v>
      </c>
      <c r="D32" s="417">
        <v>59.02</v>
      </c>
      <c r="E32" s="417">
        <v>59.48</v>
      </c>
      <c r="F32" s="426"/>
    </row>
    <row r="33" spans="2:6" x14ac:dyDescent="0.2">
      <c r="B33" s="111">
        <v>28</v>
      </c>
      <c r="C33" s="417">
        <v>59</v>
      </c>
      <c r="D33" s="417">
        <v>59.2</v>
      </c>
      <c r="E33" s="417">
        <v>59.67</v>
      </c>
      <c r="F33" s="426"/>
    </row>
    <row r="34" spans="2:6" x14ac:dyDescent="0.2">
      <c r="B34" s="111">
        <v>29</v>
      </c>
      <c r="C34" s="417">
        <v>59.19</v>
      </c>
      <c r="D34" s="417">
        <v>59.4</v>
      </c>
      <c r="E34" s="417">
        <v>59.87</v>
      </c>
      <c r="F34" s="426"/>
    </row>
    <row r="35" spans="2:6" x14ac:dyDescent="0.2">
      <c r="B35" s="111">
        <v>30</v>
      </c>
      <c r="C35" s="417">
        <v>59.4</v>
      </c>
      <c r="D35" s="417">
        <v>59.6</v>
      </c>
      <c r="E35" s="417">
        <v>60.08</v>
      </c>
      <c r="F35" s="426"/>
    </row>
    <row r="36" spans="2:6" x14ac:dyDescent="0.2">
      <c r="B36" s="111">
        <v>31</v>
      </c>
      <c r="C36" s="417">
        <v>59.61</v>
      </c>
      <c r="D36" s="417">
        <v>59.82</v>
      </c>
      <c r="E36" s="417">
        <v>60.29</v>
      </c>
      <c r="F36" s="426"/>
    </row>
    <row r="37" spans="2:6" x14ac:dyDescent="0.2">
      <c r="B37" s="111">
        <v>32</v>
      </c>
      <c r="C37" s="417">
        <v>59.84</v>
      </c>
      <c r="D37" s="417">
        <v>60.04</v>
      </c>
      <c r="E37" s="417">
        <v>60.52</v>
      </c>
      <c r="F37" s="426"/>
    </row>
    <row r="38" spans="2:6" x14ac:dyDescent="0.2">
      <c r="B38" s="111">
        <v>33</v>
      </c>
      <c r="C38" s="417">
        <v>60.07</v>
      </c>
      <c r="D38" s="417">
        <v>60.28</v>
      </c>
      <c r="E38" s="417">
        <v>60.76</v>
      </c>
      <c r="F38" s="426"/>
    </row>
    <row r="39" spans="2:6" x14ac:dyDescent="0.2">
      <c r="B39" s="111">
        <v>34</v>
      </c>
      <c r="C39" s="417">
        <v>60.31</v>
      </c>
      <c r="D39" s="417">
        <v>60.52</v>
      </c>
      <c r="E39" s="417">
        <v>61.01</v>
      </c>
      <c r="F39" s="426"/>
    </row>
    <row r="40" spans="2:6" x14ac:dyDescent="0.2">
      <c r="B40" s="111">
        <v>35</v>
      </c>
      <c r="C40" s="417">
        <v>60.57</v>
      </c>
      <c r="D40" s="417">
        <v>60.78</v>
      </c>
      <c r="E40" s="417">
        <v>61.27</v>
      </c>
      <c r="F40" s="426"/>
    </row>
    <row r="41" spans="2:6" x14ac:dyDescent="0.2">
      <c r="B41" s="111">
        <v>36</v>
      </c>
      <c r="C41" s="417">
        <v>60.84</v>
      </c>
      <c r="D41" s="417">
        <v>61.05</v>
      </c>
      <c r="E41" s="417">
        <v>61.55</v>
      </c>
      <c r="F41" s="426"/>
    </row>
    <row r="42" spans="2:6" x14ac:dyDescent="0.2">
      <c r="B42" s="111">
        <v>37</v>
      </c>
      <c r="C42" s="417">
        <v>61.12</v>
      </c>
      <c r="D42" s="417">
        <v>61.33</v>
      </c>
      <c r="E42" s="417">
        <v>61.83</v>
      </c>
      <c r="F42" s="426"/>
    </row>
    <row r="43" spans="2:6" x14ac:dyDescent="0.2">
      <c r="B43" s="111">
        <v>38</v>
      </c>
      <c r="C43" s="417">
        <v>61.41</v>
      </c>
      <c r="D43" s="417">
        <v>61.63</v>
      </c>
      <c r="E43" s="417">
        <v>62.13</v>
      </c>
      <c r="F43" s="426"/>
    </row>
    <row r="44" spans="2:6" x14ac:dyDescent="0.2">
      <c r="B44" s="111">
        <v>39</v>
      </c>
      <c r="C44" s="417">
        <v>61.71</v>
      </c>
      <c r="D44" s="417">
        <v>61.93</v>
      </c>
      <c r="E44" s="417">
        <v>62.44</v>
      </c>
      <c r="F44" s="426"/>
    </row>
    <row r="45" spans="2:6" x14ac:dyDescent="0.2">
      <c r="B45" s="111">
        <v>40</v>
      </c>
      <c r="C45" s="417">
        <v>62.03</v>
      </c>
      <c r="D45" s="417">
        <v>62.25</v>
      </c>
      <c r="E45" s="417">
        <v>62.76</v>
      </c>
      <c r="F45" s="426"/>
    </row>
    <row r="46" spans="2:6" x14ac:dyDescent="0.2">
      <c r="B46" s="111">
        <v>41</v>
      </c>
      <c r="C46" s="417">
        <v>62.36</v>
      </c>
      <c r="D46" s="417">
        <v>62.58</v>
      </c>
      <c r="E46" s="417">
        <v>63.1</v>
      </c>
      <c r="F46" s="426"/>
    </row>
    <row r="47" spans="2:6" x14ac:dyDescent="0.2">
      <c r="B47" s="111">
        <v>42</v>
      </c>
      <c r="C47" s="417">
        <v>62.7</v>
      </c>
      <c r="D47" s="417">
        <v>62.92</v>
      </c>
      <c r="E47" s="417">
        <v>63.45</v>
      </c>
      <c r="F47" s="426"/>
    </row>
    <row r="48" spans="2:6" x14ac:dyDescent="0.2">
      <c r="B48" s="111">
        <v>43</v>
      </c>
      <c r="C48" s="417">
        <v>63.06</v>
      </c>
      <c r="D48" s="417">
        <v>63.28</v>
      </c>
      <c r="E48" s="417">
        <v>63.81</v>
      </c>
      <c r="F48" s="426"/>
    </row>
    <row r="49" spans="2:7" x14ac:dyDescent="0.2">
      <c r="B49" s="111">
        <v>44</v>
      </c>
      <c r="C49" s="417">
        <v>63.43</v>
      </c>
      <c r="D49" s="417">
        <v>63.66</v>
      </c>
      <c r="E49" s="417">
        <v>64.19</v>
      </c>
      <c r="F49" s="426"/>
    </row>
    <row r="50" spans="2:7" x14ac:dyDescent="0.2">
      <c r="B50" s="111">
        <v>45</v>
      </c>
      <c r="C50" s="417">
        <v>63.82</v>
      </c>
      <c r="D50" s="417">
        <v>64.05</v>
      </c>
      <c r="E50" s="417">
        <v>64.59</v>
      </c>
      <c r="F50" s="426"/>
    </row>
    <row r="51" spans="2:7" x14ac:dyDescent="0.2">
      <c r="B51" s="111">
        <v>46</v>
      </c>
      <c r="C51" s="417">
        <v>64.22</v>
      </c>
      <c r="D51" s="417">
        <v>64.459999999999994</v>
      </c>
      <c r="E51" s="417">
        <v>65</v>
      </c>
      <c r="F51" s="426"/>
    </row>
    <row r="52" spans="2:7" x14ac:dyDescent="0.2">
      <c r="B52" s="111">
        <v>47</v>
      </c>
      <c r="C52" s="417">
        <v>64.650000000000006</v>
      </c>
      <c r="D52" s="417">
        <v>64.89</v>
      </c>
      <c r="E52" s="417">
        <v>65.430000000000007</v>
      </c>
      <c r="F52" s="426"/>
    </row>
    <row r="53" spans="2:7" x14ac:dyDescent="0.2">
      <c r="B53" s="111">
        <v>48</v>
      </c>
      <c r="C53" s="417">
        <v>65.09</v>
      </c>
      <c r="D53" s="417">
        <v>65.33</v>
      </c>
      <c r="E53" s="417">
        <v>65.89</v>
      </c>
      <c r="F53" s="426"/>
    </row>
    <row r="54" spans="2:7" x14ac:dyDescent="0.2">
      <c r="B54" s="111">
        <v>49</v>
      </c>
      <c r="C54" s="417">
        <v>65.55</v>
      </c>
      <c r="D54" s="417">
        <v>65.790000000000006</v>
      </c>
      <c r="E54" s="417">
        <v>66.349999999999994</v>
      </c>
      <c r="F54" s="426"/>
    </row>
    <row r="55" spans="2:7" x14ac:dyDescent="0.2">
      <c r="B55" s="111">
        <v>50</v>
      </c>
      <c r="C55" s="417">
        <v>66.03</v>
      </c>
      <c r="D55" s="417">
        <v>66.28</v>
      </c>
      <c r="E55" s="417">
        <v>66.84</v>
      </c>
      <c r="F55" s="426"/>
      <c r="G55" s="426"/>
    </row>
    <row r="56" spans="2:7" x14ac:dyDescent="0.2">
      <c r="B56" s="111">
        <v>51</v>
      </c>
      <c r="C56" s="439">
        <v>66.52</v>
      </c>
      <c r="D56" s="439">
        <v>66.77</v>
      </c>
      <c r="E56" s="439">
        <v>67.349999999999994</v>
      </c>
    </row>
    <row r="57" spans="2:7" x14ac:dyDescent="0.2">
      <c r="B57" s="111">
        <v>52</v>
      </c>
      <c r="C57" s="439">
        <v>67.03</v>
      </c>
      <c r="D57" s="439">
        <v>67.290000000000006</v>
      </c>
      <c r="E57" s="439">
        <v>67.87</v>
      </c>
    </row>
    <row r="58" spans="2:7" x14ac:dyDescent="0.2">
      <c r="B58" s="111">
        <v>53</v>
      </c>
      <c r="C58" s="439">
        <v>67.56</v>
      </c>
      <c r="D58" s="439">
        <v>67.819999999999993</v>
      </c>
      <c r="E58" s="439">
        <v>68.41</v>
      </c>
    </row>
    <row r="59" spans="2:7" x14ac:dyDescent="0.2">
      <c r="B59" s="111">
        <v>54</v>
      </c>
      <c r="C59" s="439">
        <v>68.099999999999994</v>
      </c>
      <c r="D59" s="439">
        <v>68.37</v>
      </c>
      <c r="E59" s="439">
        <v>68.959999999999994</v>
      </c>
    </row>
    <row r="60" spans="2:7" x14ac:dyDescent="0.2">
      <c r="B60" s="111">
        <v>55</v>
      </c>
      <c r="C60" s="439">
        <v>68.66</v>
      </c>
      <c r="D60" s="439">
        <v>68.930000000000007</v>
      </c>
      <c r="E60" s="439">
        <v>69.53</v>
      </c>
    </row>
    <row r="61" spans="2:7" x14ac:dyDescent="0.2">
      <c r="B61" s="111">
        <v>56</v>
      </c>
      <c r="C61" s="439">
        <v>69.23</v>
      </c>
      <c r="D61" s="439">
        <v>69.5</v>
      </c>
      <c r="E61" s="439">
        <v>70.11</v>
      </c>
    </row>
    <row r="62" spans="2:7" x14ac:dyDescent="0.2">
      <c r="B62" s="111">
        <v>57</v>
      </c>
      <c r="C62" s="439">
        <v>69.81</v>
      </c>
      <c r="D62" s="439">
        <v>70.09</v>
      </c>
      <c r="E62" s="439">
        <v>70.7</v>
      </c>
    </row>
    <row r="63" spans="2:7" x14ac:dyDescent="0.2">
      <c r="B63" s="111">
        <v>58</v>
      </c>
      <c r="C63" s="439">
        <v>70.41</v>
      </c>
      <c r="D63" s="439">
        <v>70.69</v>
      </c>
      <c r="E63" s="439">
        <v>71.31</v>
      </c>
    </row>
    <row r="64" spans="2:7" x14ac:dyDescent="0.2">
      <c r="B64" s="111">
        <v>59</v>
      </c>
      <c r="C64" s="439">
        <v>71.010000000000005</v>
      </c>
      <c r="D64" s="439">
        <v>71.3</v>
      </c>
      <c r="E64" s="439">
        <v>71.92</v>
      </c>
    </row>
    <row r="65" spans="2:5" x14ac:dyDescent="0.2">
      <c r="B65" s="111">
        <v>60</v>
      </c>
      <c r="C65" s="439">
        <v>71.62</v>
      </c>
      <c r="D65" s="439">
        <v>71.92</v>
      </c>
      <c r="E65" s="439">
        <v>72.55</v>
      </c>
    </row>
    <row r="66" spans="2:5" x14ac:dyDescent="0.2">
      <c r="B66" s="111">
        <v>61</v>
      </c>
      <c r="C66" s="439">
        <v>72.239999999999995</v>
      </c>
      <c r="D66" s="439">
        <v>72.540000000000006</v>
      </c>
      <c r="E66" s="439">
        <v>73.180000000000007</v>
      </c>
    </row>
    <row r="67" spans="2:5" x14ac:dyDescent="0.2">
      <c r="B67" s="111">
        <v>62</v>
      </c>
      <c r="C67" s="439">
        <v>72.86</v>
      </c>
      <c r="D67" s="439">
        <v>73.16</v>
      </c>
      <c r="E67" s="439">
        <v>73.81</v>
      </c>
    </row>
    <row r="68" spans="2:5" x14ac:dyDescent="0.2">
      <c r="B68" s="111">
        <v>63</v>
      </c>
      <c r="C68" s="439">
        <v>73.48</v>
      </c>
      <c r="D68" s="439">
        <v>73.790000000000006</v>
      </c>
      <c r="E68" s="439">
        <v>74.44</v>
      </c>
    </row>
    <row r="69" spans="2:5" x14ac:dyDescent="0.2">
      <c r="B69" s="111">
        <v>64</v>
      </c>
      <c r="C69" s="439">
        <v>74.099999999999994</v>
      </c>
      <c r="D69" s="439">
        <v>74.42</v>
      </c>
      <c r="E69" s="439">
        <v>75.08</v>
      </c>
    </row>
    <row r="70" spans="2:5" x14ac:dyDescent="0.2">
      <c r="B70" s="111">
        <v>65</v>
      </c>
      <c r="C70" s="439">
        <v>74.72</v>
      </c>
      <c r="D70" s="439">
        <v>75.040000000000006</v>
      </c>
      <c r="E70" s="439">
        <v>75.7</v>
      </c>
    </row>
    <row r="71" spans="2:5" x14ac:dyDescent="0.2">
      <c r="B71" s="111">
        <v>66</v>
      </c>
      <c r="C71" s="439">
        <v>75.319999999999993</v>
      </c>
      <c r="D71" s="439">
        <v>75.650000000000006</v>
      </c>
      <c r="E71" s="439">
        <v>76.31</v>
      </c>
    </row>
    <row r="72" spans="2:5" x14ac:dyDescent="0.2">
      <c r="B72" s="111">
        <v>67</v>
      </c>
      <c r="C72" s="439">
        <v>75.900000000000006</v>
      </c>
      <c r="D72" s="439">
        <v>76.239999999999995</v>
      </c>
      <c r="E72" s="439">
        <v>76.91</v>
      </c>
    </row>
    <row r="73" spans="2:5" x14ac:dyDescent="0.2">
      <c r="B73" s="111">
        <v>68</v>
      </c>
      <c r="C73" s="439">
        <v>76.47</v>
      </c>
      <c r="D73" s="439">
        <v>76.81</v>
      </c>
      <c r="E73" s="439">
        <v>77.489999999999995</v>
      </c>
    </row>
    <row r="74" spans="2:5" x14ac:dyDescent="0.2">
      <c r="B74" s="111">
        <v>69</v>
      </c>
      <c r="C74" s="439">
        <v>77.010000000000005</v>
      </c>
      <c r="D74" s="439">
        <v>77.36</v>
      </c>
      <c r="E74" s="439">
        <v>78.040000000000006</v>
      </c>
    </row>
    <row r="75" spans="2:5" x14ac:dyDescent="0.2">
      <c r="B75" s="111">
        <v>70</v>
      </c>
      <c r="C75" s="439">
        <v>77.53</v>
      </c>
      <c r="D75" s="439">
        <v>77.88</v>
      </c>
      <c r="E75" s="439">
        <v>78.56</v>
      </c>
    </row>
    <row r="76" spans="2:5" x14ac:dyDescent="0.2">
      <c r="B76" s="111">
        <v>71</v>
      </c>
      <c r="C76" s="439">
        <v>78.010000000000005</v>
      </c>
      <c r="D76" s="439">
        <v>78.37</v>
      </c>
      <c r="E76" s="439">
        <v>79.06</v>
      </c>
    </row>
    <row r="77" spans="2:5" x14ac:dyDescent="0.2">
      <c r="B77" s="111">
        <v>72</v>
      </c>
      <c r="C77" s="439">
        <v>78.47</v>
      </c>
      <c r="D77" s="439">
        <v>78.83</v>
      </c>
      <c r="E77" s="439">
        <v>79.52</v>
      </c>
    </row>
    <row r="78" spans="2:5" x14ac:dyDescent="0.2">
      <c r="B78" s="111">
        <v>73</v>
      </c>
      <c r="C78" s="439">
        <v>78.900000000000006</v>
      </c>
      <c r="D78" s="439">
        <v>79.260000000000005</v>
      </c>
      <c r="E78" s="439">
        <v>79.959999999999994</v>
      </c>
    </row>
    <row r="79" spans="2:5" x14ac:dyDescent="0.2">
      <c r="B79" s="111">
        <v>74</v>
      </c>
      <c r="C79" s="439">
        <v>79.290000000000006</v>
      </c>
      <c r="D79" s="439">
        <v>79.66</v>
      </c>
      <c r="E79" s="439">
        <v>80.36</v>
      </c>
    </row>
    <row r="80" spans="2:5" x14ac:dyDescent="0.2">
      <c r="B80" s="111">
        <v>75</v>
      </c>
      <c r="C80" s="439">
        <v>79.650000000000006</v>
      </c>
      <c r="D80" s="439">
        <v>80.03</v>
      </c>
      <c r="E80" s="439">
        <v>80.73</v>
      </c>
    </row>
    <row r="81" spans="2:5" x14ac:dyDescent="0.2">
      <c r="B81" s="111">
        <v>76</v>
      </c>
      <c r="C81" s="439">
        <v>79.98</v>
      </c>
      <c r="D81" s="439">
        <v>80.36</v>
      </c>
      <c r="E81" s="439">
        <v>81.06</v>
      </c>
    </row>
    <row r="82" spans="2:5" x14ac:dyDescent="0.2">
      <c r="B82" s="111">
        <v>77</v>
      </c>
      <c r="C82" s="439">
        <v>80.290000000000006</v>
      </c>
      <c r="D82" s="439">
        <v>80.67</v>
      </c>
      <c r="E82" s="439">
        <v>81.37</v>
      </c>
    </row>
    <row r="83" spans="2:5" x14ac:dyDescent="0.2">
      <c r="B83" s="111">
        <v>78</v>
      </c>
      <c r="C83" s="439">
        <v>80.56</v>
      </c>
      <c r="D83" s="439">
        <v>80.94</v>
      </c>
      <c r="E83" s="439">
        <v>81.650000000000006</v>
      </c>
    </row>
    <row r="84" spans="2:5" x14ac:dyDescent="0.2">
      <c r="B84" s="111">
        <v>79</v>
      </c>
      <c r="C84" s="439">
        <v>80.8</v>
      </c>
      <c r="D84" s="439">
        <v>81.19</v>
      </c>
      <c r="E84" s="439">
        <v>81.89</v>
      </c>
    </row>
    <row r="85" spans="2:5" x14ac:dyDescent="0.2">
      <c r="B85" s="111">
        <v>80</v>
      </c>
      <c r="C85" s="439">
        <v>81.02</v>
      </c>
      <c r="D85" s="439">
        <v>81.41</v>
      </c>
      <c r="E85" s="439">
        <v>82.11</v>
      </c>
    </row>
    <row r="86" spans="2:5" x14ac:dyDescent="0.2">
      <c r="B86" s="111">
        <v>81</v>
      </c>
      <c r="C86" s="439">
        <v>81.209999999999994</v>
      </c>
      <c r="D86" s="439">
        <v>81.599999999999994</v>
      </c>
      <c r="E86" s="439">
        <v>82.31</v>
      </c>
    </row>
    <row r="87" spans="2:5" x14ac:dyDescent="0.2">
      <c r="B87" s="111">
        <v>82</v>
      </c>
      <c r="C87" s="439">
        <v>81.38</v>
      </c>
      <c r="D87" s="439">
        <v>81.77</v>
      </c>
      <c r="E87" s="439">
        <v>82.48</v>
      </c>
    </row>
    <row r="88" spans="2:5" x14ac:dyDescent="0.2">
      <c r="B88" s="111">
        <v>83</v>
      </c>
      <c r="C88" s="439">
        <v>81.53</v>
      </c>
      <c r="D88" s="439">
        <v>81.92</v>
      </c>
      <c r="E88" s="439">
        <v>82.63</v>
      </c>
    </row>
    <row r="89" spans="2:5" x14ac:dyDescent="0.2">
      <c r="B89" s="111">
        <v>84</v>
      </c>
      <c r="C89" s="439">
        <v>81.66</v>
      </c>
      <c r="D89" s="439">
        <v>82.05</v>
      </c>
      <c r="E89" s="439">
        <v>82.76</v>
      </c>
    </row>
    <row r="90" spans="2:5" x14ac:dyDescent="0.2">
      <c r="B90" s="111">
        <v>85</v>
      </c>
      <c r="C90" s="439">
        <v>81.77</v>
      </c>
      <c r="D90" s="439">
        <v>82.17</v>
      </c>
      <c r="E90" s="439">
        <v>82.88</v>
      </c>
    </row>
    <row r="91" spans="2:5" x14ac:dyDescent="0.2">
      <c r="B91" s="111">
        <v>86</v>
      </c>
      <c r="C91" s="439">
        <v>81.87</v>
      </c>
      <c r="D91" s="439">
        <v>82.27</v>
      </c>
      <c r="E91" s="439">
        <v>82.98</v>
      </c>
    </row>
    <row r="92" spans="2:5" x14ac:dyDescent="0.2">
      <c r="B92" s="111">
        <v>87</v>
      </c>
      <c r="C92" s="439">
        <v>81.95</v>
      </c>
      <c r="D92" s="439">
        <v>82.35</v>
      </c>
      <c r="E92" s="439">
        <v>83.06</v>
      </c>
    </row>
    <row r="93" spans="2:5" x14ac:dyDescent="0.2">
      <c r="B93" s="111">
        <v>88</v>
      </c>
      <c r="C93" s="439">
        <v>82.02</v>
      </c>
      <c r="D93" s="439">
        <v>82.43</v>
      </c>
      <c r="E93" s="439">
        <v>83.14</v>
      </c>
    </row>
    <row r="94" spans="2:5" x14ac:dyDescent="0.2">
      <c r="B94" s="111">
        <v>89</v>
      </c>
      <c r="C94" s="439">
        <v>82.09</v>
      </c>
      <c r="D94" s="439">
        <v>82.49</v>
      </c>
      <c r="E94" s="439">
        <v>83.2</v>
      </c>
    </row>
    <row r="95" spans="2:5" x14ac:dyDescent="0.2">
      <c r="B95" s="111">
        <v>90</v>
      </c>
      <c r="C95" s="439">
        <v>82.15</v>
      </c>
      <c r="D95" s="439">
        <v>82.55</v>
      </c>
      <c r="E95" s="439">
        <v>83.26</v>
      </c>
    </row>
    <row r="96" spans="2:5" x14ac:dyDescent="0.2">
      <c r="B96" s="111">
        <v>91</v>
      </c>
      <c r="C96" s="439">
        <v>82.2</v>
      </c>
      <c r="D96" s="439">
        <v>82.6</v>
      </c>
      <c r="E96" s="439">
        <v>83.32</v>
      </c>
    </row>
    <row r="97" spans="2:5" x14ac:dyDescent="0.2">
      <c r="B97" s="111">
        <v>92</v>
      </c>
      <c r="C97" s="439">
        <v>84.43</v>
      </c>
      <c r="D97" s="439">
        <v>84.86</v>
      </c>
      <c r="E97" s="439">
        <v>85.58</v>
      </c>
    </row>
    <row r="98" spans="2:5" x14ac:dyDescent="0.2">
      <c r="B98" s="111">
        <v>93</v>
      </c>
      <c r="C98" s="439">
        <v>86.94</v>
      </c>
      <c r="D98" s="439">
        <v>87.4</v>
      </c>
      <c r="E98" s="439">
        <v>88.13</v>
      </c>
    </row>
    <row r="99" spans="2:5" x14ac:dyDescent="0.2">
      <c r="B99" s="111">
        <v>94</v>
      </c>
      <c r="C99" s="439">
        <v>89.77</v>
      </c>
      <c r="D99" s="439">
        <v>90.28</v>
      </c>
      <c r="E99" s="439">
        <v>91.01</v>
      </c>
    </row>
    <row r="100" spans="2:5" x14ac:dyDescent="0.2">
      <c r="B100" s="111">
        <v>95</v>
      </c>
      <c r="C100" s="439">
        <v>92.99</v>
      </c>
      <c r="D100" s="439">
        <v>93.54</v>
      </c>
      <c r="E100" s="439">
        <v>94.28</v>
      </c>
    </row>
    <row r="101" spans="2:5" x14ac:dyDescent="0.2">
      <c r="B101" s="111">
        <v>96</v>
      </c>
      <c r="C101" s="439">
        <v>96.67</v>
      </c>
      <c r="D101" s="439">
        <v>97.28</v>
      </c>
      <c r="E101" s="439">
        <v>98.02</v>
      </c>
    </row>
    <row r="102" spans="2:5" x14ac:dyDescent="0.2">
      <c r="B102" s="111">
        <v>97</v>
      </c>
      <c r="C102" s="439">
        <v>100.91</v>
      </c>
      <c r="D102" s="439">
        <v>101.6</v>
      </c>
      <c r="E102" s="439">
        <v>102.33</v>
      </c>
    </row>
    <row r="103" spans="2:5" x14ac:dyDescent="0.2">
      <c r="B103" s="111">
        <v>98</v>
      </c>
      <c r="C103" s="439">
        <v>105.85</v>
      </c>
      <c r="D103" s="439">
        <v>106.62</v>
      </c>
      <c r="E103" s="439">
        <v>107.35</v>
      </c>
    </row>
    <row r="104" spans="2:5" x14ac:dyDescent="0.2">
      <c r="B104" s="111">
        <v>99</v>
      </c>
      <c r="C104" s="439">
        <v>111.66</v>
      </c>
      <c r="D104" s="439">
        <v>112.51</v>
      </c>
      <c r="E104" s="439">
        <v>113.24</v>
      </c>
    </row>
    <row r="105" spans="2:5" x14ac:dyDescent="0.2">
      <c r="B105" s="111">
        <v>100</v>
      </c>
      <c r="C105" s="439">
        <v>118.57</v>
      </c>
      <c r="D105" s="439">
        <v>119.53</v>
      </c>
      <c r="E105" s="439">
        <v>120.26</v>
      </c>
    </row>
  </sheetData>
  <mergeCells count="1">
    <mergeCell ref="B3:J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39997558519241921"/>
  </sheetPr>
  <dimension ref="B3:BK89"/>
  <sheetViews>
    <sheetView topLeftCell="A5" zoomScale="86" zoomScaleNormal="40" workbookViewId="0">
      <selection activeCell="B7" sqref="B7:BK89"/>
    </sheetView>
  </sheetViews>
  <sheetFormatPr defaultColWidth="9.140625" defaultRowHeight="19.5" x14ac:dyDescent="0.25"/>
  <cols>
    <col min="1" max="1" width="2.140625" style="443" customWidth="1"/>
    <col min="2" max="2" width="25.42578125" style="442" customWidth="1"/>
    <col min="3" max="3" width="13" style="442" customWidth="1"/>
    <col min="4" max="4" width="13.5703125" style="442" customWidth="1"/>
    <col min="5" max="8" width="14.42578125" style="442" bestFit="1" customWidth="1"/>
    <col min="9" max="9" width="13.85546875" style="442" customWidth="1"/>
    <col min="10" max="10" width="14.42578125" style="442" customWidth="1"/>
    <col min="11" max="16" width="14.42578125" style="442" bestFit="1" customWidth="1"/>
    <col min="17" max="17" width="14.42578125" style="442" customWidth="1"/>
    <col min="18" max="19" width="12.85546875" style="442" bestFit="1" customWidth="1"/>
    <col min="20" max="20" width="12.85546875" style="442" customWidth="1"/>
    <col min="21" max="21" width="12.85546875" style="442" bestFit="1" customWidth="1"/>
    <col min="22" max="22" width="13" style="442" bestFit="1" customWidth="1"/>
    <col min="23" max="23" width="32" style="442" bestFit="1" customWidth="1"/>
    <col min="24" max="24" width="13.140625" style="442" bestFit="1" customWidth="1"/>
    <col min="25" max="38" width="14.42578125" style="442" bestFit="1" customWidth="1"/>
    <col min="39" max="40" width="12.85546875" style="442" bestFit="1" customWidth="1"/>
    <col min="41" max="41" width="12.85546875" style="442" customWidth="1"/>
    <col min="42" max="42" width="12.85546875" style="442" bestFit="1" customWidth="1"/>
    <col min="43" max="43" width="8.42578125" style="442" bestFit="1" customWidth="1"/>
    <col min="44" max="44" width="20.5703125" style="442" bestFit="1" customWidth="1"/>
    <col min="45" max="45" width="13.140625" style="442" bestFit="1" customWidth="1"/>
    <col min="46" max="59" width="14.42578125" style="442" bestFit="1" customWidth="1"/>
    <col min="60" max="61" width="12.85546875" style="442" bestFit="1" customWidth="1"/>
    <col min="62" max="62" width="12.85546875" style="442" customWidth="1"/>
    <col min="63" max="63" width="12.85546875" style="442" bestFit="1" customWidth="1"/>
    <col min="64" max="16384" width="9.140625" style="443"/>
  </cols>
  <sheetData>
    <row r="3" spans="2:63" ht="38.25" customHeight="1" x14ac:dyDescent="0.25">
      <c r="B3" s="444"/>
      <c r="C3" s="774" t="s">
        <v>163</v>
      </c>
      <c r="D3" s="775"/>
      <c r="E3" s="775"/>
      <c r="F3" s="775"/>
      <c r="G3" s="775"/>
      <c r="H3" s="775"/>
      <c r="I3" s="775"/>
      <c r="J3" s="775"/>
      <c r="K3" s="775"/>
      <c r="L3" s="775"/>
      <c r="M3" s="775"/>
      <c r="N3" s="775"/>
      <c r="O3" s="775"/>
      <c r="P3" s="775"/>
      <c r="Q3" s="775"/>
      <c r="R3" s="775"/>
      <c r="S3" s="775"/>
      <c r="T3" s="775"/>
      <c r="U3" s="776"/>
      <c r="X3" s="774" t="s">
        <v>163</v>
      </c>
      <c r="Y3" s="775"/>
      <c r="Z3" s="775"/>
      <c r="AA3" s="775"/>
      <c r="AB3" s="775"/>
      <c r="AC3" s="775"/>
      <c r="AD3" s="775"/>
      <c r="AE3" s="775"/>
      <c r="AF3" s="775"/>
      <c r="AG3" s="775"/>
      <c r="AH3" s="775"/>
      <c r="AI3" s="775"/>
      <c r="AJ3" s="775"/>
      <c r="AK3" s="775"/>
      <c r="AL3" s="775"/>
      <c r="AM3" s="775"/>
      <c r="AN3" s="775"/>
      <c r="AO3" s="775"/>
      <c r="AP3" s="776"/>
      <c r="AS3" s="774" t="s">
        <v>163</v>
      </c>
      <c r="AT3" s="775"/>
      <c r="AU3" s="775"/>
      <c r="AV3" s="775"/>
      <c r="AW3" s="775"/>
      <c r="AX3" s="775"/>
      <c r="AY3" s="775"/>
      <c r="AZ3" s="775"/>
      <c r="BA3" s="775"/>
      <c r="BB3" s="775"/>
      <c r="BC3" s="775"/>
      <c r="BD3" s="775"/>
      <c r="BE3" s="775"/>
      <c r="BF3" s="775"/>
      <c r="BG3" s="775"/>
      <c r="BH3" s="775"/>
      <c r="BI3" s="775"/>
      <c r="BJ3" s="775"/>
      <c r="BK3" s="776"/>
    </row>
    <row r="4" spans="2:63" ht="17.25" customHeight="1" x14ac:dyDescent="0.25">
      <c r="B4" s="444">
        <v>322227.69000000018</v>
      </c>
      <c r="C4" s="442">
        <f>B4-B5</f>
        <v>-2527.1799999999348</v>
      </c>
      <c r="X4" s="444"/>
      <c r="AS4" s="444"/>
    </row>
    <row r="5" spans="2:63" x14ac:dyDescent="0.25">
      <c r="B5" s="442">
        <f>SUM(C7:U89)+SUM(X7:AP89)+SUM(AS7:BK89)</f>
        <v>324754.87000000011</v>
      </c>
      <c r="C5" s="777" t="s">
        <v>164</v>
      </c>
      <c r="D5" s="777"/>
      <c r="E5" s="777"/>
      <c r="F5" s="777"/>
      <c r="G5" s="777"/>
      <c r="H5" s="777"/>
      <c r="I5" s="777"/>
      <c r="J5" s="777"/>
      <c r="K5" s="777"/>
      <c r="L5" s="777"/>
      <c r="M5" s="777"/>
      <c r="N5" s="777"/>
      <c r="O5" s="777"/>
      <c r="P5" s="777"/>
      <c r="Q5" s="777"/>
      <c r="R5" s="777"/>
      <c r="S5" s="777"/>
      <c r="T5" s="777"/>
      <c r="U5" s="777"/>
      <c r="X5" s="777" t="s">
        <v>165</v>
      </c>
      <c r="Y5" s="777"/>
      <c r="Z5" s="777"/>
      <c r="AA5" s="777"/>
      <c r="AB5" s="777"/>
      <c r="AC5" s="777"/>
      <c r="AD5" s="777"/>
      <c r="AE5" s="777"/>
      <c r="AF5" s="777"/>
      <c r="AG5" s="777"/>
      <c r="AH5" s="777"/>
      <c r="AI5" s="777"/>
      <c r="AJ5" s="777"/>
      <c r="AK5" s="777"/>
      <c r="AL5" s="777"/>
      <c r="AM5" s="777"/>
      <c r="AN5" s="777"/>
      <c r="AO5" s="777"/>
      <c r="AP5" s="777"/>
      <c r="AS5" s="777" t="s">
        <v>166</v>
      </c>
      <c r="AT5" s="777"/>
      <c r="AU5" s="777"/>
      <c r="AV5" s="777"/>
      <c r="AW5" s="777"/>
      <c r="AX5" s="777"/>
      <c r="AY5" s="777"/>
      <c r="AZ5" s="777"/>
      <c r="BA5" s="777"/>
      <c r="BB5" s="777"/>
      <c r="BC5" s="777"/>
      <c r="BD5" s="777"/>
      <c r="BE5" s="777"/>
      <c r="BF5" s="777"/>
      <c r="BG5" s="777"/>
      <c r="BH5" s="777"/>
      <c r="BI5" s="777"/>
      <c r="BJ5" s="777"/>
      <c r="BK5" s="777"/>
    </row>
    <row r="6" spans="2:63" s="449" customFormat="1" ht="117" x14ac:dyDescent="0.25">
      <c r="B6" s="445" t="s">
        <v>14</v>
      </c>
      <c r="C6" s="446">
        <v>0</v>
      </c>
      <c r="D6" s="447">
        <v>1</v>
      </c>
      <c r="E6" s="447">
        <v>2</v>
      </c>
      <c r="F6" s="447">
        <v>3</v>
      </c>
      <c r="G6" s="447">
        <v>4</v>
      </c>
      <c r="H6" s="447">
        <v>5</v>
      </c>
      <c r="I6" s="447">
        <v>6</v>
      </c>
      <c r="J6" s="447">
        <v>7</v>
      </c>
      <c r="K6" s="447">
        <v>8</v>
      </c>
      <c r="L6" s="447">
        <v>9</v>
      </c>
      <c r="M6" s="447">
        <v>10</v>
      </c>
      <c r="N6" s="448" t="s">
        <v>15</v>
      </c>
      <c r="O6" s="447" t="s">
        <v>16</v>
      </c>
      <c r="P6" s="447" t="s">
        <v>17</v>
      </c>
      <c r="Q6" s="447" t="s">
        <v>18</v>
      </c>
      <c r="R6" s="447" t="s">
        <v>19</v>
      </c>
      <c r="S6" s="447" t="s">
        <v>20</v>
      </c>
      <c r="T6" s="465" t="s">
        <v>167</v>
      </c>
      <c r="U6" s="466" t="s">
        <v>168</v>
      </c>
      <c r="W6" s="445" t="s">
        <v>14</v>
      </c>
      <c r="X6" s="467">
        <v>0</v>
      </c>
      <c r="Y6" s="465">
        <v>1</v>
      </c>
      <c r="Z6" s="465">
        <v>2</v>
      </c>
      <c r="AA6" s="465">
        <v>3</v>
      </c>
      <c r="AB6" s="465">
        <v>4</v>
      </c>
      <c r="AC6" s="465">
        <v>5</v>
      </c>
      <c r="AD6" s="465">
        <v>6</v>
      </c>
      <c r="AE6" s="465">
        <v>7</v>
      </c>
      <c r="AF6" s="465">
        <v>8</v>
      </c>
      <c r="AG6" s="465">
        <v>9</v>
      </c>
      <c r="AH6" s="465">
        <v>10</v>
      </c>
      <c r="AI6" s="468" t="s">
        <v>15</v>
      </c>
      <c r="AJ6" s="465" t="s">
        <v>16</v>
      </c>
      <c r="AK6" s="465" t="s">
        <v>17</v>
      </c>
      <c r="AL6" s="465" t="s">
        <v>18</v>
      </c>
      <c r="AM6" s="465" t="s">
        <v>19</v>
      </c>
      <c r="AN6" s="465" t="s">
        <v>20</v>
      </c>
      <c r="AO6" s="465" t="s">
        <v>167</v>
      </c>
      <c r="AP6" s="465" t="s">
        <v>168</v>
      </c>
      <c r="AR6" s="445" t="s">
        <v>14</v>
      </c>
      <c r="AS6" s="446">
        <v>0</v>
      </c>
      <c r="AT6" s="447">
        <v>1</v>
      </c>
      <c r="AU6" s="447">
        <v>2</v>
      </c>
      <c r="AV6" s="447">
        <v>3</v>
      </c>
      <c r="AW6" s="447">
        <v>4</v>
      </c>
      <c r="AX6" s="447">
        <v>5</v>
      </c>
      <c r="AY6" s="447">
        <v>6</v>
      </c>
      <c r="AZ6" s="447">
        <v>7</v>
      </c>
      <c r="BA6" s="447">
        <v>8</v>
      </c>
      <c r="BB6" s="447">
        <v>9</v>
      </c>
      <c r="BC6" s="447">
        <v>10</v>
      </c>
      <c r="BD6" s="448" t="s">
        <v>15</v>
      </c>
      <c r="BE6" s="447" t="s">
        <v>16</v>
      </c>
      <c r="BF6" s="447" t="s">
        <v>17</v>
      </c>
      <c r="BG6" s="447" t="s">
        <v>18</v>
      </c>
      <c r="BH6" s="447" t="s">
        <v>19</v>
      </c>
      <c r="BI6" s="447" t="s">
        <v>20</v>
      </c>
      <c r="BJ6" s="466" t="s">
        <v>167</v>
      </c>
      <c r="BK6" s="466" t="s">
        <v>168</v>
      </c>
    </row>
    <row r="7" spans="2:63" x14ac:dyDescent="0.25">
      <c r="B7" s="529">
        <v>18</v>
      </c>
      <c r="C7" s="530">
        <v>56.87</v>
      </c>
      <c r="D7" s="530">
        <v>56.88</v>
      </c>
      <c r="E7" s="530">
        <v>56.9</v>
      </c>
      <c r="F7" s="530">
        <v>56.92</v>
      </c>
      <c r="G7" s="530">
        <v>56.94</v>
      </c>
      <c r="H7" s="530">
        <v>56.96</v>
      </c>
      <c r="I7" s="530">
        <v>56.98</v>
      </c>
      <c r="J7" s="530">
        <v>57</v>
      </c>
      <c r="K7" s="530">
        <v>57.01</v>
      </c>
      <c r="L7" s="530">
        <v>57.03</v>
      </c>
      <c r="M7" s="530">
        <v>57.05</v>
      </c>
      <c r="N7" s="530">
        <v>57.07</v>
      </c>
      <c r="O7" s="530">
        <v>57.15</v>
      </c>
      <c r="P7" s="530">
        <v>57.22</v>
      </c>
      <c r="Q7" s="530">
        <v>57.29</v>
      </c>
      <c r="R7" s="530">
        <v>57.34</v>
      </c>
      <c r="S7" s="530">
        <v>57.4</v>
      </c>
      <c r="T7" s="530">
        <v>57.44</v>
      </c>
      <c r="U7" s="530">
        <v>57.49</v>
      </c>
      <c r="V7" s="531"/>
      <c r="W7" s="529">
        <v>18</v>
      </c>
      <c r="X7" s="530">
        <v>57.06</v>
      </c>
      <c r="Y7" s="530">
        <v>57.08</v>
      </c>
      <c r="Z7" s="530">
        <v>57.09</v>
      </c>
      <c r="AA7" s="530">
        <v>57.11</v>
      </c>
      <c r="AB7" s="530">
        <v>57.13</v>
      </c>
      <c r="AC7" s="530">
        <v>57.15</v>
      </c>
      <c r="AD7" s="530">
        <v>57.17</v>
      </c>
      <c r="AE7" s="530">
        <v>57.19</v>
      </c>
      <c r="AF7" s="530">
        <v>57.21</v>
      </c>
      <c r="AG7" s="530">
        <v>57.22</v>
      </c>
      <c r="AH7" s="530">
        <v>57.24</v>
      </c>
      <c r="AI7" s="530">
        <v>57.26</v>
      </c>
      <c r="AJ7" s="530">
        <v>57.34</v>
      </c>
      <c r="AK7" s="530">
        <v>57.41</v>
      </c>
      <c r="AL7" s="530">
        <v>57.48</v>
      </c>
      <c r="AM7" s="530">
        <v>57.54</v>
      </c>
      <c r="AN7" s="530">
        <v>57.59</v>
      </c>
      <c r="AO7" s="530">
        <v>57.64</v>
      </c>
      <c r="AP7" s="530">
        <v>57.68</v>
      </c>
      <c r="AQ7" s="531"/>
      <c r="AR7" s="529">
        <v>18</v>
      </c>
      <c r="AS7" s="530">
        <v>57.49</v>
      </c>
      <c r="AT7" s="530">
        <v>57.51</v>
      </c>
      <c r="AU7" s="530">
        <v>57.53</v>
      </c>
      <c r="AV7" s="530">
        <v>57.55</v>
      </c>
      <c r="AW7" s="530">
        <v>57.57</v>
      </c>
      <c r="AX7" s="530">
        <v>57.59</v>
      </c>
      <c r="AY7" s="530">
        <v>57.61</v>
      </c>
      <c r="AZ7" s="530">
        <v>57.63</v>
      </c>
      <c r="BA7" s="530">
        <v>57.64</v>
      </c>
      <c r="BB7" s="530">
        <v>57.66</v>
      </c>
      <c r="BC7" s="530">
        <v>57.68</v>
      </c>
      <c r="BD7" s="530">
        <v>57.7</v>
      </c>
      <c r="BE7" s="530">
        <v>57.78</v>
      </c>
      <c r="BF7" s="530">
        <v>57.86</v>
      </c>
      <c r="BG7" s="530">
        <v>57.92</v>
      </c>
      <c r="BH7" s="530">
        <v>57.98</v>
      </c>
      <c r="BI7" s="530">
        <v>58.04</v>
      </c>
      <c r="BJ7" s="530">
        <v>58.08</v>
      </c>
      <c r="BK7" s="530">
        <v>58.13</v>
      </c>
    </row>
    <row r="8" spans="2:63" x14ac:dyDescent="0.25">
      <c r="B8" s="529">
        <v>19</v>
      </c>
      <c r="C8" s="530">
        <v>56.96</v>
      </c>
      <c r="D8" s="530">
        <v>56.98</v>
      </c>
      <c r="E8" s="530">
        <v>57</v>
      </c>
      <c r="F8" s="530">
        <v>57.02</v>
      </c>
      <c r="G8" s="530">
        <v>57.04</v>
      </c>
      <c r="H8" s="530">
        <v>57.06</v>
      </c>
      <c r="I8" s="530">
        <v>57.08</v>
      </c>
      <c r="J8" s="530">
        <v>57.1</v>
      </c>
      <c r="K8" s="530">
        <v>57.12</v>
      </c>
      <c r="L8" s="530">
        <v>57.14</v>
      </c>
      <c r="M8" s="530">
        <v>57.16</v>
      </c>
      <c r="N8" s="530">
        <v>57.17</v>
      </c>
      <c r="O8" s="530">
        <v>57.26</v>
      </c>
      <c r="P8" s="530">
        <v>57.34</v>
      </c>
      <c r="Q8" s="530">
        <v>57.41</v>
      </c>
      <c r="R8" s="530">
        <v>57.47</v>
      </c>
      <c r="S8" s="530">
        <v>57.52</v>
      </c>
      <c r="T8" s="530">
        <v>57.57</v>
      </c>
      <c r="U8" s="530">
        <v>57.62</v>
      </c>
      <c r="V8" s="531"/>
      <c r="W8" s="529">
        <v>19</v>
      </c>
      <c r="X8" s="530">
        <v>57.15</v>
      </c>
      <c r="Y8" s="530">
        <v>57.17</v>
      </c>
      <c r="Z8" s="530">
        <v>57.19</v>
      </c>
      <c r="AA8" s="530">
        <v>57.21</v>
      </c>
      <c r="AB8" s="530">
        <v>57.23</v>
      </c>
      <c r="AC8" s="530">
        <v>57.25</v>
      </c>
      <c r="AD8" s="530">
        <v>57.27</v>
      </c>
      <c r="AE8" s="530">
        <v>57.29</v>
      </c>
      <c r="AF8" s="530">
        <v>57.31</v>
      </c>
      <c r="AG8" s="530">
        <v>57.33</v>
      </c>
      <c r="AH8" s="530">
        <v>57.35</v>
      </c>
      <c r="AI8" s="530">
        <v>57.37</v>
      </c>
      <c r="AJ8" s="530">
        <v>57.45</v>
      </c>
      <c r="AK8" s="530">
        <v>57.53</v>
      </c>
      <c r="AL8" s="530">
        <v>57.6</v>
      </c>
      <c r="AM8" s="530">
        <v>57.66</v>
      </c>
      <c r="AN8" s="530">
        <v>57.72</v>
      </c>
      <c r="AO8" s="530">
        <v>57.77</v>
      </c>
      <c r="AP8" s="530">
        <v>57.81</v>
      </c>
      <c r="AQ8" s="531"/>
      <c r="AR8" s="529">
        <v>19</v>
      </c>
      <c r="AS8" s="530">
        <v>57.59</v>
      </c>
      <c r="AT8" s="530">
        <v>57.61</v>
      </c>
      <c r="AU8" s="530">
        <v>57.63</v>
      </c>
      <c r="AV8" s="530">
        <v>57.65</v>
      </c>
      <c r="AW8" s="530">
        <v>57.67</v>
      </c>
      <c r="AX8" s="530">
        <v>57.69</v>
      </c>
      <c r="AY8" s="530">
        <v>57.71</v>
      </c>
      <c r="AZ8" s="530">
        <v>57.73</v>
      </c>
      <c r="BA8" s="530">
        <v>57.75</v>
      </c>
      <c r="BB8" s="530">
        <v>57.77</v>
      </c>
      <c r="BC8" s="530">
        <v>57.79</v>
      </c>
      <c r="BD8" s="530">
        <v>57.81</v>
      </c>
      <c r="BE8" s="530">
        <v>57.9</v>
      </c>
      <c r="BF8" s="530">
        <v>57.97</v>
      </c>
      <c r="BG8" s="530">
        <v>58.04</v>
      </c>
      <c r="BH8" s="530">
        <v>58.11</v>
      </c>
      <c r="BI8" s="530">
        <v>58.16</v>
      </c>
      <c r="BJ8" s="530">
        <v>58.21</v>
      </c>
      <c r="BK8" s="530">
        <v>58.26</v>
      </c>
    </row>
    <row r="9" spans="2:63" x14ac:dyDescent="0.25">
      <c r="B9" s="529">
        <v>20</v>
      </c>
      <c r="C9" s="530">
        <v>57.07</v>
      </c>
      <c r="D9" s="530">
        <v>57.09</v>
      </c>
      <c r="E9" s="530">
        <v>57.11</v>
      </c>
      <c r="F9" s="530">
        <v>57.13</v>
      </c>
      <c r="G9" s="530">
        <v>57.15</v>
      </c>
      <c r="H9" s="530">
        <v>57.17</v>
      </c>
      <c r="I9" s="530">
        <v>57.19</v>
      </c>
      <c r="J9" s="530">
        <v>57.21</v>
      </c>
      <c r="K9" s="530">
        <v>57.23</v>
      </c>
      <c r="L9" s="530">
        <v>57.25</v>
      </c>
      <c r="M9" s="530">
        <v>57.27</v>
      </c>
      <c r="N9" s="530">
        <v>57.29</v>
      </c>
      <c r="O9" s="530">
        <v>57.38</v>
      </c>
      <c r="P9" s="530">
        <v>57.46</v>
      </c>
      <c r="Q9" s="530">
        <v>57.53</v>
      </c>
      <c r="R9" s="530">
        <v>57.6</v>
      </c>
      <c r="S9" s="530">
        <v>57.65</v>
      </c>
      <c r="T9" s="530">
        <v>57.71</v>
      </c>
      <c r="U9" s="530">
        <v>57.76</v>
      </c>
      <c r="V9" s="531"/>
      <c r="W9" s="529">
        <v>20</v>
      </c>
      <c r="X9" s="530">
        <v>57.26</v>
      </c>
      <c r="Y9" s="530">
        <v>57.28</v>
      </c>
      <c r="Z9" s="530">
        <v>57.3</v>
      </c>
      <c r="AA9" s="530">
        <v>57.32</v>
      </c>
      <c r="AB9" s="530">
        <v>57.34</v>
      </c>
      <c r="AC9" s="530">
        <v>57.36</v>
      </c>
      <c r="AD9" s="530">
        <v>57.38</v>
      </c>
      <c r="AE9" s="530">
        <v>57.4</v>
      </c>
      <c r="AF9" s="530">
        <v>57.42</v>
      </c>
      <c r="AG9" s="530">
        <v>57.44</v>
      </c>
      <c r="AH9" s="530">
        <v>57.46</v>
      </c>
      <c r="AI9" s="530">
        <v>57.48</v>
      </c>
      <c r="AJ9" s="530">
        <v>57.57</v>
      </c>
      <c r="AK9" s="530">
        <v>57.65</v>
      </c>
      <c r="AL9" s="530">
        <v>57.73</v>
      </c>
      <c r="AM9" s="530">
        <v>57.79</v>
      </c>
      <c r="AN9" s="530">
        <v>57.85</v>
      </c>
      <c r="AO9" s="530">
        <v>57.9</v>
      </c>
      <c r="AP9" s="530">
        <v>57.95</v>
      </c>
      <c r="AQ9" s="531"/>
      <c r="AR9" s="529">
        <v>20</v>
      </c>
      <c r="AS9" s="530">
        <v>57.7</v>
      </c>
      <c r="AT9" s="530">
        <v>57.72</v>
      </c>
      <c r="AU9" s="530">
        <v>57.74</v>
      </c>
      <c r="AV9" s="530">
        <v>57.76</v>
      </c>
      <c r="AW9" s="530">
        <v>57.78</v>
      </c>
      <c r="AX9" s="530">
        <v>57.8</v>
      </c>
      <c r="AY9" s="530">
        <v>57.82</v>
      </c>
      <c r="AZ9" s="530">
        <v>57.84</v>
      </c>
      <c r="BA9" s="530">
        <v>57.86</v>
      </c>
      <c r="BB9" s="530">
        <v>57.88</v>
      </c>
      <c r="BC9" s="530">
        <v>57.9</v>
      </c>
      <c r="BD9" s="530">
        <v>57.92</v>
      </c>
      <c r="BE9" s="530">
        <v>58.02</v>
      </c>
      <c r="BF9" s="530">
        <v>58.1</v>
      </c>
      <c r="BG9" s="530">
        <v>58.17</v>
      </c>
      <c r="BH9" s="530">
        <v>58.24</v>
      </c>
      <c r="BI9" s="530">
        <v>58.3</v>
      </c>
      <c r="BJ9" s="530">
        <v>58.35</v>
      </c>
      <c r="BK9" s="530">
        <v>58.4</v>
      </c>
    </row>
    <row r="10" spans="2:63" x14ac:dyDescent="0.25">
      <c r="B10" s="529">
        <v>21</v>
      </c>
      <c r="C10" s="530">
        <v>57.17</v>
      </c>
      <c r="D10" s="530">
        <v>57.2</v>
      </c>
      <c r="E10" s="530">
        <v>57.22</v>
      </c>
      <c r="F10" s="530">
        <v>57.24</v>
      </c>
      <c r="G10" s="530">
        <v>57.26</v>
      </c>
      <c r="H10" s="530">
        <v>57.28</v>
      </c>
      <c r="I10" s="530">
        <v>57.3</v>
      </c>
      <c r="J10" s="530">
        <v>57.32</v>
      </c>
      <c r="K10" s="530">
        <v>57.35</v>
      </c>
      <c r="L10" s="530">
        <v>57.37</v>
      </c>
      <c r="M10" s="530">
        <v>57.39</v>
      </c>
      <c r="N10" s="530">
        <v>57.41</v>
      </c>
      <c r="O10" s="530">
        <v>57.5</v>
      </c>
      <c r="P10" s="530">
        <v>57.59</v>
      </c>
      <c r="Q10" s="530">
        <v>57.66</v>
      </c>
      <c r="R10" s="530">
        <v>57.73</v>
      </c>
      <c r="S10" s="530">
        <v>57.79</v>
      </c>
      <c r="T10" s="530">
        <v>57.85</v>
      </c>
      <c r="U10" s="530">
        <v>57.9</v>
      </c>
      <c r="V10" s="531"/>
      <c r="W10" s="529">
        <v>21</v>
      </c>
      <c r="X10" s="530">
        <v>57.37</v>
      </c>
      <c r="Y10" s="530">
        <v>57.39</v>
      </c>
      <c r="Z10" s="530">
        <v>57.41</v>
      </c>
      <c r="AA10" s="530">
        <v>57.43</v>
      </c>
      <c r="AB10" s="530">
        <v>57.45</v>
      </c>
      <c r="AC10" s="530">
        <v>57.48</v>
      </c>
      <c r="AD10" s="530">
        <v>57.5</v>
      </c>
      <c r="AE10" s="530">
        <v>57.52</v>
      </c>
      <c r="AF10" s="530">
        <v>57.54</v>
      </c>
      <c r="AG10" s="530">
        <v>57.56</v>
      </c>
      <c r="AH10" s="530">
        <v>57.58</v>
      </c>
      <c r="AI10" s="530">
        <v>57.6</v>
      </c>
      <c r="AJ10" s="530">
        <v>57.7</v>
      </c>
      <c r="AK10" s="530">
        <v>57.78</v>
      </c>
      <c r="AL10" s="530">
        <v>57.86</v>
      </c>
      <c r="AM10" s="530">
        <v>57.93</v>
      </c>
      <c r="AN10" s="530">
        <v>57.99</v>
      </c>
      <c r="AO10" s="530">
        <v>58.04</v>
      </c>
      <c r="AP10" s="530">
        <v>58.09</v>
      </c>
      <c r="AQ10" s="531"/>
      <c r="AR10" s="529">
        <v>21</v>
      </c>
      <c r="AS10" s="530">
        <v>57.81</v>
      </c>
      <c r="AT10" s="530">
        <v>57.83</v>
      </c>
      <c r="AU10" s="530">
        <v>57.85</v>
      </c>
      <c r="AV10" s="530">
        <v>57.87</v>
      </c>
      <c r="AW10" s="530">
        <v>57.9</v>
      </c>
      <c r="AX10" s="530">
        <v>57.92</v>
      </c>
      <c r="AY10" s="530">
        <v>57.94</v>
      </c>
      <c r="AZ10" s="530">
        <v>57.96</v>
      </c>
      <c r="BA10" s="530">
        <v>57.98</v>
      </c>
      <c r="BB10" s="530">
        <v>58</v>
      </c>
      <c r="BC10" s="530">
        <v>58.02</v>
      </c>
      <c r="BD10" s="530">
        <v>58.04</v>
      </c>
      <c r="BE10" s="530">
        <v>58.14</v>
      </c>
      <c r="BF10" s="530">
        <v>58.23</v>
      </c>
      <c r="BG10" s="530">
        <v>58.31</v>
      </c>
      <c r="BH10" s="530">
        <v>58.38</v>
      </c>
      <c r="BI10" s="530">
        <v>58.44</v>
      </c>
      <c r="BJ10" s="530">
        <v>58.49</v>
      </c>
      <c r="BK10" s="530">
        <v>58.55</v>
      </c>
    </row>
    <row r="11" spans="2:63" x14ac:dyDescent="0.25">
      <c r="B11" s="529">
        <v>22</v>
      </c>
      <c r="C11" s="530">
        <v>57.29</v>
      </c>
      <c r="D11" s="530">
        <v>57.31</v>
      </c>
      <c r="E11" s="530">
        <v>57.33</v>
      </c>
      <c r="F11" s="530">
        <v>57.36</v>
      </c>
      <c r="G11" s="530">
        <v>57.38</v>
      </c>
      <c r="H11" s="530">
        <v>57.4</v>
      </c>
      <c r="I11" s="530">
        <v>57.42</v>
      </c>
      <c r="J11" s="530">
        <v>57.45</v>
      </c>
      <c r="K11" s="530">
        <v>57.47</v>
      </c>
      <c r="L11" s="530">
        <v>57.49</v>
      </c>
      <c r="M11" s="530">
        <v>57.51</v>
      </c>
      <c r="N11" s="530">
        <v>57.53</v>
      </c>
      <c r="O11" s="530">
        <v>57.63</v>
      </c>
      <c r="P11" s="530">
        <v>57.72</v>
      </c>
      <c r="Q11" s="530">
        <v>57.8</v>
      </c>
      <c r="R11" s="530">
        <v>57.87</v>
      </c>
      <c r="S11" s="530">
        <v>57.93</v>
      </c>
      <c r="T11" s="530">
        <v>57.99</v>
      </c>
      <c r="U11" s="530">
        <v>58.05</v>
      </c>
      <c r="V11" s="531"/>
      <c r="W11" s="529">
        <v>22</v>
      </c>
      <c r="X11" s="530">
        <v>57.48</v>
      </c>
      <c r="Y11" s="530">
        <v>57.5</v>
      </c>
      <c r="Z11" s="530">
        <v>57.53</v>
      </c>
      <c r="AA11" s="530">
        <v>57.55</v>
      </c>
      <c r="AB11" s="530">
        <v>57.57</v>
      </c>
      <c r="AC11" s="530">
        <v>57.59</v>
      </c>
      <c r="AD11" s="530">
        <v>57.62</v>
      </c>
      <c r="AE11" s="530">
        <v>57.64</v>
      </c>
      <c r="AF11" s="530">
        <v>57.66</v>
      </c>
      <c r="AG11" s="530">
        <v>57.68</v>
      </c>
      <c r="AH11" s="530">
        <v>57.7</v>
      </c>
      <c r="AI11" s="530">
        <v>57.73</v>
      </c>
      <c r="AJ11" s="530">
        <v>57.83</v>
      </c>
      <c r="AK11" s="530">
        <v>57.92</v>
      </c>
      <c r="AL11" s="530">
        <v>58</v>
      </c>
      <c r="AM11" s="530">
        <v>58.07</v>
      </c>
      <c r="AN11" s="530">
        <v>58.13</v>
      </c>
      <c r="AO11" s="530">
        <v>58.19</v>
      </c>
      <c r="AP11" s="530">
        <v>58.24</v>
      </c>
      <c r="AQ11" s="531"/>
      <c r="AR11" s="529">
        <v>22</v>
      </c>
      <c r="AS11" s="530">
        <v>57.92</v>
      </c>
      <c r="AT11" s="530">
        <v>57.95</v>
      </c>
      <c r="AU11" s="530">
        <v>57.97</v>
      </c>
      <c r="AV11" s="530">
        <v>57.99</v>
      </c>
      <c r="AW11" s="530">
        <v>58.02</v>
      </c>
      <c r="AX11" s="530">
        <v>58.04</v>
      </c>
      <c r="AY11" s="530">
        <v>58.06</v>
      </c>
      <c r="AZ11" s="530">
        <v>58.08</v>
      </c>
      <c r="BA11" s="530">
        <v>58.11</v>
      </c>
      <c r="BB11" s="530">
        <v>58.13</v>
      </c>
      <c r="BC11" s="530">
        <v>58.15</v>
      </c>
      <c r="BD11" s="530">
        <v>58.17</v>
      </c>
      <c r="BE11" s="530">
        <v>58.27</v>
      </c>
      <c r="BF11" s="530">
        <v>58.37</v>
      </c>
      <c r="BG11" s="530">
        <v>58.45</v>
      </c>
      <c r="BH11" s="530">
        <v>58.52</v>
      </c>
      <c r="BI11" s="530">
        <v>58.58</v>
      </c>
      <c r="BJ11" s="530">
        <v>58.64</v>
      </c>
      <c r="BK11" s="530">
        <v>58.7</v>
      </c>
    </row>
    <row r="12" spans="2:63" x14ac:dyDescent="0.25">
      <c r="B12" s="529">
        <v>23</v>
      </c>
      <c r="C12" s="530">
        <v>57.4</v>
      </c>
      <c r="D12" s="530">
        <v>57.43</v>
      </c>
      <c r="E12" s="530">
        <v>57.45</v>
      </c>
      <c r="F12" s="530">
        <v>57.48</v>
      </c>
      <c r="G12" s="530">
        <v>57.5</v>
      </c>
      <c r="H12" s="530">
        <v>57.52</v>
      </c>
      <c r="I12" s="530">
        <v>57.55</v>
      </c>
      <c r="J12" s="530">
        <v>57.57</v>
      </c>
      <c r="K12" s="530">
        <v>57.59</v>
      </c>
      <c r="L12" s="530">
        <v>57.62</v>
      </c>
      <c r="M12" s="530">
        <v>57.64</v>
      </c>
      <c r="N12" s="530">
        <v>57.66</v>
      </c>
      <c r="O12" s="530">
        <v>57.77</v>
      </c>
      <c r="P12" s="530">
        <v>57.86</v>
      </c>
      <c r="Q12" s="530">
        <v>57.95</v>
      </c>
      <c r="R12" s="530">
        <v>58.02</v>
      </c>
      <c r="S12" s="530">
        <v>58.09</v>
      </c>
      <c r="T12" s="530">
        <v>58.15</v>
      </c>
      <c r="U12" s="530">
        <v>58.2</v>
      </c>
      <c r="V12" s="531"/>
      <c r="W12" s="529">
        <v>23</v>
      </c>
      <c r="X12" s="530">
        <v>57.6</v>
      </c>
      <c r="Y12" s="530">
        <v>57.62</v>
      </c>
      <c r="Z12" s="530">
        <v>57.65</v>
      </c>
      <c r="AA12" s="530">
        <v>57.67</v>
      </c>
      <c r="AB12" s="530">
        <v>57.69</v>
      </c>
      <c r="AC12" s="530">
        <v>57.72</v>
      </c>
      <c r="AD12" s="530">
        <v>57.74</v>
      </c>
      <c r="AE12" s="530">
        <v>57.77</v>
      </c>
      <c r="AF12" s="530">
        <v>57.79</v>
      </c>
      <c r="AG12" s="530">
        <v>57.81</v>
      </c>
      <c r="AH12" s="530">
        <v>57.83</v>
      </c>
      <c r="AI12" s="530">
        <v>57.86</v>
      </c>
      <c r="AJ12" s="530">
        <v>57.96</v>
      </c>
      <c r="AK12" s="530">
        <v>58.06</v>
      </c>
      <c r="AL12" s="530">
        <v>58.14</v>
      </c>
      <c r="AM12" s="530">
        <v>58.22</v>
      </c>
      <c r="AN12" s="530">
        <v>58.28</v>
      </c>
      <c r="AO12" s="530">
        <v>58.34</v>
      </c>
      <c r="AP12" s="530">
        <v>58.4</v>
      </c>
      <c r="AQ12" s="531"/>
      <c r="AR12" s="529">
        <v>23</v>
      </c>
      <c r="AS12" s="530">
        <v>58.04</v>
      </c>
      <c r="AT12" s="530">
        <v>58.07</v>
      </c>
      <c r="AU12" s="530">
        <v>58.09</v>
      </c>
      <c r="AV12" s="530">
        <v>58.12</v>
      </c>
      <c r="AW12" s="530">
        <v>58.14</v>
      </c>
      <c r="AX12" s="530">
        <v>58.17</v>
      </c>
      <c r="AY12" s="530">
        <v>58.19</v>
      </c>
      <c r="AZ12" s="530">
        <v>58.21</v>
      </c>
      <c r="BA12" s="530">
        <v>58.24</v>
      </c>
      <c r="BB12" s="530">
        <v>58.26</v>
      </c>
      <c r="BC12" s="530">
        <v>58.28</v>
      </c>
      <c r="BD12" s="530">
        <v>58.3</v>
      </c>
      <c r="BE12" s="530">
        <v>58.41</v>
      </c>
      <c r="BF12" s="530">
        <v>58.51</v>
      </c>
      <c r="BG12" s="530">
        <v>58.59</v>
      </c>
      <c r="BH12" s="530">
        <v>58.67</v>
      </c>
      <c r="BI12" s="530">
        <v>58.74</v>
      </c>
      <c r="BJ12" s="530">
        <v>58.8</v>
      </c>
      <c r="BK12" s="530">
        <v>58.86</v>
      </c>
    </row>
    <row r="13" spans="2:63" x14ac:dyDescent="0.25">
      <c r="B13" s="529">
        <v>24</v>
      </c>
      <c r="C13" s="530">
        <v>57.53</v>
      </c>
      <c r="D13" s="530">
        <v>57.55</v>
      </c>
      <c r="E13" s="530">
        <v>57.58</v>
      </c>
      <c r="F13" s="530">
        <v>57.6</v>
      </c>
      <c r="G13" s="530">
        <v>57.63</v>
      </c>
      <c r="H13" s="530">
        <v>57.65</v>
      </c>
      <c r="I13" s="530">
        <v>57.68</v>
      </c>
      <c r="J13" s="530">
        <v>57.7</v>
      </c>
      <c r="K13" s="530">
        <v>57.73</v>
      </c>
      <c r="L13" s="530">
        <v>57.75</v>
      </c>
      <c r="M13" s="530">
        <v>57.77</v>
      </c>
      <c r="N13" s="530">
        <v>57.8</v>
      </c>
      <c r="O13" s="530">
        <v>57.91</v>
      </c>
      <c r="P13" s="530">
        <v>58.01</v>
      </c>
      <c r="Q13" s="530">
        <v>58.1</v>
      </c>
      <c r="R13" s="530">
        <v>58.18</v>
      </c>
      <c r="S13" s="530">
        <v>58.24</v>
      </c>
      <c r="T13" s="530">
        <v>58.31</v>
      </c>
      <c r="U13" s="530">
        <v>58.37</v>
      </c>
      <c r="V13" s="531"/>
      <c r="W13" s="529">
        <v>24</v>
      </c>
      <c r="X13" s="530">
        <v>57.72</v>
      </c>
      <c r="Y13" s="530">
        <v>57.75</v>
      </c>
      <c r="Z13" s="530">
        <v>57.77</v>
      </c>
      <c r="AA13" s="530">
        <v>57.8</v>
      </c>
      <c r="AB13" s="530">
        <v>57.82</v>
      </c>
      <c r="AC13" s="530">
        <v>57.85</v>
      </c>
      <c r="AD13" s="530">
        <v>57.87</v>
      </c>
      <c r="AE13" s="530">
        <v>57.9</v>
      </c>
      <c r="AF13" s="530">
        <v>57.92</v>
      </c>
      <c r="AG13" s="530">
        <v>57.95</v>
      </c>
      <c r="AH13" s="530">
        <v>57.97</v>
      </c>
      <c r="AI13" s="530">
        <v>57.99</v>
      </c>
      <c r="AJ13" s="530">
        <v>58.1</v>
      </c>
      <c r="AK13" s="530">
        <v>58.2</v>
      </c>
      <c r="AL13" s="530">
        <v>58.29</v>
      </c>
      <c r="AM13" s="530">
        <v>58.37</v>
      </c>
      <c r="AN13" s="530">
        <v>58.44</v>
      </c>
      <c r="AO13" s="530">
        <v>58.51</v>
      </c>
      <c r="AP13" s="530">
        <v>58.57</v>
      </c>
      <c r="AQ13" s="531"/>
      <c r="AR13" s="529">
        <v>24</v>
      </c>
      <c r="AS13" s="530">
        <v>58.17</v>
      </c>
      <c r="AT13" s="530">
        <v>58.19</v>
      </c>
      <c r="AU13" s="530">
        <v>58.22</v>
      </c>
      <c r="AV13" s="530">
        <v>58.25</v>
      </c>
      <c r="AW13" s="530">
        <v>58.27</v>
      </c>
      <c r="AX13" s="530">
        <v>58.3</v>
      </c>
      <c r="AY13" s="530">
        <v>58.32</v>
      </c>
      <c r="AZ13" s="530">
        <v>58.35</v>
      </c>
      <c r="BA13" s="530">
        <v>58.37</v>
      </c>
      <c r="BB13" s="530">
        <v>58.4</v>
      </c>
      <c r="BC13" s="530">
        <v>58.42</v>
      </c>
      <c r="BD13" s="530">
        <v>58.44</v>
      </c>
      <c r="BE13" s="530">
        <v>58.56</v>
      </c>
      <c r="BF13" s="530">
        <v>58.66</v>
      </c>
      <c r="BG13" s="530">
        <v>58.75</v>
      </c>
      <c r="BH13" s="530">
        <v>58.83</v>
      </c>
      <c r="BI13" s="530">
        <v>58.9</v>
      </c>
      <c r="BJ13" s="530">
        <v>58.97</v>
      </c>
      <c r="BK13" s="530">
        <v>59.03</v>
      </c>
    </row>
    <row r="14" spans="2:63" x14ac:dyDescent="0.25">
      <c r="B14" s="529">
        <v>25</v>
      </c>
      <c r="C14" s="530">
        <v>57.66</v>
      </c>
      <c r="D14" s="530">
        <v>57.68</v>
      </c>
      <c r="E14" s="530">
        <v>57.71</v>
      </c>
      <c r="F14" s="530">
        <v>57.74</v>
      </c>
      <c r="G14" s="530">
        <v>57.76</v>
      </c>
      <c r="H14" s="530">
        <v>57.79</v>
      </c>
      <c r="I14" s="530">
        <v>57.82</v>
      </c>
      <c r="J14" s="530">
        <v>57.84</v>
      </c>
      <c r="K14" s="530">
        <v>57.87</v>
      </c>
      <c r="L14" s="530">
        <v>57.89</v>
      </c>
      <c r="M14" s="530">
        <v>57.92</v>
      </c>
      <c r="N14" s="530">
        <v>57.94</v>
      </c>
      <c r="O14" s="530">
        <v>58.06</v>
      </c>
      <c r="P14" s="530">
        <v>58.16</v>
      </c>
      <c r="Q14" s="530">
        <v>58.26</v>
      </c>
      <c r="R14" s="530">
        <v>58.34</v>
      </c>
      <c r="S14" s="530">
        <v>58.41</v>
      </c>
      <c r="T14" s="530">
        <v>58.48</v>
      </c>
      <c r="U14" s="530">
        <v>58.54</v>
      </c>
      <c r="V14" s="531"/>
      <c r="W14" s="529">
        <v>25</v>
      </c>
      <c r="X14" s="530">
        <v>57.85</v>
      </c>
      <c r="Y14" s="530">
        <v>57.88</v>
      </c>
      <c r="Z14" s="530">
        <v>57.91</v>
      </c>
      <c r="AA14" s="530">
        <v>57.93</v>
      </c>
      <c r="AB14" s="530">
        <v>57.96</v>
      </c>
      <c r="AC14" s="530">
        <v>57.98</v>
      </c>
      <c r="AD14" s="530">
        <v>58.01</v>
      </c>
      <c r="AE14" s="530">
        <v>58.04</v>
      </c>
      <c r="AF14" s="530">
        <v>58.06</v>
      </c>
      <c r="AG14" s="530">
        <v>58.09</v>
      </c>
      <c r="AH14" s="530">
        <v>58.11</v>
      </c>
      <c r="AI14" s="530">
        <v>58.14</v>
      </c>
      <c r="AJ14" s="530">
        <v>58.25</v>
      </c>
      <c r="AK14" s="530">
        <v>58.36</v>
      </c>
      <c r="AL14" s="530">
        <v>58.45</v>
      </c>
      <c r="AM14" s="530">
        <v>58.54</v>
      </c>
      <c r="AN14" s="530">
        <v>58.61</v>
      </c>
      <c r="AO14" s="530">
        <v>58.68</v>
      </c>
      <c r="AP14" s="530">
        <v>58.74</v>
      </c>
      <c r="AQ14" s="531"/>
      <c r="AR14" s="529">
        <v>25</v>
      </c>
      <c r="AS14" s="530">
        <v>58.3</v>
      </c>
      <c r="AT14" s="530">
        <v>58.33</v>
      </c>
      <c r="AU14" s="530">
        <v>58.35</v>
      </c>
      <c r="AV14" s="530">
        <v>58.38</v>
      </c>
      <c r="AW14" s="530">
        <v>58.41</v>
      </c>
      <c r="AX14" s="530">
        <v>58.44</v>
      </c>
      <c r="AY14" s="530">
        <v>58.46</v>
      </c>
      <c r="AZ14" s="530">
        <v>58.49</v>
      </c>
      <c r="BA14" s="530">
        <v>58.51</v>
      </c>
      <c r="BB14" s="530">
        <v>58.54</v>
      </c>
      <c r="BC14" s="530">
        <v>58.57</v>
      </c>
      <c r="BD14" s="530">
        <v>58.59</v>
      </c>
      <c r="BE14" s="530">
        <v>58.71</v>
      </c>
      <c r="BF14" s="530">
        <v>58.82</v>
      </c>
      <c r="BG14" s="530">
        <v>58.91</v>
      </c>
      <c r="BH14" s="530">
        <v>59</v>
      </c>
      <c r="BI14" s="530">
        <v>59.07</v>
      </c>
      <c r="BJ14" s="530">
        <v>59.14</v>
      </c>
      <c r="BK14" s="530">
        <v>59.2</v>
      </c>
    </row>
    <row r="15" spans="2:63" x14ac:dyDescent="0.25">
      <c r="B15" s="529">
        <v>26</v>
      </c>
      <c r="C15" s="530">
        <v>57.79</v>
      </c>
      <c r="D15" s="530">
        <v>57.82</v>
      </c>
      <c r="E15" s="530">
        <v>57.85</v>
      </c>
      <c r="F15" s="530">
        <v>57.88</v>
      </c>
      <c r="G15" s="530">
        <v>57.9</v>
      </c>
      <c r="H15" s="530">
        <v>57.93</v>
      </c>
      <c r="I15" s="530">
        <v>57.96</v>
      </c>
      <c r="J15" s="530">
        <v>57.99</v>
      </c>
      <c r="K15" s="530">
        <v>58.01</v>
      </c>
      <c r="L15" s="530">
        <v>58.04</v>
      </c>
      <c r="M15" s="530">
        <v>58.07</v>
      </c>
      <c r="N15" s="530">
        <v>58.09</v>
      </c>
      <c r="O15" s="530">
        <v>58.21</v>
      </c>
      <c r="P15" s="530">
        <v>58.32</v>
      </c>
      <c r="Q15" s="530">
        <v>58.42</v>
      </c>
      <c r="R15" s="530">
        <v>58.51</v>
      </c>
      <c r="S15" s="530">
        <v>58.59</v>
      </c>
      <c r="T15" s="530">
        <v>58.66</v>
      </c>
      <c r="U15" s="530">
        <v>58.72</v>
      </c>
      <c r="V15" s="531"/>
      <c r="W15" s="529">
        <v>26</v>
      </c>
      <c r="X15" s="530">
        <v>57.99</v>
      </c>
      <c r="Y15" s="530">
        <v>58.02</v>
      </c>
      <c r="Z15" s="530">
        <v>58.04</v>
      </c>
      <c r="AA15" s="530">
        <v>58.07</v>
      </c>
      <c r="AB15" s="530">
        <v>58.1</v>
      </c>
      <c r="AC15" s="530">
        <v>58.13</v>
      </c>
      <c r="AD15" s="530">
        <v>58.16</v>
      </c>
      <c r="AE15" s="530">
        <v>58.18</v>
      </c>
      <c r="AF15" s="530">
        <v>58.21</v>
      </c>
      <c r="AG15" s="530">
        <v>58.24</v>
      </c>
      <c r="AH15" s="530">
        <v>58.26</v>
      </c>
      <c r="AI15" s="530">
        <v>58.29</v>
      </c>
      <c r="AJ15" s="530">
        <v>58.41</v>
      </c>
      <c r="AK15" s="530">
        <v>58.52</v>
      </c>
      <c r="AL15" s="530">
        <v>58.62</v>
      </c>
      <c r="AM15" s="530">
        <v>58.71</v>
      </c>
      <c r="AN15" s="530">
        <v>58.79</v>
      </c>
      <c r="AO15" s="530">
        <v>58.86</v>
      </c>
      <c r="AP15" s="530">
        <v>58.92</v>
      </c>
      <c r="AQ15" s="531"/>
      <c r="AR15" s="529">
        <v>26</v>
      </c>
      <c r="AS15" s="530">
        <v>58.44</v>
      </c>
      <c r="AT15" s="530">
        <v>58.47</v>
      </c>
      <c r="AU15" s="530">
        <v>58.5</v>
      </c>
      <c r="AV15" s="530">
        <v>58.52</v>
      </c>
      <c r="AW15" s="530">
        <v>58.55</v>
      </c>
      <c r="AX15" s="530">
        <v>58.58</v>
      </c>
      <c r="AY15" s="530">
        <v>58.61</v>
      </c>
      <c r="AZ15" s="530">
        <v>58.64</v>
      </c>
      <c r="BA15" s="530">
        <v>58.66</v>
      </c>
      <c r="BB15" s="530">
        <v>58.69</v>
      </c>
      <c r="BC15" s="530">
        <v>58.72</v>
      </c>
      <c r="BD15" s="530">
        <v>58.74</v>
      </c>
      <c r="BE15" s="530">
        <v>58.87</v>
      </c>
      <c r="BF15" s="530">
        <v>58.98</v>
      </c>
      <c r="BG15" s="530">
        <v>59.08</v>
      </c>
      <c r="BH15" s="530">
        <v>59.17</v>
      </c>
      <c r="BI15" s="530">
        <v>59.25</v>
      </c>
      <c r="BJ15" s="530">
        <v>59.32</v>
      </c>
      <c r="BK15" s="530">
        <v>59.39</v>
      </c>
    </row>
    <row r="16" spans="2:63" x14ac:dyDescent="0.25">
      <c r="B16" s="529">
        <v>27</v>
      </c>
      <c r="C16" s="530">
        <v>57.93</v>
      </c>
      <c r="D16" s="530">
        <v>57.96</v>
      </c>
      <c r="E16" s="530">
        <v>57.99</v>
      </c>
      <c r="F16" s="530">
        <v>58.02</v>
      </c>
      <c r="G16" s="530">
        <v>58.05</v>
      </c>
      <c r="H16" s="530">
        <v>58.08</v>
      </c>
      <c r="I16" s="530">
        <v>58.11</v>
      </c>
      <c r="J16" s="530">
        <v>58.14</v>
      </c>
      <c r="K16" s="530">
        <v>58.17</v>
      </c>
      <c r="L16" s="530">
        <v>58.2</v>
      </c>
      <c r="M16" s="530">
        <v>58.22</v>
      </c>
      <c r="N16" s="530">
        <v>58.25</v>
      </c>
      <c r="O16" s="530">
        <v>58.38</v>
      </c>
      <c r="P16" s="530">
        <v>58.5</v>
      </c>
      <c r="Q16" s="530">
        <v>58.6</v>
      </c>
      <c r="R16" s="530">
        <v>58.69</v>
      </c>
      <c r="S16" s="530">
        <v>58.77</v>
      </c>
      <c r="T16" s="530">
        <v>58.85</v>
      </c>
      <c r="U16" s="530">
        <v>58.91</v>
      </c>
      <c r="V16" s="531"/>
      <c r="W16" s="529">
        <v>27</v>
      </c>
      <c r="X16" s="530">
        <v>58.13</v>
      </c>
      <c r="Y16" s="530">
        <v>58.16</v>
      </c>
      <c r="Z16" s="530">
        <v>58.19</v>
      </c>
      <c r="AA16" s="530">
        <v>58.22</v>
      </c>
      <c r="AB16" s="530">
        <v>58.25</v>
      </c>
      <c r="AC16" s="530">
        <v>58.28</v>
      </c>
      <c r="AD16" s="530">
        <v>58.31</v>
      </c>
      <c r="AE16" s="530">
        <v>58.34</v>
      </c>
      <c r="AF16" s="530">
        <v>58.37</v>
      </c>
      <c r="AG16" s="530">
        <v>58.39</v>
      </c>
      <c r="AH16" s="530">
        <v>58.42</v>
      </c>
      <c r="AI16" s="530">
        <v>58.45</v>
      </c>
      <c r="AJ16" s="530">
        <v>58.58</v>
      </c>
      <c r="AK16" s="530">
        <v>58.7</v>
      </c>
      <c r="AL16" s="530">
        <v>58.8</v>
      </c>
      <c r="AM16" s="530">
        <v>58.89</v>
      </c>
      <c r="AN16" s="530">
        <v>58.97</v>
      </c>
      <c r="AO16" s="530">
        <v>59.05</v>
      </c>
      <c r="AP16" s="530">
        <v>59.11</v>
      </c>
      <c r="AQ16" s="531"/>
      <c r="AR16" s="529">
        <v>27</v>
      </c>
      <c r="AS16" s="530">
        <v>58.58</v>
      </c>
      <c r="AT16" s="530">
        <v>58.61</v>
      </c>
      <c r="AU16" s="530">
        <v>58.64</v>
      </c>
      <c r="AV16" s="530">
        <v>58.67</v>
      </c>
      <c r="AW16" s="530">
        <v>58.7</v>
      </c>
      <c r="AX16" s="530">
        <v>58.73</v>
      </c>
      <c r="AY16" s="530">
        <v>58.76</v>
      </c>
      <c r="AZ16" s="530">
        <v>58.79</v>
      </c>
      <c r="BA16" s="530">
        <v>58.82</v>
      </c>
      <c r="BB16" s="530">
        <v>58.85</v>
      </c>
      <c r="BC16" s="530">
        <v>58.88</v>
      </c>
      <c r="BD16" s="530">
        <v>58.91</v>
      </c>
      <c r="BE16" s="530">
        <v>59.04</v>
      </c>
      <c r="BF16" s="530">
        <v>59.16</v>
      </c>
      <c r="BG16" s="530">
        <v>59.26</v>
      </c>
      <c r="BH16" s="530">
        <v>59.36</v>
      </c>
      <c r="BI16" s="530">
        <v>59.44</v>
      </c>
      <c r="BJ16" s="530">
        <v>59.51</v>
      </c>
      <c r="BK16" s="530">
        <v>59.58</v>
      </c>
    </row>
    <row r="17" spans="2:63" x14ac:dyDescent="0.25">
      <c r="B17" s="529">
        <v>28</v>
      </c>
      <c r="C17" s="530">
        <v>58.08</v>
      </c>
      <c r="D17" s="530">
        <v>58.12</v>
      </c>
      <c r="E17" s="530">
        <v>58.15</v>
      </c>
      <c r="F17" s="530">
        <v>58.18</v>
      </c>
      <c r="G17" s="530">
        <v>58.21</v>
      </c>
      <c r="H17" s="530">
        <v>58.24</v>
      </c>
      <c r="I17" s="530">
        <v>58.27</v>
      </c>
      <c r="J17" s="530">
        <v>58.3</v>
      </c>
      <c r="K17" s="530">
        <v>58.33</v>
      </c>
      <c r="L17" s="530">
        <v>58.36</v>
      </c>
      <c r="M17" s="530">
        <v>58.39</v>
      </c>
      <c r="N17" s="530">
        <v>58.42</v>
      </c>
      <c r="O17" s="530">
        <v>58.55</v>
      </c>
      <c r="P17" s="530">
        <v>58.68</v>
      </c>
      <c r="Q17" s="530">
        <v>58.78</v>
      </c>
      <c r="R17" s="530">
        <v>58.88</v>
      </c>
      <c r="S17" s="530">
        <v>58.97</v>
      </c>
      <c r="T17" s="530">
        <v>59.05</v>
      </c>
      <c r="U17" s="530">
        <v>59.11</v>
      </c>
      <c r="V17" s="531"/>
      <c r="W17" s="529">
        <v>28</v>
      </c>
      <c r="X17" s="530">
        <v>58.28</v>
      </c>
      <c r="Y17" s="530">
        <v>58.31</v>
      </c>
      <c r="Z17" s="530">
        <v>58.34</v>
      </c>
      <c r="AA17" s="530">
        <v>58.38</v>
      </c>
      <c r="AB17" s="530">
        <v>58.41</v>
      </c>
      <c r="AC17" s="530">
        <v>58.44</v>
      </c>
      <c r="AD17" s="530">
        <v>58.47</v>
      </c>
      <c r="AE17" s="530">
        <v>58.5</v>
      </c>
      <c r="AF17" s="530">
        <v>58.53</v>
      </c>
      <c r="AG17" s="530">
        <v>58.56</v>
      </c>
      <c r="AH17" s="530">
        <v>58.59</v>
      </c>
      <c r="AI17" s="530">
        <v>58.62</v>
      </c>
      <c r="AJ17" s="530">
        <v>58.75</v>
      </c>
      <c r="AK17" s="530">
        <v>58.88</v>
      </c>
      <c r="AL17" s="530">
        <v>58.99</v>
      </c>
      <c r="AM17" s="530">
        <v>59.08</v>
      </c>
      <c r="AN17" s="530">
        <v>59.17</v>
      </c>
      <c r="AO17" s="530">
        <v>59.25</v>
      </c>
      <c r="AP17" s="530">
        <v>59.31</v>
      </c>
      <c r="AQ17" s="531"/>
      <c r="AR17" s="529">
        <v>28</v>
      </c>
      <c r="AS17" s="530">
        <v>58.74</v>
      </c>
      <c r="AT17" s="530">
        <v>58.77</v>
      </c>
      <c r="AU17" s="530">
        <v>58.8</v>
      </c>
      <c r="AV17" s="530">
        <v>58.83</v>
      </c>
      <c r="AW17" s="530">
        <v>58.86</v>
      </c>
      <c r="AX17" s="530">
        <v>58.89</v>
      </c>
      <c r="AY17" s="530">
        <v>58.93</v>
      </c>
      <c r="AZ17" s="530">
        <v>58.96</v>
      </c>
      <c r="BA17" s="530">
        <v>58.99</v>
      </c>
      <c r="BB17" s="530">
        <v>59.02</v>
      </c>
      <c r="BC17" s="530">
        <v>59.05</v>
      </c>
      <c r="BD17" s="530">
        <v>59.08</v>
      </c>
      <c r="BE17" s="530">
        <v>59.21</v>
      </c>
      <c r="BF17" s="530">
        <v>59.34</v>
      </c>
      <c r="BG17" s="530">
        <v>59.45</v>
      </c>
      <c r="BH17" s="530">
        <v>59.55</v>
      </c>
      <c r="BI17" s="530">
        <v>59.64</v>
      </c>
      <c r="BJ17" s="530">
        <v>59.72</v>
      </c>
      <c r="BK17" s="530">
        <v>59.78</v>
      </c>
    </row>
    <row r="18" spans="2:63" x14ac:dyDescent="0.25">
      <c r="B18" s="529">
        <v>29</v>
      </c>
      <c r="C18" s="530">
        <v>58.24</v>
      </c>
      <c r="D18" s="530">
        <v>58.27</v>
      </c>
      <c r="E18" s="530">
        <v>58.31</v>
      </c>
      <c r="F18" s="530">
        <v>58.34</v>
      </c>
      <c r="G18" s="530">
        <v>58.37</v>
      </c>
      <c r="H18" s="530">
        <v>58.4</v>
      </c>
      <c r="I18" s="530">
        <v>58.44</v>
      </c>
      <c r="J18" s="530">
        <v>58.47</v>
      </c>
      <c r="K18" s="530">
        <v>58.5</v>
      </c>
      <c r="L18" s="530">
        <v>58.53</v>
      </c>
      <c r="M18" s="530">
        <v>58.56</v>
      </c>
      <c r="N18" s="530">
        <v>58.59</v>
      </c>
      <c r="O18" s="530">
        <v>58.74</v>
      </c>
      <c r="P18" s="530">
        <v>58.87</v>
      </c>
      <c r="Q18" s="530">
        <v>58.98</v>
      </c>
      <c r="R18" s="530">
        <v>59.08</v>
      </c>
      <c r="S18" s="530">
        <v>59.17</v>
      </c>
      <c r="T18" s="530">
        <v>59.26</v>
      </c>
      <c r="U18" s="530">
        <v>59.32</v>
      </c>
      <c r="V18" s="531"/>
      <c r="W18" s="529">
        <v>29</v>
      </c>
      <c r="X18" s="530">
        <v>58.44</v>
      </c>
      <c r="Y18" s="530">
        <v>58.47</v>
      </c>
      <c r="Z18" s="530">
        <v>58.51</v>
      </c>
      <c r="AA18" s="530">
        <v>58.54</v>
      </c>
      <c r="AB18" s="530">
        <v>58.57</v>
      </c>
      <c r="AC18" s="530">
        <v>58.6</v>
      </c>
      <c r="AD18" s="530">
        <v>58.64</v>
      </c>
      <c r="AE18" s="530">
        <v>58.67</v>
      </c>
      <c r="AF18" s="530">
        <v>58.7</v>
      </c>
      <c r="AG18" s="530">
        <v>58.73</v>
      </c>
      <c r="AH18" s="530">
        <v>58.76</v>
      </c>
      <c r="AI18" s="530">
        <v>58.79</v>
      </c>
      <c r="AJ18" s="530">
        <v>58.94</v>
      </c>
      <c r="AK18" s="530">
        <v>59.07</v>
      </c>
      <c r="AL18" s="530">
        <v>59.18</v>
      </c>
      <c r="AM18" s="530">
        <v>59.29</v>
      </c>
      <c r="AN18" s="530">
        <v>59.38</v>
      </c>
      <c r="AO18" s="530">
        <v>59.46</v>
      </c>
      <c r="AP18" s="530">
        <v>59.53</v>
      </c>
      <c r="AQ18" s="531"/>
      <c r="AR18" s="529">
        <v>29</v>
      </c>
      <c r="AS18" s="530">
        <v>58.9</v>
      </c>
      <c r="AT18" s="530">
        <v>58.93</v>
      </c>
      <c r="AU18" s="530">
        <v>58.96</v>
      </c>
      <c r="AV18" s="530">
        <v>59</v>
      </c>
      <c r="AW18" s="530">
        <v>59.03</v>
      </c>
      <c r="AX18" s="530">
        <v>59.06</v>
      </c>
      <c r="AY18" s="530">
        <v>59.1</v>
      </c>
      <c r="AZ18" s="530">
        <v>59.13</v>
      </c>
      <c r="BA18" s="530">
        <v>59.16</v>
      </c>
      <c r="BB18" s="530">
        <v>59.19</v>
      </c>
      <c r="BC18" s="530">
        <v>59.22</v>
      </c>
      <c r="BD18" s="530">
        <v>59.26</v>
      </c>
      <c r="BE18" s="530">
        <v>59.4</v>
      </c>
      <c r="BF18" s="530">
        <v>59.53</v>
      </c>
      <c r="BG18" s="530">
        <v>59.65</v>
      </c>
      <c r="BH18" s="530">
        <v>59.76</v>
      </c>
      <c r="BI18" s="530">
        <v>59.85</v>
      </c>
      <c r="BJ18" s="530">
        <v>59.93</v>
      </c>
      <c r="BK18" s="530">
        <v>60</v>
      </c>
    </row>
    <row r="19" spans="2:63" x14ac:dyDescent="0.25">
      <c r="B19" s="529">
        <v>30</v>
      </c>
      <c r="C19" s="530">
        <v>58.41</v>
      </c>
      <c r="D19" s="530">
        <v>58.44</v>
      </c>
      <c r="E19" s="530">
        <v>58.48</v>
      </c>
      <c r="F19" s="530">
        <v>58.51</v>
      </c>
      <c r="G19" s="530">
        <v>58.54</v>
      </c>
      <c r="H19" s="530">
        <v>58.58</v>
      </c>
      <c r="I19" s="530">
        <v>58.61</v>
      </c>
      <c r="J19" s="530">
        <v>58.65</v>
      </c>
      <c r="K19" s="530">
        <v>58.68</v>
      </c>
      <c r="L19" s="530">
        <v>58.71</v>
      </c>
      <c r="M19" s="530">
        <v>58.74</v>
      </c>
      <c r="N19" s="530">
        <v>58.78</v>
      </c>
      <c r="O19" s="530">
        <v>58.93</v>
      </c>
      <c r="P19" s="530">
        <v>59.06</v>
      </c>
      <c r="Q19" s="530">
        <v>59.19</v>
      </c>
      <c r="R19" s="530">
        <v>59.29</v>
      </c>
      <c r="S19" s="530">
        <v>59.39</v>
      </c>
      <c r="T19" s="530">
        <v>59.48</v>
      </c>
      <c r="U19" s="530">
        <v>59.55</v>
      </c>
      <c r="V19" s="531"/>
      <c r="W19" s="529">
        <v>30</v>
      </c>
      <c r="X19" s="530">
        <v>58.61</v>
      </c>
      <c r="Y19" s="530">
        <v>58.64</v>
      </c>
      <c r="Z19" s="530">
        <v>58.68</v>
      </c>
      <c r="AA19" s="530">
        <v>58.71</v>
      </c>
      <c r="AB19" s="530">
        <v>58.74</v>
      </c>
      <c r="AC19" s="530">
        <v>58.78</v>
      </c>
      <c r="AD19" s="530">
        <v>58.81</v>
      </c>
      <c r="AE19" s="530">
        <v>58.85</v>
      </c>
      <c r="AF19" s="530">
        <v>58.88</v>
      </c>
      <c r="AG19" s="530">
        <v>58.91</v>
      </c>
      <c r="AH19" s="530">
        <v>58.95</v>
      </c>
      <c r="AI19" s="530">
        <v>58.98</v>
      </c>
      <c r="AJ19" s="530">
        <v>59.13</v>
      </c>
      <c r="AK19" s="530">
        <v>59.27</v>
      </c>
      <c r="AL19" s="530">
        <v>59.39</v>
      </c>
      <c r="AM19" s="530">
        <v>59.5</v>
      </c>
      <c r="AN19" s="530">
        <v>59.6</v>
      </c>
      <c r="AO19" s="530">
        <v>59.68</v>
      </c>
      <c r="AP19" s="530">
        <v>59.75</v>
      </c>
      <c r="AQ19" s="531"/>
      <c r="AR19" s="529">
        <v>30</v>
      </c>
      <c r="AS19" s="530">
        <v>59.07</v>
      </c>
      <c r="AT19" s="530">
        <v>59.1</v>
      </c>
      <c r="AU19" s="530">
        <v>59.14</v>
      </c>
      <c r="AV19" s="530">
        <v>59.17</v>
      </c>
      <c r="AW19" s="530">
        <v>59.21</v>
      </c>
      <c r="AX19" s="530">
        <v>59.24</v>
      </c>
      <c r="AY19" s="530">
        <v>59.28</v>
      </c>
      <c r="AZ19" s="530">
        <v>59.31</v>
      </c>
      <c r="BA19" s="530">
        <v>59.34</v>
      </c>
      <c r="BB19" s="530">
        <v>59.38</v>
      </c>
      <c r="BC19" s="530">
        <v>59.41</v>
      </c>
      <c r="BD19" s="530">
        <v>59.44</v>
      </c>
      <c r="BE19" s="530">
        <v>59.6</v>
      </c>
      <c r="BF19" s="530">
        <v>59.74</v>
      </c>
      <c r="BG19" s="530">
        <v>59.86</v>
      </c>
      <c r="BH19" s="530">
        <v>59.97</v>
      </c>
      <c r="BI19" s="530">
        <v>60.07</v>
      </c>
      <c r="BJ19" s="530">
        <v>60.16</v>
      </c>
      <c r="BK19" s="530">
        <v>60.23</v>
      </c>
    </row>
    <row r="20" spans="2:63" x14ac:dyDescent="0.25">
      <c r="B20" s="529">
        <v>31</v>
      </c>
      <c r="C20" s="530">
        <v>58.58</v>
      </c>
      <c r="D20" s="530">
        <v>58.62</v>
      </c>
      <c r="E20" s="530">
        <v>58.65</v>
      </c>
      <c r="F20" s="530">
        <v>58.69</v>
      </c>
      <c r="G20" s="530">
        <v>58.73</v>
      </c>
      <c r="H20" s="530">
        <v>58.76</v>
      </c>
      <c r="I20" s="530">
        <v>58.8</v>
      </c>
      <c r="J20" s="530">
        <v>58.83</v>
      </c>
      <c r="K20" s="530">
        <v>58.87</v>
      </c>
      <c r="L20" s="530">
        <v>58.9</v>
      </c>
      <c r="M20" s="530">
        <v>58.94</v>
      </c>
      <c r="N20" s="530">
        <v>58.97</v>
      </c>
      <c r="O20" s="530">
        <v>59.13</v>
      </c>
      <c r="P20" s="530">
        <v>59.28</v>
      </c>
      <c r="Q20" s="530">
        <v>59.4</v>
      </c>
      <c r="R20" s="530">
        <v>59.52</v>
      </c>
      <c r="S20" s="530">
        <v>59.62</v>
      </c>
      <c r="T20" s="530">
        <v>59.71</v>
      </c>
      <c r="U20" s="530">
        <v>59.78</v>
      </c>
      <c r="V20" s="531"/>
      <c r="W20" s="529">
        <v>31</v>
      </c>
      <c r="X20" s="530">
        <v>58.78</v>
      </c>
      <c r="Y20" s="530">
        <v>58.82</v>
      </c>
      <c r="Z20" s="530">
        <v>58.85</v>
      </c>
      <c r="AA20" s="530">
        <v>58.89</v>
      </c>
      <c r="AB20" s="530">
        <v>58.93</v>
      </c>
      <c r="AC20" s="530">
        <v>58.96</v>
      </c>
      <c r="AD20" s="530">
        <v>59</v>
      </c>
      <c r="AE20" s="530">
        <v>59.04</v>
      </c>
      <c r="AF20" s="530">
        <v>59.07</v>
      </c>
      <c r="AG20" s="530">
        <v>59.11</v>
      </c>
      <c r="AH20" s="530">
        <v>59.14</v>
      </c>
      <c r="AI20" s="530">
        <v>59.17</v>
      </c>
      <c r="AJ20" s="530">
        <v>59.33</v>
      </c>
      <c r="AK20" s="530">
        <v>59.48</v>
      </c>
      <c r="AL20" s="530">
        <v>59.61</v>
      </c>
      <c r="AM20" s="530">
        <v>59.72</v>
      </c>
      <c r="AN20" s="530">
        <v>59.83</v>
      </c>
      <c r="AO20" s="530">
        <v>59.92</v>
      </c>
      <c r="AP20" s="530">
        <v>59.99</v>
      </c>
      <c r="AQ20" s="531"/>
      <c r="AR20" s="529">
        <v>31</v>
      </c>
      <c r="AS20" s="530">
        <v>59.24</v>
      </c>
      <c r="AT20" s="530">
        <v>59.28</v>
      </c>
      <c r="AU20" s="530">
        <v>59.32</v>
      </c>
      <c r="AV20" s="530">
        <v>59.36</v>
      </c>
      <c r="AW20" s="530">
        <v>59.39</v>
      </c>
      <c r="AX20" s="530">
        <v>59.43</v>
      </c>
      <c r="AY20" s="530">
        <v>59.47</v>
      </c>
      <c r="AZ20" s="530">
        <v>59.5</v>
      </c>
      <c r="BA20" s="530">
        <v>59.54</v>
      </c>
      <c r="BB20" s="530">
        <v>59.57</v>
      </c>
      <c r="BC20" s="530">
        <v>59.61</v>
      </c>
      <c r="BD20" s="530">
        <v>59.64</v>
      </c>
      <c r="BE20" s="530">
        <v>59.81</v>
      </c>
      <c r="BF20" s="530">
        <v>59.95</v>
      </c>
      <c r="BG20" s="530">
        <v>60.08</v>
      </c>
      <c r="BH20" s="530">
        <v>60.2</v>
      </c>
      <c r="BI20" s="530">
        <v>60.31</v>
      </c>
      <c r="BJ20" s="530">
        <v>60.4</v>
      </c>
      <c r="BK20" s="530">
        <v>60.47</v>
      </c>
    </row>
    <row r="21" spans="2:63" x14ac:dyDescent="0.25">
      <c r="B21" s="529">
        <v>32</v>
      </c>
      <c r="C21" s="530">
        <v>58.77</v>
      </c>
      <c r="D21" s="530">
        <v>58.8</v>
      </c>
      <c r="E21" s="530">
        <v>58.84</v>
      </c>
      <c r="F21" s="530">
        <v>58.88</v>
      </c>
      <c r="G21" s="530">
        <v>58.92</v>
      </c>
      <c r="H21" s="530">
        <v>58.96</v>
      </c>
      <c r="I21" s="530">
        <v>58.99</v>
      </c>
      <c r="J21" s="530">
        <v>59.03</v>
      </c>
      <c r="K21" s="530">
        <v>59.07</v>
      </c>
      <c r="L21" s="530">
        <v>59.11</v>
      </c>
      <c r="M21" s="530">
        <v>59.14</v>
      </c>
      <c r="N21" s="530">
        <v>59.18</v>
      </c>
      <c r="O21" s="530">
        <v>59.35</v>
      </c>
      <c r="P21" s="530">
        <v>59.5</v>
      </c>
      <c r="Q21" s="530">
        <v>59.64</v>
      </c>
      <c r="R21" s="530">
        <v>59.76</v>
      </c>
      <c r="S21" s="530">
        <v>59.87</v>
      </c>
      <c r="T21" s="530">
        <v>59.96</v>
      </c>
      <c r="U21" s="530">
        <v>60.03</v>
      </c>
      <c r="V21" s="531"/>
      <c r="W21" s="529">
        <v>32</v>
      </c>
      <c r="X21" s="530">
        <v>58.97</v>
      </c>
      <c r="Y21" s="530">
        <v>59</v>
      </c>
      <c r="Z21" s="530">
        <v>59.04</v>
      </c>
      <c r="AA21" s="530">
        <v>59.08</v>
      </c>
      <c r="AB21" s="530">
        <v>59.12</v>
      </c>
      <c r="AC21" s="530">
        <v>59.16</v>
      </c>
      <c r="AD21" s="530">
        <v>59.2</v>
      </c>
      <c r="AE21" s="530">
        <v>59.23</v>
      </c>
      <c r="AF21" s="530">
        <v>59.27</v>
      </c>
      <c r="AG21" s="530">
        <v>59.31</v>
      </c>
      <c r="AH21" s="530">
        <v>59.34</v>
      </c>
      <c r="AI21" s="530">
        <v>59.38</v>
      </c>
      <c r="AJ21" s="530">
        <v>59.55</v>
      </c>
      <c r="AK21" s="530">
        <v>59.7</v>
      </c>
      <c r="AL21" s="530">
        <v>59.84</v>
      </c>
      <c r="AM21" s="530">
        <v>59.96</v>
      </c>
      <c r="AN21" s="530">
        <v>60.07</v>
      </c>
      <c r="AO21" s="530">
        <v>60.16</v>
      </c>
      <c r="AP21" s="530">
        <v>60.24</v>
      </c>
      <c r="AQ21" s="531"/>
      <c r="AR21" s="529">
        <v>32</v>
      </c>
      <c r="AS21" s="530">
        <v>59.43</v>
      </c>
      <c r="AT21" s="530">
        <v>59.47</v>
      </c>
      <c r="AU21" s="530">
        <v>59.51</v>
      </c>
      <c r="AV21" s="530">
        <v>59.55</v>
      </c>
      <c r="AW21" s="530">
        <v>59.59</v>
      </c>
      <c r="AX21" s="530">
        <v>59.63</v>
      </c>
      <c r="AY21" s="530">
        <v>59.67</v>
      </c>
      <c r="AZ21" s="530">
        <v>59.7</v>
      </c>
      <c r="BA21" s="530">
        <v>59.74</v>
      </c>
      <c r="BB21" s="530">
        <v>59.78</v>
      </c>
      <c r="BC21" s="530">
        <v>59.82</v>
      </c>
      <c r="BD21" s="530">
        <v>59.85</v>
      </c>
      <c r="BE21" s="530">
        <v>60.02</v>
      </c>
      <c r="BF21" s="530">
        <v>60.18</v>
      </c>
      <c r="BG21" s="530">
        <v>60.32</v>
      </c>
      <c r="BH21" s="530">
        <v>60.44</v>
      </c>
      <c r="BI21" s="530">
        <v>60.55</v>
      </c>
      <c r="BJ21" s="530">
        <v>60.65</v>
      </c>
      <c r="BK21" s="530">
        <v>60.72</v>
      </c>
    </row>
    <row r="22" spans="2:63" x14ac:dyDescent="0.25">
      <c r="B22" s="529">
        <v>33</v>
      </c>
      <c r="C22" s="530">
        <v>58.96</v>
      </c>
      <c r="D22" s="530">
        <v>59</v>
      </c>
      <c r="E22" s="530">
        <v>59.04</v>
      </c>
      <c r="F22" s="530">
        <v>59.08</v>
      </c>
      <c r="G22" s="530">
        <v>59.12</v>
      </c>
      <c r="H22" s="530">
        <v>59.16</v>
      </c>
      <c r="I22" s="530">
        <v>59.2</v>
      </c>
      <c r="J22" s="530">
        <v>59.24</v>
      </c>
      <c r="K22" s="530">
        <v>59.28</v>
      </c>
      <c r="L22" s="530">
        <v>59.32</v>
      </c>
      <c r="M22" s="530">
        <v>59.36</v>
      </c>
      <c r="N22" s="530">
        <v>59.39</v>
      </c>
      <c r="O22" s="530">
        <v>59.57</v>
      </c>
      <c r="P22" s="530">
        <v>59.73</v>
      </c>
      <c r="Q22" s="530">
        <v>59.88</v>
      </c>
      <c r="R22" s="530">
        <v>60.01</v>
      </c>
      <c r="S22" s="530">
        <v>60.12</v>
      </c>
      <c r="T22" s="530">
        <v>60.22</v>
      </c>
      <c r="U22" s="530">
        <v>60.29</v>
      </c>
      <c r="V22" s="531"/>
      <c r="W22" s="529">
        <v>33</v>
      </c>
      <c r="X22" s="530">
        <v>59.16</v>
      </c>
      <c r="Y22" s="530">
        <v>59.2</v>
      </c>
      <c r="Z22" s="530">
        <v>59.24</v>
      </c>
      <c r="AA22" s="530">
        <v>59.28</v>
      </c>
      <c r="AB22" s="530">
        <v>59.32</v>
      </c>
      <c r="AC22" s="530">
        <v>59.36</v>
      </c>
      <c r="AD22" s="530">
        <v>59.4</v>
      </c>
      <c r="AE22" s="530">
        <v>59.44</v>
      </c>
      <c r="AF22" s="530">
        <v>59.48</v>
      </c>
      <c r="AG22" s="530">
        <v>59.52</v>
      </c>
      <c r="AH22" s="530">
        <v>59.56</v>
      </c>
      <c r="AI22" s="530">
        <v>59.6</v>
      </c>
      <c r="AJ22" s="530">
        <v>59.78</v>
      </c>
      <c r="AK22" s="530">
        <v>59.94</v>
      </c>
      <c r="AL22" s="530">
        <v>60.09</v>
      </c>
      <c r="AM22" s="530">
        <v>60.22</v>
      </c>
      <c r="AN22" s="530">
        <v>60.33</v>
      </c>
      <c r="AO22" s="530">
        <v>60.43</v>
      </c>
      <c r="AP22" s="530">
        <v>60.5</v>
      </c>
      <c r="AQ22" s="531"/>
      <c r="AR22" s="529">
        <v>33</v>
      </c>
      <c r="AS22" s="530">
        <v>59.63</v>
      </c>
      <c r="AT22" s="530">
        <v>59.67</v>
      </c>
      <c r="AU22" s="530">
        <v>59.71</v>
      </c>
      <c r="AV22" s="530">
        <v>59.75</v>
      </c>
      <c r="AW22" s="530">
        <v>59.8</v>
      </c>
      <c r="AX22" s="530">
        <v>59.84</v>
      </c>
      <c r="AY22" s="530">
        <v>59.88</v>
      </c>
      <c r="AZ22" s="530">
        <v>59.92</v>
      </c>
      <c r="BA22" s="530">
        <v>59.96</v>
      </c>
      <c r="BB22" s="530">
        <v>60</v>
      </c>
      <c r="BC22" s="530">
        <v>60.04</v>
      </c>
      <c r="BD22" s="530">
        <v>60.07</v>
      </c>
      <c r="BE22" s="530">
        <v>60.26</v>
      </c>
      <c r="BF22" s="530">
        <v>60.42</v>
      </c>
      <c r="BG22" s="530">
        <v>60.57</v>
      </c>
      <c r="BH22" s="530">
        <v>60.7</v>
      </c>
      <c r="BI22" s="530">
        <v>60.82</v>
      </c>
      <c r="BJ22" s="530">
        <v>60.91</v>
      </c>
      <c r="BK22" s="530">
        <v>60.99</v>
      </c>
    </row>
    <row r="23" spans="2:63" x14ac:dyDescent="0.25">
      <c r="B23" s="529">
        <v>34</v>
      </c>
      <c r="C23" s="530">
        <v>59.16</v>
      </c>
      <c r="D23" s="530">
        <v>59.21</v>
      </c>
      <c r="E23" s="530">
        <v>59.25</v>
      </c>
      <c r="F23" s="530">
        <v>59.29</v>
      </c>
      <c r="G23" s="530">
        <v>59.33</v>
      </c>
      <c r="H23" s="530">
        <v>59.38</v>
      </c>
      <c r="I23" s="530">
        <v>59.42</v>
      </c>
      <c r="J23" s="530">
        <v>59.46</v>
      </c>
      <c r="K23" s="530">
        <v>59.5</v>
      </c>
      <c r="L23" s="530">
        <v>59.54</v>
      </c>
      <c r="M23" s="530">
        <v>59.58</v>
      </c>
      <c r="N23" s="530">
        <v>59.62</v>
      </c>
      <c r="O23" s="530">
        <v>59.81</v>
      </c>
      <c r="P23" s="530">
        <v>59.98</v>
      </c>
      <c r="Q23" s="530">
        <v>60.14</v>
      </c>
      <c r="R23" s="530">
        <v>60.28</v>
      </c>
      <c r="S23" s="530">
        <v>60.4</v>
      </c>
      <c r="T23" s="530">
        <v>60.5</v>
      </c>
      <c r="U23" s="530">
        <v>60.57</v>
      </c>
      <c r="V23" s="531"/>
      <c r="W23" s="529">
        <v>34</v>
      </c>
      <c r="X23" s="530">
        <v>59.37</v>
      </c>
      <c r="Y23" s="530">
        <v>59.41</v>
      </c>
      <c r="Z23" s="530">
        <v>59.45</v>
      </c>
      <c r="AA23" s="530">
        <v>59.5</v>
      </c>
      <c r="AB23" s="530">
        <v>59.54</v>
      </c>
      <c r="AC23" s="530">
        <v>59.58</v>
      </c>
      <c r="AD23" s="530">
        <v>59.62</v>
      </c>
      <c r="AE23" s="530">
        <v>59.67</v>
      </c>
      <c r="AF23" s="530">
        <v>59.71</v>
      </c>
      <c r="AG23" s="530">
        <v>59.75</v>
      </c>
      <c r="AH23" s="530">
        <v>59.79</v>
      </c>
      <c r="AI23" s="530">
        <v>59.83</v>
      </c>
      <c r="AJ23" s="530">
        <v>60.02</v>
      </c>
      <c r="AK23" s="530">
        <v>60.19</v>
      </c>
      <c r="AL23" s="530">
        <v>60.35</v>
      </c>
      <c r="AM23" s="530">
        <v>60.49</v>
      </c>
      <c r="AN23" s="530">
        <v>60.61</v>
      </c>
      <c r="AO23" s="530">
        <v>60.71</v>
      </c>
      <c r="AP23" s="530">
        <v>60.78</v>
      </c>
      <c r="AQ23" s="531"/>
      <c r="AR23" s="529">
        <v>34</v>
      </c>
      <c r="AS23" s="530">
        <v>59.84</v>
      </c>
      <c r="AT23" s="530">
        <v>59.88</v>
      </c>
      <c r="AU23" s="530">
        <v>59.93</v>
      </c>
      <c r="AV23" s="530">
        <v>59.97</v>
      </c>
      <c r="AW23" s="530">
        <v>60.01</v>
      </c>
      <c r="AX23" s="530">
        <v>60.06</v>
      </c>
      <c r="AY23" s="530">
        <v>60.1</v>
      </c>
      <c r="AZ23" s="530">
        <v>60.14</v>
      </c>
      <c r="BA23" s="530">
        <v>60.18</v>
      </c>
      <c r="BB23" s="530">
        <v>60.23</v>
      </c>
      <c r="BC23" s="530">
        <v>60.27</v>
      </c>
      <c r="BD23" s="530">
        <v>60.31</v>
      </c>
      <c r="BE23" s="530">
        <v>60.5</v>
      </c>
      <c r="BF23" s="530">
        <v>60.68</v>
      </c>
      <c r="BG23" s="530">
        <v>60.83</v>
      </c>
      <c r="BH23" s="530">
        <v>60.97</v>
      </c>
      <c r="BI23" s="530">
        <v>61.1</v>
      </c>
      <c r="BJ23" s="530">
        <v>61.2</v>
      </c>
      <c r="BK23" s="530">
        <v>61.28</v>
      </c>
    </row>
    <row r="24" spans="2:63" x14ac:dyDescent="0.25">
      <c r="B24" s="529">
        <v>35</v>
      </c>
      <c r="C24" s="530">
        <v>59.38</v>
      </c>
      <c r="D24" s="530">
        <v>59.42</v>
      </c>
      <c r="E24" s="530">
        <v>59.47</v>
      </c>
      <c r="F24" s="530">
        <v>59.52</v>
      </c>
      <c r="G24" s="530">
        <v>59.56</v>
      </c>
      <c r="H24" s="530">
        <v>59.6</v>
      </c>
      <c r="I24" s="530">
        <v>59.65</v>
      </c>
      <c r="J24" s="530">
        <v>59.69</v>
      </c>
      <c r="K24" s="530">
        <v>59.74</v>
      </c>
      <c r="L24" s="530">
        <v>59.78</v>
      </c>
      <c r="M24" s="530">
        <v>59.82</v>
      </c>
      <c r="N24" s="530">
        <v>59.86</v>
      </c>
      <c r="O24" s="530">
        <v>60.07</v>
      </c>
      <c r="P24" s="530">
        <v>60.25</v>
      </c>
      <c r="Q24" s="530">
        <v>60.41</v>
      </c>
      <c r="R24" s="530">
        <v>60.56</v>
      </c>
      <c r="S24" s="530">
        <v>60.69</v>
      </c>
      <c r="T24" s="530">
        <v>60.79</v>
      </c>
      <c r="U24" s="530">
        <v>60.87</v>
      </c>
      <c r="V24" s="531"/>
      <c r="W24" s="529">
        <v>35</v>
      </c>
      <c r="X24" s="530">
        <v>59.58</v>
      </c>
      <c r="Y24" s="530">
        <v>59.63</v>
      </c>
      <c r="Z24" s="530">
        <v>59.68</v>
      </c>
      <c r="AA24" s="530">
        <v>59.72</v>
      </c>
      <c r="AB24" s="530">
        <v>59.77</v>
      </c>
      <c r="AC24" s="530">
        <v>59.81</v>
      </c>
      <c r="AD24" s="530">
        <v>59.86</v>
      </c>
      <c r="AE24" s="530">
        <v>59.9</v>
      </c>
      <c r="AF24" s="530">
        <v>59.94</v>
      </c>
      <c r="AG24" s="530">
        <v>59.99</v>
      </c>
      <c r="AH24" s="530">
        <v>60.03</v>
      </c>
      <c r="AI24" s="530">
        <v>60.07</v>
      </c>
      <c r="AJ24" s="530">
        <v>60.27</v>
      </c>
      <c r="AK24" s="530">
        <v>60.46</v>
      </c>
      <c r="AL24" s="530">
        <v>60.62</v>
      </c>
      <c r="AM24" s="530">
        <v>60.77</v>
      </c>
      <c r="AN24" s="530">
        <v>60.9</v>
      </c>
      <c r="AO24" s="530">
        <v>61</v>
      </c>
      <c r="AP24" s="530">
        <v>61.08</v>
      </c>
      <c r="AQ24" s="531"/>
      <c r="AR24" s="529">
        <v>35</v>
      </c>
      <c r="AS24" s="530">
        <v>60.06</v>
      </c>
      <c r="AT24" s="530">
        <v>60.11</v>
      </c>
      <c r="AU24" s="530">
        <v>60.15</v>
      </c>
      <c r="AV24" s="530">
        <v>60.2</v>
      </c>
      <c r="AW24" s="530">
        <v>60.24</v>
      </c>
      <c r="AX24" s="530">
        <v>60.29</v>
      </c>
      <c r="AY24" s="530">
        <v>60.33</v>
      </c>
      <c r="AZ24" s="530">
        <v>60.38</v>
      </c>
      <c r="BA24" s="530">
        <v>60.42</v>
      </c>
      <c r="BB24" s="530">
        <v>60.47</v>
      </c>
      <c r="BC24" s="530">
        <v>60.51</v>
      </c>
      <c r="BD24" s="530">
        <v>60.55</v>
      </c>
      <c r="BE24" s="530">
        <v>60.76</v>
      </c>
      <c r="BF24" s="530">
        <v>60.94</v>
      </c>
      <c r="BG24" s="530">
        <v>61.11</v>
      </c>
      <c r="BH24" s="530">
        <v>61.26</v>
      </c>
      <c r="BI24" s="530">
        <v>61.39</v>
      </c>
      <c r="BJ24" s="530">
        <v>61.5</v>
      </c>
      <c r="BK24" s="530">
        <v>61.58</v>
      </c>
    </row>
    <row r="25" spans="2:63" x14ac:dyDescent="0.25">
      <c r="B25" s="529">
        <v>36</v>
      </c>
      <c r="C25" s="530">
        <v>59.61</v>
      </c>
      <c r="D25" s="530">
        <v>59.65</v>
      </c>
      <c r="E25" s="530">
        <v>59.7</v>
      </c>
      <c r="F25" s="530">
        <v>59.75</v>
      </c>
      <c r="G25" s="530">
        <v>59.8</v>
      </c>
      <c r="H25" s="530">
        <v>59.85</v>
      </c>
      <c r="I25" s="530">
        <v>59.89</v>
      </c>
      <c r="J25" s="530">
        <v>59.94</v>
      </c>
      <c r="K25" s="530">
        <v>59.98</v>
      </c>
      <c r="L25" s="530">
        <v>60.03</v>
      </c>
      <c r="M25" s="530">
        <v>60.08</v>
      </c>
      <c r="N25" s="530">
        <v>60.12</v>
      </c>
      <c r="O25" s="530">
        <v>60.33</v>
      </c>
      <c r="P25" s="530">
        <v>60.52</v>
      </c>
      <c r="Q25" s="530">
        <v>60.7</v>
      </c>
      <c r="R25" s="530">
        <v>60.86</v>
      </c>
      <c r="S25" s="530">
        <v>60.99</v>
      </c>
      <c r="T25" s="530">
        <v>61.1</v>
      </c>
      <c r="U25" s="530">
        <v>61.18</v>
      </c>
      <c r="V25" s="531"/>
      <c r="W25" s="529">
        <v>36</v>
      </c>
      <c r="X25" s="530">
        <v>59.81</v>
      </c>
      <c r="Y25" s="530">
        <v>59.86</v>
      </c>
      <c r="Z25" s="530">
        <v>59.91</v>
      </c>
      <c r="AA25" s="530">
        <v>59.96</v>
      </c>
      <c r="AB25" s="530">
        <v>60</v>
      </c>
      <c r="AC25" s="530">
        <v>60.05</v>
      </c>
      <c r="AD25" s="530">
        <v>60.1</v>
      </c>
      <c r="AE25" s="530">
        <v>60.15</v>
      </c>
      <c r="AF25" s="530">
        <v>60.19</v>
      </c>
      <c r="AG25" s="530">
        <v>60.24</v>
      </c>
      <c r="AH25" s="530">
        <v>60.28</v>
      </c>
      <c r="AI25" s="530">
        <v>60.33</v>
      </c>
      <c r="AJ25" s="530">
        <v>60.54</v>
      </c>
      <c r="AK25" s="530">
        <v>60.74</v>
      </c>
      <c r="AL25" s="530">
        <v>60.91</v>
      </c>
      <c r="AM25" s="530">
        <v>61.07</v>
      </c>
      <c r="AN25" s="530">
        <v>61.2</v>
      </c>
      <c r="AO25" s="530">
        <v>61.31</v>
      </c>
      <c r="AP25" s="530">
        <v>61.4</v>
      </c>
      <c r="AQ25" s="531"/>
      <c r="AR25" s="529">
        <v>36</v>
      </c>
      <c r="AS25" s="530">
        <v>60.29</v>
      </c>
      <c r="AT25" s="530">
        <v>60.34</v>
      </c>
      <c r="AU25" s="530">
        <v>60.39</v>
      </c>
      <c r="AV25" s="530">
        <v>60.44</v>
      </c>
      <c r="AW25" s="530">
        <v>60.49</v>
      </c>
      <c r="AX25" s="530">
        <v>60.53</v>
      </c>
      <c r="AY25" s="530">
        <v>60.58</v>
      </c>
      <c r="AZ25" s="530">
        <v>60.63</v>
      </c>
      <c r="BA25" s="530">
        <v>60.68</v>
      </c>
      <c r="BB25" s="530">
        <v>60.72</v>
      </c>
      <c r="BC25" s="530">
        <v>60.77</v>
      </c>
      <c r="BD25" s="530">
        <v>60.82</v>
      </c>
      <c r="BE25" s="530">
        <v>61.03</v>
      </c>
      <c r="BF25" s="530">
        <v>61.23</v>
      </c>
      <c r="BG25" s="530">
        <v>61.41</v>
      </c>
      <c r="BH25" s="530">
        <v>61.57</v>
      </c>
      <c r="BI25" s="530">
        <v>61.7</v>
      </c>
      <c r="BJ25" s="530">
        <v>61.81</v>
      </c>
      <c r="BK25" s="530">
        <v>61.9</v>
      </c>
    </row>
    <row r="26" spans="2:63" x14ac:dyDescent="0.25">
      <c r="B26" s="529">
        <v>37</v>
      </c>
      <c r="C26" s="530">
        <v>59.85</v>
      </c>
      <c r="D26" s="530">
        <v>59.9</v>
      </c>
      <c r="E26" s="530">
        <v>59.95</v>
      </c>
      <c r="F26" s="530">
        <v>60</v>
      </c>
      <c r="G26" s="530">
        <v>60.05</v>
      </c>
      <c r="H26" s="530">
        <v>60.1</v>
      </c>
      <c r="I26" s="530">
        <v>60.15</v>
      </c>
      <c r="J26" s="530">
        <v>60.2</v>
      </c>
      <c r="K26" s="530">
        <v>60.25</v>
      </c>
      <c r="L26" s="530">
        <v>60.29</v>
      </c>
      <c r="M26" s="530">
        <v>60.34</v>
      </c>
      <c r="N26" s="530">
        <v>60.39</v>
      </c>
      <c r="O26" s="530">
        <v>60.61</v>
      </c>
      <c r="P26" s="530">
        <v>60.82</v>
      </c>
      <c r="Q26" s="530">
        <v>61.01</v>
      </c>
      <c r="R26" s="530">
        <v>61.17</v>
      </c>
      <c r="S26" s="530">
        <v>61.31</v>
      </c>
      <c r="T26" s="530">
        <v>61.43</v>
      </c>
      <c r="U26" s="530">
        <v>61.51</v>
      </c>
      <c r="V26" s="531"/>
      <c r="W26" s="529">
        <v>37</v>
      </c>
      <c r="X26" s="530">
        <v>60.05</v>
      </c>
      <c r="Y26" s="530">
        <v>60.1</v>
      </c>
      <c r="Z26" s="530">
        <v>60.16</v>
      </c>
      <c r="AA26" s="530">
        <v>60.21</v>
      </c>
      <c r="AB26" s="530">
        <v>60.26</v>
      </c>
      <c r="AC26" s="530">
        <v>60.31</v>
      </c>
      <c r="AD26" s="530">
        <v>60.36</v>
      </c>
      <c r="AE26" s="530">
        <v>60.41</v>
      </c>
      <c r="AF26" s="530">
        <v>60.46</v>
      </c>
      <c r="AG26" s="530">
        <v>60.5</v>
      </c>
      <c r="AH26" s="530">
        <v>60.55</v>
      </c>
      <c r="AI26" s="530">
        <v>60.6</v>
      </c>
      <c r="AJ26" s="530">
        <v>60.83</v>
      </c>
      <c r="AK26" s="530">
        <v>61.03</v>
      </c>
      <c r="AL26" s="530">
        <v>61.22</v>
      </c>
      <c r="AM26" s="530">
        <v>61.39</v>
      </c>
      <c r="AN26" s="530">
        <v>61.53</v>
      </c>
      <c r="AO26" s="530">
        <v>61.64</v>
      </c>
      <c r="AP26" s="530">
        <v>61.73</v>
      </c>
      <c r="AQ26" s="531"/>
      <c r="AR26" s="529">
        <v>37</v>
      </c>
      <c r="AS26" s="530">
        <v>60.54</v>
      </c>
      <c r="AT26" s="530">
        <v>60.59</v>
      </c>
      <c r="AU26" s="530">
        <v>60.64</v>
      </c>
      <c r="AV26" s="530">
        <v>60.69</v>
      </c>
      <c r="AW26" s="530">
        <v>60.74</v>
      </c>
      <c r="AX26" s="530">
        <v>60.79</v>
      </c>
      <c r="AY26" s="530">
        <v>60.84</v>
      </c>
      <c r="AZ26" s="530">
        <v>60.89</v>
      </c>
      <c r="BA26" s="530">
        <v>60.94</v>
      </c>
      <c r="BB26" s="530">
        <v>60.99</v>
      </c>
      <c r="BC26" s="530">
        <v>61.04</v>
      </c>
      <c r="BD26" s="530">
        <v>61.09</v>
      </c>
      <c r="BE26" s="530">
        <v>61.32</v>
      </c>
      <c r="BF26" s="530">
        <v>61.53</v>
      </c>
      <c r="BG26" s="530">
        <v>61.72</v>
      </c>
      <c r="BH26" s="530">
        <v>61.89</v>
      </c>
      <c r="BI26" s="530">
        <v>62.03</v>
      </c>
      <c r="BJ26" s="530">
        <v>62.15</v>
      </c>
      <c r="BK26" s="530">
        <v>62.23</v>
      </c>
    </row>
    <row r="27" spans="2:63" x14ac:dyDescent="0.25">
      <c r="B27" s="529">
        <v>38</v>
      </c>
      <c r="C27" s="530">
        <v>60.1</v>
      </c>
      <c r="D27" s="530">
        <v>60.15</v>
      </c>
      <c r="E27" s="530">
        <v>60.21</v>
      </c>
      <c r="F27" s="530">
        <v>60.26</v>
      </c>
      <c r="G27" s="530">
        <v>60.31</v>
      </c>
      <c r="H27" s="530">
        <v>60.37</v>
      </c>
      <c r="I27" s="530">
        <v>60.42</v>
      </c>
      <c r="J27" s="530">
        <v>60.47</v>
      </c>
      <c r="K27" s="530">
        <v>60.52</v>
      </c>
      <c r="L27" s="530">
        <v>60.57</v>
      </c>
      <c r="M27" s="530">
        <v>60.62</v>
      </c>
      <c r="N27" s="530">
        <v>60.67</v>
      </c>
      <c r="O27" s="530">
        <v>60.91</v>
      </c>
      <c r="P27" s="530">
        <v>61.13</v>
      </c>
      <c r="Q27" s="530">
        <v>61.33</v>
      </c>
      <c r="R27" s="530">
        <v>61.51</v>
      </c>
      <c r="S27" s="530">
        <v>61.66</v>
      </c>
      <c r="T27" s="530">
        <v>61.77</v>
      </c>
      <c r="U27" s="530">
        <v>61.86</v>
      </c>
      <c r="V27" s="531"/>
      <c r="W27" s="529">
        <v>38</v>
      </c>
      <c r="X27" s="530">
        <v>60.31</v>
      </c>
      <c r="Y27" s="530">
        <v>60.36</v>
      </c>
      <c r="Z27" s="530">
        <v>60.41</v>
      </c>
      <c r="AA27" s="530">
        <v>60.47</v>
      </c>
      <c r="AB27" s="530">
        <v>60.52</v>
      </c>
      <c r="AC27" s="530">
        <v>60.58</v>
      </c>
      <c r="AD27" s="530">
        <v>60.63</v>
      </c>
      <c r="AE27" s="530">
        <v>60.68</v>
      </c>
      <c r="AF27" s="530">
        <v>60.73</v>
      </c>
      <c r="AG27" s="530">
        <v>60.78</v>
      </c>
      <c r="AH27" s="530">
        <v>60.84</v>
      </c>
      <c r="AI27" s="530">
        <v>60.89</v>
      </c>
      <c r="AJ27" s="530">
        <v>61.13</v>
      </c>
      <c r="AK27" s="530">
        <v>61.34</v>
      </c>
      <c r="AL27" s="530">
        <v>61.55</v>
      </c>
      <c r="AM27" s="530">
        <v>61.72</v>
      </c>
      <c r="AN27" s="530">
        <v>61.87</v>
      </c>
      <c r="AO27" s="530">
        <v>61.99</v>
      </c>
      <c r="AP27" s="530">
        <v>62.08</v>
      </c>
      <c r="AQ27" s="531"/>
      <c r="AR27" s="529">
        <v>38</v>
      </c>
      <c r="AS27" s="530">
        <v>60.79</v>
      </c>
      <c r="AT27" s="530">
        <v>60.85</v>
      </c>
      <c r="AU27" s="530">
        <v>60.9</v>
      </c>
      <c r="AV27" s="530">
        <v>60.96</v>
      </c>
      <c r="AW27" s="530">
        <v>61.01</v>
      </c>
      <c r="AX27" s="530">
        <v>61.07</v>
      </c>
      <c r="AY27" s="530">
        <v>61.12</v>
      </c>
      <c r="AZ27" s="530">
        <v>61.17</v>
      </c>
      <c r="BA27" s="530">
        <v>61.23</v>
      </c>
      <c r="BB27" s="530">
        <v>61.28</v>
      </c>
      <c r="BC27" s="530">
        <v>61.33</v>
      </c>
      <c r="BD27" s="530">
        <v>61.38</v>
      </c>
      <c r="BE27" s="530">
        <v>61.62</v>
      </c>
      <c r="BF27" s="530">
        <v>61.85</v>
      </c>
      <c r="BG27" s="530">
        <v>62.05</v>
      </c>
      <c r="BH27" s="530">
        <v>62.23</v>
      </c>
      <c r="BI27" s="530">
        <v>62.38</v>
      </c>
      <c r="BJ27" s="530">
        <v>62.5</v>
      </c>
      <c r="BK27" s="530">
        <v>62.59</v>
      </c>
    </row>
    <row r="28" spans="2:63" x14ac:dyDescent="0.25">
      <c r="B28" s="529">
        <v>39</v>
      </c>
      <c r="C28" s="530">
        <v>60.36</v>
      </c>
      <c r="D28" s="530">
        <v>60.42</v>
      </c>
      <c r="E28" s="530">
        <v>60.48</v>
      </c>
      <c r="F28" s="530">
        <v>60.53</v>
      </c>
      <c r="G28" s="530">
        <v>60.59</v>
      </c>
      <c r="H28" s="530">
        <v>60.65</v>
      </c>
      <c r="I28" s="530">
        <v>60.7</v>
      </c>
      <c r="J28" s="530">
        <v>60.76</v>
      </c>
      <c r="K28" s="530">
        <v>60.81</v>
      </c>
      <c r="L28" s="530">
        <v>60.87</v>
      </c>
      <c r="M28" s="530">
        <v>60.92</v>
      </c>
      <c r="N28" s="530">
        <v>60.97</v>
      </c>
      <c r="O28" s="530">
        <v>61.23</v>
      </c>
      <c r="P28" s="530">
        <v>61.46</v>
      </c>
      <c r="Q28" s="530">
        <v>61.67</v>
      </c>
      <c r="R28" s="530">
        <v>61.86</v>
      </c>
      <c r="S28" s="530">
        <v>62.02</v>
      </c>
      <c r="T28" s="530">
        <v>62.14</v>
      </c>
      <c r="U28" s="530">
        <v>62.23</v>
      </c>
      <c r="V28" s="531"/>
      <c r="W28" s="529">
        <v>39</v>
      </c>
      <c r="X28" s="530">
        <v>60.57</v>
      </c>
      <c r="Y28" s="530">
        <v>60.63</v>
      </c>
      <c r="Z28" s="530">
        <v>60.69</v>
      </c>
      <c r="AA28" s="530">
        <v>60.75</v>
      </c>
      <c r="AB28" s="530">
        <v>60.8</v>
      </c>
      <c r="AC28" s="530">
        <v>60.86</v>
      </c>
      <c r="AD28" s="530">
        <v>60.91</v>
      </c>
      <c r="AE28" s="530">
        <v>60.97</v>
      </c>
      <c r="AF28" s="530">
        <v>61.03</v>
      </c>
      <c r="AG28" s="530">
        <v>61.08</v>
      </c>
      <c r="AH28" s="530">
        <v>61.13</v>
      </c>
      <c r="AI28" s="530">
        <v>61.19</v>
      </c>
      <c r="AJ28" s="530">
        <v>61.44</v>
      </c>
      <c r="AK28" s="530">
        <v>61.68</v>
      </c>
      <c r="AL28" s="530">
        <v>61.89</v>
      </c>
      <c r="AM28" s="530">
        <v>62.08</v>
      </c>
      <c r="AN28" s="530">
        <v>62.24</v>
      </c>
      <c r="AO28" s="530">
        <v>62.36</v>
      </c>
      <c r="AP28" s="530">
        <v>62.45</v>
      </c>
      <c r="AQ28" s="531"/>
      <c r="AR28" s="529">
        <v>39</v>
      </c>
      <c r="AS28" s="530">
        <v>61.06</v>
      </c>
      <c r="AT28" s="530">
        <v>61.12</v>
      </c>
      <c r="AU28" s="530">
        <v>61.18</v>
      </c>
      <c r="AV28" s="530">
        <v>61.24</v>
      </c>
      <c r="AW28" s="530">
        <v>61.3</v>
      </c>
      <c r="AX28" s="530">
        <v>61.35</v>
      </c>
      <c r="AY28" s="530">
        <v>61.41</v>
      </c>
      <c r="AZ28" s="530">
        <v>61.47</v>
      </c>
      <c r="BA28" s="530">
        <v>61.52</v>
      </c>
      <c r="BB28" s="530">
        <v>61.58</v>
      </c>
      <c r="BC28" s="530">
        <v>61.63</v>
      </c>
      <c r="BD28" s="530">
        <v>61.69</v>
      </c>
      <c r="BE28" s="530">
        <v>61.95</v>
      </c>
      <c r="BF28" s="530">
        <v>62.18</v>
      </c>
      <c r="BG28" s="530">
        <v>62.4</v>
      </c>
      <c r="BH28" s="530">
        <v>62.59</v>
      </c>
      <c r="BI28" s="530">
        <v>62.75</v>
      </c>
      <c r="BJ28" s="530">
        <v>62.88</v>
      </c>
      <c r="BK28" s="530">
        <v>62.97</v>
      </c>
    </row>
    <row r="29" spans="2:63" x14ac:dyDescent="0.25">
      <c r="B29" s="529">
        <v>40</v>
      </c>
      <c r="C29" s="530">
        <v>60.64</v>
      </c>
      <c r="D29" s="530">
        <v>60.7</v>
      </c>
      <c r="E29" s="530">
        <v>60.76</v>
      </c>
      <c r="F29" s="530">
        <v>60.82</v>
      </c>
      <c r="G29" s="530">
        <v>60.88</v>
      </c>
      <c r="H29" s="530">
        <v>60.94</v>
      </c>
      <c r="I29" s="530">
        <v>61</v>
      </c>
      <c r="J29" s="530">
        <v>61.06</v>
      </c>
      <c r="K29" s="530">
        <v>61.12</v>
      </c>
      <c r="L29" s="530">
        <v>61.18</v>
      </c>
      <c r="M29" s="530">
        <v>61.23</v>
      </c>
      <c r="N29" s="530">
        <v>61.29</v>
      </c>
      <c r="O29" s="530">
        <v>61.56</v>
      </c>
      <c r="P29" s="530">
        <v>61.81</v>
      </c>
      <c r="Q29" s="530">
        <v>62.04</v>
      </c>
      <c r="R29" s="530">
        <v>62.24</v>
      </c>
      <c r="S29" s="530">
        <v>62.4</v>
      </c>
      <c r="T29" s="530">
        <v>62.53</v>
      </c>
      <c r="U29" s="530">
        <v>62.62</v>
      </c>
      <c r="V29" s="531"/>
      <c r="W29" s="529">
        <v>40</v>
      </c>
      <c r="X29" s="530">
        <v>60.86</v>
      </c>
      <c r="Y29" s="530">
        <v>60.92</v>
      </c>
      <c r="Z29" s="530">
        <v>60.98</v>
      </c>
      <c r="AA29" s="530">
        <v>61.04</v>
      </c>
      <c r="AB29" s="530">
        <v>61.1</v>
      </c>
      <c r="AC29" s="530">
        <v>61.16</v>
      </c>
      <c r="AD29" s="530">
        <v>61.22</v>
      </c>
      <c r="AE29" s="530">
        <v>61.28</v>
      </c>
      <c r="AF29" s="530">
        <v>61.33</v>
      </c>
      <c r="AG29" s="530">
        <v>61.39</v>
      </c>
      <c r="AH29" s="530">
        <v>61.45</v>
      </c>
      <c r="AI29" s="530">
        <v>61.51</v>
      </c>
      <c r="AJ29" s="530">
        <v>61.78</v>
      </c>
      <c r="AK29" s="530">
        <v>62.03</v>
      </c>
      <c r="AL29" s="530">
        <v>62.26</v>
      </c>
      <c r="AM29" s="530">
        <v>62.46</v>
      </c>
      <c r="AN29" s="530">
        <v>62.62</v>
      </c>
      <c r="AO29" s="530">
        <v>62.75</v>
      </c>
      <c r="AP29" s="530">
        <v>62.85</v>
      </c>
      <c r="AQ29" s="531"/>
      <c r="AR29" s="529">
        <v>40</v>
      </c>
      <c r="AS29" s="530">
        <v>61.35</v>
      </c>
      <c r="AT29" s="530">
        <v>61.41</v>
      </c>
      <c r="AU29" s="530">
        <v>61.47</v>
      </c>
      <c r="AV29" s="530">
        <v>61.54</v>
      </c>
      <c r="AW29" s="530">
        <v>61.6</v>
      </c>
      <c r="AX29" s="530">
        <v>61.66</v>
      </c>
      <c r="AY29" s="530">
        <v>61.72</v>
      </c>
      <c r="AZ29" s="530">
        <v>61.78</v>
      </c>
      <c r="BA29" s="530">
        <v>61.84</v>
      </c>
      <c r="BB29" s="530">
        <v>61.9</v>
      </c>
      <c r="BC29" s="530">
        <v>61.95</v>
      </c>
      <c r="BD29" s="530">
        <v>62.01</v>
      </c>
      <c r="BE29" s="530">
        <v>62.29</v>
      </c>
      <c r="BF29" s="530">
        <v>62.54</v>
      </c>
      <c r="BG29" s="530">
        <v>62.77</v>
      </c>
      <c r="BH29" s="530">
        <v>62.97</v>
      </c>
      <c r="BI29" s="530">
        <v>63.14</v>
      </c>
      <c r="BJ29" s="530">
        <v>63.27</v>
      </c>
      <c r="BK29" s="530">
        <v>63.37</v>
      </c>
    </row>
    <row r="30" spans="2:63" x14ac:dyDescent="0.25">
      <c r="B30" s="529">
        <v>41</v>
      </c>
      <c r="C30" s="530">
        <v>60.94</v>
      </c>
      <c r="D30" s="530">
        <v>61</v>
      </c>
      <c r="E30" s="530">
        <v>61.07</v>
      </c>
      <c r="F30" s="530">
        <v>61.13</v>
      </c>
      <c r="G30" s="530">
        <v>61.19</v>
      </c>
      <c r="H30" s="530">
        <v>61.26</v>
      </c>
      <c r="I30" s="530">
        <v>61.32</v>
      </c>
      <c r="J30" s="530">
        <v>61.38</v>
      </c>
      <c r="K30" s="530">
        <v>61.44</v>
      </c>
      <c r="L30" s="530">
        <v>61.51</v>
      </c>
      <c r="M30" s="530">
        <v>61.57</v>
      </c>
      <c r="N30" s="530">
        <v>61.63</v>
      </c>
      <c r="O30" s="530">
        <v>61.91</v>
      </c>
      <c r="P30" s="530">
        <v>62.18</v>
      </c>
      <c r="Q30" s="530">
        <v>62.42</v>
      </c>
      <c r="R30" s="530">
        <v>62.63</v>
      </c>
      <c r="S30" s="530">
        <v>62.8</v>
      </c>
      <c r="T30" s="530">
        <v>62.94</v>
      </c>
      <c r="U30" s="530">
        <v>63.04</v>
      </c>
      <c r="V30" s="531"/>
      <c r="W30" s="529">
        <v>41</v>
      </c>
      <c r="X30" s="530">
        <v>61.15</v>
      </c>
      <c r="Y30" s="530">
        <v>61.22</v>
      </c>
      <c r="Z30" s="530">
        <v>61.28</v>
      </c>
      <c r="AA30" s="530">
        <v>61.35</v>
      </c>
      <c r="AB30" s="530">
        <v>61.41</v>
      </c>
      <c r="AC30" s="530">
        <v>61.47</v>
      </c>
      <c r="AD30" s="530">
        <v>61.54</v>
      </c>
      <c r="AE30" s="530">
        <v>61.6</v>
      </c>
      <c r="AF30" s="530">
        <v>61.66</v>
      </c>
      <c r="AG30" s="530">
        <v>61.72</v>
      </c>
      <c r="AH30" s="530">
        <v>61.78</v>
      </c>
      <c r="AI30" s="530">
        <v>61.84</v>
      </c>
      <c r="AJ30" s="530">
        <v>62.13</v>
      </c>
      <c r="AK30" s="530">
        <v>62.4</v>
      </c>
      <c r="AL30" s="530">
        <v>62.64</v>
      </c>
      <c r="AM30" s="530">
        <v>62.86</v>
      </c>
      <c r="AN30" s="530">
        <v>63.03</v>
      </c>
      <c r="AO30" s="530">
        <v>63.16</v>
      </c>
      <c r="AP30" s="530">
        <v>63.26</v>
      </c>
      <c r="AQ30" s="531"/>
      <c r="AR30" s="529">
        <v>41</v>
      </c>
      <c r="AS30" s="530">
        <v>61.65</v>
      </c>
      <c r="AT30" s="530">
        <v>61.72</v>
      </c>
      <c r="AU30" s="530">
        <v>61.78</v>
      </c>
      <c r="AV30" s="530">
        <v>61.85</v>
      </c>
      <c r="AW30" s="530">
        <v>61.91</v>
      </c>
      <c r="AX30" s="530">
        <v>61.98</v>
      </c>
      <c r="AY30" s="530">
        <v>62.04</v>
      </c>
      <c r="AZ30" s="530">
        <v>62.11</v>
      </c>
      <c r="BA30" s="530">
        <v>62.17</v>
      </c>
      <c r="BB30" s="530">
        <v>62.23</v>
      </c>
      <c r="BC30" s="530">
        <v>62.29</v>
      </c>
      <c r="BD30" s="530">
        <v>62.35</v>
      </c>
      <c r="BE30" s="530">
        <v>62.65</v>
      </c>
      <c r="BF30" s="530">
        <v>62.92</v>
      </c>
      <c r="BG30" s="530">
        <v>63.16</v>
      </c>
      <c r="BH30" s="530">
        <v>63.38</v>
      </c>
      <c r="BI30" s="530">
        <v>63.55</v>
      </c>
      <c r="BJ30" s="530">
        <v>63.69</v>
      </c>
      <c r="BK30" s="530">
        <v>63.79</v>
      </c>
    </row>
    <row r="31" spans="2:63" x14ac:dyDescent="0.25">
      <c r="B31" s="529">
        <v>42</v>
      </c>
      <c r="C31" s="530">
        <v>61.25</v>
      </c>
      <c r="D31" s="530">
        <v>61.32</v>
      </c>
      <c r="E31" s="530">
        <v>61.39</v>
      </c>
      <c r="F31" s="530">
        <v>61.45</v>
      </c>
      <c r="G31" s="530">
        <v>61.52</v>
      </c>
      <c r="H31" s="530">
        <v>61.59</v>
      </c>
      <c r="I31" s="530">
        <v>61.66</v>
      </c>
      <c r="J31" s="530">
        <v>61.72</v>
      </c>
      <c r="K31" s="530">
        <v>61.79</v>
      </c>
      <c r="L31" s="530">
        <v>61.85</v>
      </c>
      <c r="M31" s="530">
        <v>61.92</v>
      </c>
      <c r="N31" s="530">
        <v>61.98</v>
      </c>
      <c r="O31" s="530">
        <v>62.28</v>
      </c>
      <c r="P31" s="530">
        <v>62.57</v>
      </c>
      <c r="Q31" s="530">
        <v>62.83</v>
      </c>
      <c r="R31" s="530">
        <v>63.05</v>
      </c>
      <c r="S31" s="530">
        <v>63.23</v>
      </c>
      <c r="T31" s="530">
        <v>63.37</v>
      </c>
      <c r="U31" s="530">
        <v>63.47</v>
      </c>
      <c r="V31" s="531"/>
      <c r="W31" s="529">
        <v>42</v>
      </c>
      <c r="X31" s="530">
        <v>61.47</v>
      </c>
      <c r="Y31" s="530">
        <v>61.54</v>
      </c>
      <c r="Z31" s="530">
        <v>61.6</v>
      </c>
      <c r="AA31" s="530">
        <v>61.67</v>
      </c>
      <c r="AB31" s="530">
        <v>61.74</v>
      </c>
      <c r="AC31" s="530">
        <v>61.81</v>
      </c>
      <c r="AD31" s="530">
        <v>61.87</v>
      </c>
      <c r="AE31" s="530">
        <v>61.94</v>
      </c>
      <c r="AF31" s="530">
        <v>62.01</v>
      </c>
      <c r="AG31" s="530">
        <v>62.07</v>
      </c>
      <c r="AH31" s="530">
        <v>62.14</v>
      </c>
      <c r="AI31" s="530">
        <v>62.2</v>
      </c>
      <c r="AJ31" s="530">
        <v>62.51</v>
      </c>
      <c r="AK31" s="530">
        <v>62.79</v>
      </c>
      <c r="AL31" s="530">
        <v>63.05</v>
      </c>
      <c r="AM31" s="530">
        <v>63.28</v>
      </c>
      <c r="AN31" s="530">
        <v>63.46</v>
      </c>
      <c r="AO31" s="530">
        <v>63.6</v>
      </c>
      <c r="AP31" s="530">
        <v>63.7</v>
      </c>
      <c r="AQ31" s="531"/>
      <c r="AR31" s="529">
        <v>42</v>
      </c>
      <c r="AS31" s="530">
        <v>61.97</v>
      </c>
      <c r="AT31" s="530">
        <v>62.04</v>
      </c>
      <c r="AU31" s="530">
        <v>62.11</v>
      </c>
      <c r="AV31" s="530">
        <v>62.18</v>
      </c>
      <c r="AW31" s="530">
        <v>62.25</v>
      </c>
      <c r="AX31" s="530">
        <v>62.32</v>
      </c>
      <c r="AY31" s="530">
        <v>62.38</v>
      </c>
      <c r="AZ31" s="530">
        <v>62.45</v>
      </c>
      <c r="BA31" s="530">
        <v>62.52</v>
      </c>
      <c r="BB31" s="530">
        <v>62.59</v>
      </c>
      <c r="BC31" s="530">
        <v>62.65</v>
      </c>
      <c r="BD31" s="530">
        <v>62.72</v>
      </c>
      <c r="BE31" s="530">
        <v>63.03</v>
      </c>
      <c r="BF31" s="530">
        <v>63.32</v>
      </c>
      <c r="BG31" s="530">
        <v>63.58</v>
      </c>
      <c r="BH31" s="530">
        <v>63.81</v>
      </c>
      <c r="BI31" s="530">
        <v>63.99</v>
      </c>
      <c r="BJ31" s="530">
        <v>64.13</v>
      </c>
      <c r="BK31" s="530">
        <v>64.23</v>
      </c>
    </row>
    <row r="32" spans="2:63" x14ac:dyDescent="0.25">
      <c r="B32" s="529">
        <v>43</v>
      </c>
      <c r="C32" s="530">
        <v>61.58</v>
      </c>
      <c r="D32" s="530">
        <v>61.65</v>
      </c>
      <c r="E32" s="530">
        <v>61.72</v>
      </c>
      <c r="F32" s="530">
        <v>61.8</v>
      </c>
      <c r="G32" s="530">
        <v>61.87</v>
      </c>
      <c r="H32" s="530">
        <v>61.94</v>
      </c>
      <c r="I32" s="530">
        <v>62.01</v>
      </c>
      <c r="J32" s="530">
        <v>62.08</v>
      </c>
      <c r="K32" s="530">
        <v>62.15</v>
      </c>
      <c r="L32" s="530">
        <v>62.22</v>
      </c>
      <c r="M32" s="530">
        <v>62.29</v>
      </c>
      <c r="N32" s="530">
        <v>62.35</v>
      </c>
      <c r="O32" s="530">
        <v>62.68</v>
      </c>
      <c r="P32" s="530">
        <v>62.98</v>
      </c>
      <c r="Q32" s="530">
        <v>63.26</v>
      </c>
      <c r="R32" s="530">
        <v>63.49</v>
      </c>
      <c r="S32" s="530">
        <v>63.68</v>
      </c>
      <c r="T32" s="530">
        <v>63.83</v>
      </c>
      <c r="U32" s="530">
        <v>63.93</v>
      </c>
      <c r="V32" s="531"/>
      <c r="W32" s="529">
        <v>43</v>
      </c>
      <c r="X32" s="530">
        <v>61.8</v>
      </c>
      <c r="Y32" s="530">
        <v>61.87</v>
      </c>
      <c r="Z32" s="530">
        <v>61.94</v>
      </c>
      <c r="AA32" s="530">
        <v>62.01</v>
      </c>
      <c r="AB32" s="530">
        <v>62.09</v>
      </c>
      <c r="AC32" s="530">
        <v>62.16</v>
      </c>
      <c r="AD32" s="530">
        <v>62.23</v>
      </c>
      <c r="AE32" s="530">
        <v>62.3</v>
      </c>
      <c r="AF32" s="530">
        <v>62.37</v>
      </c>
      <c r="AG32" s="530">
        <v>62.44</v>
      </c>
      <c r="AH32" s="530">
        <v>62.51</v>
      </c>
      <c r="AI32" s="530">
        <v>62.58</v>
      </c>
      <c r="AJ32" s="530">
        <v>62.9</v>
      </c>
      <c r="AK32" s="530">
        <v>63.21</v>
      </c>
      <c r="AL32" s="530">
        <v>63.49</v>
      </c>
      <c r="AM32" s="530">
        <v>63.72</v>
      </c>
      <c r="AN32" s="530">
        <v>63.91</v>
      </c>
      <c r="AO32" s="530">
        <v>64.06</v>
      </c>
      <c r="AP32" s="530">
        <v>64.17</v>
      </c>
      <c r="AQ32" s="531"/>
      <c r="AR32" s="529">
        <v>43</v>
      </c>
      <c r="AS32" s="530">
        <v>62.31</v>
      </c>
      <c r="AT32" s="530">
        <v>62.38</v>
      </c>
      <c r="AU32" s="530">
        <v>62.45</v>
      </c>
      <c r="AV32" s="530">
        <v>62.53</v>
      </c>
      <c r="AW32" s="530">
        <v>62.6</v>
      </c>
      <c r="AX32" s="530">
        <v>62.67</v>
      </c>
      <c r="AY32" s="530">
        <v>62.75</v>
      </c>
      <c r="AZ32" s="530">
        <v>62.82</v>
      </c>
      <c r="BA32" s="530">
        <v>62.89</v>
      </c>
      <c r="BB32" s="530">
        <v>62.96</v>
      </c>
      <c r="BC32" s="530">
        <v>63.03</v>
      </c>
      <c r="BD32" s="530">
        <v>63.1</v>
      </c>
      <c r="BE32" s="530">
        <v>63.43</v>
      </c>
      <c r="BF32" s="530">
        <v>63.74</v>
      </c>
      <c r="BG32" s="530">
        <v>64.02</v>
      </c>
      <c r="BH32" s="530">
        <v>64.260000000000005</v>
      </c>
      <c r="BI32" s="530">
        <v>64.45</v>
      </c>
      <c r="BJ32" s="530">
        <v>64.599999999999994</v>
      </c>
      <c r="BK32" s="530">
        <v>64.7</v>
      </c>
    </row>
    <row r="33" spans="2:63" x14ac:dyDescent="0.25">
      <c r="B33" s="529">
        <v>44</v>
      </c>
      <c r="C33" s="530">
        <v>61.93</v>
      </c>
      <c r="D33" s="530">
        <v>62</v>
      </c>
      <c r="E33" s="530">
        <v>62.08</v>
      </c>
      <c r="F33" s="530">
        <v>62.16</v>
      </c>
      <c r="G33" s="530">
        <v>62.23</v>
      </c>
      <c r="H33" s="530">
        <v>62.31</v>
      </c>
      <c r="I33" s="530">
        <v>62.38</v>
      </c>
      <c r="J33" s="530">
        <v>62.46</v>
      </c>
      <c r="K33" s="530">
        <v>62.53</v>
      </c>
      <c r="L33" s="530">
        <v>62.61</v>
      </c>
      <c r="M33" s="530">
        <v>62.68</v>
      </c>
      <c r="N33" s="530">
        <v>62.75</v>
      </c>
      <c r="O33" s="530">
        <v>63.1</v>
      </c>
      <c r="P33" s="530">
        <v>63.42</v>
      </c>
      <c r="Q33" s="530">
        <v>63.72</v>
      </c>
      <c r="R33" s="530">
        <v>63.96</v>
      </c>
      <c r="S33" s="530">
        <v>64.16</v>
      </c>
      <c r="T33" s="530">
        <v>64.31</v>
      </c>
      <c r="U33" s="530">
        <v>64.42</v>
      </c>
      <c r="V33" s="531"/>
      <c r="W33" s="529">
        <v>44</v>
      </c>
      <c r="X33" s="530">
        <v>62.15</v>
      </c>
      <c r="Y33" s="530">
        <v>62.22</v>
      </c>
      <c r="Z33" s="530">
        <v>62.3</v>
      </c>
      <c r="AA33" s="530">
        <v>62.38</v>
      </c>
      <c r="AB33" s="530">
        <v>62.45</v>
      </c>
      <c r="AC33" s="530">
        <v>62.53</v>
      </c>
      <c r="AD33" s="530">
        <v>62.61</v>
      </c>
      <c r="AE33" s="530">
        <v>62.68</v>
      </c>
      <c r="AF33" s="530">
        <v>62.76</v>
      </c>
      <c r="AG33" s="530">
        <v>62.83</v>
      </c>
      <c r="AH33" s="530">
        <v>62.9</v>
      </c>
      <c r="AI33" s="530">
        <v>62.97</v>
      </c>
      <c r="AJ33" s="530">
        <v>63.32</v>
      </c>
      <c r="AK33" s="530">
        <v>63.65</v>
      </c>
      <c r="AL33" s="530">
        <v>63.95</v>
      </c>
      <c r="AM33" s="530">
        <v>64.2</v>
      </c>
      <c r="AN33" s="530">
        <v>64.400000000000006</v>
      </c>
      <c r="AO33" s="530">
        <v>64.55</v>
      </c>
      <c r="AP33" s="530">
        <v>64.66</v>
      </c>
      <c r="AQ33" s="531"/>
      <c r="AR33" s="529">
        <v>44</v>
      </c>
      <c r="AS33" s="530">
        <v>62.66</v>
      </c>
      <c r="AT33" s="530">
        <v>62.74</v>
      </c>
      <c r="AU33" s="530">
        <v>62.82</v>
      </c>
      <c r="AV33" s="530">
        <v>62.9</v>
      </c>
      <c r="AW33" s="530">
        <v>62.97</v>
      </c>
      <c r="AX33" s="530">
        <v>63.05</v>
      </c>
      <c r="AY33" s="530">
        <v>63.13</v>
      </c>
      <c r="AZ33" s="530">
        <v>63.2</v>
      </c>
      <c r="BA33" s="530">
        <v>63.28</v>
      </c>
      <c r="BB33" s="530">
        <v>63.35</v>
      </c>
      <c r="BC33" s="530">
        <v>63.43</v>
      </c>
      <c r="BD33" s="530">
        <v>63.5</v>
      </c>
      <c r="BE33" s="530">
        <v>63.86</v>
      </c>
      <c r="BF33" s="530">
        <v>64.19</v>
      </c>
      <c r="BG33" s="530">
        <v>64.489999999999995</v>
      </c>
      <c r="BH33" s="530">
        <v>64.739999999999995</v>
      </c>
      <c r="BI33" s="530">
        <v>64.94</v>
      </c>
      <c r="BJ33" s="530">
        <v>65.09</v>
      </c>
      <c r="BK33" s="530">
        <v>65.2</v>
      </c>
    </row>
    <row r="34" spans="2:63" x14ac:dyDescent="0.25">
      <c r="B34" s="529">
        <v>45</v>
      </c>
      <c r="C34" s="530">
        <v>62.29</v>
      </c>
      <c r="D34" s="530">
        <v>62.38</v>
      </c>
      <c r="E34" s="530">
        <v>62.46</v>
      </c>
      <c r="F34" s="530">
        <v>62.54</v>
      </c>
      <c r="G34" s="530">
        <v>62.62</v>
      </c>
      <c r="H34" s="530">
        <v>62.7</v>
      </c>
      <c r="I34" s="530">
        <v>62.78</v>
      </c>
      <c r="J34" s="530">
        <v>62.86</v>
      </c>
      <c r="K34" s="530">
        <v>62.94</v>
      </c>
      <c r="L34" s="530">
        <v>63.02</v>
      </c>
      <c r="M34" s="530">
        <v>63.09</v>
      </c>
      <c r="N34" s="530">
        <v>63.17</v>
      </c>
      <c r="O34" s="530">
        <v>63.54</v>
      </c>
      <c r="P34" s="530">
        <v>63.89</v>
      </c>
      <c r="Q34" s="530">
        <v>64.2</v>
      </c>
      <c r="R34" s="530">
        <v>64.459999999999994</v>
      </c>
      <c r="S34" s="530">
        <v>64.67</v>
      </c>
      <c r="T34" s="530">
        <v>64.83</v>
      </c>
      <c r="U34" s="530">
        <v>64.94</v>
      </c>
      <c r="V34" s="531"/>
      <c r="W34" s="529">
        <v>45</v>
      </c>
      <c r="X34" s="530">
        <v>62.52</v>
      </c>
      <c r="Y34" s="530">
        <v>62.6</v>
      </c>
      <c r="Z34" s="530">
        <v>62.68</v>
      </c>
      <c r="AA34" s="530">
        <v>62.76</v>
      </c>
      <c r="AB34" s="530">
        <v>62.84</v>
      </c>
      <c r="AC34" s="530">
        <v>62.92</v>
      </c>
      <c r="AD34" s="530">
        <v>63</v>
      </c>
      <c r="AE34" s="530">
        <v>63.08</v>
      </c>
      <c r="AF34" s="530">
        <v>63.16</v>
      </c>
      <c r="AG34" s="530">
        <v>63.24</v>
      </c>
      <c r="AH34" s="530">
        <v>63.32</v>
      </c>
      <c r="AI34" s="530">
        <v>63.4</v>
      </c>
      <c r="AJ34" s="530">
        <v>63.77</v>
      </c>
      <c r="AK34" s="530">
        <v>64.12</v>
      </c>
      <c r="AL34" s="530">
        <v>64.44</v>
      </c>
      <c r="AM34" s="530">
        <v>64.7</v>
      </c>
      <c r="AN34" s="530">
        <v>64.91</v>
      </c>
      <c r="AO34" s="530">
        <v>65.06</v>
      </c>
      <c r="AP34" s="530">
        <v>65.180000000000007</v>
      </c>
      <c r="AQ34" s="531"/>
      <c r="AR34" s="529">
        <v>45</v>
      </c>
      <c r="AS34" s="530">
        <v>63.04</v>
      </c>
      <c r="AT34" s="530">
        <v>63.12</v>
      </c>
      <c r="AU34" s="530">
        <v>63.2</v>
      </c>
      <c r="AV34" s="530">
        <v>63.29</v>
      </c>
      <c r="AW34" s="530">
        <v>63.37</v>
      </c>
      <c r="AX34" s="530">
        <v>63.45</v>
      </c>
      <c r="AY34" s="530">
        <v>63.53</v>
      </c>
      <c r="AZ34" s="530">
        <v>63.61</v>
      </c>
      <c r="BA34" s="530">
        <v>63.69</v>
      </c>
      <c r="BB34" s="530">
        <v>63.77</v>
      </c>
      <c r="BC34" s="530">
        <v>63.85</v>
      </c>
      <c r="BD34" s="530">
        <v>63.93</v>
      </c>
      <c r="BE34" s="530">
        <v>64.31</v>
      </c>
      <c r="BF34" s="530">
        <v>64.67</v>
      </c>
      <c r="BG34" s="530">
        <v>64.98</v>
      </c>
      <c r="BH34" s="530">
        <v>65.25</v>
      </c>
      <c r="BI34" s="530">
        <v>65.459999999999994</v>
      </c>
      <c r="BJ34" s="530">
        <v>65.62</v>
      </c>
      <c r="BK34" s="530">
        <v>65.73</v>
      </c>
    </row>
    <row r="35" spans="2:63" x14ac:dyDescent="0.25">
      <c r="B35" s="529">
        <v>46</v>
      </c>
      <c r="C35" s="530">
        <v>62.68</v>
      </c>
      <c r="D35" s="530">
        <v>62.77</v>
      </c>
      <c r="E35" s="530">
        <v>62.86</v>
      </c>
      <c r="F35" s="530">
        <v>62.94</v>
      </c>
      <c r="G35" s="530">
        <v>63.03</v>
      </c>
      <c r="H35" s="530">
        <v>63.11</v>
      </c>
      <c r="I35" s="530">
        <v>63.2</v>
      </c>
      <c r="J35" s="530">
        <v>63.28</v>
      </c>
      <c r="K35" s="530">
        <v>63.37</v>
      </c>
      <c r="L35" s="530">
        <v>63.45</v>
      </c>
      <c r="M35" s="530">
        <v>63.53</v>
      </c>
      <c r="N35" s="530">
        <v>63.61</v>
      </c>
      <c r="O35" s="530">
        <v>64.010000000000005</v>
      </c>
      <c r="P35" s="530">
        <v>64.39</v>
      </c>
      <c r="Q35" s="530">
        <v>64.72</v>
      </c>
      <c r="R35" s="530">
        <v>64.989999999999995</v>
      </c>
      <c r="S35" s="530">
        <v>65.209999999999994</v>
      </c>
      <c r="T35" s="530">
        <v>65.37</v>
      </c>
      <c r="U35" s="530">
        <v>65.489999999999995</v>
      </c>
      <c r="V35" s="531"/>
      <c r="W35" s="529">
        <v>46</v>
      </c>
      <c r="X35" s="530">
        <v>62.91</v>
      </c>
      <c r="Y35" s="530">
        <v>62.99</v>
      </c>
      <c r="Z35" s="530">
        <v>63.08</v>
      </c>
      <c r="AA35" s="530">
        <v>63.17</v>
      </c>
      <c r="AB35" s="530">
        <v>63.25</v>
      </c>
      <c r="AC35" s="530">
        <v>63.34</v>
      </c>
      <c r="AD35" s="530">
        <v>63.43</v>
      </c>
      <c r="AE35" s="530">
        <v>63.51</v>
      </c>
      <c r="AF35" s="530">
        <v>63.6</v>
      </c>
      <c r="AG35" s="530">
        <v>63.68</v>
      </c>
      <c r="AH35" s="530">
        <v>63.76</v>
      </c>
      <c r="AI35" s="530">
        <v>63.85</v>
      </c>
      <c r="AJ35" s="530">
        <v>64.239999999999995</v>
      </c>
      <c r="AK35" s="530">
        <v>64.62</v>
      </c>
      <c r="AL35" s="530">
        <v>64.959999999999994</v>
      </c>
      <c r="AM35" s="530">
        <v>65.23</v>
      </c>
      <c r="AN35" s="530">
        <v>65.45</v>
      </c>
      <c r="AO35" s="530">
        <v>65.61</v>
      </c>
      <c r="AP35" s="530">
        <v>65.73</v>
      </c>
      <c r="AQ35" s="531"/>
      <c r="AR35" s="529">
        <v>46</v>
      </c>
      <c r="AS35" s="530">
        <v>63.43</v>
      </c>
      <c r="AT35" s="530">
        <v>63.52</v>
      </c>
      <c r="AU35" s="530">
        <v>63.61</v>
      </c>
      <c r="AV35" s="530">
        <v>63.7</v>
      </c>
      <c r="AW35" s="530">
        <v>63.79</v>
      </c>
      <c r="AX35" s="530">
        <v>63.87</v>
      </c>
      <c r="AY35" s="530">
        <v>63.96</v>
      </c>
      <c r="AZ35" s="530">
        <v>64.05</v>
      </c>
      <c r="BA35" s="530">
        <v>64.13</v>
      </c>
      <c r="BB35" s="530">
        <v>64.22</v>
      </c>
      <c r="BC35" s="530">
        <v>64.3</v>
      </c>
      <c r="BD35" s="530">
        <v>64.39</v>
      </c>
      <c r="BE35" s="530">
        <v>64.790000000000006</v>
      </c>
      <c r="BF35" s="530">
        <v>65.17</v>
      </c>
      <c r="BG35" s="530">
        <v>65.510000000000005</v>
      </c>
      <c r="BH35" s="530">
        <v>65.790000000000006</v>
      </c>
      <c r="BI35" s="530">
        <v>66.010000000000005</v>
      </c>
      <c r="BJ35" s="530">
        <v>66.17</v>
      </c>
      <c r="BK35" s="530">
        <v>66.290000000000006</v>
      </c>
    </row>
    <row r="36" spans="2:63" x14ac:dyDescent="0.25">
      <c r="B36" s="529">
        <v>47</v>
      </c>
      <c r="C36" s="530">
        <v>63.09</v>
      </c>
      <c r="D36" s="530">
        <v>63.19</v>
      </c>
      <c r="E36" s="530">
        <v>63.28</v>
      </c>
      <c r="F36" s="530">
        <v>63.37</v>
      </c>
      <c r="G36" s="530">
        <v>63.46</v>
      </c>
      <c r="H36" s="530">
        <v>63.55</v>
      </c>
      <c r="I36" s="530">
        <v>63.64</v>
      </c>
      <c r="J36" s="530">
        <v>63.73</v>
      </c>
      <c r="K36" s="530">
        <v>63.82</v>
      </c>
      <c r="L36" s="530">
        <v>63.91</v>
      </c>
      <c r="M36" s="530">
        <v>64</v>
      </c>
      <c r="N36" s="530">
        <v>64.09</v>
      </c>
      <c r="O36" s="530">
        <v>64.510000000000005</v>
      </c>
      <c r="P36" s="530">
        <v>64.91</v>
      </c>
      <c r="Q36" s="530">
        <v>65.27</v>
      </c>
      <c r="R36" s="530">
        <v>65.55</v>
      </c>
      <c r="S36" s="530">
        <v>65.78</v>
      </c>
      <c r="T36" s="530">
        <v>65.95</v>
      </c>
      <c r="U36" s="530">
        <v>66.069999999999993</v>
      </c>
      <c r="V36" s="531"/>
      <c r="W36" s="529">
        <v>47</v>
      </c>
      <c r="X36" s="530">
        <v>63.32</v>
      </c>
      <c r="Y36" s="530">
        <v>63.41</v>
      </c>
      <c r="Z36" s="530">
        <v>63.51</v>
      </c>
      <c r="AA36" s="530">
        <v>63.6</v>
      </c>
      <c r="AB36" s="530">
        <v>63.69</v>
      </c>
      <c r="AC36" s="530">
        <v>63.78</v>
      </c>
      <c r="AD36" s="530">
        <v>63.87</v>
      </c>
      <c r="AE36" s="530">
        <v>63.96</v>
      </c>
      <c r="AF36" s="530">
        <v>64.05</v>
      </c>
      <c r="AG36" s="530">
        <v>64.14</v>
      </c>
      <c r="AH36" s="530">
        <v>64.23</v>
      </c>
      <c r="AI36" s="530">
        <v>64.319999999999993</v>
      </c>
      <c r="AJ36" s="530">
        <v>64.75</v>
      </c>
      <c r="AK36" s="530">
        <v>65.150000000000006</v>
      </c>
      <c r="AL36" s="530">
        <v>65.510000000000005</v>
      </c>
      <c r="AM36" s="530">
        <v>65.8</v>
      </c>
      <c r="AN36" s="530">
        <v>66.03</v>
      </c>
      <c r="AO36" s="530">
        <v>66.2</v>
      </c>
      <c r="AP36" s="530">
        <v>66.319999999999993</v>
      </c>
      <c r="AQ36" s="531"/>
      <c r="AR36" s="529">
        <v>47</v>
      </c>
      <c r="AS36" s="530">
        <v>63.85</v>
      </c>
      <c r="AT36" s="530">
        <v>63.95</v>
      </c>
      <c r="AU36" s="530">
        <v>64.040000000000006</v>
      </c>
      <c r="AV36" s="530">
        <v>64.14</v>
      </c>
      <c r="AW36" s="530">
        <v>64.23</v>
      </c>
      <c r="AX36" s="530">
        <v>64.319999999999993</v>
      </c>
      <c r="AY36" s="530">
        <v>64.42</v>
      </c>
      <c r="AZ36" s="530">
        <v>64.510000000000005</v>
      </c>
      <c r="BA36" s="530">
        <v>64.599999999999994</v>
      </c>
      <c r="BB36" s="530">
        <v>64.69</v>
      </c>
      <c r="BC36" s="530">
        <v>64.78</v>
      </c>
      <c r="BD36" s="530">
        <v>64.87</v>
      </c>
      <c r="BE36" s="530">
        <v>65.3</v>
      </c>
      <c r="BF36" s="530">
        <v>65.709999999999994</v>
      </c>
      <c r="BG36" s="530">
        <v>66.069999999999993</v>
      </c>
      <c r="BH36" s="530">
        <v>66.36</v>
      </c>
      <c r="BI36" s="530">
        <v>66.59</v>
      </c>
      <c r="BJ36" s="530">
        <v>66.760000000000005</v>
      </c>
      <c r="BK36" s="530">
        <v>66.89</v>
      </c>
    </row>
    <row r="37" spans="2:63" x14ac:dyDescent="0.25">
      <c r="B37" s="529">
        <v>48</v>
      </c>
      <c r="C37" s="530">
        <v>63.53</v>
      </c>
      <c r="D37" s="530">
        <v>63.63</v>
      </c>
      <c r="E37" s="530">
        <v>63.72</v>
      </c>
      <c r="F37" s="530">
        <v>63.82</v>
      </c>
      <c r="G37" s="530">
        <v>63.92</v>
      </c>
      <c r="H37" s="530">
        <v>64.02</v>
      </c>
      <c r="I37" s="530">
        <v>64.11</v>
      </c>
      <c r="J37" s="530">
        <v>64.209999999999994</v>
      </c>
      <c r="K37" s="530">
        <v>64.3</v>
      </c>
      <c r="L37" s="530">
        <v>64.400000000000006</v>
      </c>
      <c r="M37" s="530">
        <v>64.489999999999995</v>
      </c>
      <c r="N37" s="530">
        <v>64.59</v>
      </c>
      <c r="O37" s="530">
        <v>65.05</v>
      </c>
      <c r="P37" s="530">
        <v>65.48</v>
      </c>
      <c r="Q37" s="530">
        <v>65.849999999999994</v>
      </c>
      <c r="R37" s="530">
        <v>66.150000000000006</v>
      </c>
      <c r="S37" s="530">
        <v>66.39</v>
      </c>
      <c r="T37" s="530">
        <v>66.56</v>
      </c>
      <c r="U37" s="530">
        <v>66.69</v>
      </c>
      <c r="V37" s="531"/>
      <c r="W37" s="529">
        <v>48</v>
      </c>
      <c r="X37" s="530">
        <v>63.76</v>
      </c>
      <c r="Y37" s="530">
        <v>63.86</v>
      </c>
      <c r="Z37" s="530">
        <v>63.96</v>
      </c>
      <c r="AA37" s="530">
        <v>64.05</v>
      </c>
      <c r="AB37" s="530">
        <v>64.150000000000006</v>
      </c>
      <c r="AC37" s="530">
        <v>64.25</v>
      </c>
      <c r="AD37" s="530">
        <v>64.349999999999994</v>
      </c>
      <c r="AE37" s="530">
        <v>64.44</v>
      </c>
      <c r="AF37" s="530">
        <v>64.540000000000006</v>
      </c>
      <c r="AG37" s="530">
        <v>64.64</v>
      </c>
      <c r="AH37" s="530">
        <v>64.73</v>
      </c>
      <c r="AI37" s="530">
        <v>64.83</v>
      </c>
      <c r="AJ37" s="530">
        <v>65.290000000000006</v>
      </c>
      <c r="AK37" s="530">
        <v>65.72</v>
      </c>
      <c r="AL37" s="530">
        <v>66.09</v>
      </c>
      <c r="AM37" s="530">
        <v>66.400000000000006</v>
      </c>
      <c r="AN37" s="530">
        <v>66.64</v>
      </c>
      <c r="AO37" s="530">
        <v>66.81</v>
      </c>
      <c r="AP37" s="530">
        <v>66.94</v>
      </c>
      <c r="AQ37" s="531"/>
      <c r="AR37" s="529">
        <v>48</v>
      </c>
      <c r="AS37" s="530">
        <v>64.3</v>
      </c>
      <c r="AT37" s="530">
        <v>64.400000000000006</v>
      </c>
      <c r="AU37" s="530">
        <v>64.5</v>
      </c>
      <c r="AV37" s="530">
        <v>64.599999999999994</v>
      </c>
      <c r="AW37" s="530">
        <v>64.7</v>
      </c>
      <c r="AX37" s="530">
        <v>64.8</v>
      </c>
      <c r="AY37" s="530">
        <v>64.900000000000006</v>
      </c>
      <c r="AZ37" s="530">
        <v>64.989999999999995</v>
      </c>
      <c r="BA37" s="530">
        <v>65.09</v>
      </c>
      <c r="BB37" s="530">
        <v>65.19</v>
      </c>
      <c r="BC37" s="530">
        <v>65.290000000000006</v>
      </c>
      <c r="BD37" s="530">
        <v>65.38</v>
      </c>
      <c r="BE37" s="530">
        <v>65.849999999999994</v>
      </c>
      <c r="BF37" s="530">
        <v>66.290000000000006</v>
      </c>
      <c r="BG37" s="530">
        <v>66.66</v>
      </c>
      <c r="BH37" s="530">
        <v>66.97</v>
      </c>
      <c r="BI37" s="530">
        <v>67.209999999999994</v>
      </c>
      <c r="BJ37" s="530">
        <v>67.39</v>
      </c>
      <c r="BK37" s="530">
        <v>67.52</v>
      </c>
    </row>
    <row r="38" spans="2:63" x14ac:dyDescent="0.25">
      <c r="B38" s="529">
        <v>49</v>
      </c>
      <c r="C38" s="530">
        <v>63.99</v>
      </c>
      <c r="D38" s="530">
        <v>64.09</v>
      </c>
      <c r="E38" s="530">
        <v>64.2</v>
      </c>
      <c r="F38" s="530">
        <v>64.3</v>
      </c>
      <c r="G38" s="530">
        <v>64.400000000000006</v>
      </c>
      <c r="H38" s="530">
        <v>64.510000000000005</v>
      </c>
      <c r="I38" s="530">
        <v>64.61</v>
      </c>
      <c r="J38" s="530">
        <v>64.709999999999994</v>
      </c>
      <c r="K38" s="530">
        <v>64.819999999999993</v>
      </c>
      <c r="L38" s="530">
        <v>64.92</v>
      </c>
      <c r="M38" s="530">
        <v>65.02</v>
      </c>
      <c r="N38" s="530">
        <v>65.12</v>
      </c>
      <c r="O38" s="530">
        <v>65.61</v>
      </c>
      <c r="P38" s="530">
        <v>66.069999999999993</v>
      </c>
      <c r="Q38" s="530">
        <v>66.459999999999994</v>
      </c>
      <c r="R38" s="530">
        <v>66.78</v>
      </c>
      <c r="S38" s="530">
        <v>67.03</v>
      </c>
      <c r="T38" s="530">
        <v>67.209999999999994</v>
      </c>
      <c r="U38" s="530">
        <v>67.349999999999994</v>
      </c>
      <c r="V38" s="531"/>
      <c r="W38" s="529">
        <v>49</v>
      </c>
      <c r="X38" s="530">
        <v>64.22</v>
      </c>
      <c r="Y38" s="530">
        <v>64.33</v>
      </c>
      <c r="Z38" s="530">
        <v>64.430000000000007</v>
      </c>
      <c r="AA38" s="530">
        <v>64.540000000000006</v>
      </c>
      <c r="AB38" s="530">
        <v>64.64</v>
      </c>
      <c r="AC38" s="530">
        <v>64.75</v>
      </c>
      <c r="AD38" s="530">
        <v>64.849999999999994</v>
      </c>
      <c r="AE38" s="530">
        <v>64.95</v>
      </c>
      <c r="AF38" s="530">
        <v>65.06</v>
      </c>
      <c r="AG38" s="530">
        <v>65.16</v>
      </c>
      <c r="AH38" s="530">
        <v>65.260000000000005</v>
      </c>
      <c r="AI38" s="530">
        <v>65.36</v>
      </c>
      <c r="AJ38" s="530">
        <v>65.86</v>
      </c>
      <c r="AK38" s="530">
        <v>66.319999999999993</v>
      </c>
      <c r="AL38" s="530">
        <v>66.709999999999994</v>
      </c>
      <c r="AM38" s="530">
        <v>67.03</v>
      </c>
      <c r="AN38" s="530">
        <v>67.28</v>
      </c>
      <c r="AO38" s="530">
        <v>67.47</v>
      </c>
      <c r="AP38" s="530">
        <v>67.599999999999994</v>
      </c>
      <c r="AQ38" s="531"/>
      <c r="AR38" s="529">
        <v>49</v>
      </c>
      <c r="AS38" s="530">
        <v>64.77</v>
      </c>
      <c r="AT38" s="530">
        <v>64.88</v>
      </c>
      <c r="AU38" s="530">
        <v>64.98</v>
      </c>
      <c r="AV38" s="530">
        <v>65.09</v>
      </c>
      <c r="AW38" s="530">
        <v>65.19</v>
      </c>
      <c r="AX38" s="530">
        <v>65.3</v>
      </c>
      <c r="AY38" s="530">
        <v>65.41</v>
      </c>
      <c r="AZ38" s="530">
        <v>65.510000000000005</v>
      </c>
      <c r="BA38" s="530">
        <v>65.62</v>
      </c>
      <c r="BB38" s="530">
        <v>65.72</v>
      </c>
      <c r="BC38" s="530">
        <v>65.819999999999993</v>
      </c>
      <c r="BD38" s="530">
        <v>65.92</v>
      </c>
      <c r="BE38" s="530">
        <v>66.430000000000007</v>
      </c>
      <c r="BF38" s="530">
        <v>66.89</v>
      </c>
      <c r="BG38" s="530">
        <v>67.290000000000006</v>
      </c>
      <c r="BH38" s="530">
        <v>67.62</v>
      </c>
      <c r="BI38" s="530">
        <v>67.86</v>
      </c>
      <c r="BJ38" s="530">
        <v>68.05</v>
      </c>
      <c r="BK38" s="530">
        <v>68.180000000000007</v>
      </c>
    </row>
    <row r="39" spans="2:63" x14ac:dyDescent="0.25">
      <c r="B39" s="529">
        <v>50</v>
      </c>
      <c r="C39" s="530">
        <v>64.47</v>
      </c>
      <c r="D39" s="530">
        <v>64.59</v>
      </c>
      <c r="E39" s="530">
        <v>64.7</v>
      </c>
      <c r="F39" s="530">
        <v>64.81</v>
      </c>
      <c r="G39" s="530">
        <v>64.92</v>
      </c>
      <c r="H39" s="530">
        <v>65.03</v>
      </c>
      <c r="I39" s="530">
        <v>65.14</v>
      </c>
      <c r="J39" s="530">
        <v>65.25</v>
      </c>
      <c r="K39" s="530">
        <v>65.36</v>
      </c>
      <c r="L39" s="530">
        <v>65.47</v>
      </c>
      <c r="M39" s="530">
        <v>65.58</v>
      </c>
      <c r="N39" s="530">
        <v>65.680000000000007</v>
      </c>
      <c r="O39" s="530">
        <v>66.22</v>
      </c>
      <c r="P39" s="530">
        <v>66.7</v>
      </c>
      <c r="Q39" s="530">
        <v>67.11</v>
      </c>
      <c r="R39" s="530">
        <v>67.45</v>
      </c>
      <c r="S39" s="530">
        <v>67.7</v>
      </c>
      <c r="T39" s="530">
        <v>67.900000000000006</v>
      </c>
      <c r="U39" s="530">
        <v>68.040000000000006</v>
      </c>
      <c r="V39" s="531"/>
      <c r="W39" s="529">
        <v>50</v>
      </c>
      <c r="X39" s="530">
        <v>64.709999999999994</v>
      </c>
      <c r="Y39" s="530">
        <v>64.819999999999993</v>
      </c>
      <c r="Z39" s="530">
        <v>64.94</v>
      </c>
      <c r="AA39" s="530">
        <v>65.05</v>
      </c>
      <c r="AB39" s="530">
        <v>65.16</v>
      </c>
      <c r="AC39" s="530">
        <v>65.27</v>
      </c>
      <c r="AD39" s="530">
        <v>65.38</v>
      </c>
      <c r="AE39" s="530">
        <v>65.489999999999995</v>
      </c>
      <c r="AF39" s="530">
        <v>65.599999999999994</v>
      </c>
      <c r="AG39" s="530">
        <v>65.709999999999994</v>
      </c>
      <c r="AH39" s="530">
        <v>65.819999999999993</v>
      </c>
      <c r="AI39" s="530">
        <v>65.930000000000007</v>
      </c>
      <c r="AJ39" s="530">
        <v>66.47</v>
      </c>
      <c r="AK39" s="530">
        <v>66.959999999999994</v>
      </c>
      <c r="AL39" s="530">
        <v>67.37</v>
      </c>
      <c r="AM39" s="530">
        <v>67.709999999999994</v>
      </c>
      <c r="AN39" s="530">
        <v>67.97</v>
      </c>
      <c r="AO39" s="530">
        <v>68.16</v>
      </c>
      <c r="AP39" s="530">
        <v>68.3</v>
      </c>
      <c r="AQ39" s="531"/>
      <c r="AR39" s="529">
        <v>50</v>
      </c>
      <c r="AS39" s="530">
        <v>65.27</v>
      </c>
      <c r="AT39" s="530">
        <v>65.38</v>
      </c>
      <c r="AU39" s="530">
        <v>65.489999999999995</v>
      </c>
      <c r="AV39" s="530">
        <v>65.61</v>
      </c>
      <c r="AW39" s="530">
        <v>65.72</v>
      </c>
      <c r="AX39" s="530">
        <v>65.83</v>
      </c>
      <c r="AY39" s="530">
        <v>65.95</v>
      </c>
      <c r="AZ39" s="530">
        <v>66.06</v>
      </c>
      <c r="BA39" s="530">
        <v>66.17</v>
      </c>
      <c r="BB39" s="530">
        <v>66.28</v>
      </c>
      <c r="BC39" s="530">
        <v>66.39</v>
      </c>
      <c r="BD39" s="530">
        <v>66.5</v>
      </c>
      <c r="BE39" s="530">
        <v>67.040000000000006</v>
      </c>
      <c r="BF39" s="530">
        <v>67.540000000000006</v>
      </c>
      <c r="BG39" s="530">
        <v>67.959999999999994</v>
      </c>
      <c r="BH39" s="530">
        <v>68.3</v>
      </c>
      <c r="BI39" s="530">
        <v>68.56</v>
      </c>
      <c r="BJ39" s="530">
        <v>68.75</v>
      </c>
      <c r="BK39" s="530">
        <v>68.89</v>
      </c>
    </row>
    <row r="40" spans="2:63" x14ac:dyDescent="0.25">
      <c r="B40" s="529">
        <v>51</v>
      </c>
      <c r="C40" s="530">
        <v>64.989999999999995</v>
      </c>
      <c r="D40" s="530">
        <v>65.11</v>
      </c>
      <c r="E40" s="530">
        <v>65.23</v>
      </c>
      <c r="F40" s="530">
        <v>65.34</v>
      </c>
      <c r="G40" s="530">
        <v>65.459999999999994</v>
      </c>
      <c r="H40" s="530">
        <v>65.58</v>
      </c>
      <c r="I40" s="530">
        <v>65.7</v>
      </c>
      <c r="J40" s="530">
        <v>65.819999999999993</v>
      </c>
      <c r="K40" s="530">
        <v>65.94</v>
      </c>
      <c r="L40" s="530">
        <v>66.05</v>
      </c>
      <c r="M40" s="530">
        <v>66.17</v>
      </c>
      <c r="N40" s="530">
        <v>66.28</v>
      </c>
      <c r="O40" s="530">
        <v>66.86</v>
      </c>
      <c r="P40" s="530">
        <v>67.37</v>
      </c>
      <c r="Q40" s="530">
        <v>67.81</v>
      </c>
      <c r="R40" s="530">
        <v>68.150000000000006</v>
      </c>
      <c r="S40" s="530">
        <v>68.42</v>
      </c>
      <c r="T40" s="530">
        <v>68.62</v>
      </c>
      <c r="U40" s="530">
        <v>68.77</v>
      </c>
      <c r="V40" s="531"/>
      <c r="W40" s="529">
        <v>51</v>
      </c>
      <c r="X40" s="530">
        <v>65.23</v>
      </c>
      <c r="Y40" s="530">
        <v>65.349999999999994</v>
      </c>
      <c r="Z40" s="530">
        <v>65.47</v>
      </c>
      <c r="AA40" s="530">
        <v>65.59</v>
      </c>
      <c r="AB40" s="530">
        <v>65.709999999999994</v>
      </c>
      <c r="AC40" s="530">
        <v>65.83</v>
      </c>
      <c r="AD40" s="530">
        <v>65.95</v>
      </c>
      <c r="AE40" s="530">
        <v>66.06</v>
      </c>
      <c r="AF40" s="530">
        <v>66.180000000000007</v>
      </c>
      <c r="AG40" s="530">
        <v>66.3</v>
      </c>
      <c r="AH40" s="530">
        <v>66.42</v>
      </c>
      <c r="AI40" s="530">
        <v>66.540000000000006</v>
      </c>
      <c r="AJ40" s="530">
        <v>67.11</v>
      </c>
      <c r="AK40" s="530">
        <v>67.63</v>
      </c>
      <c r="AL40" s="530">
        <v>68.069999999999993</v>
      </c>
      <c r="AM40" s="530">
        <v>68.42</v>
      </c>
      <c r="AN40" s="530">
        <v>68.69</v>
      </c>
      <c r="AO40" s="530">
        <v>68.89</v>
      </c>
      <c r="AP40" s="530">
        <v>69.040000000000006</v>
      </c>
      <c r="AQ40" s="531"/>
      <c r="AR40" s="529">
        <v>51</v>
      </c>
      <c r="AS40" s="530">
        <v>65.790000000000006</v>
      </c>
      <c r="AT40" s="530">
        <v>65.91</v>
      </c>
      <c r="AU40" s="530">
        <v>66.03</v>
      </c>
      <c r="AV40" s="530">
        <v>66.16</v>
      </c>
      <c r="AW40" s="530">
        <v>66.28</v>
      </c>
      <c r="AX40" s="530">
        <v>66.400000000000006</v>
      </c>
      <c r="AY40" s="530">
        <v>66.52</v>
      </c>
      <c r="AZ40" s="530">
        <v>66.64</v>
      </c>
      <c r="BA40" s="530">
        <v>66.760000000000005</v>
      </c>
      <c r="BB40" s="530">
        <v>66.88</v>
      </c>
      <c r="BC40" s="530">
        <v>67</v>
      </c>
      <c r="BD40" s="530">
        <v>67.12</v>
      </c>
      <c r="BE40" s="530">
        <v>67.7</v>
      </c>
      <c r="BF40" s="530">
        <v>68.22</v>
      </c>
      <c r="BG40" s="530">
        <v>68.67</v>
      </c>
      <c r="BH40" s="530">
        <v>69.02</v>
      </c>
      <c r="BI40" s="530">
        <v>69.290000000000006</v>
      </c>
      <c r="BJ40" s="530">
        <v>69.489999999999995</v>
      </c>
      <c r="BK40" s="530">
        <v>69.63</v>
      </c>
    </row>
    <row r="41" spans="2:63" x14ac:dyDescent="0.25">
      <c r="B41" s="529">
        <v>52</v>
      </c>
      <c r="C41" s="530">
        <v>65.53</v>
      </c>
      <c r="D41" s="530">
        <v>65.66</v>
      </c>
      <c r="E41" s="530">
        <v>65.790000000000006</v>
      </c>
      <c r="F41" s="530">
        <v>65.91</v>
      </c>
      <c r="G41" s="530">
        <v>66.040000000000006</v>
      </c>
      <c r="H41" s="530">
        <v>66.17</v>
      </c>
      <c r="I41" s="530">
        <v>66.290000000000006</v>
      </c>
      <c r="J41" s="530">
        <v>66.42</v>
      </c>
      <c r="K41" s="530">
        <v>66.55</v>
      </c>
      <c r="L41" s="530">
        <v>66.67</v>
      </c>
      <c r="M41" s="530">
        <v>66.8</v>
      </c>
      <c r="N41" s="530">
        <v>66.92</v>
      </c>
      <c r="O41" s="530">
        <v>67.53</v>
      </c>
      <c r="P41" s="530">
        <v>68.08</v>
      </c>
      <c r="Q41" s="530">
        <v>68.540000000000006</v>
      </c>
      <c r="R41" s="530">
        <v>68.900000000000006</v>
      </c>
      <c r="S41" s="530">
        <v>69.180000000000007</v>
      </c>
      <c r="T41" s="530">
        <v>69.39</v>
      </c>
      <c r="U41" s="530">
        <v>69.540000000000006</v>
      </c>
      <c r="V41" s="531"/>
      <c r="W41" s="529">
        <v>52</v>
      </c>
      <c r="X41" s="530">
        <v>65.78</v>
      </c>
      <c r="Y41" s="530">
        <v>65.900000000000006</v>
      </c>
      <c r="Z41" s="530">
        <v>66.03</v>
      </c>
      <c r="AA41" s="530">
        <v>66.16</v>
      </c>
      <c r="AB41" s="530">
        <v>66.290000000000006</v>
      </c>
      <c r="AC41" s="530">
        <v>66.41</v>
      </c>
      <c r="AD41" s="530">
        <v>66.540000000000006</v>
      </c>
      <c r="AE41" s="530">
        <v>66.67</v>
      </c>
      <c r="AF41" s="530">
        <v>66.8</v>
      </c>
      <c r="AG41" s="530">
        <v>66.92</v>
      </c>
      <c r="AH41" s="530">
        <v>67.05</v>
      </c>
      <c r="AI41" s="530">
        <v>67.180000000000007</v>
      </c>
      <c r="AJ41" s="530">
        <v>67.790000000000006</v>
      </c>
      <c r="AK41" s="530">
        <v>68.34</v>
      </c>
      <c r="AL41" s="530">
        <v>68.81</v>
      </c>
      <c r="AM41" s="530">
        <v>69.17</v>
      </c>
      <c r="AN41" s="530">
        <v>69.45</v>
      </c>
      <c r="AO41" s="530">
        <v>69.66</v>
      </c>
      <c r="AP41" s="530">
        <v>69.81</v>
      </c>
      <c r="AQ41" s="531"/>
      <c r="AR41" s="529">
        <v>52</v>
      </c>
      <c r="AS41" s="530">
        <v>66.349999999999994</v>
      </c>
      <c r="AT41" s="530">
        <v>66.48</v>
      </c>
      <c r="AU41" s="530">
        <v>66.61</v>
      </c>
      <c r="AV41" s="530">
        <v>66.739999999999995</v>
      </c>
      <c r="AW41" s="530">
        <v>66.87</v>
      </c>
      <c r="AX41" s="530">
        <v>66.989999999999995</v>
      </c>
      <c r="AY41" s="530">
        <v>67.12</v>
      </c>
      <c r="AZ41" s="530">
        <v>67.25</v>
      </c>
      <c r="BA41" s="530">
        <v>67.38</v>
      </c>
      <c r="BB41" s="530">
        <v>67.510000000000005</v>
      </c>
      <c r="BC41" s="530">
        <v>67.64</v>
      </c>
      <c r="BD41" s="530">
        <v>67.77</v>
      </c>
      <c r="BE41" s="530">
        <v>68.39</v>
      </c>
      <c r="BF41" s="530">
        <v>68.95</v>
      </c>
      <c r="BG41" s="530">
        <v>69.41</v>
      </c>
      <c r="BH41" s="530">
        <v>69.78</v>
      </c>
      <c r="BI41" s="530">
        <v>70.06</v>
      </c>
      <c r="BJ41" s="530">
        <v>70.27</v>
      </c>
      <c r="BK41" s="530">
        <v>70.42</v>
      </c>
    </row>
    <row r="42" spans="2:63" x14ac:dyDescent="0.25">
      <c r="B42" s="529">
        <v>53</v>
      </c>
      <c r="C42" s="530">
        <v>66.11</v>
      </c>
      <c r="D42" s="530">
        <v>66.239999999999995</v>
      </c>
      <c r="E42" s="530">
        <v>66.38</v>
      </c>
      <c r="F42" s="530">
        <v>66.510000000000005</v>
      </c>
      <c r="G42" s="530">
        <v>66.650000000000006</v>
      </c>
      <c r="H42" s="530">
        <v>66.78</v>
      </c>
      <c r="I42" s="530">
        <v>66.92</v>
      </c>
      <c r="J42" s="530">
        <v>67.06</v>
      </c>
      <c r="K42" s="530">
        <v>67.19</v>
      </c>
      <c r="L42" s="530">
        <v>67.33</v>
      </c>
      <c r="M42" s="530">
        <v>67.459999999999994</v>
      </c>
      <c r="N42" s="530">
        <v>67.599999999999994</v>
      </c>
      <c r="O42" s="530">
        <v>68.25</v>
      </c>
      <c r="P42" s="530">
        <v>68.83</v>
      </c>
      <c r="Q42" s="530">
        <v>69.31</v>
      </c>
      <c r="R42" s="530">
        <v>69.69</v>
      </c>
      <c r="S42" s="530">
        <v>69.98</v>
      </c>
      <c r="T42" s="530">
        <v>70.19</v>
      </c>
      <c r="U42" s="530">
        <v>70.349999999999994</v>
      </c>
      <c r="V42" s="531"/>
      <c r="W42" s="529">
        <v>53</v>
      </c>
      <c r="X42" s="530">
        <v>66.349999999999994</v>
      </c>
      <c r="Y42" s="530">
        <v>66.489999999999995</v>
      </c>
      <c r="Z42" s="530">
        <v>66.63</v>
      </c>
      <c r="AA42" s="530">
        <v>66.760000000000005</v>
      </c>
      <c r="AB42" s="530">
        <v>66.900000000000006</v>
      </c>
      <c r="AC42" s="530">
        <v>67.040000000000006</v>
      </c>
      <c r="AD42" s="530">
        <v>67.17</v>
      </c>
      <c r="AE42" s="530">
        <v>67.31</v>
      </c>
      <c r="AF42" s="530">
        <v>67.45</v>
      </c>
      <c r="AG42" s="530">
        <v>67.58</v>
      </c>
      <c r="AH42" s="530">
        <v>67.72</v>
      </c>
      <c r="AI42" s="530">
        <v>67.86</v>
      </c>
      <c r="AJ42" s="530">
        <v>68.52</v>
      </c>
      <c r="AK42" s="530">
        <v>69.099999999999994</v>
      </c>
      <c r="AL42" s="530">
        <v>69.58</v>
      </c>
      <c r="AM42" s="530">
        <v>69.959999999999994</v>
      </c>
      <c r="AN42" s="530">
        <v>70.25</v>
      </c>
      <c r="AO42" s="530">
        <v>70.47</v>
      </c>
      <c r="AP42" s="530">
        <v>70.63</v>
      </c>
      <c r="AQ42" s="531"/>
      <c r="AR42" s="529">
        <v>53</v>
      </c>
      <c r="AS42" s="530">
        <v>66.930000000000007</v>
      </c>
      <c r="AT42" s="530">
        <v>67.069999999999993</v>
      </c>
      <c r="AU42" s="530">
        <v>67.209999999999994</v>
      </c>
      <c r="AV42" s="530">
        <v>67.349999999999994</v>
      </c>
      <c r="AW42" s="530">
        <v>67.489999999999995</v>
      </c>
      <c r="AX42" s="530">
        <v>67.63</v>
      </c>
      <c r="AY42" s="530">
        <v>67.77</v>
      </c>
      <c r="AZ42" s="530">
        <v>67.900000000000006</v>
      </c>
      <c r="BA42" s="530">
        <v>68.040000000000006</v>
      </c>
      <c r="BB42" s="530">
        <v>68.180000000000007</v>
      </c>
      <c r="BC42" s="530">
        <v>68.319999999999993</v>
      </c>
      <c r="BD42" s="530">
        <v>68.459999999999994</v>
      </c>
      <c r="BE42" s="530">
        <v>69.13</v>
      </c>
      <c r="BF42" s="530">
        <v>69.709999999999994</v>
      </c>
      <c r="BG42" s="530">
        <v>70.2</v>
      </c>
      <c r="BH42" s="530">
        <v>70.58</v>
      </c>
      <c r="BI42" s="530">
        <v>70.87</v>
      </c>
      <c r="BJ42" s="530">
        <v>71.09</v>
      </c>
      <c r="BK42" s="530">
        <v>71.239999999999995</v>
      </c>
    </row>
    <row r="43" spans="2:63" x14ac:dyDescent="0.25">
      <c r="B43" s="529">
        <v>54</v>
      </c>
      <c r="C43" s="530">
        <v>66.709999999999994</v>
      </c>
      <c r="D43" s="530">
        <v>66.86</v>
      </c>
      <c r="E43" s="530">
        <v>67</v>
      </c>
      <c r="F43" s="530">
        <v>67.150000000000006</v>
      </c>
      <c r="G43" s="530">
        <v>67.290000000000006</v>
      </c>
      <c r="H43" s="530">
        <v>67.44</v>
      </c>
      <c r="I43" s="530">
        <v>67.58</v>
      </c>
      <c r="J43" s="530">
        <v>67.73</v>
      </c>
      <c r="K43" s="530">
        <v>67.88</v>
      </c>
      <c r="L43" s="530">
        <v>68.02</v>
      </c>
      <c r="M43" s="530">
        <v>68.17</v>
      </c>
      <c r="N43" s="530">
        <v>68.319999999999993</v>
      </c>
      <c r="O43" s="530">
        <v>69.010000000000005</v>
      </c>
      <c r="P43" s="530">
        <v>69.62</v>
      </c>
      <c r="Q43" s="530">
        <v>70.12</v>
      </c>
      <c r="R43" s="530">
        <v>70.52</v>
      </c>
      <c r="S43" s="530">
        <v>70.819999999999993</v>
      </c>
      <c r="T43" s="530">
        <v>71.040000000000006</v>
      </c>
      <c r="U43" s="530">
        <v>71.2</v>
      </c>
      <c r="V43" s="531"/>
      <c r="W43" s="529">
        <v>54</v>
      </c>
      <c r="X43" s="530">
        <v>66.959999999999994</v>
      </c>
      <c r="Y43" s="530">
        <v>67.11</v>
      </c>
      <c r="Z43" s="530">
        <v>67.260000000000005</v>
      </c>
      <c r="AA43" s="530">
        <v>67.400000000000006</v>
      </c>
      <c r="AB43" s="530">
        <v>67.55</v>
      </c>
      <c r="AC43" s="530">
        <v>67.7</v>
      </c>
      <c r="AD43" s="530">
        <v>67.84</v>
      </c>
      <c r="AE43" s="530">
        <v>67.989999999999995</v>
      </c>
      <c r="AF43" s="530">
        <v>68.14</v>
      </c>
      <c r="AG43" s="530">
        <v>68.290000000000006</v>
      </c>
      <c r="AH43" s="530">
        <v>68.44</v>
      </c>
      <c r="AI43" s="530">
        <v>68.58</v>
      </c>
      <c r="AJ43" s="530">
        <v>69.290000000000006</v>
      </c>
      <c r="AK43" s="530">
        <v>69.900000000000006</v>
      </c>
      <c r="AL43" s="530">
        <v>70.400000000000006</v>
      </c>
      <c r="AM43" s="530">
        <v>70.8</v>
      </c>
      <c r="AN43" s="530">
        <v>71.099999999999994</v>
      </c>
      <c r="AO43" s="530">
        <v>71.33</v>
      </c>
      <c r="AP43" s="530">
        <v>71.489999999999995</v>
      </c>
      <c r="AQ43" s="531"/>
      <c r="AR43" s="529">
        <v>54</v>
      </c>
      <c r="AS43" s="530">
        <v>67.55</v>
      </c>
      <c r="AT43" s="530">
        <v>67.7</v>
      </c>
      <c r="AU43" s="530">
        <v>67.849999999999994</v>
      </c>
      <c r="AV43" s="530">
        <v>68</v>
      </c>
      <c r="AW43" s="530">
        <v>68.150000000000006</v>
      </c>
      <c r="AX43" s="530">
        <v>68.3</v>
      </c>
      <c r="AY43" s="530">
        <v>68.45</v>
      </c>
      <c r="AZ43" s="530">
        <v>68.59</v>
      </c>
      <c r="BA43" s="530">
        <v>68.739999999999995</v>
      </c>
      <c r="BB43" s="530">
        <v>68.89</v>
      </c>
      <c r="BC43" s="530">
        <v>69.040000000000006</v>
      </c>
      <c r="BD43" s="530">
        <v>69.19</v>
      </c>
      <c r="BE43" s="530">
        <v>69.900000000000006</v>
      </c>
      <c r="BF43" s="530">
        <v>70.52</v>
      </c>
      <c r="BG43" s="530">
        <v>71.03</v>
      </c>
      <c r="BH43" s="530">
        <v>71.430000000000007</v>
      </c>
      <c r="BI43" s="530">
        <v>71.73</v>
      </c>
      <c r="BJ43" s="530">
        <v>71.95</v>
      </c>
      <c r="BK43" s="530">
        <v>72.11</v>
      </c>
    </row>
    <row r="44" spans="2:63" x14ac:dyDescent="0.25">
      <c r="B44" s="529">
        <v>55</v>
      </c>
      <c r="C44" s="530">
        <v>67.349999999999994</v>
      </c>
      <c r="D44" s="530">
        <v>67.510000000000005</v>
      </c>
      <c r="E44" s="530">
        <v>67.66</v>
      </c>
      <c r="F44" s="530">
        <v>67.819999999999993</v>
      </c>
      <c r="G44" s="530">
        <v>67.98</v>
      </c>
      <c r="H44" s="530">
        <v>68.13</v>
      </c>
      <c r="I44" s="530">
        <v>68.290000000000006</v>
      </c>
      <c r="J44" s="530">
        <v>68.45</v>
      </c>
      <c r="K44" s="530">
        <v>68.61</v>
      </c>
      <c r="L44" s="530">
        <v>68.77</v>
      </c>
      <c r="M44" s="530">
        <v>68.92</v>
      </c>
      <c r="N44" s="530">
        <v>69.08</v>
      </c>
      <c r="O44" s="530">
        <v>69.819999999999993</v>
      </c>
      <c r="P44" s="530">
        <v>70.459999999999994</v>
      </c>
      <c r="Q44" s="530">
        <v>70.989999999999995</v>
      </c>
      <c r="R44" s="530">
        <v>71.39</v>
      </c>
      <c r="S44" s="530">
        <v>71.7</v>
      </c>
      <c r="T44" s="530">
        <v>71.930000000000007</v>
      </c>
      <c r="U44" s="530" t="s">
        <v>556</v>
      </c>
      <c r="V44" s="531"/>
      <c r="W44" s="529">
        <v>55</v>
      </c>
      <c r="X44" s="530">
        <v>67.61</v>
      </c>
      <c r="Y44" s="530">
        <v>67.77</v>
      </c>
      <c r="Z44" s="530">
        <v>67.92</v>
      </c>
      <c r="AA44" s="530">
        <v>68.08</v>
      </c>
      <c r="AB44" s="530">
        <v>68.239999999999995</v>
      </c>
      <c r="AC44" s="530">
        <v>68.400000000000006</v>
      </c>
      <c r="AD44" s="530">
        <v>68.56</v>
      </c>
      <c r="AE44" s="530">
        <v>68.72</v>
      </c>
      <c r="AF44" s="530">
        <v>68.88</v>
      </c>
      <c r="AG44" s="530">
        <v>69.040000000000006</v>
      </c>
      <c r="AH44" s="530">
        <v>69.2</v>
      </c>
      <c r="AI44" s="530">
        <v>69.349999999999994</v>
      </c>
      <c r="AJ44" s="530">
        <v>70.099999999999994</v>
      </c>
      <c r="AK44" s="530">
        <v>70.75</v>
      </c>
      <c r="AL44" s="530">
        <v>71.27</v>
      </c>
      <c r="AM44" s="530">
        <v>71.69</v>
      </c>
      <c r="AN44" s="530">
        <v>72</v>
      </c>
      <c r="AO44" s="530">
        <v>72.23</v>
      </c>
      <c r="AP44" s="530" t="s">
        <v>556</v>
      </c>
      <c r="AQ44" s="531"/>
      <c r="AR44" s="529">
        <v>55</v>
      </c>
      <c r="AS44" s="530">
        <v>68.209999999999994</v>
      </c>
      <c r="AT44" s="530">
        <v>68.37</v>
      </c>
      <c r="AU44" s="530">
        <v>68.53</v>
      </c>
      <c r="AV44" s="530">
        <v>68.69</v>
      </c>
      <c r="AW44" s="530">
        <v>68.849999999999994</v>
      </c>
      <c r="AX44" s="530">
        <v>69.010000000000005</v>
      </c>
      <c r="AY44" s="530">
        <v>69.17</v>
      </c>
      <c r="AZ44" s="530">
        <v>69.33</v>
      </c>
      <c r="BA44" s="530">
        <v>69.489999999999995</v>
      </c>
      <c r="BB44" s="530">
        <v>69.650000000000006</v>
      </c>
      <c r="BC44" s="530">
        <v>69.81</v>
      </c>
      <c r="BD44" s="530">
        <v>69.97</v>
      </c>
      <c r="BE44" s="530">
        <v>70.73</v>
      </c>
      <c r="BF44" s="530">
        <v>71.38</v>
      </c>
      <c r="BG44" s="530">
        <v>71.91</v>
      </c>
      <c r="BH44" s="530">
        <v>72.319999999999993</v>
      </c>
      <c r="BI44" s="530">
        <v>72.63</v>
      </c>
      <c r="BJ44" s="530">
        <v>72.86</v>
      </c>
      <c r="BK44" s="530" t="s">
        <v>556</v>
      </c>
    </row>
    <row r="45" spans="2:63" x14ac:dyDescent="0.25">
      <c r="B45" s="529">
        <v>56</v>
      </c>
      <c r="C45" s="530">
        <v>68.03</v>
      </c>
      <c r="D45" s="530">
        <v>68.2</v>
      </c>
      <c r="E45" s="530">
        <v>68.37</v>
      </c>
      <c r="F45" s="530">
        <v>68.540000000000006</v>
      </c>
      <c r="G45" s="530">
        <v>68.7</v>
      </c>
      <c r="H45" s="530">
        <v>68.87</v>
      </c>
      <c r="I45" s="530">
        <v>69.040000000000006</v>
      </c>
      <c r="J45" s="530">
        <v>69.22</v>
      </c>
      <c r="K45" s="530">
        <v>69.39</v>
      </c>
      <c r="L45" s="530">
        <v>69.56</v>
      </c>
      <c r="M45" s="530">
        <v>69.73</v>
      </c>
      <c r="N45" s="530">
        <v>69.900000000000006</v>
      </c>
      <c r="O45" s="530">
        <v>70.680000000000007</v>
      </c>
      <c r="P45" s="530">
        <v>71.36</v>
      </c>
      <c r="Q45" s="530">
        <v>71.900000000000006</v>
      </c>
      <c r="R45" s="530">
        <v>72.33</v>
      </c>
      <c r="S45" s="530">
        <v>72.650000000000006</v>
      </c>
      <c r="T45" s="530">
        <v>72.88</v>
      </c>
      <c r="U45" s="530" t="s">
        <v>556</v>
      </c>
      <c r="V45" s="531"/>
      <c r="W45" s="529">
        <v>56</v>
      </c>
      <c r="X45" s="530">
        <v>68.3</v>
      </c>
      <c r="Y45" s="530">
        <v>68.47</v>
      </c>
      <c r="Z45" s="530">
        <v>68.63</v>
      </c>
      <c r="AA45" s="530">
        <v>68.8</v>
      </c>
      <c r="AB45" s="530">
        <v>68.97</v>
      </c>
      <c r="AC45" s="530">
        <v>69.14</v>
      </c>
      <c r="AD45" s="530">
        <v>69.319999999999993</v>
      </c>
      <c r="AE45" s="530">
        <v>69.489999999999995</v>
      </c>
      <c r="AF45" s="530">
        <v>69.66</v>
      </c>
      <c r="AG45" s="530">
        <v>69.83</v>
      </c>
      <c r="AH45" s="530">
        <v>70.010000000000005</v>
      </c>
      <c r="AI45" s="530">
        <v>70.17</v>
      </c>
      <c r="AJ45" s="530">
        <v>70.97</v>
      </c>
      <c r="AK45" s="530">
        <v>71.650000000000006</v>
      </c>
      <c r="AL45" s="530">
        <v>72.2</v>
      </c>
      <c r="AM45" s="530">
        <v>72.63</v>
      </c>
      <c r="AN45" s="530">
        <v>72.95</v>
      </c>
      <c r="AO45" s="530">
        <v>73.19</v>
      </c>
      <c r="AP45" s="530" t="s">
        <v>556</v>
      </c>
      <c r="AQ45" s="531"/>
      <c r="AR45" s="529">
        <v>56</v>
      </c>
      <c r="AS45" s="530">
        <v>68.91</v>
      </c>
      <c r="AT45" s="530">
        <v>69.08</v>
      </c>
      <c r="AU45" s="530">
        <v>69.25</v>
      </c>
      <c r="AV45" s="530">
        <v>69.42</v>
      </c>
      <c r="AW45" s="530">
        <v>69.59</v>
      </c>
      <c r="AX45" s="530">
        <v>69.760000000000005</v>
      </c>
      <c r="AY45" s="530">
        <v>69.94</v>
      </c>
      <c r="AZ45" s="530">
        <v>70.11</v>
      </c>
      <c r="BA45" s="530">
        <v>70.290000000000006</v>
      </c>
      <c r="BB45" s="530">
        <v>70.459999999999994</v>
      </c>
      <c r="BC45" s="530">
        <v>70.64</v>
      </c>
      <c r="BD45" s="530">
        <v>70.81</v>
      </c>
      <c r="BE45" s="530">
        <v>71.61</v>
      </c>
      <c r="BF45" s="530">
        <v>72.290000000000006</v>
      </c>
      <c r="BG45" s="530">
        <v>72.849999999999994</v>
      </c>
      <c r="BH45" s="530">
        <v>73.27</v>
      </c>
      <c r="BI45" s="530">
        <v>73.59</v>
      </c>
      <c r="BJ45" s="530">
        <v>73.83</v>
      </c>
      <c r="BK45" s="530" t="s">
        <v>556</v>
      </c>
    </row>
    <row r="46" spans="2:63" x14ac:dyDescent="0.25">
      <c r="B46" s="529">
        <v>57</v>
      </c>
      <c r="C46" s="530">
        <v>68.760000000000005</v>
      </c>
      <c r="D46" s="530">
        <v>68.94</v>
      </c>
      <c r="E46" s="530">
        <v>69.12</v>
      </c>
      <c r="F46" s="530">
        <v>69.3</v>
      </c>
      <c r="G46" s="530">
        <v>69.48</v>
      </c>
      <c r="H46" s="530">
        <v>69.67</v>
      </c>
      <c r="I46" s="530">
        <v>69.849999999999994</v>
      </c>
      <c r="J46" s="530">
        <v>70.040000000000006</v>
      </c>
      <c r="K46" s="530">
        <v>70.22</v>
      </c>
      <c r="L46" s="530">
        <v>70.400000000000006</v>
      </c>
      <c r="M46" s="530">
        <v>70.59</v>
      </c>
      <c r="N46" s="530">
        <v>70.77</v>
      </c>
      <c r="O46" s="530">
        <v>71.599999999999994</v>
      </c>
      <c r="P46" s="530">
        <v>72.31</v>
      </c>
      <c r="Q46" s="530">
        <v>72.88</v>
      </c>
      <c r="R46" s="530">
        <v>73.319999999999993</v>
      </c>
      <c r="S46" s="530">
        <v>73.650000000000006</v>
      </c>
      <c r="T46" s="530">
        <v>73.89</v>
      </c>
      <c r="U46" s="530" t="s">
        <v>556</v>
      </c>
      <c r="V46" s="531"/>
      <c r="W46" s="529">
        <v>57</v>
      </c>
      <c r="X46" s="530">
        <v>69.03</v>
      </c>
      <c r="Y46" s="530">
        <v>69.209999999999994</v>
      </c>
      <c r="Z46" s="530">
        <v>69.39</v>
      </c>
      <c r="AA46" s="530">
        <v>69.569999999999993</v>
      </c>
      <c r="AB46" s="530">
        <v>69.760000000000005</v>
      </c>
      <c r="AC46" s="530">
        <v>69.94</v>
      </c>
      <c r="AD46" s="530">
        <v>70.13</v>
      </c>
      <c r="AE46" s="530">
        <v>70.319999999999993</v>
      </c>
      <c r="AF46" s="530">
        <v>70.5</v>
      </c>
      <c r="AG46" s="530">
        <v>70.69</v>
      </c>
      <c r="AH46" s="530">
        <v>70.87</v>
      </c>
      <c r="AI46" s="530">
        <v>71.05</v>
      </c>
      <c r="AJ46" s="530">
        <v>71.89</v>
      </c>
      <c r="AK46" s="530">
        <v>72.61</v>
      </c>
      <c r="AL46" s="530">
        <v>73.180000000000007</v>
      </c>
      <c r="AM46" s="530">
        <v>73.63</v>
      </c>
      <c r="AN46" s="530">
        <v>73.959999999999994</v>
      </c>
      <c r="AO46" s="530">
        <v>74.209999999999994</v>
      </c>
      <c r="AP46" s="530" t="s">
        <v>556</v>
      </c>
      <c r="AQ46" s="531"/>
      <c r="AR46" s="529">
        <v>57</v>
      </c>
      <c r="AS46" s="530">
        <v>69.650000000000006</v>
      </c>
      <c r="AT46" s="530">
        <v>69.83</v>
      </c>
      <c r="AU46" s="530">
        <v>70.02</v>
      </c>
      <c r="AV46" s="530">
        <v>70.2</v>
      </c>
      <c r="AW46" s="530">
        <v>70.39</v>
      </c>
      <c r="AX46" s="530">
        <v>70.569999999999993</v>
      </c>
      <c r="AY46" s="530">
        <v>70.760000000000005</v>
      </c>
      <c r="AZ46" s="530">
        <v>70.95</v>
      </c>
      <c r="BA46" s="530">
        <v>71.14</v>
      </c>
      <c r="BB46" s="530">
        <v>71.33</v>
      </c>
      <c r="BC46" s="530">
        <v>71.510000000000005</v>
      </c>
      <c r="BD46" s="530">
        <v>71.7</v>
      </c>
      <c r="BE46" s="530">
        <v>72.55</v>
      </c>
      <c r="BF46" s="530">
        <v>73.27</v>
      </c>
      <c r="BG46" s="530">
        <v>73.84</v>
      </c>
      <c r="BH46" s="530">
        <v>74.290000000000006</v>
      </c>
      <c r="BI46" s="530">
        <v>74.62</v>
      </c>
      <c r="BJ46" s="530">
        <v>74.86</v>
      </c>
      <c r="BK46" s="530" t="s">
        <v>556</v>
      </c>
    </row>
    <row r="47" spans="2:63" x14ac:dyDescent="0.25">
      <c r="B47" s="529">
        <v>58</v>
      </c>
      <c r="C47" s="530">
        <v>69.53</v>
      </c>
      <c r="D47" s="530">
        <v>69.73</v>
      </c>
      <c r="E47" s="530">
        <v>69.92</v>
      </c>
      <c r="F47" s="530">
        <v>70.12</v>
      </c>
      <c r="G47" s="530">
        <v>70.31</v>
      </c>
      <c r="H47" s="530">
        <v>70.510000000000005</v>
      </c>
      <c r="I47" s="530">
        <v>70.709999999999994</v>
      </c>
      <c r="J47" s="530">
        <v>70.91</v>
      </c>
      <c r="K47" s="530">
        <v>71.11</v>
      </c>
      <c r="L47" s="530">
        <v>71.31</v>
      </c>
      <c r="M47" s="530">
        <v>71.5</v>
      </c>
      <c r="N47" s="530">
        <v>71.7</v>
      </c>
      <c r="O47" s="530">
        <v>72.58</v>
      </c>
      <c r="P47" s="530">
        <v>73.319999999999993</v>
      </c>
      <c r="Q47" s="530">
        <v>73.92</v>
      </c>
      <c r="R47" s="530">
        <v>74.38</v>
      </c>
      <c r="S47" s="530">
        <v>74.72</v>
      </c>
      <c r="T47" s="530">
        <v>74.97</v>
      </c>
      <c r="U47" s="530" t="s">
        <v>556</v>
      </c>
      <c r="V47" s="531"/>
      <c r="W47" s="529">
        <v>58</v>
      </c>
      <c r="X47" s="530">
        <v>69.81</v>
      </c>
      <c r="Y47" s="530">
        <v>70.010000000000005</v>
      </c>
      <c r="Z47" s="530">
        <v>70.2</v>
      </c>
      <c r="AA47" s="530">
        <v>70.400000000000006</v>
      </c>
      <c r="AB47" s="530">
        <v>70.599999999999994</v>
      </c>
      <c r="AC47" s="530">
        <v>70.8</v>
      </c>
      <c r="AD47" s="530">
        <v>71</v>
      </c>
      <c r="AE47" s="530">
        <v>71.2</v>
      </c>
      <c r="AF47" s="530">
        <v>71.400000000000006</v>
      </c>
      <c r="AG47" s="530">
        <v>71.599999999999994</v>
      </c>
      <c r="AH47" s="530">
        <v>71.8</v>
      </c>
      <c r="AI47" s="530">
        <v>71.989999999999995</v>
      </c>
      <c r="AJ47" s="530">
        <v>72.88</v>
      </c>
      <c r="AK47" s="530">
        <v>73.63</v>
      </c>
      <c r="AL47" s="530">
        <v>74.23</v>
      </c>
      <c r="AM47" s="530">
        <v>74.69</v>
      </c>
      <c r="AN47" s="530">
        <v>75.040000000000006</v>
      </c>
      <c r="AO47" s="530">
        <v>75.3</v>
      </c>
      <c r="AP47" s="530" t="s">
        <v>556</v>
      </c>
      <c r="AQ47" s="531"/>
      <c r="AR47" s="529">
        <v>58</v>
      </c>
      <c r="AS47" s="530">
        <v>70.44</v>
      </c>
      <c r="AT47" s="530">
        <v>70.64</v>
      </c>
      <c r="AU47" s="530">
        <v>70.84</v>
      </c>
      <c r="AV47" s="530">
        <v>71.040000000000006</v>
      </c>
      <c r="AW47" s="530">
        <v>71.239999999999995</v>
      </c>
      <c r="AX47" s="530">
        <v>71.44</v>
      </c>
      <c r="AY47" s="530">
        <v>71.650000000000006</v>
      </c>
      <c r="AZ47" s="530">
        <v>71.849999999999994</v>
      </c>
      <c r="BA47" s="530">
        <v>72.05</v>
      </c>
      <c r="BB47" s="530">
        <v>72.25</v>
      </c>
      <c r="BC47" s="530">
        <v>72.45</v>
      </c>
      <c r="BD47" s="530">
        <v>72.650000000000006</v>
      </c>
      <c r="BE47" s="530">
        <v>73.55</v>
      </c>
      <c r="BF47" s="530">
        <v>74.3</v>
      </c>
      <c r="BG47" s="530">
        <v>74.91</v>
      </c>
      <c r="BH47" s="530">
        <v>75.36</v>
      </c>
      <c r="BI47" s="530">
        <v>75.7</v>
      </c>
      <c r="BJ47" s="530">
        <v>75.959999999999994</v>
      </c>
      <c r="BK47" s="530" t="s">
        <v>556</v>
      </c>
    </row>
    <row r="48" spans="2:63" x14ac:dyDescent="0.25">
      <c r="B48" s="529">
        <v>59</v>
      </c>
      <c r="C48" s="530">
        <v>70.36</v>
      </c>
      <c r="D48" s="530">
        <v>70.569999999999993</v>
      </c>
      <c r="E48" s="530">
        <v>70.78</v>
      </c>
      <c r="F48" s="530">
        <v>70.989999999999995</v>
      </c>
      <c r="G48" s="530">
        <v>71.209999999999994</v>
      </c>
      <c r="H48" s="530">
        <v>71.42</v>
      </c>
      <c r="I48" s="530">
        <v>71.64</v>
      </c>
      <c r="J48" s="530">
        <v>71.86</v>
      </c>
      <c r="K48" s="530">
        <v>72.069999999999993</v>
      </c>
      <c r="L48" s="530">
        <v>72.28</v>
      </c>
      <c r="M48" s="530">
        <v>72.489999999999995</v>
      </c>
      <c r="N48" s="530">
        <v>72.69</v>
      </c>
      <c r="O48" s="530">
        <v>73.63</v>
      </c>
      <c r="P48" s="530">
        <v>74.41</v>
      </c>
      <c r="Q48" s="530">
        <v>75.03</v>
      </c>
      <c r="R48" s="530">
        <v>75.510000000000005</v>
      </c>
      <c r="S48" s="530">
        <v>75.86</v>
      </c>
      <c r="T48" s="530">
        <v>76.13</v>
      </c>
      <c r="U48" s="530" t="s">
        <v>556</v>
      </c>
      <c r="V48" s="531"/>
      <c r="W48" s="529">
        <v>59</v>
      </c>
      <c r="X48" s="530">
        <v>70.650000000000006</v>
      </c>
      <c r="Y48" s="530">
        <v>70.86</v>
      </c>
      <c r="Z48" s="530">
        <v>71.069999999999993</v>
      </c>
      <c r="AA48" s="530">
        <v>71.28</v>
      </c>
      <c r="AB48" s="530">
        <v>71.5</v>
      </c>
      <c r="AC48" s="530">
        <v>71.72</v>
      </c>
      <c r="AD48" s="530">
        <v>71.94</v>
      </c>
      <c r="AE48" s="530">
        <v>72.150000000000006</v>
      </c>
      <c r="AF48" s="530">
        <v>72.37</v>
      </c>
      <c r="AG48" s="530">
        <v>72.58</v>
      </c>
      <c r="AH48" s="530">
        <v>72.790000000000006</v>
      </c>
      <c r="AI48" s="530">
        <v>73</v>
      </c>
      <c r="AJ48" s="530">
        <v>73.94</v>
      </c>
      <c r="AK48" s="530">
        <v>74.73</v>
      </c>
      <c r="AL48" s="530">
        <v>75.36</v>
      </c>
      <c r="AM48" s="530">
        <v>75.84</v>
      </c>
      <c r="AN48" s="530">
        <v>76.2</v>
      </c>
      <c r="AO48" s="530">
        <v>76.459999999999994</v>
      </c>
      <c r="AP48" s="530" t="s">
        <v>556</v>
      </c>
      <c r="AQ48" s="531"/>
      <c r="AR48" s="529">
        <v>59</v>
      </c>
      <c r="AS48" s="530">
        <v>71.290000000000006</v>
      </c>
      <c r="AT48" s="530">
        <v>71.5</v>
      </c>
      <c r="AU48" s="530">
        <v>71.72</v>
      </c>
      <c r="AV48" s="530">
        <v>71.930000000000007</v>
      </c>
      <c r="AW48" s="530">
        <v>72.150000000000006</v>
      </c>
      <c r="AX48" s="530">
        <v>72.37</v>
      </c>
      <c r="AY48" s="530">
        <v>72.59</v>
      </c>
      <c r="AZ48" s="530">
        <v>72.81</v>
      </c>
      <c r="BA48" s="530">
        <v>73.03</v>
      </c>
      <c r="BB48" s="530">
        <v>73.25</v>
      </c>
      <c r="BC48" s="530">
        <v>73.459999999999994</v>
      </c>
      <c r="BD48" s="530">
        <v>73.67</v>
      </c>
      <c r="BE48" s="530">
        <v>74.62</v>
      </c>
      <c r="BF48" s="530">
        <v>75.41</v>
      </c>
      <c r="BG48" s="530">
        <v>76.040000000000006</v>
      </c>
      <c r="BH48" s="530">
        <v>76.52</v>
      </c>
      <c r="BI48" s="530">
        <v>76.87</v>
      </c>
      <c r="BJ48" s="530">
        <v>77.13</v>
      </c>
      <c r="BK48" s="530" t="s">
        <v>556</v>
      </c>
    </row>
    <row r="49" spans="2:63" x14ac:dyDescent="0.25">
      <c r="B49" s="529">
        <v>60</v>
      </c>
      <c r="C49" s="530">
        <v>71.25</v>
      </c>
      <c r="D49" s="530">
        <v>71.47</v>
      </c>
      <c r="E49" s="530">
        <v>71.7</v>
      </c>
      <c r="F49" s="530">
        <v>71.930000000000007</v>
      </c>
      <c r="G49" s="530">
        <v>72.17</v>
      </c>
      <c r="H49" s="530">
        <v>72.400000000000006</v>
      </c>
      <c r="I49" s="530">
        <v>72.64</v>
      </c>
      <c r="J49" s="530">
        <v>72.87</v>
      </c>
      <c r="K49" s="530">
        <v>73.099999999999994</v>
      </c>
      <c r="L49" s="530">
        <v>73.319999999999993</v>
      </c>
      <c r="M49" s="530">
        <v>73.540000000000006</v>
      </c>
      <c r="N49" s="530">
        <v>73.760000000000005</v>
      </c>
      <c r="O49" s="530">
        <v>74.75</v>
      </c>
      <c r="P49" s="530">
        <v>75.569999999999993</v>
      </c>
      <c r="Q49" s="530">
        <v>76.22</v>
      </c>
      <c r="R49" s="530">
        <v>76.72</v>
      </c>
      <c r="S49" s="530">
        <v>77.09</v>
      </c>
      <c r="T49" s="530" t="s">
        <v>556</v>
      </c>
      <c r="U49" s="530" t="s">
        <v>556</v>
      </c>
      <c r="V49" s="531"/>
      <c r="W49" s="529">
        <v>60</v>
      </c>
      <c r="X49" s="530">
        <v>71.540000000000006</v>
      </c>
      <c r="Y49" s="530">
        <v>71.77</v>
      </c>
      <c r="Z49" s="530">
        <v>72</v>
      </c>
      <c r="AA49" s="530">
        <v>72.23</v>
      </c>
      <c r="AB49" s="530">
        <v>72.47</v>
      </c>
      <c r="AC49" s="530">
        <v>72.7</v>
      </c>
      <c r="AD49" s="530">
        <v>72.94</v>
      </c>
      <c r="AE49" s="530">
        <v>73.17</v>
      </c>
      <c r="AF49" s="530">
        <v>73.400000000000006</v>
      </c>
      <c r="AG49" s="530">
        <v>73.63</v>
      </c>
      <c r="AH49" s="530">
        <v>73.86</v>
      </c>
      <c r="AI49" s="530">
        <v>74.069999999999993</v>
      </c>
      <c r="AJ49" s="530">
        <v>75.08</v>
      </c>
      <c r="AK49" s="530">
        <v>75.91</v>
      </c>
      <c r="AL49" s="530">
        <v>76.56</v>
      </c>
      <c r="AM49" s="530">
        <v>77.06</v>
      </c>
      <c r="AN49" s="530">
        <v>77.430000000000007</v>
      </c>
      <c r="AO49" s="530" t="s">
        <v>556</v>
      </c>
      <c r="AP49" s="530" t="s">
        <v>556</v>
      </c>
      <c r="AQ49" s="531"/>
      <c r="AR49" s="529">
        <v>60</v>
      </c>
      <c r="AS49" s="530">
        <v>72.2</v>
      </c>
      <c r="AT49" s="530">
        <v>72.430000000000007</v>
      </c>
      <c r="AU49" s="530">
        <v>72.66</v>
      </c>
      <c r="AV49" s="530">
        <v>72.900000000000006</v>
      </c>
      <c r="AW49" s="530">
        <v>73.13</v>
      </c>
      <c r="AX49" s="530">
        <v>73.37</v>
      </c>
      <c r="AY49" s="530">
        <v>73.61</v>
      </c>
      <c r="AZ49" s="530">
        <v>73.849999999999994</v>
      </c>
      <c r="BA49" s="530">
        <v>74.08</v>
      </c>
      <c r="BB49" s="530">
        <v>74.31</v>
      </c>
      <c r="BC49" s="530">
        <v>74.540000000000006</v>
      </c>
      <c r="BD49" s="530">
        <v>74.760000000000005</v>
      </c>
      <c r="BE49" s="530">
        <v>75.77</v>
      </c>
      <c r="BF49" s="530">
        <v>76.599999999999994</v>
      </c>
      <c r="BG49" s="530">
        <v>77.260000000000005</v>
      </c>
      <c r="BH49" s="530">
        <v>77.75</v>
      </c>
      <c r="BI49" s="530">
        <v>78.12</v>
      </c>
      <c r="BJ49" s="530" t="s">
        <v>556</v>
      </c>
      <c r="BK49" s="530" t="s">
        <v>556</v>
      </c>
    </row>
    <row r="50" spans="2:63" x14ac:dyDescent="0.25">
      <c r="B50" s="529">
        <v>61</v>
      </c>
      <c r="C50" s="530">
        <v>72.2</v>
      </c>
      <c r="D50" s="530">
        <v>72.45</v>
      </c>
      <c r="E50" s="530">
        <v>72.7</v>
      </c>
      <c r="F50" s="530">
        <v>72.95</v>
      </c>
      <c r="G50" s="530">
        <v>73.2</v>
      </c>
      <c r="H50" s="530">
        <v>73.45</v>
      </c>
      <c r="I50" s="530">
        <v>73.7</v>
      </c>
      <c r="J50" s="530">
        <v>73.95</v>
      </c>
      <c r="K50" s="530">
        <v>74.2</v>
      </c>
      <c r="L50" s="530">
        <v>74.44</v>
      </c>
      <c r="M50" s="530">
        <v>74.680000000000007</v>
      </c>
      <c r="N50" s="530">
        <v>74.91</v>
      </c>
      <c r="O50" s="530">
        <v>75.959999999999994</v>
      </c>
      <c r="P50" s="530">
        <v>76.819999999999993</v>
      </c>
      <c r="Q50" s="530">
        <v>77.5</v>
      </c>
      <c r="R50" s="530">
        <v>78.02</v>
      </c>
      <c r="S50" s="530">
        <v>78.400000000000006</v>
      </c>
      <c r="T50" s="530" t="s">
        <v>556</v>
      </c>
      <c r="U50" s="530" t="s">
        <v>556</v>
      </c>
      <c r="V50" s="531"/>
      <c r="W50" s="529">
        <v>61</v>
      </c>
      <c r="X50" s="530">
        <v>72.5</v>
      </c>
      <c r="Y50" s="530">
        <v>72.75</v>
      </c>
      <c r="Z50" s="530">
        <v>73</v>
      </c>
      <c r="AA50" s="530">
        <v>73.25</v>
      </c>
      <c r="AB50" s="530">
        <v>73.510000000000005</v>
      </c>
      <c r="AC50" s="530">
        <v>73.760000000000005</v>
      </c>
      <c r="AD50" s="530">
        <v>74.02</v>
      </c>
      <c r="AE50" s="530">
        <v>74.27</v>
      </c>
      <c r="AF50" s="530">
        <v>74.52</v>
      </c>
      <c r="AG50" s="530">
        <v>74.760000000000005</v>
      </c>
      <c r="AH50" s="530">
        <v>75</v>
      </c>
      <c r="AI50" s="530">
        <v>75.23</v>
      </c>
      <c r="AJ50" s="530">
        <v>76.290000000000006</v>
      </c>
      <c r="AK50" s="530">
        <v>77.17</v>
      </c>
      <c r="AL50" s="530">
        <v>77.849999999999994</v>
      </c>
      <c r="AM50" s="530">
        <v>78.37</v>
      </c>
      <c r="AN50" s="530">
        <v>78.760000000000005</v>
      </c>
      <c r="AO50" s="530" t="s">
        <v>556</v>
      </c>
      <c r="AP50" s="530" t="s">
        <v>556</v>
      </c>
      <c r="AQ50" s="531"/>
      <c r="AR50" s="529">
        <v>61</v>
      </c>
      <c r="AS50" s="530">
        <v>73.17</v>
      </c>
      <c r="AT50" s="530">
        <v>73.42</v>
      </c>
      <c r="AU50" s="530">
        <v>73.680000000000007</v>
      </c>
      <c r="AV50" s="530">
        <v>73.930000000000007</v>
      </c>
      <c r="AW50" s="530">
        <v>74.19</v>
      </c>
      <c r="AX50" s="530">
        <v>74.45</v>
      </c>
      <c r="AY50" s="530">
        <v>74.7</v>
      </c>
      <c r="AZ50" s="530">
        <v>74.959999999999994</v>
      </c>
      <c r="BA50" s="530">
        <v>75.209999999999994</v>
      </c>
      <c r="BB50" s="530">
        <v>75.459999999999994</v>
      </c>
      <c r="BC50" s="530">
        <v>75.7</v>
      </c>
      <c r="BD50" s="530">
        <v>75.930000000000007</v>
      </c>
      <c r="BE50" s="530">
        <v>77</v>
      </c>
      <c r="BF50" s="530">
        <v>77.88</v>
      </c>
      <c r="BG50" s="530">
        <v>78.56</v>
      </c>
      <c r="BH50" s="530">
        <v>79.08</v>
      </c>
      <c r="BI50" s="530">
        <v>79.459999999999994</v>
      </c>
      <c r="BJ50" s="530" t="s">
        <v>556</v>
      </c>
      <c r="BK50" s="530" t="s">
        <v>556</v>
      </c>
    </row>
    <row r="51" spans="2:63" x14ac:dyDescent="0.25">
      <c r="B51" s="529">
        <v>62</v>
      </c>
      <c r="C51" s="530">
        <v>73.23</v>
      </c>
      <c r="D51" s="530">
        <v>73.5</v>
      </c>
      <c r="E51" s="530">
        <v>73.77</v>
      </c>
      <c r="F51" s="530">
        <v>74.05</v>
      </c>
      <c r="G51" s="530">
        <v>74.319999999999993</v>
      </c>
      <c r="H51" s="530">
        <v>74.59</v>
      </c>
      <c r="I51" s="530">
        <v>74.86</v>
      </c>
      <c r="J51" s="530">
        <v>75.13</v>
      </c>
      <c r="K51" s="530">
        <v>75.39</v>
      </c>
      <c r="L51" s="530">
        <v>75.650000000000006</v>
      </c>
      <c r="M51" s="530">
        <v>75.900000000000006</v>
      </c>
      <c r="N51" s="530">
        <v>76.150000000000006</v>
      </c>
      <c r="O51" s="530">
        <v>77.27</v>
      </c>
      <c r="P51" s="530">
        <v>78.180000000000007</v>
      </c>
      <c r="Q51" s="530">
        <v>78.89</v>
      </c>
      <c r="R51" s="530">
        <v>79.430000000000007</v>
      </c>
      <c r="S51" s="530">
        <v>79.84</v>
      </c>
      <c r="T51" s="530" t="s">
        <v>556</v>
      </c>
      <c r="U51" s="530" t="s">
        <v>556</v>
      </c>
      <c r="V51" s="531"/>
      <c r="W51" s="529">
        <v>62</v>
      </c>
      <c r="X51" s="530">
        <v>73.540000000000006</v>
      </c>
      <c r="Y51" s="530">
        <v>73.81</v>
      </c>
      <c r="Z51" s="530">
        <v>74.09</v>
      </c>
      <c r="AA51" s="530">
        <v>74.36</v>
      </c>
      <c r="AB51" s="530">
        <v>74.64</v>
      </c>
      <c r="AC51" s="530">
        <v>74.92</v>
      </c>
      <c r="AD51" s="530">
        <v>75.19</v>
      </c>
      <c r="AE51" s="530">
        <v>75.459999999999994</v>
      </c>
      <c r="AF51" s="530">
        <v>75.72</v>
      </c>
      <c r="AG51" s="530">
        <v>75.989999999999995</v>
      </c>
      <c r="AH51" s="530">
        <v>76.239999999999995</v>
      </c>
      <c r="AI51" s="530">
        <v>76.489999999999995</v>
      </c>
      <c r="AJ51" s="530">
        <v>77.61</v>
      </c>
      <c r="AK51" s="530">
        <v>78.540000000000006</v>
      </c>
      <c r="AL51" s="530">
        <v>79.260000000000005</v>
      </c>
      <c r="AM51" s="530">
        <v>79.81</v>
      </c>
      <c r="AN51" s="530">
        <v>80.22</v>
      </c>
      <c r="AO51" s="530" t="s">
        <v>556</v>
      </c>
      <c r="AP51" s="530" t="s">
        <v>556</v>
      </c>
      <c r="AQ51" s="531"/>
      <c r="AR51" s="529">
        <v>62</v>
      </c>
      <c r="AS51" s="530">
        <v>74.23</v>
      </c>
      <c r="AT51" s="530">
        <v>74.5</v>
      </c>
      <c r="AU51" s="530">
        <v>74.78</v>
      </c>
      <c r="AV51" s="530">
        <v>75.06</v>
      </c>
      <c r="AW51" s="530">
        <v>75.34</v>
      </c>
      <c r="AX51" s="530">
        <v>75.61</v>
      </c>
      <c r="AY51" s="530">
        <v>75.89</v>
      </c>
      <c r="AZ51" s="530">
        <v>76.16</v>
      </c>
      <c r="BA51" s="530">
        <v>76.430000000000007</v>
      </c>
      <c r="BB51" s="530">
        <v>76.69</v>
      </c>
      <c r="BC51" s="530">
        <v>76.95</v>
      </c>
      <c r="BD51" s="530">
        <v>77.2</v>
      </c>
      <c r="BE51" s="530">
        <v>78.34</v>
      </c>
      <c r="BF51" s="530">
        <v>79.260000000000005</v>
      </c>
      <c r="BG51" s="530">
        <v>79.98</v>
      </c>
      <c r="BH51" s="530">
        <v>80.52</v>
      </c>
      <c r="BI51" s="530">
        <v>80.92</v>
      </c>
      <c r="BJ51" s="530" t="s">
        <v>556</v>
      </c>
      <c r="BK51" s="530" t="s">
        <v>556</v>
      </c>
    </row>
    <row r="52" spans="2:63" x14ac:dyDescent="0.25">
      <c r="B52" s="529">
        <v>63</v>
      </c>
      <c r="C52" s="530">
        <v>74.36</v>
      </c>
      <c r="D52" s="530">
        <v>74.650000000000006</v>
      </c>
      <c r="E52" s="530">
        <v>74.95</v>
      </c>
      <c r="F52" s="530">
        <v>75.25</v>
      </c>
      <c r="G52" s="530">
        <v>75.540000000000006</v>
      </c>
      <c r="H52" s="530">
        <v>75.84</v>
      </c>
      <c r="I52" s="530">
        <v>76.13</v>
      </c>
      <c r="J52" s="530">
        <v>76.42</v>
      </c>
      <c r="K52" s="530">
        <v>76.7</v>
      </c>
      <c r="L52" s="530">
        <v>76.98</v>
      </c>
      <c r="M52" s="530">
        <v>77.25</v>
      </c>
      <c r="N52" s="530">
        <v>77.510000000000005</v>
      </c>
      <c r="O52" s="530">
        <v>78.7</v>
      </c>
      <c r="P52" s="530">
        <v>79.66</v>
      </c>
      <c r="Q52" s="530">
        <v>80.42</v>
      </c>
      <c r="R52" s="530">
        <v>80.989999999999995</v>
      </c>
      <c r="S52" s="530">
        <v>81.42</v>
      </c>
      <c r="T52" s="530" t="s">
        <v>556</v>
      </c>
      <c r="U52" s="530" t="s">
        <v>556</v>
      </c>
      <c r="V52" s="531"/>
      <c r="W52" s="529">
        <v>63</v>
      </c>
      <c r="X52" s="530">
        <v>74.680000000000007</v>
      </c>
      <c r="Y52" s="530">
        <v>74.98</v>
      </c>
      <c r="Z52" s="530">
        <v>75.28</v>
      </c>
      <c r="AA52" s="530">
        <v>75.58</v>
      </c>
      <c r="AB52" s="530">
        <v>75.87</v>
      </c>
      <c r="AC52" s="530">
        <v>76.17</v>
      </c>
      <c r="AD52" s="530">
        <v>76.47</v>
      </c>
      <c r="AE52" s="530">
        <v>76.760000000000005</v>
      </c>
      <c r="AF52" s="530">
        <v>77.040000000000006</v>
      </c>
      <c r="AG52" s="530">
        <v>77.319999999999993</v>
      </c>
      <c r="AH52" s="530">
        <v>77.59</v>
      </c>
      <c r="AI52" s="530">
        <v>77.86</v>
      </c>
      <c r="AJ52" s="530">
        <v>79.06</v>
      </c>
      <c r="AK52" s="530">
        <v>80.040000000000006</v>
      </c>
      <c r="AL52" s="530">
        <v>80.8</v>
      </c>
      <c r="AM52" s="530">
        <v>81.38</v>
      </c>
      <c r="AN52" s="530">
        <v>81.819999999999993</v>
      </c>
      <c r="AO52" s="530" t="s">
        <v>556</v>
      </c>
      <c r="AP52" s="530" t="s">
        <v>556</v>
      </c>
      <c r="AQ52" s="531"/>
      <c r="AR52" s="529">
        <v>63</v>
      </c>
      <c r="AS52" s="530">
        <v>75.38</v>
      </c>
      <c r="AT52" s="530">
        <v>75.680000000000007</v>
      </c>
      <c r="AU52" s="530">
        <v>75.98</v>
      </c>
      <c r="AV52" s="530">
        <v>76.290000000000006</v>
      </c>
      <c r="AW52" s="530">
        <v>76.59</v>
      </c>
      <c r="AX52" s="530">
        <v>76.89</v>
      </c>
      <c r="AY52" s="530">
        <v>77.19</v>
      </c>
      <c r="AZ52" s="530">
        <v>77.48</v>
      </c>
      <c r="BA52" s="530">
        <v>77.77</v>
      </c>
      <c r="BB52" s="530">
        <v>78.05</v>
      </c>
      <c r="BC52" s="530">
        <v>78.319999999999993</v>
      </c>
      <c r="BD52" s="530">
        <v>78.59</v>
      </c>
      <c r="BE52" s="530">
        <v>79.8</v>
      </c>
      <c r="BF52" s="530">
        <v>80.78</v>
      </c>
      <c r="BG52" s="530">
        <v>81.53</v>
      </c>
      <c r="BH52" s="530">
        <v>82.11</v>
      </c>
      <c r="BI52" s="530">
        <v>82.53</v>
      </c>
      <c r="BJ52" s="530" t="s">
        <v>556</v>
      </c>
      <c r="BK52" s="530" t="s">
        <v>556</v>
      </c>
    </row>
    <row r="53" spans="2:63" x14ac:dyDescent="0.25">
      <c r="B53" s="529">
        <v>64</v>
      </c>
      <c r="C53" s="530">
        <v>75.59</v>
      </c>
      <c r="D53" s="530">
        <v>75.91</v>
      </c>
      <c r="E53" s="530">
        <v>76.23</v>
      </c>
      <c r="F53" s="530">
        <v>76.55</v>
      </c>
      <c r="G53" s="530">
        <v>76.87</v>
      </c>
      <c r="H53" s="530">
        <v>77.19</v>
      </c>
      <c r="I53" s="530">
        <v>77.510000000000005</v>
      </c>
      <c r="J53" s="530">
        <v>77.819999999999993</v>
      </c>
      <c r="K53" s="530">
        <v>78.12</v>
      </c>
      <c r="L53" s="530">
        <v>78.42</v>
      </c>
      <c r="M53" s="530">
        <v>78.7</v>
      </c>
      <c r="N53" s="530">
        <v>78.989999999999995</v>
      </c>
      <c r="O53" s="530">
        <v>80.25</v>
      </c>
      <c r="P53" s="530">
        <v>81.28</v>
      </c>
      <c r="Q53" s="530">
        <v>82.09</v>
      </c>
      <c r="R53" s="530">
        <v>82.7</v>
      </c>
      <c r="S53" s="530">
        <v>83.16</v>
      </c>
      <c r="T53" s="530" t="s">
        <v>556</v>
      </c>
      <c r="U53" s="530" t="s">
        <v>556</v>
      </c>
      <c r="V53" s="531"/>
      <c r="W53" s="529">
        <v>64</v>
      </c>
      <c r="X53" s="530">
        <v>75.92</v>
      </c>
      <c r="Y53" s="530">
        <v>76.239999999999995</v>
      </c>
      <c r="Z53" s="530">
        <v>76.569999999999993</v>
      </c>
      <c r="AA53" s="530">
        <v>76.89</v>
      </c>
      <c r="AB53" s="530">
        <v>77.22</v>
      </c>
      <c r="AC53" s="530">
        <v>77.540000000000006</v>
      </c>
      <c r="AD53" s="530">
        <v>77.86</v>
      </c>
      <c r="AE53" s="530">
        <v>78.17</v>
      </c>
      <c r="AF53" s="530">
        <v>78.48</v>
      </c>
      <c r="AG53" s="530">
        <v>78.78</v>
      </c>
      <c r="AH53" s="530">
        <v>79.069999999999993</v>
      </c>
      <c r="AI53" s="530">
        <v>79.349999999999994</v>
      </c>
      <c r="AJ53" s="530">
        <v>80.63</v>
      </c>
      <c r="AK53" s="530">
        <v>81.67</v>
      </c>
      <c r="AL53" s="530">
        <v>82.49</v>
      </c>
      <c r="AM53" s="530">
        <v>83.11</v>
      </c>
      <c r="AN53" s="530">
        <v>83.57</v>
      </c>
      <c r="AO53" s="530" t="s">
        <v>556</v>
      </c>
      <c r="AP53" s="530" t="s">
        <v>556</v>
      </c>
      <c r="AQ53" s="531"/>
      <c r="AR53" s="529">
        <v>64</v>
      </c>
      <c r="AS53" s="530">
        <v>76.64</v>
      </c>
      <c r="AT53" s="530">
        <v>76.959999999999994</v>
      </c>
      <c r="AU53" s="530">
        <v>77.290000000000006</v>
      </c>
      <c r="AV53" s="530">
        <v>77.62</v>
      </c>
      <c r="AW53" s="530">
        <v>77.95</v>
      </c>
      <c r="AX53" s="530">
        <v>78.27</v>
      </c>
      <c r="AY53" s="530">
        <v>78.59</v>
      </c>
      <c r="AZ53" s="530">
        <v>78.91</v>
      </c>
      <c r="BA53" s="530">
        <v>79.22</v>
      </c>
      <c r="BB53" s="530">
        <v>79.52</v>
      </c>
      <c r="BC53" s="530">
        <v>79.81</v>
      </c>
      <c r="BD53" s="530">
        <v>80.099999999999994</v>
      </c>
      <c r="BE53" s="530">
        <v>81.39</v>
      </c>
      <c r="BF53" s="530">
        <v>82.43</v>
      </c>
      <c r="BG53" s="530">
        <v>83.23</v>
      </c>
      <c r="BH53" s="530">
        <v>83.84</v>
      </c>
      <c r="BI53" s="530">
        <v>84.3</v>
      </c>
      <c r="BJ53" s="530" t="s">
        <v>556</v>
      </c>
      <c r="BK53" s="530" t="s">
        <v>556</v>
      </c>
    </row>
    <row r="54" spans="2:63" x14ac:dyDescent="0.25">
      <c r="B54" s="529">
        <v>65</v>
      </c>
      <c r="C54" s="530">
        <v>76.92</v>
      </c>
      <c r="D54" s="530">
        <v>77.27</v>
      </c>
      <c r="E54" s="530">
        <v>77.62</v>
      </c>
      <c r="F54" s="530">
        <v>77.97</v>
      </c>
      <c r="G54" s="530">
        <v>78.319999999999993</v>
      </c>
      <c r="H54" s="530">
        <v>78.66</v>
      </c>
      <c r="I54" s="530">
        <v>79</v>
      </c>
      <c r="J54" s="530">
        <v>79.33</v>
      </c>
      <c r="K54" s="530">
        <v>79.66</v>
      </c>
      <c r="L54" s="530">
        <v>79.98</v>
      </c>
      <c r="M54" s="530">
        <v>80.290000000000006</v>
      </c>
      <c r="N54" s="530">
        <v>80.59</v>
      </c>
      <c r="O54" s="530">
        <v>81.94</v>
      </c>
      <c r="P54" s="530">
        <v>83.04</v>
      </c>
      <c r="Q54" s="530">
        <v>83.9</v>
      </c>
      <c r="R54" s="530">
        <v>84.55</v>
      </c>
      <c r="S54" s="530" t="s">
        <v>556</v>
      </c>
      <c r="T54" s="530" t="s">
        <v>556</v>
      </c>
      <c r="U54" s="530" t="s">
        <v>556</v>
      </c>
      <c r="V54" s="531"/>
      <c r="W54" s="529">
        <v>65</v>
      </c>
      <c r="X54" s="530">
        <v>77.260000000000005</v>
      </c>
      <c r="Y54" s="530">
        <v>77.62</v>
      </c>
      <c r="Z54" s="530">
        <v>77.97</v>
      </c>
      <c r="AA54" s="530">
        <v>78.33</v>
      </c>
      <c r="AB54" s="530">
        <v>78.680000000000007</v>
      </c>
      <c r="AC54" s="530">
        <v>79.02</v>
      </c>
      <c r="AD54" s="530">
        <v>79.37</v>
      </c>
      <c r="AE54" s="530">
        <v>79.7</v>
      </c>
      <c r="AF54" s="530">
        <v>80.03</v>
      </c>
      <c r="AG54" s="530">
        <v>80.349999999999994</v>
      </c>
      <c r="AH54" s="530">
        <v>80.67</v>
      </c>
      <c r="AI54" s="530">
        <v>80.97</v>
      </c>
      <c r="AJ54" s="530">
        <v>82.34</v>
      </c>
      <c r="AK54" s="530">
        <v>83.45</v>
      </c>
      <c r="AL54" s="530">
        <v>84.32</v>
      </c>
      <c r="AM54" s="530">
        <v>84.98</v>
      </c>
      <c r="AN54" s="530" t="s">
        <v>556</v>
      </c>
      <c r="AO54" s="530" t="s">
        <v>556</v>
      </c>
      <c r="AP54" s="530" t="s">
        <v>556</v>
      </c>
      <c r="AQ54" s="531"/>
      <c r="AR54" s="529">
        <v>65</v>
      </c>
      <c r="AS54" s="530">
        <v>78</v>
      </c>
      <c r="AT54" s="530">
        <v>78.36</v>
      </c>
      <c r="AU54" s="530">
        <v>78.709999999999994</v>
      </c>
      <c r="AV54" s="530">
        <v>79.069999999999993</v>
      </c>
      <c r="AW54" s="530">
        <v>79.42</v>
      </c>
      <c r="AX54" s="530">
        <v>79.78</v>
      </c>
      <c r="AY54" s="530">
        <v>80.12</v>
      </c>
      <c r="AZ54" s="530">
        <v>80.459999999999994</v>
      </c>
      <c r="BA54" s="530">
        <v>80.790000000000006</v>
      </c>
      <c r="BB54" s="530">
        <v>81.12</v>
      </c>
      <c r="BC54" s="530">
        <v>81.430000000000007</v>
      </c>
      <c r="BD54" s="530">
        <v>81.739999999999995</v>
      </c>
      <c r="BE54" s="530">
        <v>83.11</v>
      </c>
      <c r="BF54" s="530">
        <v>84.22</v>
      </c>
      <c r="BG54" s="530">
        <v>85.08</v>
      </c>
      <c r="BH54" s="530">
        <v>85.73</v>
      </c>
      <c r="BI54" s="530" t="s">
        <v>556</v>
      </c>
      <c r="BJ54" s="530" t="s">
        <v>556</v>
      </c>
      <c r="BK54" s="530" t="s">
        <v>556</v>
      </c>
    </row>
    <row r="55" spans="2:63" x14ac:dyDescent="0.25">
      <c r="B55" s="529">
        <v>66</v>
      </c>
      <c r="C55" s="530">
        <v>78.36</v>
      </c>
      <c r="D55" s="530">
        <v>78.739999999999995</v>
      </c>
      <c r="E55" s="530">
        <v>79.12</v>
      </c>
      <c r="F55" s="530">
        <v>79.5</v>
      </c>
      <c r="G55" s="530">
        <v>79.87</v>
      </c>
      <c r="H55" s="530">
        <v>80.25</v>
      </c>
      <c r="I55" s="530">
        <v>80.61</v>
      </c>
      <c r="J55" s="530">
        <v>80.97</v>
      </c>
      <c r="K55" s="530">
        <v>81.319999999999993</v>
      </c>
      <c r="L55" s="530">
        <v>81.66</v>
      </c>
      <c r="M55" s="530">
        <v>82</v>
      </c>
      <c r="N55" s="530">
        <v>82.32</v>
      </c>
      <c r="O55" s="530">
        <v>83.77</v>
      </c>
      <c r="P55" s="530">
        <v>84.94</v>
      </c>
      <c r="Q55" s="530">
        <v>85.86</v>
      </c>
      <c r="R55" s="530">
        <v>86.57</v>
      </c>
      <c r="S55" s="530" t="s">
        <v>556</v>
      </c>
      <c r="T55" s="530" t="s">
        <v>556</v>
      </c>
      <c r="U55" s="530" t="s">
        <v>556</v>
      </c>
      <c r="V55" s="531"/>
      <c r="W55" s="529">
        <v>66</v>
      </c>
      <c r="X55" s="530">
        <v>78.72</v>
      </c>
      <c r="Y55" s="530">
        <v>79.099999999999994</v>
      </c>
      <c r="Z55" s="530">
        <v>79.489999999999995</v>
      </c>
      <c r="AA55" s="530">
        <v>79.87</v>
      </c>
      <c r="AB55" s="530">
        <v>80.25</v>
      </c>
      <c r="AC55" s="530">
        <v>80.63</v>
      </c>
      <c r="AD55" s="530">
        <v>81</v>
      </c>
      <c r="AE55" s="530">
        <v>81.36</v>
      </c>
      <c r="AF55" s="530">
        <v>81.709999999999994</v>
      </c>
      <c r="AG55" s="530">
        <v>82.06</v>
      </c>
      <c r="AH55" s="530">
        <v>82.4</v>
      </c>
      <c r="AI55" s="530">
        <v>82.72</v>
      </c>
      <c r="AJ55" s="530">
        <v>84.19</v>
      </c>
      <c r="AK55" s="530">
        <v>85.38</v>
      </c>
      <c r="AL55" s="530">
        <v>86.31</v>
      </c>
      <c r="AM55" s="530">
        <v>87.02</v>
      </c>
      <c r="AN55" s="530" t="s">
        <v>556</v>
      </c>
      <c r="AO55" s="530" t="s">
        <v>556</v>
      </c>
      <c r="AP55" s="530" t="s">
        <v>556</v>
      </c>
      <c r="AQ55" s="531"/>
      <c r="AR55" s="529">
        <v>66</v>
      </c>
      <c r="AS55" s="530">
        <v>79.47</v>
      </c>
      <c r="AT55" s="530">
        <v>79.86</v>
      </c>
      <c r="AU55" s="530">
        <v>80.25</v>
      </c>
      <c r="AV55" s="530">
        <v>80.64</v>
      </c>
      <c r="AW55" s="530">
        <v>81.02</v>
      </c>
      <c r="AX55" s="530">
        <v>81.400000000000006</v>
      </c>
      <c r="AY55" s="530">
        <v>81.77</v>
      </c>
      <c r="AZ55" s="530">
        <v>82.14</v>
      </c>
      <c r="BA55" s="530">
        <v>82.49</v>
      </c>
      <c r="BB55" s="530">
        <v>82.84</v>
      </c>
      <c r="BC55" s="530">
        <v>83.18</v>
      </c>
      <c r="BD55" s="530">
        <v>83.51</v>
      </c>
      <c r="BE55" s="530">
        <v>84.98</v>
      </c>
      <c r="BF55" s="530">
        <v>86.16</v>
      </c>
      <c r="BG55" s="530">
        <v>87.08</v>
      </c>
      <c r="BH55" s="530">
        <v>87.78</v>
      </c>
      <c r="BI55" s="530" t="s">
        <v>556</v>
      </c>
      <c r="BJ55" s="530" t="s">
        <v>556</v>
      </c>
      <c r="BK55" s="530" t="s">
        <v>556</v>
      </c>
    </row>
    <row r="56" spans="2:63" x14ac:dyDescent="0.25">
      <c r="B56" s="529">
        <v>67</v>
      </c>
      <c r="C56" s="530">
        <v>79.91</v>
      </c>
      <c r="D56" s="530">
        <v>80.33</v>
      </c>
      <c r="E56" s="530">
        <v>80.739999999999995</v>
      </c>
      <c r="F56" s="530">
        <v>81.150000000000006</v>
      </c>
      <c r="G56" s="530">
        <v>81.56</v>
      </c>
      <c r="H56" s="530">
        <v>81.96</v>
      </c>
      <c r="I56" s="530">
        <v>82.35</v>
      </c>
      <c r="J56" s="530">
        <v>82.74</v>
      </c>
      <c r="K56" s="530">
        <v>83.11</v>
      </c>
      <c r="L56" s="530">
        <v>83.48</v>
      </c>
      <c r="M56" s="530">
        <v>83.84</v>
      </c>
      <c r="N56" s="530">
        <v>84.18</v>
      </c>
      <c r="O56" s="530">
        <v>85.74</v>
      </c>
      <c r="P56" s="530">
        <v>86.99</v>
      </c>
      <c r="Q56" s="530">
        <v>87.98</v>
      </c>
      <c r="R56" s="530">
        <v>88.74</v>
      </c>
      <c r="S56" s="530" t="s">
        <v>556</v>
      </c>
      <c r="T56" s="530" t="s">
        <v>556</v>
      </c>
      <c r="U56" s="530" t="s">
        <v>556</v>
      </c>
      <c r="V56" s="531"/>
      <c r="W56" s="529">
        <v>67</v>
      </c>
      <c r="X56" s="530">
        <v>80.290000000000006</v>
      </c>
      <c r="Y56" s="530">
        <v>80.709999999999994</v>
      </c>
      <c r="Z56" s="530">
        <v>81.13</v>
      </c>
      <c r="AA56" s="530">
        <v>81.540000000000006</v>
      </c>
      <c r="AB56" s="530">
        <v>81.95</v>
      </c>
      <c r="AC56" s="530">
        <v>82.36</v>
      </c>
      <c r="AD56" s="530">
        <v>82.76</v>
      </c>
      <c r="AE56" s="530">
        <v>83.15</v>
      </c>
      <c r="AF56" s="530">
        <v>83.53</v>
      </c>
      <c r="AG56" s="530">
        <v>83.9</v>
      </c>
      <c r="AH56" s="530">
        <v>84.26</v>
      </c>
      <c r="AI56" s="530">
        <v>84.61</v>
      </c>
      <c r="AJ56" s="530">
        <v>86.18</v>
      </c>
      <c r="AK56" s="530">
        <v>87.45</v>
      </c>
      <c r="AL56" s="530">
        <v>88.45</v>
      </c>
      <c r="AM56" s="530">
        <v>89.22</v>
      </c>
      <c r="AN56" s="530" t="s">
        <v>556</v>
      </c>
      <c r="AO56" s="530" t="s">
        <v>556</v>
      </c>
      <c r="AP56" s="530" t="s">
        <v>556</v>
      </c>
      <c r="AQ56" s="531"/>
      <c r="AR56" s="529">
        <v>67</v>
      </c>
      <c r="AS56" s="530">
        <v>81.06</v>
      </c>
      <c r="AT56" s="530">
        <v>81.489999999999995</v>
      </c>
      <c r="AU56" s="530">
        <v>81.91</v>
      </c>
      <c r="AV56" s="530">
        <v>82.33</v>
      </c>
      <c r="AW56" s="530">
        <v>82.74</v>
      </c>
      <c r="AX56" s="530">
        <v>83.15</v>
      </c>
      <c r="AY56" s="530">
        <v>83.55</v>
      </c>
      <c r="AZ56" s="530">
        <v>83.94</v>
      </c>
      <c r="BA56" s="530">
        <v>84.33</v>
      </c>
      <c r="BB56" s="530">
        <v>84.7</v>
      </c>
      <c r="BC56" s="530">
        <v>85.06</v>
      </c>
      <c r="BD56" s="530">
        <v>85.41</v>
      </c>
      <c r="BE56" s="530">
        <v>86.99</v>
      </c>
      <c r="BF56" s="530">
        <v>88.25</v>
      </c>
      <c r="BG56" s="530">
        <v>89.24</v>
      </c>
      <c r="BH56" s="530">
        <v>89.99</v>
      </c>
      <c r="BI56" s="530" t="s">
        <v>556</v>
      </c>
      <c r="BJ56" s="530" t="s">
        <v>556</v>
      </c>
      <c r="BK56" s="530" t="s">
        <v>556</v>
      </c>
    </row>
    <row r="57" spans="2:63" x14ac:dyDescent="0.25">
      <c r="B57" s="529">
        <v>68</v>
      </c>
      <c r="C57" s="530">
        <v>81.59</v>
      </c>
      <c r="D57" s="530">
        <v>82.03</v>
      </c>
      <c r="E57" s="530">
        <v>82.48</v>
      </c>
      <c r="F57" s="530">
        <v>82.92</v>
      </c>
      <c r="G57" s="530">
        <v>83.36</v>
      </c>
      <c r="H57" s="530">
        <v>83.79</v>
      </c>
      <c r="I57" s="530">
        <v>84.22</v>
      </c>
      <c r="J57" s="530">
        <v>84.63</v>
      </c>
      <c r="K57" s="530">
        <v>85.04</v>
      </c>
      <c r="L57" s="530">
        <v>85.43</v>
      </c>
      <c r="M57" s="530">
        <v>85.82</v>
      </c>
      <c r="N57" s="530">
        <v>86.19</v>
      </c>
      <c r="O57" s="530">
        <v>87.85</v>
      </c>
      <c r="P57" s="530">
        <v>89.2</v>
      </c>
      <c r="Q57" s="530">
        <v>90.26</v>
      </c>
      <c r="R57" s="530">
        <v>91.09</v>
      </c>
      <c r="S57" s="530" t="s">
        <v>556</v>
      </c>
      <c r="T57" s="530" t="s">
        <v>556</v>
      </c>
      <c r="U57" s="530" t="s">
        <v>556</v>
      </c>
      <c r="V57" s="531"/>
      <c r="W57" s="529">
        <v>68</v>
      </c>
      <c r="X57" s="530">
        <v>81.98</v>
      </c>
      <c r="Y57" s="530">
        <v>82.44</v>
      </c>
      <c r="Z57" s="530">
        <v>82.89</v>
      </c>
      <c r="AA57" s="530">
        <v>83.34</v>
      </c>
      <c r="AB57" s="530">
        <v>83.78</v>
      </c>
      <c r="AC57" s="530">
        <v>84.22</v>
      </c>
      <c r="AD57" s="530">
        <v>84.65</v>
      </c>
      <c r="AE57" s="530">
        <v>85.07</v>
      </c>
      <c r="AF57" s="530">
        <v>85.48</v>
      </c>
      <c r="AG57" s="530">
        <v>85.88</v>
      </c>
      <c r="AH57" s="530">
        <v>86.27</v>
      </c>
      <c r="AI57" s="530">
        <v>86.64</v>
      </c>
      <c r="AJ57" s="530">
        <v>88.33</v>
      </c>
      <c r="AK57" s="530">
        <v>89.69</v>
      </c>
      <c r="AL57" s="530">
        <v>90.76</v>
      </c>
      <c r="AM57" s="530">
        <v>91.6</v>
      </c>
      <c r="AN57" s="530" t="s">
        <v>556</v>
      </c>
      <c r="AO57" s="530" t="s">
        <v>556</v>
      </c>
      <c r="AP57" s="530" t="s">
        <v>556</v>
      </c>
      <c r="AQ57" s="531"/>
      <c r="AR57" s="529">
        <v>68</v>
      </c>
      <c r="AS57" s="530">
        <v>82.78</v>
      </c>
      <c r="AT57" s="530">
        <v>83.23</v>
      </c>
      <c r="AU57" s="530">
        <v>83.69</v>
      </c>
      <c r="AV57" s="530">
        <v>84.14</v>
      </c>
      <c r="AW57" s="530">
        <v>84.59</v>
      </c>
      <c r="AX57" s="530">
        <v>85.03</v>
      </c>
      <c r="AY57" s="530">
        <v>85.46</v>
      </c>
      <c r="AZ57" s="530">
        <v>85.88</v>
      </c>
      <c r="BA57" s="530">
        <v>86.3</v>
      </c>
      <c r="BB57" s="530">
        <v>86.7</v>
      </c>
      <c r="BC57" s="530">
        <v>87.09</v>
      </c>
      <c r="BD57" s="530">
        <v>87.46</v>
      </c>
      <c r="BE57" s="530">
        <v>89.15</v>
      </c>
      <c r="BF57" s="530">
        <v>90.5</v>
      </c>
      <c r="BG57" s="530">
        <v>91.56</v>
      </c>
      <c r="BH57" s="530">
        <v>92.38</v>
      </c>
      <c r="BI57" s="530" t="s">
        <v>556</v>
      </c>
      <c r="BJ57" s="530" t="s">
        <v>556</v>
      </c>
      <c r="BK57" s="530" t="s">
        <v>556</v>
      </c>
    </row>
    <row r="58" spans="2:63" x14ac:dyDescent="0.25">
      <c r="B58" s="529">
        <v>69</v>
      </c>
      <c r="C58" s="530">
        <v>83.38</v>
      </c>
      <c r="D58" s="530">
        <v>83.87</v>
      </c>
      <c r="E58" s="530">
        <v>84.35</v>
      </c>
      <c r="F58" s="530">
        <v>84.83</v>
      </c>
      <c r="G58" s="530">
        <v>85.3</v>
      </c>
      <c r="H58" s="530">
        <v>85.77</v>
      </c>
      <c r="I58" s="530">
        <v>86.22</v>
      </c>
      <c r="J58" s="530">
        <v>86.67</v>
      </c>
      <c r="K58" s="530">
        <v>87.11</v>
      </c>
      <c r="L58" s="530">
        <v>87.53</v>
      </c>
      <c r="M58" s="530">
        <v>87.94</v>
      </c>
      <c r="N58" s="530">
        <v>88.34</v>
      </c>
      <c r="O58" s="530">
        <v>90.12</v>
      </c>
      <c r="P58" s="530">
        <v>91.56</v>
      </c>
      <c r="Q58" s="530">
        <v>92.71</v>
      </c>
      <c r="R58" s="530">
        <v>93.61</v>
      </c>
      <c r="S58" s="530" t="s">
        <v>556</v>
      </c>
      <c r="T58" s="530" t="s">
        <v>556</v>
      </c>
      <c r="U58" s="530" t="s">
        <v>556</v>
      </c>
      <c r="V58" s="531"/>
      <c r="W58" s="529">
        <v>69</v>
      </c>
      <c r="X58" s="530">
        <v>83.8</v>
      </c>
      <c r="Y58" s="530">
        <v>84.29</v>
      </c>
      <c r="Z58" s="530">
        <v>84.78</v>
      </c>
      <c r="AA58" s="530">
        <v>85.27</v>
      </c>
      <c r="AB58" s="530">
        <v>85.75</v>
      </c>
      <c r="AC58" s="530">
        <v>86.22</v>
      </c>
      <c r="AD58" s="530">
        <v>86.68</v>
      </c>
      <c r="AE58" s="530">
        <v>87.13</v>
      </c>
      <c r="AF58" s="530">
        <v>87.57</v>
      </c>
      <c r="AG58" s="530">
        <v>88</v>
      </c>
      <c r="AH58" s="530">
        <v>88.42</v>
      </c>
      <c r="AI58" s="530">
        <v>88.82</v>
      </c>
      <c r="AJ58" s="530">
        <v>90.63</v>
      </c>
      <c r="AK58" s="530">
        <v>92.09</v>
      </c>
      <c r="AL58" s="530">
        <v>93.24</v>
      </c>
      <c r="AM58" s="530">
        <v>94.16</v>
      </c>
      <c r="AN58" s="530" t="s">
        <v>556</v>
      </c>
      <c r="AO58" s="530" t="s">
        <v>556</v>
      </c>
      <c r="AP58" s="530" t="s">
        <v>556</v>
      </c>
      <c r="AQ58" s="531"/>
      <c r="AR58" s="529">
        <v>69</v>
      </c>
      <c r="AS58" s="530">
        <v>84.61</v>
      </c>
      <c r="AT58" s="530">
        <v>85.11</v>
      </c>
      <c r="AU58" s="530">
        <v>85.6</v>
      </c>
      <c r="AV58" s="530">
        <v>86.09</v>
      </c>
      <c r="AW58" s="530">
        <v>86.57</v>
      </c>
      <c r="AX58" s="530">
        <v>87.05</v>
      </c>
      <c r="AY58" s="530">
        <v>87.51</v>
      </c>
      <c r="AZ58" s="530">
        <v>87.97</v>
      </c>
      <c r="BA58" s="530">
        <v>88.41</v>
      </c>
      <c r="BB58" s="530">
        <v>88.84</v>
      </c>
      <c r="BC58" s="530">
        <v>89.26</v>
      </c>
      <c r="BD58" s="530">
        <v>89.66</v>
      </c>
      <c r="BE58" s="530">
        <v>91.46</v>
      </c>
      <c r="BF58" s="530">
        <v>92.91</v>
      </c>
      <c r="BG58" s="530">
        <v>94.05</v>
      </c>
      <c r="BH58" s="530">
        <v>94.94</v>
      </c>
      <c r="BI58" s="530" t="s">
        <v>556</v>
      </c>
      <c r="BJ58" s="530" t="s">
        <v>556</v>
      </c>
      <c r="BK58" s="530" t="s">
        <v>556</v>
      </c>
    </row>
    <row r="59" spans="2:63" x14ac:dyDescent="0.25">
      <c r="B59" s="529">
        <v>70</v>
      </c>
      <c r="C59" s="530">
        <v>85.31</v>
      </c>
      <c r="D59" s="530">
        <v>85.83</v>
      </c>
      <c r="E59" s="530">
        <v>86.35</v>
      </c>
      <c r="F59" s="530">
        <v>86.87</v>
      </c>
      <c r="G59" s="530">
        <v>87.38</v>
      </c>
      <c r="H59" s="530">
        <v>87.88</v>
      </c>
      <c r="I59" s="530">
        <v>88.37</v>
      </c>
      <c r="J59" s="530">
        <v>88.85</v>
      </c>
      <c r="K59" s="530">
        <v>89.32</v>
      </c>
      <c r="L59" s="530">
        <v>89.77</v>
      </c>
      <c r="M59" s="530">
        <v>90.21</v>
      </c>
      <c r="N59" s="530">
        <v>90.64</v>
      </c>
      <c r="O59" s="530">
        <v>92.55</v>
      </c>
      <c r="P59" s="530">
        <v>94.1</v>
      </c>
      <c r="Q59" s="530">
        <v>95.33</v>
      </c>
      <c r="R59" s="530" t="s">
        <v>556</v>
      </c>
      <c r="S59" s="530" t="s">
        <v>556</v>
      </c>
      <c r="T59" s="530" t="s">
        <v>556</v>
      </c>
      <c r="U59" s="530" t="s">
        <v>556</v>
      </c>
      <c r="V59" s="531"/>
      <c r="W59" s="529">
        <v>70</v>
      </c>
      <c r="X59" s="530">
        <v>85.75</v>
      </c>
      <c r="Y59" s="530">
        <v>86.28</v>
      </c>
      <c r="Z59" s="530">
        <v>86.81</v>
      </c>
      <c r="AA59" s="530">
        <v>87.33</v>
      </c>
      <c r="AB59" s="530">
        <v>87.85</v>
      </c>
      <c r="AC59" s="530">
        <v>88.36</v>
      </c>
      <c r="AD59" s="530">
        <v>88.86</v>
      </c>
      <c r="AE59" s="530">
        <v>89.34</v>
      </c>
      <c r="AF59" s="530">
        <v>89.81</v>
      </c>
      <c r="AG59" s="530">
        <v>90.27</v>
      </c>
      <c r="AH59" s="530">
        <v>90.72</v>
      </c>
      <c r="AI59" s="530">
        <v>91.15</v>
      </c>
      <c r="AJ59" s="530">
        <v>93.09</v>
      </c>
      <c r="AK59" s="530">
        <v>94.66</v>
      </c>
      <c r="AL59" s="530">
        <v>95.9</v>
      </c>
      <c r="AM59" s="530" t="s">
        <v>556</v>
      </c>
      <c r="AN59" s="530" t="s">
        <v>556</v>
      </c>
      <c r="AO59" s="530" t="s">
        <v>556</v>
      </c>
      <c r="AP59" s="530" t="s">
        <v>556</v>
      </c>
      <c r="AQ59" s="531"/>
      <c r="AR59" s="529">
        <v>70</v>
      </c>
      <c r="AS59" s="530">
        <v>86.58</v>
      </c>
      <c r="AT59" s="530">
        <v>87.12</v>
      </c>
      <c r="AU59" s="530">
        <v>87.65</v>
      </c>
      <c r="AV59" s="530">
        <v>88.18</v>
      </c>
      <c r="AW59" s="530">
        <v>88.7</v>
      </c>
      <c r="AX59" s="530">
        <v>89.21</v>
      </c>
      <c r="AY59" s="530">
        <v>89.71</v>
      </c>
      <c r="AZ59" s="530">
        <v>90.2</v>
      </c>
      <c r="BA59" s="530">
        <v>90.67</v>
      </c>
      <c r="BB59" s="530">
        <v>91.13</v>
      </c>
      <c r="BC59" s="530">
        <v>91.58</v>
      </c>
      <c r="BD59" s="530">
        <v>92.01</v>
      </c>
      <c r="BE59" s="530">
        <v>93.94</v>
      </c>
      <c r="BF59" s="530">
        <v>95.49</v>
      </c>
      <c r="BG59" s="530">
        <v>96.72</v>
      </c>
      <c r="BH59" s="530" t="s">
        <v>556</v>
      </c>
      <c r="BI59" s="530" t="s">
        <v>556</v>
      </c>
      <c r="BJ59" s="530" t="s">
        <v>556</v>
      </c>
      <c r="BK59" s="530" t="s">
        <v>556</v>
      </c>
    </row>
    <row r="60" spans="2:63" x14ac:dyDescent="0.25">
      <c r="B60" s="529">
        <v>71</v>
      </c>
      <c r="C60" s="530">
        <v>87.37</v>
      </c>
      <c r="D60" s="530">
        <v>87.93</v>
      </c>
      <c r="E60" s="530">
        <v>88.5</v>
      </c>
      <c r="F60" s="530">
        <v>89.06</v>
      </c>
      <c r="G60" s="530">
        <v>89.6</v>
      </c>
      <c r="H60" s="530">
        <v>90.14</v>
      </c>
      <c r="I60" s="530">
        <v>90.67</v>
      </c>
      <c r="J60" s="530">
        <v>91.18</v>
      </c>
      <c r="K60" s="530">
        <v>91.68</v>
      </c>
      <c r="L60" s="530">
        <v>92.17</v>
      </c>
      <c r="M60" s="530">
        <v>92.64</v>
      </c>
      <c r="N60" s="530">
        <v>93.1</v>
      </c>
      <c r="O60" s="530">
        <v>95.14</v>
      </c>
      <c r="P60" s="530">
        <v>96.81</v>
      </c>
      <c r="Q60" s="530">
        <v>98.14</v>
      </c>
      <c r="R60" s="530" t="s">
        <v>556</v>
      </c>
      <c r="S60" s="530" t="s">
        <v>556</v>
      </c>
      <c r="T60" s="530" t="s">
        <v>556</v>
      </c>
      <c r="U60" s="530" t="s">
        <v>556</v>
      </c>
      <c r="V60" s="531"/>
      <c r="W60" s="529">
        <v>71</v>
      </c>
      <c r="X60" s="530">
        <v>87.84</v>
      </c>
      <c r="Y60" s="530">
        <v>88.41</v>
      </c>
      <c r="Z60" s="530">
        <v>88.98</v>
      </c>
      <c r="AA60" s="530">
        <v>89.55</v>
      </c>
      <c r="AB60" s="530">
        <v>90.1</v>
      </c>
      <c r="AC60" s="530">
        <v>90.65</v>
      </c>
      <c r="AD60" s="530">
        <v>91.18</v>
      </c>
      <c r="AE60" s="530">
        <v>91.7</v>
      </c>
      <c r="AF60" s="530">
        <v>92.21</v>
      </c>
      <c r="AG60" s="530">
        <v>92.71</v>
      </c>
      <c r="AH60" s="530">
        <v>93.18</v>
      </c>
      <c r="AI60" s="530">
        <v>93.65</v>
      </c>
      <c r="AJ60" s="530">
        <v>95.72</v>
      </c>
      <c r="AK60" s="530">
        <v>97.4</v>
      </c>
      <c r="AL60" s="530">
        <v>98.75</v>
      </c>
      <c r="AM60" s="530" t="s">
        <v>556</v>
      </c>
      <c r="AN60" s="530" t="s">
        <v>556</v>
      </c>
      <c r="AO60" s="530" t="s">
        <v>556</v>
      </c>
      <c r="AP60" s="530" t="s">
        <v>556</v>
      </c>
      <c r="AQ60" s="531"/>
      <c r="AR60" s="529">
        <v>71</v>
      </c>
      <c r="AS60" s="530">
        <v>88.69</v>
      </c>
      <c r="AT60" s="530">
        <v>89.27</v>
      </c>
      <c r="AU60" s="530">
        <v>89.85</v>
      </c>
      <c r="AV60" s="530">
        <v>90.41</v>
      </c>
      <c r="AW60" s="530">
        <v>90.97</v>
      </c>
      <c r="AX60" s="530">
        <v>91.52</v>
      </c>
      <c r="AY60" s="530">
        <v>92.06</v>
      </c>
      <c r="AZ60" s="530">
        <v>92.58</v>
      </c>
      <c r="BA60" s="530">
        <v>93.09</v>
      </c>
      <c r="BB60" s="530">
        <v>93.58</v>
      </c>
      <c r="BC60" s="530">
        <v>94.06</v>
      </c>
      <c r="BD60" s="530">
        <v>94.52</v>
      </c>
      <c r="BE60" s="530">
        <v>96.59</v>
      </c>
      <c r="BF60" s="530">
        <v>98.25</v>
      </c>
      <c r="BG60" s="530">
        <v>99.58</v>
      </c>
      <c r="BH60" s="530" t="s">
        <v>556</v>
      </c>
      <c r="BI60" s="530" t="s">
        <v>556</v>
      </c>
      <c r="BJ60" s="530" t="s">
        <v>556</v>
      </c>
      <c r="BK60" s="530" t="s">
        <v>556</v>
      </c>
    </row>
    <row r="61" spans="2:63" x14ac:dyDescent="0.25">
      <c r="B61" s="529">
        <v>72</v>
      </c>
      <c r="C61" s="530">
        <v>89.57</v>
      </c>
      <c r="D61" s="530">
        <v>90.18</v>
      </c>
      <c r="E61" s="530">
        <v>90.79</v>
      </c>
      <c r="F61" s="530">
        <v>91.39</v>
      </c>
      <c r="G61" s="530">
        <v>91.98</v>
      </c>
      <c r="H61" s="530">
        <v>92.55</v>
      </c>
      <c r="I61" s="530">
        <v>93.12</v>
      </c>
      <c r="J61" s="530">
        <v>93.67</v>
      </c>
      <c r="K61" s="530">
        <v>94.21</v>
      </c>
      <c r="L61" s="530">
        <v>94.73</v>
      </c>
      <c r="M61" s="530">
        <v>95.23</v>
      </c>
      <c r="N61" s="530">
        <v>95.72</v>
      </c>
      <c r="O61" s="530">
        <v>97.91</v>
      </c>
      <c r="P61" s="530">
        <v>99.7</v>
      </c>
      <c r="Q61" s="530">
        <v>101.14</v>
      </c>
      <c r="R61" s="530" t="s">
        <v>556</v>
      </c>
      <c r="S61" s="530" t="s">
        <v>556</v>
      </c>
      <c r="T61" s="530" t="s">
        <v>556</v>
      </c>
      <c r="U61" s="530" t="s">
        <v>556</v>
      </c>
      <c r="V61" s="531"/>
      <c r="W61" s="529">
        <v>72</v>
      </c>
      <c r="X61" s="530">
        <v>90.07</v>
      </c>
      <c r="Y61" s="530">
        <v>90.69</v>
      </c>
      <c r="Z61" s="530">
        <v>91.3</v>
      </c>
      <c r="AA61" s="530">
        <v>91.91</v>
      </c>
      <c r="AB61" s="530">
        <v>92.51</v>
      </c>
      <c r="AC61" s="530">
        <v>93.09</v>
      </c>
      <c r="AD61" s="530">
        <v>93.67</v>
      </c>
      <c r="AE61" s="530">
        <v>94.23</v>
      </c>
      <c r="AF61" s="530">
        <v>94.77</v>
      </c>
      <c r="AG61" s="530">
        <v>95.3</v>
      </c>
      <c r="AH61" s="530">
        <v>95.81</v>
      </c>
      <c r="AI61" s="530">
        <v>96.31</v>
      </c>
      <c r="AJ61" s="530">
        <v>98.53</v>
      </c>
      <c r="AK61" s="530">
        <v>100.34</v>
      </c>
      <c r="AL61" s="530">
        <v>101.8</v>
      </c>
      <c r="AM61" s="530" t="s">
        <v>556</v>
      </c>
      <c r="AN61" s="530" t="s">
        <v>556</v>
      </c>
      <c r="AO61" s="530" t="s">
        <v>556</v>
      </c>
      <c r="AP61" s="530" t="s">
        <v>556</v>
      </c>
      <c r="AQ61" s="531"/>
      <c r="AR61" s="529">
        <v>72</v>
      </c>
      <c r="AS61" s="530">
        <v>90.95</v>
      </c>
      <c r="AT61" s="530">
        <v>91.57</v>
      </c>
      <c r="AU61" s="530">
        <v>92.19</v>
      </c>
      <c r="AV61" s="530">
        <v>92.8</v>
      </c>
      <c r="AW61" s="530">
        <v>93.4</v>
      </c>
      <c r="AX61" s="530">
        <v>93.99</v>
      </c>
      <c r="AY61" s="530">
        <v>94.56</v>
      </c>
      <c r="AZ61" s="530">
        <v>95.12</v>
      </c>
      <c r="BA61" s="530">
        <v>95.67</v>
      </c>
      <c r="BB61" s="530">
        <v>96.19</v>
      </c>
      <c r="BC61" s="530">
        <v>96.71</v>
      </c>
      <c r="BD61" s="530">
        <v>97.2</v>
      </c>
      <c r="BE61" s="530">
        <v>99.41</v>
      </c>
      <c r="BF61" s="530">
        <v>101.2</v>
      </c>
      <c r="BG61" s="530">
        <v>102.63</v>
      </c>
      <c r="BH61" s="530" t="s">
        <v>556</v>
      </c>
      <c r="BI61" s="530" t="s">
        <v>556</v>
      </c>
      <c r="BJ61" s="530" t="s">
        <v>556</v>
      </c>
      <c r="BK61" s="530" t="s">
        <v>556</v>
      </c>
    </row>
    <row r="62" spans="2:63" x14ac:dyDescent="0.25">
      <c r="B62" s="529">
        <v>73</v>
      </c>
      <c r="C62" s="530">
        <v>91.92</v>
      </c>
      <c r="D62" s="530">
        <v>92.58</v>
      </c>
      <c r="E62" s="530">
        <v>93.23</v>
      </c>
      <c r="F62" s="530">
        <v>93.87</v>
      </c>
      <c r="G62" s="530">
        <v>94.51</v>
      </c>
      <c r="H62" s="530">
        <v>95.13</v>
      </c>
      <c r="I62" s="530">
        <v>95.73</v>
      </c>
      <c r="J62" s="530">
        <v>96.32</v>
      </c>
      <c r="K62" s="530">
        <v>96.9</v>
      </c>
      <c r="L62" s="530">
        <v>97.45</v>
      </c>
      <c r="M62" s="530">
        <v>97.99</v>
      </c>
      <c r="N62" s="530">
        <v>98.52</v>
      </c>
      <c r="O62" s="530">
        <v>100.86</v>
      </c>
      <c r="P62" s="530">
        <v>102.78</v>
      </c>
      <c r="Q62" s="530">
        <v>104.34</v>
      </c>
      <c r="R62" s="530" t="s">
        <v>556</v>
      </c>
      <c r="S62" s="530" t="s">
        <v>556</v>
      </c>
      <c r="T62" s="530" t="s">
        <v>556</v>
      </c>
      <c r="U62" s="530" t="s">
        <v>556</v>
      </c>
      <c r="V62" s="531"/>
      <c r="W62" s="529">
        <v>73</v>
      </c>
      <c r="X62" s="530">
        <v>92.45</v>
      </c>
      <c r="Y62" s="530">
        <v>93.12</v>
      </c>
      <c r="Z62" s="530">
        <v>93.78</v>
      </c>
      <c r="AA62" s="530">
        <v>94.43</v>
      </c>
      <c r="AB62" s="530">
        <v>95.07</v>
      </c>
      <c r="AC62" s="530">
        <v>95.7</v>
      </c>
      <c r="AD62" s="530">
        <v>96.32</v>
      </c>
      <c r="AE62" s="530">
        <v>96.92</v>
      </c>
      <c r="AF62" s="530">
        <v>97.5</v>
      </c>
      <c r="AG62" s="530">
        <v>98.06</v>
      </c>
      <c r="AH62" s="530">
        <v>98.61</v>
      </c>
      <c r="AI62" s="530">
        <v>99.14</v>
      </c>
      <c r="AJ62" s="530">
        <v>101.52</v>
      </c>
      <c r="AK62" s="530">
        <v>103.46</v>
      </c>
      <c r="AL62" s="530">
        <v>105.05</v>
      </c>
      <c r="AM62" s="530" t="s">
        <v>556</v>
      </c>
      <c r="AN62" s="530" t="s">
        <v>556</v>
      </c>
      <c r="AO62" s="530" t="s">
        <v>556</v>
      </c>
      <c r="AP62" s="530" t="s">
        <v>556</v>
      </c>
      <c r="AQ62" s="531"/>
      <c r="AR62" s="529">
        <v>73</v>
      </c>
      <c r="AS62" s="530">
        <v>93.35</v>
      </c>
      <c r="AT62" s="530">
        <v>94.02</v>
      </c>
      <c r="AU62" s="530">
        <v>94.69</v>
      </c>
      <c r="AV62" s="530">
        <v>95.34</v>
      </c>
      <c r="AW62" s="530">
        <v>95.99</v>
      </c>
      <c r="AX62" s="530">
        <v>96.62</v>
      </c>
      <c r="AY62" s="530">
        <v>97.23</v>
      </c>
      <c r="AZ62" s="530">
        <v>97.83</v>
      </c>
      <c r="BA62" s="530">
        <v>98.41</v>
      </c>
      <c r="BB62" s="530">
        <v>98.98</v>
      </c>
      <c r="BC62" s="530">
        <v>99.52</v>
      </c>
      <c r="BD62" s="530">
        <v>100.05</v>
      </c>
      <c r="BE62" s="530">
        <v>102.41</v>
      </c>
      <c r="BF62" s="530">
        <v>104.33</v>
      </c>
      <c r="BG62" s="530">
        <v>105.89</v>
      </c>
      <c r="BH62" s="530" t="s">
        <v>556</v>
      </c>
      <c r="BI62" s="530" t="s">
        <v>556</v>
      </c>
      <c r="BJ62" s="530" t="s">
        <v>556</v>
      </c>
      <c r="BK62" s="530" t="s">
        <v>556</v>
      </c>
    </row>
    <row r="63" spans="2:63" x14ac:dyDescent="0.25">
      <c r="B63" s="529">
        <v>74</v>
      </c>
      <c r="C63" s="530">
        <v>94.42</v>
      </c>
      <c r="D63" s="530">
        <v>95.13</v>
      </c>
      <c r="E63" s="530">
        <v>95.83</v>
      </c>
      <c r="F63" s="530">
        <v>96.52</v>
      </c>
      <c r="G63" s="530">
        <v>97.2</v>
      </c>
      <c r="H63" s="530">
        <v>97.86</v>
      </c>
      <c r="I63" s="530">
        <v>98.51</v>
      </c>
      <c r="J63" s="530">
        <v>99.14</v>
      </c>
      <c r="K63" s="530">
        <v>99.76</v>
      </c>
      <c r="L63" s="530">
        <v>100.35</v>
      </c>
      <c r="M63" s="530">
        <v>100.93</v>
      </c>
      <c r="N63" s="530">
        <v>101.49</v>
      </c>
      <c r="O63" s="530">
        <v>103.99</v>
      </c>
      <c r="P63" s="530">
        <v>106.05</v>
      </c>
      <c r="Q63" s="530">
        <v>107.76</v>
      </c>
      <c r="R63" s="530" t="s">
        <v>556</v>
      </c>
      <c r="S63" s="530" t="s">
        <v>556</v>
      </c>
      <c r="T63" s="530" t="s">
        <v>556</v>
      </c>
      <c r="U63" s="530" t="s">
        <v>556</v>
      </c>
      <c r="V63" s="531"/>
      <c r="W63" s="529">
        <v>74</v>
      </c>
      <c r="X63" s="530">
        <v>94.99</v>
      </c>
      <c r="Y63" s="530">
        <v>95.71</v>
      </c>
      <c r="Z63" s="530">
        <v>96.42</v>
      </c>
      <c r="AA63" s="530">
        <v>97.12</v>
      </c>
      <c r="AB63" s="530">
        <v>97.81</v>
      </c>
      <c r="AC63" s="530">
        <v>98.48</v>
      </c>
      <c r="AD63" s="530">
        <v>99.14</v>
      </c>
      <c r="AE63" s="530">
        <v>99.78</v>
      </c>
      <c r="AF63" s="530">
        <v>100.4</v>
      </c>
      <c r="AG63" s="530">
        <v>101.01</v>
      </c>
      <c r="AH63" s="530">
        <v>101.59</v>
      </c>
      <c r="AI63" s="530">
        <v>102.16</v>
      </c>
      <c r="AJ63" s="530">
        <v>104.7</v>
      </c>
      <c r="AK63" s="530">
        <v>106.79</v>
      </c>
      <c r="AL63" s="530">
        <v>108.52</v>
      </c>
      <c r="AM63" s="530" t="s">
        <v>556</v>
      </c>
      <c r="AN63" s="530" t="s">
        <v>556</v>
      </c>
      <c r="AO63" s="530" t="s">
        <v>556</v>
      </c>
      <c r="AP63" s="530" t="s">
        <v>556</v>
      </c>
      <c r="AQ63" s="531"/>
      <c r="AR63" s="529">
        <v>74</v>
      </c>
      <c r="AS63" s="530">
        <v>95.91</v>
      </c>
      <c r="AT63" s="530">
        <v>96.63</v>
      </c>
      <c r="AU63" s="530">
        <v>97.35</v>
      </c>
      <c r="AV63" s="530">
        <v>98.05</v>
      </c>
      <c r="AW63" s="530">
        <v>98.74</v>
      </c>
      <c r="AX63" s="530">
        <v>99.41</v>
      </c>
      <c r="AY63" s="530">
        <v>100.07</v>
      </c>
      <c r="AZ63" s="530">
        <v>100.71</v>
      </c>
      <c r="BA63" s="530">
        <v>101.33</v>
      </c>
      <c r="BB63" s="530">
        <v>101.94</v>
      </c>
      <c r="BC63" s="530">
        <v>102.52</v>
      </c>
      <c r="BD63" s="530">
        <v>103.09</v>
      </c>
      <c r="BE63" s="530">
        <v>105.61</v>
      </c>
      <c r="BF63" s="530">
        <v>107.67</v>
      </c>
      <c r="BG63" s="530">
        <v>109.36</v>
      </c>
      <c r="BH63" s="530" t="s">
        <v>556</v>
      </c>
      <c r="BI63" s="530" t="s">
        <v>556</v>
      </c>
      <c r="BJ63" s="530" t="s">
        <v>556</v>
      </c>
      <c r="BK63" s="530" t="s">
        <v>556</v>
      </c>
    </row>
    <row r="64" spans="2:63" x14ac:dyDescent="0.25">
      <c r="B64" s="529">
        <v>75</v>
      </c>
      <c r="C64" s="530">
        <v>97.08</v>
      </c>
      <c r="D64" s="530">
        <v>97.85</v>
      </c>
      <c r="E64" s="530">
        <v>98.6</v>
      </c>
      <c r="F64" s="530">
        <v>99.34</v>
      </c>
      <c r="G64" s="530">
        <v>100.06</v>
      </c>
      <c r="H64" s="530">
        <v>100.77</v>
      </c>
      <c r="I64" s="530">
        <v>101.47</v>
      </c>
      <c r="J64" s="530">
        <v>102.14</v>
      </c>
      <c r="K64" s="530">
        <v>102.8</v>
      </c>
      <c r="L64" s="530">
        <v>103.43</v>
      </c>
      <c r="M64" s="530">
        <v>104.05</v>
      </c>
      <c r="N64" s="530">
        <v>104.65</v>
      </c>
      <c r="O64" s="530">
        <v>107.33</v>
      </c>
      <c r="P64" s="530">
        <v>109.54</v>
      </c>
      <c r="Q64" s="530" t="s">
        <v>556</v>
      </c>
      <c r="R64" s="530" t="s">
        <v>556</v>
      </c>
      <c r="S64" s="530" t="s">
        <v>556</v>
      </c>
      <c r="T64" s="530" t="s">
        <v>556</v>
      </c>
      <c r="U64" s="530" t="s">
        <v>556</v>
      </c>
      <c r="V64" s="531"/>
      <c r="W64" s="529">
        <v>75</v>
      </c>
      <c r="X64" s="530">
        <v>97.69</v>
      </c>
      <c r="Y64" s="530">
        <v>98.47</v>
      </c>
      <c r="Z64" s="530">
        <v>99.23</v>
      </c>
      <c r="AA64" s="530">
        <v>99.98</v>
      </c>
      <c r="AB64" s="530">
        <v>100.72</v>
      </c>
      <c r="AC64" s="530">
        <v>101.44</v>
      </c>
      <c r="AD64" s="530">
        <v>102.14</v>
      </c>
      <c r="AE64" s="530">
        <v>102.82</v>
      </c>
      <c r="AF64" s="530">
        <v>103.49</v>
      </c>
      <c r="AG64" s="530">
        <v>104.14</v>
      </c>
      <c r="AH64" s="530">
        <v>104.76</v>
      </c>
      <c r="AI64" s="530">
        <v>105.37</v>
      </c>
      <c r="AJ64" s="530">
        <v>108.09</v>
      </c>
      <c r="AK64" s="530">
        <v>110.34</v>
      </c>
      <c r="AL64" s="530" t="s">
        <v>556</v>
      </c>
      <c r="AM64" s="530" t="s">
        <v>556</v>
      </c>
      <c r="AN64" s="530" t="s">
        <v>556</v>
      </c>
      <c r="AO64" s="530" t="s">
        <v>556</v>
      </c>
      <c r="AP64" s="530" t="s">
        <v>556</v>
      </c>
      <c r="AQ64" s="531"/>
      <c r="AR64" s="529">
        <v>75</v>
      </c>
      <c r="AS64" s="530">
        <v>98.64</v>
      </c>
      <c r="AT64" s="530">
        <v>99.41</v>
      </c>
      <c r="AU64" s="530">
        <v>100.18</v>
      </c>
      <c r="AV64" s="530">
        <v>100.93</v>
      </c>
      <c r="AW64" s="530">
        <v>101.67</v>
      </c>
      <c r="AX64" s="530">
        <v>102.39</v>
      </c>
      <c r="AY64" s="530">
        <v>103.09</v>
      </c>
      <c r="AZ64" s="530">
        <v>103.77</v>
      </c>
      <c r="BA64" s="530">
        <v>104.44</v>
      </c>
      <c r="BB64" s="530">
        <v>105.08</v>
      </c>
      <c r="BC64" s="530">
        <v>105.71</v>
      </c>
      <c r="BD64" s="530">
        <v>106.31</v>
      </c>
      <c r="BE64" s="530">
        <v>109.01</v>
      </c>
      <c r="BF64" s="530">
        <v>111.22</v>
      </c>
      <c r="BG64" s="530" t="s">
        <v>556</v>
      </c>
      <c r="BH64" s="530" t="s">
        <v>556</v>
      </c>
      <c r="BI64" s="530" t="s">
        <v>556</v>
      </c>
      <c r="BJ64" s="530" t="s">
        <v>556</v>
      </c>
      <c r="BK64" s="530" t="s">
        <v>556</v>
      </c>
    </row>
    <row r="65" spans="2:63" x14ac:dyDescent="0.25">
      <c r="B65" s="529">
        <v>76</v>
      </c>
      <c r="C65" s="530">
        <v>99.92</v>
      </c>
      <c r="D65" s="530">
        <v>100.73</v>
      </c>
      <c r="E65" s="530">
        <v>101.54</v>
      </c>
      <c r="F65" s="530">
        <v>102.33</v>
      </c>
      <c r="G65" s="530">
        <v>103.1</v>
      </c>
      <c r="H65" s="530">
        <v>103.86</v>
      </c>
      <c r="I65" s="530">
        <v>104.6</v>
      </c>
      <c r="J65" s="530">
        <v>105.32</v>
      </c>
      <c r="K65" s="530">
        <v>106.02</v>
      </c>
      <c r="L65" s="530">
        <v>106.7</v>
      </c>
      <c r="M65" s="530">
        <v>107.36</v>
      </c>
      <c r="N65" s="530">
        <v>108</v>
      </c>
      <c r="O65" s="530">
        <v>110.86</v>
      </c>
      <c r="P65" s="530">
        <v>113.25</v>
      </c>
      <c r="Q65" s="530" t="s">
        <v>556</v>
      </c>
      <c r="R65" s="530" t="s">
        <v>556</v>
      </c>
      <c r="S65" s="530" t="s">
        <v>556</v>
      </c>
      <c r="T65" s="530" t="s">
        <v>556</v>
      </c>
      <c r="U65" s="530" t="s">
        <v>556</v>
      </c>
      <c r="V65" s="531"/>
      <c r="W65" s="529">
        <v>76</v>
      </c>
      <c r="X65" s="530">
        <v>100.57</v>
      </c>
      <c r="Y65" s="530">
        <v>101.4</v>
      </c>
      <c r="Z65" s="530">
        <v>102.21</v>
      </c>
      <c r="AA65" s="530">
        <v>103.02</v>
      </c>
      <c r="AB65" s="530">
        <v>103.8</v>
      </c>
      <c r="AC65" s="530">
        <v>104.57</v>
      </c>
      <c r="AD65" s="530">
        <v>105.33</v>
      </c>
      <c r="AE65" s="530">
        <v>106.06</v>
      </c>
      <c r="AF65" s="530">
        <v>106.77</v>
      </c>
      <c r="AG65" s="530">
        <v>107.46</v>
      </c>
      <c r="AH65" s="530">
        <v>108.13</v>
      </c>
      <c r="AI65" s="530">
        <v>108.77</v>
      </c>
      <c r="AJ65" s="530">
        <v>111.68</v>
      </c>
      <c r="AK65" s="530">
        <v>114.11</v>
      </c>
      <c r="AL65" s="530" t="s">
        <v>556</v>
      </c>
      <c r="AM65" s="530" t="s">
        <v>556</v>
      </c>
      <c r="AN65" s="530" t="s">
        <v>556</v>
      </c>
      <c r="AO65" s="530" t="s">
        <v>556</v>
      </c>
      <c r="AP65" s="530" t="s">
        <v>556</v>
      </c>
      <c r="AQ65" s="531"/>
      <c r="AR65" s="529">
        <v>76</v>
      </c>
      <c r="AS65" s="530">
        <v>101.53</v>
      </c>
      <c r="AT65" s="530">
        <v>102.36</v>
      </c>
      <c r="AU65" s="530">
        <v>103.18</v>
      </c>
      <c r="AV65" s="530">
        <v>103.99</v>
      </c>
      <c r="AW65" s="530">
        <v>104.77</v>
      </c>
      <c r="AX65" s="530">
        <v>105.54</v>
      </c>
      <c r="AY65" s="530">
        <v>106.29</v>
      </c>
      <c r="AZ65" s="530">
        <v>107.02</v>
      </c>
      <c r="BA65" s="530">
        <v>107.73</v>
      </c>
      <c r="BB65" s="530">
        <v>108.42</v>
      </c>
      <c r="BC65" s="530">
        <v>109.09</v>
      </c>
      <c r="BD65" s="530">
        <v>109.73</v>
      </c>
      <c r="BE65" s="530">
        <v>112.61</v>
      </c>
      <c r="BF65" s="530">
        <v>114.99</v>
      </c>
      <c r="BG65" s="530" t="s">
        <v>556</v>
      </c>
      <c r="BH65" s="530" t="s">
        <v>556</v>
      </c>
      <c r="BI65" s="530" t="s">
        <v>556</v>
      </c>
      <c r="BJ65" s="530" t="s">
        <v>556</v>
      </c>
      <c r="BK65" s="530" t="s">
        <v>556</v>
      </c>
    </row>
    <row r="66" spans="2:63" x14ac:dyDescent="0.25">
      <c r="B66" s="529">
        <v>77</v>
      </c>
      <c r="C66" s="530">
        <v>102.92</v>
      </c>
      <c r="D66" s="530">
        <v>103.8</v>
      </c>
      <c r="E66" s="530">
        <v>104.66</v>
      </c>
      <c r="F66" s="530">
        <v>105.5</v>
      </c>
      <c r="G66" s="530">
        <v>106.33</v>
      </c>
      <c r="H66" s="530">
        <v>107.14</v>
      </c>
      <c r="I66" s="530">
        <v>107.93</v>
      </c>
      <c r="J66" s="530">
        <v>108.7</v>
      </c>
      <c r="K66" s="530">
        <v>109.44</v>
      </c>
      <c r="L66" s="530">
        <v>110.17</v>
      </c>
      <c r="M66" s="530">
        <v>110.87</v>
      </c>
      <c r="N66" s="530">
        <v>111.55</v>
      </c>
      <c r="O66" s="530">
        <v>114.61</v>
      </c>
      <c r="P66" s="530">
        <v>117.19</v>
      </c>
      <c r="Q66" s="530" t="s">
        <v>556</v>
      </c>
      <c r="R66" s="530" t="s">
        <v>556</v>
      </c>
      <c r="S66" s="530" t="s">
        <v>556</v>
      </c>
      <c r="T66" s="530" t="s">
        <v>556</v>
      </c>
      <c r="U66" s="530" t="s">
        <v>556</v>
      </c>
      <c r="V66" s="531"/>
      <c r="W66" s="529">
        <v>77</v>
      </c>
      <c r="X66" s="530">
        <v>103.62</v>
      </c>
      <c r="Y66" s="530">
        <v>104.51</v>
      </c>
      <c r="Z66" s="530">
        <v>105.39</v>
      </c>
      <c r="AA66" s="530">
        <v>106.24</v>
      </c>
      <c r="AB66" s="530">
        <v>107.08</v>
      </c>
      <c r="AC66" s="530">
        <v>107.91</v>
      </c>
      <c r="AD66" s="530">
        <v>108.71</v>
      </c>
      <c r="AE66" s="530">
        <v>109.49</v>
      </c>
      <c r="AF66" s="530">
        <v>110.25</v>
      </c>
      <c r="AG66" s="530">
        <v>110.98</v>
      </c>
      <c r="AH66" s="530">
        <v>111.7</v>
      </c>
      <c r="AI66" s="530">
        <v>112.39</v>
      </c>
      <c r="AJ66" s="530">
        <v>115.5</v>
      </c>
      <c r="AK66" s="530">
        <v>118.11</v>
      </c>
      <c r="AL66" s="530" t="s">
        <v>556</v>
      </c>
      <c r="AM66" s="530" t="s">
        <v>556</v>
      </c>
      <c r="AN66" s="530" t="s">
        <v>556</v>
      </c>
      <c r="AO66" s="530" t="s">
        <v>556</v>
      </c>
      <c r="AP66" s="530" t="s">
        <v>556</v>
      </c>
      <c r="AQ66" s="531"/>
      <c r="AR66" s="529">
        <v>77</v>
      </c>
      <c r="AS66" s="530">
        <v>104.61</v>
      </c>
      <c r="AT66" s="530">
        <v>105.5</v>
      </c>
      <c r="AU66" s="530">
        <v>106.37</v>
      </c>
      <c r="AV66" s="530">
        <v>107.23</v>
      </c>
      <c r="AW66" s="530">
        <v>108.07</v>
      </c>
      <c r="AX66" s="530">
        <v>108.89</v>
      </c>
      <c r="AY66" s="530">
        <v>109.69</v>
      </c>
      <c r="AZ66" s="530">
        <v>110.47</v>
      </c>
      <c r="BA66" s="530">
        <v>111.23</v>
      </c>
      <c r="BB66" s="530">
        <v>111.96</v>
      </c>
      <c r="BC66" s="530">
        <v>112.67</v>
      </c>
      <c r="BD66" s="530">
        <v>113.35</v>
      </c>
      <c r="BE66" s="530">
        <v>116.43</v>
      </c>
      <c r="BF66" s="530">
        <v>119</v>
      </c>
      <c r="BG66" s="530" t="s">
        <v>556</v>
      </c>
      <c r="BH66" s="530" t="s">
        <v>556</v>
      </c>
      <c r="BI66" s="530" t="s">
        <v>556</v>
      </c>
      <c r="BJ66" s="530" t="s">
        <v>556</v>
      </c>
      <c r="BK66" s="530" t="s">
        <v>556</v>
      </c>
    </row>
    <row r="67" spans="2:63" x14ac:dyDescent="0.25">
      <c r="B67" s="529">
        <v>78</v>
      </c>
      <c r="C67" s="530">
        <v>106.11</v>
      </c>
      <c r="D67" s="530">
        <v>107.05</v>
      </c>
      <c r="E67" s="530">
        <v>107.96</v>
      </c>
      <c r="F67" s="530">
        <v>108.86</v>
      </c>
      <c r="G67" s="530">
        <v>109.75</v>
      </c>
      <c r="H67" s="530">
        <v>110.61</v>
      </c>
      <c r="I67" s="530">
        <v>111.45</v>
      </c>
      <c r="J67" s="530">
        <v>112.27</v>
      </c>
      <c r="K67" s="530">
        <v>113.07</v>
      </c>
      <c r="L67" s="530">
        <v>113.84</v>
      </c>
      <c r="M67" s="530">
        <v>114.59</v>
      </c>
      <c r="N67" s="530">
        <v>115.31</v>
      </c>
      <c r="O67" s="530">
        <v>118.59</v>
      </c>
      <c r="P67" s="530">
        <v>121.38</v>
      </c>
      <c r="Q67" s="530" t="s">
        <v>556</v>
      </c>
      <c r="R67" s="530" t="s">
        <v>556</v>
      </c>
      <c r="S67" s="530" t="s">
        <v>556</v>
      </c>
      <c r="T67" s="530" t="s">
        <v>556</v>
      </c>
      <c r="U67" s="530" t="s">
        <v>556</v>
      </c>
      <c r="V67" s="531"/>
      <c r="W67" s="529">
        <v>78</v>
      </c>
      <c r="X67" s="530">
        <v>106.87</v>
      </c>
      <c r="Y67" s="530">
        <v>107.82</v>
      </c>
      <c r="Z67" s="530">
        <v>108.75</v>
      </c>
      <c r="AA67" s="530">
        <v>109.66</v>
      </c>
      <c r="AB67" s="530">
        <v>110.56</v>
      </c>
      <c r="AC67" s="530">
        <v>111.44</v>
      </c>
      <c r="AD67" s="530">
        <v>112.29</v>
      </c>
      <c r="AE67" s="530">
        <v>113.12</v>
      </c>
      <c r="AF67" s="530">
        <v>113.93</v>
      </c>
      <c r="AG67" s="530">
        <v>114.72</v>
      </c>
      <c r="AH67" s="530">
        <v>115.48</v>
      </c>
      <c r="AI67" s="530">
        <v>116.21</v>
      </c>
      <c r="AJ67" s="530">
        <v>119.54</v>
      </c>
      <c r="AK67" s="530">
        <v>122.37</v>
      </c>
      <c r="AL67" s="530" t="s">
        <v>556</v>
      </c>
      <c r="AM67" s="530" t="s">
        <v>556</v>
      </c>
      <c r="AN67" s="530" t="s">
        <v>556</v>
      </c>
      <c r="AO67" s="530" t="s">
        <v>556</v>
      </c>
      <c r="AP67" s="530" t="s">
        <v>556</v>
      </c>
      <c r="AQ67" s="531"/>
      <c r="AR67" s="529">
        <v>78</v>
      </c>
      <c r="AS67" s="530">
        <v>107.87</v>
      </c>
      <c r="AT67" s="530">
        <v>108.82</v>
      </c>
      <c r="AU67" s="530">
        <v>109.75</v>
      </c>
      <c r="AV67" s="530">
        <v>110.67</v>
      </c>
      <c r="AW67" s="530">
        <v>111.56</v>
      </c>
      <c r="AX67" s="530">
        <v>112.44</v>
      </c>
      <c r="AY67" s="530">
        <v>113.29</v>
      </c>
      <c r="AZ67" s="530">
        <v>114.12</v>
      </c>
      <c r="BA67" s="530">
        <v>114.93</v>
      </c>
      <c r="BB67" s="530">
        <v>115.71</v>
      </c>
      <c r="BC67" s="530">
        <v>116.46</v>
      </c>
      <c r="BD67" s="530">
        <v>117.19</v>
      </c>
      <c r="BE67" s="530">
        <v>120.48</v>
      </c>
      <c r="BF67" s="530">
        <v>123.26</v>
      </c>
      <c r="BG67" s="530" t="s">
        <v>556</v>
      </c>
      <c r="BH67" s="530" t="s">
        <v>556</v>
      </c>
      <c r="BI67" s="530" t="s">
        <v>556</v>
      </c>
      <c r="BJ67" s="530" t="s">
        <v>556</v>
      </c>
      <c r="BK67" s="530" t="s">
        <v>556</v>
      </c>
    </row>
    <row r="68" spans="2:63" x14ac:dyDescent="0.25">
      <c r="B68" s="529">
        <v>79</v>
      </c>
      <c r="C68" s="530">
        <v>109.49</v>
      </c>
      <c r="D68" s="530">
        <v>110.49</v>
      </c>
      <c r="E68" s="530">
        <v>111.47</v>
      </c>
      <c r="F68" s="530">
        <v>112.43</v>
      </c>
      <c r="G68" s="530">
        <v>113.37</v>
      </c>
      <c r="H68" s="530">
        <v>114.29</v>
      </c>
      <c r="I68" s="530">
        <v>115.18</v>
      </c>
      <c r="J68" s="530">
        <v>116.05</v>
      </c>
      <c r="K68" s="530">
        <v>116.9</v>
      </c>
      <c r="L68" s="530">
        <v>117.72</v>
      </c>
      <c r="M68" s="530">
        <v>118.52</v>
      </c>
      <c r="N68" s="530">
        <v>119.29</v>
      </c>
      <c r="O68" s="530">
        <v>122.8</v>
      </c>
      <c r="P68" s="530">
        <v>125.83</v>
      </c>
      <c r="Q68" s="530" t="s">
        <v>556</v>
      </c>
      <c r="R68" s="530" t="s">
        <v>556</v>
      </c>
      <c r="S68" s="530" t="s">
        <v>556</v>
      </c>
      <c r="T68" s="530" t="s">
        <v>556</v>
      </c>
      <c r="U68" s="530" t="s">
        <v>556</v>
      </c>
      <c r="V68" s="531"/>
      <c r="W68" s="529">
        <v>79</v>
      </c>
      <c r="X68" s="530">
        <v>110.31</v>
      </c>
      <c r="Y68" s="530">
        <v>111.32</v>
      </c>
      <c r="Z68" s="530">
        <v>112.31</v>
      </c>
      <c r="AA68" s="530">
        <v>113.29</v>
      </c>
      <c r="AB68" s="530">
        <v>114.24</v>
      </c>
      <c r="AC68" s="530">
        <v>115.18</v>
      </c>
      <c r="AD68" s="530">
        <v>116.09</v>
      </c>
      <c r="AE68" s="530">
        <v>116.97</v>
      </c>
      <c r="AF68" s="530">
        <v>117.83</v>
      </c>
      <c r="AG68" s="530">
        <v>118.67</v>
      </c>
      <c r="AH68" s="530">
        <v>119.48</v>
      </c>
      <c r="AI68" s="530">
        <v>120.27</v>
      </c>
      <c r="AJ68" s="530">
        <v>123.83</v>
      </c>
      <c r="AK68" s="530">
        <v>126.89</v>
      </c>
      <c r="AL68" s="530" t="s">
        <v>556</v>
      </c>
      <c r="AM68" s="530" t="s">
        <v>556</v>
      </c>
      <c r="AN68" s="530" t="s">
        <v>556</v>
      </c>
      <c r="AO68" s="530" t="s">
        <v>556</v>
      </c>
      <c r="AP68" s="530" t="s">
        <v>556</v>
      </c>
      <c r="AQ68" s="531"/>
      <c r="AR68" s="529">
        <v>79</v>
      </c>
      <c r="AS68" s="530">
        <v>111.32</v>
      </c>
      <c r="AT68" s="530">
        <v>112.34</v>
      </c>
      <c r="AU68" s="530">
        <v>113.33</v>
      </c>
      <c r="AV68" s="530">
        <v>114.31</v>
      </c>
      <c r="AW68" s="530">
        <v>115.26</v>
      </c>
      <c r="AX68" s="530">
        <v>116.19</v>
      </c>
      <c r="AY68" s="530">
        <v>117.1</v>
      </c>
      <c r="AZ68" s="530">
        <v>117.98</v>
      </c>
      <c r="BA68" s="530">
        <v>118.84</v>
      </c>
      <c r="BB68" s="530">
        <v>119.67</v>
      </c>
      <c r="BC68" s="530">
        <v>120.47</v>
      </c>
      <c r="BD68" s="530">
        <v>121.25</v>
      </c>
      <c r="BE68" s="530">
        <v>124.77</v>
      </c>
      <c r="BF68" s="530">
        <v>127.78</v>
      </c>
      <c r="BG68" s="530" t="s">
        <v>556</v>
      </c>
      <c r="BH68" s="530" t="s">
        <v>556</v>
      </c>
      <c r="BI68" s="530" t="s">
        <v>556</v>
      </c>
      <c r="BJ68" s="530" t="s">
        <v>556</v>
      </c>
      <c r="BK68" s="530" t="s">
        <v>556</v>
      </c>
    </row>
    <row r="69" spans="2:63" x14ac:dyDescent="0.25">
      <c r="B69" s="529">
        <v>80</v>
      </c>
      <c r="C69" s="530">
        <v>113.07</v>
      </c>
      <c r="D69" s="530">
        <v>114.13</v>
      </c>
      <c r="E69" s="530">
        <v>115.17</v>
      </c>
      <c r="F69" s="530">
        <v>116.2</v>
      </c>
      <c r="G69" s="530">
        <v>117.2</v>
      </c>
      <c r="H69" s="530">
        <v>118.17</v>
      </c>
      <c r="I69" s="530">
        <v>119.13</v>
      </c>
      <c r="J69" s="530">
        <v>120.05</v>
      </c>
      <c r="K69" s="530">
        <v>120.96</v>
      </c>
      <c r="L69" s="530">
        <v>121.83</v>
      </c>
      <c r="M69" s="530">
        <v>122.68</v>
      </c>
      <c r="N69" s="530">
        <v>123.51</v>
      </c>
      <c r="O69" s="530">
        <v>127.27</v>
      </c>
      <c r="P69" s="530" t="s">
        <v>556</v>
      </c>
      <c r="Q69" s="530" t="s">
        <v>556</v>
      </c>
      <c r="R69" s="530" t="s">
        <v>556</v>
      </c>
      <c r="S69" s="530" t="s">
        <v>556</v>
      </c>
      <c r="T69" s="530" t="s">
        <v>556</v>
      </c>
      <c r="U69" s="530" t="s">
        <v>556</v>
      </c>
      <c r="V69" s="531"/>
      <c r="W69" s="529">
        <v>80</v>
      </c>
      <c r="X69" s="530">
        <v>113.95</v>
      </c>
      <c r="Y69" s="530">
        <v>115.03</v>
      </c>
      <c r="Z69" s="530">
        <v>116.09</v>
      </c>
      <c r="AA69" s="530">
        <v>117.12</v>
      </c>
      <c r="AB69" s="530">
        <v>118.14</v>
      </c>
      <c r="AC69" s="530">
        <v>119.14</v>
      </c>
      <c r="AD69" s="530">
        <v>120.1</v>
      </c>
      <c r="AE69" s="530">
        <v>121.05</v>
      </c>
      <c r="AF69" s="530">
        <v>121.96</v>
      </c>
      <c r="AG69" s="530">
        <v>122.85</v>
      </c>
      <c r="AH69" s="530">
        <v>123.72</v>
      </c>
      <c r="AI69" s="530">
        <v>124.56</v>
      </c>
      <c r="AJ69" s="530">
        <v>128.37</v>
      </c>
      <c r="AK69" s="530" t="s">
        <v>556</v>
      </c>
      <c r="AL69" s="530" t="s">
        <v>556</v>
      </c>
      <c r="AM69" s="530" t="s">
        <v>556</v>
      </c>
      <c r="AN69" s="530" t="s">
        <v>556</v>
      </c>
      <c r="AO69" s="530" t="s">
        <v>556</v>
      </c>
      <c r="AP69" s="530" t="s">
        <v>556</v>
      </c>
      <c r="AQ69" s="531"/>
      <c r="AR69" s="529">
        <v>80</v>
      </c>
      <c r="AS69" s="530">
        <v>114.98</v>
      </c>
      <c r="AT69" s="530">
        <v>116.06</v>
      </c>
      <c r="AU69" s="530">
        <v>117.12</v>
      </c>
      <c r="AV69" s="530">
        <v>118.16</v>
      </c>
      <c r="AW69" s="530">
        <v>119.18</v>
      </c>
      <c r="AX69" s="530">
        <v>120.17</v>
      </c>
      <c r="AY69" s="530">
        <v>121.13</v>
      </c>
      <c r="AZ69" s="530">
        <v>122.07</v>
      </c>
      <c r="BA69" s="530">
        <v>122.98</v>
      </c>
      <c r="BB69" s="530">
        <v>123.86</v>
      </c>
      <c r="BC69" s="530">
        <v>124.72</v>
      </c>
      <c r="BD69" s="530">
        <v>125.55</v>
      </c>
      <c r="BE69" s="530">
        <v>129.31</v>
      </c>
      <c r="BF69" s="530" t="s">
        <v>556</v>
      </c>
      <c r="BG69" s="530" t="s">
        <v>556</v>
      </c>
      <c r="BH69" s="530" t="s">
        <v>556</v>
      </c>
      <c r="BI69" s="530" t="s">
        <v>556</v>
      </c>
      <c r="BJ69" s="530" t="s">
        <v>556</v>
      </c>
      <c r="BK69" s="530" t="s">
        <v>556</v>
      </c>
    </row>
    <row r="70" spans="2:63" x14ac:dyDescent="0.25">
      <c r="B70" s="529">
        <v>81</v>
      </c>
      <c r="C70" s="530">
        <v>116.86</v>
      </c>
      <c r="D70" s="530">
        <v>117.99</v>
      </c>
      <c r="E70" s="530">
        <v>119.09</v>
      </c>
      <c r="F70" s="530">
        <v>120.18</v>
      </c>
      <c r="G70" s="530">
        <v>121.24</v>
      </c>
      <c r="H70" s="530">
        <v>122.28</v>
      </c>
      <c r="I70" s="530">
        <v>123.3</v>
      </c>
      <c r="J70" s="530">
        <v>124.28</v>
      </c>
      <c r="K70" s="530">
        <v>125.24</v>
      </c>
      <c r="L70" s="530">
        <v>126.18</v>
      </c>
      <c r="M70" s="530">
        <v>127.08</v>
      </c>
      <c r="N70" s="530">
        <v>127.96</v>
      </c>
      <c r="O70" s="530">
        <v>132</v>
      </c>
      <c r="P70" s="530" t="s">
        <v>556</v>
      </c>
      <c r="Q70" s="530" t="s">
        <v>556</v>
      </c>
      <c r="R70" s="530" t="s">
        <v>556</v>
      </c>
      <c r="S70" s="530" t="s">
        <v>556</v>
      </c>
      <c r="T70" s="530" t="s">
        <v>556</v>
      </c>
      <c r="U70" s="530" t="s">
        <v>556</v>
      </c>
      <c r="V70" s="531"/>
      <c r="W70" s="529">
        <v>81</v>
      </c>
      <c r="X70" s="530">
        <v>117.8</v>
      </c>
      <c r="Y70" s="530">
        <v>118.95</v>
      </c>
      <c r="Z70" s="530">
        <v>120.08</v>
      </c>
      <c r="AA70" s="530">
        <v>121.18</v>
      </c>
      <c r="AB70" s="530">
        <v>122.26</v>
      </c>
      <c r="AC70" s="530">
        <v>123.32</v>
      </c>
      <c r="AD70" s="530">
        <v>124.35</v>
      </c>
      <c r="AE70" s="530">
        <v>125.35</v>
      </c>
      <c r="AF70" s="530">
        <v>126.33</v>
      </c>
      <c r="AG70" s="530">
        <v>127.28</v>
      </c>
      <c r="AH70" s="530">
        <v>128.19999999999999</v>
      </c>
      <c r="AI70" s="530">
        <v>129.09</v>
      </c>
      <c r="AJ70" s="530">
        <v>133.19</v>
      </c>
      <c r="AK70" s="530" t="s">
        <v>556</v>
      </c>
      <c r="AL70" s="530" t="s">
        <v>556</v>
      </c>
      <c r="AM70" s="530" t="s">
        <v>556</v>
      </c>
      <c r="AN70" s="530" t="s">
        <v>556</v>
      </c>
      <c r="AO70" s="530" t="s">
        <v>556</v>
      </c>
      <c r="AP70" s="530" t="s">
        <v>556</v>
      </c>
      <c r="AQ70" s="531"/>
      <c r="AR70" s="529">
        <v>81</v>
      </c>
      <c r="AS70" s="530">
        <v>118.85</v>
      </c>
      <c r="AT70" s="530">
        <v>120</v>
      </c>
      <c r="AU70" s="530">
        <v>121.13</v>
      </c>
      <c r="AV70" s="530">
        <v>122.23</v>
      </c>
      <c r="AW70" s="530">
        <v>123.31</v>
      </c>
      <c r="AX70" s="530">
        <v>124.36</v>
      </c>
      <c r="AY70" s="530">
        <v>125.39</v>
      </c>
      <c r="AZ70" s="530">
        <v>126.39</v>
      </c>
      <c r="BA70" s="530">
        <v>127.35</v>
      </c>
      <c r="BB70" s="530">
        <v>128.29</v>
      </c>
      <c r="BC70" s="530">
        <v>129.21</v>
      </c>
      <c r="BD70" s="530">
        <v>130.09</v>
      </c>
      <c r="BE70" s="530">
        <v>134.13</v>
      </c>
      <c r="BF70" s="530" t="s">
        <v>556</v>
      </c>
      <c r="BG70" s="530" t="s">
        <v>556</v>
      </c>
      <c r="BH70" s="530" t="s">
        <v>556</v>
      </c>
      <c r="BI70" s="530" t="s">
        <v>556</v>
      </c>
      <c r="BJ70" s="530" t="s">
        <v>556</v>
      </c>
      <c r="BK70" s="530" t="s">
        <v>556</v>
      </c>
    </row>
    <row r="71" spans="2:63" x14ac:dyDescent="0.25">
      <c r="B71" s="529">
        <v>82</v>
      </c>
      <c r="C71" s="530">
        <v>120.86</v>
      </c>
      <c r="D71" s="530">
        <v>122.06</v>
      </c>
      <c r="E71" s="530">
        <v>123.24</v>
      </c>
      <c r="F71" s="530">
        <v>124.39</v>
      </c>
      <c r="G71" s="530">
        <v>125.52</v>
      </c>
      <c r="H71" s="530">
        <v>126.63</v>
      </c>
      <c r="I71" s="530">
        <v>127.71</v>
      </c>
      <c r="J71" s="530">
        <v>128.76</v>
      </c>
      <c r="K71" s="530">
        <v>129.78</v>
      </c>
      <c r="L71" s="530">
        <v>130.77000000000001</v>
      </c>
      <c r="M71" s="530">
        <v>131.74</v>
      </c>
      <c r="N71" s="530">
        <v>132.68</v>
      </c>
      <c r="O71" s="530">
        <v>137.03</v>
      </c>
      <c r="P71" s="530" t="s">
        <v>556</v>
      </c>
      <c r="Q71" s="530" t="s">
        <v>556</v>
      </c>
      <c r="R71" s="530" t="s">
        <v>556</v>
      </c>
      <c r="S71" s="530" t="s">
        <v>556</v>
      </c>
      <c r="T71" s="530" t="s">
        <v>556</v>
      </c>
      <c r="U71" s="530" t="s">
        <v>556</v>
      </c>
      <c r="V71" s="531"/>
      <c r="W71" s="529">
        <v>82</v>
      </c>
      <c r="X71" s="530">
        <v>121.88</v>
      </c>
      <c r="Y71" s="530">
        <v>123.1</v>
      </c>
      <c r="Z71" s="530">
        <v>124.3</v>
      </c>
      <c r="AA71" s="530">
        <v>125.47</v>
      </c>
      <c r="AB71" s="530">
        <v>126.62</v>
      </c>
      <c r="AC71" s="530">
        <v>127.75</v>
      </c>
      <c r="AD71" s="530">
        <v>128.84</v>
      </c>
      <c r="AE71" s="530">
        <v>129.91</v>
      </c>
      <c r="AF71" s="530">
        <v>130.94999999999999</v>
      </c>
      <c r="AG71" s="530">
        <v>131.96</v>
      </c>
      <c r="AH71" s="530">
        <v>132.94</v>
      </c>
      <c r="AI71" s="530">
        <v>133.88999999999999</v>
      </c>
      <c r="AJ71" s="530">
        <v>138.29</v>
      </c>
      <c r="AK71" s="530" t="s">
        <v>556</v>
      </c>
      <c r="AL71" s="530" t="s">
        <v>556</v>
      </c>
      <c r="AM71" s="530" t="s">
        <v>556</v>
      </c>
      <c r="AN71" s="530" t="s">
        <v>556</v>
      </c>
      <c r="AO71" s="530" t="s">
        <v>556</v>
      </c>
      <c r="AP71" s="530" t="s">
        <v>556</v>
      </c>
      <c r="AQ71" s="531"/>
      <c r="AR71" s="529">
        <v>82</v>
      </c>
      <c r="AS71" s="530">
        <v>122.94</v>
      </c>
      <c r="AT71" s="530">
        <v>124.16</v>
      </c>
      <c r="AU71" s="530">
        <v>125.36</v>
      </c>
      <c r="AV71" s="530">
        <v>126.53</v>
      </c>
      <c r="AW71" s="530">
        <v>127.68</v>
      </c>
      <c r="AX71" s="530">
        <v>128.80000000000001</v>
      </c>
      <c r="AY71" s="530">
        <v>129.88999999999999</v>
      </c>
      <c r="AZ71" s="530">
        <v>130.94999999999999</v>
      </c>
      <c r="BA71" s="530">
        <v>131.97999999999999</v>
      </c>
      <c r="BB71" s="530">
        <v>132.97999999999999</v>
      </c>
      <c r="BC71" s="530">
        <v>133.94999999999999</v>
      </c>
      <c r="BD71" s="530">
        <v>134.88999999999999</v>
      </c>
      <c r="BE71" s="530">
        <v>139.22</v>
      </c>
      <c r="BF71" s="530" t="s">
        <v>556</v>
      </c>
      <c r="BG71" s="530" t="s">
        <v>556</v>
      </c>
      <c r="BH71" s="530" t="s">
        <v>556</v>
      </c>
      <c r="BI71" s="530" t="s">
        <v>556</v>
      </c>
      <c r="BJ71" s="530" t="s">
        <v>556</v>
      </c>
      <c r="BK71" s="530" t="s">
        <v>556</v>
      </c>
    </row>
    <row r="72" spans="2:63" x14ac:dyDescent="0.25">
      <c r="B72" s="529">
        <v>83</v>
      </c>
      <c r="C72" s="530">
        <v>125.09</v>
      </c>
      <c r="D72" s="530">
        <v>126.37</v>
      </c>
      <c r="E72" s="530">
        <v>127.62</v>
      </c>
      <c r="F72" s="530">
        <v>128.84</v>
      </c>
      <c r="G72" s="530">
        <v>130.05000000000001</v>
      </c>
      <c r="H72" s="530">
        <v>131.22</v>
      </c>
      <c r="I72" s="530">
        <v>132.37</v>
      </c>
      <c r="J72" s="530">
        <v>133.47999999999999</v>
      </c>
      <c r="K72" s="530">
        <v>134.57</v>
      </c>
      <c r="L72" s="530">
        <v>135.63</v>
      </c>
      <c r="M72" s="530">
        <v>136.66999999999999</v>
      </c>
      <c r="N72" s="530">
        <v>137.66999999999999</v>
      </c>
      <c r="O72" s="530">
        <v>142.36000000000001</v>
      </c>
      <c r="P72" s="530" t="s">
        <v>556</v>
      </c>
      <c r="Q72" s="530" t="s">
        <v>556</v>
      </c>
      <c r="R72" s="530" t="s">
        <v>556</v>
      </c>
      <c r="S72" s="530" t="s">
        <v>556</v>
      </c>
      <c r="T72" s="530" t="s">
        <v>556</v>
      </c>
      <c r="U72" s="530" t="s">
        <v>556</v>
      </c>
      <c r="V72" s="531"/>
      <c r="W72" s="529">
        <v>83</v>
      </c>
      <c r="X72" s="530">
        <v>126.19</v>
      </c>
      <c r="Y72" s="530">
        <v>127.49</v>
      </c>
      <c r="Z72" s="530">
        <v>128.76</v>
      </c>
      <c r="AA72" s="530">
        <v>130.01</v>
      </c>
      <c r="AB72" s="530">
        <v>131.22999999999999</v>
      </c>
      <c r="AC72" s="530">
        <v>132.41999999999999</v>
      </c>
      <c r="AD72" s="530">
        <v>133.58000000000001</v>
      </c>
      <c r="AE72" s="530">
        <v>134.72</v>
      </c>
      <c r="AF72" s="530">
        <v>135.82</v>
      </c>
      <c r="AG72" s="530">
        <v>136.9</v>
      </c>
      <c r="AH72" s="530">
        <v>137.94</v>
      </c>
      <c r="AI72" s="530">
        <v>138.96</v>
      </c>
      <c r="AJ72" s="530">
        <v>143.69</v>
      </c>
      <c r="AK72" s="530" t="s">
        <v>556</v>
      </c>
      <c r="AL72" s="530" t="s">
        <v>556</v>
      </c>
      <c r="AM72" s="530" t="s">
        <v>556</v>
      </c>
      <c r="AN72" s="530" t="s">
        <v>556</v>
      </c>
      <c r="AO72" s="530" t="s">
        <v>556</v>
      </c>
      <c r="AP72" s="530" t="s">
        <v>556</v>
      </c>
      <c r="AQ72" s="531"/>
      <c r="AR72" s="529">
        <v>83</v>
      </c>
      <c r="AS72" s="530">
        <v>127.27</v>
      </c>
      <c r="AT72" s="530">
        <v>128.56</v>
      </c>
      <c r="AU72" s="530">
        <v>129.83000000000001</v>
      </c>
      <c r="AV72" s="530">
        <v>131.08000000000001</v>
      </c>
      <c r="AW72" s="530">
        <v>132.29</v>
      </c>
      <c r="AX72" s="530">
        <v>133.47999999999999</v>
      </c>
      <c r="AY72" s="530">
        <v>134.63999999999999</v>
      </c>
      <c r="AZ72" s="530">
        <v>135.76</v>
      </c>
      <c r="BA72" s="530">
        <v>136.86000000000001</v>
      </c>
      <c r="BB72" s="530">
        <v>137.91999999999999</v>
      </c>
      <c r="BC72" s="530">
        <v>138.94999999999999</v>
      </c>
      <c r="BD72" s="530">
        <v>139.96</v>
      </c>
      <c r="BE72" s="530">
        <v>144.63</v>
      </c>
      <c r="BF72" s="530" t="s">
        <v>556</v>
      </c>
      <c r="BG72" s="530" t="s">
        <v>556</v>
      </c>
      <c r="BH72" s="530" t="s">
        <v>556</v>
      </c>
      <c r="BI72" s="530" t="s">
        <v>556</v>
      </c>
      <c r="BJ72" s="530" t="s">
        <v>556</v>
      </c>
      <c r="BK72" s="530" t="s">
        <v>556</v>
      </c>
    </row>
    <row r="73" spans="2:63" x14ac:dyDescent="0.25">
      <c r="B73" s="529">
        <v>84</v>
      </c>
      <c r="C73" s="530">
        <v>129.56</v>
      </c>
      <c r="D73" s="530">
        <v>130.91999999999999</v>
      </c>
      <c r="E73" s="530">
        <v>132.25</v>
      </c>
      <c r="F73" s="530">
        <v>133.55000000000001</v>
      </c>
      <c r="G73" s="530">
        <v>134.83000000000001</v>
      </c>
      <c r="H73" s="530">
        <v>136.07</v>
      </c>
      <c r="I73" s="530">
        <v>137.29</v>
      </c>
      <c r="J73" s="530">
        <v>138.47999999999999</v>
      </c>
      <c r="K73" s="530">
        <v>139.63999999999999</v>
      </c>
      <c r="L73" s="530">
        <v>140.77000000000001</v>
      </c>
      <c r="M73" s="530">
        <v>141.88</v>
      </c>
      <c r="N73" s="530">
        <v>142.94999999999999</v>
      </c>
      <c r="O73" s="530">
        <v>148.04</v>
      </c>
      <c r="P73" s="530" t="s">
        <v>556</v>
      </c>
      <c r="Q73" s="530" t="s">
        <v>556</v>
      </c>
      <c r="R73" s="530" t="s">
        <v>556</v>
      </c>
      <c r="S73" s="530" t="s">
        <v>556</v>
      </c>
      <c r="T73" s="530" t="s">
        <v>556</v>
      </c>
      <c r="U73" s="530" t="s">
        <v>556</v>
      </c>
      <c r="V73" s="531"/>
      <c r="W73" s="529">
        <v>84</v>
      </c>
      <c r="X73" s="530">
        <v>130.75</v>
      </c>
      <c r="Y73" s="530">
        <v>132.12</v>
      </c>
      <c r="Z73" s="530">
        <v>133.47</v>
      </c>
      <c r="AA73" s="530">
        <v>134.79</v>
      </c>
      <c r="AB73" s="530">
        <v>136.09</v>
      </c>
      <c r="AC73" s="530">
        <v>137.36000000000001</v>
      </c>
      <c r="AD73" s="530">
        <v>138.59</v>
      </c>
      <c r="AE73" s="530">
        <v>139.80000000000001</v>
      </c>
      <c r="AF73" s="530">
        <v>140.97</v>
      </c>
      <c r="AG73" s="530">
        <v>142.12</v>
      </c>
      <c r="AH73" s="530">
        <v>143.22999999999999</v>
      </c>
      <c r="AI73" s="530">
        <v>144.32</v>
      </c>
      <c r="AJ73" s="530">
        <v>149.44</v>
      </c>
      <c r="AK73" s="530" t="s">
        <v>556</v>
      </c>
      <c r="AL73" s="530" t="s">
        <v>556</v>
      </c>
      <c r="AM73" s="530" t="s">
        <v>556</v>
      </c>
      <c r="AN73" s="530" t="s">
        <v>556</v>
      </c>
      <c r="AO73" s="530" t="s">
        <v>556</v>
      </c>
      <c r="AP73" s="530" t="s">
        <v>556</v>
      </c>
      <c r="AQ73" s="531"/>
      <c r="AR73" s="529">
        <v>84</v>
      </c>
      <c r="AS73" s="530">
        <v>131.83000000000001</v>
      </c>
      <c r="AT73" s="530">
        <v>133.19999999999999</v>
      </c>
      <c r="AU73" s="530">
        <v>134.55000000000001</v>
      </c>
      <c r="AV73" s="530">
        <v>135.87</v>
      </c>
      <c r="AW73" s="530">
        <v>137.16</v>
      </c>
      <c r="AX73" s="530">
        <v>138.41999999999999</v>
      </c>
      <c r="AY73" s="530">
        <v>139.65</v>
      </c>
      <c r="AZ73" s="530">
        <v>140.84</v>
      </c>
      <c r="BA73" s="530">
        <v>142.01</v>
      </c>
      <c r="BB73" s="530">
        <v>143.13999999999999</v>
      </c>
      <c r="BC73" s="530">
        <v>144.24</v>
      </c>
      <c r="BD73" s="530">
        <v>145.32</v>
      </c>
      <c r="BE73" s="530">
        <v>150.37</v>
      </c>
      <c r="BF73" s="530" t="s">
        <v>556</v>
      </c>
      <c r="BG73" s="530" t="s">
        <v>556</v>
      </c>
      <c r="BH73" s="530" t="s">
        <v>556</v>
      </c>
      <c r="BI73" s="530" t="s">
        <v>556</v>
      </c>
      <c r="BJ73" s="530" t="s">
        <v>556</v>
      </c>
      <c r="BK73" s="530" t="s">
        <v>556</v>
      </c>
    </row>
    <row r="74" spans="2:63" x14ac:dyDescent="0.25">
      <c r="B74" s="529">
        <v>85</v>
      </c>
      <c r="C74" s="530">
        <v>134.29</v>
      </c>
      <c r="D74" s="530">
        <v>135.72</v>
      </c>
      <c r="E74" s="530">
        <v>137.13999999999999</v>
      </c>
      <c r="F74" s="530">
        <v>138.52000000000001</v>
      </c>
      <c r="G74" s="530">
        <v>139.88</v>
      </c>
      <c r="H74" s="530">
        <v>141.19999999999999</v>
      </c>
      <c r="I74" s="530">
        <v>142.5</v>
      </c>
      <c r="J74" s="530">
        <v>143.76</v>
      </c>
      <c r="K74" s="530">
        <v>145</v>
      </c>
      <c r="L74" s="530">
        <v>146.21</v>
      </c>
      <c r="M74" s="530">
        <v>147.38999999999999</v>
      </c>
      <c r="N74" s="530">
        <v>148.55000000000001</v>
      </c>
      <c r="O74" s="530" t="s">
        <v>556</v>
      </c>
      <c r="P74" s="530" t="s">
        <v>556</v>
      </c>
      <c r="Q74" s="530" t="s">
        <v>556</v>
      </c>
      <c r="R74" s="530" t="s">
        <v>556</v>
      </c>
      <c r="S74" s="530" t="s">
        <v>556</v>
      </c>
      <c r="T74" s="530" t="s">
        <v>556</v>
      </c>
      <c r="U74" s="530" t="s">
        <v>556</v>
      </c>
      <c r="V74" s="531"/>
      <c r="W74" s="529">
        <v>85</v>
      </c>
      <c r="X74" s="530">
        <v>135.56</v>
      </c>
      <c r="Y74" s="530">
        <v>137.01</v>
      </c>
      <c r="Z74" s="530">
        <v>138.44</v>
      </c>
      <c r="AA74" s="530">
        <v>139.85</v>
      </c>
      <c r="AB74" s="530">
        <v>141.22</v>
      </c>
      <c r="AC74" s="530">
        <v>142.57</v>
      </c>
      <c r="AD74" s="530">
        <v>143.88</v>
      </c>
      <c r="AE74" s="530">
        <v>145.16</v>
      </c>
      <c r="AF74" s="530">
        <v>146.41</v>
      </c>
      <c r="AG74" s="530">
        <v>147.63</v>
      </c>
      <c r="AH74" s="530">
        <v>148.83000000000001</v>
      </c>
      <c r="AI74" s="530">
        <v>149.99</v>
      </c>
      <c r="AJ74" s="530" t="s">
        <v>556</v>
      </c>
      <c r="AK74" s="530" t="s">
        <v>556</v>
      </c>
      <c r="AL74" s="530" t="s">
        <v>556</v>
      </c>
      <c r="AM74" s="530" t="s">
        <v>556</v>
      </c>
      <c r="AN74" s="530" t="s">
        <v>556</v>
      </c>
      <c r="AO74" s="530" t="s">
        <v>556</v>
      </c>
      <c r="AP74" s="530" t="s">
        <v>556</v>
      </c>
      <c r="AQ74" s="531"/>
      <c r="AR74" s="529">
        <v>85</v>
      </c>
      <c r="AS74" s="530">
        <v>136.65</v>
      </c>
      <c r="AT74" s="530">
        <v>138.1</v>
      </c>
      <c r="AU74" s="530">
        <v>139.53</v>
      </c>
      <c r="AV74" s="530">
        <v>140.93</v>
      </c>
      <c r="AW74" s="530">
        <v>142.30000000000001</v>
      </c>
      <c r="AX74" s="530">
        <v>143.63</v>
      </c>
      <c r="AY74" s="530">
        <v>144.94</v>
      </c>
      <c r="AZ74" s="530">
        <v>146.21</v>
      </c>
      <c r="BA74" s="530">
        <v>147.44999999999999</v>
      </c>
      <c r="BB74" s="530">
        <v>148.66</v>
      </c>
      <c r="BC74" s="530">
        <v>149.83000000000001</v>
      </c>
      <c r="BD74" s="530">
        <v>150.99</v>
      </c>
      <c r="BE74" s="530" t="s">
        <v>556</v>
      </c>
      <c r="BF74" s="530" t="s">
        <v>556</v>
      </c>
      <c r="BG74" s="530" t="s">
        <v>556</v>
      </c>
      <c r="BH74" s="530" t="s">
        <v>556</v>
      </c>
      <c r="BI74" s="530" t="s">
        <v>556</v>
      </c>
      <c r="BJ74" s="530" t="s">
        <v>556</v>
      </c>
      <c r="BK74" s="530" t="s">
        <v>556</v>
      </c>
    </row>
    <row r="75" spans="2:63" x14ac:dyDescent="0.25">
      <c r="B75" s="529">
        <v>86</v>
      </c>
      <c r="C75" s="530">
        <v>139.28</v>
      </c>
      <c r="D75" s="530">
        <v>140.80000000000001</v>
      </c>
      <c r="E75" s="530">
        <v>142.30000000000001</v>
      </c>
      <c r="F75" s="530">
        <v>143.77000000000001</v>
      </c>
      <c r="G75" s="530">
        <v>145.21</v>
      </c>
      <c r="H75" s="530">
        <v>146.62</v>
      </c>
      <c r="I75" s="530">
        <v>148</v>
      </c>
      <c r="J75" s="530">
        <v>149.35</v>
      </c>
      <c r="K75" s="530">
        <v>150.66999999999999</v>
      </c>
      <c r="L75" s="530">
        <v>151.96</v>
      </c>
      <c r="M75" s="530">
        <v>153.22999999999999</v>
      </c>
      <c r="N75" s="530">
        <v>154.47</v>
      </c>
      <c r="O75" s="530" t="s">
        <v>556</v>
      </c>
      <c r="P75" s="530" t="s">
        <v>556</v>
      </c>
      <c r="Q75" s="530" t="s">
        <v>556</v>
      </c>
      <c r="R75" s="530" t="s">
        <v>556</v>
      </c>
      <c r="S75" s="530" t="s">
        <v>556</v>
      </c>
      <c r="T75" s="530" t="s">
        <v>556</v>
      </c>
      <c r="U75" s="530" t="s">
        <v>556</v>
      </c>
      <c r="V75" s="531"/>
      <c r="W75" s="529">
        <v>86</v>
      </c>
      <c r="X75" s="530">
        <v>140.63</v>
      </c>
      <c r="Y75" s="530">
        <v>142.18</v>
      </c>
      <c r="Z75" s="530">
        <v>143.69</v>
      </c>
      <c r="AA75" s="530">
        <v>145.18</v>
      </c>
      <c r="AB75" s="530">
        <v>146.63999999999999</v>
      </c>
      <c r="AC75" s="530">
        <v>148.07</v>
      </c>
      <c r="AD75" s="530">
        <v>149.46</v>
      </c>
      <c r="AE75" s="530">
        <v>150.83000000000001</v>
      </c>
      <c r="AF75" s="530">
        <v>152.16</v>
      </c>
      <c r="AG75" s="530">
        <v>153.46</v>
      </c>
      <c r="AH75" s="530">
        <v>154.74</v>
      </c>
      <c r="AI75" s="530">
        <v>155.99</v>
      </c>
      <c r="AJ75" s="530" t="s">
        <v>556</v>
      </c>
      <c r="AK75" s="530" t="s">
        <v>556</v>
      </c>
      <c r="AL75" s="530" t="s">
        <v>556</v>
      </c>
      <c r="AM75" s="530" t="s">
        <v>556</v>
      </c>
      <c r="AN75" s="530" t="s">
        <v>556</v>
      </c>
      <c r="AO75" s="530" t="s">
        <v>556</v>
      </c>
      <c r="AP75" s="530" t="s">
        <v>556</v>
      </c>
      <c r="AQ75" s="531"/>
      <c r="AR75" s="529">
        <v>86</v>
      </c>
      <c r="AS75" s="530">
        <v>141.72999999999999</v>
      </c>
      <c r="AT75" s="530">
        <v>143.27000000000001</v>
      </c>
      <c r="AU75" s="530">
        <v>144.79</v>
      </c>
      <c r="AV75" s="530">
        <v>146.27000000000001</v>
      </c>
      <c r="AW75" s="530">
        <v>147.72</v>
      </c>
      <c r="AX75" s="530">
        <v>149.13999999999999</v>
      </c>
      <c r="AY75" s="530">
        <v>150.52000000000001</v>
      </c>
      <c r="AZ75" s="530">
        <v>151.87</v>
      </c>
      <c r="BA75" s="530">
        <v>153.19</v>
      </c>
      <c r="BB75" s="530">
        <v>154.47999999999999</v>
      </c>
      <c r="BC75" s="530">
        <v>155.74</v>
      </c>
      <c r="BD75" s="530">
        <v>156.97999999999999</v>
      </c>
      <c r="BE75" s="530" t="s">
        <v>556</v>
      </c>
      <c r="BF75" s="530" t="s">
        <v>556</v>
      </c>
      <c r="BG75" s="530" t="s">
        <v>556</v>
      </c>
      <c r="BH75" s="530" t="s">
        <v>556</v>
      </c>
      <c r="BI75" s="530" t="s">
        <v>556</v>
      </c>
      <c r="BJ75" s="530" t="s">
        <v>556</v>
      </c>
      <c r="BK75" s="530" t="s">
        <v>556</v>
      </c>
    </row>
    <row r="76" spans="2:63" x14ac:dyDescent="0.25">
      <c r="B76" s="529">
        <v>87</v>
      </c>
      <c r="C76" s="530">
        <v>144.56</v>
      </c>
      <c r="D76" s="530">
        <v>146.16999999999999</v>
      </c>
      <c r="E76" s="530">
        <v>147.76</v>
      </c>
      <c r="F76" s="530">
        <v>149.32</v>
      </c>
      <c r="G76" s="530">
        <v>150.85</v>
      </c>
      <c r="H76" s="530">
        <v>152.34</v>
      </c>
      <c r="I76" s="530">
        <v>153.81</v>
      </c>
      <c r="J76" s="530">
        <v>155.25</v>
      </c>
      <c r="K76" s="530">
        <v>156.66</v>
      </c>
      <c r="L76" s="530">
        <v>158.05000000000001</v>
      </c>
      <c r="M76" s="530">
        <v>159.41</v>
      </c>
      <c r="N76" s="530">
        <v>160.76</v>
      </c>
      <c r="O76" s="530" t="s">
        <v>556</v>
      </c>
      <c r="P76" s="530" t="s">
        <v>556</v>
      </c>
      <c r="Q76" s="530" t="s">
        <v>556</v>
      </c>
      <c r="R76" s="530" t="s">
        <v>556</v>
      </c>
      <c r="S76" s="530" t="s">
        <v>556</v>
      </c>
      <c r="T76" s="530" t="s">
        <v>556</v>
      </c>
      <c r="U76" s="530" t="s">
        <v>556</v>
      </c>
      <c r="V76" s="531"/>
      <c r="W76" s="529">
        <v>87</v>
      </c>
      <c r="X76" s="530">
        <v>145.99</v>
      </c>
      <c r="Y76" s="530">
        <v>147.63</v>
      </c>
      <c r="Z76" s="530">
        <v>149.24</v>
      </c>
      <c r="AA76" s="530">
        <v>150.81</v>
      </c>
      <c r="AB76" s="530">
        <v>152.36000000000001</v>
      </c>
      <c r="AC76" s="530">
        <v>153.88</v>
      </c>
      <c r="AD76" s="530">
        <v>155.36000000000001</v>
      </c>
      <c r="AE76" s="530">
        <v>156.81</v>
      </c>
      <c r="AF76" s="530">
        <v>158.22999999999999</v>
      </c>
      <c r="AG76" s="530">
        <v>159.62</v>
      </c>
      <c r="AH76" s="530">
        <v>160.99</v>
      </c>
      <c r="AI76" s="530">
        <v>162.34</v>
      </c>
      <c r="AJ76" s="530" t="s">
        <v>556</v>
      </c>
      <c r="AK76" s="530" t="s">
        <v>556</v>
      </c>
      <c r="AL76" s="530" t="s">
        <v>556</v>
      </c>
      <c r="AM76" s="530" t="s">
        <v>556</v>
      </c>
      <c r="AN76" s="530" t="s">
        <v>556</v>
      </c>
      <c r="AO76" s="530" t="s">
        <v>556</v>
      </c>
      <c r="AP76" s="530" t="s">
        <v>556</v>
      </c>
      <c r="AQ76" s="531"/>
      <c r="AR76" s="529">
        <v>87</v>
      </c>
      <c r="AS76" s="530">
        <v>147.09</v>
      </c>
      <c r="AT76" s="530">
        <v>148.72999999999999</v>
      </c>
      <c r="AU76" s="530">
        <v>150.33000000000001</v>
      </c>
      <c r="AV76" s="530">
        <v>151.9</v>
      </c>
      <c r="AW76" s="530">
        <v>153.44</v>
      </c>
      <c r="AX76" s="530">
        <v>154.94</v>
      </c>
      <c r="AY76" s="530">
        <v>156.41</v>
      </c>
      <c r="AZ76" s="530">
        <v>157.85</v>
      </c>
      <c r="BA76" s="530">
        <v>159.26</v>
      </c>
      <c r="BB76" s="530">
        <v>160.63999999999999</v>
      </c>
      <c r="BC76" s="530">
        <v>161.99</v>
      </c>
      <c r="BD76" s="530">
        <v>163.33000000000001</v>
      </c>
      <c r="BE76" s="530" t="s">
        <v>556</v>
      </c>
      <c r="BF76" s="530" t="s">
        <v>556</v>
      </c>
      <c r="BG76" s="530" t="s">
        <v>556</v>
      </c>
      <c r="BH76" s="530" t="s">
        <v>556</v>
      </c>
      <c r="BI76" s="530" t="s">
        <v>556</v>
      </c>
      <c r="BJ76" s="530" t="s">
        <v>556</v>
      </c>
      <c r="BK76" s="530" t="s">
        <v>556</v>
      </c>
    </row>
    <row r="77" spans="2:63" x14ac:dyDescent="0.25">
      <c r="B77" s="529">
        <v>88</v>
      </c>
      <c r="C77" s="530">
        <v>150.13</v>
      </c>
      <c r="D77" s="530">
        <v>151.84</v>
      </c>
      <c r="E77" s="530">
        <v>153.52000000000001</v>
      </c>
      <c r="F77" s="530">
        <v>155.18</v>
      </c>
      <c r="G77" s="530">
        <v>156.80000000000001</v>
      </c>
      <c r="H77" s="530">
        <v>158.4</v>
      </c>
      <c r="I77" s="530">
        <v>159.96</v>
      </c>
      <c r="J77" s="530">
        <v>161.5</v>
      </c>
      <c r="K77" s="530">
        <v>163.01</v>
      </c>
      <c r="L77" s="530">
        <v>164.5</v>
      </c>
      <c r="M77" s="530">
        <v>165.97</v>
      </c>
      <c r="N77" s="530">
        <v>167.43</v>
      </c>
      <c r="O77" s="530" t="s">
        <v>556</v>
      </c>
      <c r="P77" s="530" t="s">
        <v>556</v>
      </c>
      <c r="Q77" s="530" t="s">
        <v>556</v>
      </c>
      <c r="R77" s="530" t="s">
        <v>556</v>
      </c>
      <c r="S77" s="530" t="s">
        <v>556</v>
      </c>
      <c r="T77" s="530" t="s">
        <v>556</v>
      </c>
      <c r="U77" s="530" t="s">
        <v>556</v>
      </c>
      <c r="V77" s="531"/>
      <c r="W77" s="529">
        <v>88</v>
      </c>
      <c r="X77" s="530">
        <v>151.65</v>
      </c>
      <c r="Y77" s="530">
        <v>153.38</v>
      </c>
      <c r="Z77" s="530">
        <v>155.08000000000001</v>
      </c>
      <c r="AA77" s="530">
        <v>156.76</v>
      </c>
      <c r="AB77" s="530">
        <v>158.4</v>
      </c>
      <c r="AC77" s="530">
        <v>160</v>
      </c>
      <c r="AD77" s="530">
        <v>161.58000000000001</v>
      </c>
      <c r="AE77" s="530">
        <v>163.13</v>
      </c>
      <c r="AF77" s="530">
        <v>164.65</v>
      </c>
      <c r="AG77" s="530">
        <v>166.14</v>
      </c>
      <c r="AH77" s="530">
        <v>167.61</v>
      </c>
      <c r="AI77" s="530">
        <v>169.08</v>
      </c>
      <c r="AJ77" s="530" t="s">
        <v>556</v>
      </c>
      <c r="AK77" s="530" t="s">
        <v>556</v>
      </c>
      <c r="AL77" s="530" t="s">
        <v>556</v>
      </c>
      <c r="AM77" s="530" t="s">
        <v>556</v>
      </c>
      <c r="AN77" s="530" t="s">
        <v>556</v>
      </c>
      <c r="AO77" s="530" t="s">
        <v>556</v>
      </c>
      <c r="AP77" s="530" t="s">
        <v>556</v>
      </c>
      <c r="AQ77" s="531"/>
      <c r="AR77" s="529">
        <v>88</v>
      </c>
      <c r="AS77" s="530">
        <v>152.75</v>
      </c>
      <c r="AT77" s="530">
        <v>154.47999999999999</v>
      </c>
      <c r="AU77" s="530">
        <v>156.16999999999999</v>
      </c>
      <c r="AV77" s="530">
        <v>157.84</v>
      </c>
      <c r="AW77" s="530">
        <v>159.47</v>
      </c>
      <c r="AX77" s="530">
        <v>161.07</v>
      </c>
      <c r="AY77" s="530">
        <v>162.63</v>
      </c>
      <c r="AZ77" s="530">
        <v>164.17</v>
      </c>
      <c r="BA77" s="530">
        <v>165.67</v>
      </c>
      <c r="BB77" s="530">
        <v>167.15</v>
      </c>
      <c r="BC77" s="530">
        <v>168.61</v>
      </c>
      <c r="BD77" s="530">
        <v>170.06</v>
      </c>
      <c r="BE77" s="530" t="s">
        <v>556</v>
      </c>
      <c r="BF77" s="530" t="s">
        <v>556</v>
      </c>
      <c r="BG77" s="530" t="s">
        <v>556</v>
      </c>
      <c r="BH77" s="530" t="s">
        <v>556</v>
      </c>
      <c r="BI77" s="530" t="s">
        <v>556</v>
      </c>
      <c r="BJ77" s="530" t="s">
        <v>556</v>
      </c>
      <c r="BK77" s="530" t="s">
        <v>556</v>
      </c>
    </row>
    <row r="78" spans="2:63" x14ac:dyDescent="0.25">
      <c r="B78" s="529">
        <v>89</v>
      </c>
      <c r="C78" s="530">
        <v>156.02000000000001</v>
      </c>
      <c r="D78" s="530">
        <v>157.83000000000001</v>
      </c>
      <c r="E78" s="530">
        <v>159.61000000000001</v>
      </c>
      <c r="F78" s="530">
        <v>161.37</v>
      </c>
      <c r="G78" s="530">
        <v>163.1</v>
      </c>
      <c r="H78" s="530">
        <v>164.8</v>
      </c>
      <c r="I78" s="530">
        <v>166.47</v>
      </c>
      <c r="J78" s="530">
        <v>168.11</v>
      </c>
      <c r="K78" s="530">
        <v>169.74</v>
      </c>
      <c r="L78" s="530">
        <v>171.34</v>
      </c>
      <c r="M78" s="530">
        <v>172.94</v>
      </c>
      <c r="N78" s="530">
        <v>174.54</v>
      </c>
      <c r="O78" s="530" t="s">
        <v>556</v>
      </c>
      <c r="P78" s="530" t="s">
        <v>556</v>
      </c>
      <c r="Q78" s="530" t="s">
        <v>556</v>
      </c>
      <c r="R78" s="530" t="s">
        <v>556</v>
      </c>
      <c r="S78" s="530" t="s">
        <v>556</v>
      </c>
      <c r="T78" s="530" t="s">
        <v>556</v>
      </c>
      <c r="U78" s="530" t="s">
        <v>556</v>
      </c>
      <c r="V78" s="531"/>
      <c r="W78" s="529">
        <v>89</v>
      </c>
      <c r="X78" s="530">
        <v>157.62</v>
      </c>
      <c r="Y78" s="530">
        <v>159.44999999999999</v>
      </c>
      <c r="Z78" s="530">
        <v>161.26</v>
      </c>
      <c r="AA78" s="530">
        <v>163.03</v>
      </c>
      <c r="AB78" s="530">
        <v>164.77</v>
      </c>
      <c r="AC78" s="530">
        <v>166.48</v>
      </c>
      <c r="AD78" s="530">
        <v>168.16</v>
      </c>
      <c r="AE78" s="530">
        <v>169.81</v>
      </c>
      <c r="AF78" s="530">
        <v>171.43</v>
      </c>
      <c r="AG78" s="530">
        <v>173.04</v>
      </c>
      <c r="AH78" s="530">
        <v>174.64</v>
      </c>
      <c r="AI78" s="530">
        <v>176.24</v>
      </c>
      <c r="AJ78" s="530" t="s">
        <v>556</v>
      </c>
      <c r="AK78" s="530" t="s">
        <v>556</v>
      </c>
      <c r="AL78" s="530" t="s">
        <v>556</v>
      </c>
      <c r="AM78" s="530" t="s">
        <v>556</v>
      </c>
      <c r="AN78" s="530" t="s">
        <v>556</v>
      </c>
      <c r="AO78" s="530" t="s">
        <v>556</v>
      </c>
      <c r="AP78" s="530" t="s">
        <v>556</v>
      </c>
      <c r="AQ78" s="531"/>
      <c r="AR78" s="529">
        <v>89</v>
      </c>
      <c r="AS78" s="530">
        <v>158.72</v>
      </c>
      <c r="AT78" s="530">
        <v>160.55000000000001</v>
      </c>
      <c r="AU78" s="530">
        <v>162.34</v>
      </c>
      <c r="AV78" s="530">
        <v>164.11</v>
      </c>
      <c r="AW78" s="530">
        <v>165.84</v>
      </c>
      <c r="AX78" s="530">
        <v>167.54</v>
      </c>
      <c r="AY78" s="530">
        <v>169.2</v>
      </c>
      <c r="AZ78" s="530">
        <v>170.84</v>
      </c>
      <c r="BA78" s="530">
        <v>172.46</v>
      </c>
      <c r="BB78" s="530">
        <v>174.06</v>
      </c>
      <c r="BC78" s="530">
        <v>175.64</v>
      </c>
      <c r="BD78" s="530">
        <v>177.22</v>
      </c>
      <c r="BE78" s="530" t="s">
        <v>556</v>
      </c>
      <c r="BF78" s="530" t="s">
        <v>556</v>
      </c>
      <c r="BG78" s="530" t="s">
        <v>556</v>
      </c>
      <c r="BH78" s="530" t="s">
        <v>556</v>
      </c>
      <c r="BI78" s="530" t="s">
        <v>556</v>
      </c>
      <c r="BJ78" s="530" t="s">
        <v>556</v>
      </c>
      <c r="BK78" s="530" t="s">
        <v>556</v>
      </c>
    </row>
    <row r="79" spans="2:63" x14ac:dyDescent="0.25">
      <c r="B79" s="529">
        <v>90</v>
      </c>
      <c r="C79" s="530">
        <v>162.24</v>
      </c>
      <c r="D79" s="530">
        <v>164.16</v>
      </c>
      <c r="E79" s="530">
        <v>166.05</v>
      </c>
      <c r="F79" s="530">
        <v>167.92</v>
      </c>
      <c r="G79" s="530">
        <v>169.76</v>
      </c>
      <c r="H79" s="530">
        <v>171.57</v>
      </c>
      <c r="I79" s="530">
        <v>173.36</v>
      </c>
      <c r="J79" s="530">
        <v>175.12</v>
      </c>
      <c r="K79" s="530">
        <v>176.88</v>
      </c>
      <c r="L79" s="530">
        <v>178.62</v>
      </c>
      <c r="M79" s="530">
        <v>180.37</v>
      </c>
      <c r="N79" s="530" t="s">
        <v>556</v>
      </c>
      <c r="O79" s="530" t="s">
        <v>556</v>
      </c>
      <c r="P79" s="530" t="s">
        <v>556</v>
      </c>
      <c r="Q79" s="530" t="s">
        <v>556</v>
      </c>
      <c r="R79" s="530" t="s">
        <v>556</v>
      </c>
      <c r="S79" s="530" t="s">
        <v>556</v>
      </c>
      <c r="T79" s="530" t="s">
        <v>556</v>
      </c>
      <c r="U79" s="530" t="s">
        <v>556</v>
      </c>
      <c r="V79" s="531"/>
      <c r="W79" s="529">
        <v>90</v>
      </c>
      <c r="X79" s="530">
        <v>163.92</v>
      </c>
      <c r="Y79" s="530">
        <v>165.86</v>
      </c>
      <c r="Z79" s="530">
        <v>167.77</v>
      </c>
      <c r="AA79" s="530">
        <v>169.65</v>
      </c>
      <c r="AB79" s="530">
        <v>171.5</v>
      </c>
      <c r="AC79" s="530">
        <v>173.32</v>
      </c>
      <c r="AD79" s="530">
        <v>175.11</v>
      </c>
      <c r="AE79" s="530">
        <v>176.88</v>
      </c>
      <c r="AF79" s="530">
        <v>178.63</v>
      </c>
      <c r="AG79" s="530">
        <v>180.37</v>
      </c>
      <c r="AH79" s="530">
        <v>182.12</v>
      </c>
      <c r="AI79" s="530" t="s">
        <v>556</v>
      </c>
      <c r="AJ79" s="530" t="s">
        <v>556</v>
      </c>
      <c r="AK79" s="530" t="s">
        <v>556</v>
      </c>
      <c r="AL79" s="530" t="s">
        <v>556</v>
      </c>
      <c r="AM79" s="530" t="s">
        <v>556</v>
      </c>
      <c r="AN79" s="530" t="s">
        <v>556</v>
      </c>
      <c r="AO79" s="530" t="s">
        <v>556</v>
      </c>
      <c r="AP79" s="530" t="s">
        <v>556</v>
      </c>
      <c r="AQ79" s="531"/>
      <c r="AR79" s="529">
        <v>90</v>
      </c>
      <c r="AS79" s="530">
        <v>165.01</v>
      </c>
      <c r="AT79" s="530">
        <v>166.95</v>
      </c>
      <c r="AU79" s="530">
        <v>168.85</v>
      </c>
      <c r="AV79" s="530">
        <v>170.73</v>
      </c>
      <c r="AW79" s="530">
        <v>172.57</v>
      </c>
      <c r="AX79" s="530">
        <v>174.37</v>
      </c>
      <c r="AY79" s="530">
        <v>176.16</v>
      </c>
      <c r="AZ79" s="530">
        <v>177.91</v>
      </c>
      <c r="BA79" s="530">
        <v>179.65</v>
      </c>
      <c r="BB79" s="530">
        <v>181.38</v>
      </c>
      <c r="BC79" s="530">
        <v>183.12</v>
      </c>
      <c r="BD79" s="530" t="s">
        <v>556</v>
      </c>
      <c r="BE79" s="530" t="s">
        <v>556</v>
      </c>
      <c r="BF79" s="530" t="s">
        <v>556</v>
      </c>
      <c r="BG79" s="530" t="s">
        <v>556</v>
      </c>
      <c r="BH79" s="530" t="s">
        <v>556</v>
      </c>
      <c r="BI79" s="530" t="s">
        <v>556</v>
      </c>
      <c r="BJ79" s="530" t="s">
        <v>556</v>
      </c>
      <c r="BK79" s="530" t="s">
        <v>556</v>
      </c>
    </row>
    <row r="80" spans="2:63" x14ac:dyDescent="0.25">
      <c r="B80" s="529">
        <v>91</v>
      </c>
      <c r="C80" s="530">
        <v>168.82</v>
      </c>
      <c r="D80" s="530">
        <v>170.85</v>
      </c>
      <c r="E80" s="530">
        <v>172.86</v>
      </c>
      <c r="F80" s="530">
        <v>174.85</v>
      </c>
      <c r="G80" s="530">
        <v>176.81</v>
      </c>
      <c r="H80" s="530">
        <v>178.74</v>
      </c>
      <c r="I80" s="530">
        <v>180.66</v>
      </c>
      <c r="J80" s="530">
        <v>182.57</v>
      </c>
      <c r="K80" s="530">
        <v>184.47</v>
      </c>
      <c r="L80" s="530">
        <v>186.38</v>
      </c>
      <c r="M80" s="530" t="s">
        <v>556</v>
      </c>
      <c r="N80" s="530" t="s">
        <v>556</v>
      </c>
      <c r="O80" s="530" t="s">
        <v>556</v>
      </c>
      <c r="P80" s="530" t="s">
        <v>556</v>
      </c>
      <c r="Q80" s="530" t="s">
        <v>556</v>
      </c>
      <c r="R80" s="530" t="s">
        <v>556</v>
      </c>
      <c r="S80" s="530" t="s">
        <v>556</v>
      </c>
      <c r="T80" s="530" t="s">
        <v>556</v>
      </c>
      <c r="U80" s="530" t="s">
        <v>556</v>
      </c>
      <c r="V80" s="531"/>
      <c r="W80" s="529">
        <v>91</v>
      </c>
      <c r="X80" s="530">
        <v>170.57</v>
      </c>
      <c r="Y80" s="530">
        <v>172.62</v>
      </c>
      <c r="Z80" s="530">
        <v>174.65</v>
      </c>
      <c r="AA80" s="530">
        <v>176.64</v>
      </c>
      <c r="AB80" s="530">
        <v>178.61</v>
      </c>
      <c r="AC80" s="530">
        <v>180.55</v>
      </c>
      <c r="AD80" s="530">
        <v>182.47</v>
      </c>
      <c r="AE80" s="530">
        <v>184.38</v>
      </c>
      <c r="AF80" s="530">
        <v>186.27</v>
      </c>
      <c r="AG80" s="530">
        <v>188.18</v>
      </c>
      <c r="AH80" s="530" t="s">
        <v>556</v>
      </c>
      <c r="AI80" s="530" t="s">
        <v>556</v>
      </c>
      <c r="AJ80" s="530" t="s">
        <v>556</v>
      </c>
      <c r="AK80" s="530" t="s">
        <v>556</v>
      </c>
      <c r="AL80" s="530" t="s">
        <v>556</v>
      </c>
      <c r="AM80" s="530" t="s">
        <v>556</v>
      </c>
      <c r="AN80" s="530" t="s">
        <v>556</v>
      </c>
      <c r="AO80" s="530" t="s">
        <v>556</v>
      </c>
      <c r="AP80" s="530" t="s">
        <v>556</v>
      </c>
      <c r="AQ80" s="531"/>
      <c r="AR80" s="529">
        <v>91</v>
      </c>
      <c r="AS80" s="530">
        <v>171.66</v>
      </c>
      <c r="AT80" s="530">
        <v>173.71</v>
      </c>
      <c r="AU80" s="530">
        <v>175.73</v>
      </c>
      <c r="AV80" s="530">
        <v>177.72</v>
      </c>
      <c r="AW80" s="530">
        <v>179.68</v>
      </c>
      <c r="AX80" s="530">
        <v>181.61</v>
      </c>
      <c r="AY80" s="530">
        <v>183.52</v>
      </c>
      <c r="AZ80" s="530">
        <v>185.41</v>
      </c>
      <c r="BA80" s="530">
        <v>187.3</v>
      </c>
      <c r="BB80" s="530">
        <v>189.19</v>
      </c>
      <c r="BC80" s="530" t="s">
        <v>556</v>
      </c>
      <c r="BD80" s="530" t="s">
        <v>556</v>
      </c>
      <c r="BE80" s="530" t="s">
        <v>556</v>
      </c>
      <c r="BF80" s="530" t="s">
        <v>556</v>
      </c>
      <c r="BG80" s="530" t="s">
        <v>556</v>
      </c>
      <c r="BH80" s="530" t="s">
        <v>556</v>
      </c>
      <c r="BI80" s="530" t="s">
        <v>556</v>
      </c>
      <c r="BJ80" s="530" t="s">
        <v>556</v>
      </c>
      <c r="BK80" s="530" t="s">
        <v>556</v>
      </c>
    </row>
    <row r="81" spans="2:63" x14ac:dyDescent="0.25">
      <c r="B81" s="529">
        <v>92</v>
      </c>
      <c r="C81" s="530">
        <v>175.78</v>
      </c>
      <c r="D81" s="530">
        <v>177.94</v>
      </c>
      <c r="E81" s="530">
        <v>180.07</v>
      </c>
      <c r="F81" s="530">
        <v>182.19</v>
      </c>
      <c r="G81" s="530">
        <v>184.28</v>
      </c>
      <c r="H81" s="530">
        <v>186.36</v>
      </c>
      <c r="I81" s="530">
        <v>188.43</v>
      </c>
      <c r="J81" s="530">
        <v>190.5</v>
      </c>
      <c r="K81" s="530">
        <v>192.58</v>
      </c>
      <c r="L81" s="530" t="s">
        <v>556</v>
      </c>
      <c r="M81" s="530" t="s">
        <v>556</v>
      </c>
      <c r="N81" s="530" t="s">
        <v>556</v>
      </c>
      <c r="O81" s="530" t="s">
        <v>556</v>
      </c>
      <c r="P81" s="530" t="s">
        <v>556</v>
      </c>
      <c r="Q81" s="530" t="s">
        <v>556</v>
      </c>
      <c r="R81" s="530" t="s">
        <v>556</v>
      </c>
      <c r="S81" s="530" t="s">
        <v>556</v>
      </c>
      <c r="T81" s="530" t="s">
        <v>556</v>
      </c>
      <c r="U81" s="530" t="s">
        <v>556</v>
      </c>
      <c r="V81" s="531"/>
      <c r="W81" s="529">
        <v>92</v>
      </c>
      <c r="X81" s="530">
        <v>177.6</v>
      </c>
      <c r="Y81" s="530">
        <v>179.77</v>
      </c>
      <c r="Z81" s="530">
        <v>181.92</v>
      </c>
      <c r="AA81" s="530">
        <v>184.04</v>
      </c>
      <c r="AB81" s="530">
        <v>186.14</v>
      </c>
      <c r="AC81" s="530">
        <v>188.22</v>
      </c>
      <c r="AD81" s="530">
        <v>190.29</v>
      </c>
      <c r="AE81" s="530">
        <v>192.35</v>
      </c>
      <c r="AF81" s="530">
        <v>194.42</v>
      </c>
      <c r="AG81" s="530" t="s">
        <v>556</v>
      </c>
      <c r="AH81" s="530" t="s">
        <v>556</v>
      </c>
      <c r="AI81" s="530" t="s">
        <v>556</v>
      </c>
      <c r="AJ81" s="530" t="s">
        <v>556</v>
      </c>
      <c r="AK81" s="530" t="s">
        <v>556</v>
      </c>
      <c r="AL81" s="530" t="s">
        <v>556</v>
      </c>
      <c r="AM81" s="530" t="s">
        <v>556</v>
      </c>
      <c r="AN81" s="530" t="s">
        <v>556</v>
      </c>
      <c r="AO81" s="530" t="s">
        <v>556</v>
      </c>
      <c r="AP81" s="530" t="s">
        <v>556</v>
      </c>
      <c r="AQ81" s="531"/>
      <c r="AR81" s="529">
        <v>92</v>
      </c>
      <c r="AS81" s="530">
        <v>178.69</v>
      </c>
      <c r="AT81" s="530">
        <v>180.86</v>
      </c>
      <c r="AU81" s="530">
        <v>183.01</v>
      </c>
      <c r="AV81" s="530">
        <v>185.12</v>
      </c>
      <c r="AW81" s="530">
        <v>187.21</v>
      </c>
      <c r="AX81" s="530">
        <v>189.28</v>
      </c>
      <c r="AY81" s="530">
        <v>191.33</v>
      </c>
      <c r="AZ81" s="530">
        <v>193.38</v>
      </c>
      <c r="BA81" s="530">
        <v>195.44</v>
      </c>
      <c r="BB81" s="530" t="s">
        <v>556</v>
      </c>
      <c r="BC81" s="530" t="s">
        <v>556</v>
      </c>
      <c r="BD81" s="530" t="s">
        <v>556</v>
      </c>
      <c r="BE81" s="530" t="s">
        <v>556</v>
      </c>
      <c r="BF81" s="530" t="s">
        <v>556</v>
      </c>
      <c r="BG81" s="530" t="s">
        <v>556</v>
      </c>
      <c r="BH81" s="530" t="s">
        <v>556</v>
      </c>
      <c r="BI81" s="530" t="s">
        <v>556</v>
      </c>
      <c r="BJ81" s="530" t="s">
        <v>556</v>
      </c>
      <c r="BK81" s="530" t="s">
        <v>556</v>
      </c>
    </row>
    <row r="82" spans="2:63" x14ac:dyDescent="0.25">
      <c r="B82" s="529">
        <v>93</v>
      </c>
      <c r="C82" s="530">
        <v>183.15</v>
      </c>
      <c r="D82" s="530">
        <v>185.45</v>
      </c>
      <c r="E82" s="530">
        <v>187.72</v>
      </c>
      <c r="F82" s="530">
        <v>189.98</v>
      </c>
      <c r="G82" s="530">
        <v>192.22</v>
      </c>
      <c r="H82" s="530">
        <v>194.46</v>
      </c>
      <c r="I82" s="530">
        <v>196.71</v>
      </c>
      <c r="J82" s="530">
        <v>198.97</v>
      </c>
      <c r="K82" s="530" t="s">
        <v>556</v>
      </c>
      <c r="L82" s="530" t="s">
        <v>556</v>
      </c>
      <c r="M82" s="530" t="s">
        <v>556</v>
      </c>
      <c r="N82" s="530" t="s">
        <v>556</v>
      </c>
      <c r="O82" s="530" t="s">
        <v>556</v>
      </c>
      <c r="P82" s="530" t="s">
        <v>556</v>
      </c>
      <c r="Q82" s="530" t="s">
        <v>556</v>
      </c>
      <c r="R82" s="530" t="s">
        <v>556</v>
      </c>
      <c r="S82" s="530" t="s">
        <v>556</v>
      </c>
      <c r="T82" s="530" t="s">
        <v>556</v>
      </c>
      <c r="U82" s="530" t="s">
        <v>556</v>
      </c>
      <c r="V82" s="531"/>
      <c r="W82" s="529">
        <v>93</v>
      </c>
      <c r="X82" s="530">
        <v>185.04</v>
      </c>
      <c r="Y82" s="530">
        <v>187.34</v>
      </c>
      <c r="Z82" s="530">
        <v>189.62</v>
      </c>
      <c r="AA82" s="530">
        <v>191.88</v>
      </c>
      <c r="AB82" s="530">
        <v>194.13</v>
      </c>
      <c r="AC82" s="530">
        <v>196.37</v>
      </c>
      <c r="AD82" s="530">
        <v>198.6</v>
      </c>
      <c r="AE82" s="530">
        <v>200.85</v>
      </c>
      <c r="AF82" s="530" t="s">
        <v>556</v>
      </c>
      <c r="AG82" s="530" t="s">
        <v>556</v>
      </c>
      <c r="AH82" s="530" t="s">
        <v>556</v>
      </c>
      <c r="AI82" s="530" t="s">
        <v>556</v>
      </c>
      <c r="AJ82" s="530" t="s">
        <v>556</v>
      </c>
      <c r="AK82" s="530" t="s">
        <v>556</v>
      </c>
      <c r="AL82" s="530" t="s">
        <v>556</v>
      </c>
      <c r="AM82" s="530" t="s">
        <v>556</v>
      </c>
      <c r="AN82" s="530" t="s">
        <v>556</v>
      </c>
      <c r="AO82" s="530" t="s">
        <v>556</v>
      </c>
      <c r="AP82" s="530" t="s">
        <v>556</v>
      </c>
      <c r="AQ82" s="531"/>
      <c r="AR82" s="529">
        <v>93</v>
      </c>
      <c r="AS82" s="530">
        <v>186.12</v>
      </c>
      <c r="AT82" s="530">
        <v>188.43</v>
      </c>
      <c r="AU82" s="530">
        <v>190.71</v>
      </c>
      <c r="AV82" s="530">
        <v>192.96</v>
      </c>
      <c r="AW82" s="530">
        <v>195.2</v>
      </c>
      <c r="AX82" s="530">
        <v>197.42</v>
      </c>
      <c r="AY82" s="530">
        <v>199.65</v>
      </c>
      <c r="AZ82" s="530">
        <v>201.88</v>
      </c>
      <c r="BA82" s="530" t="s">
        <v>556</v>
      </c>
      <c r="BB82" s="530" t="s">
        <v>556</v>
      </c>
      <c r="BC82" s="530" t="s">
        <v>556</v>
      </c>
      <c r="BD82" s="530" t="s">
        <v>556</v>
      </c>
      <c r="BE82" s="530" t="s">
        <v>556</v>
      </c>
      <c r="BF82" s="530" t="s">
        <v>556</v>
      </c>
      <c r="BG82" s="530" t="s">
        <v>556</v>
      </c>
      <c r="BH82" s="530" t="s">
        <v>556</v>
      </c>
      <c r="BI82" s="530" t="s">
        <v>556</v>
      </c>
      <c r="BJ82" s="530" t="s">
        <v>556</v>
      </c>
      <c r="BK82" s="530" t="s">
        <v>556</v>
      </c>
    </row>
    <row r="83" spans="2:63" x14ac:dyDescent="0.25">
      <c r="B83" s="529">
        <v>94</v>
      </c>
      <c r="C83" s="530">
        <v>190.98</v>
      </c>
      <c r="D83" s="530">
        <v>193.42</v>
      </c>
      <c r="E83" s="530">
        <v>195.85</v>
      </c>
      <c r="F83" s="530">
        <v>198.26</v>
      </c>
      <c r="G83" s="530">
        <v>200.68</v>
      </c>
      <c r="H83" s="530">
        <v>203.11</v>
      </c>
      <c r="I83" s="530">
        <v>205.56</v>
      </c>
      <c r="J83" s="530" t="s">
        <v>556</v>
      </c>
      <c r="K83" s="530" t="s">
        <v>556</v>
      </c>
      <c r="L83" s="530" t="s">
        <v>556</v>
      </c>
      <c r="M83" s="530" t="s">
        <v>556</v>
      </c>
      <c r="N83" s="530" t="s">
        <v>556</v>
      </c>
      <c r="O83" s="530" t="s">
        <v>556</v>
      </c>
      <c r="P83" s="530" t="s">
        <v>556</v>
      </c>
      <c r="Q83" s="530" t="s">
        <v>556</v>
      </c>
      <c r="R83" s="530" t="s">
        <v>556</v>
      </c>
      <c r="S83" s="530" t="s">
        <v>556</v>
      </c>
      <c r="T83" s="530" t="s">
        <v>556</v>
      </c>
      <c r="U83" s="530" t="s">
        <v>556</v>
      </c>
      <c r="V83" s="531"/>
      <c r="W83" s="529">
        <v>94</v>
      </c>
      <c r="X83" s="530">
        <v>192.92</v>
      </c>
      <c r="Y83" s="530">
        <v>195.36</v>
      </c>
      <c r="Z83" s="530">
        <v>197.8</v>
      </c>
      <c r="AA83" s="530">
        <v>200.21</v>
      </c>
      <c r="AB83" s="530">
        <v>202.63</v>
      </c>
      <c r="AC83" s="530">
        <v>205.05</v>
      </c>
      <c r="AD83" s="530">
        <v>207.49</v>
      </c>
      <c r="AE83" s="530" t="s">
        <v>556</v>
      </c>
      <c r="AF83" s="530" t="s">
        <v>556</v>
      </c>
      <c r="AG83" s="530" t="s">
        <v>556</v>
      </c>
      <c r="AH83" s="530" t="s">
        <v>556</v>
      </c>
      <c r="AI83" s="530" t="s">
        <v>556</v>
      </c>
      <c r="AJ83" s="530" t="s">
        <v>556</v>
      </c>
      <c r="AK83" s="530" t="s">
        <v>556</v>
      </c>
      <c r="AL83" s="530" t="s">
        <v>556</v>
      </c>
      <c r="AM83" s="530" t="s">
        <v>556</v>
      </c>
      <c r="AN83" s="530" t="s">
        <v>556</v>
      </c>
      <c r="AO83" s="530" t="s">
        <v>556</v>
      </c>
      <c r="AP83" s="530" t="s">
        <v>556</v>
      </c>
      <c r="AQ83" s="531"/>
      <c r="AR83" s="529">
        <v>94</v>
      </c>
      <c r="AS83" s="530">
        <v>194</v>
      </c>
      <c r="AT83" s="530">
        <v>196.45</v>
      </c>
      <c r="AU83" s="530">
        <v>198.88</v>
      </c>
      <c r="AV83" s="530">
        <v>201.29</v>
      </c>
      <c r="AW83" s="530">
        <v>203.69</v>
      </c>
      <c r="AX83" s="530">
        <v>206.1</v>
      </c>
      <c r="AY83" s="530">
        <v>208.53</v>
      </c>
      <c r="AZ83" s="530" t="s">
        <v>556</v>
      </c>
      <c r="BA83" s="530" t="s">
        <v>556</v>
      </c>
      <c r="BB83" s="530" t="s">
        <v>556</v>
      </c>
      <c r="BC83" s="530" t="s">
        <v>556</v>
      </c>
      <c r="BD83" s="530" t="s">
        <v>556</v>
      </c>
      <c r="BE83" s="530" t="s">
        <v>556</v>
      </c>
      <c r="BF83" s="530" t="s">
        <v>556</v>
      </c>
      <c r="BG83" s="530" t="s">
        <v>556</v>
      </c>
      <c r="BH83" s="530" t="s">
        <v>556</v>
      </c>
      <c r="BI83" s="530" t="s">
        <v>556</v>
      </c>
      <c r="BJ83" s="530" t="s">
        <v>556</v>
      </c>
      <c r="BK83" s="530" t="s">
        <v>556</v>
      </c>
    </row>
    <row r="84" spans="2:63" x14ac:dyDescent="0.25">
      <c r="B84" s="529">
        <v>95</v>
      </c>
      <c r="C84" s="530">
        <v>199.31</v>
      </c>
      <c r="D84" s="530">
        <v>201.9</v>
      </c>
      <c r="E84" s="530">
        <v>204.5</v>
      </c>
      <c r="F84" s="530">
        <v>207.11</v>
      </c>
      <c r="G84" s="530">
        <v>209.72</v>
      </c>
      <c r="H84" s="530">
        <v>212.38</v>
      </c>
      <c r="I84" s="530" t="s">
        <v>556</v>
      </c>
      <c r="J84" s="530" t="s">
        <v>556</v>
      </c>
      <c r="K84" s="530" t="s">
        <v>556</v>
      </c>
      <c r="L84" s="530" t="s">
        <v>556</v>
      </c>
      <c r="M84" s="530" t="s">
        <v>556</v>
      </c>
      <c r="N84" s="530" t="s">
        <v>556</v>
      </c>
      <c r="O84" s="530" t="s">
        <v>556</v>
      </c>
      <c r="P84" s="530" t="s">
        <v>556</v>
      </c>
      <c r="Q84" s="530" t="s">
        <v>556</v>
      </c>
      <c r="R84" s="530" t="s">
        <v>556</v>
      </c>
      <c r="S84" s="530" t="s">
        <v>556</v>
      </c>
      <c r="T84" s="530" t="s">
        <v>556</v>
      </c>
      <c r="U84" s="530" t="s">
        <v>556</v>
      </c>
      <c r="V84" s="531"/>
      <c r="W84" s="529">
        <v>95</v>
      </c>
      <c r="X84" s="530">
        <v>201.28</v>
      </c>
      <c r="Y84" s="530">
        <v>203.89</v>
      </c>
      <c r="Z84" s="530">
        <v>206.49</v>
      </c>
      <c r="AA84" s="530">
        <v>209.09</v>
      </c>
      <c r="AB84" s="530">
        <v>211.7</v>
      </c>
      <c r="AC84" s="530">
        <v>214.34</v>
      </c>
      <c r="AD84" s="530" t="s">
        <v>556</v>
      </c>
      <c r="AE84" s="530" t="s">
        <v>556</v>
      </c>
      <c r="AF84" s="530" t="s">
        <v>556</v>
      </c>
      <c r="AG84" s="530" t="s">
        <v>556</v>
      </c>
      <c r="AH84" s="530" t="s">
        <v>556</v>
      </c>
      <c r="AI84" s="530" t="s">
        <v>556</v>
      </c>
      <c r="AJ84" s="530" t="s">
        <v>556</v>
      </c>
      <c r="AK84" s="530" t="s">
        <v>556</v>
      </c>
      <c r="AL84" s="530" t="s">
        <v>556</v>
      </c>
      <c r="AM84" s="530" t="s">
        <v>556</v>
      </c>
      <c r="AN84" s="530" t="s">
        <v>556</v>
      </c>
      <c r="AO84" s="530" t="s">
        <v>556</v>
      </c>
      <c r="AP84" s="530" t="s">
        <v>556</v>
      </c>
      <c r="AQ84" s="531"/>
      <c r="AR84" s="529">
        <v>95</v>
      </c>
      <c r="AS84" s="530">
        <v>202.37</v>
      </c>
      <c r="AT84" s="530">
        <v>204.98</v>
      </c>
      <c r="AU84" s="530">
        <v>207.57</v>
      </c>
      <c r="AV84" s="530">
        <v>210.17</v>
      </c>
      <c r="AW84" s="530">
        <v>212.77</v>
      </c>
      <c r="AX84" s="530">
        <v>215.4</v>
      </c>
      <c r="AY84" s="530" t="s">
        <v>556</v>
      </c>
      <c r="AZ84" s="530" t="s">
        <v>556</v>
      </c>
      <c r="BA84" s="530" t="s">
        <v>556</v>
      </c>
      <c r="BB84" s="530" t="s">
        <v>556</v>
      </c>
      <c r="BC84" s="530" t="s">
        <v>556</v>
      </c>
      <c r="BD84" s="530" t="s">
        <v>556</v>
      </c>
      <c r="BE84" s="530" t="s">
        <v>556</v>
      </c>
      <c r="BF84" s="530" t="s">
        <v>556</v>
      </c>
      <c r="BG84" s="530" t="s">
        <v>556</v>
      </c>
      <c r="BH84" s="530" t="s">
        <v>556</v>
      </c>
      <c r="BI84" s="530" t="s">
        <v>556</v>
      </c>
      <c r="BJ84" s="530" t="s">
        <v>556</v>
      </c>
      <c r="BK84" s="530" t="s">
        <v>556</v>
      </c>
    </row>
    <row r="85" spans="2:63" x14ac:dyDescent="0.25">
      <c r="B85" s="529">
        <v>96</v>
      </c>
      <c r="C85" s="530">
        <v>208.19</v>
      </c>
      <c r="D85" s="530">
        <v>210.97</v>
      </c>
      <c r="E85" s="530">
        <v>213.76</v>
      </c>
      <c r="F85" s="530">
        <v>216.58</v>
      </c>
      <c r="G85" s="530">
        <v>219.44</v>
      </c>
      <c r="H85" s="530" t="s">
        <v>556</v>
      </c>
      <c r="I85" s="530" t="s">
        <v>556</v>
      </c>
      <c r="J85" s="530" t="s">
        <v>556</v>
      </c>
      <c r="K85" s="530" t="s">
        <v>556</v>
      </c>
      <c r="L85" s="530" t="s">
        <v>556</v>
      </c>
      <c r="M85" s="530" t="s">
        <v>556</v>
      </c>
      <c r="N85" s="530" t="s">
        <v>556</v>
      </c>
      <c r="O85" s="530" t="s">
        <v>556</v>
      </c>
      <c r="P85" s="530" t="s">
        <v>556</v>
      </c>
      <c r="Q85" s="530" t="s">
        <v>556</v>
      </c>
      <c r="R85" s="530" t="s">
        <v>556</v>
      </c>
      <c r="S85" s="530" t="s">
        <v>556</v>
      </c>
      <c r="T85" s="530" t="s">
        <v>556</v>
      </c>
      <c r="U85" s="530" t="s">
        <v>556</v>
      </c>
      <c r="V85" s="531"/>
      <c r="W85" s="529">
        <v>96</v>
      </c>
      <c r="X85" s="530">
        <v>210.2</v>
      </c>
      <c r="Y85" s="530">
        <v>212.98</v>
      </c>
      <c r="Z85" s="530">
        <v>215.78</v>
      </c>
      <c r="AA85" s="530">
        <v>218.59</v>
      </c>
      <c r="AB85" s="530">
        <v>221.44</v>
      </c>
      <c r="AC85" s="530" t="s">
        <v>556</v>
      </c>
      <c r="AD85" s="530" t="s">
        <v>556</v>
      </c>
      <c r="AE85" s="530" t="s">
        <v>556</v>
      </c>
      <c r="AF85" s="530" t="s">
        <v>556</v>
      </c>
      <c r="AG85" s="530" t="s">
        <v>556</v>
      </c>
      <c r="AH85" s="530" t="s">
        <v>556</v>
      </c>
      <c r="AI85" s="530" t="s">
        <v>556</v>
      </c>
      <c r="AJ85" s="530" t="s">
        <v>556</v>
      </c>
      <c r="AK85" s="530" t="s">
        <v>556</v>
      </c>
      <c r="AL85" s="530" t="s">
        <v>556</v>
      </c>
      <c r="AM85" s="530" t="s">
        <v>556</v>
      </c>
      <c r="AN85" s="530" t="s">
        <v>556</v>
      </c>
      <c r="AO85" s="530" t="s">
        <v>556</v>
      </c>
      <c r="AP85" s="530" t="s">
        <v>556</v>
      </c>
      <c r="AQ85" s="531"/>
      <c r="AR85" s="529">
        <v>96</v>
      </c>
      <c r="AS85" s="530">
        <v>211.29</v>
      </c>
      <c r="AT85" s="530">
        <v>214.07</v>
      </c>
      <c r="AU85" s="530">
        <v>216.86</v>
      </c>
      <c r="AV85" s="530">
        <v>219.67</v>
      </c>
      <c r="AW85" s="530">
        <v>222.5</v>
      </c>
      <c r="AX85" s="530" t="s">
        <v>556</v>
      </c>
      <c r="AY85" s="530" t="s">
        <v>556</v>
      </c>
      <c r="AZ85" s="530" t="s">
        <v>556</v>
      </c>
      <c r="BA85" s="530" t="s">
        <v>556</v>
      </c>
      <c r="BB85" s="530" t="s">
        <v>556</v>
      </c>
      <c r="BC85" s="530" t="s">
        <v>556</v>
      </c>
      <c r="BD85" s="530" t="s">
        <v>556</v>
      </c>
      <c r="BE85" s="530" t="s">
        <v>556</v>
      </c>
      <c r="BF85" s="530" t="s">
        <v>556</v>
      </c>
      <c r="BG85" s="530" t="s">
        <v>556</v>
      </c>
      <c r="BH85" s="530" t="s">
        <v>556</v>
      </c>
      <c r="BI85" s="530" t="s">
        <v>556</v>
      </c>
      <c r="BJ85" s="530" t="s">
        <v>556</v>
      </c>
      <c r="BK85" s="530" t="s">
        <v>556</v>
      </c>
    </row>
    <row r="86" spans="2:63" x14ac:dyDescent="0.25">
      <c r="B86" s="529">
        <v>97</v>
      </c>
      <c r="C86" s="530">
        <v>217.7</v>
      </c>
      <c r="D86" s="530">
        <v>220.68</v>
      </c>
      <c r="E86" s="530">
        <v>223.71</v>
      </c>
      <c r="F86" s="530">
        <v>226.78</v>
      </c>
      <c r="G86" s="530" t="s">
        <v>556</v>
      </c>
      <c r="H86" s="530" t="s">
        <v>556</v>
      </c>
      <c r="I86" s="530" t="s">
        <v>556</v>
      </c>
      <c r="J86" s="530" t="s">
        <v>556</v>
      </c>
      <c r="K86" s="530" t="s">
        <v>556</v>
      </c>
      <c r="L86" s="530" t="s">
        <v>556</v>
      </c>
      <c r="M86" s="530" t="s">
        <v>556</v>
      </c>
      <c r="N86" s="530" t="s">
        <v>556</v>
      </c>
      <c r="O86" s="530" t="s">
        <v>556</v>
      </c>
      <c r="P86" s="530" t="s">
        <v>556</v>
      </c>
      <c r="Q86" s="530" t="s">
        <v>556</v>
      </c>
      <c r="R86" s="530" t="s">
        <v>556</v>
      </c>
      <c r="S86" s="530" t="s">
        <v>556</v>
      </c>
      <c r="T86" s="530" t="s">
        <v>556</v>
      </c>
      <c r="U86" s="530" t="s">
        <v>556</v>
      </c>
      <c r="V86" s="531"/>
      <c r="W86" s="529">
        <v>97</v>
      </c>
      <c r="X86" s="530">
        <v>219.74</v>
      </c>
      <c r="Y86" s="530">
        <v>222.72</v>
      </c>
      <c r="Z86" s="530">
        <v>225.74</v>
      </c>
      <c r="AA86" s="530">
        <v>228.81</v>
      </c>
      <c r="AB86" s="530" t="s">
        <v>556</v>
      </c>
      <c r="AC86" s="530" t="s">
        <v>556</v>
      </c>
      <c r="AD86" s="530" t="s">
        <v>556</v>
      </c>
      <c r="AE86" s="530" t="s">
        <v>556</v>
      </c>
      <c r="AF86" s="530" t="s">
        <v>556</v>
      </c>
      <c r="AG86" s="530" t="s">
        <v>556</v>
      </c>
      <c r="AH86" s="530" t="s">
        <v>556</v>
      </c>
      <c r="AI86" s="530" t="s">
        <v>556</v>
      </c>
      <c r="AJ86" s="530" t="s">
        <v>556</v>
      </c>
      <c r="AK86" s="530" t="s">
        <v>556</v>
      </c>
      <c r="AL86" s="530" t="s">
        <v>556</v>
      </c>
      <c r="AM86" s="530" t="s">
        <v>556</v>
      </c>
      <c r="AN86" s="530" t="s">
        <v>556</v>
      </c>
      <c r="AO86" s="530" t="s">
        <v>556</v>
      </c>
      <c r="AP86" s="530" t="s">
        <v>556</v>
      </c>
      <c r="AQ86" s="531"/>
      <c r="AR86" s="529">
        <v>97</v>
      </c>
      <c r="AS86" s="530">
        <v>220.83</v>
      </c>
      <c r="AT86" s="530">
        <v>223.82</v>
      </c>
      <c r="AU86" s="530">
        <v>226.83</v>
      </c>
      <c r="AV86" s="530">
        <v>229.89</v>
      </c>
      <c r="AW86" s="530" t="s">
        <v>556</v>
      </c>
      <c r="AX86" s="530" t="s">
        <v>556</v>
      </c>
      <c r="AY86" s="530" t="s">
        <v>556</v>
      </c>
      <c r="AZ86" s="530" t="s">
        <v>556</v>
      </c>
      <c r="BA86" s="530" t="s">
        <v>556</v>
      </c>
      <c r="BB86" s="530" t="s">
        <v>556</v>
      </c>
      <c r="BC86" s="530" t="s">
        <v>556</v>
      </c>
      <c r="BD86" s="530" t="s">
        <v>556</v>
      </c>
      <c r="BE86" s="530" t="s">
        <v>556</v>
      </c>
      <c r="BF86" s="530" t="s">
        <v>556</v>
      </c>
      <c r="BG86" s="530" t="s">
        <v>556</v>
      </c>
      <c r="BH86" s="530" t="s">
        <v>556</v>
      </c>
      <c r="BI86" s="530" t="s">
        <v>556</v>
      </c>
      <c r="BJ86" s="530" t="s">
        <v>556</v>
      </c>
      <c r="BK86" s="530" t="s">
        <v>556</v>
      </c>
    </row>
    <row r="87" spans="2:63" x14ac:dyDescent="0.25">
      <c r="B87" s="529">
        <v>98</v>
      </c>
      <c r="C87" s="530">
        <v>227.94</v>
      </c>
      <c r="D87" s="530">
        <v>231.17</v>
      </c>
      <c r="E87" s="530">
        <v>234.47</v>
      </c>
      <c r="F87" s="530" t="s">
        <v>556</v>
      </c>
      <c r="G87" s="530" t="s">
        <v>556</v>
      </c>
      <c r="H87" s="530" t="s">
        <v>556</v>
      </c>
      <c r="I87" s="530" t="s">
        <v>556</v>
      </c>
      <c r="J87" s="530" t="s">
        <v>556</v>
      </c>
      <c r="K87" s="530" t="s">
        <v>556</v>
      </c>
      <c r="L87" s="530" t="s">
        <v>556</v>
      </c>
      <c r="M87" s="530" t="s">
        <v>556</v>
      </c>
      <c r="N87" s="530" t="s">
        <v>556</v>
      </c>
      <c r="O87" s="530" t="s">
        <v>556</v>
      </c>
      <c r="P87" s="530" t="s">
        <v>556</v>
      </c>
      <c r="Q87" s="530" t="s">
        <v>556</v>
      </c>
      <c r="R87" s="530" t="s">
        <v>556</v>
      </c>
      <c r="S87" s="530" t="s">
        <v>556</v>
      </c>
      <c r="T87" s="530" t="s">
        <v>556</v>
      </c>
      <c r="U87" s="530" t="s">
        <v>556</v>
      </c>
      <c r="V87" s="531"/>
      <c r="W87" s="529">
        <v>98</v>
      </c>
      <c r="X87" s="530">
        <v>230</v>
      </c>
      <c r="Y87" s="530">
        <v>233.23</v>
      </c>
      <c r="Z87" s="530">
        <v>236.52</v>
      </c>
      <c r="AA87" s="530" t="s">
        <v>556</v>
      </c>
      <c r="AB87" s="530" t="s">
        <v>556</v>
      </c>
      <c r="AC87" s="530" t="s">
        <v>556</v>
      </c>
      <c r="AD87" s="530" t="s">
        <v>556</v>
      </c>
      <c r="AE87" s="530" t="s">
        <v>556</v>
      </c>
      <c r="AF87" s="530" t="s">
        <v>556</v>
      </c>
      <c r="AG87" s="530" t="s">
        <v>556</v>
      </c>
      <c r="AH87" s="530" t="s">
        <v>556</v>
      </c>
      <c r="AI87" s="530" t="s">
        <v>556</v>
      </c>
      <c r="AJ87" s="530" t="s">
        <v>556</v>
      </c>
      <c r="AK87" s="530" t="s">
        <v>556</v>
      </c>
      <c r="AL87" s="530" t="s">
        <v>556</v>
      </c>
      <c r="AM87" s="530" t="s">
        <v>556</v>
      </c>
      <c r="AN87" s="530" t="s">
        <v>556</v>
      </c>
      <c r="AO87" s="530" t="s">
        <v>556</v>
      </c>
      <c r="AP87" s="530" t="s">
        <v>556</v>
      </c>
      <c r="AQ87" s="531"/>
      <c r="AR87" s="529">
        <v>98</v>
      </c>
      <c r="AS87" s="530">
        <v>231.09</v>
      </c>
      <c r="AT87" s="530">
        <v>234.32</v>
      </c>
      <c r="AU87" s="530">
        <v>237.61</v>
      </c>
      <c r="AV87" s="530" t="s">
        <v>556</v>
      </c>
      <c r="AW87" s="530" t="s">
        <v>556</v>
      </c>
      <c r="AX87" s="530" t="s">
        <v>556</v>
      </c>
      <c r="AY87" s="530" t="s">
        <v>556</v>
      </c>
      <c r="AZ87" s="530" t="s">
        <v>556</v>
      </c>
      <c r="BA87" s="530" t="s">
        <v>556</v>
      </c>
      <c r="BB87" s="530" t="s">
        <v>556</v>
      </c>
      <c r="BC87" s="530" t="s">
        <v>556</v>
      </c>
      <c r="BD87" s="530" t="s">
        <v>556</v>
      </c>
      <c r="BE87" s="530" t="s">
        <v>556</v>
      </c>
      <c r="BF87" s="530" t="s">
        <v>556</v>
      </c>
      <c r="BG87" s="530" t="s">
        <v>556</v>
      </c>
      <c r="BH87" s="530" t="s">
        <v>556</v>
      </c>
      <c r="BI87" s="530" t="s">
        <v>556</v>
      </c>
      <c r="BJ87" s="530" t="s">
        <v>556</v>
      </c>
      <c r="BK87" s="530" t="s">
        <v>556</v>
      </c>
    </row>
    <row r="88" spans="2:63" x14ac:dyDescent="0.25">
      <c r="B88" s="529">
        <v>99</v>
      </c>
      <c r="C88" s="530">
        <v>239.06</v>
      </c>
      <c r="D88" s="530">
        <v>242.58</v>
      </c>
      <c r="E88" s="530" t="s">
        <v>556</v>
      </c>
      <c r="F88" s="530" t="s">
        <v>556</v>
      </c>
      <c r="G88" s="530" t="s">
        <v>556</v>
      </c>
      <c r="H88" s="530" t="s">
        <v>556</v>
      </c>
      <c r="I88" s="530" t="s">
        <v>556</v>
      </c>
      <c r="J88" s="530" t="s">
        <v>556</v>
      </c>
      <c r="K88" s="530" t="s">
        <v>556</v>
      </c>
      <c r="L88" s="530" t="s">
        <v>556</v>
      </c>
      <c r="M88" s="530" t="s">
        <v>556</v>
      </c>
      <c r="N88" s="530" t="s">
        <v>556</v>
      </c>
      <c r="O88" s="530" t="s">
        <v>556</v>
      </c>
      <c r="P88" s="530" t="s">
        <v>556</v>
      </c>
      <c r="Q88" s="530" t="s">
        <v>556</v>
      </c>
      <c r="R88" s="530" t="s">
        <v>556</v>
      </c>
      <c r="S88" s="530" t="s">
        <v>556</v>
      </c>
      <c r="T88" s="530" t="s">
        <v>556</v>
      </c>
      <c r="U88" s="530" t="s">
        <v>556</v>
      </c>
      <c r="V88" s="531"/>
      <c r="W88" s="529">
        <v>99</v>
      </c>
      <c r="X88" s="530">
        <v>241.12</v>
      </c>
      <c r="Y88" s="530">
        <v>244.64</v>
      </c>
      <c r="Z88" s="530" t="s">
        <v>556</v>
      </c>
      <c r="AA88" s="530" t="s">
        <v>556</v>
      </c>
      <c r="AB88" s="530" t="s">
        <v>556</v>
      </c>
      <c r="AC88" s="530" t="s">
        <v>556</v>
      </c>
      <c r="AD88" s="530" t="s">
        <v>556</v>
      </c>
      <c r="AE88" s="530" t="s">
        <v>556</v>
      </c>
      <c r="AF88" s="530" t="s">
        <v>556</v>
      </c>
      <c r="AG88" s="530" t="s">
        <v>556</v>
      </c>
      <c r="AH88" s="530" t="s">
        <v>556</v>
      </c>
      <c r="AI88" s="530" t="s">
        <v>556</v>
      </c>
      <c r="AJ88" s="530" t="s">
        <v>556</v>
      </c>
      <c r="AK88" s="530" t="s">
        <v>556</v>
      </c>
      <c r="AL88" s="530" t="s">
        <v>556</v>
      </c>
      <c r="AM88" s="530" t="s">
        <v>556</v>
      </c>
      <c r="AN88" s="530" t="s">
        <v>556</v>
      </c>
      <c r="AO88" s="530" t="s">
        <v>556</v>
      </c>
      <c r="AP88" s="530" t="s">
        <v>556</v>
      </c>
      <c r="AQ88" s="531"/>
      <c r="AR88" s="529">
        <v>99</v>
      </c>
      <c r="AS88" s="530">
        <v>242.22</v>
      </c>
      <c r="AT88" s="530">
        <v>245.74</v>
      </c>
      <c r="AU88" s="530" t="s">
        <v>556</v>
      </c>
      <c r="AV88" s="530" t="s">
        <v>556</v>
      </c>
      <c r="AW88" s="530" t="s">
        <v>556</v>
      </c>
      <c r="AX88" s="530" t="s">
        <v>556</v>
      </c>
      <c r="AY88" s="530" t="s">
        <v>556</v>
      </c>
      <c r="AZ88" s="530" t="s">
        <v>556</v>
      </c>
      <c r="BA88" s="530" t="s">
        <v>556</v>
      </c>
      <c r="BB88" s="530" t="s">
        <v>556</v>
      </c>
      <c r="BC88" s="530" t="s">
        <v>556</v>
      </c>
      <c r="BD88" s="530" t="s">
        <v>556</v>
      </c>
      <c r="BE88" s="530" t="s">
        <v>556</v>
      </c>
      <c r="BF88" s="530" t="s">
        <v>556</v>
      </c>
      <c r="BG88" s="530" t="s">
        <v>556</v>
      </c>
      <c r="BH88" s="530" t="s">
        <v>556</v>
      </c>
      <c r="BI88" s="530" t="s">
        <v>556</v>
      </c>
      <c r="BJ88" s="530" t="s">
        <v>556</v>
      </c>
      <c r="BK88" s="530" t="s">
        <v>556</v>
      </c>
    </row>
    <row r="89" spans="2:63" x14ac:dyDescent="0.25">
      <c r="B89" s="529">
        <v>100</v>
      </c>
      <c r="C89" s="530">
        <v>251.23</v>
      </c>
      <c r="D89" s="530" t="s">
        <v>556</v>
      </c>
      <c r="E89" s="530" t="s">
        <v>556</v>
      </c>
      <c r="F89" s="530" t="s">
        <v>556</v>
      </c>
      <c r="G89" s="530" t="s">
        <v>556</v>
      </c>
      <c r="H89" s="530" t="s">
        <v>556</v>
      </c>
      <c r="I89" s="530" t="s">
        <v>556</v>
      </c>
      <c r="J89" s="530" t="s">
        <v>556</v>
      </c>
      <c r="K89" s="530" t="s">
        <v>556</v>
      </c>
      <c r="L89" s="530" t="s">
        <v>556</v>
      </c>
      <c r="M89" s="530" t="s">
        <v>556</v>
      </c>
      <c r="N89" s="530" t="s">
        <v>556</v>
      </c>
      <c r="O89" s="530" t="s">
        <v>556</v>
      </c>
      <c r="P89" s="530" t="s">
        <v>556</v>
      </c>
      <c r="Q89" s="530" t="s">
        <v>556</v>
      </c>
      <c r="R89" s="530" t="s">
        <v>556</v>
      </c>
      <c r="S89" s="530" t="s">
        <v>556</v>
      </c>
      <c r="T89" s="530" t="s">
        <v>556</v>
      </c>
      <c r="U89" s="530" t="s">
        <v>556</v>
      </c>
      <c r="V89" s="531"/>
      <c r="W89" s="529">
        <v>100</v>
      </c>
      <c r="X89" s="530">
        <v>253.3</v>
      </c>
      <c r="Y89" s="530" t="s">
        <v>556</v>
      </c>
      <c r="Z89" s="530" t="s">
        <v>556</v>
      </c>
      <c r="AA89" s="530" t="s">
        <v>556</v>
      </c>
      <c r="AB89" s="530" t="s">
        <v>556</v>
      </c>
      <c r="AC89" s="530" t="s">
        <v>556</v>
      </c>
      <c r="AD89" s="530" t="s">
        <v>556</v>
      </c>
      <c r="AE89" s="530" t="s">
        <v>556</v>
      </c>
      <c r="AF89" s="530" t="s">
        <v>556</v>
      </c>
      <c r="AG89" s="530" t="s">
        <v>556</v>
      </c>
      <c r="AH89" s="530" t="s">
        <v>556</v>
      </c>
      <c r="AI89" s="530" t="s">
        <v>556</v>
      </c>
      <c r="AJ89" s="530" t="s">
        <v>556</v>
      </c>
      <c r="AK89" s="530" t="s">
        <v>556</v>
      </c>
      <c r="AL89" s="530" t="s">
        <v>556</v>
      </c>
      <c r="AM89" s="530" t="s">
        <v>556</v>
      </c>
      <c r="AN89" s="530" t="s">
        <v>556</v>
      </c>
      <c r="AO89" s="530" t="s">
        <v>556</v>
      </c>
      <c r="AP89" s="530" t="s">
        <v>556</v>
      </c>
      <c r="AQ89" s="531"/>
      <c r="AR89" s="529">
        <v>100</v>
      </c>
      <c r="AS89" s="530">
        <v>254.4</v>
      </c>
      <c r="AT89" s="530" t="s">
        <v>556</v>
      </c>
      <c r="AU89" s="530" t="s">
        <v>556</v>
      </c>
      <c r="AV89" s="530" t="s">
        <v>556</v>
      </c>
      <c r="AW89" s="530" t="s">
        <v>556</v>
      </c>
      <c r="AX89" s="530" t="s">
        <v>556</v>
      </c>
      <c r="AY89" s="530" t="s">
        <v>556</v>
      </c>
      <c r="AZ89" s="530" t="s">
        <v>556</v>
      </c>
      <c r="BA89" s="530" t="s">
        <v>556</v>
      </c>
      <c r="BB89" s="530" t="s">
        <v>556</v>
      </c>
      <c r="BC89" s="530" t="s">
        <v>556</v>
      </c>
      <c r="BD89" s="530" t="s">
        <v>556</v>
      </c>
      <c r="BE89" s="530" t="s">
        <v>556</v>
      </c>
      <c r="BF89" s="530" t="s">
        <v>556</v>
      </c>
      <c r="BG89" s="530" t="s">
        <v>556</v>
      </c>
      <c r="BH89" s="530" t="s">
        <v>556</v>
      </c>
      <c r="BI89" s="530" t="s">
        <v>556</v>
      </c>
      <c r="BJ89" s="530" t="s">
        <v>556</v>
      </c>
      <c r="BK89" s="530" t="s">
        <v>556</v>
      </c>
    </row>
  </sheetData>
  <mergeCells count="6">
    <mergeCell ref="C3:U3"/>
    <mergeCell ref="X3:AP3"/>
    <mergeCell ref="AS3:BK3"/>
    <mergeCell ref="C5:U5"/>
    <mergeCell ref="X5:AP5"/>
    <mergeCell ref="AS5:BK5"/>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tint="0.39997558519241921"/>
  </sheetPr>
  <dimension ref="B3:BK89"/>
  <sheetViews>
    <sheetView zoomScale="91" zoomScaleNormal="40" workbookViewId="0">
      <selection activeCell="B7" sqref="B7:BK89"/>
    </sheetView>
  </sheetViews>
  <sheetFormatPr defaultColWidth="11.85546875" defaultRowHeight="19.5" x14ac:dyDescent="0.25"/>
  <cols>
    <col min="1" max="1" width="11.85546875" style="443"/>
    <col min="2" max="2" width="34.85546875" style="442" bestFit="1" customWidth="1"/>
    <col min="3" max="3" width="13" style="442" customWidth="1"/>
    <col min="4" max="4" width="15" style="442" customWidth="1"/>
    <col min="5" max="8" width="13.140625" style="442" bestFit="1" customWidth="1"/>
    <col min="9" max="9" width="13.85546875" style="442" customWidth="1"/>
    <col min="10" max="10" width="14.42578125" style="442" customWidth="1"/>
    <col min="11" max="19" width="13.140625" style="442" bestFit="1" customWidth="1"/>
    <col min="20" max="20" width="13.140625" style="442" customWidth="1"/>
    <col min="21" max="21" width="13.140625" style="442" bestFit="1" customWidth="1"/>
    <col min="22" max="22" width="8.42578125" style="442" bestFit="1" customWidth="1"/>
    <col min="23" max="23" width="20.5703125" style="442" bestFit="1" customWidth="1"/>
    <col min="24" max="40" width="13.140625" style="442" bestFit="1" customWidth="1"/>
    <col min="41" max="42" width="13.140625" style="442" customWidth="1"/>
    <col min="43" max="43" width="8.42578125" style="442" bestFit="1" customWidth="1"/>
    <col min="44" max="44" width="20.5703125" style="442" bestFit="1" customWidth="1"/>
    <col min="45" max="61" width="13.140625" style="442" bestFit="1" customWidth="1"/>
    <col min="62" max="62" width="13.140625" style="442" customWidth="1"/>
    <col min="63" max="63" width="13.140625" style="442" bestFit="1" customWidth="1"/>
    <col min="64" max="16384" width="11.85546875" style="443"/>
  </cols>
  <sheetData>
    <row r="3" spans="2:63" ht="38.25" customHeight="1" x14ac:dyDescent="0.25">
      <c r="B3" s="444">
        <f>B4-B5</f>
        <v>-1740.5199999999022</v>
      </c>
      <c r="C3" s="778" t="s">
        <v>169</v>
      </c>
      <c r="D3" s="779"/>
      <c r="E3" s="779"/>
      <c r="F3" s="779"/>
      <c r="G3" s="779"/>
      <c r="H3" s="779"/>
      <c r="I3" s="779"/>
      <c r="J3" s="779"/>
      <c r="K3" s="779"/>
      <c r="L3" s="779"/>
      <c r="M3" s="779"/>
      <c r="N3" s="779"/>
      <c r="O3" s="779"/>
      <c r="P3" s="779"/>
      <c r="Q3" s="779"/>
      <c r="R3" s="779"/>
      <c r="S3" s="779"/>
      <c r="T3" s="779"/>
      <c r="U3" s="780"/>
      <c r="X3" s="778" t="s">
        <v>169</v>
      </c>
      <c r="Y3" s="779"/>
      <c r="Z3" s="779"/>
      <c r="AA3" s="779"/>
      <c r="AB3" s="779"/>
      <c r="AC3" s="779"/>
      <c r="AD3" s="779"/>
      <c r="AE3" s="779"/>
      <c r="AF3" s="779"/>
      <c r="AG3" s="779"/>
      <c r="AH3" s="779"/>
      <c r="AI3" s="779"/>
      <c r="AJ3" s="779"/>
      <c r="AK3" s="779"/>
      <c r="AL3" s="779"/>
      <c r="AM3" s="779"/>
      <c r="AN3" s="779"/>
      <c r="AO3" s="779"/>
      <c r="AP3" s="780"/>
      <c r="AS3" s="778" t="s">
        <v>169</v>
      </c>
      <c r="AT3" s="779"/>
      <c r="AU3" s="779"/>
      <c r="AV3" s="779"/>
      <c r="AW3" s="779"/>
      <c r="AX3" s="779"/>
      <c r="AY3" s="779"/>
      <c r="AZ3" s="779"/>
      <c r="BA3" s="779"/>
      <c r="BB3" s="779"/>
      <c r="BC3" s="779"/>
      <c r="BD3" s="779"/>
      <c r="BE3" s="779"/>
      <c r="BF3" s="779"/>
      <c r="BG3" s="779"/>
      <c r="BH3" s="779"/>
      <c r="BI3" s="779"/>
      <c r="BJ3" s="779"/>
      <c r="BK3" s="780"/>
    </row>
    <row r="4" spans="2:63" ht="17.25" customHeight="1" x14ac:dyDescent="0.25">
      <c r="B4" s="444">
        <v>354982.07999999996</v>
      </c>
      <c r="X4" s="444"/>
      <c r="AS4" s="444"/>
    </row>
    <row r="5" spans="2:63" x14ac:dyDescent="0.25">
      <c r="B5" s="442">
        <f>SUM(C7:U89)+SUM(X7:AP89)+SUM(AS7:BK89)</f>
        <v>356722.59999999986</v>
      </c>
      <c r="C5" s="777" t="s">
        <v>170</v>
      </c>
      <c r="D5" s="777"/>
      <c r="E5" s="777"/>
      <c r="F5" s="777"/>
      <c r="G5" s="777"/>
      <c r="H5" s="777"/>
      <c r="I5" s="777"/>
      <c r="J5" s="777"/>
      <c r="K5" s="777"/>
      <c r="L5" s="777"/>
      <c r="M5" s="777"/>
      <c r="N5" s="777"/>
      <c r="O5" s="777"/>
      <c r="P5" s="777"/>
      <c r="Q5" s="777"/>
      <c r="R5" s="777"/>
      <c r="S5" s="777"/>
      <c r="T5" s="777"/>
      <c r="U5" s="777"/>
      <c r="X5" s="777" t="s">
        <v>165</v>
      </c>
      <c r="Y5" s="777"/>
      <c r="Z5" s="777"/>
      <c r="AA5" s="777"/>
      <c r="AB5" s="777"/>
      <c r="AC5" s="777"/>
      <c r="AD5" s="777"/>
      <c r="AE5" s="777"/>
      <c r="AF5" s="777"/>
      <c r="AG5" s="777"/>
      <c r="AH5" s="777"/>
      <c r="AI5" s="777"/>
      <c r="AJ5" s="777"/>
      <c r="AK5" s="777"/>
      <c r="AL5" s="777"/>
      <c r="AM5" s="777"/>
      <c r="AN5" s="777"/>
      <c r="AO5" s="777"/>
      <c r="AP5" s="777"/>
      <c r="AS5" s="777" t="s">
        <v>166</v>
      </c>
      <c r="AT5" s="777"/>
      <c r="AU5" s="777"/>
      <c r="AV5" s="777"/>
      <c r="AW5" s="777"/>
      <c r="AX5" s="777"/>
      <c r="AY5" s="777"/>
      <c r="AZ5" s="777"/>
      <c r="BA5" s="777"/>
      <c r="BB5" s="777"/>
      <c r="BC5" s="777"/>
      <c r="BD5" s="777"/>
      <c r="BE5" s="777"/>
      <c r="BF5" s="777"/>
      <c r="BG5" s="777"/>
      <c r="BH5" s="777"/>
      <c r="BI5" s="777"/>
      <c r="BJ5" s="777"/>
      <c r="BK5" s="777"/>
    </row>
    <row r="6" spans="2:63" s="442" customFormat="1" ht="97.5" x14ac:dyDescent="0.25">
      <c r="B6" s="469" t="s">
        <v>21</v>
      </c>
      <c r="C6" s="446">
        <v>0</v>
      </c>
      <c r="D6" s="447">
        <v>1</v>
      </c>
      <c r="E6" s="447">
        <v>2</v>
      </c>
      <c r="F6" s="447">
        <v>3</v>
      </c>
      <c r="G6" s="447">
        <v>4</v>
      </c>
      <c r="H6" s="447">
        <v>5</v>
      </c>
      <c r="I6" s="447">
        <v>6</v>
      </c>
      <c r="J6" s="447">
        <v>7</v>
      </c>
      <c r="K6" s="447">
        <v>8</v>
      </c>
      <c r="L6" s="447">
        <v>9</v>
      </c>
      <c r="M6" s="447">
        <v>10</v>
      </c>
      <c r="N6" s="448" t="s">
        <v>15</v>
      </c>
      <c r="O6" s="447" t="s">
        <v>16</v>
      </c>
      <c r="P6" s="447" t="s">
        <v>17</v>
      </c>
      <c r="Q6" s="447" t="s">
        <v>18</v>
      </c>
      <c r="R6" s="447" t="s">
        <v>19</v>
      </c>
      <c r="S6" s="447" t="s">
        <v>20</v>
      </c>
      <c r="T6" s="465" t="s">
        <v>167</v>
      </c>
      <c r="U6" s="466" t="s">
        <v>168</v>
      </c>
      <c r="V6" s="449"/>
      <c r="W6" s="469" t="s">
        <v>21</v>
      </c>
      <c r="X6" s="465">
        <v>0</v>
      </c>
      <c r="Y6" s="465">
        <v>1</v>
      </c>
      <c r="Z6" s="465">
        <v>2</v>
      </c>
      <c r="AA6" s="465">
        <v>3</v>
      </c>
      <c r="AB6" s="465">
        <v>4</v>
      </c>
      <c r="AC6" s="465">
        <v>5</v>
      </c>
      <c r="AD6" s="465">
        <v>6</v>
      </c>
      <c r="AE6" s="465">
        <v>7</v>
      </c>
      <c r="AF6" s="465">
        <v>8</v>
      </c>
      <c r="AG6" s="465">
        <v>9</v>
      </c>
      <c r="AH6" s="465">
        <v>10</v>
      </c>
      <c r="AI6" s="468" t="s">
        <v>15</v>
      </c>
      <c r="AJ6" s="465" t="s">
        <v>16</v>
      </c>
      <c r="AK6" s="465" t="s">
        <v>17</v>
      </c>
      <c r="AL6" s="465" t="s">
        <v>18</v>
      </c>
      <c r="AM6" s="465" t="s">
        <v>19</v>
      </c>
      <c r="AN6" s="465" t="s">
        <v>20</v>
      </c>
      <c r="AO6" s="465" t="s">
        <v>167</v>
      </c>
      <c r="AP6" s="465" t="s">
        <v>168</v>
      </c>
      <c r="AQ6" s="449"/>
      <c r="AR6" s="469" t="s">
        <v>21</v>
      </c>
      <c r="AS6" s="465">
        <v>0</v>
      </c>
      <c r="AT6" s="447">
        <v>1</v>
      </c>
      <c r="AU6" s="447">
        <v>2</v>
      </c>
      <c r="AV6" s="447">
        <v>3</v>
      </c>
      <c r="AW6" s="447">
        <v>4</v>
      </c>
      <c r="AX6" s="447">
        <v>5</v>
      </c>
      <c r="AY6" s="447">
        <v>6</v>
      </c>
      <c r="AZ6" s="447">
        <v>7</v>
      </c>
      <c r="BA6" s="447">
        <v>8</v>
      </c>
      <c r="BB6" s="447">
        <v>9</v>
      </c>
      <c r="BC6" s="447">
        <v>10</v>
      </c>
      <c r="BD6" s="448" t="s">
        <v>15</v>
      </c>
      <c r="BE6" s="447" t="s">
        <v>16</v>
      </c>
      <c r="BF6" s="447" t="s">
        <v>17</v>
      </c>
      <c r="BG6" s="447" t="s">
        <v>18</v>
      </c>
      <c r="BH6" s="447" t="s">
        <v>19</v>
      </c>
      <c r="BI6" s="447" t="s">
        <v>20</v>
      </c>
      <c r="BJ6" s="466" t="s">
        <v>167</v>
      </c>
      <c r="BK6" s="465" t="s">
        <v>168</v>
      </c>
    </row>
    <row r="7" spans="2:63" x14ac:dyDescent="0.25">
      <c r="B7" s="532">
        <v>18</v>
      </c>
      <c r="C7" s="533">
        <v>56.87</v>
      </c>
      <c r="D7" s="533" t="s">
        <v>556</v>
      </c>
      <c r="E7" s="533" t="s">
        <v>556</v>
      </c>
      <c r="F7" s="533" t="s">
        <v>556</v>
      </c>
      <c r="G7" s="533" t="s">
        <v>556</v>
      </c>
      <c r="H7" s="533" t="s">
        <v>556</v>
      </c>
      <c r="I7" s="533" t="s">
        <v>556</v>
      </c>
      <c r="J7" s="533" t="s">
        <v>556</v>
      </c>
      <c r="K7" s="533" t="s">
        <v>556</v>
      </c>
      <c r="L7" s="533" t="s">
        <v>556</v>
      </c>
      <c r="M7" s="533" t="s">
        <v>556</v>
      </c>
      <c r="N7" s="533" t="s">
        <v>556</v>
      </c>
      <c r="O7" s="533" t="s">
        <v>556</v>
      </c>
      <c r="P7" s="533" t="s">
        <v>556</v>
      </c>
      <c r="Q7" s="533" t="s">
        <v>556</v>
      </c>
      <c r="R7" s="533" t="s">
        <v>556</v>
      </c>
      <c r="S7" s="533" t="s">
        <v>556</v>
      </c>
      <c r="T7" s="534" t="s">
        <v>556</v>
      </c>
      <c r="U7" s="534" t="s">
        <v>556</v>
      </c>
      <c r="V7" s="531"/>
      <c r="W7" s="532">
        <v>18</v>
      </c>
      <c r="X7" s="533">
        <v>57.06</v>
      </c>
      <c r="Y7" s="533" t="s">
        <v>556</v>
      </c>
      <c r="Z7" s="533" t="s">
        <v>556</v>
      </c>
      <c r="AA7" s="533" t="s">
        <v>556</v>
      </c>
      <c r="AB7" s="533" t="s">
        <v>556</v>
      </c>
      <c r="AC7" s="533" t="s">
        <v>556</v>
      </c>
      <c r="AD7" s="533" t="s">
        <v>556</v>
      </c>
      <c r="AE7" s="533" t="s">
        <v>556</v>
      </c>
      <c r="AF7" s="533" t="s">
        <v>556</v>
      </c>
      <c r="AG7" s="533" t="s">
        <v>556</v>
      </c>
      <c r="AH7" s="533" t="s">
        <v>556</v>
      </c>
      <c r="AI7" s="533" t="s">
        <v>556</v>
      </c>
      <c r="AJ7" s="533" t="s">
        <v>556</v>
      </c>
      <c r="AK7" s="533" t="s">
        <v>556</v>
      </c>
      <c r="AL7" s="533" t="s">
        <v>556</v>
      </c>
      <c r="AM7" s="533" t="s">
        <v>556</v>
      </c>
      <c r="AN7" s="533" t="s">
        <v>556</v>
      </c>
      <c r="AO7" s="534" t="s">
        <v>556</v>
      </c>
      <c r="AP7" s="534" t="s">
        <v>556</v>
      </c>
      <c r="AQ7" s="531"/>
      <c r="AR7" s="532">
        <v>18</v>
      </c>
      <c r="AS7" s="533">
        <v>57.49</v>
      </c>
      <c r="AT7" s="533" t="s">
        <v>556</v>
      </c>
      <c r="AU7" s="533" t="s">
        <v>556</v>
      </c>
      <c r="AV7" s="533" t="s">
        <v>556</v>
      </c>
      <c r="AW7" s="533" t="s">
        <v>556</v>
      </c>
      <c r="AX7" s="533" t="s">
        <v>556</v>
      </c>
      <c r="AY7" s="533" t="s">
        <v>556</v>
      </c>
      <c r="AZ7" s="533" t="s">
        <v>556</v>
      </c>
      <c r="BA7" s="533" t="s">
        <v>556</v>
      </c>
      <c r="BB7" s="533" t="s">
        <v>556</v>
      </c>
      <c r="BC7" s="533" t="s">
        <v>556</v>
      </c>
      <c r="BD7" s="533" t="s">
        <v>556</v>
      </c>
      <c r="BE7" s="533" t="s">
        <v>556</v>
      </c>
      <c r="BF7" s="533" t="s">
        <v>556</v>
      </c>
      <c r="BG7" s="533" t="s">
        <v>556</v>
      </c>
      <c r="BH7" s="533" t="s">
        <v>556</v>
      </c>
      <c r="BI7" s="533" t="s">
        <v>556</v>
      </c>
      <c r="BJ7" s="535" t="s">
        <v>556</v>
      </c>
      <c r="BK7" s="535" t="s">
        <v>556</v>
      </c>
    </row>
    <row r="8" spans="2:63" x14ac:dyDescent="0.25">
      <c r="B8" s="532">
        <v>19</v>
      </c>
      <c r="C8" s="533">
        <v>56.96</v>
      </c>
      <c r="D8" s="533">
        <v>56.94</v>
      </c>
      <c r="E8" s="533" t="s">
        <v>556</v>
      </c>
      <c r="F8" s="533" t="s">
        <v>556</v>
      </c>
      <c r="G8" s="533" t="s">
        <v>556</v>
      </c>
      <c r="H8" s="533" t="s">
        <v>556</v>
      </c>
      <c r="I8" s="533" t="s">
        <v>556</v>
      </c>
      <c r="J8" s="533" t="s">
        <v>556</v>
      </c>
      <c r="K8" s="533" t="s">
        <v>556</v>
      </c>
      <c r="L8" s="533" t="s">
        <v>556</v>
      </c>
      <c r="M8" s="533" t="s">
        <v>556</v>
      </c>
      <c r="N8" s="533" t="s">
        <v>556</v>
      </c>
      <c r="O8" s="533" t="s">
        <v>556</v>
      </c>
      <c r="P8" s="533" t="s">
        <v>556</v>
      </c>
      <c r="Q8" s="533" t="s">
        <v>556</v>
      </c>
      <c r="R8" s="533" t="s">
        <v>556</v>
      </c>
      <c r="S8" s="533" t="s">
        <v>556</v>
      </c>
      <c r="T8" s="534" t="s">
        <v>556</v>
      </c>
      <c r="U8" s="534" t="s">
        <v>556</v>
      </c>
      <c r="V8" s="531"/>
      <c r="W8" s="532">
        <v>19</v>
      </c>
      <c r="X8" s="533">
        <v>57.15</v>
      </c>
      <c r="Y8" s="533">
        <v>57.13</v>
      </c>
      <c r="Z8" s="533" t="s">
        <v>556</v>
      </c>
      <c r="AA8" s="533" t="s">
        <v>556</v>
      </c>
      <c r="AB8" s="533" t="s">
        <v>556</v>
      </c>
      <c r="AC8" s="533" t="s">
        <v>556</v>
      </c>
      <c r="AD8" s="533" t="s">
        <v>556</v>
      </c>
      <c r="AE8" s="533" t="s">
        <v>556</v>
      </c>
      <c r="AF8" s="533" t="s">
        <v>556</v>
      </c>
      <c r="AG8" s="533" t="s">
        <v>556</v>
      </c>
      <c r="AH8" s="533" t="s">
        <v>556</v>
      </c>
      <c r="AI8" s="533" t="s">
        <v>556</v>
      </c>
      <c r="AJ8" s="533" t="s">
        <v>556</v>
      </c>
      <c r="AK8" s="533" t="s">
        <v>556</v>
      </c>
      <c r="AL8" s="533" t="s">
        <v>556</v>
      </c>
      <c r="AM8" s="533" t="s">
        <v>556</v>
      </c>
      <c r="AN8" s="533" t="s">
        <v>556</v>
      </c>
      <c r="AO8" s="534" t="s">
        <v>556</v>
      </c>
      <c r="AP8" s="534" t="s">
        <v>556</v>
      </c>
      <c r="AQ8" s="531"/>
      <c r="AR8" s="532">
        <v>19</v>
      </c>
      <c r="AS8" s="533">
        <v>57.59</v>
      </c>
      <c r="AT8" s="533">
        <v>57.57</v>
      </c>
      <c r="AU8" s="533" t="s">
        <v>556</v>
      </c>
      <c r="AV8" s="533" t="s">
        <v>556</v>
      </c>
      <c r="AW8" s="533" t="s">
        <v>556</v>
      </c>
      <c r="AX8" s="533" t="s">
        <v>556</v>
      </c>
      <c r="AY8" s="533" t="s">
        <v>556</v>
      </c>
      <c r="AZ8" s="533" t="s">
        <v>556</v>
      </c>
      <c r="BA8" s="533" t="s">
        <v>556</v>
      </c>
      <c r="BB8" s="533" t="s">
        <v>556</v>
      </c>
      <c r="BC8" s="533" t="s">
        <v>556</v>
      </c>
      <c r="BD8" s="533" t="s">
        <v>556</v>
      </c>
      <c r="BE8" s="533" t="s">
        <v>556</v>
      </c>
      <c r="BF8" s="533" t="s">
        <v>556</v>
      </c>
      <c r="BG8" s="533" t="s">
        <v>556</v>
      </c>
      <c r="BH8" s="533" t="s">
        <v>556</v>
      </c>
      <c r="BI8" s="533" t="s">
        <v>556</v>
      </c>
      <c r="BJ8" s="535" t="s">
        <v>556</v>
      </c>
      <c r="BK8" s="535" t="s">
        <v>556</v>
      </c>
    </row>
    <row r="9" spans="2:63" x14ac:dyDescent="0.25">
      <c r="B9" s="532">
        <v>20</v>
      </c>
      <c r="C9" s="533">
        <v>57.07</v>
      </c>
      <c r="D9" s="533">
        <v>57.04</v>
      </c>
      <c r="E9" s="533">
        <v>57.02</v>
      </c>
      <c r="F9" s="533" t="s">
        <v>556</v>
      </c>
      <c r="G9" s="533" t="s">
        <v>556</v>
      </c>
      <c r="H9" s="533" t="s">
        <v>556</v>
      </c>
      <c r="I9" s="533" t="s">
        <v>556</v>
      </c>
      <c r="J9" s="533" t="s">
        <v>556</v>
      </c>
      <c r="K9" s="533" t="s">
        <v>556</v>
      </c>
      <c r="L9" s="533" t="s">
        <v>556</v>
      </c>
      <c r="M9" s="533" t="s">
        <v>556</v>
      </c>
      <c r="N9" s="533" t="s">
        <v>556</v>
      </c>
      <c r="O9" s="533" t="s">
        <v>556</v>
      </c>
      <c r="P9" s="533" t="s">
        <v>556</v>
      </c>
      <c r="Q9" s="533" t="s">
        <v>556</v>
      </c>
      <c r="R9" s="533" t="s">
        <v>556</v>
      </c>
      <c r="S9" s="533" t="s">
        <v>556</v>
      </c>
      <c r="T9" s="534" t="s">
        <v>556</v>
      </c>
      <c r="U9" s="534" t="s">
        <v>556</v>
      </c>
      <c r="V9" s="531"/>
      <c r="W9" s="532">
        <v>20</v>
      </c>
      <c r="X9" s="533">
        <v>57.26</v>
      </c>
      <c r="Y9" s="533">
        <v>57.24</v>
      </c>
      <c r="Z9" s="533">
        <v>57.21</v>
      </c>
      <c r="AA9" s="533" t="s">
        <v>556</v>
      </c>
      <c r="AB9" s="533" t="s">
        <v>556</v>
      </c>
      <c r="AC9" s="533" t="s">
        <v>556</v>
      </c>
      <c r="AD9" s="533" t="s">
        <v>556</v>
      </c>
      <c r="AE9" s="533" t="s">
        <v>556</v>
      </c>
      <c r="AF9" s="533" t="s">
        <v>556</v>
      </c>
      <c r="AG9" s="533" t="s">
        <v>556</v>
      </c>
      <c r="AH9" s="533" t="s">
        <v>556</v>
      </c>
      <c r="AI9" s="533" t="s">
        <v>556</v>
      </c>
      <c r="AJ9" s="533" t="s">
        <v>556</v>
      </c>
      <c r="AK9" s="533" t="s">
        <v>556</v>
      </c>
      <c r="AL9" s="533" t="s">
        <v>556</v>
      </c>
      <c r="AM9" s="533" t="s">
        <v>556</v>
      </c>
      <c r="AN9" s="533" t="s">
        <v>556</v>
      </c>
      <c r="AO9" s="534" t="s">
        <v>556</v>
      </c>
      <c r="AP9" s="534" t="s">
        <v>556</v>
      </c>
      <c r="AQ9" s="531"/>
      <c r="AR9" s="532">
        <v>20</v>
      </c>
      <c r="AS9" s="533">
        <v>57.7</v>
      </c>
      <c r="AT9" s="533">
        <v>57.68</v>
      </c>
      <c r="AU9" s="533">
        <v>57.65</v>
      </c>
      <c r="AV9" s="533" t="s">
        <v>556</v>
      </c>
      <c r="AW9" s="533" t="s">
        <v>556</v>
      </c>
      <c r="AX9" s="533" t="s">
        <v>556</v>
      </c>
      <c r="AY9" s="533" t="s">
        <v>556</v>
      </c>
      <c r="AZ9" s="533" t="s">
        <v>556</v>
      </c>
      <c r="BA9" s="533" t="s">
        <v>556</v>
      </c>
      <c r="BB9" s="533" t="s">
        <v>556</v>
      </c>
      <c r="BC9" s="533" t="s">
        <v>556</v>
      </c>
      <c r="BD9" s="533" t="s">
        <v>556</v>
      </c>
      <c r="BE9" s="533" t="s">
        <v>556</v>
      </c>
      <c r="BF9" s="533" t="s">
        <v>556</v>
      </c>
      <c r="BG9" s="533" t="s">
        <v>556</v>
      </c>
      <c r="BH9" s="533" t="s">
        <v>556</v>
      </c>
      <c r="BI9" s="533" t="s">
        <v>556</v>
      </c>
      <c r="BJ9" s="535" t="s">
        <v>556</v>
      </c>
      <c r="BK9" s="535" t="s">
        <v>556</v>
      </c>
    </row>
    <row r="10" spans="2:63" x14ac:dyDescent="0.25">
      <c r="B10" s="532">
        <v>21</v>
      </c>
      <c r="C10" s="533">
        <v>57.17</v>
      </c>
      <c r="D10" s="533">
        <v>57.15</v>
      </c>
      <c r="E10" s="533">
        <v>57.13</v>
      </c>
      <c r="F10" s="533">
        <v>57.1</v>
      </c>
      <c r="G10" s="533" t="s">
        <v>556</v>
      </c>
      <c r="H10" s="533" t="s">
        <v>556</v>
      </c>
      <c r="I10" s="533" t="s">
        <v>556</v>
      </c>
      <c r="J10" s="533" t="s">
        <v>556</v>
      </c>
      <c r="K10" s="533" t="s">
        <v>556</v>
      </c>
      <c r="L10" s="533" t="s">
        <v>556</v>
      </c>
      <c r="M10" s="533" t="s">
        <v>556</v>
      </c>
      <c r="N10" s="533" t="s">
        <v>556</v>
      </c>
      <c r="O10" s="533" t="s">
        <v>556</v>
      </c>
      <c r="P10" s="533" t="s">
        <v>556</v>
      </c>
      <c r="Q10" s="533" t="s">
        <v>556</v>
      </c>
      <c r="R10" s="533" t="s">
        <v>556</v>
      </c>
      <c r="S10" s="533" t="s">
        <v>556</v>
      </c>
      <c r="T10" s="534" t="s">
        <v>556</v>
      </c>
      <c r="U10" s="534" t="s">
        <v>556</v>
      </c>
      <c r="V10" s="531"/>
      <c r="W10" s="532">
        <v>21</v>
      </c>
      <c r="X10" s="533">
        <v>57.37</v>
      </c>
      <c r="Y10" s="533">
        <v>57.34</v>
      </c>
      <c r="Z10" s="533">
        <v>57.32</v>
      </c>
      <c r="AA10" s="533">
        <v>57.3</v>
      </c>
      <c r="AB10" s="533" t="s">
        <v>556</v>
      </c>
      <c r="AC10" s="533" t="s">
        <v>556</v>
      </c>
      <c r="AD10" s="533" t="s">
        <v>556</v>
      </c>
      <c r="AE10" s="533" t="s">
        <v>556</v>
      </c>
      <c r="AF10" s="533" t="s">
        <v>556</v>
      </c>
      <c r="AG10" s="533" t="s">
        <v>556</v>
      </c>
      <c r="AH10" s="533" t="s">
        <v>556</v>
      </c>
      <c r="AI10" s="533" t="s">
        <v>556</v>
      </c>
      <c r="AJ10" s="533" t="s">
        <v>556</v>
      </c>
      <c r="AK10" s="533" t="s">
        <v>556</v>
      </c>
      <c r="AL10" s="533" t="s">
        <v>556</v>
      </c>
      <c r="AM10" s="533" t="s">
        <v>556</v>
      </c>
      <c r="AN10" s="533" t="s">
        <v>556</v>
      </c>
      <c r="AO10" s="534" t="s">
        <v>556</v>
      </c>
      <c r="AP10" s="534" t="s">
        <v>556</v>
      </c>
      <c r="AQ10" s="531"/>
      <c r="AR10" s="532">
        <v>21</v>
      </c>
      <c r="AS10" s="533">
        <v>57.81</v>
      </c>
      <c r="AT10" s="533">
        <v>57.78</v>
      </c>
      <c r="AU10" s="533">
        <v>57.76</v>
      </c>
      <c r="AV10" s="533">
        <v>57.74</v>
      </c>
      <c r="AW10" s="533" t="s">
        <v>556</v>
      </c>
      <c r="AX10" s="533" t="s">
        <v>556</v>
      </c>
      <c r="AY10" s="533" t="s">
        <v>556</v>
      </c>
      <c r="AZ10" s="533" t="s">
        <v>556</v>
      </c>
      <c r="BA10" s="533" t="s">
        <v>556</v>
      </c>
      <c r="BB10" s="533" t="s">
        <v>556</v>
      </c>
      <c r="BC10" s="533" t="s">
        <v>556</v>
      </c>
      <c r="BD10" s="533" t="s">
        <v>556</v>
      </c>
      <c r="BE10" s="533" t="s">
        <v>556</v>
      </c>
      <c r="BF10" s="533" t="s">
        <v>556</v>
      </c>
      <c r="BG10" s="533" t="s">
        <v>556</v>
      </c>
      <c r="BH10" s="533" t="s">
        <v>556</v>
      </c>
      <c r="BI10" s="533" t="s">
        <v>556</v>
      </c>
      <c r="BJ10" s="535" t="s">
        <v>556</v>
      </c>
      <c r="BK10" s="535" t="s">
        <v>556</v>
      </c>
    </row>
    <row r="11" spans="2:63" x14ac:dyDescent="0.25">
      <c r="B11" s="532">
        <v>22</v>
      </c>
      <c r="C11" s="533">
        <v>57.29</v>
      </c>
      <c r="D11" s="533">
        <v>57.26</v>
      </c>
      <c r="E11" s="533">
        <v>57.24</v>
      </c>
      <c r="F11" s="533">
        <v>57.21</v>
      </c>
      <c r="G11" s="533">
        <v>57.19</v>
      </c>
      <c r="H11" s="533" t="s">
        <v>556</v>
      </c>
      <c r="I11" s="533" t="s">
        <v>556</v>
      </c>
      <c r="J11" s="533" t="s">
        <v>556</v>
      </c>
      <c r="K11" s="533" t="s">
        <v>556</v>
      </c>
      <c r="L11" s="533" t="s">
        <v>556</v>
      </c>
      <c r="M11" s="533" t="s">
        <v>556</v>
      </c>
      <c r="N11" s="533" t="s">
        <v>556</v>
      </c>
      <c r="O11" s="533" t="s">
        <v>556</v>
      </c>
      <c r="P11" s="533" t="s">
        <v>556</v>
      </c>
      <c r="Q11" s="533" t="s">
        <v>556</v>
      </c>
      <c r="R11" s="533" t="s">
        <v>556</v>
      </c>
      <c r="S11" s="533" t="s">
        <v>556</v>
      </c>
      <c r="T11" s="534" t="s">
        <v>556</v>
      </c>
      <c r="U11" s="534" t="s">
        <v>556</v>
      </c>
      <c r="V11" s="531"/>
      <c r="W11" s="532">
        <v>22</v>
      </c>
      <c r="X11" s="533">
        <v>57.48</v>
      </c>
      <c r="Y11" s="533">
        <v>57.45</v>
      </c>
      <c r="Z11" s="533">
        <v>57.43</v>
      </c>
      <c r="AA11" s="533">
        <v>57.41</v>
      </c>
      <c r="AB11" s="533">
        <v>57.38</v>
      </c>
      <c r="AC11" s="533" t="s">
        <v>556</v>
      </c>
      <c r="AD11" s="533" t="s">
        <v>556</v>
      </c>
      <c r="AE11" s="533" t="s">
        <v>556</v>
      </c>
      <c r="AF11" s="533" t="s">
        <v>556</v>
      </c>
      <c r="AG11" s="533" t="s">
        <v>556</v>
      </c>
      <c r="AH11" s="533" t="s">
        <v>556</v>
      </c>
      <c r="AI11" s="533" t="s">
        <v>556</v>
      </c>
      <c r="AJ11" s="533" t="s">
        <v>556</v>
      </c>
      <c r="AK11" s="533" t="s">
        <v>556</v>
      </c>
      <c r="AL11" s="533" t="s">
        <v>556</v>
      </c>
      <c r="AM11" s="533" t="s">
        <v>556</v>
      </c>
      <c r="AN11" s="533" t="s">
        <v>556</v>
      </c>
      <c r="AO11" s="534" t="s">
        <v>556</v>
      </c>
      <c r="AP11" s="534" t="s">
        <v>556</v>
      </c>
      <c r="AQ11" s="531"/>
      <c r="AR11" s="532">
        <v>22</v>
      </c>
      <c r="AS11" s="533">
        <v>57.92</v>
      </c>
      <c r="AT11" s="533">
        <v>57.9</v>
      </c>
      <c r="AU11" s="533">
        <v>57.87</v>
      </c>
      <c r="AV11" s="533">
        <v>57.85</v>
      </c>
      <c r="AW11" s="533">
        <v>57.82</v>
      </c>
      <c r="AX11" s="533" t="s">
        <v>556</v>
      </c>
      <c r="AY11" s="533" t="s">
        <v>556</v>
      </c>
      <c r="AZ11" s="533" t="s">
        <v>556</v>
      </c>
      <c r="BA11" s="533" t="s">
        <v>556</v>
      </c>
      <c r="BB11" s="533" t="s">
        <v>556</v>
      </c>
      <c r="BC11" s="533" t="s">
        <v>556</v>
      </c>
      <c r="BD11" s="533" t="s">
        <v>556</v>
      </c>
      <c r="BE11" s="533" t="s">
        <v>556</v>
      </c>
      <c r="BF11" s="533" t="s">
        <v>556</v>
      </c>
      <c r="BG11" s="533" t="s">
        <v>556</v>
      </c>
      <c r="BH11" s="533" t="s">
        <v>556</v>
      </c>
      <c r="BI11" s="533" t="s">
        <v>556</v>
      </c>
      <c r="BJ11" s="535" t="s">
        <v>556</v>
      </c>
      <c r="BK11" s="535" t="s">
        <v>556</v>
      </c>
    </row>
    <row r="12" spans="2:63" x14ac:dyDescent="0.25">
      <c r="B12" s="532">
        <v>23</v>
      </c>
      <c r="C12" s="533">
        <v>57.4</v>
      </c>
      <c r="D12" s="533">
        <v>57.38</v>
      </c>
      <c r="E12" s="533">
        <v>57.35</v>
      </c>
      <c r="F12" s="533">
        <v>57.33</v>
      </c>
      <c r="G12" s="533">
        <v>57.3</v>
      </c>
      <c r="H12" s="533">
        <v>57.28</v>
      </c>
      <c r="I12" s="533" t="s">
        <v>556</v>
      </c>
      <c r="J12" s="533" t="s">
        <v>556</v>
      </c>
      <c r="K12" s="533" t="s">
        <v>556</v>
      </c>
      <c r="L12" s="533" t="s">
        <v>556</v>
      </c>
      <c r="M12" s="533" t="s">
        <v>556</v>
      </c>
      <c r="N12" s="533" t="s">
        <v>556</v>
      </c>
      <c r="O12" s="533" t="s">
        <v>556</v>
      </c>
      <c r="P12" s="533" t="s">
        <v>556</v>
      </c>
      <c r="Q12" s="533" t="s">
        <v>556</v>
      </c>
      <c r="R12" s="533" t="s">
        <v>556</v>
      </c>
      <c r="S12" s="533" t="s">
        <v>556</v>
      </c>
      <c r="T12" s="534" t="s">
        <v>556</v>
      </c>
      <c r="U12" s="534" t="s">
        <v>556</v>
      </c>
      <c r="V12" s="531"/>
      <c r="W12" s="532">
        <v>23</v>
      </c>
      <c r="X12" s="533">
        <v>57.6</v>
      </c>
      <c r="Y12" s="533">
        <v>57.57</v>
      </c>
      <c r="Z12" s="533">
        <v>57.55</v>
      </c>
      <c r="AA12" s="533">
        <v>57.52</v>
      </c>
      <c r="AB12" s="533">
        <v>57.5</v>
      </c>
      <c r="AC12" s="533">
        <v>57.47</v>
      </c>
      <c r="AD12" s="533" t="s">
        <v>556</v>
      </c>
      <c r="AE12" s="533" t="s">
        <v>556</v>
      </c>
      <c r="AF12" s="533" t="s">
        <v>556</v>
      </c>
      <c r="AG12" s="533" t="s">
        <v>556</v>
      </c>
      <c r="AH12" s="533" t="s">
        <v>556</v>
      </c>
      <c r="AI12" s="533" t="s">
        <v>556</v>
      </c>
      <c r="AJ12" s="533" t="s">
        <v>556</v>
      </c>
      <c r="AK12" s="533" t="s">
        <v>556</v>
      </c>
      <c r="AL12" s="533" t="s">
        <v>556</v>
      </c>
      <c r="AM12" s="533" t="s">
        <v>556</v>
      </c>
      <c r="AN12" s="533" t="s">
        <v>556</v>
      </c>
      <c r="AO12" s="534" t="s">
        <v>556</v>
      </c>
      <c r="AP12" s="534" t="s">
        <v>556</v>
      </c>
      <c r="AQ12" s="531"/>
      <c r="AR12" s="532">
        <v>23</v>
      </c>
      <c r="AS12" s="533">
        <v>58.04</v>
      </c>
      <c r="AT12" s="533">
        <v>58.02</v>
      </c>
      <c r="AU12" s="533">
        <v>57.99</v>
      </c>
      <c r="AV12" s="533">
        <v>57.96</v>
      </c>
      <c r="AW12" s="533">
        <v>57.94</v>
      </c>
      <c r="AX12" s="533">
        <v>57.91</v>
      </c>
      <c r="AY12" s="533" t="s">
        <v>556</v>
      </c>
      <c r="AZ12" s="533" t="s">
        <v>556</v>
      </c>
      <c r="BA12" s="533" t="s">
        <v>556</v>
      </c>
      <c r="BB12" s="533" t="s">
        <v>556</v>
      </c>
      <c r="BC12" s="533" t="s">
        <v>556</v>
      </c>
      <c r="BD12" s="533" t="s">
        <v>556</v>
      </c>
      <c r="BE12" s="533" t="s">
        <v>556</v>
      </c>
      <c r="BF12" s="533" t="s">
        <v>556</v>
      </c>
      <c r="BG12" s="533" t="s">
        <v>556</v>
      </c>
      <c r="BH12" s="533" t="s">
        <v>556</v>
      </c>
      <c r="BI12" s="533" t="s">
        <v>556</v>
      </c>
      <c r="BJ12" s="535" t="s">
        <v>556</v>
      </c>
      <c r="BK12" s="535" t="s">
        <v>556</v>
      </c>
    </row>
    <row r="13" spans="2:63" x14ac:dyDescent="0.25">
      <c r="B13" s="532">
        <v>24</v>
      </c>
      <c r="C13" s="533">
        <v>57.53</v>
      </c>
      <c r="D13" s="533">
        <v>57.5</v>
      </c>
      <c r="E13" s="533">
        <v>57.47</v>
      </c>
      <c r="F13" s="533">
        <v>57.45</v>
      </c>
      <c r="G13" s="533">
        <v>57.42</v>
      </c>
      <c r="H13" s="533">
        <v>57.39</v>
      </c>
      <c r="I13" s="533">
        <v>57.37</v>
      </c>
      <c r="J13" s="533" t="s">
        <v>556</v>
      </c>
      <c r="K13" s="533" t="s">
        <v>556</v>
      </c>
      <c r="L13" s="533" t="s">
        <v>556</v>
      </c>
      <c r="M13" s="533" t="s">
        <v>556</v>
      </c>
      <c r="N13" s="533" t="s">
        <v>556</v>
      </c>
      <c r="O13" s="533" t="s">
        <v>556</v>
      </c>
      <c r="P13" s="533" t="s">
        <v>556</v>
      </c>
      <c r="Q13" s="533" t="s">
        <v>556</v>
      </c>
      <c r="R13" s="533" t="s">
        <v>556</v>
      </c>
      <c r="S13" s="533" t="s">
        <v>556</v>
      </c>
      <c r="T13" s="534" t="s">
        <v>556</v>
      </c>
      <c r="U13" s="534" t="s">
        <v>556</v>
      </c>
      <c r="V13" s="531"/>
      <c r="W13" s="532">
        <v>24</v>
      </c>
      <c r="X13" s="533">
        <v>57.72</v>
      </c>
      <c r="Y13" s="533">
        <v>57.69</v>
      </c>
      <c r="Z13" s="533">
        <v>57.67</v>
      </c>
      <c r="AA13" s="533">
        <v>57.64</v>
      </c>
      <c r="AB13" s="533">
        <v>57.61</v>
      </c>
      <c r="AC13" s="533">
        <v>57.59</v>
      </c>
      <c r="AD13" s="533">
        <v>57.56</v>
      </c>
      <c r="AE13" s="533" t="s">
        <v>556</v>
      </c>
      <c r="AF13" s="533" t="s">
        <v>556</v>
      </c>
      <c r="AG13" s="533" t="s">
        <v>556</v>
      </c>
      <c r="AH13" s="533" t="s">
        <v>556</v>
      </c>
      <c r="AI13" s="533" t="s">
        <v>556</v>
      </c>
      <c r="AJ13" s="533" t="s">
        <v>556</v>
      </c>
      <c r="AK13" s="533" t="s">
        <v>556</v>
      </c>
      <c r="AL13" s="533" t="s">
        <v>556</v>
      </c>
      <c r="AM13" s="533" t="s">
        <v>556</v>
      </c>
      <c r="AN13" s="533" t="s">
        <v>556</v>
      </c>
      <c r="AO13" s="534" t="s">
        <v>556</v>
      </c>
      <c r="AP13" s="534" t="s">
        <v>556</v>
      </c>
      <c r="AQ13" s="531"/>
      <c r="AR13" s="532">
        <v>24</v>
      </c>
      <c r="AS13" s="533">
        <v>58.17</v>
      </c>
      <c r="AT13" s="533">
        <v>58.14</v>
      </c>
      <c r="AU13" s="533">
        <v>58.11</v>
      </c>
      <c r="AV13" s="533">
        <v>58.09</v>
      </c>
      <c r="AW13" s="533">
        <v>58.06</v>
      </c>
      <c r="AX13" s="533">
        <v>58.03</v>
      </c>
      <c r="AY13" s="533">
        <v>58</v>
      </c>
      <c r="AZ13" s="533" t="s">
        <v>556</v>
      </c>
      <c r="BA13" s="533" t="s">
        <v>556</v>
      </c>
      <c r="BB13" s="533" t="s">
        <v>556</v>
      </c>
      <c r="BC13" s="533" t="s">
        <v>556</v>
      </c>
      <c r="BD13" s="533" t="s">
        <v>556</v>
      </c>
      <c r="BE13" s="533" t="s">
        <v>556</v>
      </c>
      <c r="BF13" s="533" t="s">
        <v>556</v>
      </c>
      <c r="BG13" s="533" t="s">
        <v>556</v>
      </c>
      <c r="BH13" s="533" t="s">
        <v>556</v>
      </c>
      <c r="BI13" s="533" t="s">
        <v>556</v>
      </c>
      <c r="BJ13" s="535" t="s">
        <v>556</v>
      </c>
      <c r="BK13" s="535" t="s">
        <v>556</v>
      </c>
    </row>
    <row r="14" spans="2:63" x14ac:dyDescent="0.25">
      <c r="B14" s="532">
        <v>25</v>
      </c>
      <c r="C14" s="533">
        <v>57.66</v>
      </c>
      <c r="D14" s="533">
        <v>57.63</v>
      </c>
      <c r="E14" s="533">
        <v>57.6</v>
      </c>
      <c r="F14" s="533">
        <v>57.57</v>
      </c>
      <c r="G14" s="533">
        <v>57.54</v>
      </c>
      <c r="H14" s="533">
        <v>57.52</v>
      </c>
      <c r="I14" s="533">
        <v>57.49</v>
      </c>
      <c r="J14" s="533">
        <v>57.46</v>
      </c>
      <c r="K14" s="533" t="s">
        <v>556</v>
      </c>
      <c r="L14" s="533" t="s">
        <v>556</v>
      </c>
      <c r="M14" s="533" t="s">
        <v>556</v>
      </c>
      <c r="N14" s="533" t="s">
        <v>556</v>
      </c>
      <c r="O14" s="533" t="s">
        <v>556</v>
      </c>
      <c r="P14" s="533" t="s">
        <v>556</v>
      </c>
      <c r="Q14" s="533" t="s">
        <v>556</v>
      </c>
      <c r="R14" s="533" t="s">
        <v>556</v>
      </c>
      <c r="S14" s="533" t="s">
        <v>556</v>
      </c>
      <c r="T14" s="534" t="s">
        <v>556</v>
      </c>
      <c r="U14" s="534" t="s">
        <v>556</v>
      </c>
      <c r="V14" s="531"/>
      <c r="W14" s="532">
        <v>25</v>
      </c>
      <c r="X14" s="533">
        <v>57.85</v>
      </c>
      <c r="Y14" s="533">
        <v>57.82</v>
      </c>
      <c r="Z14" s="533">
        <v>57.79</v>
      </c>
      <c r="AA14" s="533">
        <v>57.77</v>
      </c>
      <c r="AB14" s="533">
        <v>57.74</v>
      </c>
      <c r="AC14" s="533">
        <v>57.71</v>
      </c>
      <c r="AD14" s="533">
        <v>57.68</v>
      </c>
      <c r="AE14" s="533">
        <v>57.65</v>
      </c>
      <c r="AF14" s="533" t="s">
        <v>556</v>
      </c>
      <c r="AG14" s="533" t="s">
        <v>556</v>
      </c>
      <c r="AH14" s="533" t="s">
        <v>556</v>
      </c>
      <c r="AI14" s="533" t="s">
        <v>556</v>
      </c>
      <c r="AJ14" s="533" t="s">
        <v>556</v>
      </c>
      <c r="AK14" s="533" t="s">
        <v>556</v>
      </c>
      <c r="AL14" s="533" t="s">
        <v>556</v>
      </c>
      <c r="AM14" s="533" t="s">
        <v>556</v>
      </c>
      <c r="AN14" s="533" t="s">
        <v>556</v>
      </c>
      <c r="AO14" s="534" t="s">
        <v>556</v>
      </c>
      <c r="AP14" s="534" t="s">
        <v>556</v>
      </c>
      <c r="AQ14" s="531"/>
      <c r="AR14" s="532">
        <v>25</v>
      </c>
      <c r="AS14" s="533">
        <v>58.3</v>
      </c>
      <c r="AT14" s="533">
        <v>58.27</v>
      </c>
      <c r="AU14" s="533">
        <v>58.24</v>
      </c>
      <c r="AV14" s="533">
        <v>58.21</v>
      </c>
      <c r="AW14" s="533">
        <v>58.19</v>
      </c>
      <c r="AX14" s="533">
        <v>58.16</v>
      </c>
      <c r="AY14" s="533">
        <v>58.13</v>
      </c>
      <c r="AZ14" s="533">
        <v>58.1</v>
      </c>
      <c r="BA14" s="533" t="s">
        <v>556</v>
      </c>
      <c r="BB14" s="533" t="s">
        <v>556</v>
      </c>
      <c r="BC14" s="533" t="s">
        <v>556</v>
      </c>
      <c r="BD14" s="533" t="s">
        <v>556</v>
      </c>
      <c r="BE14" s="533" t="s">
        <v>556</v>
      </c>
      <c r="BF14" s="533" t="s">
        <v>556</v>
      </c>
      <c r="BG14" s="533" t="s">
        <v>556</v>
      </c>
      <c r="BH14" s="533" t="s">
        <v>556</v>
      </c>
      <c r="BI14" s="533" t="s">
        <v>556</v>
      </c>
      <c r="BJ14" s="535" t="s">
        <v>556</v>
      </c>
      <c r="BK14" s="535" t="s">
        <v>556</v>
      </c>
    </row>
    <row r="15" spans="2:63" x14ac:dyDescent="0.25">
      <c r="B15" s="532">
        <v>26</v>
      </c>
      <c r="C15" s="533">
        <v>57.79</v>
      </c>
      <c r="D15" s="533">
        <v>57.76</v>
      </c>
      <c r="E15" s="533">
        <v>57.73</v>
      </c>
      <c r="F15" s="533">
        <v>57.7</v>
      </c>
      <c r="G15" s="533">
        <v>57.67</v>
      </c>
      <c r="H15" s="533">
        <v>57.64</v>
      </c>
      <c r="I15" s="533">
        <v>57.62</v>
      </c>
      <c r="J15" s="533">
        <v>57.59</v>
      </c>
      <c r="K15" s="533">
        <v>57.56</v>
      </c>
      <c r="L15" s="533" t="s">
        <v>556</v>
      </c>
      <c r="M15" s="533" t="s">
        <v>556</v>
      </c>
      <c r="N15" s="533" t="s">
        <v>556</v>
      </c>
      <c r="O15" s="533" t="s">
        <v>556</v>
      </c>
      <c r="P15" s="533" t="s">
        <v>556</v>
      </c>
      <c r="Q15" s="533" t="s">
        <v>556</v>
      </c>
      <c r="R15" s="533" t="s">
        <v>556</v>
      </c>
      <c r="S15" s="533" t="s">
        <v>556</v>
      </c>
      <c r="T15" s="534" t="s">
        <v>556</v>
      </c>
      <c r="U15" s="534" t="s">
        <v>556</v>
      </c>
      <c r="V15" s="531"/>
      <c r="W15" s="532">
        <v>26</v>
      </c>
      <c r="X15" s="533">
        <v>57.99</v>
      </c>
      <c r="Y15" s="533">
        <v>57.96</v>
      </c>
      <c r="Z15" s="533">
        <v>57.93</v>
      </c>
      <c r="AA15" s="533">
        <v>57.9</v>
      </c>
      <c r="AB15" s="533">
        <v>57.87</v>
      </c>
      <c r="AC15" s="533">
        <v>57.84</v>
      </c>
      <c r="AD15" s="533">
        <v>57.81</v>
      </c>
      <c r="AE15" s="533">
        <v>57.78</v>
      </c>
      <c r="AF15" s="533">
        <v>57.75</v>
      </c>
      <c r="AG15" s="533" t="s">
        <v>556</v>
      </c>
      <c r="AH15" s="533" t="s">
        <v>556</v>
      </c>
      <c r="AI15" s="533" t="s">
        <v>556</v>
      </c>
      <c r="AJ15" s="533" t="s">
        <v>556</v>
      </c>
      <c r="AK15" s="533" t="s">
        <v>556</v>
      </c>
      <c r="AL15" s="533" t="s">
        <v>556</v>
      </c>
      <c r="AM15" s="533" t="s">
        <v>556</v>
      </c>
      <c r="AN15" s="533" t="s">
        <v>556</v>
      </c>
      <c r="AO15" s="534" t="s">
        <v>556</v>
      </c>
      <c r="AP15" s="534" t="s">
        <v>556</v>
      </c>
      <c r="AQ15" s="531"/>
      <c r="AR15" s="532">
        <v>26</v>
      </c>
      <c r="AS15" s="533">
        <v>58.44</v>
      </c>
      <c r="AT15" s="533">
        <v>58.41</v>
      </c>
      <c r="AU15" s="533">
        <v>58.38</v>
      </c>
      <c r="AV15" s="533">
        <v>58.35</v>
      </c>
      <c r="AW15" s="533">
        <v>58.32</v>
      </c>
      <c r="AX15" s="533">
        <v>58.29</v>
      </c>
      <c r="AY15" s="533">
        <v>58.26</v>
      </c>
      <c r="AZ15" s="533">
        <v>58.23</v>
      </c>
      <c r="BA15" s="533">
        <v>58.2</v>
      </c>
      <c r="BB15" s="533" t="s">
        <v>556</v>
      </c>
      <c r="BC15" s="533" t="s">
        <v>556</v>
      </c>
      <c r="BD15" s="533" t="s">
        <v>556</v>
      </c>
      <c r="BE15" s="533" t="s">
        <v>556</v>
      </c>
      <c r="BF15" s="533" t="s">
        <v>556</v>
      </c>
      <c r="BG15" s="533" t="s">
        <v>556</v>
      </c>
      <c r="BH15" s="533" t="s">
        <v>556</v>
      </c>
      <c r="BI15" s="533" t="s">
        <v>556</v>
      </c>
      <c r="BJ15" s="535" t="s">
        <v>556</v>
      </c>
      <c r="BK15" s="535" t="s">
        <v>556</v>
      </c>
    </row>
    <row r="16" spans="2:63" x14ac:dyDescent="0.25">
      <c r="B16" s="532">
        <v>27</v>
      </c>
      <c r="C16" s="533">
        <v>57.93</v>
      </c>
      <c r="D16" s="533">
        <v>57.9</v>
      </c>
      <c r="E16" s="533">
        <v>57.87</v>
      </c>
      <c r="F16" s="533">
        <v>57.84</v>
      </c>
      <c r="G16" s="533">
        <v>57.81</v>
      </c>
      <c r="H16" s="533">
        <v>57.78</v>
      </c>
      <c r="I16" s="533">
        <v>57.75</v>
      </c>
      <c r="J16" s="533">
        <v>57.72</v>
      </c>
      <c r="K16" s="533">
        <v>57.69</v>
      </c>
      <c r="L16" s="533">
        <v>57.66</v>
      </c>
      <c r="M16" s="533" t="s">
        <v>556</v>
      </c>
      <c r="N16" s="533" t="s">
        <v>556</v>
      </c>
      <c r="O16" s="533" t="s">
        <v>556</v>
      </c>
      <c r="P16" s="533" t="s">
        <v>556</v>
      </c>
      <c r="Q16" s="533" t="s">
        <v>556</v>
      </c>
      <c r="R16" s="533" t="s">
        <v>556</v>
      </c>
      <c r="S16" s="533" t="s">
        <v>556</v>
      </c>
      <c r="T16" s="534" t="s">
        <v>556</v>
      </c>
      <c r="U16" s="534" t="s">
        <v>556</v>
      </c>
      <c r="V16" s="531"/>
      <c r="W16" s="532">
        <v>27</v>
      </c>
      <c r="X16" s="533">
        <v>58.13</v>
      </c>
      <c r="Y16" s="533">
        <v>58.1</v>
      </c>
      <c r="Z16" s="533">
        <v>58.07</v>
      </c>
      <c r="AA16" s="533">
        <v>58.04</v>
      </c>
      <c r="AB16" s="533">
        <v>58.01</v>
      </c>
      <c r="AC16" s="533">
        <v>57.98</v>
      </c>
      <c r="AD16" s="533">
        <v>57.94</v>
      </c>
      <c r="AE16" s="533">
        <v>57.91</v>
      </c>
      <c r="AF16" s="533">
        <v>57.88</v>
      </c>
      <c r="AG16" s="533">
        <v>57.85</v>
      </c>
      <c r="AH16" s="533" t="s">
        <v>556</v>
      </c>
      <c r="AI16" s="533" t="s">
        <v>556</v>
      </c>
      <c r="AJ16" s="533" t="s">
        <v>556</v>
      </c>
      <c r="AK16" s="533" t="s">
        <v>556</v>
      </c>
      <c r="AL16" s="533" t="s">
        <v>556</v>
      </c>
      <c r="AM16" s="533" t="s">
        <v>556</v>
      </c>
      <c r="AN16" s="533" t="s">
        <v>556</v>
      </c>
      <c r="AO16" s="534" t="s">
        <v>556</v>
      </c>
      <c r="AP16" s="534" t="s">
        <v>556</v>
      </c>
      <c r="AQ16" s="531"/>
      <c r="AR16" s="532">
        <v>27</v>
      </c>
      <c r="AS16" s="533">
        <v>58.58</v>
      </c>
      <c r="AT16" s="533">
        <v>58.55</v>
      </c>
      <c r="AU16" s="533">
        <v>58.52</v>
      </c>
      <c r="AV16" s="533">
        <v>58.49</v>
      </c>
      <c r="AW16" s="533">
        <v>58.46</v>
      </c>
      <c r="AX16" s="533">
        <v>58.43</v>
      </c>
      <c r="AY16" s="533">
        <v>58.39</v>
      </c>
      <c r="AZ16" s="533">
        <v>58.36</v>
      </c>
      <c r="BA16" s="533">
        <v>58.33</v>
      </c>
      <c r="BB16" s="533">
        <v>58.3</v>
      </c>
      <c r="BC16" s="533" t="s">
        <v>556</v>
      </c>
      <c r="BD16" s="533" t="s">
        <v>556</v>
      </c>
      <c r="BE16" s="533" t="s">
        <v>556</v>
      </c>
      <c r="BF16" s="533" t="s">
        <v>556</v>
      </c>
      <c r="BG16" s="533" t="s">
        <v>556</v>
      </c>
      <c r="BH16" s="533" t="s">
        <v>556</v>
      </c>
      <c r="BI16" s="533" t="s">
        <v>556</v>
      </c>
      <c r="BJ16" s="535" t="s">
        <v>556</v>
      </c>
      <c r="BK16" s="535" t="s">
        <v>556</v>
      </c>
    </row>
    <row r="17" spans="2:63" x14ac:dyDescent="0.25">
      <c r="B17" s="532">
        <v>28</v>
      </c>
      <c r="C17" s="533">
        <v>58.08</v>
      </c>
      <c r="D17" s="533">
        <v>58.05</v>
      </c>
      <c r="E17" s="533">
        <v>58.02</v>
      </c>
      <c r="F17" s="533">
        <v>57.99</v>
      </c>
      <c r="G17" s="533">
        <v>57.95</v>
      </c>
      <c r="H17" s="533">
        <v>57.92</v>
      </c>
      <c r="I17" s="533">
        <v>57.89</v>
      </c>
      <c r="J17" s="533">
        <v>57.86</v>
      </c>
      <c r="K17" s="533">
        <v>57.83</v>
      </c>
      <c r="L17" s="533">
        <v>57.79</v>
      </c>
      <c r="M17" s="533">
        <v>57.76</v>
      </c>
      <c r="N17" s="533" t="s">
        <v>556</v>
      </c>
      <c r="O17" s="533" t="s">
        <v>556</v>
      </c>
      <c r="P17" s="533" t="s">
        <v>556</v>
      </c>
      <c r="Q17" s="533" t="s">
        <v>556</v>
      </c>
      <c r="R17" s="533" t="s">
        <v>556</v>
      </c>
      <c r="S17" s="533" t="s">
        <v>556</v>
      </c>
      <c r="T17" s="534" t="s">
        <v>556</v>
      </c>
      <c r="U17" s="534" t="s">
        <v>556</v>
      </c>
      <c r="V17" s="531"/>
      <c r="W17" s="532">
        <v>28</v>
      </c>
      <c r="X17" s="533">
        <v>58.28</v>
      </c>
      <c r="Y17" s="533">
        <v>58.25</v>
      </c>
      <c r="Z17" s="533">
        <v>58.22</v>
      </c>
      <c r="AA17" s="533">
        <v>58.18</v>
      </c>
      <c r="AB17" s="533">
        <v>58.15</v>
      </c>
      <c r="AC17" s="533">
        <v>58.12</v>
      </c>
      <c r="AD17" s="533">
        <v>58.09</v>
      </c>
      <c r="AE17" s="533">
        <v>58.05</v>
      </c>
      <c r="AF17" s="533">
        <v>58.02</v>
      </c>
      <c r="AG17" s="533">
        <v>57.99</v>
      </c>
      <c r="AH17" s="533">
        <v>57.96</v>
      </c>
      <c r="AI17" s="533" t="s">
        <v>556</v>
      </c>
      <c r="AJ17" s="533" t="s">
        <v>556</v>
      </c>
      <c r="AK17" s="533" t="s">
        <v>556</v>
      </c>
      <c r="AL17" s="533" t="s">
        <v>556</v>
      </c>
      <c r="AM17" s="533" t="s">
        <v>556</v>
      </c>
      <c r="AN17" s="533" t="s">
        <v>556</v>
      </c>
      <c r="AO17" s="534" t="s">
        <v>556</v>
      </c>
      <c r="AP17" s="534" t="s">
        <v>556</v>
      </c>
      <c r="AQ17" s="531"/>
      <c r="AR17" s="532">
        <v>28</v>
      </c>
      <c r="AS17" s="533">
        <v>58.74</v>
      </c>
      <c r="AT17" s="533">
        <v>58.7</v>
      </c>
      <c r="AU17" s="533">
        <v>58.67</v>
      </c>
      <c r="AV17" s="533">
        <v>58.64</v>
      </c>
      <c r="AW17" s="533">
        <v>58.6</v>
      </c>
      <c r="AX17" s="533">
        <v>58.57</v>
      </c>
      <c r="AY17" s="533">
        <v>58.54</v>
      </c>
      <c r="AZ17" s="533">
        <v>58.5</v>
      </c>
      <c r="BA17" s="533">
        <v>58.47</v>
      </c>
      <c r="BB17" s="533">
        <v>58.44</v>
      </c>
      <c r="BC17" s="533">
        <v>58.41</v>
      </c>
      <c r="BD17" s="533" t="s">
        <v>556</v>
      </c>
      <c r="BE17" s="533" t="s">
        <v>556</v>
      </c>
      <c r="BF17" s="533" t="s">
        <v>556</v>
      </c>
      <c r="BG17" s="533" t="s">
        <v>556</v>
      </c>
      <c r="BH17" s="533" t="s">
        <v>556</v>
      </c>
      <c r="BI17" s="533" t="s">
        <v>556</v>
      </c>
      <c r="BJ17" s="535" t="s">
        <v>556</v>
      </c>
      <c r="BK17" s="535" t="s">
        <v>556</v>
      </c>
    </row>
    <row r="18" spans="2:63" x14ac:dyDescent="0.25">
      <c r="B18" s="532">
        <v>29</v>
      </c>
      <c r="C18" s="533">
        <v>58.24</v>
      </c>
      <c r="D18" s="533">
        <v>58.21</v>
      </c>
      <c r="E18" s="533">
        <v>58.17</v>
      </c>
      <c r="F18" s="533">
        <v>58.14</v>
      </c>
      <c r="G18" s="533">
        <v>58.1</v>
      </c>
      <c r="H18" s="533">
        <v>58.07</v>
      </c>
      <c r="I18" s="533">
        <v>58.04</v>
      </c>
      <c r="J18" s="533">
        <v>58</v>
      </c>
      <c r="K18" s="533">
        <v>57.97</v>
      </c>
      <c r="L18" s="533">
        <v>57.94</v>
      </c>
      <c r="M18" s="533">
        <v>57.9</v>
      </c>
      <c r="N18" s="533">
        <v>57.87</v>
      </c>
      <c r="O18" s="533" t="s">
        <v>556</v>
      </c>
      <c r="P18" s="533" t="s">
        <v>556</v>
      </c>
      <c r="Q18" s="533" t="s">
        <v>556</v>
      </c>
      <c r="R18" s="533" t="s">
        <v>556</v>
      </c>
      <c r="S18" s="533" t="s">
        <v>556</v>
      </c>
      <c r="T18" s="534" t="s">
        <v>556</v>
      </c>
      <c r="U18" s="534" t="s">
        <v>556</v>
      </c>
      <c r="V18" s="531"/>
      <c r="W18" s="532">
        <v>29</v>
      </c>
      <c r="X18" s="533">
        <v>58.44</v>
      </c>
      <c r="Y18" s="533">
        <v>58.4</v>
      </c>
      <c r="Z18" s="533">
        <v>58.37</v>
      </c>
      <c r="AA18" s="533">
        <v>58.34</v>
      </c>
      <c r="AB18" s="533">
        <v>58.3</v>
      </c>
      <c r="AC18" s="533">
        <v>58.27</v>
      </c>
      <c r="AD18" s="533">
        <v>58.23</v>
      </c>
      <c r="AE18" s="533">
        <v>58.2</v>
      </c>
      <c r="AF18" s="533">
        <v>58.17</v>
      </c>
      <c r="AG18" s="533">
        <v>58.13</v>
      </c>
      <c r="AH18" s="533">
        <v>58.1</v>
      </c>
      <c r="AI18" s="533">
        <v>58.07</v>
      </c>
      <c r="AJ18" s="533" t="s">
        <v>556</v>
      </c>
      <c r="AK18" s="533" t="s">
        <v>556</v>
      </c>
      <c r="AL18" s="533" t="s">
        <v>556</v>
      </c>
      <c r="AM18" s="533" t="s">
        <v>556</v>
      </c>
      <c r="AN18" s="533" t="s">
        <v>556</v>
      </c>
      <c r="AO18" s="534" t="s">
        <v>556</v>
      </c>
      <c r="AP18" s="534" t="s">
        <v>556</v>
      </c>
      <c r="AQ18" s="531"/>
      <c r="AR18" s="532">
        <v>29</v>
      </c>
      <c r="AS18" s="533">
        <v>58.9</v>
      </c>
      <c r="AT18" s="533">
        <v>58.86</v>
      </c>
      <c r="AU18" s="533">
        <v>58.83</v>
      </c>
      <c r="AV18" s="533">
        <v>58.79</v>
      </c>
      <c r="AW18" s="533">
        <v>58.76</v>
      </c>
      <c r="AX18" s="533">
        <v>58.72</v>
      </c>
      <c r="AY18" s="533">
        <v>58.69</v>
      </c>
      <c r="AZ18" s="533">
        <v>58.65</v>
      </c>
      <c r="BA18" s="533">
        <v>58.62</v>
      </c>
      <c r="BB18" s="533">
        <v>58.59</v>
      </c>
      <c r="BC18" s="533">
        <v>58.55</v>
      </c>
      <c r="BD18" s="533">
        <v>58.52</v>
      </c>
      <c r="BE18" s="533" t="s">
        <v>556</v>
      </c>
      <c r="BF18" s="533" t="s">
        <v>556</v>
      </c>
      <c r="BG18" s="533" t="s">
        <v>556</v>
      </c>
      <c r="BH18" s="533" t="s">
        <v>556</v>
      </c>
      <c r="BI18" s="533" t="s">
        <v>556</v>
      </c>
      <c r="BJ18" s="535" t="s">
        <v>556</v>
      </c>
      <c r="BK18" s="535" t="s">
        <v>556</v>
      </c>
    </row>
    <row r="19" spans="2:63" x14ac:dyDescent="0.25">
      <c r="B19" s="532">
        <v>30</v>
      </c>
      <c r="C19" s="533">
        <v>58.41</v>
      </c>
      <c r="D19" s="533">
        <v>58.37</v>
      </c>
      <c r="E19" s="533">
        <v>58.33</v>
      </c>
      <c r="F19" s="533">
        <v>58.3</v>
      </c>
      <c r="G19" s="533">
        <v>58.26</v>
      </c>
      <c r="H19" s="533">
        <v>58.23</v>
      </c>
      <c r="I19" s="533">
        <v>58.19</v>
      </c>
      <c r="J19" s="533">
        <v>58.16</v>
      </c>
      <c r="K19" s="533">
        <v>58.12</v>
      </c>
      <c r="L19" s="533">
        <v>58.09</v>
      </c>
      <c r="M19" s="533">
        <v>58.05</v>
      </c>
      <c r="N19" s="533">
        <v>58.02</v>
      </c>
      <c r="O19" s="533" t="s">
        <v>556</v>
      </c>
      <c r="P19" s="533" t="s">
        <v>556</v>
      </c>
      <c r="Q19" s="533" t="s">
        <v>556</v>
      </c>
      <c r="R19" s="533" t="s">
        <v>556</v>
      </c>
      <c r="S19" s="533" t="s">
        <v>556</v>
      </c>
      <c r="T19" s="534" t="s">
        <v>556</v>
      </c>
      <c r="U19" s="534" t="s">
        <v>556</v>
      </c>
      <c r="V19" s="531"/>
      <c r="W19" s="532">
        <v>30</v>
      </c>
      <c r="X19" s="533">
        <v>58.61</v>
      </c>
      <c r="Y19" s="533">
        <v>58.57</v>
      </c>
      <c r="Z19" s="533">
        <v>58.53</v>
      </c>
      <c r="AA19" s="533">
        <v>58.5</v>
      </c>
      <c r="AB19" s="533">
        <v>58.46</v>
      </c>
      <c r="AC19" s="533">
        <v>58.42</v>
      </c>
      <c r="AD19" s="533">
        <v>58.39</v>
      </c>
      <c r="AE19" s="533">
        <v>58.35</v>
      </c>
      <c r="AF19" s="533">
        <v>58.32</v>
      </c>
      <c r="AG19" s="533">
        <v>58.28</v>
      </c>
      <c r="AH19" s="533">
        <v>58.25</v>
      </c>
      <c r="AI19" s="533">
        <v>58.21</v>
      </c>
      <c r="AJ19" s="533" t="s">
        <v>556</v>
      </c>
      <c r="AK19" s="533" t="s">
        <v>556</v>
      </c>
      <c r="AL19" s="533" t="s">
        <v>556</v>
      </c>
      <c r="AM19" s="533" t="s">
        <v>556</v>
      </c>
      <c r="AN19" s="533" t="s">
        <v>556</v>
      </c>
      <c r="AO19" s="534" t="s">
        <v>556</v>
      </c>
      <c r="AP19" s="534" t="s">
        <v>556</v>
      </c>
      <c r="AQ19" s="531"/>
      <c r="AR19" s="532">
        <v>30</v>
      </c>
      <c r="AS19" s="533">
        <v>59.07</v>
      </c>
      <c r="AT19" s="533">
        <v>59.03</v>
      </c>
      <c r="AU19" s="533">
        <v>58.99</v>
      </c>
      <c r="AV19" s="533">
        <v>58.96</v>
      </c>
      <c r="AW19" s="533">
        <v>58.92</v>
      </c>
      <c r="AX19" s="533">
        <v>58.88</v>
      </c>
      <c r="AY19" s="533">
        <v>58.85</v>
      </c>
      <c r="AZ19" s="533">
        <v>58.81</v>
      </c>
      <c r="BA19" s="533">
        <v>58.77</v>
      </c>
      <c r="BB19" s="533">
        <v>58.74</v>
      </c>
      <c r="BC19" s="533">
        <v>58.7</v>
      </c>
      <c r="BD19" s="533">
        <v>58.67</v>
      </c>
      <c r="BE19" s="533" t="s">
        <v>556</v>
      </c>
      <c r="BF19" s="533" t="s">
        <v>556</v>
      </c>
      <c r="BG19" s="533" t="s">
        <v>556</v>
      </c>
      <c r="BH19" s="533" t="s">
        <v>556</v>
      </c>
      <c r="BI19" s="533" t="s">
        <v>556</v>
      </c>
      <c r="BJ19" s="535" t="s">
        <v>556</v>
      </c>
      <c r="BK19" s="535" t="s">
        <v>556</v>
      </c>
    </row>
    <row r="20" spans="2:63" x14ac:dyDescent="0.25">
      <c r="B20" s="532">
        <v>31</v>
      </c>
      <c r="C20" s="533">
        <v>58.58</v>
      </c>
      <c r="D20" s="533">
        <v>58.54</v>
      </c>
      <c r="E20" s="533">
        <v>58.51</v>
      </c>
      <c r="F20" s="533">
        <v>58.47</v>
      </c>
      <c r="G20" s="533">
        <v>58.43</v>
      </c>
      <c r="H20" s="533">
        <v>58.39</v>
      </c>
      <c r="I20" s="533">
        <v>58.35</v>
      </c>
      <c r="J20" s="533">
        <v>58.32</v>
      </c>
      <c r="K20" s="533">
        <v>58.28</v>
      </c>
      <c r="L20" s="533">
        <v>58.24</v>
      </c>
      <c r="M20" s="533">
        <v>58.21</v>
      </c>
      <c r="N20" s="533">
        <v>58.17</v>
      </c>
      <c r="O20" s="533" t="s">
        <v>556</v>
      </c>
      <c r="P20" s="533" t="s">
        <v>556</v>
      </c>
      <c r="Q20" s="533" t="s">
        <v>556</v>
      </c>
      <c r="R20" s="533" t="s">
        <v>556</v>
      </c>
      <c r="S20" s="533" t="s">
        <v>556</v>
      </c>
      <c r="T20" s="534" t="s">
        <v>556</v>
      </c>
      <c r="U20" s="534" t="s">
        <v>556</v>
      </c>
      <c r="V20" s="531"/>
      <c r="W20" s="532">
        <v>31</v>
      </c>
      <c r="X20" s="533">
        <v>58.78</v>
      </c>
      <c r="Y20" s="533">
        <v>58.74</v>
      </c>
      <c r="Z20" s="533">
        <v>58.7</v>
      </c>
      <c r="AA20" s="533">
        <v>58.67</v>
      </c>
      <c r="AB20" s="533">
        <v>58.63</v>
      </c>
      <c r="AC20" s="533">
        <v>58.59</v>
      </c>
      <c r="AD20" s="533">
        <v>58.55</v>
      </c>
      <c r="AE20" s="533">
        <v>58.52</v>
      </c>
      <c r="AF20" s="533">
        <v>58.48</v>
      </c>
      <c r="AG20" s="533">
        <v>58.44</v>
      </c>
      <c r="AH20" s="533">
        <v>58.41</v>
      </c>
      <c r="AI20" s="533">
        <v>58.37</v>
      </c>
      <c r="AJ20" s="533" t="s">
        <v>556</v>
      </c>
      <c r="AK20" s="533" t="s">
        <v>556</v>
      </c>
      <c r="AL20" s="533" t="s">
        <v>556</v>
      </c>
      <c r="AM20" s="533" t="s">
        <v>556</v>
      </c>
      <c r="AN20" s="533" t="s">
        <v>556</v>
      </c>
      <c r="AO20" s="534" t="s">
        <v>556</v>
      </c>
      <c r="AP20" s="534" t="s">
        <v>556</v>
      </c>
      <c r="AQ20" s="531"/>
      <c r="AR20" s="532">
        <v>31</v>
      </c>
      <c r="AS20" s="533">
        <v>59.24</v>
      </c>
      <c r="AT20" s="533">
        <v>59.21</v>
      </c>
      <c r="AU20" s="533">
        <v>59.17</v>
      </c>
      <c r="AV20" s="533">
        <v>59.13</v>
      </c>
      <c r="AW20" s="533">
        <v>59.09</v>
      </c>
      <c r="AX20" s="533">
        <v>59.05</v>
      </c>
      <c r="AY20" s="533">
        <v>59.01</v>
      </c>
      <c r="AZ20" s="533">
        <v>58.97</v>
      </c>
      <c r="BA20" s="533">
        <v>58.94</v>
      </c>
      <c r="BB20" s="533">
        <v>58.9</v>
      </c>
      <c r="BC20" s="533">
        <v>58.86</v>
      </c>
      <c r="BD20" s="533">
        <v>58.83</v>
      </c>
      <c r="BE20" s="533" t="s">
        <v>556</v>
      </c>
      <c r="BF20" s="533" t="s">
        <v>556</v>
      </c>
      <c r="BG20" s="533" t="s">
        <v>556</v>
      </c>
      <c r="BH20" s="533" t="s">
        <v>556</v>
      </c>
      <c r="BI20" s="533" t="s">
        <v>556</v>
      </c>
      <c r="BJ20" s="535" t="s">
        <v>556</v>
      </c>
      <c r="BK20" s="535" t="s">
        <v>556</v>
      </c>
    </row>
    <row r="21" spans="2:63" x14ac:dyDescent="0.25">
      <c r="B21" s="532">
        <v>32</v>
      </c>
      <c r="C21" s="533">
        <v>58.77</v>
      </c>
      <c r="D21" s="533">
        <v>58.72</v>
      </c>
      <c r="E21" s="533">
        <v>58.68</v>
      </c>
      <c r="F21" s="533">
        <v>58.65</v>
      </c>
      <c r="G21" s="533">
        <v>58.61</v>
      </c>
      <c r="H21" s="533">
        <v>58.57</v>
      </c>
      <c r="I21" s="533">
        <v>58.53</v>
      </c>
      <c r="J21" s="533">
        <v>58.49</v>
      </c>
      <c r="K21" s="533">
        <v>58.45</v>
      </c>
      <c r="L21" s="533">
        <v>58.41</v>
      </c>
      <c r="M21" s="533">
        <v>58.37</v>
      </c>
      <c r="N21" s="533">
        <v>58.33</v>
      </c>
      <c r="O21" s="533" t="s">
        <v>556</v>
      </c>
      <c r="P21" s="533" t="s">
        <v>556</v>
      </c>
      <c r="Q21" s="533" t="s">
        <v>556</v>
      </c>
      <c r="R21" s="533" t="s">
        <v>556</v>
      </c>
      <c r="S21" s="533" t="s">
        <v>556</v>
      </c>
      <c r="T21" s="534" t="s">
        <v>556</v>
      </c>
      <c r="U21" s="534" t="s">
        <v>556</v>
      </c>
      <c r="V21" s="531"/>
      <c r="W21" s="532">
        <v>32</v>
      </c>
      <c r="X21" s="533">
        <v>58.97</v>
      </c>
      <c r="Y21" s="533">
        <v>58.93</v>
      </c>
      <c r="Z21" s="533">
        <v>58.89</v>
      </c>
      <c r="AA21" s="533">
        <v>58.85</v>
      </c>
      <c r="AB21" s="533">
        <v>58.81</v>
      </c>
      <c r="AC21" s="533">
        <v>58.77</v>
      </c>
      <c r="AD21" s="533">
        <v>58.73</v>
      </c>
      <c r="AE21" s="533">
        <v>58.69</v>
      </c>
      <c r="AF21" s="533">
        <v>58.65</v>
      </c>
      <c r="AG21" s="533">
        <v>58.61</v>
      </c>
      <c r="AH21" s="533">
        <v>58.57</v>
      </c>
      <c r="AI21" s="533">
        <v>58.53</v>
      </c>
      <c r="AJ21" s="533" t="s">
        <v>556</v>
      </c>
      <c r="AK21" s="533" t="s">
        <v>556</v>
      </c>
      <c r="AL21" s="533" t="s">
        <v>556</v>
      </c>
      <c r="AM21" s="533" t="s">
        <v>556</v>
      </c>
      <c r="AN21" s="533" t="s">
        <v>556</v>
      </c>
      <c r="AO21" s="534" t="s">
        <v>556</v>
      </c>
      <c r="AP21" s="534" t="s">
        <v>556</v>
      </c>
      <c r="AQ21" s="531"/>
      <c r="AR21" s="532">
        <v>32</v>
      </c>
      <c r="AS21" s="533">
        <v>59.43</v>
      </c>
      <c r="AT21" s="533">
        <v>59.39</v>
      </c>
      <c r="AU21" s="533">
        <v>59.35</v>
      </c>
      <c r="AV21" s="533">
        <v>59.31</v>
      </c>
      <c r="AW21" s="533">
        <v>59.27</v>
      </c>
      <c r="AX21" s="533">
        <v>59.23</v>
      </c>
      <c r="AY21" s="533">
        <v>59.19</v>
      </c>
      <c r="AZ21" s="533">
        <v>59.15</v>
      </c>
      <c r="BA21" s="533">
        <v>59.11</v>
      </c>
      <c r="BB21" s="533">
        <v>59.07</v>
      </c>
      <c r="BC21" s="533">
        <v>59.03</v>
      </c>
      <c r="BD21" s="533">
        <v>58.99</v>
      </c>
      <c r="BE21" s="533" t="s">
        <v>556</v>
      </c>
      <c r="BF21" s="533" t="s">
        <v>556</v>
      </c>
      <c r="BG21" s="533" t="s">
        <v>556</v>
      </c>
      <c r="BH21" s="533" t="s">
        <v>556</v>
      </c>
      <c r="BI21" s="533" t="s">
        <v>556</v>
      </c>
      <c r="BJ21" s="535" t="s">
        <v>556</v>
      </c>
      <c r="BK21" s="535" t="s">
        <v>556</v>
      </c>
    </row>
    <row r="22" spans="2:63" x14ac:dyDescent="0.25">
      <c r="B22" s="532">
        <v>33</v>
      </c>
      <c r="C22" s="533">
        <v>58.96</v>
      </c>
      <c r="D22" s="533">
        <v>58.92</v>
      </c>
      <c r="E22" s="533">
        <v>58.87</v>
      </c>
      <c r="F22" s="533">
        <v>58.83</v>
      </c>
      <c r="G22" s="533">
        <v>58.79</v>
      </c>
      <c r="H22" s="533">
        <v>58.75</v>
      </c>
      <c r="I22" s="533">
        <v>58.71</v>
      </c>
      <c r="J22" s="533">
        <v>58.67</v>
      </c>
      <c r="K22" s="533">
        <v>58.63</v>
      </c>
      <c r="L22" s="533">
        <v>58.58</v>
      </c>
      <c r="M22" s="533">
        <v>58.54</v>
      </c>
      <c r="N22" s="533">
        <v>58.5</v>
      </c>
      <c r="O22" s="533" t="s">
        <v>556</v>
      </c>
      <c r="P22" s="533" t="s">
        <v>556</v>
      </c>
      <c r="Q22" s="533" t="s">
        <v>556</v>
      </c>
      <c r="R22" s="533" t="s">
        <v>556</v>
      </c>
      <c r="S22" s="533" t="s">
        <v>556</v>
      </c>
      <c r="T22" s="534" t="s">
        <v>556</v>
      </c>
      <c r="U22" s="534" t="s">
        <v>556</v>
      </c>
      <c r="V22" s="531"/>
      <c r="W22" s="532">
        <v>33</v>
      </c>
      <c r="X22" s="533">
        <v>59.16</v>
      </c>
      <c r="Y22" s="533">
        <v>59.12</v>
      </c>
      <c r="Z22" s="533">
        <v>59.08</v>
      </c>
      <c r="AA22" s="533">
        <v>59.03</v>
      </c>
      <c r="AB22" s="533">
        <v>58.99</v>
      </c>
      <c r="AC22" s="533">
        <v>58.95</v>
      </c>
      <c r="AD22" s="533">
        <v>58.91</v>
      </c>
      <c r="AE22" s="533">
        <v>58.87</v>
      </c>
      <c r="AF22" s="533">
        <v>58.83</v>
      </c>
      <c r="AG22" s="533">
        <v>58.78</v>
      </c>
      <c r="AH22" s="533">
        <v>58.74</v>
      </c>
      <c r="AI22" s="533">
        <v>58.7</v>
      </c>
      <c r="AJ22" s="533" t="s">
        <v>556</v>
      </c>
      <c r="AK22" s="533" t="s">
        <v>556</v>
      </c>
      <c r="AL22" s="533" t="s">
        <v>556</v>
      </c>
      <c r="AM22" s="533" t="s">
        <v>556</v>
      </c>
      <c r="AN22" s="533" t="s">
        <v>556</v>
      </c>
      <c r="AO22" s="534" t="s">
        <v>556</v>
      </c>
      <c r="AP22" s="534" t="s">
        <v>556</v>
      </c>
      <c r="AQ22" s="531"/>
      <c r="AR22" s="532">
        <v>33</v>
      </c>
      <c r="AS22" s="533">
        <v>59.63</v>
      </c>
      <c r="AT22" s="533">
        <v>59.59</v>
      </c>
      <c r="AU22" s="533">
        <v>59.54</v>
      </c>
      <c r="AV22" s="533">
        <v>59.5</v>
      </c>
      <c r="AW22" s="533">
        <v>59.46</v>
      </c>
      <c r="AX22" s="533">
        <v>59.42</v>
      </c>
      <c r="AY22" s="533">
        <v>59.37</v>
      </c>
      <c r="AZ22" s="533">
        <v>59.33</v>
      </c>
      <c r="BA22" s="533">
        <v>59.29</v>
      </c>
      <c r="BB22" s="533">
        <v>59.25</v>
      </c>
      <c r="BC22" s="533">
        <v>59.21</v>
      </c>
      <c r="BD22" s="533">
        <v>59.17</v>
      </c>
      <c r="BE22" s="533" t="s">
        <v>556</v>
      </c>
      <c r="BF22" s="533" t="s">
        <v>556</v>
      </c>
      <c r="BG22" s="533" t="s">
        <v>556</v>
      </c>
      <c r="BH22" s="533" t="s">
        <v>556</v>
      </c>
      <c r="BI22" s="533" t="s">
        <v>556</v>
      </c>
      <c r="BJ22" s="535" t="s">
        <v>556</v>
      </c>
      <c r="BK22" s="535" t="s">
        <v>556</v>
      </c>
    </row>
    <row r="23" spans="2:63" x14ac:dyDescent="0.25">
      <c r="B23" s="532">
        <v>34</v>
      </c>
      <c r="C23" s="533">
        <v>59.16</v>
      </c>
      <c r="D23" s="533">
        <v>59.12</v>
      </c>
      <c r="E23" s="533">
        <v>59.07</v>
      </c>
      <c r="F23" s="533">
        <v>59.03</v>
      </c>
      <c r="G23" s="533">
        <v>58.99</v>
      </c>
      <c r="H23" s="533">
        <v>58.94</v>
      </c>
      <c r="I23" s="533">
        <v>58.9</v>
      </c>
      <c r="J23" s="533">
        <v>58.86</v>
      </c>
      <c r="K23" s="533">
        <v>58.81</v>
      </c>
      <c r="L23" s="533">
        <v>58.77</v>
      </c>
      <c r="M23" s="533">
        <v>58.73</v>
      </c>
      <c r="N23" s="533">
        <v>58.69</v>
      </c>
      <c r="O23" s="533">
        <v>58.48</v>
      </c>
      <c r="P23" s="533" t="s">
        <v>556</v>
      </c>
      <c r="Q23" s="533" t="s">
        <v>556</v>
      </c>
      <c r="R23" s="533" t="s">
        <v>556</v>
      </c>
      <c r="S23" s="533" t="s">
        <v>556</v>
      </c>
      <c r="T23" s="534" t="s">
        <v>556</v>
      </c>
      <c r="U23" s="534" t="s">
        <v>556</v>
      </c>
      <c r="V23" s="531"/>
      <c r="W23" s="532">
        <v>34</v>
      </c>
      <c r="X23" s="533">
        <v>59.37</v>
      </c>
      <c r="Y23" s="533">
        <v>59.32</v>
      </c>
      <c r="Z23" s="533">
        <v>59.28</v>
      </c>
      <c r="AA23" s="533">
        <v>59.23</v>
      </c>
      <c r="AB23" s="533">
        <v>59.19</v>
      </c>
      <c r="AC23" s="533">
        <v>59.14</v>
      </c>
      <c r="AD23" s="533">
        <v>59.1</v>
      </c>
      <c r="AE23" s="533">
        <v>59.06</v>
      </c>
      <c r="AF23" s="533">
        <v>59.01</v>
      </c>
      <c r="AG23" s="533">
        <v>58.97</v>
      </c>
      <c r="AH23" s="533">
        <v>58.93</v>
      </c>
      <c r="AI23" s="533">
        <v>58.89</v>
      </c>
      <c r="AJ23" s="533">
        <v>58.68</v>
      </c>
      <c r="AK23" s="533" t="s">
        <v>556</v>
      </c>
      <c r="AL23" s="533" t="s">
        <v>556</v>
      </c>
      <c r="AM23" s="533" t="s">
        <v>556</v>
      </c>
      <c r="AN23" s="533" t="s">
        <v>556</v>
      </c>
      <c r="AO23" s="534" t="s">
        <v>556</v>
      </c>
      <c r="AP23" s="534" t="s">
        <v>556</v>
      </c>
      <c r="AQ23" s="531"/>
      <c r="AR23" s="532">
        <v>34</v>
      </c>
      <c r="AS23" s="533">
        <v>59.84</v>
      </c>
      <c r="AT23" s="533">
        <v>59.79</v>
      </c>
      <c r="AU23" s="533">
        <v>59.75</v>
      </c>
      <c r="AV23" s="533">
        <v>59.7</v>
      </c>
      <c r="AW23" s="533">
        <v>59.66</v>
      </c>
      <c r="AX23" s="533">
        <v>59.61</v>
      </c>
      <c r="AY23" s="533">
        <v>59.57</v>
      </c>
      <c r="AZ23" s="533">
        <v>59.52</v>
      </c>
      <c r="BA23" s="533">
        <v>59.48</v>
      </c>
      <c r="BB23" s="533">
        <v>59.44</v>
      </c>
      <c r="BC23" s="533">
        <v>59.39</v>
      </c>
      <c r="BD23" s="533">
        <v>59.35</v>
      </c>
      <c r="BE23" s="533">
        <v>59.15</v>
      </c>
      <c r="BF23" s="533" t="s">
        <v>556</v>
      </c>
      <c r="BG23" s="533" t="s">
        <v>556</v>
      </c>
      <c r="BH23" s="533" t="s">
        <v>556</v>
      </c>
      <c r="BI23" s="533" t="s">
        <v>556</v>
      </c>
      <c r="BJ23" s="535" t="s">
        <v>556</v>
      </c>
      <c r="BK23" s="535" t="s">
        <v>556</v>
      </c>
    </row>
    <row r="24" spans="2:63" x14ac:dyDescent="0.25">
      <c r="B24" s="532">
        <v>35</v>
      </c>
      <c r="C24" s="533">
        <v>59.38</v>
      </c>
      <c r="D24" s="533">
        <v>59.33</v>
      </c>
      <c r="E24" s="533">
        <v>59.29</v>
      </c>
      <c r="F24" s="533">
        <v>59.24</v>
      </c>
      <c r="G24" s="533">
        <v>59.19</v>
      </c>
      <c r="H24" s="533">
        <v>59.15</v>
      </c>
      <c r="I24" s="533">
        <v>59.1</v>
      </c>
      <c r="J24" s="533">
        <v>59.05</v>
      </c>
      <c r="K24" s="533">
        <v>59.01</v>
      </c>
      <c r="L24" s="533">
        <v>58.96</v>
      </c>
      <c r="M24" s="533">
        <v>58.92</v>
      </c>
      <c r="N24" s="533">
        <v>58.87</v>
      </c>
      <c r="O24" s="533">
        <v>58.66</v>
      </c>
      <c r="P24" s="533" t="s">
        <v>556</v>
      </c>
      <c r="Q24" s="533" t="s">
        <v>556</v>
      </c>
      <c r="R24" s="533" t="s">
        <v>556</v>
      </c>
      <c r="S24" s="533" t="s">
        <v>556</v>
      </c>
      <c r="T24" s="534" t="s">
        <v>556</v>
      </c>
      <c r="U24" s="534" t="s">
        <v>556</v>
      </c>
      <c r="V24" s="531"/>
      <c r="W24" s="532">
        <v>35</v>
      </c>
      <c r="X24" s="533">
        <v>59.58</v>
      </c>
      <c r="Y24" s="533">
        <v>59.54</v>
      </c>
      <c r="Z24" s="533">
        <v>59.49</v>
      </c>
      <c r="AA24" s="533">
        <v>59.44</v>
      </c>
      <c r="AB24" s="533">
        <v>59.4</v>
      </c>
      <c r="AC24" s="533">
        <v>59.35</v>
      </c>
      <c r="AD24" s="533">
        <v>59.3</v>
      </c>
      <c r="AE24" s="533">
        <v>59.26</v>
      </c>
      <c r="AF24" s="533">
        <v>59.21</v>
      </c>
      <c r="AG24" s="533">
        <v>59.17</v>
      </c>
      <c r="AH24" s="533">
        <v>59.12</v>
      </c>
      <c r="AI24" s="533">
        <v>59.08</v>
      </c>
      <c r="AJ24" s="533">
        <v>58.86</v>
      </c>
      <c r="AK24" s="533" t="s">
        <v>556</v>
      </c>
      <c r="AL24" s="533" t="s">
        <v>556</v>
      </c>
      <c r="AM24" s="533" t="s">
        <v>556</v>
      </c>
      <c r="AN24" s="533" t="s">
        <v>556</v>
      </c>
      <c r="AO24" s="534" t="s">
        <v>556</v>
      </c>
      <c r="AP24" s="534" t="s">
        <v>556</v>
      </c>
      <c r="AQ24" s="531"/>
      <c r="AR24" s="532">
        <v>35</v>
      </c>
      <c r="AS24" s="533">
        <v>60.06</v>
      </c>
      <c r="AT24" s="533">
        <v>60.01</v>
      </c>
      <c r="AU24" s="533">
        <v>59.96</v>
      </c>
      <c r="AV24" s="533">
        <v>59.92</v>
      </c>
      <c r="AW24" s="533">
        <v>59.87</v>
      </c>
      <c r="AX24" s="533">
        <v>59.82</v>
      </c>
      <c r="AY24" s="533">
        <v>59.77</v>
      </c>
      <c r="AZ24" s="533">
        <v>59.73</v>
      </c>
      <c r="BA24" s="533">
        <v>59.68</v>
      </c>
      <c r="BB24" s="533">
        <v>59.63</v>
      </c>
      <c r="BC24" s="533">
        <v>59.59</v>
      </c>
      <c r="BD24" s="533">
        <v>59.54</v>
      </c>
      <c r="BE24" s="533">
        <v>59.33</v>
      </c>
      <c r="BF24" s="533" t="s">
        <v>556</v>
      </c>
      <c r="BG24" s="533" t="s">
        <v>556</v>
      </c>
      <c r="BH24" s="533" t="s">
        <v>556</v>
      </c>
      <c r="BI24" s="533" t="s">
        <v>556</v>
      </c>
      <c r="BJ24" s="535" t="s">
        <v>556</v>
      </c>
      <c r="BK24" s="535" t="s">
        <v>556</v>
      </c>
    </row>
    <row r="25" spans="2:63" x14ac:dyDescent="0.25">
      <c r="B25" s="532">
        <v>36</v>
      </c>
      <c r="C25" s="533">
        <v>59.61</v>
      </c>
      <c r="D25" s="533">
        <v>59.56</v>
      </c>
      <c r="E25" s="533">
        <v>59.51</v>
      </c>
      <c r="F25" s="533">
        <v>59.46</v>
      </c>
      <c r="G25" s="533">
        <v>59.41</v>
      </c>
      <c r="H25" s="533">
        <v>59.36</v>
      </c>
      <c r="I25" s="533">
        <v>59.31</v>
      </c>
      <c r="J25" s="533">
        <v>59.26</v>
      </c>
      <c r="K25" s="533">
        <v>59.22</v>
      </c>
      <c r="L25" s="533">
        <v>59.17</v>
      </c>
      <c r="M25" s="533">
        <v>59.12</v>
      </c>
      <c r="N25" s="533">
        <v>59.07</v>
      </c>
      <c r="O25" s="533">
        <v>58.85</v>
      </c>
      <c r="P25" s="533" t="s">
        <v>556</v>
      </c>
      <c r="Q25" s="533" t="s">
        <v>556</v>
      </c>
      <c r="R25" s="533" t="s">
        <v>556</v>
      </c>
      <c r="S25" s="533" t="s">
        <v>556</v>
      </c>
      <c r="T25" s="534" t="s">
        <v>556</v>
      </c>
      <c r="U25" s="534" t="s">
        <v>556</v>
      </c>
      <c r="V25" s="531"/>
      <c r="W25" s="532">
        <v>36</v>
      </c>
      <c r="X25" s="533">
        <v>59.81</v>
      </c>
      <c r="Y25" s="533">
        <v>59.76</v>
      </c>
      <c r="Z25" s="533">
        <v>59.71</v>
      </c>
      <c r="AA25" s="533">
        <v>59.66</v>
      </c>
      <c r="AB25" s="533">
        <v>59.61</v>
      </c>
      <c r="AC25" s="533">
        <v>59.56</v>
      </c>
      <c r="AD25" s="533">
        <v>59.52</v>
      </c>
      <c r="AE25" s="533">
        <v>59.47</v>
      </c>
      <c r="AF25" s="533">
        <v>59.42</v>
      </c>
      <c r="AG25" s="533">
        <v>59.37</v>
      </c>
      <c r="AH25" s="533">
        <v>59.32</v>
      </c>
      <c r="AI25" s="533">
        <v>59.28</v>
      </c>
      <c r="AJ25" s="533">
        <v>59.05</v>
      </c>
      <c r="AK25" s="533" t="s">
        <v>556</v>
      </c>
      <c r="AL25" s="533" t="s">
        <v>556</v>
      </c>
      <c r="AM25" s="533" t="s">
        <v>556</v>
      </c>
      <c r="AN25" s="533" t="s">
        <v>556</v>
      </c>
      <c r="AO25" s="534" t="s">
        <v>556</v>
      </c>
      <c r="AP25" s="534" t="s">
        <v>556</v>
      </c>
      <c r="AQ25" s="531"/>
      <c r="AR25" s="532">
        <v>36</v>
      </c>
      <c r="AS25" s="533">
        <v>60.29</v>
      </c>
      <c r="AT25" s="533">
        <v>60.24</v>
      </c>
      <c r="AU25" s="533">
        <v>60.19</v>
      </c>
      <c r="AV25" s="533">
        <v>60.14</v>
      </c>
      <c r="AW25" s="533">
        <v>60.09</v>
      </c>
      <c r="AX25" s="533">
        <v>60.04</v>
      </c>
      <c r="AY25" s="533">
        <v>59.99</v>
      </c>
      <c r="AZ25" s="533">
        <v>59.94</v>
      </c>
      <c r="BA25" s="533">
        <v>59.89</v>
      </c>
      <c r="BB25" s="533">
        <v>59.84</v>
      </c>
      <c r="BC25" s="533">
        <v>59.8</v>
      </c>
      <c r="BD25" s="533">
        <v>59.75</v>
      </c>
      <c r="BE25" s="533">
        <v>59.52</v>
      </c>
      <c r="BF25" s="533" t="s">
        <v>556</v>
      </c>
      <c r="BG25" s="533" t="s">
        <v>556</v>
      </c>
      <c r="BH25" s="533" t="s">
        <v>556</v>
      </c>
      <c r="BI25" s="533" t="s">
        <v>556</v>
      </c>
      <c r="BJ25" s="535" t="s">
        <v>556</v>
      </c>
      <c r="BK25" s="535" t="s">
        <v>556</v>
      </c>
    </row>
    <row r="26" spans="2:63" x14ac:dyDescent="0.25">
      <c r="B26" s="532">
        <v>37</v>
      </c>
      <c r="C26" s="533">
        <v>59.85</v>
      </c>
      <c r="D26" s="533">
        <v>59.79</v>
      </c>
      <c r="E26" s="533">
        <v>59.74</v>
      </c>
      <c r="F26" s="533">
        <v>59.69</v>
      </c>
      <c r="G26" s="533">
        <v>59.64</v>
      </c>
      <c r="H26" s="533">
        <v>59.59</v>
      </c>
      <c r="I26" s="533">
        <v>59.53</v>
      </c>
      <c r="J26" s="533">
        <v>59.48</v>
      </c>
      <c r="K26" s="533">
        <v>59.43</v>
      </c>
      <c r="L26" s="533">
        <v>59.38</v>
      </c>
      <c r="M26" s="533">
        <v>59.33</v>
      </c>
      <c r="N26" s="533">
        <v>59.28</v>
      </c>
      <c r="O26" s="533">
        <v>59.05</v>
      </c>
      <c r="P26" s="533" t="s">
        <v>556</v>
      </c>
      <c r="Q26" s="533" t="s">
        <v>556</v>
      </c>
      <c r="R26" s="533" t="s">
        <v>556</v>
      </c>
      <c r="S26" s="533" t="s">
        <v>556</v>
      </c>
      <c r="T26" s="534" t="s">
        <v>556</v>
      </c>
      <c r="U26" s="534" t="s">
        <v>556</v>
      </c>
      <c r="V26" s="531"/>
      <c r="W26" s="532">
        <v>37</v>
      </c>
      <c r="X26" s="533">
        <v>60.05</v>
      </c>
      <c r="Y26" s="533">
        <v>60</v>
      </c>
      <c r="Z26" s="533">
        <v>59.95</v>
      </c>
      <c r="AA26" s="533">
        <v>59.9</v>
      </c>
      <c r="AB26" s="533">
        <v>59.84</v>
      </c>
      <c r="AC26" s="533">
        <v>59.79</v>
      </c>
      <c r="AD26" s="533">
        <v>59.74</v>
      </c>
      <c r="AE26" s="533">
        <v>59.69</v>
      </c>
      <c r="AF26" s="533">
        <v>59.64</v>
      </c>
      <c r="AG26" s="533">
        <v>59.59</v>
      </c>
      <c r="AH26" s="533">
        <v>59.54</v>
      </c>
      <c r="AI26" s="533">
        <v>59.49</v>
      </c>
      <c r="AJ26" s="533">
        <v>59.25</v>
      </c>
      <c r="AK26" s="533" t="s">
        <v>556</v>
      </c>
      <c r="AL26" s="533" t="s">
        <v>556</v>
      </c>
      <c r="AM26" s="533" t="s">
        <v>556</v>
      </c>
      <c r="AN26" s="533" t="s">
        <v>556</v>
      </c>
      <c r="AO26" s="534" t="s">
        <v>556</v>
      </c>
      <c r="AP26" s="534" t="s">
        <v>556</v>
      </c>
      <c r="AQ26" s="531"/>
      <c r="AR26" s="532">
        <v>37</v>
      </c>
      <c r="AS26" s="533">
        <v>60.54</v>
      </c>
      <c r="AT26" s="533">
        <v>60.48</v>
      </c>
      <c r="AU26" s="533">
        <v>60.43</v>
      </c>
      <c r="AV26" s="533">
        <v>60.38</v>
      </c>
      <c r="AW26" s="533">
        <v>60.32</v>
      </c>
      <c r="AX26" s="533">
        <v>60.27</v>
      </c>
      <c r="AY26" s="533">
        <v>60.22</v>
      </c>
      <c r="AZ26" s="533">
        <v>60.17</v>
      </c>
      <c r="BA26" s="533">
        <v>60.11</v>
      </c>
      <c r="BB26" s="533">
        <v>60.06</v>
      </c>
      <c r="BC26" s="533">
        <v>60.01</v>
      </c>
      <c r="BD26" s="533">
        <v>59.96</v>
      </c>
      <c r="BE26" s="533">
        <v>59.72</v>
      </c>
      <c r="BF26" s="533" t="s">
        <v>556</v>
      </c>
      <c r="BG26" s="533" t="s">
        <v>556</v>
      </c>
      <c r="BH26" s="533" t="s">
        <v>556</v>
      </c>
      <c r="BI26" s="533" t="s">
        <v>556</v>
      </c>
      <c r="BJ26" s="535" t="s">
        <v>556</v>
      </c>
      <c r="BK26" s="535" t="s">
        <v>556</v>
      </c>
    </row>
    <row r="27" spans="2:63" x14ac:dyDescent="0.25">
      <c r="B27" s="532">
        <v>38</v>
      </c>
      <c r="C27" s="533">
        <v>60.1</v>
      </c>
      <c r="D27" s="533">
        <v>60.04</v>
      </c>
      <c r="E27" s="533">
        <v>59.99</v>
      </c>
      <c r="F27" s="533">
        <v>59.93</v>
      </c>
      <c r="G27" s="533">
        <v>59.88</v>
      </c>
      <c r="H27" s="533">
        <v>59.82</v>
      </c>
      <c r="I27" s="533">
        <v>59.77</v>
      </c>
      <c r="J27" s="533">
        <v>59.72</v>
      </c>
      <c r="K27" s="533">
        <v>59.66</v>
      </c>
      <c r="L27" s="533">
        <v>59.61</v>
      </c>
      <c r="M27" s="533">
        <v>59.56</v>
      </c>
      <c r="N27" s="533">
        <v>59.51</v>
      </c>
      <c r="O27" s="533">
        <v>59.26</v>
      </c>
      <c r="P27" s="533" t="s">
        <v>556</v>
      </c>
      <c r="Q27" s="533" t="s">
        <v>556</v>
      </c>
      <c r="R27" s="533" t="s">
        <v>556</v>
      </c>
      <c r="S27" s="533" t="s">
        <v>556</v>
      </c>
      <c r="T27" s="534" t="s">
        <v>556</v>
      </c>
      <c r="U27" s="534" t="s">
        <v>556</v>
      </c>
      <c r="V27" s="531"/>
      <c r="W27" s="532">
        <v>38</v>
      </c>
      <c r="X27" s="533">
        <v>60.31</v>
      </c>
      <c r="Y27" s="533">
        <v>60.25</v>
      </c>
      <c r="Z27" s="533">
        <v>60.2</v>
      </c>
      <c r="AA27" s="533">
        <v>60.14</v>
      </c>
      <c r="AB27" s="533">
        <v>60.09</v>
      </c>
      <c r="AC27" s="533">
        <v>60.03</v>
      </c>
      <c r="AD27" s="533">
        <v>59.98</v>
      </c>
      <c r="AE27" s="533">
        <v>59.92</v>
      </c>
      <c r="AF27" s="533">
        <v>59.87</v>
      </c>
      <c r="AG27" s="533">
        <v>59.82</v>
      </c>
      <c r="AH27" s="533">
        <v>59.76</v>
      </c>
      <c r="AI27" s="533">
        <v>59.71</v>
      </c>
      <c r="AJ27" s="533">
        <v>59.46</v>
      </c>
      <c r="AK27" s="533" t="s">
        <v>556</v>
      </c>
      <c r="AL27" s="533" t="s">
        <v>556</v>
      </c>
      <c r="AM27" s="533" t="s">
        <v>556</v>
      </c>
      <c r="AN27" s="533" t="s">
        <v>556</v>
      </c>
      <c r="AO27" s="534" t="s">
        <v>556</v>
      </c>
      <c r="AP27" s="534" t="s">
        <v>556</v>
      </c>
      <c r="AQ27" s="531"/>
      <c r="AR27" s="532">
        <v>38</v>
      </c>
      <c r="AS27" s="533">
        <v>60.79</v>
      </c>
      <c r="AT27" s="533">
        <v>60.74</v>
      </c>
      <c r="AU27" s="533">
        <v>60.68</v>
      </c>
      <c r="AV27" s="533">
        <v>60.62</v>
      </c>
      <c r="AW27" s="533">
        <v>60.57</v>
      </c>
      <c r="AX27" s="533">
        <v>60.51</v>
      </c>
      <c r="AY27" s="533">
        <v>60.46</v>
      </c>
      <c r="AZ27" s="533">
        <v>60.4</v>
      </c>
      <c r="BA27" s="533">
        <v>60.35</v>
      </c>
      <c r="BB27" s="533">
        <v>60.29</v>
      </c>
      <c r="BC27" s="533">
        <v>60.24</v>
      </c>
      <c r="BD27" s="533">
        <v>60.19</v>
      </c>
      <c r="BE27" s="533">
        <v>59.94</v>
      </c>
      <c r="BF27" s="533" t="s">
        <v>556</v>
      </c>
      <c r="BG27" s="533" t="s">
        <v>556</v>
      </c>
      <c r="BH27" s="533" t="s">
        <v>556</v>
      </c>
      <c r="BI27" s="533" t="s">
        <v>556</v>
      </c>
      <c r="BJ27" s="535" t="s">
        <v>556</v>
      </c>
      <c r="BK27" s="535" t="s">
        <v>556</v>
      </c>
    </row>
    <row r="28" spans="2:63" x14ac:dyDescent="0.25">
      <c r="B28" s="532">
        <v>39</v>
      </c>
      <c r="C28" s="533">
        <v>60.36</v>
      </c>
      <c r="D28" s="533">
        <v>60.31</v>
      </c>
      <c r="E28" s="533">
        <v>60.25</v>
      </c>
      <c r="F28" s="533">
        <v>60.19</v>
      </c>
      <c r="G28" s="533">
        <v>60.13</v>
      </c>
      <c r="H28" s="533">
        <v>60.07</v>
      </c>
      <c r="I28" s="533">
        <v>60.02</v>
      </c>
      <c r="J28" s="533">
        <v>59.96</v>
      </c>
      <c r="K28" s="533">
        <v>59.9</v>
      </c>
      <c r="L28" s="533">
        <v>59.85</v>
      </c>
      <c r="M28" s="533">
        <v>59.79</v>
      </c>
      <c r="N28" s="533">
        <v>59.74</v>
      </c>
      <c r="O28" s="533">
        <v>59.48</v>
      </c>
      <c r="P28" s="533">
        <v>59.24</v>
      </c>
      <c r="Q28" s="533" t="s">
        <v>556</v>
      </c>
      <c r="R28" s="533" t="s">
        <v>556</v>
      </c>
      <c r="S28" s="533" t="s">
        <v>556</v>
      </c>
      <c r="T28" s="534" t="s">
        <v>556</v>
      </c>
      <c r="U28" s="534" t="s">
        <v>556</v>
      </c>
      <c r="V28" s="531"/>
      <c r="W28" s="532">
        <v>39</v>
      </c>
      <c r="X28" s="533">
        <v>60.57</v>
      </c>
      <c r="Y28" s="533">
        <v>60.52</v>
      </c>
      <c r="Z28" s="533">
        <v>60.46</v>
      </c>
      <c r="AA28" s="533">
        <v>60.4</v>
      </c>
      <c r="AB28" s="533">
        <v>60.34</v>
      </c>
      <c r="AC28" s="533">
        <v>60.28</v>
      </c>
      <c r="AD28" s="533">
        <v>60.22</v>
      </c>
      <c r="AE28" s="533">
        <v>60.17</v>
      </c>
      <c r="AF28" s="533">
        <v>60.11</v>
      </c>
      <c r="AG28" s="533">
        <v>60.05</v>
      </c>
      <c r="AH28" s="533">
        <v>60</v>
      </c>
      <c r="AI28" s="533">
        <v>59.94</v>
      </c>
      <c r="AJ28" s="533">
        <v>59.68</v>
      </c>
      <c r="AK28" s="533">
        <v>59.44</v>
      </c>
      <c r="AL28" s="533" t="s">
        <v>556</v>
      </c>
      <c r="AM28" s="533" t="s">
        <v>556</v>
      </c>
      <c r="AN28" s="533" t="s">
        <v>556</v>
      </c>
      <c r="AO28" s="534" t="s">
        <v>556</v>
      </c>
      <c r="AP28" s="534" t="s">
        <v>556</v>
      </c>
      <c r="AQ28" s="531"/>
      <c r="AR28" s="532">
        <v>39</v>
      </c>
      <c r="AS28" s="533">
        <v>61.06</v>
      </c>
      <c r="AT28" s="533">
        <v>61.01</v>
      </c>
      <c r="AU28" s="533">
        <v>60.95</v>
      </c>
      <c r="AV28" s="533">
        <v>60.89</v>
      </c>
      <c r="AW28" s="533">
        <v>60.83</v>
      </c>
      <c r="AX28" s="533">
        <v>60.77</v>
      </c>
      <c r="AY28" s="533">
        <v>60.71</v>
      </c>
      <c r="AZ28" s="533">
        <v>60.65</v>
      </c>
      <c r="BA28" s="533">
        <v>60.59</v>
      </c>
      <c r="BB28" s="533">
        <v>60.54</v>
      </c>
      <c r="BC28" s="533">
        <v>60.48</v>
      </c>
      <c r="BD28" s="533">
        <v>60.43</v>
      </c>
      <c r="BE28" s="533">
        <v>60.16</v>
      </c>
      <c r="BF28" s="533">
        <v>59.92</v>
      </c>
      <c r="BG28" s="533" t="s">
        <v>556</v>
      </c>
      <c r="BH28" s="533" t="s">
        <v>556</v>
      </c>
      <c r="BI28" s="533" t="s">
        <v>556</v>
      </c>
      <c r="BJ28" s="535" t="s">
        <v>556</v>
      </c>
      <c r="BK28" s="535" t="s">
        <v>556</v>
      </c>
    </row>
    <row r="29" spans="2:63" x14ac:dyDescent="0.25">
      <c r="B29" s="532">
        <v>40</v>
      </c>
      <c r="C29" s="533">
        <v>60.64</v>
      </c>
      <c r="D29" s="533">
        <v>60.58</v>
      </c>
      <c r="E29" s="533">
        <v>60.52</v>
      </c>
      <c r="F29" s="533">
        <v>60.46</v>
      </c>
      <c r="G29" s="533">
        <v>60.4</v>
      </c>
      <c r="H29" s="533">
        <v>60.34</v>
      </c>
      <c r="I29" s="533">
        <v>60.28</v>
      </c>
      <c r="J29" s="533">
        <v>60.22</v>
      </c>
      <c r="K29" s="533">
        <v>60.16</v>
      </c>
      <c r="L29" s="533">
        <v>60.1</v>
      </c>
      <c r="M29" s="533">
        <v>60.04</v>
      </c>
      <c r="N29" s="533">
        <v>59.98</v>
      </c>
      <c r="O29" s="533">
        <v>59.71</v>
      </c>
      <c r="P29" s="533">
        <v>59.46</v>
      </c>
      <c r="Q29" s="533" t="s">
        <v>556</v>
      </c>
      <c r="R29" s="533" t="s">
        <v>556</v>
      </c>
      <c r="S29" s="533" t="s">
        <v>556</v>
      </c>
      <c r="T29" s="534" t="s">
        <v>556</v>
      </c>
      <c r="U29" s="534" t="s">
        <v>556</v>
      </c>
      <c r="V29" s="531"/>
      <c r="W29" s="532">
        <v>40</v>
      </c>
      <c r="X29" s="533">
        <v>60.86</v>
      </c>
      <c r="Y29" s="533">
        <v>60.79</v>
      </c>
      <c r="Z29" s="533">
        <v>60.73</v>
      </c>
      <c r="AA29" s="533">
        <v>60.67</v>
      </c>
      <c r="AB29" s="533">
        <v>60.61</v>
      </c>
      <c r="AC29" s="533">
        <v>60.55</v>
      </c>
      <c r="AD29" s="533">
        <v>60.49</v>
      </c>
      <c r="AE29" s="533">
        <v>60.43</v>
      </c>
      <c r="AF29" s="533">
        <v>60.37</v>
      </c>
      <c r="AG29" s="533">
        <v>60.31</v>
      </c>
      <c r="AH29" s="533">
        <v>60.25</v>
      </c>
      <c r="AI29" s="533">
        <v>60.19</v>
      </c>
      <c r="AJ29" s="533">
        <v>59.91</v>
      </c>
      <c r="AK29" s="533">
        <v>59.66</v>
      </c>
      <c r="AL29" s="533" t="s">
        <v>556</v>
      </c>
      <c r="AM29" s="533" t="s">
        <v>556</v>
      </c>
      <c r="AN29" s="533" t="s">
        <v>556</v>
      </c>
      <c r="AO29" s="534" t="s">
        <v>556</v>
      </c>
      <c r="AP29" s="534" t="s">
        <v>556</v>
      </c>
      <c r="AQ29" s="531"/>
      <c r="AR29" s="532">
        <v>40</v>
      </c>
      <c r="AS29" s="533">
        <v>61.35</v>
      </c>
      <c r="AT29" s="533">
        <v>61.29</v>
      </c>
      <c r="AU29" s="533">
        <v>61.23</v>
      </c>
      <c r="AV29" s="533">
        <v>61.16</v>
      </c>
      <c r="AW29" s="533">
        <v>61.1</v>
      </c>
      <c r="AX29" s="533">
        <v>61.04</v>
      </c>
      <c r="AY29" s="533">
        <v>60.98</v>
      </c>
      <c r="AZ29" s="533">
        <v>60.91</v>
      </c>
      <c r="BA29" s="533">
        <v>60.85</v>
      </c>
      <c r="BB29" s="533">
        <v>60.79</v>
      </c>
      <c r="BC29" s="533">
        <v>60.73</v>
      </c>
      <c r="BD29" s="533">
        <v>60.68</v>
      </c>
      <c r="BE29" s="533">
        <v>60.4</v>
      </c>
      <c r="BF29" s="533">
        <v>60.14</v>
      </c>
      <c r="BG29" s="533" t="s">
        <v>556</v>
      </c>
      <c r="BH29" s="533" t="s">
        <v>556</v>
      </c>
      <c r="BI29" s="533" t="s">
        <v>556</v>
      </c>
      <c r="BJ29" s="535" t="s">
        <v>556</v>
      </c>
      <c r="BK29" s="535" t="s">
        <v>556</v>
      </c>
    </row>
    <row r="30" spans="2:63" x14ac:dyDescent="0.25">
      <c r="B30" s="532">
        <v>41</v>
      </c>
      <c r="C30" s="533">
        <v>60.94</v>
      </c>
      <c r="D30" s="533">
        <v>60.87</v>
      </c>
      <c r="E30" s="533">
        <v>60.81</v>
      </c>
      <c r="F30" s="533">
        <v>60.74</v>
      </c>
      <c r="G30" s="533">
        <v>60.68</v>
      </c>
      <c r="H30" s="533">
        <v>60.61</v>
      </c>
      <c r="I30" s="533">
        <v>60.55</v>
      </c>
      <c r="J30" s="533">
        <v>60.49</v>
      </c>
      <c r="K30" s="533">
        <v>60.42</v>
      </c>
      <c r="L30" s="533">
        <v>60.36</v>
      </c>
      <c r="M30" s="533">
        <v>60.3</v>
      </c>
      <c r="N30" s="533">
        <v>60.24</v>
      </c>
      <c r="O30" s="533">
        <v>59.95</v>
      </c>
      <c r="P30" s="533">
        <v>59.69</v>
      </c>
      <c r="Q30" s="533" t="s">
        <v>556</v>
      </c>
      <c r="R30" s="533" t="s">
        <v>556</v>
      </c>
      <c r="S30" s="533" t="s">
        <v>556</v>
      </c>
      <c r="T30" s="534" t="s">
        <v>556</v>
      </c>
      <c r="U30" s="534" t="s">
        <v>556</v>
      </c>
      <c r="V30" s="531"/>
      <c r="W30" s="532">
        <v>41</v>
      </c>
      <c r="X30" s="533">
        <v>61.15</v>
      </c>
      <c r="Y30" s="533">
        <v>61.09</v>
      </c>
      <c r="Z30" s="533">
        <v>61.02</v>
      </c>
      <c r="AA30" s="533">
        <v>60.96</v>
      </c>
      <c r="AB30" s="533">
        <v>60.89</v>
      </c>
      <c r="AC30" s="533">
        <v>60.83</v>
      </c>
      <c r="AD30" s="533">
        <v>60.76</v>
      </c>
      <c r="AE30" s="533">
        <v>60.7</v>
      </c>
      <c r="AF30" s="533">
        <v>60.64</v>
      </c>
      <c r="AG30" s="533">
        <v>60.57</v>
      </c>
      <c r="AH30" s="533">
        <v>60.51</v>
      </c>
      <c r="AI30" s="533">
        <v>60.45</v>
      </c>
      <c r="AJ30" s="533">
        <v>60.16</v>
      </c>
      <c r="AK30" s="533">
        <v>59.89</v>
      </c>
      <c r="AL30" s="533" t="s">
        <v>556</v>
      </c>
      <c r="AM30" s="533" t="s">
        <v>556</v>
      </c>
      <c r="AN30" s="533" t="s">
        <v>556</v>
      </c>
      <c r="AO30" s="534" t="s">
        <v>556</v>
      </c>
      <c r="AP30" s="534" t="s">
        <v>556</v>
      </c>
      <c r="AQ30" s="531"/>
      <c r="AR30" s="532">
        <v>41</v>
      </c>
      <c r="AS30" s="533">
        <v>61.65</v>
      </c>
      <c r="AT30" s="533">
        <v>61.59</v>
      </c>
      <c r="AU30" s="533">
        <v>61.52</v>
      </c>
      <c r="AV30" s="533">
        <v>61.45</v>
      </c>
      <c r="AW30" s="533">
        <v>61.39</v>
      </c>
      <c r="AX30" s="533">
        <v>61.32</v>
      </c>
      <c r="AY30" s="533">
        <v>61.26</v>
      </c>
      <c r="AZ30" s="533">
        <v>61.19</v>
      </c>
      <c r="BA30" s="533">
        <v>61.13</v>
      </c>
      <c r="BB30" s="533">
        <v>61.06</v>
      </c>
      <c r="BC30" s="533">
        <v>61</v>
      </c>
      <c r="BD30" s="533">
        <v>60.94</v>
      </c>
      <c r="BE30" s="533">
        <v>60.64</v>
      </c>
      <c r="BF30" s="533">
        <v>60.37</v>
      </c>
      <c r="BG30" s="533" t="s">
        <v>556</v>
      </c>
      <c r="BH30" s="533" t="s">
        <v>556</v>
      </c>
      <c r="BI30" s="533" t="s">
        <v>556</v>
      </c>
      <c r="BJ30" s="535" t="s">
        <v>556</v>
      </c>
      <c r="BK30" s="535" t="s">
        <v>556</v>
      </c>
    </row>
    <row r="31" spans="2:63" x14ac:dyDescent="0.25">
      <c r="B31" s="532">
        <v>42</v>
      </c>
      <c r="C31" s="533">
        <v>61.25</v>
      </c>
      <c r="D31" s="533">
        <v>61.18</v>
      </c>
      <c r="E31" s="533">
        <v>61.11</v>
      </c>
      <c r="F31" s="533">
        <v>61.04</v>
      </c>
      <c r="G31" s="533">
        <v>60.98</v>
      </c>
      <c r="H31" s="533">
        <v>60.91</v>
      </c>
      <c r="I31" s="533">
        <v>60.84</v>
      </c>
      <c r="J31" s="533">
        <v>60.77</v>
      </c>
      <c r="K31" s="533">
        <v>60.71</v>
      </c>
      <c r="L31" s="533">
        <v>60.64</v>
      </c>
      <c r="M31" s="533">
        <v>60.58</v>
      </c>
      <c r="N31" s="533">
        <v>60.51</v>
      </c>
      <c r="O31" s="533">
        <v>60.21</v>
      </c>
      <c r="P31" s="533">
        <v>59.93</v>
      </c>
      <c r="Q31" s="533" t="s">
        <v>556</v>
      </c>
      <c r="R31" s="533" t="s">
        <v>556</v>
      </c>
      <c r="S31" s="533" t="s">
        <v>556</v>
      </c>
      <c r="T31" s="534" t="s">
        <v>556</v>
      </c>
      <c r="U31" s="534" t="s">
        <v>556</v>
      </c>
      <c r="V31" s="531"/>
      <c r="W31" s="532">
        <v>42</v>
      </c>
      <c r="X31" s="533">
        <v>61.47</v>
      </c>
      <c r="Y31" s="533">
        <v>61.4</v>
      </c>
      <c r="Z31" s="533">
        <v>61.33</v>
      </c>
      <c r="AA31" s="533">
        <v>61.26</v>
      </c>
      <c r="AB31" s="533">
        <v>61.19</v>
      </c>
      <c r="AC31" s="533">
        <v>61.12</v>
      </c>
      <c r="AD31" s="533">
        <v>61.05</v>
      </c>
      <c r="AE31" s="533">
        <v>60.99</v>
      </c>
      <c r="AF31" s="533">
        <v>60.92</v>
      </c>
      <c r="AG31" s="533">
        <v>60.85</v>
      </c>
      <c r="AH31" s="533">
        <v>60.79</v>
      </c>
      <c r="AI31" s="533">
        <v>60.72</v>
      </c>
      <c r="AJ31" s="533">
        <v>60.41</v>
      </c>
      <c r="AK31" s="533">
        <v>60.14</v>
      </c>
      <c r="AL31" s="533" t="s">
        <v>556</v>
      </c>
      <c r="AM31" s="533" t="s">
        <v>556</v>
      </c>
      <c r="AN31" s="533" t="s">
        <v>556</v>
      </c>
      <c r="AO31" s="534" t="s">
        <v>556</v>
      </c>
      <c r="AP31" s="534" t="s">
        <v>556</v>
      </c>
      <c r="AQ31" s="531"/>
      <c r="AR31" s="532">
        <v>42</v>
      </c>
      <c r="AS31" s="533">
        <v>61.97</v>
      </c>
      <c r="AT31" s="533">
        <v>61.9</v>
      </c>
      <c r="AU31" s="533">
        <v>61.83</v>
      </c>
      <c r="AV31" s="533">
        <v>61.76</v>
      </c>
      <c r="AW31" s="533">
        <v>61.69</v>
      </c>
      <c r="AX31" s="533">
        <v>61.62</v>
      </c>
      <c r="AY31" s="533">
        <v>61.55</v>
      </c>
      <c r="AZ31" s="533">
        <v>61.48</v>
      </c>
      <c r="BA31" s="533">
        <v>61.41</v>
      </c>
      <c r="BB31" s="533">
        <v>61.35</v>
      </c>
      <c r="BC31" s="533">
        <v>61.28</v>
      </c>
      <c r="BD31" s="533">
        <v>61.22</v>
      </c>
      <c r="BE31" s="533">
        <v>60.9</v>
      </c>
      <c r="BF31" s="533">
        <v>60.62</v>
      </c>
      <c r="BG31" s="533" t="s">
        <v>556</v>
      </c>
      <c r="BH31" s="533" t="s">
        <v>556</v>
      </c>
      <c r="BI31" s="533" t="s">
        <v>556</v>
      </c>
      <c r="BJ31" s="535" t="s">
        <v>556</v>
      </c>
      <c r="BK31" s="535" t="s">
        <v>556</v>
      </c>
    </row>
    <row r="32" spans="2:63" x14ac:dyDescent="0.25">
      <c r="B32" s="532">
        <v>43</v>
      </c>
      <c r="C32" s="533">
        <v>61.58</v>
      </c>
      <c r="D32" s="533">
        <v>61.51</v>
      </c>
      <c r="E32" s="533">
        <v>61.43</v>
      </c>
      <c r="F32" s="533">
        <v>61.36</v>
      </c>
      <c r="G32" s="533">
        <v>61.29</v>
      </c>
      <c r="H32" s="533">
        <v>61.22</v>
      </c>
      <c r="I32" s="533">
        <v>61.14</v>
      </c>
      <c r="J32" s="533">
        <v>61.07</v>
      </c>
      <c r="K32" s="533">
        <v>61</v>
      </c>
      <c r="L32" s="533">
        <v>60.93</v>
      </c>
      <c r="M32" s="533">
        <v>60.86</v>
      </c>
      <c r="N32" s="533">
        <v>60.8</v>
      </c>
      <c r="O32" s="533">
        <v>60.47</v>
      </c>
      <c r="P32" s="533">
        <v>60.18</v>
      </c>
      <c r="Q32" s="533" t="s">
        <v>556</v>
      </c>
      <c r="R32" s="533" t="s">
        <v>556</v>
      </c>
      <c r="S32" s="533" t="s">
        <v>556</v>
      </c>
      <c r="T32" s="534" t="s">
        <v>556</v>
      </c>
      <c r="U32" s="534" t="s">
        <v>556</v>
      </c>
      <c r="V32" s="531"/>
      <c r="W32" s="532">
        <v>43</v>
      </c>
      <c r="X32" s="533">
        <v>61.8</v>
      </c>
      <c r="Y32" s="533">
        <v>61.72</v>
      </c>
      <c r="Z32" s="533">
        <v>61.65</v>
      </c>
      <c r="AA32" s="533">
        <v>61.58</v>
      </c>
      <c r="AB32" s="533">
        <v>61.5</v>
      </c>
      <c r="AC32" s="533">
        <v>61.43</v>
      </c>
      <c r="AD32" s="533">
        <v>61.36</v>
      </c>
      <c r="AE32" s="533">
        <v>61.29</v>
      </c>
      <c r="AF32" s="533">
        <v>61.22</v>
      </c>
      <c r="AG32" s="533">
        <v>61.15</v>
      </c>
      <c r="AH32" s="533">
        <v>61.08</v>
      </c>
      <c r="AI32" s="533">
        <v>61.01</v>
      </c>
      <c r="AJ32" s="533">
        <v>60.68</v>
      </c>
      <c r="AK32" s="533">
        <v>60.39</v>
      </c>
      <c r="AL32" s="533" t="s">
        <v>556</v>
      </c>
      <c r="AM32" s="533" t="s">
        <v>556</v>
      </c>
      <c r="AN32" s="533" t="s">
        <v>556</v>
      </c>
      <c r="AO32" s="534" t="s">
        <v>556</v>
      </c>
      <c r="AP32" s="534" t="s">
        <v>556</v>
      </c>
      <c r="AQ32" s="531"/>
      <c r="AR32" s="532">
        <v>43</v>
      </c>
      <c r="AS32" s="533">
        <v>62.31</v>
      </c>
      <c r="AT32" s="533">
        <v>62.23</v>
      </c>
      <c r="AU32" s="533">
        <v>62.16</v>
      </c>
      <c r="AV32" s="533">
        <v>62.08</v>
      </c>
      <c r="AW32" s="533">
        <v>62.01</v>
      </c>
      <c r="AX32" s="533">
        <v>61.94</v>
      </c>
      <c r="AY32" s="533">
        <v>61.86</v>
      </c>
      <c r="AZ32" s="533">
        <v>61.79</v>
      </c>
      <c r="BA32" s="533">
        <v>61.72</v>
      </c>
      <c r="BB32" s="533">
        <v>61.65</v>
      </c>
      <c r="BC32" s="533">
        <v>61.58</v>
      </c>
      <c r="BD32" s="533">
        <v>61.51</v>
      </c>
      <c r="BE32" s="533">
        <v>61.18</v>
      </c>
      <c r="BF32" s="533">
        <v>60.88</v>
      </c>
      <c r="BG32" s="533" t="s">
        <v>556</v>
      </c>
      <c r="BH32" s="533" t="s">
        <v>556</v>
      </c>
      <c r="BI32" s="533" t="s">
        <v>556</v>
      </c>
      <c r="BJ32" s="535" t="s">
        <v>556</v>
      </c>
      <c r="BK32" s="535" t="s">
        <v>556</v>
      </c>
    </row>
    <row r="33" spans="2:63" x14ac:dyDescent="0.25">
      <c r="B33" s="532">
        <v>44</v>
      </c>
      <c r="C33" s="533">
        <v>61.93</v>
      </c>
      <c r="D33" s="533">
        <v>61.85</v>
      </c>
      <c r="E33" s="533">
        <v>61.77</v>
      </c>
      <c r="F33" s="533">
        <v>61.69</v>
      </c>
      <c r="G33" s="533">
        <v>61.62</v>
      </c>
      <c r="H33" s="533">
        <v>61.54</v>
      </c>
      <c r="I33" s="533">
        <v>61.46</v>
      </c>
      <c r="J33" s="533">
        <v>61.39</v>
      </c>
      <c r="K33" s="533">
        <v>61.32</v>
      </c>
      <c r="L33" s="533">
        <v>61.24</v>
      </c>
      <c r="M33" s="533">
        <v>61.17</v>
      </c>
      <c r="N33" s="533">
        <v>61.1</v>
      </c>
      <c r="O33" s="533">
        <v>60.75</v>
      </c>
      <c r="P33" s="533">
        <v>60.45</v>
      </c>
      <c r="Q33" s="533">
        <v>60.17</v>
      </c>
      <c r="R33" s="533" t="s">
        <v>556</v>
      </c>
      <c r="S33" s="533" t="s">
        <v>556</v>
      </c>
      <c r="T33" s="534" t="s">
        <v>556</v>
      </c>
      <c r="U33" s="534" t="s">
        <v>556</v>
      </c>
      <c r="V33" s="531"/>
      <c r="W33" s="532">
        <v>44</v>
      </c>
      <c r="X33" s="533">
        <v>62.15</v>
      </c>
      <c r="Y33" s="533">
        <v>62.07</v>
      </c>
      <c r="Z33" s="533">
        <v>61.99</v>
      </c>
      <c r="AA33" s="533">
        <v>61.91</v>
      </c>
      <c r="AB33" s="533">
        <v>61.84</v>
      </c>
      <c r="AC33" s="533">
        <v>61.76</v>
      </c>
      <c r="AD33" s="533">
        <v>61.68</v>
      </c>
      <c r="AE33" s="533">
        <v>61.61</v>
      </c>
      <c r="AF33" s="533">
        <v>61.53</v>
      </c>
      <c r="AG33" s="533">
        <v>61.46</v>
      </c>
      <c r="AH33" s="533">
        <v>61.38</v>
      </c>
      <c r="AI33" s="533">
        <v>61.31</v>
      </c>
      <c r="AJ33" s="533">
        <v>60.97</v>
      </c>
      <c r="AK33" s="533">
        <v>60.66</v>
      </c>
      <c r="AL33" s="533">
        <v>60.38</v>
      </c>
      <c r="AM33" s="533" t="s">
        <v>556</v>
      </c>
      <c r="AN33" s="533" t="s">
        <v>556</v>
      </c>
      <c r="AO33" s="534" t="s">
        <v>556</v>
      </c>
      <c r="AP33" s="534" t="s">
        <v>556</v>
      </c>
      <c r="AQ33" s="531"/>
      <c r="AR33" s="532">
        <v>44</v>
      </c>
      <c r="AS33" s="533">
        <v>62.66</v>
      </c>
      <c r="AT33" s="533">
        <v>62.58</v>
      </c>
      <c r="AU33" s="533">
        <v>62.5</v>
      </c>
      <c r="AV33" s="533">
        <v>62.42</v>
      </c>
      <c r="AW33" s="533">
        <v>62.35</v>
      </c>
      <c r="AX33" s="533">
        <v>62.27</v>
      </c>
      <c r="AY33" s="533">
        <v>62.19</v>
      </c>
      <c r="AZ33" s="533">
        <v>62.11</v>
      </c>
      <c r="BA33" s="533">
        <v>62.04</v>
      </c>
      <c r="BB33" s="533">
        <v>61.96</v>
      </c>
      <c r="BC33" s="533">
        <v>61.89</v>
      </c>
      <c r="BD33" s="533">
        <v>61.81</v>
      </c>
      <c r="BE33" s="533">
        <v>61.46</v>
      </c>
      <c r="BF33" s="533">
        <v>61.15</v>
      </c>
      <c r="BG33" s="533">
        <v>60.87</v>
      </c>
      <c r="BH33" s="533" t="s">
        <v>556</v>
      </c>
      <c r="BI33" s="533" t="s">
        <v>556</v>
      </c>
      <c r="BJ33" s="535" t="s">
        <v>556</v>
      </c>
      <c r="BK33" s="535" t="s">
        <v>556</v>
      </c>
    </row>
    <row r="34" spans="2:63" x14ac:dyDescent="0.25">
      <c r="B34" s="532">
        <v>45</v>
      </c>
      <c r="C34" s="533">
        <v>62.29</v>
      </c>
      <c r="D34" s="533">
        <v>62.21</v>
      </c>
      <c r="E34" s="533">
        <v>62.13</v>
      </c>
      <c r="F34" s="533">
        <v>62.05</v>
      </c>
      <c r="G34" s="533">
        <v>61.97</v>
      </c>
      <c r="H34" s="533">
        <v>61.88</v>
      </c>
      <c r="I34" s="533">
        <v>61.8</v>
      </c>
      <c r="J34" s="533">
        <v>61.72</v>
      </c>
      <c r="K34" s="533">
        <v>61.65</v>
      </c>
      <c r="L34" s="533">
        <v>61.57</v>
      </c>
      <c r="M34" s="533">
        <v>61.49</v>
      </c>
      <c r="N34" s="533">
        <v>61.41</v>
      </c>
      <c r="O34" s="533">
        <v>61.05</v>
      </c>
      <c r="P34" s="533">
        <v>60.72</v>
      </c>
      <c r="Q34" s="533">
        <v>60.44</v>
      </c>
      <c r="R34" s="533" t="s">
        <v>556</v>
      </c>
      <c r="S34" s="533" t="s">
        <v>556</v>
      </c>
      <c r="T34" s="534" t="s">
        <v>556</v>
      </c>
      <c r="U34" s="534" t="s">
        <v>556</v>
      </c>
      <c r="V34" s="531"/>
      <c r="W34" s="532">
        <v>45</v>
      </c>
      <c r="X34" s="533">
        <v>62.52</v>
      </c>
      <c r="Y34" s="533">
        <v>62.43</v>
      </c>
      <c r="Z34" s="533">
        <v>62.35</v>
      </c>
      <c r="AA34" s="533">
        <v>62.27</v>
      </c>
      <c r="AB34" s="533">
        <v>62.19</v>
      </c>
      <c r="AC34" s="533">
        <v>62.1</v>
      </c>
      <c r="AD34" s="533">
        <v>62.02</v>
      </c>
      <c r="AE34" s="533">
        <v>61.94</v>
      </c>
      <c r="AF34" s="533">
        <v>61.86</v>
      </c>
      <c r="AG34" s="533">
        <v>61.78</v>
      </c>
      <c r="AH34" s="533">
        <v>61.71</v>
      </c>
      <c r="AI34" s="533">
        <v>61.63</v>
      </c>
      <c r="AJ34" s="533">
        <v>61.27</v>
      </c>
      <c r="AK34" s="533">
        <v>60.94</v>
      </c>
      <c r="AL34" s="533">
        <v>60.65</v>
      </c>
      <c r="AM34" s="533" t="s">
        <v>556</v>
      </c>
      <c r="AN34" s="533" t="s">
        <v>556</v>
      </c>
      <c r="AO34" s="534" t="s">
        <v>556</v>
      </c>
      <c r="AP34" s="534" t="s">
        <v>556</v>
      </c>
      <c r="AQ34" s="531"/>
      <c r="AR34" s="532">
        <v>45</v>
      </c>
      <c r="AS34" s="533">
        <v>63.04</v>
      </c>
      <c r="AT34" s="533">
        <v>62.95</v>
      </c>
      <c r="AU34" s="533">
        <v>62.87</v>
      </c>
      <c r="AV34" s="533">
        <v>62.78</v>
      </c>
      <c r="AW34" s="533">
        <v>62.7</v>
      </c>
      <c r="AX34" s="533">
        <v>62.62</v>
      </c>
      <c r="AY34" s="533">
        <v>62.54</v>
      </c>
      <c r="AZ34" s="533">
        <v>62.45</v>
      </c>
      <c r="BA34" s="533">
        <v>62.37</v>
      </c>
      <c r="BB34" s="533">
        <v>62.29</v>
      </c>
      <c r="BC34" s="533">
        <v>62.22</v>
      </c>
      <c r="BD34" s="533">
        <v>62.14</v>
      </c>
      <c r="BE34" s="533">
        <v>61.77</v>
      </c>
      <c r="BF34" s="533">
        <v>61.43</v>
      </c>
      <c r="BG34" s="533">
        <v>61.14</v>
      </c>
      <c r="BH34" s="533" t="s">
        <v>556</v>
      </c>
      <c r="BI34" s="533" t="s">
        <v>556</v>
      </c>
      <c r="BJ34" s="535" t="s">
        <v>556</v>
      </c>
      <c r="BK34" s="535" t="s">
        <v>556</v>
      </c>
    </row>
    <row r="35" spans="2:63" x14ac:dyDescent="0.25">
      <c r="B35" s="532">
        <v>46</v>
      </c>
      <c r="C35" s="533">
        <v>62.68</v>
      </c>
      <c r="D35" s="533">
        <v>62.59</v>
      </c>
      <c r="E35" s="533">
        <v>62.51</v>
      </c>
      <c r="F35" s="533">
        <v>62.42</v>
      </c>
      <c r="G35" s="533">
        <v>62.33</v>
      </c>
      <c r="H35" s="533">
        <v>62.25</v>
      </c>
      <c r="I35" s="533">
        <v>62.16</v>
      </c>
      <c r="J35" s="533">
        <v>62.08</v>
      </c>
      <c r="K35" s="533">
        <v>61.99</v>
      </c>
      <c r="L35" s="533">
        <v>61.91</v>
      </c>
      <c r="M35" s="533">
        <v>61.83</v>
      </c>
      <c r="N35" s="533">
        <v>61.75</v>
      </c>
      <c r="O35" s="533">
        <v>61.37</v>
      </c>
      <c r="P35" s="533">
        <v>61.02</v>
      </c>
      <c r="Q35" s="533">
        <v>60.71</v>
      </c>
      <c r="R35" s="533" t="s">
        <v>556</v>
      </c>
      <c r="S35" s="533" t="s">
        <v>556</v>
      </c>
      <c r="T35" s="534" t="s">
        <v>556</v>
      </c>
      <c r="U35" s="534" t="s">
        <v>556</v>
      </c>
      <c r="V35" s="531"/>
      <c r="W35" s="532">
        <v>46</v>
      </c>
      <c r="X35" s="533">
        <v>62.91</v>
      </c>
      <c r="Y35" s="533">
        <v>62.82</v>
      </c>
      <c r="Z35" s="533">
        <v>62.73</v>
      </c>
      <c r="AA35" s="533">
        <v>62.64</v>
      </c>
      <c r="AB35" s="533">
        <v>62.56</v>
      </c>
      <c r="AC35" s="533">
        <v>62.47</v>
      </c>
      <c r="AD35" s="533">
        <v>62.38</v>
      </c>
      <c r="AE35" s="533">
        <v>62.3</v>
      </c>
      <c r="AF35" s="533">
        <v>62.21</v>
      </c>
      <c r="AG35" s="533">
        <v>62.13</v>
      </c>
      <c r="AH35" s="533">
        <v>62.05</v>
      </c>
      <c r="AI35" s="533">
        <v>61.97</v>
      </c>
      <c r="AJ35" s="533">
        <v>61.58</v>
      </c>
      <c r="AK35" s="533">
        <v>61.23</v>
      </c>
      <c r="AL35" s="533">
        <v>60.93</v>
      </c>
      <c r="AM35" s="533" t="s">
        <v>556</v>
      </c>
      <c r="AN35" s="533" t="s">
        <v>556</v>
      </c>
      <c r="AO35" s="534" t="s">
        <v>556</v>
      </c>
      <c r="AP35" s="534" t="s">
        <v>556</v>
      </c>
      <c r="AQ35" s="531"/>
      <c r="AR35" s="532">
        <v>46</v>
      </c>
      <c r="AS35" s="533">
        <v>63.43</v>
      </c>
      <c r="AT35" s="533">
        <v>63.34</v>
      </c>
      <c r="AU35" s="533">
        <v>63.26</v>
      </c>
      <c r="AV35" s="533">
        <v>63.17</v>
      </c>
      <c r="AW35" s="533">
        <v>63.08</v>
      </c>
      <c r="AX35" s="533">
        <v>62.99</v>
      </c>
      <c r="AY35" s="533">
        <v>62.9</v>
      </c>
      <c r="AZ35" s="533">
        <v>62.82</v>
      </c>
      <c r="BA35" s="533">
        <v>62.73</v>
      </c>
      <c r="BB35" s="533">
        <v>62.65</v>
      </c>
      <c r="BC35" s="533">
        <v>62.56</v>
      </c>
      <c r="BD35" s="533">
        <v>62.48</v>
      </c>
      <c r="BE35" s="533">
        <v>62.09</v>
      </c>
      <c r="BF35" s="533">
        <v>61.73</v>
      </c>
      <c r="BG35" s="533">
        <v>61.42</v>
      </c>
      <c r="BH35" s="533" t="s">
        <v>556</v>
      </c>
      <c r="BI35" s="533" t="s">
        <v>556</v>
      </c>
      <c r="BJ35" s="535" t="s">
        <v>556</v>
      </c>
      <c r="BK35" s="535" t="s">
        <v>556</v>
      </c>
    </row>
    <row r="36" spans="2:63" x14ac:dyDescent="0.25">
      <c r="B36" s="532">
        <v>47</v>
      </c>
      <c r="C36" s="533">
        <v>63.09</v>
      </c>
      <c r="D36" s="533">
        <v>63</v>
      </c>
      <c r="E36" s="533">
        <v>62.91</v>
      </c>
      <c r="F36" s="533">
        <v>62.81</v>
      </c>
      <c r="G36" s="533">
        <v>62.72</v>
      </c>
      <c r="H36" s="533">
        <v>62.63</v>
      </c>
      <c r="I36" s="533">
        <v>62.54</v>
      </c>
      <c r="J36" s="533">
        <v>62.45</v>
      </c>
      <c r="K36" s="533">
        <v>62.36</v>
      </c>
      <c r="L36" s="533">
        <v>62.27</v>
      </c>
      <c r="M36" s="533">
        <v>62.19</v>
      </c>
      <c r="N36" s="533">
        <v>62.1</v>
      </c>
      <c r="O36" s="533">
        <v>61.7</v>
      </c>
      <c r="P36" s="533">
        <v>61.33</v>
      </c>
      <c r="Q36" s="533">
        <v>61.01</v>
      </c>
      <c r="R36" s="533" t="s">
        <v>556</v>
      </c>
      <c r="S36" s="533" t="s">
        <v>556</v>
      </c>
      <c r="T36" s="534" t="s">
        <v>556</v>
      </c>
      <c r="U36" s="534" t="s">
        <v>556</v>
      </c>
      <c r="V36" s="531"/>
      <c r="W36" s="532">
        <v>47</v>
      </c>
      <c r="X36" s="533">
        <v>63.32</v>
      </c>
      <c r="Y36" s="533">
        <v>63.23</v>
      </c>
      <c r="Z36" s="533">
        <v>63.13</v>
      </c>
      <c r="AA36" s="533">
        <v>63.04</v>
      </c>
      <c r="AB36" s="533">
        <v>62.95</v>
      </c>
      <c r="AC36" s="533">
        <v>62.86</v>
      </c>
      <c r="AD36" s="533">
        <v>62.76</v>
      </c>
      <c r="AE36" s="533">
        <v>62.67</v>
      </c>
      <c r="AF36" s="533">
        <v>62.58</v>
      </c>
      <c r="AG36" s="533">
        <v>62.5</v>
      </c>
      <c r="AH36" s="533">
        <v>62.41</v>
      </c>
      <c r="AI36" s="533">
        <v>62.32</v>
      </c>
      <c r="AJ36" s="533">
        <v>61.91</v>
      </c>
      <c r="AK36" s="533">
        <v>61.55</v>
      </c>
      <c r="AL36" s="533">
        <v>61.22</v>
      </c>
      <c r="AM36" s="533" t="s">
        <v>556</v>
      </c>
      <c r="AN36" s="533" t="s">
        <v>556</v>
      </c>
      <c r="AO36" s="534" t="s">
        <v>556</v>
      </c>
      <c r="AP36" s="534" t="s">
        <v>556</v>
      </c>
      <c r="AQ36" s="531"/>
      <c r="AR36" s="532">
        <v>47</v>
      </c>
      <c r="AS36" s="533">
        <v>63.85</v>
      </c>
      <c r="AT36" s="533">
        <v>63.76</v>
      </c>
      <c r="AU36" s="533">
        <v>63.66</v>
      </c>
      <c r="AV36" s="533">
        <v>63.57</v>
      </c>
      <c r="AW36" s="533">
        <v>63.48</v>
      </c>
      <c r="AX36" s="533">
        <v>63.38</v>
      </c>
      <c r="AY36" s="533">
        <v>63.29</v>
      </c>
      <c r="AZ36" s="533">
        <v>63.2</v>
      </c>
      <c r="BA36" s="533">
        <v>63.11</v>
      </c>
      <c r="BB36" s="533">
        <v>63.02</v>
      </c>
      <c r="BC36" s="533">
        <v>62.93</v>
      </c>
      <c r="BD36" s="533">
        <v>62.84</v>
      </c>
      <c r="BE36" s="533">
        <v>62.43</v>
      </c>
      <c r="BF36" s="533">
        <v>62.05</v>
      </c>
      <c r="BG36" s="533">
        <v>61.72</v>
      </c>
      <c r="BH36" s="533" t="s">
        <v>556</v>
      </c>
      <c r="BI36" s="533" t="s">
        <v>556</v>
      </c>
      <c r="BJ36" s="535" t="s">
        <v>556</v>
      </c>
      <c r="BK36" s="535" t="s">
        <v>556</v>
      </c>
    </row>
    <row r="37" spans="2:63" x14ac:dyDescent="0.25">
      <c r="B37" s="532">
        <v>48</v>
      </c>
      <c r="C37" s="533">
        <v>63.53</v>
      </c>
      <c r="D37" s="533">
        <v>63.43</v>
      </c>
      <c r="E37" s="533">
        <v>63.33</v>
      </c>
      <c r="F37" s="533">
        <v>63.23</v>
      </c>
      <c r="G37" s="533">
        <v>63.13</v>
      </c>
      <c r="H37" s="533">
        <v>63.04</v>
      </c>
      <c r="I37" s="533">
        <v>62.94</v>
      </c>
      <c r="J37" s="533">
        <v>62.84</v>
      </c>
      <c r="K37" s="533">
        <v>62.75</v>
      </c>
      <c r="L37" s="533">
        <v>62.66</v>
      </c>
      <c r="M37" s="533">
        <v>62.57</v>
      </c>
      <c r="N37" s="533">
        <v>62.47</v>
      </c>
      <c r="O37" s="533">
        <v>62.04</v>
      </c>
      <c r="P37" s="533">
        <v>61.66</v>
      </c>
      <c r="Q37" s="533">
        <v>61.32</v>
      </c>
      <c r="R37" s="533" t="s">
        <v>556</v>
      </c>
      <c r="S37" s="533" t="s">
        <v>556</v>
      </c>
      <c r="T37" s="534" t="s">
        <v>556</v>
      </c>
      <c r="U37" s="534" t="s">
        <v>556</v>
      </c>
      <c r="V37" s="531"/>
      <c r="W37" s="532">
        <v>48</v>
      </c>
      <c r="X37" s="533">
        <v>63.76</v>
      </c>
      <c r="Y37" s="533">
        <v>63.66</v>
      </c>
      <c r="Z37" s="533">
        <v>63.56</v>
      </c>
      <c r="AA37" s="533">
        <v>63.46</v>
      </c>
      <c r="AB37" s="533">
        <v>63.36</v>
      </c>
      <c r="AC37" s="533">
        <v>63.26</v>
      </c>
      <c r="AD37" s="533">
        <v>63.17</v>
      </c>
      <c r="AE37" s="533">
        <v>63.07</v>
      </c>
      <c r="AF37" s="533">
        <v>62.98</v>
      </c>
      <c r="AG37" s="533">
        <v>62.88</v>
      </c>
      <c r="AH37" s="533">
        <v>62.79</v>
      </c>
      <c r="AI37" s="533">
        <v>62.7</v>
      </c>
      <c r="AJ37" s="533">
        <v>62.26</v>
      </c>
      <c r="AK37" s="533">
        <v>61.87</v>
      </c>
      <c r="AL37" s="533">
        <v>61.53</v>
      </c>
      <c r="AM37" s="533" t="s">
        <v>556</v>
      </c>
      <c r="AN37" s="533" t="s">
        <v>556</v>
      </c>
      <c r="AO37" s="534" t="s">
        <v>556</v>
      </c>
      <c r="AP37" s="534" t="s">
        <v>556</v>
      </c>
      <c r="AQ37" s="531"/>
      <c r="AR37" s="532">
        <v>48</v>
      </c>
      <c r="AS37" s="533">
        <v>64.3</v>
      </c>
      <c r="AT37" s="533">
        <v>64.2</v>
      </c>
      <c r="AU37" s="533">
        <v>64.099999999999994</v>
      </c>
      <c r="AV37" s="533">
        <v>64</v>
      </c>
      <c r="AW37" s="533">
        <v>63.9</v>
      </c>
      <c r="AX37" s="533">
        <v>63.8</v>
      </c>
      <c r="AY37" s="533">
        <v>63.7</v>
      </c>
      <c r="AZ37" s="533">
        <v>63.6</v>
      </c>
      <c r="BA37" s="533">
        <v>63.5</v>
      </c>
      <c r="BB37" s="533">
        <v>63.41</v>
      </c>
      <c r="BC37" s="533">
        <v>63.31</v>
      </c>
      <c r="BD37" s="533">
        <v>63.22</v>
      </c>
      <c r="BE37" s="533">
        <v>62.78</v>
      </c>
      <c r="BF37" s="533">
        <v>62.39</v>
      </c>
      <c r="BG37" s="533">
        <v>62.04</v>
      </c>
      <c r="BH37" s="533" t="s">
        <v>556</v>
      </c>
      <c r="BI37" s="533" t="s">
        <v>556</v>
      </c>
      <c r="BJ37" s="535" t="s">
        <v>556</v>
      </c>
      <c r="BK37" s="535" t="s">
        <v>556</v>
      </c>
    </row>
    <row r="38" spans="2:63" x14ac:dyDescent="0.25">
      <c r="B38" s="532">
        <v>49</v>
      </c>
      <c r="C38" s="533">
        <v>63.99</v>
      </c>
      <c r="D38" s="533">
        <v>63.88</v>
      </c>
      <c r="E38" s="533">
        <v>63.78</v>
      </c>
      <c r="F38" s="533">
        <v>63.67</v>
      </c>
      <c r="G38" s="533">
        <v>63.57</v>
      </c>
      <c r="H38" s="533">
        <v>63.46</v>
      </c>
      <c r="I38" s="533">
        <v>63.36</v>
      </c>
      <c r="J38" s="533">
        <v>63.26</v>
      </c>
      <c r="K38" s="533">
        <v>63.16</v>
      </c>
      <c r="L38" s="533">
        <v>63.06</v>
      </c>
      <c r="M38" s="533">
        <v>62.96</v>
      </c>
      <c r="N38" s="533">
        <v>62.87</v>
      </c>
      <c r="O38" s="533">
        <v>62.41</v>
      </c>
      <c r="P38" s="533">
        <v>62</v>
      </c>
      <c r="Q38" s="533">
        <v>61.64</v>
      </c>
      <c r="R38" s="533">
        <v>61.33</v>
      </c>
      <c r="S38" s="533" t="s">
        <v>556</v>
      </c>
      <c r="T38" s="534" t="s">
        <v>556</v>
      </c>
      <c r="U38" s="534" t="s">
        <v>556</v>
      </c>
      <c r="V38" s="531"/>
      <c r="W38" s="532">
        <v>49</v>
      </c>
      <c r="X38" s="533">
        <v>64.22</v>
      </c>
      <c r="Y38" s="533">
        <v>64.12</v>
      </c>
      <c r="Z38" s="533">
        <v>64.010000000000005</v>
      </c>
      <c r="AA38" s="533">
        <v>63.9</v>
      </c>
      <c r="AB38" s="533">
        <v>63.8</v>
      </c>
      <c r="AC38" s="533">
        <v>63.69</v>
      </c>
      <c r="AD38" s="533">
        <v>63.59</v>
      </c>
      <c r="AE38" s="533">
        <v>63.49</v>
      </c>
      <c r="AF38" s="533">
        <v>63.39</v>
      </c>
      <c r="AG38" s="533">
        <v>63.29</v>
      </c>
      <c r="AH38" s="533">
        <v>63.19</v>
      </c>
      <c r="AI38" s="533">
        <v>63.09</v>
      </c>
      <c r="AJ38" s="533">
        <v>62.63</v>
      </c>
      <c r="AK38" s="533">
        <v>62.22</v>
      </c>
      <c r="AL38" s="533">
        <v>61.86</v>
      </c>
      <c r="AM38" s="533">
        <v>61.54</v>
      </c>
      <c r="AN38" s="533" t="s">
        <v>556</v>
      </c>
      <c r="AO38" s="534" t="s">
        <v>556</v>
      </c>
      <c r="AP38" s="534" t="s">
        <v>556</v>
      </c>
      <c r="AQ38" s="531"/>
      <c r="AR38" s="532">
        <v>49</v>
      </c>
      <c r="AS38" s="533">
        <v>64.77</v>
      </c>
      <c r="AT38" s="533">
        <v>64.66</v>
      </c>
      <c r="AU38" s="533">
        <v>64.55</v>
      </c>
      <c r="AV38" s="533">
        <v>64.45</v>
      </c>
      <c r="AW38" s="533">
        <v>64.34</v>
      </c>
      <c r="AX38" s="533">
        <v>64.23</v>
      </c>
      <c r="AY38" s="533">
        <v>64.13</v>
      </c>
      <c r="AZ38" s="533">
        <v>64.03</v>
      </c>
      <c r="BA38" s="533">
        <v>63.92</v>
      </c>
      <c r="BB38" s="533">
        <v>63.82</v>
      </c>
      <c r="BC38" s="533">
        <v>63.72</v>
      </c>
      <c r="BD38" s="533">
        <v>63.62</v>
      </c>
      <c r="BE38" s="533">
        <v>63.16</v>
      </c>
      <c r="BF38" s="533">
        <v>62.74</v>
      </c>
      <c r="BG38" s="533">
        <v>62.37</v>
      </c>
      <c r="BH38" s="533">
        <v>62.05</v>
      </c>
      <c r="BI38" s="533" t="s">
        <v>556</v>
      </c>
      <c r="BJ38" s="535" t="s">
        <v>556</v>
      </c>
      <c r="BK38" s="535" t="s">
        <v>556</v>
      </c>
    </row>
    <row r="39" spans="2:63" x14ac:dyDescent="0.25">
      <c r="B39" s="532">
        <v>50</v>
      </c>
      <c r="C39" s="533">
        <v>64.47</v>
      </c>
      <c r="D39" s="533">
        <v>64.36</v>
      </c>
      <c r="E39" s="533">
        <v>64.25</v>
      </c>
      <c r="F39" s="533">
        <v>64.14</v>
      </c>
      <c r="G39" s="533">
        <v>64.03</v>
      </c>
      <c r="H39" s="533">
        <v>63.92</v>
      </c>
      <c r="I39" s="533">
        <v>63.81</v>
      </c>
      <c r="J39" s="533">
        <v>63.7</v>
      </c>
      <c r="K39" s="533">
        <v>63.59</v>
      </c>
      <c r="L39" s="533">
        <v>63.49</v>
      </c>
      <c r="M39" s="533">
        <v>63.38</v>
      </c>
      <c r="N39" s="533">
        <v>63.28</v>
      </c>
      <c r="O39" s="533">
        <v>62.8</v>
      </c>
      <c r="P39" s="533">
        <v>62.36</v>
      </c>
      <c r="Q39" s="533">
        <v>61.98</v>
      </c>
      <c r="R39" s="533">
        <v>61.65</v>
      </c>
      <c r="S39" s="533" t="s">
        <v>556</v>
      </c>
      <c r="T39" s="534" t="s">
        <v>556</v>
      </c>
      <c r="U39" s="534" t="s">
        <v>556</v>
      </c>
      <c r="V39" s="531"/>
      <c r="W39" s="532">
        <v>50</v>
      </c>
      <c r="X39" s="533">
        <v>64.709999999999994</v>
      </c>
      <c r="Y39" s="533">
        <v>64.599999999999994</v>
      </c>
      <c r="Z39" s="533">
        <v>64.48</v>
      </c>
      <c r="AA39" s="533">
        <v>64.37</v>
      </c>
      <c r="AB39" s="533">
        <v>64.260000000000005</v>
      </c>
      <c r="AC39" s="533">
        <v>64.150000000000006</v>
      </c>
      <c r="AD39" s="533">
        <v>64.040000000000006</v>
      </c>
      <c r="AE39" s="533">
        <v>63.93</v>
      </c>
      <c r="AF39" s="533">
        <v>63.82</v>
      </c>
      <c r="AG39" s="533">
        <v>63.72</v>
      </c>
      <c r="AH39" s="533">
        <v>63.61</v>
      </c>
      <c r="AI39" s="533">
        <v>63.51</v>
      </c>
      <c r="AJ39" s="533">
        <v>63.02</v>
      </c>
      <c r="AK39" s="533">
        <v>62.58</v>
      </c>
      <c r="AL39" s="533">
        <v>62.2</v>
      </c>
      <c r="AM39" s="533">
        <v>61.87</v>
      </c>
      <c r="AN39" s="533" t="s">
        <v>556</v>
      </c>
      <c r="AO39" s="534" t="s">
        <v>556</v>
      </c>
      <c r="AP39" s="534" t="s">
        <v>556</v>
      </c>
      <c r="AQ39" s="531"/>
      <c r="AR39" s="532">
        <v>50</v>
      </c>
      <c r="AS39" s="533">
        <v>65.27</v>
      </c>
      <c r="AT39" s="533">
        <v>65.150000000000006</v>
      </c>
      <c r="AU39" s="533">
        <v>65.040000000000006</v>
      </c>
      <c r="AV39" s="533">
        <v>64.92</v>
      </c>
      <c r="AW39" s="533">
        <v>64.81</v>
      </c>
      <c r="AX39" s="533">
        <v>64.7</v>
      </c>
      <c r="AY39" s="533">
        <v>64.58</v>
      </c>
      <c r="AZ39" s="533">
        <v>64.47</v>
      </c>
      <c r="BA39" s="533">
        <v>64.36</v>
      </c>
      <c r="BB39" s="533">
        <v>64.260000000000005</v>
      </c>
      <c r="BC39" s="533">
        <v>64.150000000000006</v>
      </c>
      <c r="BD39" s="533">
        <v>64.05</v>
      </c>
      <c r="BE39" s="533">
        <v>63.55</v>
      </c>
      <c r="BF39" s="533">
        <v>63.1</v>
      </c>
      <c r="BG39" s="533">
        <v>62.71</v>
      </c>
      <c r="BH39" s="533">
        <v>62.38</v>
      </c>
      <c r="BI39" s="533" t="s">
        <v>556</v>
      </c>
      <c r="BJ39" s="535" t="s">
        <v>556</v>
      </c>
      <c r="BK39" s="535" t="s">
        <v>556</v>
      </c>
    </row>
    <row r="40" spans="2:63" x14ac:dyDescent="0.25">
      <c r="B40" s="532">
        <v>51</v>
      </c>
      <c r="C40" s="533">
        <v>64.989999999999995</v>
      </c>
      <c r="D40" s="533">
        <v>64.87</v>
      </c>
      <c r="E40" s="533">
        <v>64.75</v>
      </c>
      <c r="F40" s="533">
        <v>64.63</v>
      </c>
      <c r="G40" s="533">
        <v>64.510000000000005</v>
      </c>
      <c r="H40" s="533">
        <v>64.39</v>
      </c>
      <c r="I40" s="533">
        <v>64.28</v>
      </c>
      <c r="J40" s="533">
        <v>64.16</v>
      </c>
      <c r="K40" s="533">
        <v>64.05</v>
      </c>
      <c r="L40" s="533">
        <v>63.94</v>
      </c>
      <c r="M40" s="533">
        <v>63.83</v>
      </c>
      <c r="N40" s="533">
        <v>63.72</v>
      </c>
      <c r="O40" s="533">
        <v>63.2</v>
      </c>
      <c r="P40" s="533">
        <v>62.74</v>
      </c>
      <c r="Q40" s="533">
        <v>62.34</v>
      </c>
      <c r="R40" s="533">
        <v>61.99</v>
      </c>
      <c r="S40" s="533" t="s">
        <v>556</v>
      </c>
      <c r="T40" s="534" t="s">
        <v>556</v>
      </c>
      <c r="U40" s="534" t="s">
        <v>556</v>
      </c>
      <c r="V40" s="531"/>
      <c r="W40" s="532">
        <v>51</v>
      </c>
      <c r="X40" s="533">
        <v>65.23</v>
      </c>
      <c r="Y40" s="533">
        <v>65.11</v>
      </c>
      <c r="Z40" s="533">
        <v>64.989999999999995</v>
      </c>
      <c r="AA40" s="533">
        <v>64.87</v>
      </c>
      <c r="AB40" s="533">
        <v>64.75</v>
      </c>
      <c r="AC40" s="533">
        <v>64.63</v>
      </c>
      <c r="AD40" s="533">
        <v>64.510000000000005</v>
      </c>
      <c r="AE40" s="533">
        <v>64.400000000000006</v>
      </c>
      <c r="AF40" s="533">
        <v>64.28</v>
      </c>
      <c r="AG40" s="533">
        <v>64.17</v>
      </c>
      <c r="AH40" s="533">
        <v>64.06</v>
      </c>
      <c r="AI40" s="533">
        <v>63.95</v>
      </c>
      <c r="AJ40" s="533">
        <v>63.43</v>
      </c>
      <c r="AK40" s="533">
        <v>62.96</v>
      </c>
      <c r="AL40" s="533">
        <v>62.56</v>
      </c>
      <c r="AM40" s="533">
        <v>62.21</v>
      </c>
      <c r="AN40" s="533" t="s">
        <v>556</v>
      </c>
      <c r="AO40" s="534" t="s">
        <v>556</v>
      </c>
      <c r="AP40" s="534" t="s">
        <v>556</v>
      </c>
      <c r="AQ40" s="531"/>
      <c r="AR40" s="532">
        <v>51</v>
      </c>
      <c r="AS40" s="533">
        <v>65.790000000000006</v>
      </c>
      <c r="AT40" s="533">
        <v>65.67</v>
      </c>
      <c r="AU40" s="533">
        <v>65.55</v>
      </c>
      <c r="AV40" s="533">
        <v>65.42</v>
      </c>
      <c r="AW40" s="533">
        <v>65.3</v>
      </c>
      <c r="AX40" s="533">
        <v>65.180000000000007</v>
      </c>
      <c r="AY40" s="533">
        <v>65.069999999999993</v>
      </c>
      <c r="AZ40" s="533">
        <v>64.95</v>
      </c>
      <c r="BA40" s="533">
        <v>64.83</v>
      </c>
      <c r="BB40" s="533">
        <v>64.72</v>
      </c>
      <c r="BC40" s="533">
        <v>64.599999999999994</v>
      </c>
      <c r="BD40" s="533">
        <v>64.489999999999995</v>
      </c>
      <c r="BE40" s="533">
        <v>63.97</v>
      </c>
      <c r="BF40" s="533">
        <v>63.49</v>
      </c>
      <c r="BG40" s="533">
        <v>63.08</v>
      </c>
      <c r="BH40" s="533">
        <v>62.72</v>
      </c>
      <c r="BI40" s="533" t="s">
        <v>556</v>
      </c>
      <c r="BJ40" s="535" t="s">
        <v>556</v>
      </c>
      <c r="BK40" s="535" t="s">
        <v>556</v>
      </c>
    </row>
    <row r="41" spans="2:63" x14ac:dyDescent="0.25">
      <c r="B41" s="532">
        <v>52</v>
      </c>
      <c r="C41" s="533">
        <v>65.53</v>
      </c>
      <c r="D41" s="533">
        <v>65.400000000000006</v>
      </c>
      <c r="E41" s="533">
        <v>65.28</v>
      </c>
      <c r="F41" s="533">
        <v>65.150000000000006</v>
      </c>
      <c r="G41" s="533">
        <v>65.02</v>
      </c>
      <c r="H41" s="533">
        <v>64.900000000000006</v>
      </c>
      <c r="I41" s="533">
        <v>64.77</v>
      </c>
      <c r="J41" s="533">
        <v>64.650000000000006</v>
      </c>
      <c r="K41" s="533">
        <v>64.53</v>
      </c>
      <c r="L41" s="533">
        <v>64.41</v>
      </c>
      <c r="M41" s="533">
        <v>64.290000000000006</v>
      </c>
      <c r="N41" s="533">
        <v>64.180000000000007</v>
      </c>
      <c r="O41" s="533">
        <v>63.63</v>
      </c>
      <c r="P41" s="533">
        <v>63.14</v>
      </c>
      <c r="Q41" s="533">
        <v>62.71</v>
      </c>
      <c r="R41" s="533">
        <v>62.34</v>
      </c>
      <c r="S41" s="533" t="s">
        <v>556</v>
      </c>
      <c r="T41" s="534" t="s">
        <v>556</v>
      </c>
      <c r="U41" s="534" t="s">
        <v>556</v>
      </c>
      <c r="V41" s="531"/>
      <c r="W41" s="532">
        <v>52</v>
      </c>
      <c r="X41" s="533">
        <v>65.78</v>
      </c>
      <c r="Y41" s="533">
        <v>65.650000000000006</v>
      </c>
      <c r="Z41" s="533">
        <v>65.52</v>
      </c>
      <c r="AA41" s="533">
        <v>65.39</v>
      </c>
      <c r="AB41" s="533">
        <v>65.260000000000005</v>
      </c>
      <c r="AC41" s="533">
        <v>65.14</v>
      </c>
      <c r="AD41" s="533">
        <v>65.010000000000005</v>
      </c>
      <c r="AE41" s="533">
        <v>64.89</v>
      </c>
      <c r="AF41" s="533">
        <v>64.77</v>
      </c>
      <c r="AG41" s="533">
        <v>64.650000000000006</v>
      </c>
      <c r="AH41" s="533">
        <v>64.53</v>
      </c>
      <c r="AI41" s="533">
        <v>64.41</v>
      </c>
      <c r="AJ41" s="533">
        <v>63.86</v>
      </c>
      <c r="AK41" s="533">
        <v>63.37</v>
      </c>
      <c r="AL41" s="533">
        <v>62.93</v>
      </c>
      <c r="AM41" s="533">
        <v>62.56</v>
      </c>
      <c r="AN41" s="533" t="s">
        <v>556</v>
      </c>
      <c r="AO41" s="534" t="s">
        <v>556</v>
      </c>
      <c r="AP41" s="534" t="s">
        <v>556</v>
      </c>
      <c r="AQ41" s="531"/>
      <c r="AR41" s="532">
        <v>52</v>
      </c>
      <c r="AS41" s="533">
        <v>66.349999999999994</v>
      </c>
      <c r="AT41" s="533">
        <v>66.22</v>
      </c>
      <c r="AU41" s="533">
        <v>66.09</v>
      </c>
      <c r="AV41" s="533">
        <v>65.959999999999994</v>
      </c>
      <c r="AW41" s="533">
        <v>65.83</v>
      </c>
      <c r="AX41" s="533">
        <v>65.7</v>
      </c>
      <c r="AY41" s="533">
        <v>65.569999999999993</v>
      </c>
      <c r="AZ41" s="533">
        <v>65.45</v>
      </c>
      <c r="BA41" s="533">
        <v>65.319999999999993</v>
      </c>
      <c r="BB41" s="533">
        <v>65.2</v>
      </c>
      <c r="BC41" s="533">
        <v>65.08</v>
      </c>
      <c r="BD41" s="533">
        <v>64.959999999999994</v>
      </c>
      <c r="BE41" s="533">
        <v>64.400000000000006</v>
      </c>
      <c r="BF41" s="533">
        <v>63.9</v>
      </c>
      <c r="BG41" s="533">
        <v>63.46</v>
      </c>
      <c r="BH41" s="533">
        <v>63.09</v>
      </c>
      <c r="BI41" s="533" t="s">
        <v>556</v>
      </c>
      <c r="BJ41" s="535" t="s">
        <v>556</v>
      </c>
      <c r="BK41" s="535" t="s">
        <v>556</v>
      </c>
    </row>
    <row r="42" spans="2:63" x14ac:dyDescent="0.25">
      <c r="B42" s="532">
        <v>53</v>
      </c>
      <c r="C42" s="533">
        <v>66.11</v>
      </c>
      <c r="D42" s="533">
        <v>65.97</v>
      </c>
      <c r="E42" s="533">
        <v>65.83</v>
      </c>
      <c r="F42" s="533">
        <v>65.7</v>
      </c>
      <c r="G42" s="533">
        <v>65.56</v>
      </c>
      <c r="H42" s="533">
        <v>65.430000000000007</v>
      </c>
      <c r="I42" s="533">
        <v>65.3</v>
      </c>
      <c r="J42" s="533">
        <v>65.16</v>
      </c>
      <c r="K42" s="533">
        <v>65.040000000000006</v>
      </c>
      <c r="L42" s="533">
        <v>64.91</v>
      </c>
      <c r="M42" s="533">
        <v>64.78</v>
      </c>
      <c r="N42" s="533">
        <v>64.66</v>
      </c>
      <c r="O42" s="533">
        <v>64.08</v>
      </c>
      <c r="P42" s="533">
        <v>63.55</v>
      </c>
      <c r="Q42" s="533">
        <v>63.1</v>
      </c>
      <c r="R42" s="533">
        <v>62.71</v>
      </c>
      <c r="S42" s="533" t="s">
        <v>556</v>
      </c>
      <c r="T42" s="534" t="s">
        <v>556</v>
      </c>
      <c r="U42" s="534" t="s">
        <v>556</v>
      </c>
      <c r="V42" s="531"/>
      <c r="W42" s="532">
        <v>53</v>
      </c>
      <c r="X42" s="533">
        <v>66.349999999999994</v>
      </c>
      <c r="Y42" s="533">
        <v>66.22</v>
      </c>
      <c r="Z42" s="533">
        <v>66.08</v>
      </c>
      <c r="AA42" s="533">
        <v>65.94</v>
      </c>
      <c r="AB42" s="533">
        <v>65.81</v>
      </c>
      <c r="AC42" s="533">
        <v>65.67</v>
      </c>
      <c r="AD42" s="533">
        <v>65.540000000000006</v>
      </c>
      <c r="AE42" s="533">
        <v>65.41</v>
      </c>
      <c r="AF42" s="533">
        <v>65.28</v>
      </c>
      <c r="AG42" s="533">
        <v>65.150000000000006</v>
      </c>
      <c r="AH42" s="533">
        <v>65.02</v>
      </c>
      <c r="AI42" s="533">
        <v>64.900000000000006</v>
      </c>
      <c r="AJ42" s="533">
        <v>64.31</v>
      </c>
      <c r="AK42" s="533">
        <v>63.79</v>
      </c>
      <c r="AL42" s="533">
        <v>63.33</v>
      </c>
      <c r="AM42" s="533">
        <v>62.94</v>
      </c>
      <c r="AN42" s="533" t="s">
        <v>556</v>
      </c>
      <c r="AO42" s="534" t="s">
        <v>556</v>
      </c>
      <c r="AP42" s="534" t="s">
        <v>556</v>
      </c>
      <c r="AQ42" s="531"/>
      <c r="AR42" s="532">
        <v>53</v>
      </c>
      <c r="AS42" s="533">
        <v>66.930000000000007</v>
      </c>
      <c r="AT42" s="533">
        <v>66.790000000000006</v>
      </c>
      <c r="AU42" s="533">
        <v>66.650000000000006</v>
      </c>
      <c r="AV42" s="533">
        <v>66.52</v>
      </c>
      <c r="AW42" s="533">
        <v>66.38</v>
      </c>
      <c r="AX42" s="533">
        <v>66.239999999999995</v>
      </c>
      <c r="AY42" s="533">
        <v>66.11</v>
      </c>
      <c r="AZ42" s="533">
        <v>65.97</v>
      </c>
      <c r="BA42" s="533">
        <v>65.84</v>
      </c>
      <c r="BB42" s="533">
        <v>65.709999999999994</v>
      </c>
      <c r="BC42" s="533">
        <v>65.58</v>
      </c>
      <c r="BD42" s="533">
        <v>65.459999999999994</v>
      </c>
      <c r="BE42" s="533">
        <v>64.86</v>
      </c>
      <c r="BF42" s="533">
        <v>64.33</v>
      </c>
      <c r="BG42" s="533">
        <v>63.86</v>
      </c>
      <c r="BH42" s="533">
        <v>63.46</v>
      </c>
      <c r="BI42" s="533" t="s">
        <v>556</v>
      </c>
      <c r="BJ42" s="535" t="s">
        <v>556</v>
      </c>
      <c r="BK42" s="535" t="s">
        <v>556</v>
      </c>
    </row>
    <row r="43" spans="2:63" x14ac:dyDescent="0.25">
      <c r="B43" s="532">
        <v>54</v>
      </c>
      <c r="C43" s="533">
        <v>66.709999999999994</v>
      </c>
      <c r="D43" s="533">
        <v>66.56</v>
      </c>
      <c r="E43" s="533">
        <v>66.42</v>
      </c>
      <c r="F43" s="533">
        <v>66.27</v>
      </c>
      <c r="G43" s="533">
        <v>66.13</v>
      </c>
      <c r="H43" s="533">
        <v>65.989999999999995</v>
      </c>
      <c r="I43" s="533">
        <v>65.849999999999994</v>
      </c>
      <c r="J43" s="533">
        <v>65.709999999999994</v>
      </c>
      <c r="K43" s="533">
        <v>65.569999999999993</v>
      </c>
      <c r="L43" s="533">
        <v>65.430000000000007</v>
      </c>
      <c r="M43" s="533">
        <v>65.3</v>
      </c>
      <c r="N43" s="533">
        <v>65.17</v>
      </c>
      <c r="O43" s="533">
        <v>64.55</v>
      </c>
      <c r="P43" s="533">
        <v>63.99</v>
      </c>
      <c r="Q43" s="533">
        <v>63.51</v>
      </c>
      <c r="R43" s="533">
        <v>63.1</v>
      </c>
      <c r="S43" s="533">
        <v>62.75</v>
      </c>
      <c r="T43" s="534" t="s">
        <v>556</v>
      </c>
      <c r="U43" s="534" t="s">
        <v>556</v>
      </c>
      <c r="V43" s="531"/>
      <c r="W43" s="532">
        <v>54</v>
      </c>
      <c r="X43" s="533">
        <v>66.959999999999994</v>
      </c>
      <c r="Y43" s="533">
        <v>66.819999999999993</v>
      </c>
      <c r="Z43" s="533">
        <v>66.67</v>
      </c>
      <c r="AA43" s="533">
        <v>66.52</v>
      </c>
      <c r="AB43" s="533">
        <v>66.38</v>
      </c>
      <c r="AC43" s="533">
        <v>66.239999999999995</v>
      </c>
      <c r="AD43" s="533">
        <v>66.09</v>
      </c>
      <c r="AE43" s="533">
        <v>65.95</v>
      </c>
      <c r="AF43" s="533">
        <v>65.81</v>
      </c>
      <c r="AG43" s="533">
        <v>65.680000000000007</v>
      </c>
      <c r="AH43" s="533">
        <v>65.540000000000006</v>
      </c>
      <c r="AI43" s="533">
        <v>65.41</v>
      </c>
      <c r="AJ43" s="533">
        <v>64.790000000000006</v>
      </c>
      <c r="AK43" s="533">
        <v>64.23</v>
      </c>
      <c r="AL43" s="533">
        <v>63.74</v>
      </c>
      <c r="AM43" s="533">
        <v>63.32</v>
      </c>
      <c r="AN43" s="533">
        <v>62.97</v>
      </c>
      <c r="AO43" s="534" t="s">
        <v>556</v>
      </c>
      <c r="AP43" s="534" t="s">
        <v>556</v>
      </c>
      <c r="AQ43" s="531"/>
      <c r="AR43" s="532">
        <v>54</v>
      </c>
      <c r="AS43" s="533">
        <v>67.55</v>
      </c>
      <c r="AT43" s="533">
        <v>67.400000000000006</v>
      </c>
      <c r="AU43" s="533">
        <v>67.25</v>
      </c>
      <c r="AV43" s="533">
        <v>67.11</v>
      </c>
      <c r="AW43" s="533">
        <v>66.959999999999994</v>
      </c>
      <c r="AX43" s="533">
        <v>66.81</v>
      </c>
      <c r="AY43" s="533">
        <v>66.67</v>
      </c>
      <c r="AZ43" s="533">
        <v>66.53</v>
      </c>
      <c r="BA43" s="533">
        <v>66.39</v>
      </c>
      <c r="BB43" s="533">
        <v>66.25</v>
      </c>
      <c r="BC43" s="533">
        <v>66.11</v>
      </c>
      <c r="BD43" s="533">
        <v>65.98</v>
      </c>
      <c r="BE43" s="533">
        <v>65.34</v>
      </c>
      <c r="BF43" s="533">
        <v>64.77</v>
      </c>
      <c r="BG43" s="533">
        <v>64.28</v>
      </c>
      <c r="BH43" s="533">
        <v>63.86</v>
      </c>
      <c r="BI43" s="533">
        <v>63.5</v>
      </c>
      <c r="BJ43" s="535" t="s">
        <v>556</v>
      </c>
      <c r="BK43" s="535" t="s">
        <v>556</v>
      </c>
    </row>
    <row r="44" spans="2:63" x14ac:dyDescent="0.25">
      <c r="B44" s="532">
        <v>55</v>
      </c>
      <c r="C44" s="533">
        <v>67.349999999999994</v>
      </c>
      <c r="D44" s="533">
        <v>67.2</v>
      </c>
      <c r="E44" s="533">
        <v>67.040000000000006</v>
      </c>
      <c r="F44" s="533">
        <v>66.89</v>
      </c>
      <c r="G44" s="533">
        <v>66.73</v>
      </c>
      <c r="H44" s="533">
        <v>66.58</v>
      </c>
      <c r="I44" s="533">
        <v>66.430000000000007</v>
      </c>
      <c r="J44" s="533">
        <v>66.28</v>
      </c>
      <c r="K44" s="533">
        <v>66.13</v>
      </c>
      <c r="L44" s="533">
        <v>65.989999999999995</v>
      </c>
      <c r="M44" s="533">
        <v>65.849999999999994</v>
      </c>
      <c r="N44" s="533">
        <v>65.709999999999994</v>
      </c>
      <c r="O44" s="533">
        <v>65.040000000000006</v>
      </c>
      <c r="P44" s="533">
        <v>64.45</v>
      </c>
      <c r="Q44" s="533">
        <v>63.94</v>
      </c>
      <c r="R44" s="533">
        <v>63.5</v>
      </c>
      <c r="S44" s="533">
        <v>63.13</v>
      </c>
      <c r="T44" s="534" t="s">
        <v>556</v>
      </c>
      <c r="U44" s="534" t="s">
        <v>556</v>
      </c>
      <c r="V44" s="531"/>
      <c r="W44" s="532">
        <v>55</v>
      </c>
      <c r="X44" s="533">
        <v>67.61</v>
      </c>
      <c r="Y44" s="533">
        <v>67.45</v>
      </c>
      <c r="Z44" s="533">
        <v>67.3</v>
      </c>
      <c r="AA44" s="533">
        <v>67.14</v>
      </c>
      <c r="AB44" s="533">
        <v>66.989999999999995</v>
      </c>
      <c r="AC44" s="533">
        <v>66.83</v>
      </c>
      <c r="AD44" s="533">
        <v>66.680000000000007</v>
      </c>
      <c r="AE44" s="533">
        <v>66.53</v>
      </c>
      <c r="AF44" s="533">
        <v>66.38</v>
      </c>
      <c r="AG44" s="533">
        <v>66.239999999999995</v>
      </c>
      <c r="AH44" s="533">
        <v>66.09</v>
      </c>
      <c r="AI44" s="533">
        <v>65.95</v>
      </c>
      <c r="AJ44" s="533">
        <v>65.28</v>
      </c>
      <c r="AK44" s="533">
        <v>64.69</v>
      </c>
      <c r="AL44" s="533">
        <v>64.17</v>
      </c>
      <c r="AM44" s="533">
        <v>63.73</v>
      </c>
      <c r="AN44" s="533">
        <v>63.36</v>
      </c>
      <c r="AO44" s="534" t="s">
        <v>556</v>
      </c>
      <c r="AP44" s="534" t="s">
        <v>556</v>
      </c>
      <c r="AQ44" s="531"/>
      <c r="AR44" s="532">
        <v>55</v>
      </c>
      <c r="AS44" s="533">
        <v>68.209999999999994</v>
      </c>
      <c r="AT44" s="533">
        <v>68.05</v>
      </c>
      <c r="AU44" s="533">
        <v>67.89</v>
      </c>
      <c r="AV44" s="533">
        <v>67.73</v>
      </c>
      <c r="AW44" s="533">
        <v>67.58</v>
      </c>
      <c r="AX44" s="533">
        <v>67.42</v>
      </c>
      <c r="AY44" s="533">
        <v>67.27</v>
      </c>
      <c r="AZ44" s="533">
        <v>67.11</v>
      </c>
      <c r="BA44" s="533">
        <v>66.959999999999994</v>
      </c>
      <c r="BB44" s="533">
        <v>66.819999999999993</v>
      </c>
      <c r="BC44" s="533">
        <v>66.67</v>
      </c>
      <c r="BD44" s="533">
        <v>66.53</v>
      </c>
      <c r="BE44" s="533">
        <v>65.849999999999994</v>
      </c>
      <c r="BF44" s="533">
        <v>65.25</v>
      </c>
      <c r="BG44" s="533">
        <v>64.72</v>
      </c>
      <c r="BH44" s="533">
        <v>64.27</v>
      </c>
      <c r="BI44" s="533">
        <v>63.89</v>
      </c>
      <c r="BJ44" s="535" t="s">
        <v>556</v>
      </c>
      <c r="BK44" s="535" t="s">
        <v>556</v>
      </c>
    </row>
    <row r="45" spans="2:63" x14ac:dyDescent="0.25">
      <c r="B45" s="532">
        <v>56</v>
      </c>
      <c r="C45" s="533">
        <v>68.03</v>
      </c>
      <c r="D45" s="533">
        <v>67.87</v>
      </c>
      <c r="E45" s="533">
        <v>67.7</v>
      </c>
      <c r="F45" s="533">
        <v>67.53</v>
      </c>
      <c r="G45" s="533">
        <v>67.37</v>
      </c>
      <c r="H45" s="533">
        <v>67.209999999999994</v>
      </c>
      <c r="I45" s="533">
        <v>67.05</v>
      </c>
      <c r="J45" s="533">
        <v>66.89</v>
      </c>
      <c r="K45" s="533">
        <v>66.73</v>
      </c>
      <c r="L45" s="533">
        <v>66.569999999999993</v>
      </c>
      <c r="M45" s="533">
        <v>66.42</v>
      </c>
      <c r="N45" s="533">
        <v>66.27</v>
      </c>
      <c r="O45" s="533">
        <v>65.569999999999993</v>
      </c>
      <c r="P45" s="533">
        <v>64.94</v>
      </c>
      <c r="Q45" s="533">
        <v>64.39</v>
      </c>
      <c r="R45" s="533">
        <v>63.93</v>
      </c>
      <c r="S45" s="533">
        <v>63.54</v>
      </c>
      <c r="T45" s="534" t="s">
        <v>556</v>
      </c>
      <c r="U45" s="534" t="s">
        <v>556</v>
      </c>
      <c r="V45" s="531"/>
      <c r="W45" s="532">
        <v>56</v>
      </c>
      <c r="X45" s="533">
        <v>68.3</v>
      </c>
      <c r="Y45" s="533">
        <v>68.13</v>
      </c>
      <c r="Z45" s="533">
        <v>67.959999999999994</v>
      </c>
      <c r="AA45" s="533">
        <v>67.790000000000006</v>
      </c>
      <c r="AB45" s="533">
        <v>67.63</v>
      </c>
      <c r="AC45" s="533">
        <v>67.459999999999994</v>
      </c>
      <c r="AD45" s="533">
        <v>67.3</v>
      </c>
      <c r="AE45" s="533">
        <v>67.14</v>
      </c>
      <c r="AF45" s="533">
        <v>66.98</v>
      </c>
      <c r="AG45" s="533">
        <v>66.83</v>
      </c>
      <c r="AH45" s="533">
        <v>66.67</v>
      </c>
      <c r="AI45" s="533">
        <v>66.52</v>
      </c>
      <c r="AJ45" s="533">
        <v>65.81</v>
      </c>
      <c r="AK45" s="533">
        <v>65.180000000000007</v>
      </c>
      <c r="AL45" s="533">
        <v>64.63</v>
      </c>
      <c r="AM45" s="533">
        <v>64.16</v>
      </c>
      <c r="AN45" s="533">
        <v>63.77</v>
      </c>
      <c r="AO45" s="534" t="s">
        <v>556</v>
      </c>
      <c r="AP45" s="534" t="s">
        <v>556</v>
      </c>
      <c r="AQ45" s="531"/>
      <c r="AR45" s="532">
        <v>56</v>
      </c>
      <c r="AS45" s="533">
        <v>68.91</v>
      </c>
      <c r="AT45" s="533">
        <v>68.739999999999995</v>
      </c>
      <c r="AU45" s="533">
        <v>68.56</v>
      </c>
      <c r="AV45" s="533">
        <v>68.400000000000006</v>
      </c>
      <c r="AW45" s="533">
        <v>68.23</v>
      </c>
      <c r="AX45" s="533">
        <v>68.06</v>
      </c>
      <c r="AY45" s="533">
        <v>67.900000000000006</v>
      </c>
      <c r="AZ45" s="533">
        <v>67.73</v>
      </c>
      <c r="BA45" s="533">
        <v>67.569999999999993</v>
      </c>
      <c r="BB45" s="533">
        <v>67.42</v>
      </c>
      <c r="BC45" s="533">
        <v>67.260000000000005</v>
      </c>
      <c r="BD45" s="533">
        <v>67.11</v>
      </c>
      <c r="BE45" s="533">
        <v>66.38</v>
      </c>
      <c r="BF45" s="533">
        <v>65.739999999999995</v>
      </c>
      <c r="BG45" s="533">
        <v>65.180000000000007</v>
      </c>
      <c r="BH45" s="533">
        <v>64.709999999999994</v>
      </c>
      <c r="BI45" s="533">
        <v>64.31</v>
      </c>
      <c r="BJ45" s="535" t="s">
        <v>556</v>
      </c>
      <c r="BK45" s="535" t="s">
        <v>556</v>
      </c>
    </row>
    <row r="46" spans="2:63" x14ac:dyDescent="0.25">
      <c r="B46" s="532">
        <v>57</v>
      </c>
      <c r="C46" s="533">
        <v>68.760000000000005</v>
      </c>
      <c r="D46" s="533">
        <v>68.58</v>
      </c>
      <c r="E46" s="533">
        <v>68.400000000000006</v>
      </c>
      <c r="F46" s="533">
        <v>68.22</v>
      </c>
      <c r="G46" s="533">
        <v>68.05</v>
      </c>
      <c r="H46" s="533">
        <v>67.87</v>
      </c>
      <c r="I46" s="533">
        <v>67.7</v>
      </c>
      <c r="J46" s="533">
        <v>67.53</v>
      </c>
      <c r="K46" s="533">
        <v>67.36</v>
      </c>
      <c r="L46" s="533">
        <v>67.2</v>
      </c>
      <c r="M46" s="533">
        <v>67.03</v>
      </c>
      <c r="N46" s="533">
        <v>66.87</v>
      </c>
      <c r="O46" s="533">
        <v>66.12</v>
      </c>
      <c r="P46" s="533">
        <v>65.45</v>
      </c>
      <c r="Q46" s="533">
        <v>64.87</v>
      </c>
      <c r="R46" s="533">
        <v>64.37</v>
      </c>
      <c r="S46" s="533">
        <v>63.96</v>
      </c>
      <c r="T46" s="534" t="s">
        <v>556</v>
      </c>
      <c r="U46" s="534" t="s">
        <v>556</v>
      </c>
      <c r="V46" s="531"/>
      <c r="W46" s="532">
        <v>57</v>
      </c>
      <c r="X46" s="533">
        <v>69.03</v>
      </c>
      <c r="Y46" s="533">
        <v>68.849999999999994</v>
      </c>
      <c r="Z46" s="533">
        <v>68.67</v>
      </c>
      <c r="AA46" s="533">
        <v>68.489999999999995</v>
      </c>
      <c r="AB46" s="533">
        <v>68.31</v>
      </c>
      <c r="AC46" s="533">
        <v>68.14</v>
      </c>
      <c r="AD46" s="533">
        <v>67.959999999999994</v>
      </c>
      <c r="AE46" s="533">
        <v>67.790000000000006</v>
      </c>
      <c r="AF46" s="533">
        <v>67.62</v>
      </c>
      <c r="AG46" s="533">
        <v>67.45</v>
      </c>
      <c r="AH46" s="533">
        <v>67.290000000000006</v>
      </c>
      <c r="AI46" s="533">
        <v>67.13</v>
      </c>
      <c r="AJ46" s="533">
        <v>66.37</v>
      </c>
      <c r="AK46" s="533">
        <v>65.69</v>
      </c>
      <c r="AL46" s="533">
        <v>65.11</v>
      </c>
      <c r="AM46" s="533">
        <v>64.61</v>
      </c>
      <c r="AN46" s="533">
        <v>64.19</v>
      </c>
      <c r="AO46" s="534" t="s">
        <v>556</v>
      </c>
      <c r="AP46" s="534" t="s">
        <v>556</v>
      </c>
      <c r="AQ46" s="531"/>
      <c r="AR46" s="532">
        <v>57</v>
      </c>
      <c r="AS46" s="533">
        <v>69.650000000000006</v>
      </c>
      <c r="AT46" s="533">
        <v>69.459999999999994</v>
      </c>
      <c r="AU46" s="533">
        <v>69.28</v>
      </c>
      <c r="AV46" s="533">
        <v>69.099999999999994</v>
      </c>
      <c r="AW46" s="533">
        <v>68.92</v>
      </c>
      <c r="AX46" s="533">
        <v>68.739999999999995</v>
      </c>
      <c r="AY46" s="533">
        <v>68.569999999999993</v>
      </c>
      <c r="AZ46" s="533">
        <v>68.39</v>
      </c>
      <c r="BA46" s="533">
        <v>68.22</v>
      </c>
      <c r="BB46" s="533">
        <v>68.05</v>
      </c>
      <c r="BC46" s="533">
        <v>67.89</v>
      </c>
      <c r="BD46" s="533">
        <v>67.72</v>
      </c>
      <c r="BE46" s="533">
        <v>66.95</v>
      </c>
      <c r="BF46" s="533">
        <v>66.27</v>
      </c>
      <c r="BG46" s="533">
        <v>65.67</v>
      </c>
      <c r="BH46" s="533">
        <v>65.16</v>
      </c>
      <c r="BI46" s="533">
        <v>64.739999999999995</v>
      </c>
      <c r="BJ46" s="535" t="s">
        <v>556</v>
      </c>
      <c r="BK46" s="535" t="s">
        <v>556</v>
      </c>
    </row>
    <row r="47" spans="2:63" x14ac:dyDescent="0.25">
      <c r="B47" s="532">
        <v>58</v>
      </c>
      <c r="C47" s="533">
        <v>69.53</v>
      </c>
      <c r="D47" s="533">
        <v>69.34</v>
      </c>
      <c r="E47" s="533">
        <v>69.150000000000006</v>
      </c>
      <c r="F47" s="533">
        <v>68.959999999999994</v>
      </c>
      <c r="G47" s="533">
        <v>68.77</v>
      </c>
      <c r="H47" s="533">
        <v>68.58</v>
      </c>
      <c r="I47" s="533">
        <v>68.400000000000006</v>
      </c>
      <c r="J47" s="533">
        <v>68.22</v>
      </c>
      <c r="K47" s="533">
        <v>68.040000000000006</v>
      </c>
      <c r="L47" s="533">
        <v>67.86</v>
      </c>
      <c r="M47" s="533">
        <v>67.680000000000007</v>
      </c>
      <c r="N47" s="533">
        <v>67.510000000000005</v>
      </c>
      <c r="O47" s="533">
        <v>66.709999999999994</v>
      </c>
      <c r="P47" s="533">
        <v>65.989999999999995</v>
      </c>
      <c r="Q47" s="533">
        <v>65.37</v>
      </c>
      <c r="R47" s="533">
        <v>64.849999999999994</v>
      </c>
      <c r="S47" s="533">
        <v>64.41</v>
      </c>
      <c r="T47" s="534" t="s">
        <v>556</v>
      </c>
      <c r="U47" s="534" t="s">
        <v>556</v>
      </c>
      <c r="V47" s="531"/>
      <c r="W47" s="532">
        <v>58</v>
      </c>
      <c r="X47" s="533">
        <v>69.81</v>
      </c>
      <c r="Y47" s="533">
        <v>69.61</v>
      </c>
      <c r="Z47" s="533">
        <v>69.42</v>
      </c>
      <c r="AA47" s="533">
        <v>69.23</v>
      </c>
      <c r="AB47" s="533">
        <v>69.040000000000006</v>
      </c>
      <c r="AC47" s="533">
        <v>68.849999999999994</v>
      </c>
      <c r="AD47" s="533">
        <v>68.67</v>
      </c>
      <c r="AE47" s="533">
        <v>68.48</v>
      </c>
      <c r="AF47" s="533">
        <v>68.3</v>
      </c>
      <c r="AG47" s="533">
        <v>68.12</v>
      </c>
      <c r="AH47" s="533">
        <v>67.95</v>
      </c>
      <c r="AI47" s="533">
        <v>67.77</v>
      </c>
      <c r="AJ47" s="533">
        <v>66.959999999999994</v>
      </c>
      <c r="AK47" s="533">
        <v>66.239999999999995</v>
      </c>
      <c r="AL47" s="533">
        <v>65.62</v>
      </c>
      <c r="AM47" s="533">
        <v>65.09</v>
      </c>
      <c r="AN47" s="533">
        <v>64.64</v>
      </c>
      <c r="AO47" s="534" t="s">
        <v>556</v>
      </c>
      <c r="AP47" s="534" t="s">
        <v>556</v>
      </c>
      <c r="AQ47" s="531"/>
      <c r="AR47" s="532">
        <v>58</v>
      </c>
      <c r="AS47" s="533">
        <v>70.44</v>
      </c>
      <c r="AT47" s="533">
        <v>70.239999999999995</v>
      </c>
      <c r="AU47" s="533">
        <v>70.05</v>
      </c>
      <c r="AV47" s="533">
        <v>69.849999999999994</v>
      </c>
      <c r="AW47" s="533">
        <v>69.66</v>
      </c>
      <c r="AX47" s="533">
        <v>69.47</v>
      </c>
      <c r="AY47" s="533">
        <v>69.28</v>
      </c>
      <c r="AZ47" s="533">
        <v>69.09</v>
      </c>
      <c r="BA47" s="533">
        <v>68.91</v>
      </c>
      <c r="BB47" s="533">
        <v>68.73</v>
      </c>
      <c r="BC47" s="533">
        <v>68.55</v>
      </c>
      <c r="BD47" s="533">
        <v>68.38</v>
      </c>
      <c r="BE47" s="533">
        <v>67.55</v>
      </c>
      <c r="BF47" s="533">
        <v>66.819999999999993</v>
      </c>
      <c r="BG47" s="533">
        <v>66.19</v>
      </c>
      <c r="BH47" s="533">
        <v>65.650000000000006</v>
      </c>
      <c r="BI47" s="533">
        <v>65.2</v>
      </c>
      <c r="BJ47" s="535" t="s">
        <v>556</v>
      </c>
      <c r="BK47" s="535" t="s">
        <v>556</v>
      </c>
    </row>
    <row r="48" spans="2:63" x14ac:dyDescent="0.25">
      <c r="B48" s="532">
        <v>59</v>
      </c>
      <c r="C48" s="533">
        <v>70.36</v>
      </c>
      <c r="D48" s="533">
        <v>70.150000000000006</v>
      </c>
      <c r="E48" s="533">
        <v>69.95</v>
      </c>
      <c r="F48" s="533">
        <v>69.739999999999995</v>
      </c>
      <c r="G48" s="533">
        <v>69.540000000000006</v>
      </c>
      <c r="H48" s="533">
        <v>69.34</v>
      </c>
      <c r="I48" s="533">
        <v>69.14</v>
      </c>
      <c r="J48" s="533">
        <v>68.95</v>
      </c>
      <c r="K48" s="533">
        <v>68.75</v>
      </c>
      <c r="L48" s="533">
        <v>68.56</v>
      </c>
      <c r="M48" s="533">
        <v>68.38</v>
      </c>
      <c r="N48" s="533">
        <v>68.19</v>
      </c>
      <c r="O48" s="533">
        <v>67.33</v>
      </c>
      <c r="P48" s="533">
        <v>66.569999999999993</v>
      </c>
      <c r="Q48" s="533">
        <v>65.900000000000006</v>
      </c>
      <c r="R48" s="533">
        <v>65.34</v>
      </c>
      <c r="S48" s="533">
        <v>64.88</v>
      </c>
      <c r="T48" s="534">
        <v>64.489999999999995</v>
      </c>
      <c r="U48" s="534" t="s">
        <v>556</v>
      </c>
      <c r="V48" s="531"/>
      <c r="W48" s="532">
        <v>59</v>
      </c>
      <c r="X48" s="533">
        <v>70.650000000000006</v>
      </c>
      <c r="Y48" s="533">
        <v>70.430000000000007</v>
      </c>
      <c r="Z48" s="533">
        <v>70.23</v>
      </c>
      <c r="AA48" s="533">
        <v>70.02</v>
      </c>
      <c r="AB48" s="533">
        <v>69.81</v>
      </c>
      <c r="AC48" s="533">
        <v>69.61</v>
      </c>
      <c r="AD48" s="533">
        <v>69.41</v>
      </c>
      <c r="AE48" s="533">
        <v>69.22</v>
      </c>
      <c r="AF48" s="533">
        <v>69.02</v>
      </c>
      <c r="AG48" s="533">
        <v>68.83</v>
      </c>
      <c r="AH48" s="533">
        <v>68.64</v>
      </c>
      <c r="AI48" s="533">
        <v>68.459999999999994</v>
      </c>
      <c r="AJ48" s="533">
        <v>67.59</v>
      </c>
      <c r="AK48" s="533">
        <v>66.819999999999993</v>
      </c>
      <c r="AL48" s="533">
        <v>66.150000000000006</v>
      </c>
      <c r="AM48" s="533">
        <v>65.59</v>
      </c>
      <c r="AN48" s="533">
        <v>65.12</v>
      </c>
      <c r="AO48" s="534">
        <v>64.73</v>
      </c>
      <c r="AP48" s="534" t="s">
        <v>556</v>
      </c>
      <c r="AQ48" s="531"/>
      <c r="AR48" s="532">
        <v>59</v>
      </c>
      <c r="AS48" s="533">
        <v>71.290000000000006</v>
      </c>
      <c r="AT48" s="533">
        <v>71.08</v>
      </c>
      <c r="AU48" s="533">
        <v>70.86</v>
      </c>
      <c r="AV48" s="533">
        <v>70.650000000000006</v>
      </c>
      <c r="AW48" s="533">
        <v>70.45</v>
      </c>
      <c r="AX48" s="533">
        <v>70.239999999999995</v>
      </c>
      <c r="AY48" s="533">
        <v>70.040000000000006</v>
      </c>
      <c r="AZ48" s="533">
        <v>69.84</v>
      </c>
      <c r="BA48" s="533">
        <v>69.64</v>
      </c>
      <c r="BB48" s="533">
        <v>69.45</v>
      </c>
      <c r="BC48" s="533">
        <v>69.260000000000005</v>
      </c>
      <c r="BD48" s="533">
        <v>69.069999999999993</v>
      </c>
      <c r="BE48" s="533">
        <v>68.19</v>
      </c>
      <c r="BF48" s="533">
        <v>67.41</v>
      </c>
      <c r="BG48" s="533">
        <v>66.73</v>
      </c>
      <c r="BH48" s="533">
        <v>66.16</v>
      </c>
      <c r="BI48" s="533">
        <v>65.680000000000007</v>
      </c>
      <c r="BJ48" s="535">
        <v>65.28</v>
      </c>
      <c r="BK48" s="535" t="s">
        <v>556</v>
      </c>
    </row>
    <row r="49" spans="2:63" x14ac:dyDescent="0.25">
      <c r="B49" s="532">
        <v>60</v>
      </c>
      <c r="C49" s="533">
        <v>71.25</v>
      </c>
      <c r="D49" s="533">
        <v>71.02</v>
      </c>
      <c r="E49" s="533">
        <v>70.8</v>
      </c>
      <c r="F49" s="533">
        <v>70.58</v>
      </c>
      <c r="G49" s="533">
        <v>70.36</v>
      </c>
      <c r="H49" s="533">
        <v>70.14</v>
      </c>
      <c r="I49" s="533">
        <v>69.930000000000007</v>
      </c>
      <c r="J49" s="533">
        <v>69.72</v>
      </c>
      <c r="K49" s="533">
        <v>69.52</v>
      </c>
      <c r="L49" s="533">
        <v>69.31</v>
      </c>
      <c r="M49" s="533">
        <v>69.11</v>
      </c>
      <c r="N49" s="533">
        <v>68.91</v>
      </c>
      <c r="O49" s="533">
        <v>67.989999999999995</v>
      </c>
      <c r="P49" s="533">
        <v>67.180000000000007</v>
      </c>
      <c r="Q49" s="533">
        <v>66.47</v>
      </c>
      <c r="R49" s="533">
        <v>65.87</v>
      </c>
      <c r="S49" s="533">
        <v>65.37</v>
      </c>
      <c r="T49" s="534">
        <v>64.959999999999994</v>
      </c>
      <c r="U49" s="534" t="s">
        <v>556</v>
      </c>
      <c r="V49" s="531"/>
      <c r="W49" s="532">
        <v>60</v>
      </c>
      <c r="X49" s="533">
        <v>71.540000000000006</v>
      </c>
      <c r="Y49" s="533">
        <v>71.31</v>
      </c>
      <c r="Z49" s="533">
        <v>71.09</v>
      </c>
      <c r="AA49" s="533">
        <v>70.86</v>
      </c>
      <c r="AB49" s="533">
        <v>70.64</v>
      </c>
      <c r="AC49" s="533">
        <v>70.430000000000007</v>
      </c>
      <c r="AD49" s="533">
        <v>70.209999999999994</v>
      </c>
      <c r="AE49" s="533">
        <v>70</v>
      </c>
      <c r="AF49" s="533">
        <v>69.790000000000006</v>
      </c>
      <c r="AG49" s="533">
        <v>69.59</v>
      </c>
      <c r="AH49" s="533">
        <v>69.38</v>
      </c>
      <c r="AI49" s="533">
        <v>69.19</v>
      </c>
      <c r="AJ49" s="533">
        <v>68.25</v>
      </c>
      <c r="AK49" s="533">
        <v>67.430000000000007</v>
      </c>
      <c r="AL49" s="533">
        <v>66.72</v>
      </c>
      <c r="AM49" s="533">
        <v>66.12</v>
      </c>
      <c r="AN49" s="533">
        <v>65.62</v>
      </c>
      <c r="AO49" s="534">
        <v>65.2</v>
      </c>
      <c r="AP49" s="534" t="s">
        <v>556</v>
      </c>
      <c r="AQ49" s="531"/>
      <c r="AR49" s="532">
        <v>60</v>
      </c>
      <c r="AS49" s="533">
        <v>72.2</v>
      </c>
      <c r="AT49" s="533">
        <v>71.97</v>
      </c>
      <c r="AU49" s="533">
        <v>71.739999999999995</v>
      </c>
      <c r="AV49" s="533">
        <v>71.510000000000005</v>
      </c>
      <c r="AW49" s="533">
        <v>71.290000000000006</v>
      </c>
      <c r="AX49" s="533">
        <v>71.069999999999993</v>
      </c>
      <c r="AY49" s="533">
        <v>70.849999999999994</v>
      </c>
      <c r="AZ49" s="533">
        <v>70.64</v>
      </c>
      <c r="BA49" s="533">
        <v>70.42</v>
      </c>
      <c r="BB49" s="533">
        <v>70.22</v>
      </c>
      <c r="BC49" s="533">
        <v>70.010000000000005</v>
      </c>
      <c r="BD49" s="533">
        <v>69.81</v>
      </c>
      <c r="BE49" s="533">
        <v>68.87</v>
      </c>
      <c r="BF49" s="533">
        <v>68.03</v>
      </c>
      <c r="BG49" s="533">
        <v>67.31</v>
      </c>
      <c r="BH49" s="533">
        <v>66.7</v>
      </c>
      <c r="BI49" s="533">
        <v>66.19</v>
      </c>
      <c r="BJ49" s="535">
        <v>65.77</v>
      </c>
      <c r="BK49" s="535" t="s">
        <v>556</v>
      </c>
    </row>
    <row r="50" spans="2:63" x14ac:dyDescent="0.25">
      <c r="B50" s="532">
        <v>61</v>
      </c>
      <c r="C50" s="533">
        <v>72.2</v>
      </c>
      <c r="D50" s="533">
        <v>71.959999999999994</v>
      </c>
      <c r="E50" s="533">
        <v>71.709999999999994</v>
      </c>
      <c r="F50" s="533">
        <v>71.47</v>
      </c>
      <c r="G50" s="533">
        <v>71.239999999999995</v>
      </c>
      <c r="H50" s="533">
        <v>71.010000000000005</v>
      </c>
      <c r="I50" s="533">
        <v>70.78</v>
      </c>
      <c r="J50" s="533">
        <v>70.55</v>
      </c>
      <c r="K50" s="533">
        <v>70.33</v>
      </c>
      <c r="L50" s="533">
        <v>70.11</v>
      </c>
      <c r="M50" s="533">
        <v>69.900000000000006</v>
      </c>
      <c r="N50" s="533">
        <v>69.69</v>
      </c>
      <c r="O50" s="533">
        <v>68.69</v>
      </c>
      <c r="P50" s="533">
        <v>67.819999999999993</v>
      </c>
      <c r="Q50" s="533">
        <v>67.069999999999993</v>
      </c>
      <c r="R50" s="533">
        <v>66.430000000000007</v>
      </c>
      <c r="S50" s="533">
        <v>65.900000000000006</v>
      </c>
      <c r="T50" s="534">
        <v>65.459999999999994</v>
      </c>
      <c r="U50" s="534" t="s">
        <v>556</v>
      </c>
      <c r="V50" s="531"/>
      <c r="W50" s="532">
        <v>61</v>
      </c>
      <c r="X50" s="533">
        <v>72.5</v>
      </c>
      <c r="Y50" s="533">
        <v>72.25</v>
      </c>
      <c r="Z50" s="533">
        <v>72.010000000000005</v>
      </c>
      <c r="AA50" s="533">
        <v>71.77</v>
      </c>
      <c r="AB50" s="533">
        <v>71.53</v>
      </c>
      <c r="AC50" s="533">
        <v>71.290000000000006</v>
      </c>
      <c r="AD50" s="533">
        <v>71.06</v>
      </c>
      <c r="AE50" s="533">
        <v>70.84</v>
      </c>
      <c r="AF50" s="533">
        <v>70.61</v>
      </c>
      <c r="AG50" s="533">
        <v>70.39</v>
      </c>
      <c r="AH50" s="533">
        <v>70.180000000000007</v>
      </c>
      <c r="AI50" s="533">
        <v>69.959999999999994</v>
      </c>
      <c r="AJ50" s="533">
        <v>68.959999999999994</v>
      </c>
      <c r="AK50" s="533">
        <v>68.08</v>
      </c>
      <c r="AL50" s="533">
        <v>67.319999999999993</v>
      </c>
      <c r="AM50" s="533">
        <v>66.680000000000007</v>
      </c>
      <c r="AN50" s="533">
        <v>66.14</v>
      </c>
      <c r="AO50" s="534">
        <v>65.7</v>
      </c>
      <c r="AP50" s="534" t="s">
        <v>556</v>
      </c>
      <c r="AQ50" s="531"/>
      <c r="AR50" s="532">
        <v>61</v>
      </c>
      <c r="AS50" s="533">
        <v>73.17</v>
      </c>
      <c r="AT50" s="533">
        <v>72.92</v>
      </c>
      <c r="AU50" s="533">
        <v>72.67</v>
      </c>
      <c r="AV50" s="533">
        <v>72.430000000000007</v>
      </c>
      <c r="AW50" s="533">
        <v>72.19</v>
      </c>
      <c r="AX50" s="533">
        <v>71.95</v>
      </c>
      <c r="AY50" s="533">
        <v>71.72</v>
      </c>
      <c r="AZ50" s="533">
        <v>71.48</v>
      </c>
      <c r="BA50" s="533">
        <v>71.260000000000005</v>
      </c>
      <c r="BB50" s="533">
        <v>71.03</v>
      </c>
      <c r="BC50" s="533">
        <v>70.81</v>
      </c>
      <c r="BD50" s="533">
        <v>70.599999999999994</v>
      </c>
      <c r="BE50" s="533">
        <v>69.59</v>
      </c>
      <c r="BF50" s="533">
        <v>68.69</v>
      </c>
      <c r="BG50" s="533">
        <v>67.92</v>
      </c>
      <c r="BH50" s="533">
        <v>67.27</v>
      </c>
      <c r="BI50" s="533">
        <v>66.72</v>
      </c>
      <c r="BJ50" s="535">
        <v>66.28</v>
      </c>
      <c r="BK50" s="535" t="s">
        <v>556</v>
      </c>
    </row>
    <row r="51" spans="2:63" x14ac:dyDescent="0.25">
      <c r="B51" s="532">
        <v>62</v>
      </c>
      <c r="C51" s="533">
        <v>73.23</v>
      </c>
      <c r="D51" s="533">
        <v>72.97</v>
      </c>
      <c r="E51" s="533">
        <v>72.7</v>
      </c>
      <c r="F51" s="533">
        <v>72.44</v>
      </c>
      <c r="G51" s="533">
        <v>72.19</v>
      </c>
      <c r="H51" s="533">
        <v>71.94</v>
      </c>
      <c r="I51" s="533">
        <v>71.69</v>
      </c>
      <c r="J51" s="533">
        <v>71.45</v>
      </c>
      <c r="K51" s="533">
        <v>71.209999999999994</v>
      </c>
      <c r="L51" s="533">
        <v>70.97</v>
      </c>
      <c r="M51" s="533">
        <v>70.739999999999995</v>
      </c>
      <c r="N51" s="533">
        <v>70.510000000000005</v>
      </c>
      <c r="O51" s="533">
        <v>69.45</v>
      </c>
      <c r="P51" s="533">
        <v>68.510000000000005</v>
      </c>
      <c r="Q51" s="533">
        <v>67.709999999999994</v>
      </c>
      <c r="R51" s="533">
        <v>67.02</v>
      </c>
      <c r="S51" s="533">
        <v>66.459999999999994</v>
      </c>
      <c r="T51" s="534">
        <v>65.989999999999995</v>
      </c>
      <c r="U51" s="534" t="s">
        <v>556</v>
      </c>
      <c r="V51" s="531"/>
      <c r="W51" s="532">
        <v>62</v>
      </c>
      <c r="X51" s="533">
        <v>73.540000000000006</v>
      </c>
      <c r="Y51" s="533">
        <v>73.27</v>
      </c>
      <c r="Z51" s="533">
        <v>73.010000000000005</v>
      </c>
      <c r="AA51" s="533">
        <v>72.739999999999995</v>
      </c>
      <c r="AB51" s="533">
        <v>72.489999999999995</v>
      </c>
      <c r="AC51" s="533">
        <v>72.23</v>
      </c>
      <c r="AD51" s="533">
        <v>71.98</v>
      </c>
      <c r="AE51" s="533">
        <v>71.739999999999995</v>
      </c>
      <c r="AF51" s="533">
        <v>71.5</v>
      </c>
      <c r="AG51" s="533">
        <v>71.260000000000005</v>
      </c>
      <c r="AH51" s="533">
        <v>71.03</v>
      </c>
      <c r="AI51" s="533">
        <v>70.8</v>
      </c>
      <c r="AJ51" s="533">
        <v>69.72</v>
      </c>
      <c r="AK51" s="533">
        <v>68.78</v>
      </c>
      <c r="AL51" s="533">
        <v>67.97</v>
      </c>
      <c r="AM51" s="533">
        <v>67.28</v>
      </c>
      <c r="AN51" s="533">
        <v>66.709999999999994</v>
      </c>
      <c r="AO51" s="534">
        <v>66.239999999999995</v>
      </c>
      <c r="AP51" s="534" t="s">
        <v>556</v>
      </c>
      <c r="AQ51" s="531"/>
      <c r="AR51" s="532">
        <v>62</v>
      </c>
      <c r="AS51" s="533">
        <v>74.23</v>
      </c>
      <c r="AT51" s="533">
        <v>73.95</v>
      </c>
      <c r="AU51" s="533">
        <v>73.680000000000007</v>
      </c>
      <c r="AV51" s="533">
        <v>73.42</v>
      </c>
      <c r="AW51" s="533">
        <v>73.16</v>
      </c>
      <c r="AX51" s="533">
        <v>72.900000000000006</v>
      </c>
      <c r="AY51" s="533">
        <v>72.650000000000006</v>
      </c>
      <c r="AZ51" s="533">
        <v>72.400000000000006</v>
      </c>
      <c r="BA51" s="533">
        <v>72.16</v>
      </c>
      <c r="BB51" s="533">
        <v>71.92</v>
      </c>
      <c r="BC51" s="533">
        <v>71.680000000000007</v>
      </c>
      <c r="BD51" s="533">
        <v>71.45</v>
      </c>
      <c r="BE51" s="533">
        <v>70.36</v>
      </c>
      <c r="BF51" s="533">
        <v>69.400000000000006</v>
      </c>
      <c r="BG51" s="533">
        <v>68.569999999999993</v>
      </c>
      <c r="BH51" s="533">
        <v>67.88</v>
      </c>
      <c r="BI51" s="533">
        <v>67.3</v>
      </c>
      <c r="BJ51" s="535">
        <v>66.819999999999993</v>
      </c>
      <c r="BK51" s="535" t="s">
        <v>556</v>
      </c>
    </row>
    <row r="52" spans="2:63" x14ac:dyDescent="0.25">
      <c r="B52" s="532">
        <v>63</v>
      </c>
      <c r="C52" s="533">
        <v>74.36</v>
      </c>
      <c r="D52" s="533">
        <v>74.069999999999993</v>
      </c>
      <c r="E52" s="533">
        <v>73.78</v>
      </c>
      <c r="F52" s="533">
        <v>73.5</v>
      </c>
      <c r="G52" s="533">
        <v>73.22</v>
      </c>
      <c r="H52" s="533">
        <v>72.95</v>
      </c>
      <c r="I52" s="533">
        <v>72.680000000000007</v>
      </c>
      <c r="J52" s="533">
        <v>72.42</v>
      </c>
      <c r="K52" s="533">
        <v>72.16</v>
      </c>
      <c r="L52" s="533">
        <v>71.900000000000006</v>
      </c>
      <c r="M52" s="533">
        <v>71.66</v>
      </c>
      <c r="N52" s="533">
        <v>71.41</v>
      </c>
      <c r="O52" s="533">
        <v>70.27</v>
      </c>
      <c r="P52" s="533">
        <v>69.260000000000005</v>
      </c>
      <c r="Q52" s="533">
        <v>68.400000000000006</v>
      </c>
      <c r="R52" s="533">
        <v>67.67</v>
      </c>
      <c r="S52" s="533">
        <v>67.06</v>
      </c>
      <c r="T52" s="534">
        <v>66.56</v>
      </c>
      <c r="U52" s="534" t="s">
        <v>556</v>
      </c>
      <c r="V52" s="531"/>
      <c r="W52" s="532">
        <v>63</v>
      </c>
      <c r="X52" s="533">
        <v>74.680000000000007</v>
      </c>
      <c r="Y52" s="533">
        <v>74.38</v>
      </c>
      <c r="Z52" s="533">
        <v>74.09</v>
      </c>
      <c r="AA52" s="533">
        <v>73.81</v>
      </c>
      <c r="AB52" s="533">
        <v>73.53</v>
      </c>
      <c r="AC52" s="533">
        <v>73.25</v>
      </c>
      <c r="AD52" s="533">
        <v>72.98</v>
      </c>
      <c r="AE52" s="533">
        <v>72.72</v>
      </c>
      <c r="AF52" s="533">
        <v>72.459999999999994</v>
      </c>
      <c r="AG52" s="533">
        <v>72.2</v>
      </c>
      <c r="AH52" s="533">
        <v>71.95</v>
      </c>
      <c r="AI52" s="533">
        <v>71.7</v>
      </c>
      <c r="AJ52" s="533">
        <v>70.55</v>
      </c>
      <c r="AK52" s="533">
        <v>69.53</v>
      </c>
      <c r="AL52" s="533">
        <v>68.66</v>
      </c>
      <c r="AM52" s="533">
        <v>67.930000000000007</v>
      </c>
      <c r="AN52" s="533">
        <v>67.319999999999993</v>
      </c>
      <c r="AO52" s="534">
        <v>66.819999999999993</v>
      </c>
      <c r="AP52" s="534" t="s">
        <v>556</v>
      </c>
      <c r="AQ52" s="531"/>
      <c r="AR52" s="532">
        <v>63</v>
      </c>
      <c r="AS52" s="533">
        <v>75.38</v>
      </c>
      <c r="AT52" s="533">
        <v>75.08</v>
      </c>
      <c r="AU52" s="533">
        <v>74.790000000000006</v>
      </c>
      <c r="AV52" s="533">
        <v>74.5</v>
      </c>
      <c r="AW52" s="533">
        <v>74.22</v>
      </c>
      <c r="AX52" s="533">
        <v>73.94</v>
      </c>
      <c r="AY52" s="533">
        <v>73.66</v>
      </c>
      <c r="AZ52" s="533">
        <v>73.39</v>
      </c>
      <c r="BA52" s="533">
        <v>73.13</v>
      </c>
      <c r="BB52" s="533">
        <v>72.87</v>
      </c>
      <c r="BC52" s="533">
        <v>72.62</v>
      </c>
      <c r="BD52" s="533">
        <v>72.37</v>
      </c>
      <c r="BE52" s="533">
        <v>71.2</v>
      </c>
      <c r="BF52" s="533">
        <v>70.17</v>
      </c>
      <c r="BG52" s="533">
        <v>69.28</v>
      </c>
      <c r="BH52" s="533">
        <v>68.53</v>
      </c>
      <c r="BI52" s="533">
        <v>67.91</v>
      </c>
      <c r="BJ52" s="535">
        <v>67.41</v>
      </c>
      <c r="BK52" s="535" t="s">
        <v>556</v>
      </c>
    </row>
    <row r="53" spans="2:63" x14ac:dyDescent="0.25">
      <c r="B53" s="532">
        <v>64</v>
      </c>
      <c r="C53" s="533">
        <v>75.59</v>
      </c>
      <c r="D53" s="533">
        <v>75.27</v>
      </c>
      <c r="E53" s="533">
        <v>74.95</v>
      </c>
      <c r="F53" s="533">
        <v>74.64</v>
      </c>
      <c r="G53" s="533">
        <v>74.34</v>
      </c>
      <c r="H53" s="533">
        <v>74.040000000000006</v>
      </c>
      <c r="I53" s="533">
        <v>73.75</v>
      </c>
      <c r="J53" s="533">
        <v>73.47</v>
      </c>
      <c r="K53" s="533">
        <v>73.19</v>
      </c>
      <c r="L53" s="533">
        <v>72.91</v>
      </c>
      <c r="M53" s="533">
        <v>72.64</v>
      </c>
      <c r="N53" s="533">
        <v>72.38</v>
      </c>
      <c r="O53" s="533">
        <v>71.150000000000006</v>
      </c>
      <c r="P53" s="533">
        <v>70.06</v>
      </c>
      <c r="Q53" s="533">
        <v>69.14</v>
      </c>
      <c r="R53" s="533">
        <v>68.349999999999994</v>
      </c>
      <c r="S53" s="533">
        <v>67.709999999999994</v>
      </c>
      <c r="T53" s="534">
        <v>67.180000000000007</v>
      </c>
      <c r="U53" s="534">
        <v>66.739999999999995</v>
      </c>
      <c r="V53" s="531"/>
      <c r="W53" s="532">
        <v>64</v>
      </c>
      <c r="X53" s="533">
        <v>75.92</v>
      </c>
      <c r="Y53" s="533">
        <v>75.599999999999994</v>
      </c>
      <c r="Z53" s="533">
        <v>75.28</v>
      </c>
      <c r="AA53" s="533">
        <v>74.97</v>
      </c>
      <c r="AB53" s="533">
        <v>74.66</v>
      </c>
      <c r="AC53" s="533">
        <v>74.36</v>
      </c>
      <c r="AD53" s="533">
        <v>74.069999999999993</v>
      </c>
      <c r="AE53" s="533">
        <v>73.78</v>
      </c>
      <c r="AF53" s="533">
        <v>73.489999999999995</v>
      </c>
      <c r="AG53" s="533">
        <v>73.22</v>
      </c>
      <c r="AH53" s="533">
        <v>72.95</v>
      </c>
      <c r="AI53" s="533">
        <v>72.680000000000007</v>
      </c>
      <c r="AJ53" s="533">
        <v>71.44</v>
      </c>
      <c r="AK53" s="533">
        <v>70.34</v>
      </c>
      <c r="AL53" s="533">
        <v>69.41</v>
      </c>
      <c r="AM53" s="533">
        <v>68.62</v>
      </c>
      <c r="AN53" s="533">
        <v>67.97</v>
      </c>
      <c r="AO53" s="534">
        <v>67.430000000000007</v>
      </c>
      <c r="AP53" s="534">
        <v>67</v>
      </c>
      <c r="AQ53" s="531"/>
      <c r="AR53" s="532">
        <v>64</v>
      </c>
      <c r="AS53" s="533">
        <v>76.64</v>
      </c>
      <c r="AT53" s="533">
        <v>76.31</v>
      </c>
      <c r="AU53" s="533">
        <v>75.989999999999995</v>
      </c>
      <c r="AV53" s="533">
        <v>75.67</v>
      </c>
      <c r="AW53" s="533">
        <v>75.36</v>
      </c>
      <c r="AX53" s="533">
        <v>75.06</v>
      </c>
      <c r="AY53" s="533">
        <v>74.760000000000005</v>
      </c>
      <c r="AZ53" s="533">
        <v>74.47</v>
      </c>
      <c r="BA53" s="533">
        <v>74.180000000000007</v>
      </c>
      <c r="BB53" s="533">
        <v>73.900000000000006</v>
      </c>
      <c r="BC53" s="533">
        <v>73.63</v>
      </c>
      <c r="BD53" s="533">
        <v>73.36</v>
      </c>
      <c r="BE53" s="533">
        <v>72.099999999999994</v>
      </c>
      <c r="BF53" s="533">
        <v>70.989999999999995</v>
      </c>
      <c r="BG53" s="533">
        <v>70.040000000000006</v>
      </c>
      <c r="BH53" s="533">
        <v>69.239999999999995</v>
      </c>
      <c r="BI53" s="533">
        <v>68.569999999999993</v>
      </c>
      <c r="BJ53" s="535">
        <v>68.03</v>
      </c>
      <c r="BK53" s="535">
        <v>67.59</v>
      </c>
    </row>
    <row r="54" spans="2:63" x14ac:dyDescent="0.25">
      <c r="B54" s="532">
        <v>65</v>
      </c>
      <c r="C54" s="533">
        <v>76.92</v>
      </c>
      <c r="D54" s="533">
        <v>76.569999999999993</v>
      </c>
      <c r="E54" s="533">
        <v>76.22</v>
      </c>
      <c r="F54" s="533">
        <v>75.88</v>
      </c>
      <c r="G54" s="533">
        <v>75.55</v>
      </c>
      <c r="H54" s="533">
        <v>75.23</v>
      </c>
      <c r="I54" s="533">
        <v>74.91</v>
      </c>
      <c r="J54" s="533">
        <v>74.599999999999994</v>
      </c>
      <c r="K54" s="533">
        <v>74.290000000000006</v>
      </c>
      <c r="L54" s="533">
        <v>74</v>
      </c>
      <c r="M54" s="533">
        <v>73.7</v>
      </c>
      <c r="N54" s="533">
        <v>73.42</v>
      </c>
      <c r="O54" s="533">
        <v>72.09</v>
      </c>
      <c r="P54" s="533">
        <v>70.92</v>
      </c>
      <c r="Q54" s="533">
        <v>69.930000000000007</v>
      </c>
      <c r="R54" s="533">
        <v>69.09</v>
      </c>
      <c r="S54" s="533">
        <v>68.39</v>
      </c>
      <c r="T54" s="534">
        <v>67.83</v>
      </c>
      <c r="U54" s="534">
        <v>67.37</v>
      </c>
      <c r="V54" s="531"/>
      <c r="W54" s="532">
        <v>65</v>
      </c>
      <c r="X54" s="533">
        <v>77.260000000000005</v>
      </c>
      <c r="Y54" s="533">
        <v>76.91</v>
      </c>
      <c r="Z54" s="533">
        <v>76.56</v>
      </c>
      <c r="AA54" s="533">
        <v>76.22</v>
      </c>
      <c r="AB54" s="533">
        <v>75.88</v>
      </c>
      <c r="AC54" s="533">
        <v>75.56</v>
      </c>
      <c r="AD54" s="533">
        <v>75.239999999999995</v>
      </c>
      <c r="AE54" s="533">
        <v>74.92</v>
      </c>
      <c r="AF54" s="533">
        <v>74.61</v>
      </c>
      <c r="AG54" s="533">
        <v>74.31</v>
      </c>
      <c r="AH54" s="533">
        <v>74.02</v>
      </c>
      <c r="AI54" s="533">
        <v>73.73</v>
      </c>
      <c r="AJ54" s="533">
        <v>72.39</v>
      </c>
      <c r="AK54" s="533">
        <v>71.209999999999994</v>
      </c>
      <c r="AL54" s="533">
        <v>70.209999999999994</v>
      </c>
      <c r="AM54" s="533">
        <v>69.36</v>
      </c>
      <c r="AN54" s="533">
        <v>68.66</v>
      </c>
      <c r="AO54" s="534">
        <v>68.09</v>
      </c>
      <c r="AP54" s="534">
        <v>67.62</v>
      </c>
      <c r="AQ54" s="531"/>
      <c r="AR54" s="532">
        <v>65</v>
      </c>
      <c r="AS54" s="533">
        <v>78</v>
      </c>
      <c r="AT54" s="533">
        <v>77.64</v>
      </c>
      <c r="AU54" s="533">
        <v>77.290000000000006</v>
      </c>
      <c r="AV54" s="533">
        <v>76.94</v>
      </c>
      <c r="AW54" s="533">
        <v>76.599999999999994</v>
      </c>
      <c r="AX54" s="533">
        <v>76.27</v>
      </c>
      <c r="AY54" s="533">
        <v>75.95</v>
      </c>
      <c r="AZ54" s="533">
        <v>75.63</v>
      </c>
      <c r="BA54" s="533">
        <v>75.319999999999993</v>
      </c>
      <c r="BB54" s="533">
        <v>75.010000000000005</v>
      </c>
      <c r="BC54" s="533">
        <v>74.72</v>
      </c>
      <c r="BD54" s="533">
        <v>74.42</v>
      </c>
      <c r="BE54" s="533">
        <v>73.06</v>
      </c>
      <c r="BF54" s="533">
        <v>71.87</v>
      </c>
      <c r="BG54" s="533">
        <v>70.849999999999994</v>
      </c>
      <c r="BH54" s="533">
        <v>69.989999999999995</v>
      </c>
      <c r="BI54" s="533">
        <v>69.28</v>
      </c>
      <c r="BJ54" s="535">
        <v>68.7</v>
      </c>
      <c r="BK54" s="535">
        <v>68.23</v>
      </c>
    </row>
    <row r="55" spans="2:63" x14ac:dyDescent="0.25">
      <c r="B55" s="532">
        <v>66</v>
      </c>
      <c r="C55" s="533">
        <v>78.36</v>
      </c>
      <c r="D55" s="533">
        <v>77.98</v>
      </c>
      <c r="E55" s="533">
        <v>77.599999999999994</v>
      </c>
      <c r="F55" s="533">
        <v>77.22</v>
      </c>
      <c r="G55" s="533">
        <v>76.86</v>
      </c>
      <c r="H55" s="533">
        <v>76.5</v>
      </c>
      <c r="I55" s="533">
        <v>76.16</v>
      </c>
      <c r="J55" s="533">
        <v>75.819999999999993</v>
      </c>
      <c r="K55" s="533">
        <v>75.489999999999995</v>
      </c>
      <c r="L55" s="533">
        <v>75.16</v>
      </c>
      <c r="M55" s="533">
        <v>74.84</v>
      </c>
      <c r="N55" s="533">
        <v>74.540000000000006</v>
      </c>
      <c r="O55" s="533">
        <v>73.099999999999994</v>
      </c>
      <c r="P55" s="533">
        <v>71.84</v>
      </c>
      <c r="Q55" s="533">
        <v>70.77</v>
      </c>
      <c r="R55" s="533">
        <v>69.87</v>
      </c>
      <c r="S55" s="533">
        <v>69.12</v>
      </c>
      <c r="T55" s="534">
        <v>68.510000000000005</v>
      </c>
      <c r="U55" s="534">
        <v>68.02</v>
      </c>
      <c r="V55" s="531"/>
      <c r="W55" s="532">
        <v>66</v>
      </c>
      <c r="X55" s="533">
        <v>78.72</v>
      </c>
      <c r="Y55" s="533">
        <v>78.33</v>
      </c>
      <c r="Z55" s="533">
        <v>77.95</v>
      </c>
      <c r="AA55" s="533">
        <v>77.569999999999993</v>
      </c>
      <c r="AB55" s="533">
        <v>77.2</v>
      </c>
      <c r="AC55" s="533">
        <v>76.849999999999994</v>
      </c>
      <c r="AD55" s="533">
        <v>76.489999999999995</v>
      </c>
      <c r="AE55" s="533">
        <v>76.150000000000006</v>
      </c>
      <c r="AF55" s="533">
        <v>75.819999999999993</v>
      </c>
      <c r="AG55" s="533">
        <v>75.489999999999995</v>
      </c>
      <c r="AH55" s="533">
        <v>75.17</v>
      </c>
      <c r="AI55" s="533">
        <v>74.86</v>
      </c>
      <c r="AJ55" s="533">
        <v>73.41</v>
      </c>
      <c r="AK55" s="533">
        <v>72.14</v>
      </c>
      <c r="AL55" s="533">
        <v>71.05</v>
      </c>
      <c r="AM55" s="533">
        <v>70.14</v>
      </c>
      <c r="AN55" s="533">
        <v>69.39</v>
      </c>
      <c r="AO55" s="534">
        <v>68.78</v>
      </c>
      <c r="AP55" s="534">
        <v>68.290000000000006</v>
      </c>
      <c r="AQ55" s="531"/>
      <c r="AR55" s="532">
        <v>66</v>
      </c>
      <c r="AS55" s="533">
        <v>79.47</v>
      </c>
      <c r="AT55" s="533">
        <v>79.08</v>
      </c>
      <c r="AU55" s="533">
        <v>78.7</v>
      </c>
      <c r="AV55" s="533">
        <v>78.319999999999993</v>
      </c>
      <c r="AW55" s="533">
        <v>77.94</v>
      </c>
      <c r="AX55" s="533">
        <v>77.58</v>
      </c>
      <c r="AY55" s="533">
        <v>77.22</v>
      </c>
      <c r="AZ55" s="533">
        <v>76.88</v>
      </c>
      <c r="BA55" s="533">
        <v>76.540000000000006</v>
      </c>
      <c r="BB55" s="533">
        <v>76.209999999999994</v>
      </c>
      <c r="BC55" s="533">
        <v>75.88</v>
      </c>
      <c r="BD55" s="533">
        <v>75.569999999999993</v>
      </c>
      <c r="BE55" s="533">
        <v>74.099999999999994</v>
      </c>
      <c r="BF55" s="533">
        <v>72.81</v>
      </c>
      <c r="BG55" s="533">
        <v>71.709999999999994</v>
      </c>
      <c r="BH55" s="533">
        <v>70.790000000000006</v>
      </c>
      <c r="BI55" s="533">
        <v>70.02</v>
      </c>
      <c r="BJ55" s="535">
        <v>69.400000000000006</v>
      </c>
      <c r="BK55" s="535">
        <v>68.900000000000006</v>
      </c>
    </row>
    <row r="56" spans="2:63" x14ac:dyDescent="0.25">
      <c r="B56" s="532">
        <v>67</v>
      </c>
      <c r="C56" s="533">
        <v>79.91</v>
      </c>
      <c r="D56" s="533">
        <v>79.5</v>
      </c>
      <c r="E56" s="533">
        <v>79.08</v>
      </c>
      <c r="F56" s="533">
        <v>78.67</v>
      </c>
      <c r="G56" s="533">
        <v>78.27</v>
      </c>
      <c r="H56" s="533">
        <v>77.88</v>
      </c>
      <c r="I56" s="533">
        <v>77.5</v>
      </c>
      <c r="J56" s="533">
        <v>77.13</v>
      </c>
      <c r="K56" s="533">
        <v>76.760000000000005</v>
      </c>
      <c r="L56" s="533">
        <v>76.41</v>
      </c>
      <c r="M56" s="533">
        <v>76.069999999999993</v>
      </c>
      <c r="N56" s="533">
        <v>75.73</v>
      </c>
      <c r="O56" s="533">
        <v>74.17</v>
      </c>
      <c r="P56" s="533">
        <v>72.819999999999993</v>
      </c>
      <c r="Q56" s="533">
        <v>71.66</v>
      </c>
      <c r="R56" s="533">
        <v>70.69</v>
      </c>
      <c r="S56" s="533">
        <v>69.89</v>
      </c>
      <c r="T56" s="534">
        <v>69.239999999999995</v>
      </c>
      <c r="U56" s="534">
        <v>68.72</v>
      </c>
      <c r="V56" s="531"/>
      <c r="W56" s="532">
        <v>67</v>
      </c>
      <c r="X56" s="533">
        <v>80.290000000000006</v>
      </c>
      <c r="Y56" s="533">
        <v>79.87</v>
      </c>
      <c r="Z56" s="533">
        <v>79.45</v>
      </c>
      <c r="AA56" s="533">
        <v>79.040000000000006</v>
      </c>
      <c r="AB56" s="533">
        <v>78.63</v>
      </c>
      <c r="AC56" s="533">
        <v>78.23</v>
      </c>
      <c r="AD56" s="533">
        <v>77.849999999999994</v>
      </c>
      <c r="AE56" s="533">
        <v>77.47</v>
      </c>
      <c r="AF56" s="533">
        <v>77.11</v>
      </c>
      <c r="AG56" s="533">
        <v>76.75</v>
      </c>
      <c r="AH56" s="533">
        <v>76.400000000000006</v>
      </c>
      <c r="AI56" s="533">
        <v>76.06</v>
      </c>
      <c r="AJ56" s="533">
        <v>74.489999999999995</v>
      </c>
      <c r="AK56" s="533">
        <v>73.12</v>
      </c>
      <c r="AL56" s="533">
        <v>71.95</v>
      </c>
      <c r="AM56" s="533">
        <v>70.98</v>
      </c>
      <c r="AN56" s="533">
        <v>70.17</v>
      </c>
      <c r="AO56" s="534">
        <v>69.510000000000005</v>
      </c>
      <c r="AP56" s="534">
        <v>68.98</v>
      </c>
      <c r="AQ56" s="531"/>
      <c r="AR56" s="532">
        <v>67</v>
      </c>
      <c r="AS56" s="533">
        <v>81.06</v>
      </c>
      <c r="AT56" s="533">
        <v>80.64</v>
      </c>
      <c r="AU56" s="533">
        <v>80.22</v>
      </c>
      <c r="AV56" s="533">
        <v>79.8</v>
      </c>
      <c r="AW56" s="533">
        <v>79.39</v>
      </c>
      <c r="AX56" s="533">
        <v>78.989999999999995</v>
      </c>
      <c r="AY56" s="533">
        <v>78.599999999999994</v>
      </c>
      <c r="AZ56" s="533">
        <v>78.22</v>
      </c>
      <c r="BA56" s="533">
        <v>77.849999999999994</v>
      </c>
      <c r="BB56" s="533">
        <v>77.489999999999995</v>
      </c>
      <c r="BC56" s="533">
        <v>77.13</v>
      </c>
      <c r="BD56" s="533">
        <v>76.790000000000006</v>
      </c>
      <c r="BE56" s="533">
        <v>75.2</v>
      </c>
      <c r="BF56" s="533">
        <v>73.81</v>
      </c>
      <c r="BG56" s="533">
        <v>72.63</v>
      </c>
      <c r="BH56" s="533">
        <v>71.63</v>
      </c>
      <c r="BI56" s="533">
        <v>70.81</v>
      </c>
      <c r="BJ56" s="535">
        <v>70.150000000000006</v>
      </c>
      <c r="BK56" s="535">
        <v>69.61</v>
      </c>
    </row>
    <row r="57" spans="2:63" x14ac:dyDescent="0.25">
      <c r="B57" s="532">
        <v>68</v>
      </c>
      <c r="C57" s="533">
        <v>81.59</v>
      </c>
      <c r="D57" s="533">
        <v>81.13</v>
      </c>
      <c r="E57" s="533">
        <v>80.680000000000007</v>
      </c>
      <c r="F57" s="533">
        <v>80.23</v>
      </c>
      <c r="G57" s="533">
        <v>79.790000000000006</v>
      </c>
      <c r="H57" s="533">
        <v>79.36</v>
      </c>
      <c r="I57" s="533">
        <v>78.94</v>
      </c>
      <c r="J57" s="533">
        <v>78.53</v>
      </c>
      <c r="K57" s="533">
        <v>78.13</v>
      </c>
      <c r="L57" s="533">
        <v>77.75</v>
      </c>
      <c r="M57" s="533">
        <v>77.37</v>
      </c>
      <c r="N57" s="533">
        <v>77.010000000000005</v>
      </c>
      <c r="O57" s="533">
        <v>75.319999999999993</v>
      </c>
      <c r="P57" s="533">
        <v>73.849999999999994</v>
      </c>
      <c r="Q57" s="533">
        <v>72.599999999999994</v>
      </c>
      <c r="R57" s="533">
        <v>71.56</v>
      </c>
      <c r="S57" s="533">
        <v>70.7</v>
      </c>
      <c r="T57" s="534">
        <v>70</v>
      </c>
      <c r="U57" s="534">
        <v>69.44</v>
      </c>
      <c r="V57" s="531"/>
      <c r="W57" s="532">
        <v>68</v>
      </c>
      <c r="X57" s="533">
        <v>81.98</v>
      </c>
      <c r="Y57" s="533">
        <v>81.52</v>
      </c>
      <c r="Z57" s="533">
        <v>81.069999999999993</v>
      </c>
      <c r="AA57" s="533">
        <v>80.62</v>
      </c>
      <c r="AB57" s="533">
        <v>80.17</v>
      </c>
      <c r="AC57" s="533">
        <v>79.73</v>
      </c>
      <c r="AD57" s="533">
        <v>79.31</v>
      </c>
      <c r="AE57" s="533">
        <v>78.89</v>
      </c>
      <c r="AF57" s="533">
        <v>78.489999999999995</v>
      </c>
      <c r="AG57" s="533">
        <v>78.099999999999994</v>
      </c>
      <c r="AH57" s="533">
        <v>77.72</v>
      </c>
      <c r="AI57" s="533">
        <v>77.349999999999994</v>
      </c>
      <c r="AJ57" s="533">
        <v>75.650000000000006</v>
      </c>
      <c r="AK57" s="533">
        <v>74.17</v>
      </c>
      <c r="AL57" s="533">
        <v>72.91</v>
      </c>
      <c r="AM57" s="533">
        <v>71.849999999999994</v>
      </c>
      <c r="AN57" s="533">
        <v>70.989999999999995</v>
      </c>
      <c r="AO57" s="534">
        <v>70.28</v>
      </c>
      <c r="AP57" s="534">
        <v>69.72</v>
      </c>
      <c r="AQ57" s="531"/>
      <c r="AR57" s="532">
        <v>68</v>
      </c>
      <c r="AS57" s="533">
        <v>82.78</v>
      </c>
      <c r="AT57" s="533">
        <v>82.31</v>
      </c>
      <c r="AU57" s="533">
        <v>81.849999999999994</v>
      </c>
      <c r="AV57" s="533">
        <v>81.400000000000006</v>
      </c>
      <c r="AW57" s="533">
        <v>80.95</v>
      </c>
      <c r="AX57" s="533">
        <v>80.5</v>
      </c>
      <c r="AY57" s="533">
        <v>80.069999999999993</v>
      </c>
      <c r="AZ57" s="533">
        <v>79.66</v>
      </c>
      <c r="BA57" s="533">
        <v>79.25</v>
      </c>
      <c r="BB57" s="533">
        <v>78.86</v>
      </c>
      <c r="BC57" s="533">
        <v>78.47</v>
      </c>
      <c r="BD57" s="533">
        <v>78.099999999999994</v>
      </c>
      <c r="BE57" s="533">
        <v>76.37</v>
      </c>
      <c r="BF57" s="533">
        <v>74.87</v>
      </c>
      <c r="BG57" s="533">
        <v>73.59</v>
      </c>
      <c r="BH57" s="533">
        <v>72.52</v>
      </c>
      <c r="BI57" s="533">
        <v>71.64</v>
      </c>
      <c r="BJ57" s="535">
        <v>70.930000000000007</v>
      </c>
      <c r="BK57" s="535">
        <v>70.349999999999994</v>
      </c>
    </row>
    <row r="58" spans="2:63" x14ac:dyDescent="0.25">
      <c r="B58" s="532">
        <v>69</v>
      </c>
      <c r="C58" s="533">
        <v>83.38</v>
      </c>
      <c r="D58" s="533">
        <v>82.89</v>
      </c>
      <c r="E58" s="533">
        <v>82.4</v>
      </c>
      <c r="F58" s="533">
        <v>81.91</v>
      </c>
      <c r="G58" s="533">
        <v>81.430000000000007</v>
      </c>
      <c r="H58" s="533">
        <v>80.95</v>
      </c>
      <c r="I58" s="533">
        <v>80.489999999999995</v>
      </c>
      <c r="J58" s="533">
        <v>80.040000000000006</v>
      </c>
      <c r="K58" s="533">
        <v>79.599999999999994</v>
      </c>
      <c r="L58" s="533">
        <v>79.180000000000007</v>
      </c>
      <c r="M58" s="533">
        <v>78.77</v>
      </c>
      <c r="N58" s="533">
        <v>78.37</v>
      </c>
      <c r="O58" s="533">
        <v>76.53</v>
      </c>
      <c r="P58" s="533">
        <v>74.95</v>
      </c>
      <c r="Q58" s="533">
        <v>73.599999999999994</v>
      </c>
      <c r="R58" s="533">
        <v>72.48</v>
      </c>
      <c r="S58" s="533">
        <v>71.55</v>
      </c>
      <c r="T58" s="534">
        <v>70.8</v>
      </c>
      <c r="U58" s="534">
        <v>70.2</v>
      </c>
      <c r="V58" s="531"/>
      <c r="W58" s="532">
        <v>69</v>
      </c>
      <c r="X58" s="533">
        <v>83.8</v>
      </c>
      <c r="Y58" s="533">
        <v>83.3</v>
      </c>
      <c r="Z58" s="533">
        <v>82.8</v>
      </c>
      <c r="AA58" s="533">
        <v>82.31</v>
      </c>
      <c r="AB58" s="533">
        <v>81.819999999999993</v>
      </c>
      <c r="AC58" s="533">
        <v>81.34</v>
      </c>
      <c r="AD58" s="533">
        <v>80.87</v>
      </c>
      <c r="AE58" s="533">
        <v>80.42</v>
      </c>
      <c r="AF58" s="533">
        <v>79.97</v>
      </c>
      <c r="AG58" s="533">
        <v>79.55</v>
      </c>
      <c r="AH58" s="533">
        <v>79.13</v>
      </c>
      <c r="AI58" s="533">
        <v>78.73</v>
      </c>
      <c r="AJ58" s="533">
        <v>76.88</v>
      </c>
      <c r="AK58" s="533">
        <v>75.27</v>
      </c>
      <c r="AL58" s="533">
        <v>73.91</v>
      </c>
      <c r="AM58" s="533">
        <v>72.78</v>
      </c>
      <c r="AN58" s="533">
        <v>71.84</v>
      </c>
      <c r="AO58" s="534">
        <v>71.09</v>
      </c>
      <c r="AP58" s="534">
        <v>70.48</v>
      </c>
      <c r="AQ58" s="531"/>
      <c r="AR58" s="532">
        <v>69</v>
      </c>
      <c r="AS58" s="533">
        <v>84.61</v>
      </c>
      <c r="AT58" s="533">
        <v>84.11</v>
      </c>
      <c r="AU58" s="533">
        <v>83.61</v>
      </c>
      <c r="AV58" s="533">
        <v>83.11</v>
      </c>
      <c r="AW58" s="533">
        <v>82.62</v>
      </c>
      <c r="AX58" s="533">
        <v>82.14</v>
      </c>
      <c r="AY58" s="533">
        <v>81.66</v>
      </c>
      <c r="AZ58" s="533">
        <v>81.2</v>
      </c>
      <c r="BA58" s="533">
        <v>80.75</v>
      </c>
      <c r="BB58" s="533">
        <v>80.319999999999993</v>
      </c>
      <c r="BC58" s="533">
        <v>79.900000000000006</v>
      </c>
      <c r="BD58" s="533">
        <v>79.489999999999995</v>
      </c>
      <c r="BE58" s="533">
        <v>77.62</v>
      </c>
      <c r="BF58" s="533">
        <v>76</v>
      </c>
      <c r="BG58" s="533">
        <v>74.62</v>
      </c>
      <c r="BH58" s="533">
        <v>73.459999999999994</v>
      </c>
      <c r="BI58" s="533">
        <v>72.510000000000005</v>
      </c>
      <c r="BJ58" s="535">
        <v>71.75</v>
      </c>
      <c r="BK58" s="535">
        <v>71.13</v>
      </c>
    </row>
    <row r="59" spans="2:63" x14ac:dyDescent="0.25">
      <c r="B59" s="532">
        <v>70</v>
      </c>
      <c r="C59" s="533">
        <v>85.31</v>
      </c>
      <c r="D59" s="533">
        <v>84.77</v>
      </c>
      <c r="E59" s="533">
        <v>84.24</v>
      </c>
      <c r="F59" s="533">
        <v>83.71</v>
      </c>
      <c r="G59" s="533">
        <v>83.18</v>
      </c>
      <c r="H59" s="533">
        <v>82.66</v>
      </c>
      <c r="I59" s="533">
        <v>82.15</v>
      </c>
      <c r="J59" s="533">
        <v>81.650000000000006</v>
      </c>
      <c r="K59" s="533">
        <v>81.17</v>
      </c>
      <c r="L59" s="533">
        <v>80.7</v>
      </c>
      <c r="M59" s="533">
        <v>80.25</v>
      </c>
      <c r="N59" s="533">
        <v>79.819999999999993</v>
      </c>
      <c r="O59" s="533">
        <v>77.819999999999993</v>
      </c>
      <c r="P59" s="533">
        <v>76.11</v>
      </c>
      <c r="Q59" s="533">
        <v>74.650000000000006</v>
      </c>
      <c r="R59" s="533">
        <v>73.44</v>
      </c>
      <c r="S59" s="533">
        <v>72.44</v>
      </c>
      <c r="T59" s="534">
        <v>71.63</v>
      </c>
      <c r="U59" s="534">
        <v>70.989999999999995</v>
      </c>
      <c r="V59" s="531"/>
      <c r="W59" s="532">
        <v>70</v>
      </c>
      <c r="X59" s="533">
        <v>85.75</v>
      </c>
      <c r="Y59" s="533">
        <v>85.21</v>
      </c>
      <c r="Z59" s="533">
        <v>84.67</v>
      </c>
      <c r="AA59" s="533">
        <v>84.13</v>
      </c>
      <c r="AB59" s="533">
        <v>83.6</v>
      </c>
      <c r="AC59" s="533">
        <v>83.07</v>
      </c>
      <c r="AD59" s="533">
        <v>82.56</v>
      </c>
      <c r="AE59" s="533">
        <v>82.05</v>
      </c>
      <c r="AF59" s="533">
        <v>81.56</v>
      </c>
      <c r="AG59" s="533">
        <v>81.09</v>
      </c>
      <c r="AH59" s="533">
        <v>80.64</v>
      </c>
      <c r="AI59" s="533">
        <v>80.19</v>
      </c>
      <c r="AJ59" s="533">
        <v>78.180000000000007</v>
      </c>
      <c r="AK59" s="533">
        <v>76.45</v>
      </c>
      <c r="AL59" s="533">
        <v>74.97</v>
      </c>
      <c r="AM59" s="533">
        <v>73.75</v>
      </c>
      <c r="AN59" s="533">
        <v>72.739999999999995</v>
      </c>
      <c r="AO59" s="534">
        <v>71.930000000000007</v>
      </c>
      <c r="AP59" s="534">
        <v>71.28</v>
      </c>
      <c r="AQ59" s="531"/>
      <c r="AR59" s="532">
        <v>70</v>
      </c>
      <c r="AS59" s="533">
        <v>86.58</v>
      </c>
      <c r="AT59" s="533">
        <v>86.04</v>
      </c>
      <c r="AU59" s="533">
        <v>85.5</v>
      </c>
      <c r="AV59" s="533">
        <v>84.96</v>
      </c>
      <c r="AW59" s="533">
        <v>84.42</v>
      </c>
      <c r="AX59" s="533">
        <v>83.89</v>
      </c>
      <c r="AY59" s="533">
        <v>83.37</v>
      </c>
      <c r="AZ59" s="533">
        <v>82.86</v>
      </c>
      <c r="BA59" s="533">
        <v>82.36</v>
      </c>
      <c r="BB59" s="533">
        <v>81.89</v>
      </c>
      <c r="BC59" s="533">
        <v>81.430000000000007</v>
      </c>
      <c r="BD59" s="533">
        <v>80.98</v>
      </c>
      <c r="BE59" s="533">
        <v>78.94</v>
      </c>
      <c r="BF59" s="533">
        <v>77.180000000000007</v>
      </c>
      <c r="BG59" s="533">
        <v>75.69</v>
      </c>
      <c r="BH59" s="533">
        <v>74.45</v>
      </c>
      <c r="BI59" s="533">
        <v>73.430000000000007</v>
      </c>
      <c r="BJ59" s="535">
        <v>72.599999999999994</v>
      </c>
      <c r="BK59" s="535">
        <v>71.94</v>
      </c>
    </row>
    <row r="60" spans="2:63" x14ac:dyDescent="0.25">
      <c r="B60" s="532">
        <v>71</v>
      </c>
      <c r="C60" s="533">
        <v>87.37</v>
      </c>
      <c r="D60" s="533">
        <v>86.79</v>
      </c>
      <c r="E60" s="533">
        <v>86.21</v>
      </c>
      <c r="F60" s="533">
        <v>85.63</v>
      </c>
      <c r="G60" s="533">
        <v>85.06</v>
      </c>
      <c r="H60" s="533">
        <v>84.49</v>
      </c>
      <c r="I60" s="533">
        <v>83.93</v>
      </c>
      <c r="J60" s="533">
        <v>83.39</v>
      </c>
      <c r="K60" s="533">
        <v>82.85</v>
      </c>
      <c r="L60" s="533">
        <v>82.34</v>
      </c>
      <c r="M60" s="533">
        <v>81.84</v>
      </c>
      <c r="N60" s="533">
        <v>81.36</v>
      </c>
      <c r="O60" s="533">
        <v>79.19</v>
      </c>
      <c r="P60" s="533">
        <v>77.33</v>
      </c>
      <c r="Q60" s="533">
        <v>75.760000000000005</v>
      </c>
      <c r="R60" s="533">
        <v>74.45</v>
      </c>
      <c r="S60" s="533">
        <v>73.37</v>
      </c>
      <c r="T60" s="534">
        <v>72.5</v>
      </c>
      <c r="U60" s="534">
        <v>71.81</v>
      </c>
      <c r="V60" s="531"/>
      <c r="W60" s="532">
        <v>71</v>
      </c>
      <c r="X60" s="533">
        <v>87.84</v>
      </c>
      <c r="Y60" s="533">
        <v>87.25</v>
      </c>
      <c r="Z60" s="533">
        <v>86.67</v>
      </c>
      <c r="AA60" s="533">
        <v>86.08</v>
      </c>
      <c r="AB60" s="533">
        <v>85.5</v>
      </c>
      <c r="AC60" s="533">
        <v>84.93</v>
      </c>
      <c r="AD60" s="533">
        <v>84.36</v>
      </c>
      <c r="AE60" s="533">
        <v>83.81</v>
      </c>
      <c r="AF60" s="533">
        <v>83.27</v>
      </c>
      <c r="AG60" s="533">
        <v>82.74</v>
      </c>
      <c r="AH60" s="533">
        <v>82.24</v>
      </c>
      <c r="AI60" s="533">
        <v>81.760000000000005</v>
      </c>
      <c r="AJ60" s="533">
        <v>79.56</v>
      </c>
      <c r="AK60" s="533">
        <v>77.680000000000007</v>
      </c>
      <c r="AL60" s="533">
        <v>76.09</v>
      </c>
      <c r="AM60" s="533">
        <v>74.77</v>
      </c>
      <c r="AN60" s="533">
        <v>73.680000000000007</v>
      </c>
      <c r="AO60" s="534">
        <v>72.81</v>
      </c>
      <c r="AP60" s="534">
        <v>72.11</v>
      </c>
      <c r="AQ60" s="531"/>
      <c r="AR60" s="532">
        <v>71</v>
      </c>
      <c r="AS60" s="533">
        <v>88.69</v>
      </c>
      <c r="AT60" s="533">
        <v>88.11</v>
      </c>
      <c r="AU60" s="533">
        <v>87.52</v>
      </c>
      <c r="AV60" s="533">
        <v>86.93</v>
      </c>
      <c r="AW60" s="533">
        <v>86.34</v>
      </c>
      <c r="AX60" s="533">
        <v>85.76</v>
      </c>
      <c r="AY60" s="533">
        <v>85.19</v>
      </c>
      <c r="AZ60" s="533">
        <v>84.63</v>
      </c>
      <c r="BA60" s="533">
        <v>84.09</v>
      </c>
      <c r="BB60" s="533">
        <v>83.56</v>
      </c>
      <c r="BC60" s="533">
        <v>83.05</v>
      </c>
      <c r="BD60" s="533">
        <v>82.56</v>
      </c>
      <c r="BE60" s="533">
        <v>80.34</v>
      </c>
      <c r="BF60" s="533">
        <v>78.44</v>
      </c>
      <c r="BG60" s="533">
        <v>76.83</v>
      </c>
      <c r="BH60" s="533">
        <v>75.489999999999995</v>
      </c>
      <c r="BI60" s="533">
        <v>74.38</v>
      </c>
      <c r="BJ60" s="535">
        <v>73.489999999999995</v>
      </c>
      <c r="BK60" s="535">
        <v>72.78</v>
      </c>
    </row>
    <row r="61" spans="2:63" x14ac:dyDescent="0.25">
      <c r="B61" s="532">
        <v>72</v>
      </c>
      <c r="C61" s="533">
        <v>89.57</v>
      </c>
      <c r="D61" s="533">
        <v>88.94</v>
      </c>
      <c r="E61" s="533">
        <v>88.32</v>
      </c>
      <c r="F61" s="533">
        <v>87.69</v>
      </c>
      <c r="G61" s="533">
        <v>87.07</v>
      </c>
      <c r="H61" s="533">
        <v>86.45</v>
      </c>
      <c r="I61" s="533">
        <v>85.84</v>
      </c>
      <c r="J61" s="533">
        <v>85.24</v>
      </c>
      <c r="K61" s="533">
        <v>84.66</v>
      </c>
      <c r="L61" s="533">
        <v>84.09</v>
      </c>
      <c r="M61" s="533">
        <v>83.54</v>
      </c>
      <c r="N61" s="533">
        <v>83.01</v>
      </c>
      <c r="O61" s="533">
        <v>80.63</v>
      </c>
      <c r="P61" s="533">
        <v>78.62</v>
      </c>
      <c r="Q61" s="533">
        <v>76.92</v>
      </c>
      <c r="R61" s="533">
        <v>75.5</v>
      </c>
      <c r="S61" s="533">
        <v>74.349999999999994</v>
      </c>
      <c r="T61" s="534">
        <v>73.41</v>
      </c>
      <c r="U61" s="534">
        <v>72.66</v>
      </c>
      <c r="V61" s="531"/>
      <c r="W61" s="532">
        <v>72</v>
      </c>
      <c r="X61" s="533">
        <v>90.07</v>
      </c>
      <c r="Y61" s="533">
        <v>89.43</v>
      </c>
      <c r="Z61" s="533">
        <v>88.8</v>
      </c>
      <c r="AA61" s="533">
        <v>88.17</v>
      </c>
      <c r="AB61" s="533">
        <v>87.54</v>
      </c>
      <c r="AC61" s="533">
        <v>86.91</v>
      </c>
      <c r="AD61" s="533">
        <v>86.29</v>
      </c>
      <c r="AE61" s="533">
        <v>85.69</v>
      </c>
      <c r="AF61" s="533">
        <v>85.09</v>
      </c>
      <c r="AG61" s="533">
        <v>84.51</v>
      </c>
      <c r="AH61" s="533">
        <v>83.96</v>
      </c>
      <c r="AI61" s="533">
        <v>83.42</v>
      </c>
      <c r="AJ61" s="533">
        <v>81.02</v>
      </c>
      <c r="AK61" s="533">
        <v>78.989999999999995</v>
      </c>
      <c r="AL61" s="533">
        <v>77.260000000000005</v>
      </c>
      <c r="AM61" s="533">
        <v>75.84</v>
      </c>
      <c r="AN61" s="533">
        <v>74.67</v>
      </c>
      <c r="AO61" s="534">
        <v>73.72</v>
      </c>
      <c r="AP61" s="534">
        <v>72.97</v>
      </c>
      <c r="AQ61" s="531"/>
      <c r="AR61" s="532">
        <v>72</v>
      </c>
      <c r="AS61" s="533">
        <v>90.95</v>
      </c>
      <c r="AT61" s="533">
        <v>90.31</v>
      </c>
      <c r="AU61" s="533">
        <v>89.67</v>
      </c>
      <c r="AV61" s="533">
        <v>89.04</v>
      </c>
      <c r="AW61" s="533">
        <v>88.4</v>
      </c>
      <c r="AX61" s="533">
        <v>87.77</v>
      </c>
      <c r="AY61" s="533">
        <v>87.15</v>
      </c>
      <c r="AZ61" s="533">
        <v>86.54</v>
      </c>
      <c r="BA61" s="533">
        <v>85.94</v>
      </c>
      <c r="BB61" s="533">
        <v>85.35</v>
      </c>
      <c r="BC61" s="533">
        <v>84.79</v>
      </c>
      <c r="BD61" s="533">
        <v>84.25</v>
      </c>
      <c r="BE61" s="533">
        <v>81.819999999999993</v>
      </c>
      <c r="BF61" s="533">
        <v>79.760000000000005</v>
      </c>
      <c r="BG61" s="533">
        <v>78.02</v>
      </c>
      <c r="BH61" s="533">
        <v>76.569999999999993</v>
      </c>
      <c r="BI61" s="533">
        <v>75.38</v>
      </c>
      <c r="BJ61" s="535">
        <v>74.42</v>
      </c>
      <c r="BK61" s="535">
        <v>73.66</v>
      </c>
    </row>
    <row r="62" spans="2:63" x14ac:dyDescent="0.25">
      <c r="B62" s="532">
        <v>73</v>
      </c>
      <c r="C62" s="533">
        <v>91.92</v>
      </c>
      <c r="D62" s="533">
        <v>91.24</v>
      </c>
      <c r="E62" s="533">
        <v>90.57</v>
      </c>
      <c r="F62" s="533">
        <v>89.89</v>
      </c>
      <c r="G62" s="533">
        <v>89.22</v>
      </c>
      <c r="H62" s="533">
        <v>88.55</v>
      </c>
      <c r="I62" s="533">
        <v>87.88</v>
      </c>
      <c r="J62" s="533">
        <v>87.23</v>
      </c>
      <c r="K62" s="533">
        <v>86.58</v>
      </c>
      <c r="L62" s="533">
        <v>85.96</v>
      </c>
      <c r="M62" s="533">
        <v>85.35</v>
      </c>
      <c r="N62" s="533">
        <v>84.76</v>
      </c>
      <c r="O62" s="533">
        <v>82.16</v>
      </c>
      <c r="P62" s="533">
        <v>79.98</v>
      </c>
      <c r="Q62" s="533">
        <v>78.14</v>
      </c>
      <c r="R62" s="533">
        <v>76.61</v>
      </c>
      <c r="S62" s="533">
        <v>75.36</v>
      </c>
      <c r="T62" s="534">
        <v>74.349999999999994</v>
      </c>
      <c r="U62" s="534">
        <v>73.55</v>
      </c>
      <c r="V62" s="531"/>
      <c r="W62" s="532">
        <v>73</v>
      </c>
      <c r="X62" s="533">
        <v>92.45</v>
      </c>
      <c r="Y62" s="533">
        <v>91.77</v>
      </c>
      <c r="Z62" s="533">
        <v>91.08</v>
      </c>
      <c r="AA62" s="533">
        <v>90.4</v>
      </c>
      <c r="AB62" s="533">
        <v>89.71</v>
      </c>
      <c r="AC62" s="533">
        <v>89.03</v>
      </c>
      <c r="AD62" s="533">
        <v>88.36</v>
      </c>
      <c r="AE62" s="533">
        <v>87.7</v>
      </c>
      <c r="AF62" s="533">
        <v>87.04</v>
      </c>
      <c r="AG62" s="533">
        <v>86.41</v>
      </c>
      <c r="AH62" s="533">
        <v>85.79</v>
      </c>
      <c r="AI62" s="533">
        <v>85.2</v>
      </c>
      <c r="AJ62" s="533">
        <v>82.56</v>
      </c>
      <c r="AK62" s="533">
        <v>80.36</v>
      </c>
      <c r="AL62" s="533">
        <v>78.489999999999995</v>
      </c>
      <c r="AM62" s="533">
        <v>76.95</v>
      </c>
      <c r="AN62" s="533">
        <v>75.69</v>
      </c>
      <c r="AO62" s="534">
        <v>74.67</v>
      </c>
      <c r="AP62" s="534">
        <v>73.86</v>
      </c>
      <c r="AQ62" s="531"/>
      <c r="AR62" s="532">
        <v>73</v>
      </c>
      <c r="AS62" s="533">
        <v>93.35</v>
      </c>
      <c r="AT62" s="533">
        <v>92.66</v>
      </c>
      <c r="AU62" s="533">
        <v>91.98</v>
      </c>
      <c r="AV62" s="533">
        <v>91.29</v>
      </c>
      <c r="AW62" s="533">
        <v>90.6</v>
      </c>
      <c r="AX62" s="533">
        <v>89.92</v>
      </c>
      <c r="AY62" s="533">
        <v>89.24</v>
      </c>
      <c r="AZ62" s="533">
        <v>88.57</v>
      </c>
      <c r="BA62" s="533">
        <v>87.91</v>
      </c>
      <c r="BB62" s="533">
        <v>87.27</v>
      </c>
      <c r="BC62" s="533">
        <v>86.65</v>
      </c>
      <c r="BD62" s="533">
        <v>86.05</v>
      </c>
      <c r="BE62" s="533">
        <v>83.39</v>
      </c>
      <c r="BF62" s="533">
        <v>81.16</v>
      </c>
      <c r="BG62" s="533">
        <v>79.27</v>
      </c>
      <c r="BH62" s="533">
        <v>77.7</v>
      </c>
      <c r="BI62" s="533">
        <v>76.42</v>
      </c>
      <c r="BJ62" s="535">
        <v>75.39</v>
      </c>
      <c r="BK62" s="535">
        <v>74.56</v>
      </c>
    </row>
    <row r="63" spans="2:63" x14ac:dyDescent="0.25">
      <c r="B63" s="532">
        <v>74</v>
      </c>
      <c r="C63" s="533">
        <v>94.42</v>
      </c>
      <c r="D63" s="533">
        <v>93.7</v>
      </c>
      <c r="E63" s="533">
        <v>92.97</v>
      </c>
      <c r="F63" s="533">
        <v>92.24</v>
      </c>
      <c r="G63" s="533">
        <v>91.51</v>
      </c>
      <c r="H63" s="533">
        <v>90.78</v>
      </c>
      <c r="I63" s="533">
        <v>90.06</v>
      </c>
      <c r="J63" s="533">
        <v>89.35</v>
      </c>
      <c r="K63" s="533">
        <v>88.64</v>
      </c>
      <c r="L63" s="533">
        <v>87.96</v>
      </c>
      <c r="M63" s="533">
        <v>87.29</v>
      </c>
      <c r="N63" s="533">
        <v>86.64</v>
      </c>
      <c r="O63" s="533">
        <v>83.78</v>
      </c>
      <c r="P63" s="533">
        <v>81.41</v>
      </c>
      <c r="Q63" s="533">
        <v>79.41</v>
      </c>
      <c r="R63" s="533">
        <v>77.760000000000005</v>
      </c>
      <c r="S63" s="533">
        <v>76.42</v>
      </c>
      <c r="T63" s="534">
        <v>75.33</v>
      </c>
      <c r="U63" s="534">
        <v>74.459999999999994</v>
      </c>
      <c r="V63" s="531"/>
      <c r="W63" s="532">
        <v>74</v>
      </c>
      <c r="X63" s="533">
        <v>94.99</v>
      </c>
      <c r="Y63" s="533">
        <v>94.25</v>
      </c>
      <c r="Z63" s="533">
        <v>93.52</v>
      </c>
      <c r="AA63" s="533">
        <v>92.77</v>
      </c>
      <c r="AB63" s="533">
        <v>92.03</v>
      </c>
      <c r="AC63" s="533">
        <v>91.3</v>
      </c>
      <c r="AD63" s="533">
        <v>90.57</v>
      </c>
      <c r="AE63" s="533">
        <v>89.84</v>
      </c>
      <c r="AF63" s="533">
        <v>89.13</v>
      </c>
      <c r="AG63" s="533">
        <v>88.44</v>
      </c>
      <c r="AH63" s="533">
        <v>87.76</v>
      </c>
      <c r="AI63" s="533">
        <v>87.1</v>
      </c>
      <c r="AJ63" s="533">
        <v>84.2</v>
      </c>
      <c r="AK63" s="533">
        <v>81.8</v>
      </c>
      <c r="AL63" s="533">
        <v>79.790000000000006</v>
      </c>
      <c r="AM63" s="533">
        <v>78.12</v>
      </c>
      <c r="AN63" s="533">
        <v>76.760000000000005</v>
      </c>
      <c r="AO63" s="534">
        <v>75.66</v>
      </c>
      <c r="AP63" s="534">
        <v>74.78</v>
      </c>
      <c r="AQ63" s="531"/>
      <c r="AR63" s="532">
        <v>74</v>
      </c>
      <c r="AS63" s="533">
        <v>95.91</v>
      </c>
      <c r="AT63" s="533">
        <v>95.17</v>
      </c>
      <c r="AU63" s="533">
        <v>94.43</v>
      </c>
      <c r="AV63" s="533">
        <v>93.69</v>
      </c>
      <c r="AW63" s="533">
        <v>92.95</v>
      </c>
      <c r="AX63" s="533">
        <v>92.2</v>
      </c>
      <c r="AY63" s="533">
        <v>91.47</v>
      </c>
      <c r="AZ63" s="533">
        <v>90.74</v>
      </c>
      <c r="BA63" s="533">
        <v>90.02</v>
      </c>
      <c r="BB63" s="533">
        <v>89.32</v>
      </c>
      <c r="BC63" s="533">
        <v>88.64</v>
      </c>
      <c r="BD63" s="533">
        <v>87.98</v>
      </c>
      <c r="BE63" s="533">
        <v>85.05</v>
      </c>
      <c r="BF63" s="533">
        <v>82.62</v>
      </c>
      <c r="BG63" s="533">
        <v>80.58</v>
      </c>
      <c r="BH63" s="533">
        <v>78.89</v>
      </c>
      <c r="BI63" s="533">
        <v>77.510000000000005</v>
      </c>
      <c r="BJ63" s="535">
        <v>76.39</v>
      </c>
      <c r="BK63" s="535">
        <v>75.5</v>
      </c>
    </row>
    <row r="64" spans="2:63" x14ac:dyDescent="0.25">
      <c r="B64" s="532">
        <v>75</v>
      </c>
      <c r="C64" s="533">
        <v>97.08</v>
      </c>
      <c r="D64" s="533">
        <v>96.31</v>
      </c>
      <c r="E64" s="533">
        <v>95.52</v>
      </c>
      <c r="F64" s="533">
        <v>94.74</v>
      </c>
      <c r="G64" s="533">
        <v>93.95</v>
      </c>
      <c r="H64" s="533">
        <v>93.16</v>
      </c>
      <c r="I64" s="533">
        <v>92.38</v>
      </c>
      <c r="J64" s="533">
        <v>91.61</v>
      </c>
      <c r="K64" s="533">
        <v>90.84</v>
      </c>
      <c r="L64" s="533">
        <v>90.09</v>
      </c>
      <c r="M64" s="533">
        <v>89.36</v>
      </c>
      <c r="N64" s="533">
        <v>88.65</v>
      </c>
      <c r="O64" s="533">
        <v>85.49</v>
      </c>
      <c r="P64" s="533">
        <v>82.91</v>
      </c>
      <c r="Q64" s="533">
        <v>80.760000000000005</v>
      </c>
      <c r="R64" s="533">
        <v>78.97</v>
      </c>
      <c r="S64" s="533">
        <v>77.510000000000005</v>
      </c>
      <c r="T64" s="534">
        <v>76.34</v>
      </c>
      <c r="U64" s="534">
        <v>75.41</v>
      </c>
      <c r="V64" s="531"/>
      <c r="W64" s="532">
        <v>75</v>
      </c>
      <c r="X64" s="533">
        <v>97.69</v>
      </c>
      <c r="Y64" s="533">
        <v>96.9</v>
      </c>
      <c r="Z64" s="533">
        <v>96.11</v>
      </c>
      <c r="AA64" s="533">
        <v>95.31</v>
      </c>
      <c r="AB64" s="533">
        <v>94.51</v>
      </c>
      <c r="AC64" s="533">
        <v>93.71</v>
      </c>
      <c r="AD64" s="533">
        <v>92.92</v>
      </c>
      <c r="AE64" s="533">
        <v>92.13</v>
      </c>
      <c r="AF64" s="533">
        <v>91.36</v>
      </c>
      <c r="AG64" s="533">
        <v>90.6</v>
      </c>
      <c r="AH64" s="533">
        <v>89.86</v>
      </c>
      <c r="AI64" s="533">
        <v>89.13</v>
      </c>
      <c r="AJ64" s="533">
        <v>85.93</v>
      </c>
      <c r="AK64" s="533">
        <v>83.32</v>
      </c>
      <c r="AL64" s="533">
        <v>81.14</v>
      </c>
      <c r="AM64" s="533">
        <v>79.34</v>
      </c>
      <c r="AN64" s="533">
        <v>77.87</v>
      </c>
      <c r="AO64" s="534">
        <v>76.680000000000007</v>
      </c>
      <c r="AP64" s="534">
        <v>75.739999999999995</v>
      </c>
      <c r="AQ64" s="531"/>
      <c r="AR64" s="532">
        <v>75</v>
      </c>
      <c r="AS64" s="533">
        <v>98.64</v>
      </c>
      <c r="AT64" s="533">
        <v>97.84</v>
      </c>
      <c r="AU64" s="533">
        <v>97.05</v>
      </c>
      <c r="AV64" s="533">
        <v>96.25</v>
      </c>
      <c r="AW64" s="533">
        <v>95.44</v>
      </c>
      <c r="AX64" s="533">
        <v>94.64</v>
      </c>
      <c r="AY64" s="533">
        <v>93.84</v>
      </c>
      <c r="AZ64" s="533">
        <v>93.05</v>
      </c>
      <c r="BA64" s="533">
        <v>92.27</v>
      </c>
      <c r="BB64" s="533">
        <v>91.51</v>
      </c>
      <c r="BC64" s="533">
        <v>90.76</v>
      </c>
      <c r="BD64" s="533">
        <v>90.03</v>
      </c>
      <c r="BE64" s="533">
        <v>86.8</v>
      </c>
      <c r="BF64" s="533">
        <v>84.16</v>
      </c>
      <c r="BG64" s="533">
        <v>81.96</v>
      </c>
      <c r="BH64" s="533">
        <v>80.13</v>
      </c>
      <c r="BI64" s="533">
        <v>78.63</v>
      </c>
      <c r="BJ64" s="535">
        <v>77.430000000000007</v>
      </c>
      <c r="BK64" s="535">
        <v>76.47</v>
      </c>
    </row>
    <row r="65" spans="2:63" x14ac:dyDescent="0.25">
      <c r="B65" s="532">
        <v>76</v>
      </c>
      <c r="C65" s="533">
        <v>99.92</v>
      </c>
      <c r="D65" s="533">
        <v>99.08</v>
      </c>
      <c r="E65" s="533">
        <v>98.24</v>
      </c>
      <c r="F65" s="533">
        <v>97.39</v>
      </c>
      <c r="G65" s="533">
        <v>96.55</v>
      </c>
      <c r="H65" s="533">
        <v>95.7</v>
      </c>
      <c r="I65" s="533">
        <v>94.85</v>
      </c>
      <c r="J65" s="533">
        <v>94.01</v>
      </c>
      <c r="K65" s="533">
        <v>93.18</v>
      </c>
      <c r="L65" s="533">
        <v>92.37</v>
      </c>
      <c r="M65" s="533">
        <v>91.57</v>
      </c>
      <c r="N65" s="533">
        <v>90.79</v>
      </c>
      <c r="O65" s="533">
        <v>87.3</v>
      </c>
      <c r="P65" s="533">
        <v>84.49</v>
      </c>
      <c r="Q65" s="533">
        <v>82.16</v>
      </c>
      <c r="R65" s="533">
        <v>80.23</v>
      </c>
      <c r="S65" s="533">
        <v>78.66</v>
      </c>
      <c r="T65" s="534">
        <v>77.39</v>
      </c>
      <c r="U65" s="534">
        <v>76.38</v>
      </c>
      <c r="V65" s="531"/>
      <c r="W65" s="532">
        <v>76</v>
      </c>
      <c r="X65" s="533">
        <v>100.57</v>
      </c>
      <c r="Y65" s="533">
        <v>99.72</v>
      </c>
      <c r="Z65" s="533">
        <v>98.87</v>
      </c>
      <c r="AA65" s="533">
        <v>98.01</v>
      </c>
      <c r="AB65" s="533">
        <v>97.15</v>
      </c>
      <c r="AC65" s="533">
        <v>96.29</v>
      </c>
      <c r="AD65" s="533">
        <v>95.43</v>
      </c>
      <c r="AE65" s="533">
        <v>94.58</v>
      </c>
      <c r="AF65" s="533">
        <v>93.74</v>
      </c>
      <c r="AG65" s="533">
        <v>92.91</v>
      </c>
      <c r="AH65" s="533">
        <v>92.09</v>
      </c>
      <c r="AI65" s="533">
        <v>91.3</v>
      </c>
      <c r="AJ65" s="533">
        <v>87.77</v>
      </c>
      <c r="AK65" s="533">
        <v>84.92</v>
      </c>
      <c r="AL65" s="533">
        <v>82.56</v>
      </c>
      <c r="AM65" s="533">
        <v>80.61</v>
      </c>
      <c r="AN65" s="533">
        <v>79.02</v>
      </c>
      <c r="AO65" s="534">
        <v>77.739999999999995</v>
      </c>
      <c r="AP65" s="534">
        <v>76.72</v>
      </c>
      <c r="AQ65" s="531"/>
      <c r="AR65" s="532">
        <v>76</v>
      </c>
      <c r="AS65" s="533">
        <v>101.53</v>
      </c>
      <c r="AT65" s="533">
        <v>100.68</v>
      </c>
      <c r="AU65" s="533">
        <v>99.83</v>
      </c>
      <c r="AV65" s="533">
        <v>98.97</v>
      </c>
      <c r="AW65" s="533">
        <v>98.1</v>
      </c>
      <c r="AX65" s="533">
        <v>97.24</v>
      </c>
      <c r="AY65" s="533">
        <v>96.38</v>
      </c>
      <c r="AZ65" s="533">
        <v>95.52</v>
      </c>
      <c r="BA65" s="533">
        <v>94.67</v>
      </c>
      <c r="BB65" s="533">
        <v>93.84</v>
      </c>
      <c r="BC65" s="533">
        <v>93.02</v>
      </c>
      <c r="BD65" s="533">
        <v>92.23</v>
      </c>
      <c r="BE65" s="533">
        <v>88.66</v>
      </c>
      <c r="BF65" s="533">
        <v>85.78</v>
      </c>
      <c r="BG65" s="533">
        <v>83.4</v>
      </c>
      <c r="BH65" s="533">
        <v>81.42</v>
      </c>
      <c r="BI65" s="533">
        <v>79.81</v>
      </c>
      <c r="BJ65" s="535">
        <v>78.510000000000005</v>
      </c>
      <c r="BK65" s="535">
        <v>77.48</v>
      </c>
    </row>
    <row r="66" spans="2:63" x14ac:dyDescent="0.25">
      <c r="B66" s="532">
        <v>77</v>
      </c>
      <c r="C66" s="533">
        <v>102.92</v>
      </c>
      <c r="D66" s="533">
        <v>102.03</v>
      </c>
      <c r="E66" s="533">
        <v>101.13</v>
      </c>
      <c r="F66" s="533">
        <v>100.22</v>
      </c>
      <c r="G66" s="533">
        <v>99.31</v>
      </c>
      <c r="H66" s="533">
        <v>98.39</v>
      </c>
      <c r="I66" s="533">
        <v>97.48</v>
      </c>
      <c r="J66" s="533">
        <v>96.58</v>
      </c>
      <c r="K66" s="533">
        <v>95.68</v>
      </c>
      <c r="L66" s="533">
        <v>94.79</v>
      </c>
      <c r="M66" s="533">
        <v>93.92</v>
      </c>
      <c r="N66" s="533">
        <v>93.07</v>
      </c>
      <c r="O66" s="533">
        <v>89.22</v>
      </c>
      <c r="P66" s="533">
        <v>86.15</v>
      </c>
      <c r="Q66" s="533">
        <v>83.63</v>
      </c>
      <c r="R66" s="533">
        <v>81.540000000000006</v>
      </c>
      <c r="S66" s="533">
        <v>79.84</v>
      </c>
      <c r="T66" s="534">
        <v>78.48</v>
      </c>
      <c r="U66" s="534">
        <v>77.39</v>
      </c>
      <c r="V66" s="531"/>
      <c r="W66" s="532">
        <v>77</v>
      </c>
      <c r="X66" s="533">
        <v>103.62</v>
      </c>
      <c r="Y66" s="533">
        <v>102.72</v>
      </c>
      <c r="Z66" s="533">
        <v>101.8</v>
      </c>
      <c r="AA66" s="533">
        <v>100.88</v>
      </c>
      <c r="AB66" s="533">
        <v>99.95</v>
      </c>
      <c r="AC66" s="533">
        <v>99.02</v>
      </c>
      <c r="AD66" s="533">
        <v>98.1</v>
      </c>
      <c r="AE66" s="533">
        <v>97.18</v>
      </c>
      <c r="AF66" s="533">
        <v>96.27</v>
      </c>
      <c r="AG66" s="533">
        <v>95.37</v>
      </c>
      <c r="AH66" s="533">
        <v>94.48</v>
      </c>
      <c r="AI66" s="533">
        <v>93.62</v>
      </c>
      <c r="AJ66" s="533">
        <v>89.72</v>
      </c>
      <c r="AK66" s="533">
        <v>86.6</v>
      </c>
      <c r="AL66" s="533">
        <v>84.05</v>
      </c>
      <c r="AM66" s="533">
        <v>81.94</v>
      </c>
      <c r="AN66" s="533">
        <v>80.22</v>
      </c>
      <c r="AO66" s="534">
        <v>78.84</v>
      </c>
      <c r="AP66" s="534">
        <v>77.739999999999995</v>
      </c>
      <c r="AQ66" s="531"/>
      <c r="AR66" s="532">
        <v>77</v>
      </c>
      <c r="AS66" s="533">
        <v>104.61</v>
      </c>
      <c r="AT66" s="533">
        <v>103.7</v>
      </c>
      <c r="AU66" s="533">
        <v>102.78</v>
      </c>
      <c r="AV66" s="533">
        <v>101.86</v>
      </c>
      <c r="AW66" s="533">
        <v>100.93</v>
      </c>
      <c r="AX66" s="533">
        <v>100</v>
      </c>
      <c r="AY66" s="533">
        <v>99.07</v>
      </c>
      <c r="AZ66" s="533">
        <v>98.14</v>
      </c>
      <c r="BA66" s="533">
        <v>97.23</v>
      </c>
      <c r="BB66" s="533">
        <v>96.32</v>
      </c>
      <c r="BC66" s="533">
        <v>95.43</v>
      </c>
      <c r="BD66" s="533">
        <v>94.56</v>
      </c>
      <c r="BE66" s="533">
        <v>90.63</v>
      </c>
      <c r="BF66" s="533">
        <v>87.49</v>
      </c>
      <c r="BG66" s="533">
        <v>84.91</v>
      </c>
      <c r="BH66" s="533">
        <v>82.77</v>
      </c>
      <c r="BI66" s="533">
        <v>81.03</v>
      </c>
      <c r="BJ66" s="535">
        <v>79.62</v>
      </c>
      <c r="BK66" s="535">
        <v>78.510000000000005</v>
      </c>
    </row>
    <row r="67" spans="2:63" x14ac:dyDescent="0.25">
      <c r="B67" s="532">
        <v>78</v>
      </c>
      <c r="C67" s="533">
        <v>106.11</v>
      </c>
      <c r="D67" s="533">
        <v>105.16</v>
      </c>
      <c r="E67" s="533">
        <v>104.19</v>
      </c>
      <c r="F67" s="533">
        <v>103.22</v>
      </c>
      <c r="G67" s="533">
        <v>102.24</v>
      </c>
      <c r="H67" s="533">
        <v>101.26</v>
      </c>
      <c r="I67" s="533">
        <v>100.28</v>
      </c>
      <c r="J67" s="533">
        <v>99.3</v>
      </c>
      <c r="K67" s="533">
        <v>98.33</v>
      </c>
      <c r="L67" s="533">
        <v>97.37</v>
      </c>
      <c r="M67" s="533">
        <v>96.42</v>
      </c>
      <c r="N67" s="533">
        <v>95.5</v>
      </c>
      <c r="O67" s="533">
        <v>91.26</v>
      </c>
      <c r="P67" s="533">
        <v>87.89</v>
      </c>
      <c r="Q67" s="533">
        <v>85.17</v>
      </c>
      <c r="R67" s="533">
        <v>82.91</v>
      </c>
      <c r="S67" s="533">
        <v>81.069999999999993</v>
      </c>
      <c r="T67" s="534">
        <v>79.599999999999994</v>
      </c>
      <c r="U67" s="534">
        <v>78.430000000000007</v>
      </c>
      <c r="V67" s="531"/>
      <c r="W67" s="532">
        <v>78</v>
      </c>
      <c r="X67" s="533">
        <v>106.87</v>
      </c>
      <c r="Y67" s="533">
        <v>105.9</v>
      </c>
      <c r="Z67" s="533">
        <v>104.91</v>
      </c>
      <c r="AA67" s="533">
        <v>103.93</v>
      </c>
      <c r="AB67" s="533">
        <v>102.93</v>
      </c>
      <c r="AC67" s="533">
        <v>101.93</v>
      </c>
      <c r="AD67" s="533">
        <v>100.94</v>
      </c>
      <c r="AE67" s="533">
        <v>99.94</v>
      </c>
      <c r="AF67" s="533">
        <v>98.96</v>
      </c>
      <c r="AG67" s="533">
        <v>97.98</v>
      </c>
      <c r="AH67" s="533">
        <v>97.02</v>
      </c>
      <c r="AI67" s="533">
        <v>96.08</v>
      </c>
      <c r="AJ67" s="533">
        <v>91.79</v>
      </c>
      <c r="AK67" s="533">
        <v>88.37</v>
      </c>
      <c r="AL67" s="533">
        <v>85.61</v>
      </c>
      <c r="AM67" s="533">
        <v>83.32</v>
      </c>
      <c r="AN67" s="533">
        <v>81.47</v>
      </c>
      <c r="AO67" s="534">
        <v>79.98</v>
      </c>
      <c r="AP67" s="534">
        <v>78.790000000000006</v>
      </c>
      <c r="AQ67" s="531"/>
      <c r="AR67" s="532">
        <v>78</v>
      </c>
      <c r="AS67" s="533">
        <v>107.87</v>
      </c>
      <c r="AT67" s="533">
        <v>106.9</v>
      </c>
      <c r="AU67" s="533">
        <v>105.92</v>
      </c>
      <c r="AV67" s="533">
        <v>104.93</v>
      </c>
      <c r="AW67" s="533">
        <v>103.93</v>
      </c>
      <c r="AX67" s="533">
        <v>102.93</v>
      </c>
      <c r="AY67" s="533">
        <v>101.93</v>
      </c>
      <c r="AZ67" s="533">
        <v>100.93</v>
      </c>
      <c r="BA67" s="533">
        <v>99.94</v>
      </c>
      <c r="BB67" s="533">
        <v>98.97</v>
      </c>
      <c r="BC67" s="533">
        <v>98</v>
      </c>
      <c r="BD67" s="533">
        <v>97.05</v>
      </c>
      <c r="BE67" s="533">
        <v>92.73</v>
      </c>
      <c r="BF67" s="533">
        <v>89.28</v>
      </c>
      <c r="BG67" s="533">
        <v>86.49</v>
      </c>
      <c r="BH67" s="533">
        <v>84.17</v>
      </c>
      <c r="BI67" s="533">
        <v>82.29</v>
      </c>
      <c r="BJ67" s="535">
        <v>80.78</v>
      </c>
      <c r="BK67" s="535">
        <v>79.58</v>
      </c>
    </row>
    <row r="68" spans="2:63" x14ac:dyDescent="0.25">
      <c r="B68" s="532">
        <v>79</v>
      </c>
      <c r="C68" s="533">
        <v>109.49</v>
      </c>
      <c r="D68" s="533">
        <v>108.47</v>
      </c>
      <c r="E68" s="533">
        <v>107.44</v>
      </c>
      <c r="F68" s="533">
        <v>106.4</v>
      </c>
      <c r="G68" s="533">
        <v>105.35</v>
      </c>
      <c r="H68" s="533">
        <v>104.3</v>
      </c>
      <c r="I68" s="533">
        <v>103.24</v>
      </c>
      <c r="J68" s="533">
        <v>102.19</v>
      </c>
      <c r="K68" s="533">
        <v>101.15</v>
      </c>
      <c r="L68" s="533">
        <v>100.11</v>
      </c>
      <c r="M68" s="533">
        <v>99.09</v>
      </c>
      <c r="N68" s="533">
        <v>98.08</v>
      </c>
      <c r="O68" s="533">
        <v>93.44</v>
      </c>
      <c r="P68" s="533">
        <v>89.73</v>
      </c>
      <c r="Q68" s="533">
        <v>86.78</v>
      </c>
      <c r="R68" s="533">
        <v>84.34</v>
      </c>
      <c r="S68" s="533">
        <v>82.35</v>
      </c>
      <c r="T68" s="534">
        <v>80.760000000000005</v>
      </c>
      <c r="U68" s="534">
        <v>79.5</v>
      </c>
      <c r="V68" s="531"/>
      <c r="W68" s="532">
        <v>79</v>
      </c>
      <c r="X68" s="533">
        <v>110.31</v>
      </c>
      <c r="Y68" s="533">
        <v>109.27</v>
      </c>
      <c r="Z68" s="533">
        <v>108.22</v>
      </c>
      <c r="AA68" s="533">
        <v>107.16</v>
      </c>
      <c r="AB68" s="533">
        <v>106.09</v>
      </c>
      <c r="AC68" s="533">
        <v>105.02</v>
      </c>
      <c r="AD68" s="533">
        <v>103.95</v>
      </c>
      <c r="AE68" s="533">
        <v>102.88</v>
      </c>
      <c r="AF68" s="533">
        <v>101.82</v>
      </c>
      <c r="AG68" s="533">
        <v>100.77</v>
      </c>
      <c r="AH68" s="533">
        <v>99.73</v>
      </c>
      <c r="AI68" s="533">
        <v>98.71</v>
      </c>
      <c r="AJ68" s="533">
        <v>94</v>
      </c>
      <c r="AK68" s="533">
        <v>90.24</v>
      </c>
      <c r="AL68" s="533">
        <v>87.24</v>
      </c>
      <c r="AM68" s="533">
        <v>84.77</v>
      </c>
      <c r="AN68" s="533">
        <v>82.76</v>
      </c>
      <c r="AO68" s="534">
        <v>81.150000000000006</v>
      </c>
      <c r="AP68" s="534">
        <v>79.87</v>
      </c>
      <c r="AQ68" s="531"/>
      <c r="AR68" s="532">
        <v>79</v>
      </c>
      <c r="AS68" s="533">
        <v>111.32</v>
      </c>
      <c r="AT68" s="533">
        <v>110.29</v>
      </c>
      <c r="AU68" s="533">
        <v>109.24</v>
      </c>
      <c r="AV68" s="533">
        <v>108.18</v>
      </c>
      <c r="AW68" s="533">
        <v>107.11</v>
      </c>
      <c r="AX68" s="533">
        <v>106.04</v>
      </c>
      <c r="AY68" s="533">
        <v>104.97</v>
      </c>
      <c r="AZ68" s="533">
        <v>103.9</v>
      </c>
      <c r="BA68" s="533">
        <v>102.83</v>
      </c>
      <c r="BB68" s="533">
        <v>101.77</v>
      </c>
      <c r="BC68" s="533">
        <v>100.73</v>
      </c>
      <c r="BD68" s="533">
        <v>99.7</v>
      </c>
      <c r="BE68" s="533">
        <v>94.96</v>
      </c>
      <c r="BF68" s="533">
        <v>91.17</v>
      </c>
      <c r="BG68" s="533">
        <v>88.14</v>
      </c>
      <c r="BH68" s="533">
        <v>85.64</v>
      </c>
      <c r="BI68" s="533">
        <v>83.61</v>
      </c>
      <c r="BJ68" s="535">
        <v>81.98</v>
      </c>
      <c r="BK68" s="535">
        <v>80.680000000000007</v>
      </c>
    </row>
    <row r="69" spans="2:63" x14ac:dyDescent="0.25">
      <c r="B69" s="532">
        <v>80</v>
      </c>
      <c r="C69" s="533">
        <v>113.07</v>
      </c>
      <c r="D69" s="533">
        <v>111.98</v>
      </c>
      <c r="E69" s="533">
        <v>110.88</v>
      </c>
      <c r="F69" s="533">
        <v>109.77</v>
      </c>
      <c r="G69" s="533">
        <v>108.65</v>
      </c>
      <c r="H69" s="533">
        <v>107.52</v>
      </c>
      <c r="I69" s="533">
        <v>106.39</v>
      </c>
      <c r="J69" s="533">
        <v>105.26</v>
      </c>
      <c r="K69" s="533">
        <v>104.14</v>
      </c>
      <c r="L69" s="533">
        <v>103.02</v>
      </c>
      <c r="M69" s="533">
        <v>101.92</v>
      </c>
      <c r="N69" s="533">
        <v>100.83</v>
      </c>
      <c r="O69" s="533">
        <v>95.76</v>
      </c>
      <c r="P69" s="533">
        <v>91.67</v>
      </c>
      <c r="Q69" s="533">
        <v>88.46</v>
      </c>
      <c r="R69" s="533">
        <v>85.83</v>
      </c>
      <c r="S69" s="533">
        <v>83.68</v>
      </c>
      <c r="T69" s="534">
        <v>81.97</v>
      </c>
      <c r="U69" s="534">
        <v>80.599999999999994</v>
      </c>
      <c r="V69" s="531"/>
      <c r="W69" s="532">
        <v>80</v>
      </c>
      <c r="X69" s="533">
        <v>113.95</v>
      </c>
      <c r="Y69" s="533">
        <v>112.84</v>
      </c>
      <c r="Z69" s="533">
        <v>111.72</v>
      </c>
      <c r="AA69" s="533">
        <v>110.59</v>
      </c>
      <c r="AB69" s="533">
        <v>109.45</v>
      </c>
      <c r="AC69" s="533">
        <v>108.3</v>
      </c>
      <c r="AD69" s="533">
        <v>107.15</v>
      </c>
      <c r="AE69" s="533">
        <v>106.01</v>
      </c>
      <c r="AF69" s="533">
        <v>104.86</v>
      </c>
      <c r="AG69" s="533">
        <v>103.73</v>
      </c>
      <c r="AH69" s="533">
        <v>102.61</v>
      </c>
      <c r="AI69" s="533">
        <v>101.5</v>
      </c>
      <c r="AJ69" s="533">
        <v>96.35</v>
      </c>
      <c r="AK69" s="533">
        <v>92.21</v>
      </c>
      <c r="AL69" s="533">
        <v>88.94</v>
      </c>
      <c r="AM69" s="533">
        <v>86.28</v>
      </c>
      <c r="AN69" s="533">
        <v>84.11</v>
      </c>
      <c r="AO69" s="534">
        <v>82.37</v>
      </c>
      <c r="AP69" s="534">
        <v>80.989999999999995</v>
      </c>
      <c r="AQ69" s="531"/>
      <c r="AR69" s="532">
        <v>80</v>
      </c>
      <c r="AS69" s="533">
        <v>114.98</v>
      </c>
      <c r="AT69" s="533">
        <v>113.88</v>
      </c>
      <c r="AU69" s="533">
        <v>112.76</v>
      </c>
      <c r="AV69" s="533">
        <v>111.63</v>
      </c>
      <c r="AW69" s="533">
        <v>110.49</v>
      </c>
      <c r="AX69" s="533">
        <v>109.34</v>
      </c>
      <c r="AY69" s="533">
        <v>108.19</v>
      </c>
      <c r="AZ69" s="533">
        <v>107.04</v>
      </c>
      <c r="BA69" s="533">
        <v>105.89</v>
      </c>
      <c r="BB69" s="533">
        <v>104.76</v>
      </c>
      <c r="BC69" s="533">
        <v>103.63</v>
      </c>
      <c r="BD69" s="533">
        <v>102.52</v>
      </c>
      <c r="BE69" s="533">
        <v>97.34</v>
      </c>
      <c r="BF69" s="533">
        <v>93.16</v>
      </c>
      <c r="BG69" s="533">
        <v>89.86</v>
      </c>
      <c r="BH69" s="533">
        <v>87.17</v>
      </c>
      <c r="BI69" s="533">
        <v>84.97</v>
      </c>
      <c r="BJ69" s="535">
        <v>83.21</v>
      </c>
      <c r="BK69" s="535">
        <v>81.81</v>
      </c>
    </row>
    <row r="70" spans="2:63" x14ac:dyDescent="0.25">
      <c r="B70" s="532">
        <v>81</v>
      </c>
      <c r="C70" s="533">
        <v>116.86</v>
      </c>
      <c r="D70" s="533">
        <v>115.7</v>
      </c>
      <c r="E70" s="533">
        <v>114.52</v>
      </c>
      <c r="F70" s="533">
        <v>113.34</v>
      </c>
      <c r="G70" s="533">
        <v>112.14</v>
      </c>
      <c r="H70" s="533">
        <v>110.94</v>
      </c>
      <c r="I70" s="533">
        <v>109.73</v>
      </c>
      <c r="J70" s="533">
        <v>108.52</v>
      </c>
      <c r="K70" s="533">
        <v>107.31</v>
      </c>
      <c r="L70" s="533">
        <v>106.11</v>
      </c>
      <c r="M70" s="533">
        <v>104.92</v>
      </c>
      <c r="N70" s="533">
        <v>103.75</v>
      </c>
      <c r="O70" s="533">
        <v>98.24</v>
      </c>
      <c r="P70" s="533">
        <v>93.72</v>
      </c>
      <c r="Q70" s="533">
        <v>90.21</v>
      </c>
      <c r="R70" s="533">
        <v>87.38</v>
      </c>
      <c r="S70" s="533">
        <v>85.06</v>
      </c>
      <c r="T70" s="534">
        <v>83.21</v>
      </c>
      <c r="U70" s="534">
        <v>81.739999999999995</v>
      </c>
      <c r="V70" s="531"/>
      <c r="W70" s="532">
        <v>81</v>
      </c>
      <c r="X70" s="533">
        <v>117.8</v>
      </c>
      <c r="Y70" s="533">
        <v>116.62</v>
      </c>
      <c r="Z70" s="533">
        <v>115.43</v>
      </c>
      <c r="AA70" s="533">
        <v>114.22</v>
      </c>
      <c r="AB70" s="533">
        <v>113</v>
      </c>
      <c r="AC70" s="533">
        <v>111.78</v>
      </c>
      <c r="AD70" s="533">
        <v>110.55</v>
      </c>
      <c r="AE70" s="533">
        <v>109.32</v>
      </c>
      <c r="AF70" s="533">
        <v>108.09</v>
      </c>
      <c r="AG70" s="533">
        <v>106.87</v>
      </c>
      <c r="AH70" s="533">
        <v>105.66</v>
      </c>
      <c r="AI70" s="533">
        <v>104.47</v>
      </c>
      <c r="AJ70" s="533">
        <v>98.87</v>
      </c>
      <c r="AK70" s="533">
        <v>94.28</v>
      </c>
      <c r="AL70" s="533">
        <v>90.72</v>
      </c>
      <c r="AM70" s="533">
        <v>87.85</v>
      </c>
      <c r="AN70" s="533">
        <v>85.5</v>
      </c>
      <c r="AO70" s="534">
        <v>83.63</v>
      </c>
      <c r="AP70" s="534">
        <v>82.14</v>
      </c>
      <c r="AQ70" s="531"/>
      <c r="AR70" s="532">
        <v>81</v>
      </c>
      <c r="AS70" s="533">
        <v>118.85</v>
      </c>
      <c r="AT70" s="533">
        <v>117.68</v>
      </c>
      <c r="AU70" s="533">
        <v>116.49</v>
      </c>
      <c r="AV70" s="533">
        <v>115.28</v>
      </c>
      <c r="AW70" s="533">
        <v>114.06</v>
      </c>
      <c r="AX70" s="533">
        <v>112.84</v>
      </c>
      <c r="AY70" s="533">
        <v>111.61</v>
      </c>
      <c r="AZ70" s="533">
        <v>110.37</v>
      </c>
      <c r="BA70" s="533">
        <v>109.14</v>
      </c>
      <c r="BB70" s="533">
        <v>107.92</v>
      </c>
      <c r="BC70" s="533">
        <v>106.71</v>
      </c>
      <c r="BD70" s="533">
        <v>105.51</v>
      </c>
      <c r="BE70" s="533">
        <v>99.88</v>
      </c>
      <c r="BF70" s="533">
        <v>95.26</v>
      </c>
      <c r="BG70" s="533">
        <v>91.67</v>
      </c>
      <c r="BH70" s="533">
        <v>88.77</v>
      </c>
      <c r="BI70" s="533">
        <v>86.39</v>
      </c>
      <c r="BJ70" s="535">
        <v>84.49</v>
      </c>
      <c r="BK70" s="535">
        <v>82.98</v>
      </c>
    </row>
    <row r="71" spans="2:63" x14ac:dyDescent="0.25">
      <c r="B71" s="532">
        <v>82</v>
      </c>
      <c r="C71" s="533">
        <v>120.86</v>
      </c>
      <c r="D71" s="533">
        <v>119.63</v>
      </c>
      <c r="E71" s="533">
        <v>118.38</v>
      </c>
      <c r="F71" s="533">
        <v>117.11</v>
      </c>
      <c r="G71" s="533">
        <v>115.84</v>
      </c>
      <c r="H71" s="533">
        <v>114.55</v>
      </c>
      <c r="I71" s="533">
        <v>113.26</v>
      </c>
      <c r="J71" s="533">
        <v>111.97</v>
      </c>
      <c r="K71" s="533">
        <v>110.68</v>
      </c>
      <c r="L71" s="533">
        <v>109.39</v>
      </c>
      <c r="M71" s="533">
        <v>108.11</v>
      </c>
      <c r="N71" s="533">
        <v>106.84</v>
      </c>
      <c r="O71" s="533">
        <v>100.87</v>
      </c>
      <c r="P71" s="533">
        <v>95.88</v>
      </c>
      <c r="Q71" s="533">
        <v>92.06</v>
      </c>
      <c r="R71" s="533">
        <v>89</v>
      </c>
      <c r="S71" s="533">
        <v>86.49</v>
      </c>
      <c r="T71" s="534">
        <v>84.49</v>
      </c>
      <c r="U71" s="534">
        <v>82.91</v>
      </c>
      <c r="V71" s="531"/>
      <c r="W71" s="532">
        <v>82</v>
      </c>
      <c r="X71" s="533">
        <v>121.88</v>
      </c>
      <c r="Y71" s="533">
        <v>120.63</v>
      </c>
      <c r="Z71" s="533">
        <v>119.35</v>
      </c>
      <c r="AA71" s="533">
        <v>118.07</v>
      </c>
      <c r="AB71" s="533">
        <v>116.77</v>
      </c>
      <c r="AC71" s="533">
        <v>115.46</v>
      </c>
      <c r="AD71" s="533">
        <v>114.15</v>
      </c>
      <c r="AE71" s="533">
        <v>112.83</v>
      </c>
      <c r="AF71" s="533">
        <v>111.52</v>
      </c>
      <c r="AG71" s="533">
        <v>110.21</v>
      </c>
      <c r="AH71" s="533">
        <v>108.9</v>
      </c>
      <c r="AI71" s="533">
        <v>107.62</v>
      </c>
      <c r="AJ71" s="533">
        <v>101.54</v>
      </c>
      <c r="AK71" s="533">
        <v>96.48</v>
      </c>
      <c r="AL71" s="533">
        <v>92.59</v>
      </c>
      <c r="AM71" s="533">
        <v>89.49</v>
      </c>
      <c r="AN71" s="533">
        <v>86.95</v>
      </c>
      <c r="AO71" s="534">
        <v>84.93</v>
      </c>
      <c r="AP71" s="534">
        <v>83.32</v>
      </c>
      <c r="AQ71" s="531"/>
      <c r="AR71" s="532">
        <v>82</v>
      </c>
      <c r="AS71" s="533">
        <v>122.94</v>
      </c>
      <c r="AT71" s="533">
        <v>121.69</v>
      </c>
      <c r="AU71" s="533">
        <v>120.43</v>
      </c>
      <c r="AV71" s="533">
        <v>119.14</v>
      </c>
      <c r="AW71" s="533">
        <v>117.85</v>
      </c>
      <c r="AX71" s="533">
        <v>116.54</v>
      </c>
      <c r="AY71" s="533">
        <v>115.22</v>
      </c>
      <c r="AZ71" s="533">
        <v>113.9</v>
      </c>
      <c r="BA71" s="533">
        <v>112.59</v>
      </c>
      <c r="BB71" s="533">
        <v>111.27</v>
      </c>
      <c r="BC71" s="533">
        <v>109.97</v>
      </c>
      <c r="BD71" s="533">
        <v>108.68</v>
      </c>
      <c r="BE71" s="533">
        <v>102.58</v>
      </c>
      <c r="BF71" s="533">
        <v>97.48</v>
      </c>
      <c r="BG71" s="533">
        <v>93.56</v>
      </c>
      <c r="BH71" s="533">
        <v>90.43</v>
      </c>
      <c r="BI71" s="533">
        <v>87.86</v>
      </c>
      <c r="BJ71" s="535">
        <v>85.81</v>
      </c>
      <c r="BK71" s="535">
        <v>84.18</v>
      </c>
    </row>
    <row r="72" spans="2:63" x14ac:dyDescent="0.25">
      <c r="B72" s="532">
        <v>83</v>
      </c>
      <c r="C72" s="533">
        <v>125.09</v>
      </c>
      <c r="D72" s="533">
        <v>123.78</v>
      </c>
      <c r="E72" s="533">
        <v>122.45</v>
      </c>
      <c r="F72" s="533">
        <v>121.11</v>
      </c>
      <c r="G72" s="533">
        <v>119.75</v>
      </c>
      <c r="H72" s="533">
        <v>118.38</v>
      </c>
      <c r="I72" s="533">
        <v>117</v>
      </c>
      <c r="J72" s="533">
        <v>115.62</v>
      </c>
      <c r="K72" s="533">
        <v>114.24</v>
      </c>
      <c r="L72" s="533">
        <v>112.86</v>
      </c>
      <c r="M72" s="533">
        <v>111.49</v>
      </c>
      <c r="N72" s="533">
        <v>110.13</v>
      </c>
      <c r="O72" s="533">
        <v>103.67</v>
      </c>
      <c r="P72" s="533">
        <v>98.18</v>
      </c>
      <c r="Q72" s="533">
        <v>93.99</v>
      </c>
      <c r="R72" s="533">
        <v>90.68</v>
      </c>
      <c r="S72" s="533">
        <v>87.98</v>
      </c>
      <c r="T72" s="534">
        <v>85.82</v>
      </c>
      <c r="U72" s="534">
        <v>84.11</v>
      </c>
      <c r="V72" s="531"/>
      <c r="W72" s="532">
        <v>83</v>
      </c>
      <c r="X72" s="533">
        <v>126.19</v>
      </c>
      <c r="Y72" s="533">
        <v>124.86</v>
      </c>
      <c r="Z72" s="533">
        <v>123.5</v>
      </c>
      <c r="AA72" s="533">
        <v>122.14</v>
      </c>
      <c r="AB72" s="533">
        <v>120.75</v>
      </c>
      <c r="AC72" s="533">
        <v>119.36</v>
      </c>
      <c r="AD72" s="533">
        <v>117.96</v>
      </c>
      <c r="AE72" s="533">
        <v>116.55</v>
      </c>
      <c r="AF72" s="533">
        <v>115.14</v>
      </c>
      <c r="AG72" s="533">
        <v>113.74</v>
      </c>
      <c r="AH72" s="533">
        <v>112.35</v>
      </c>
      <c r="AI72" s="533">
        <v>110.96</v>
      </c>
      <c r="AJ72" s="533">
        <v>104.39</v>
      </c>
      <c r="AK72" s="533">
        <v>98.81</v>
      </c>
      <c r="AL72" s="533">
        <v>94.56</v>
      </c>
      <c r="AM72" s="533">
        <v>91.2</v>
      </c>
      <c r="AN72" s="533">
        <v>88.46</v>
      </c>
      <c r="AO72" s="534">
        <v>86.27</v>
      </c>
      <c r="AP72" s="534">
        <v>84.54</v>
      </c>
      <c r="AQ72" s="531"/>
      <c r="AR72" s="532">
        <v>83</v>
      </c>
      <c r="AS72" s="533">
        <v>127.27</v>
      </c>
      <c r="AT72" s="533">
        <v>125.94</v>
      </c>
      <c r="AU72" s="533">
        <v>124.59</v>
      </c>
      <c r="AV72" s="533">
        <v>123.23</v>
      </c>
      <c r="AW72" s="533">
        <v>121.85</v>
      </c>
      <c r="AX72" s="533">
        <v>120.45</v>
      </c>
      <c r="AY72" s="533">
        <v>119.05</v>
      </c>
      <c r="AZ72" s="533">
        <v>117.64</v>
      </c>
      <c r="BA72" s="533">
        <v>116.23</v>
      </c>
      <c r="BB72" s="533">
        <v>114.83</v>
      </c>
      <c r="BC72" s="533">
        <v>113.43</v>
      </c>
      <c r="BD72" s="533">
        <v>112.04</v>
      </c>
      <c r="BE72" s="533">
        <v>105.45</v>
      </c>
      <c r="BF72" s="533">
        <v>99.84</v>
      </c>
      <c r="BG72" s="533">
        <v>95.55</v>
      </c>
      <c r="BH72" s="533">
        <v>92.16</v>
      </c>
      <c r="BI72" s="533">
        <v>89.39</v>
      </c>
      <c r="BJ72" s="535">
        <v>87.18</v>
      </c>
      <c r="BK72" s="535">
        <v>85.42</v>
      </c>
    </row>
    <row r="73" spans="2:63" x14ac:dyDescent="0.25">
      <c r="B73" s="532">
        <v>84</v>
      </c>
      <c r="C73" s="533">
        <v>129.56</v>
      </c>
      <c r="D73" s="533">
        <v>128.16999999999999</v>
      </c>
      <c r="E73" s="533">
        <v>126.76</v>
      </c>
      <c r="F73" s="533">
        <v>125.33</v>
      </c>
      <c r="G73" s="533">
        <v>123.88</v>
      </c>
      <c r="H73" s="533">
        <v>122.42</v>
      </c>
      <c r="I73" s="533">
        <v>120.96</v>
      </c>
      <c r="J73" s="533">
        <v>119.49</v>
      </c>
      <c r="K73" s="533">
        <v>118.01</v>
      </c>
      <c r="L73" s="533">
        <v>116.54</v>
      </c>
      <c r="M73" s="533">
        <v>115.07</v>
      </c>
      <c r="N73" s="533">
        <v>113.61</v>
      </c>
      <c r="O73" s="533">
        <v>106.64</v>
      </c>
      <c r="P73" s="533">
        <v>100.63</v>
      </c>
      <c r="Q73" s="533">
        <v>96.02</v>
      </c>
      <c r="R73" s="533">
        <v>92.44</v>
      </c>
      <c r="S73" s="533">
        <v>89.53</v>
      </c>
      <c r="T73" s="534">
        <v>87.2</v>
      </c>
      <c r="U73" s="534">
        <v>85.35</v>
      </c>
      <c r="V73" s="531"/>
      <c r="W73" s="532">
        <v>84</v>
      </c>
      <c r="X73" s="533">
        <v>130.75</v>
      </c>
      <c r="Y73" s="533">
        <v>129.33000000000001</v>
      </c>
      <c r="Z73" s="533">
        <v>127.89</v>
      </c>
      <c r="AA73" s="533">
        <v>126.44</v>
      </c>
      <c r="AB73" s="533">
        <v>124.97</v>
      </c>
      <c r="AC73" s="533">
        <v>123.48</v>
      </c>
      <c r="AD73" s="533">
        <v>121.99</v>
      </c>
      <c r="AE73" s="533">
        <v>120.49</v>
      </c>
      <c r="AF73" s="533">
        <v>118.99</v>
      </c>
      <c r="AG73" s="533">
        <v>117.49</v>
      </c>
      <c r="AH73" s="533">
        <v>115.99</v>
      </c>
      <c r="AI73" s="533">
        <v>114.51</v>
      </c>
      <c r="AJ73" s="533">
        <v>107.42</v>
      </c>
      <c r="AK73" s="533">
        <v>101.31</v>
      </c>
      <c r="AL73" s="533">
        <v>96.62</v>
      </c>
      <c r="AM73" s="533">
        <v>92.98</v>
      </c>
      <c r="AN73" s="533">
        <v>90.03</v>
      </c>
      <c r="AO73" s="534">
        <v>87.67</v>
      </c>
      <c r="AP73" s="534">
        <v>85.8</v>
      </c>
      <c r="AQ73" s="531"/>
      <c r="AR73" s="532">
        <v>84</v>
      </c>
      <c r="AS73" s="533">
        <v>131.83000000000001</v>
      </c>
      <c r="AT73" s="533">
        <v>130.41999999999999</v>
      </c>
      <c r="AU73" s="533">
        <v>128.99</v>
      </c>
      <c r="AV73" s="533">
        <v>127.54</v>
      </c>
      <c r="AW73" s="533">
        <v>126.07</v>
      </c>
      <c r="AX73" s="533">
        <v>124.59</v>
      </c>
      <c r="AY73" s="533">
        <v>123.1</v>
      </c>
      <c r="AZ73" s="533">
        <v>121.6</v>
      </c>
      <c r="BA73" s="533">
        <v>120.09</v>
      </c>
      <c r="BB73" s="533">
        <v>118.59</v>
      </c>
      <c r="BC73" s="533">
        <v>117.1</v>
      </c>
      <c r="BD73" s="533">
        <v>115.61</v>
      </c>
      <c r="BE73" s="533">
        <v>108.5</v>
      </c>
      <c r="BF73" s="533">
        <v>102.36</v>
      </c>
      <c r="BG73" s="533">
        <v>97.64</v>
      </c>
      <c r="BH73" s="533">
        <v>93.97</v>
      </c>
      <c r="BI73" s="533">
        <v>90.99</v>
      </c>
      <c r="BJ73" s="535">
        <v>88.59</v>
      </c>
      <c r="BK73" s="535">
        <v>86.7</v>
      </c>
    </row>
    <row r="74" spans="2:63" x14ac:dyDescent="0.25">
      <c r="B74" s="532">
        <v>85</v>
      </c>
      <c r="C74" s="533">
        <v>134.29</v>
      </c>
      <c r="D74" s="533">
        <v>132.81</v>
      </c>
      <c r="E74" s="533">
        <v>131.31</v>
      </c>
      <c r="F74" s="533">
        <v>129.79</v>
      </c>
      <c r="G74" s="533">
        <v>128.25</v>
      </c>
      <c r="H74" s="533">
        <v>126.7</v>
      </c>
      <c r="I74" s="533">
        <v>125.14</v>
      </c>
      <c r="J74" s="533">
        <v>123.57</v>
      </c>
      <c r="K74" s="533">
        <v>122</v>
      </c>
      <c r="L74" s="533">
        <v>120.43</v>
      </c>
      <c r="M74" s="533">
        <v>118.86</v>
      </c>
      <c r="N74" s="533">
        <v>117.3</v>
      </c>
      <c r="O74" s="533">
        <v>109.8</v>
      </c>
      <c r="P74" s="533">
        <v>103.25</v>
      </c>
      <c r="Q74" s="533">
        <v>98.16</v>
      </c>
      <c r="R74" s="533">
        <v>94.27</v>
      </c>
      <c r="S74" s="533">
        <v>91.14</v>
      </c>
      <c r="T74" s="534">
        <v>88.62</v>
      </c>
      <c r="U74" s="534">
        <v>86.63</v>
      </c>
      <c r="V74" s="531"/>
      <c r="W74" s="532">
        <v>85</v>
      </c>
      <c r="X74" s="533">
        <v>135.56</v>
      </c>
      <c r="Y74" s="533">
        <v>134.05000000000001</v>
      </c>
      <c r="Z74" s="533">
        <v>132.53</v>
      </c>
      <c r="AA74" s="533">
        <v>130.97999999999999</v>
      </c>
      <c r="AB74" s="533">
        <v>129.41999999999999</v>
      </c>
      <c r="AC74" s="533">
        <v>127.84</v>
      </c>
      <c r="AD74" s="533">
        <v>126.25</v>
      </c>
      <c r="AE74" s="533">
        <v>124.66</v>
      </c>
      <c r="AF74" s="533">
        <v>123.06</v>
      </c>
      <c r="AG74" s="533">
        <v>121.45</v>
      </c>
      <c r="AH74" s="533">
        <v>119.86</v>
      </c>
      <c r="AI74" s="533">
        <v>118.27</v>
      </c>
      <c r="AJ74" s="533">
        <v>110.64</v>
      </c>
      <c r="AK74" s="533">
        <v>103.97</v>
      </c>
      <c r="AL74" s="533">
        <v>98.79</v>
      </c>
      <c r="AM74" s="533">
        <v>94.84</v>
      </c>
      <c r="AN74" s="533">
        <v>91.67</v>
      </c>
      <c r="AO74" s="534">
        <v>89.11</v>
      </c>
      <c r="AP74" s="534">
        <v>87.09</v>
      </c>
      <c r="AQ74" s="531"/>
      <c r="AR74" s="532">
        <v>85</v>
      </c>
      <c r="AS74" s="533">
        <v>136.65</v>
      </c>
      <c r="AT74" s="533">
        <v>135.15</v>
      </c>
      <c r="AU74" s="533">
        <v>133.63999999999999</v>
      </c>
      <c r="AV74" s="533">
        <v>132.1</v>
      </c>
      <c r="AW74" s="533">
        <v>130.54</v>
      </c>
      <c r="AX74" s="533">
        <v>128.96</v>
      </c>
      <c r="AY74" s="533">
        <v>127.38</v>
      </c>
      <c r="AZ74" s="533">
        <v>125.78</v>
      </c>
      <c r="BA74" s="533">
        <v>124.18</v>
      </c>
      <c r="BB74" s="533">
        <v>122.58</v>
      </c>
      <c r="BC74" s="533">
        <v>120.98</v>
      </c>
      <c r="BD74" s="533">
        <v>119.39</v>
      </c>
      <c r="BE74" s="533">
        <v>111.74</v>
      </c>
      <c r="BF74" s="533">
        <v>105.04</v>
      </c>
      <c r="BG74" s="533">
        <v>99.83</v>
      </c>
      <c r="BH74" s="533">
        <v>95.85</v>
      </c>
      <c r="BI74" s="533">
        <v>92.64</v>
      </c>
      <c r="BJ74" s="535">
        <v>90.05</v>
      </c>
      <c r="BK74" s="535">
        <v>88.01</v>
      </c>
    </row>
    <row r="75" spans="2:63" x14ac:dyDescent="0.25">
      <c r="B75" s="532">
        <v>86</v>
      </c>
      <c r="C75" s="533">
        <v>139.28</v>
      </c>
      <c r="D75" s="533">
        <v>137.71</v>
      </c>
      <c r="E75" s="533">
        <v>136.12</v>
      </c>
      <c r="F75" s="533">
        <v>134.5</v>
      </c>
      <c r="G75" s="533">
        <v>132.87</v>
      </c>
      <c r="H75" s="533">
        <v>131.22</v>
      </c>
      <c r="I75" s="533">
        <v>129.57</v>
      </c>
      <c r="J75" s="533">
        <v>127.9</v>
      </c>
      <c r="K75" s="533">
        <v>126.22</v>
      </c>
      <c r="L75" s="533">
        <v>124.55</v>
      </c>
      <c r="M75" s="533">
        <v>122.87</v>
      </c>
      <c r="N75" s="533">
        <v>121.21</v>
      </c>
      <c r="O75" s="533">
        <v>113.16</v>
      </c>
      <c r="P75" s="533">
        <v>106.04</v>
      </c>
      <c r="Q75" s="533">
        <v>100.42</v>
      </c>
      <c r="R75" s="533">
        <v>96.19</v>
      </c>
      <c r="S75" s="533">
        <v>92.82</v>
      </c>
      <c r="T75" s="534">
        <v>90.09</v>
      </c>
      <c r="U75" s="534">
        <v>87.95</v>
      </c>
      <c r="V75" s="531"/>
      <c r="W75" s="532">
        <v>86</v>
      </c>
      <c r="X75" s="533">
        <v>140.63</v>
      </c>
      <c r="Y75" s="533">
        <v>139.04</v>
      </c>
      <c r="Z75" s="533">
        <v>137.41999999999999</v>
      </c>
      <c r="AA75" s="533">
        <v>135.78</v>
      </c>
      <c r="AB75" s="533">
        <v>134.12</v>
      </c>
      <c r="AC75" s="533">
        <v>132.44999999999999</v>
      </c>
      <c r="AD75" s="533">
        <v>130.76</v>
      </c>
      <c r="AE75" s="533">
        <v>129.06</v>
      </c>
      <c r="AF75" s="533">
        <v>127.36</v>
      </c>
      <c r="AG75" s="533">
        <v>125.65</v>
      </c>
      <c r="AH75" s="533">
        <v>123.95</v>
      </c>
      <c r="AI75" s="533">
        <v>122.25</v>
      </c>
      <c r="AJ75" s="533">
        <v>114.06</v>
      </c>
      <c r="AK75" s="533">
        <v>106.8</v>
      </c>
      <c r="AL75" s="533">
        <v>101.09</v>
      </c>
      <c r="AM75" s="533">
        <v>96.79</v>
      </c>
      <c r="AN75" s="533">
        <v>93.37</v>
      </c>
      <c r="AO75" s="534">
        <v>90.6</v>
      </c>
      <c r="AP75" s="534">
        <v>88.43</v>
      </c>
      <c r="AQ75" s="531"/>
      <c r="AR75" s="532">
        <v>86</v>
      </c>
      <c r="AS75" s="533">
        <v>141.72999999999999</v>
      </c>
      <c r="AT75" s="533">
        <v>140.15</v>
      </c>
      <c r="AU75" s="533">
        <v>138.54</v>
      </c>
      <c r="AV75" s="533">
        <v>136.91</v>
      </c>
      <c r="AW75" s="533">
        <v>135.25</v>
      </c>
      <c r="AX75" s="533">
        <v>133.58000000000001</v>
      </c>
      <c r="AY75" s="533">
        <v>131.9</v>
      </c>
      <c r="AZ75" s="533">
        <v>130.19999999999999</v>
      </c>
      <c r="BA75" s="533">
        <v>128.5</v>
      </c>
      <c r="BB75" s="533">
        <v>126.79</v>
      </c>
      <c r="BC75" s="533">
        <v>125.09</v>
      </c>
      <c r="BD75" s="533">
        <v>123.39</v>
      </c>
      <c r="BE75" s="533">
        <v>115.18</v>
      </c>
      <c r="BF75" s="533">
        <v>107.9</v>
      </c>
      <c r="BG75" s="533">
        <v>102.15</v>
      </c>
      <c r="BH75" s="533">
        <v>97.82</v>
      </c>
      <c r="BI75" s="533">
        <v>94.36</v>
      </c>
      <c r="BJ75" s="535">
        <v>91.57</v>
      </c>
      <c r="BK75" s="535">
        <v>89.37</v>
      </c>
    </row>
    <row r="76" spans="2:63" x14ac:dyDescent="0.25">
      <c r="B76" s="532">
        <v>87</v>
      </c>
      <c r="C76" s="533">
        <v>144.56</v>
      </c>
      <c r="D76" s="533">
        <v>142.88999999999999</v>
      </c>
      <c r="E76" s="533">
        <v>141.19999999999999</v>
      </c>
      <c r="F76" s="533">
        <v>139.49</v>
      </c>
      <c r="G76" s="533">
        <v>137.76</v>
      </c>
      <c r="H76" s="533">
        <v>136.01</v>
      </c>
      <c r="I76" s="533">
        <v>134.24</v>
      </c>
      <c r="J76" s="533">
        <v>132.47</v>
      </c>
      <c r="K76" s="533">
        <v>130.69</v>
      </c>
      <c r="L76" s="533">
        <v>128.9</v>
      </c>
      <c r="M76" s="533">
        <v>127.12</v>
      </c>
      <c r="N76" s="533">
        <v>125.34</v>
      </c>
      <c r="O76" s="533">
        <v>116.72</v>
      </c>
      <c r="P76" s="533">
        <v>109</v>
      </c>
      <c r="Q76" s="533">
        <v>102.8</v>
      </c>
      <c r="R76" s="533">
        <v>98.19</v>
      </c>
      <c r="S76" s="533">
        <v>94.56</v>
      </c>
      <c r="T76" s="534">
        <v>91.62</v>
      </c>
      <c r="U76" s="534">
        <v>89.31</v>
      </c>
      <c r="V76" s="531"/>
      <c r="W76" s="532">
        <v>87</v>
      </c>
      <c r="X76" s="533">
        <v>145.99</v>
      </c>
      <c r="Y76" s="533">
        <v>144.30000000000001</v>
      </c>
      <c r="Z76" s="533">
        <v>142.59</v>
      </c>
      <c r="AA76" s="533">
        <v>140.85</v>
      </c>
      <c r="AB76" s="533">
        <v>139.09</v>
      </c>
      <c r="AC76" s="533">
        <v>137.32</v>
      </c>
      <c r="AD76" s="533">
        <v>135.53</v>
      </c>
      <c r="AE76" s="533">
        <v>133.72</v>
      </c>
      <c r="AF76" s="533">
        <v>131.91</v>
      </c>
      <c r="AG76" s="533">
        <v>130.1</v>
      </c>
      <c r="AH76" s="533">
        <v>128.28</v>
      </c>
      <c r="AI76" s="533">
        <v>126.47</v>
      </c>
      <c r="AJ76" s="533">
        <v>117.69</v>
      </c>
      <c r="AK76" s="533">
        <v>109.82</v>
      </c>
      <c r="AL76" s="533">
        <v>103.51</v>
      </c>
      <c r="AM76" s="533">
        <v>98.82</v>
      </c>
      <c r="AN76" s="533">
        <v>95.14</v>
      </c>
      <c r="AO76" s="534">
        <v>92.16</v>
      </c>
      <c r="AP76" s="534">
        <v>89.81</v>
      </c>
      <c r="AQ76" s="531"/>
      <c r="AR76" s="532">
        <v>87</v>
      </c>
      <c r="AS76" s="533">
        <v>147.09</v>
      </c>
      <c r="AT76" s="533">
        <v>145.41999999999999</v>
      </c>
      <c r="AU76" s="533">
        <v>143.71</v>
      </c>
      <c r="AV76" s="533">
        <v>141.97999999999999</v>
      </c>
      <c r="AW76" s="533">
        <v>140.22999999999999</v>
      </c>
      <c r="AX76" s="533">
        <v>138.46</v>
      </c>
      <c r="AY76" s="533">
        <v>136.66999999999999</v>
      </c>
      <c r="AZ76" s="533">
        <v>134.87</v>
      </c>
      <c r="BA76" s="533">
        <v>133.06</v>
      </c>
      <c r="BB76" s="533">
        <v>131.24</v>
      </c>
      <c r="BC76" s="533">
        <v>129.43</v>
      </c>
      <c r="BD76" s="533">
        <v>127.62</v>
      </c>
      <c r="BE76" s="533">
        <v>118.83</v>
      </c>
      <c r="BF76" s="533">
        <v>110.94</v>
      </c>
      <c r="BG76" s="533">
        <v>104.6</v>
      </c>
      <c r="BH76" s="533">
        <v>99.87</v>
      </c>
      <c r="BI76" s="533">
        <v>96.16</v>
      </c>
      <c r="BJ76" s="535">
        <v>93.15</v>
      </c>
      <c r="BK76" s="535">
        <v>90.77</v>
      </c>
    </row>
    <row r="77" spans="2:63" x14ac:dyDescent="0.25">
      <c r="B77" s="532">
        <v>88</v>
      </c>
      <c r="C77" s="533">
        <v>150.13</v>
      </c>
      <c r="D77" s="533">
        <v>148.36000000000001</v>
      </c>
      <c r="E77" s="533">
        <v>146.57</v>
      </c>
      <c r="F77" s="533">
        <v>144.75</v>
      </c>
      <c r="G77" s="533">
        <v>142.91999999999999</v>
      </c>
      <c r="H77" s="533">
        <v>141.06</v>
      </c>
      <c r="I77" s="533">
        <v>139.19</v>
      </c>
      <c r="J77" s="533">
        <v>137.31</v>
      </c>
      <c r="K77" s="533">
        <v>135.41</v>
      </c>
      <c r="L77" s="533">
        <v>133.52000000000001</v>
      </c>
      <c r="M77" s="533">
        <v>131.62</v>
      </c>
      <c r="N77" s="533">
        <v>129.72999999999999</v>
      </c>
      <c r="O77" s="533">
        <v>120.5</v>
      </c>
      <c r="P77" s="533">
        <v>112.16</v>
      </c>
      <c r="Q77" s="533">
        <v>105.34</v>
      </c>
      <c r="R77" s="533">
        <v>100.29</v>
      </c>
      <c r="S77" s="533">
        <v>96.37</v>
      </c>
      <c r="T77" s="534">
        <v>93.21</v>
      </c>
      <c r="U77" s="534">
        <v>90.71</v>
      </c>
      <c r="V77" s="531"/>
      <c r="W77" s="532">
        <v>88</v>
      </c>
      <c r="X77" s="533">
        <v>151.65</v>
      </c>
      <c r="Y77" s="533">
        <v>149.86000000000001</v>
      </c>
      <c r="Z77" s="533">
        <v>148.04</v>
      </c>
      <c r="AA77" s="533">
        <v>146.19999999999999</v>
      </c>
      <c r="AB77" s="533">
        <v>144.34</v>
      </c>
      <c r="AC77" s="533">
        <v>142.46</v>
      </c>
      <c r="AD77" s="533">
        <v>140.56</v>
      </c>
      <c r="AE77" s="533">
        <v>138.65</v>
      </c>
      <c r="AF77" s="533">
        <v>136.72</v>
      </c>
      <c r="AG77" s="533">
        <v>134.79</v>
      </c>
      <c r="AH77" s="533">
        <v>132.86000000000001</v>
      </c>
      <c r="AI77" s="533">
        <v>130.94</v>
      </c>
      <c r="AJ77" s="533">
        <v>121.54</v>
      </c>
      <c r="AK77" s="533">
        <v>113.04</v>
      </c>
      <c r="AL77" s="533">
        <v>106.09</v>
      </c>
      <c r="AM77" s="533">
        <v>100.96</v>
      </c>
      <c r="AN77" s="533">
        <v>96.98</v>
      </c>
      <c r="AO77" s="534">
        <v>93.77</v>
      </c>
      <c r="AP77" s="534">
        <v>91.23</v>
      </c>
      <c r="AQ77" s="531"/>
      <c r="AR77" s="532">
        <v>88</v>
      </c>
      <c r="AS77" s="533">
        <v>152.75</v>
      </c>
      <c r="AT77" s="533">
        <v>150.97</v>
      </c>
      <c r="AU77" s="533">
        <v>149.16999999999999</v>
      </c>
      <c r="AV77" s="533">
        <v>147.34</v>
      </c>
      <c r="AW77" s="533">
        <v>145.49</v>
      </c>
      <c r="AX77" s="533">
        <v>143.61000000000001</v>
      </c>
      <c r="AY77" s="533">
        <v>141.71</v>
      </c>
      <c r="AZ77" s="533">
        <v>139.80000000000001</v>
      </c>
      <c r="BA77" s="533">
        <v>137.88</v>
      </c>
      <c r="BB77" s="533">
        <v>135.94999999999999</v>
      </c>
      <c r="BC77" s="533">
        <v>134.02000000000001</v>
      </c>
      <c r="BD77" s="533">
        <v>132.1</v>
      </c>
      <c r="BE77" s="533">
        <v>122.7</v>
      </c>
      <c r="BF77" s="533">
        <v>114.18</v>
      </c>
      <c r="BG77" s="533">
        <v>107.2</v>
      </c>
      <c r="BH77" s="533">
        <v>102.03</v>
      </c>
      <c r="BI77" s="533">
        <v>98.02</v>
      </c>
      <c r="BJ77" s="535">
        <v>94.78</v>
      </c>
      <c r="BK77" s="535">
        <v>92.22</v>
      </c>
    </row>
    <row r="78" spans="2:63" x14ac:dyDescent="0.25">
      <c r="B78" s="532">
        <v>89</v>
      </c>
      <c r="C78" s="533">
        <v>156.02000000000001</v>
      </c>
      <c r="D78" s="533">
        <v>154.13999999999999</v>
      </c>
      <c r="E78" s="533">
        <v>152.24</v>
      </c>
      <c r="F78" s="533">
        <v>150.32</v>
      </c>
      <c r="G78" s="533">
        <v>148.37</v>
      </c>
      <c r="H78" s="533">
        <v>146.4</v>
      </c>
      <c r="I78" s="533">
        <v>144.41999999999999</v>
      </c>
      <c r="J78" s="533">
        <v>142.41999999999999</v>
      </c>
      <c r="K78" s="533">
        <v>140.41</v>
      </c>
      <c r="L78" s="533">
        <v>138.4</v>
      </c>
      <c r="M78" s="533">
        <v>136.38</v>
      </c>
      <c r="N78" s="533">
        <v>134.36000000000001</v>
      </c>
      <c r="O78" s="533">
        <v>124.51</v>
      </c>
      <c r="P78" s="533">
        <v>115.53</v>
      </c>
      <c r="Q78" s="533">
        <v>108.05</v>
      </c>
      <c r="R78" s="533">
        <v>102.49</v>
      </c>
      <c r="S78" s="533">
        <v>98.26</v>
      </c>
      <c r="T78" s="534">
        <v>94.86</v>
      </c>
      <c r="U78" s="534">
        <v>92.16</v>
      </c>
      <c r="V78" s="531"/>
      <c r="W78" s="532">
        <v>89</v>
      </c>
      <c r="X78" s="533">
        <v>157.62</v>
      </c>
      <c r="Y78" s="533">
        <v>155.72999999999999</v>
      </c>
      <c r="Z78" s="533">
        <v>153.80000000000001</v>
      </c>
      <c r="AA78" s="533">
        <v>151.86000000000001</v>
      </c>
      <c r="AB78" s="533">
        <v>149.88</v>
      </c>
      <c r="AC78" s="533">
        <v>147.88999999999999</v>
      </c>
      <c r="AD78" s="533">
        <v>145.88</v>
      </c>
      <c r="AE78" s="533">
        <v>143.85</v>
      </c>
      <c r="AF78" s="533">
        <v>141.81</v>
      </c>
      <c r="AG78" s="533">
        <v>139.76</v>
      </c>
      <c r="AH78" s="533">
        <v>137.71</v>
      </c>
      <c r="AI78" s="533">
        <v>135.66</v>
      </c>
      <c r="AJ78" s="533">
        <v>125.63</v>
      </c>
      <c r="AK78" s="533">
        <v>116.47</v>
      </c>
      <c r="AL78" s="533">
        <v>108.85</v>
      </c>
      <c r="AM78" s="533">
        <v>103.2</v>
      </c>
      <c r="AN78" s="533">
        <v>98.9</v>
      </c>
      <c r="AO78" s="534">
        <v>95.44</v>
      </c>
      <c r="AP78" s="534">
        <v>92.7</v>
      </c>
      <c r="AQ78" s="531"/>
      <c r="AR78" s="532">
        <v>89</v>
      </c>
      <c r="AS78" s="533">
        <v>158.72</v>
      </c>
      <c r="AT78" s="533">
        <v>156.84</v>
      </c>
      <c r="AU78" s="533">
        <v>154.93</v>
      </c>
      <c r="AV78" s="533">
        <v>152.99</v>
      </c>
      <c r="AW78" s="533">
        <v>151.03</v>
      </c>
      <c r="AX78" s="533">
        <v>149.04</v>
      </c>
      <c r="AY78" s="533">
        <v>147.04</v>
      </c>
      <c r="AZ78" s="533">
        <v>145.01</v>
      </c>
      <c r="BA78" s="533">
        <v>142.97999999999999</v>
      </c>
      <c r="BB78" s="533">
        <v>140.93</v>
      </c>
      <c r="BC78" s="533">
        <v>138.88</v>
      </c>
      <c r="BD78" s="533">
        <v>136.83000000000001</v>
      </c>
      <c r="BE78" s="533">
        <v>126.8</v>
      </c>
      <c r="BF78" s="533">
        <v>117.63</v>
      </c>
      <c r="BG78" s="533">
        <v>109.98</v>
      </c>
      <c r="BH78" s="533">
        <v>104.3</v>
      </c>
      <c r="BI78" s="533">
        <v>99.96</v>
      </c>
      <c r="BJ78" s="535">
        <v>96.48</v>
      </c>
      <c r="BK78" s="535">
        <v>93.71</v>
      </c>
    </row>
    <row r="79" spans="2:63" x14ac:dyDescent="0.25">
      <c r="B79" s="532">
        <v>90</v>
      </c>
      <c r="C79" s="533">
        <v>162.24</v>
      </c>
      <c r="D79" s="533">
        <v>160.25</v>
      </c>
      <c r="E79" s="533">
        <v>158.22999999999999</v>
      </c>
      <c r="F79" s="533">
        <v>156.19999999999999</v>
      </c>
      <c r="G79" s="533">
        <v>154.13999999999999</v>
      </c>
      <c r="H79" s="533">
        <v>152.05000000000001</v>
      </c>
      <c r="I79" s="533">
        <v>149.94999999999999</v>
      </c>
      <c r="J79" s="533">
        <v>147.83000000000001</v>
      </c>
      <c r="K79" s="533">
        <v>145.69999999999999</v>
      </c>
      <c r="L79" s="533">
        <v>143.56</v>
      </c>
      <c r="M79" s="533">
        <v>141.41999999999999</v>
      </c>
      <c r="N79" s="533">
        <v>139.28</v>
      </c>
      <c r="O79" s="533">
        <v>128.77000000000001</v>
      </c>
      <c r="P79" s="533">
        <v>119.11</v>
      </c>
      <c r="Q79" s="533">
        <v>110.95</v>
      </c>
      <c r="R79" s="533">
        <v>104.82</v>
      </c>
      <c r="S79" s="533">
        <v>100.23</v>
      </c>
      <c r="T79" s="534">
        <v>96.58</v>
      </c>
      <c r="U79" s="534">
        <v>93.67</v>
      </c>
      <c r="V79" s="531"/>
      <c r="W79" s="532">
        <v>90</v>
      </c>
      <c r="X79" s="533">
        <v>163.92</v>
      </c>
      <c r="Y79" s="533">
        <v>161.91999999999999</v>
      </c>
      <c r="Z79" s="533">
        <v>159.88</v>
      </c>
      <c r="AA79" s="533">
        <v>157.82</v>
      </c>
      <c r="AB79" s="533">
        <v>155.74</v>
      </c>
      <c r="AC79" s="533">
        <v>153.63</v>
      </c>
      <c r="AD79" s="533">
        <v>151.5</v>
      </c>
      <c r="AE79" s="533">
        <v>149.35</v>
      </c>
      <c r="AF79" s="533">
        <v>147.19</v>
      </c>
      <c r="AG79" s="533">
        <v>145.02000000000001</v>
      </c>
      <c r="AH79" s="533">
        <v>142.84</v>
      </c>
      <c r="AI79" s="533">
        <v>140.66999999999999</v>
      </c>
      <c r="AJ79" s="533">
        <v>129.97</v>
      </c>
      <c r="AK79" s="533">
        <v>120.12</v>
      </c>
      <c r="AL79" s="533">
        <v>111.81</v>
      </c>
      <c r="AM79" s="533">
        <v>105.57</v>
      </c>
      <c r="AN79" s="533">
        <v>100.9</v>
      </c>
      <c r="AO79" s="534">
        <v>97.19</v>
      </c>
      <c r="AP79" s="534">
        <v>94.23</v>
      </c>
      <c r="AQ79" s="531"/>
      <c r="AR79" s="532">
        <v>90</v>
      </c>
      <c r="AS79" s="533">
        <v>165.01</v>
      </c>
      <c r="AT79" s="533">
        <v>163.02000000000001</v>
      </c>
      <c r="AU79" s="533">
        <v>161.01</v>
      </c>
      <c r="AV79" s="533">
        <v>158.96</v>
      </c>
      <c r="AW79" s="533">
        <v>156.88</v>
      </c>
      <c r="AX79" s="533">
        <v>154.78</v>
      </c>
      <c r="AY79" s="533">
        <v>152.66</v>
      </c>
      <c r="AZ79" s="533">
        <v>150.51</v>
      </c>
      <c r="BA79" s="533">
        <v>148.36000000000001</v>
      </c>
      <c r="BB79" s="533">
        <v>146.19</v>
      </c>
      <c r="BC79" s="533">
        <v>144.02000000000001</v>
      </c>
      <c r="BD79" s="533">
        <v>141.84</v>
      </c>
      <c r="BE79" s="533">
        <v>131.15</v>
      </c>
      <c r="BF79" s="533">
        <v>121.29</v>
      </c>
      <c r="BG79" s="533">
        <v>112.95</v>
      </c>
      <c r="BH79" s="533">
        <v>106.69</v>
      </c>
      <c r="BI79" s="533">
        <v>101.99</v>
      </c>
      <c r="BJ79" s="535">
        <v>98.25</v>
      </c>
      <c r="BK79" s="535">
        <v>95.26</v>
      </c>
    </row>
    <row r="80" spans="2:63" x14ac:dyDescent="0.25">
      <c r="B80" s="532">
        <v>91</v>
      </c>
      <c r="C80" s="533">
        <v>168.82</v>
      </c>
      <c r="D80" s="533">
        <v>166.71</v>
      </c>
      <c r="E80" s="533">
        <v>164.57</v>
      </c>
      <c r="F80" s="533">
        <v>162.41</v>
      </c>
      <c r="G80" s="533">
        <v>160.22999999999999</v>
      </c>
      <c r="H80" s="533">
        <v>158.03</v>
      </c>
      <c r="I80" s="533">
        <v>155.80000000000001</v>
      </c>
      <c r="J80" s="533">
        <v>153.56</v>
      </c>
      <c r="K80" s="533">
        <v>151.30000000000001</v>
      </c>
      <c r="L80" s="533">
        <v>149.03</v>
      </c>
      <c r="M80" s="533">
        <v>146.75</v>
      </c>
      <c r="N80" s="533">
        <v>144.47999999999999</v>
      </c>
      <c r="O80" s="533">
        <v>133.28</v>
      </c>
      <c r="P80" s="533">
        <v>122.91</v>
      </c>
      <c r="Q80" s="533">
        <v>114.04</v>
      </c>
      <c r="R80" s="533">
        <v>107.27</v>
      </c>
      <c r="S80" s="533">
        <v>102.29</v>
      </c>
      <c r="T80" s="534">
        <v>98.37</v>
      </c>
      <c r="U80" s="534">
        <v>95.23</v>
      </c>
      <c r="V80" s="531"/>
      <c r="W80" s="532">
        <v>91</v>
      </c>
      <c r="X80" s="533">
        <v>170.57</v>
      </c>
      <c r="Y80" s="533">
        <v>168.45</v>
      </c>
      <c r="Z80" s="533">
        <v>166.3</v>
      </c>
      <c r="AA80" s="533">
        <v>164.12</v>
      </c>
      <c r="AB80" s="533">
        <v>161.91999999999999</v>
      </c>
      <c r="AC80" s="533">
        <v>159.69</v>
      </c>
      <c r="AD80" s="533">
        <v>157.43</v>
      </c>
      <c r="AE80" s="533">
        <v>155.16</v>
      </c>
      <c r="AF80" s="533">
        <v>152.87</v>
      </c>
      <c r="AG80" s="533">
        <v>150.57</v>
      </c>
      <c r="AH80" s="533">
        <v>148.27000000000001</v>
      </c>
      <c r="AI80" s="533">
        <v>145.96</v>
      </c>
      <c r="AJ80" s="533">
        <v>134.58000000000001</v>
      </c>
      <c r="AK80" s="533">
        <v>124.01</v>
      </c>
      <c r="AL80" s="533">
        <v>114.97</v>
      </c>
      <c r="AM80" s="533">
        <v>108.07</v>
      </c>
      <c r="AN80" s="533">
        <v>102.99</v>
      </c>
      <c r="AO80" s="534">
        <v>99</v>
      </c>
      <c r="AP80" s="534">
        <v>95.81</v>
      </c>
      <c r="AQ80" s="531"/>
      <c r="AR80" s="532">
        <v>91</v>
      </c>
      <c r="AS80" s="533">
        <v>171.66</v>
      </c>
      <c r="AT80" s="533">
        <v>169.56</v>
      </c>
      <c r="AU80" s="533">
        <v>167.42</v>
      </c>
      <c r="AV80" s="533">
        <v>165.26</v>
      </c>
      <c r="AW80" s="533">
        <v>163.06</v>
      </c>
      <c r="AX80" s="533">
        <v>160.84</v>
      </c>
      <c r="AY80" s="533">
        <v>158.59</v>
      </c>
      <c r="AZ80" s="533">
        <v>156.33000000000001</v>
      </c>
      <c r="BA80" s="533">
        <v>154.04</v>
      </c>
      <c r="BB80" s="533">
        <v>151.75</v>
      </c>
      <c r="BC80" s="533">
        <v>149.44999999999999</v>
      </c>
      <c r="BD80" s="533">
        <v>147.13999999999999</v>
      </c>
      <c r="BE80" s="533">
        <v>135.77000000000001</v>
      </c>
      <c r="BF80" s="533">
        <v>125.19</v>
      </c>
      <c r="BG80" s="533">
        <v>116.13</v>
      </c>
      <c r="BH80" s="533">
        <v>109.21</v>
      </c>
      <c r="BI80" s="533">
        <v>104.1</v>
      </c>
      <c r="BJ80" s="535">
        <v>100.09</v>
      </c>
      <c r="BK80" s="535">
        <v>96.87</v>
      </c>
    </row>
    <row r="81" spans="2:63" x14ac:dyDescent="0.25">
      <c r="B81" s="532">
        <v>92</v>
      </c>
      <c r="C81" s="533">
        <v>175.78</v>
      </c>
      <c r="D81" s="533">
        <v>173.54</v>
      </c>
      <c r="E81" s="533">
        <v>171.28</v>
      </c>
      <c r="F81" s="533">
        <v>168.99</v>
      </c>
      <c r="G81" s="533">
        <v>166.68</v>
      </c>
      <c r="H81" s="533">
        <v>164.35</v>
      </c>
      <c r="I81" s="533">
        <v>161.99</v>
      </c>
      <c r="J81" s="533">
        <v>159.61000000000001</v>
      </c>
      <c r="K81" s="533">
        <v>157.22</v>
      </c>
      <c r="L81" s="533">
        <v>154.82</v>
      </c>
      <c r="M81" s="533">
        <v>152.4</v>
      </c>
      <c r="N81" s="533">
        <v>149.99</v>
      </c>
      <c r="O81" s="533">
        <v>138.08000000000001</v>
      </c>
      <c r="P81" s="533">
        <v>126.96</v>
      </c>
      <c r="Q81" s="533">
        <v>117.35</v>
      </c>
      <c r="R81" s="533">
        <v>109.87</v>
      </c>
      <c r="S81" s="533">
        <v>104.45</v>
      </c>
      <c r="T81" s="534">
        <v>100.23</v>
      </c>
      <c r="U81" s="534">
        <v>96.85</v>
      </c>
      <c r="V81" s="531"/>
      <c r="W81" s="532">
        <v>92</v>
      </c>
      <c r="X81" s="533">
        <v>177.6</v>
      </c>
      <c r="Y81" s="533">
        <v>175.35</v>
      </c>
      <c r="Z81" s="533">
        <v>173.08</v>
      </c>
      <c r="AA81" s="533">
        <v>170.78</v>
      </c>
      <c r="AB81" s="533">
        <v>168.45</v>
      </c>
      <c r="AC81" s="533">
        <v>166.09</v>
      </c>
      <c r="AD81" s="533">
        <v>163.71</v>
      </c>
      <c r="AE81" s="533">
        <v>161.31</v>
      </c>
      <c r="AF81" s="533">
        <v>158.88</v>
      </c>
      <c r="AG81" s="533">
        <v>156.44999999999999</v>
      </c>
      <c r="AH81" s="533">
        <v>154.01</v>
      </c>
      <c r="AI81" s="533">
        <v>151.56</v>
      </c>
      <c r="AJ81" s="533">
        <v>139.46</v>
      </c>
      <c r="AK81" s="533">
        <v>128.15</v>
      </c>
      <c r="AL81" s="533">
        <v>118.34</v>
      </c>
      <c r="AM81" s="533">
        <v>110.72</v>
      </c>
      <c r="AN81" s="533">
        <v>105.19</v>
      </c>
      <c r="AO81" s="534">
        <v>100.9</v>
      </c>
      <c r="AP81" s="534">
        <v>97.46</v>
      </c>
      <c r="AQ81" s="531"/>
      <c r="AR81" s="532">
        <v>92</v>
      </c>
      <c r="AS81" s="533">
        <v>178.69</v>
      </c>
      <c r="AT81" s="533">
        <v>176.46</v>
      </c>
      <c r="AU81" s="533">
        <v>174.2</v>
      </c>
      <c r="AV81" s="533">
        <v>171.91</v>
      </c>
      <c r="AW81" s="533">
        <v>169.59</v>
      </c>
      <c r="AX81" s="533">
        <v>167.24</v>
      </c>
      <c r="AY81" s="533">
        <v>164.87</v>
      </c>
      <c r="AZ81" s="533">
        <v>162.47</v>
      </c>
      <c r="BA81" s="533">
        <v>160.05000000000001</v>
      </c>
      <c r="BB81" s="533">
        <v>157.63</v>
      </c>
      <c r="BC81" s="533">
        <v>155.19</v>
      </c>
      <c r="BD81" s="533">
        <v>152.74</v>
      </c>
      <c r="BE81" s="533">
        <v>140.66</v>
      </c>
      <c r="BF81" s="533">
        <v>129.34</v>
      </c>
      <c r="BG81" s="533">
        <v>119.53</v>
      </c>
      <c r="BH81" s="533">
        <v>111.88</v>
      </c>
      <c r="BI81" s="533">
        <v>106.32</v>
      </c>
      <c r="BJ81" s="535">
        <v>102</v>
      </c>
      <c r="BK81" s="535">
        <v>98.53</v>
      </c>
    </row>
    <row r="82" spans="2:63" x14ac:dyDescent="0.25">
      <c r="B82" s="532">
        <v>93</v>
      </c>
      <c r="C82" s="533">
        <v>183.15</v>
      </c>
      <c r="D82" s="533">
        <v>180.77</v>
      </c>
      <c r="E82" s="533">
        <v>178.38</v>
      </c>
      <c r="F82" s="533">
        <v>175.95</v>
      </c>
      <c r="G82" s="533">
        <v>173.51</v>
      </c>
      <c r="H82" s="533">
        <v>171.04</v>
      </c>
      <c r="I82" s="533">
        <v>168.54</v>
      </c>
      <c r="J82" s="533">
        <v>166.03</v>
      </c>
      <c r="K82" s="533">
        <v>163.49</v>
      </c>
      <c r="L82" s="533">
        <v>160.94999999999999</v>
      </c>
      <c r="M82" s="533">
        <v>158.38999999999999</v>
      </c>
      <c r="N82" s="533">
        <v>155.83000000000001</v>
      </c>
      <c r="O82" s="533">
        <v>143.16999999999999</v>
      </c>
      <c r="P82" s="533">
        <v>131.28</v>
      </c>
      <c r="Q82" s="533">
        <v>120.89</v>
      </c>
      <c r="R82" s="533">
        <v>112.65</v>
      </c>
      <c r="S82" s="533">
        <v>106.71</v>
      </c>
      <c r="T82" s="534">
        <v>102.17</v>
      </c>
      <c r="U82" s="534">
        <v>98.54</v>
      </c>
      <c r="V82" s="531"/>
      <c r="W82" s="532">
        <v>93</v>
      </c>
      <c r="X82" s="533">
        <v>185.04</v>
      </c>
      <c r="Y82" s="533">
        <v>182.65</v>
      </c>
      <c r="Z82" s="533">
        <v>180.25</v>
      </c>
      <c r="AA82" s="533">
        <v>177.81</v>
      </c>
      <c r="AB82" s="533">
        <v>175.35</v>
      </c>
      <c r="AC82" s="533">
        <v>172.86</v>
      </c>
      <c r="AD82" s="533">
        <v>170.34</v>
      </c>
      <c r="AE82" s="533">
        <v>167.8</v>
      </c>
      <c r="AF82" s="533">
        <v>165.24</v>
      </c>
      <c r="AG82" s="533">
        <v>162.66999999999999</v>
      </c>
      <c r="AH82" s="533">
        <v>160.08000000000001</v>
      </c>
      <c r="AI82" s="533">
        <v>157.49</v>
      </c>
      <c r="AJ82" s="533">
        <v>144.65</v>
      </c>
      <c r="AK82" s="533">
        <v>132.55000000000001</v>
      </c>
      <c r="AL82" s="533">
        <v>121.96</v>
      </c>
      <c r="AM82" s="533">
        <v>113.55</v>
      </c>
      <c r="AN82" s="533">
        <v>107.5</v>
      </c>
      <c r="AO82" s="534">
        <v>102.87</v>
      </c>
      <c r="AP82" s="534">
        <v>99.18</v>
      </c>
      <c r="AQ82" s="531"/>
      <c r="AR82" s="532">
        <v>93</v>
      </c>
      <c r="AS82" s="533">
        <v>186.12</v>
      </c>
      <c r="AT82" s="533">
        <v>183.76</v>
      </c>
      <c r="AU82" s="533">
        <v>181.37</v>
      </c>
      <c r="AV82" s="533">
        <v>178.94</v>
      </c>
      <c r="AW82" s="533">
        <v>176.49</v>
      </c>
      <c r="AX82" s="533">
        <v>174.01</v>
      </c>
      <c r="AY82" s="533">
        <v>171.5</v>
      </c>
      <c r="AZ82" s="533">
        <v>168.97</v>
      </c>
      <c r="BA82" s="533">
        <v>166.41</v>
      </c>
      <c r="BB82" s="533">
        <v>163.84</v>
      </c>
      <c r="BC82" s="533">
        <v>161.26</v>
      </c>
      <c r="BD82" s="533">
        <v>158.68</v>
      </c>
      <c r="BE82" s="533">
        <v>145.85</v>
      </c>
      <c r="BF82" s="533">
        <v>133.75</v>
      </c>
      <c r="BG82" s="533">
        <v>123.15</v>
      </c>
      <c r="BH82" s="533">
        <v>114.73</v>
      </c>
      <c r="BI82" s="533">
        <v>108.65</v>
      </c>
      <c r="BJ82" s="535">
        <v>104</v>
      </c>
      <c r="BK82" s="535">
        <v>100.27</v>
      </c>
    </row>
    <row r="83" spans="2:63" x14ac:dyDescent="0.25">
      <c r="B83" s="532">
        <v>94</v>
      </c>
      <c r="C83" s="533">
        <v>190.98</v>
      </c>
      <c r="D83" s="533">
        <v>188.45</v>
      </c>
      <c r="E83" s="533">
        <v>185.9</v>
      </c>
      <c r="F83" s="533">
        <v>183.34</v>
      </c>
      <c r="G83" s="533">
        <v>180.75</v>
      </c>
      <c r="H83" s="533">
        <v>178.13</v>
      </c>
      <c r="I83" s="533">
        <v>175.49</v>
      </c>
      <c r="J83" s="533">
        <v>172.83</v>
      </c>
      <c r="K83" s="533">
        <v>170.15</v>
      </c>
      <c r="L83" s="533">
        <v>167.45</v>
      </c>
      <c r="M83" s="533">
        <v>164.74</v>
      </c>
      <c r="N83" s="533">
        <v>162.03</v>
      </c>
      <c r="O83" s="533">
        <v>148.58000000000001</v>
      </c>
      <c r="P83" s="533">
        <v>135.88</v>
      </c>
      <c r="Q83" s="533">
        <v>124.67</v>
      </c>
      <c r="R83" s="533">
        <v>115.64</v>
      </c>
      <c r="S83" s="533">
        <v>109.1</v>
      </c>
      <c r="T83" s="534">
        <v>104.2</v>
      </c>
      <c r="U83" s="534">
        <v>100.29</v>
      </c>
      <c r="V83" s="531"/>
      <c r="W83" s="532">
        <v>94</v>
      </c>
      <c r="X83" s="533">
        <v>192.92</v>
      </c>
      <c r="Y83" s="533">
        <v>190.39</v>
      </c>
      <c r="Z83" s="533">
        <v>187.83</v>
      </c>
      <c r="AA83" s="533">
        <v>185.26</v>
      </c>
      <c r="AB83" s="533">
        <v>182.65</v>
      </c>
      <c r="AC83" s="533">
        <v>180.02</v>
      </c>
      <c r="AD83" s="533">
        <v>177.36</v>
      </c>
      <c r="AE83" s="533">
        <v>174.68</v>
      </c>
      <c r="AF83" s="533">
        <v>171.98</v>
      </c>
      <c r="AG83" s="533">
        <v>169.25</v>
      </c>
      <c r="AH83" s="533">
        <v>166.52</v>
      </c>
      <c r="AI83" s="533">
        <v>163.78</v>
      </c>
      <c r="AJ83" s="533">
        <v>150.15</v>
      </c>
      <c r="AK83" s="533">
        <v>137.24</v>
      </c>
      <c r="AL83" s="533">
        <v>125.82</v>
      </c>
      <c r="AM83" s="533">
        <v>116.59</v>
      </c>
      <c r="AN83" s="533">
        <v>109.93</v>
      </c>
      <c r="AO83" s="534">
        <v>104.94</v>
      </c>
      <c r="AP83" s="534">
        <v>100.96</v>
      </c>
      <c r="AQ83" s="531"/>
      <c r="AR83" s="532">
        <v>94</v>
      </c>
      <c r="AS83" s="533">
        <v>194</v>
      </c>
      <c r="AT83" s="533">
        <v>191.49</v>
      </c>
      <c r="AU83" s="533">
        <v>188.95</v>
      </c>
      <c r="AV83" s="533">
        <v>186.39</v>
      </c>
      <c r="AW83" s="533">
        <v>183.79</v>
      </c>
      <c r="AX83" s="533">
        <v>181.17</v>
      </c>
      <c r="AY83" s="533">
        <v>178.52</v>
      </c>
      <c r="AZ83" s="533">
        <v>175.84</v>
      </c>
      <c r="BA83" s="533">
        <v>173.14</v>
      </c>
      <c r="BB83" s="533">
        <v>170.43</v>
      </c>
      <c r="BC83" s="533">
        <v>167.7</v>
      </c>
      <c r="BD83" s="533">
        <v>164.96</v>
      </c>
      <c r="BE83" s="533">
        <v>151.35</v>
      </c>
      <c r="BF83" s="533">
        <v>138.44999999999999</v>
      </c>
      <c r="BG83" s="533">
        <v>127.03</v>
      </c>
      <c r="BH83" s="533">
        <v>117.79</v>
      </c>
      <c r="BI83" s="533">
        <v>111.11</v>
      </c>
      <c r="BJ83" s="535">
        <v>106.08</v>
      </c>
      <c r="BK83" s="535">
        <v>102.08</v>
      </c>
    </row>
    <row r="84" spans="2:63" x14ac:dyDescent="0.25">
      <c r="B84" s="532">
        <v>95</v>
      </c>
      <c r="C84" s="533">
        <v>199.31</v>
      </c>
      <c r="D84" s="533">
        <v>196.61</v>
      </c>
      <c r="E84" s="533">
        <v>193.9</v>
      </c>
      <c r="F84" s="533">
        <v>191.17</v>
      </c>
      <c r="G84" s="533">
        <v>188.43</v>
      </c>
      <c r="H84" s="533">
        <v>185.66</v>
      </c>
      <c r="I84" s="533">
        <v>182.86</v>
      </c>
      <c r="J84" s="533">
        <v>180.05</v>
      </c>
      <c r="K84" s="533">
        <v>177.21</v>
      </c>
      <c r="L84" s="533">
        <v>174.36</v>
      </c>
      <c r="M84" s="533">
        <v>171.49</v>
      </c>
      <c r="N84" s="533">
        <v>168.62</v>
      </c>
      <c r="O84" s="533">
        <v>154.34</v>
      </c>
      <c r="P84" s="533">
        <v>140.78</v>
      </c>
      <c r="Q84" s="533">
        <v>128.72</v>
      </c>
      <c r="R84" s="533">
        <v>118.85</v>
      </c>
      <c r="S84" s="533">
        <v>111.63</v>
      </c>
      <c r="T84" s="534">
        <v>106.32</v>
      </c>
      <c r="U84" s="534">
        <v>102.13</v>
      </c>
      <c r="V84" s="531"/>
      <c r="W84" s="532">
        <v>95</v>
      </c>
      <c r="X84" s="533">
        <v>201.28</v>
      </c>
      <c r="Y84" s="533">
        <v>198.59</v>
      </c>
      <c r="Z84" s="533">
        <v>195.88</v>
      </c>
      <c r="AA84" s="533">
        <v>193.15</v>
      </c>
      <c r="AB84" s="533">
        <v>190.4</v>
      </c>
      <c r="AC84" s="533">
        <v>187.62</v>
      </c>
      <c r="AD84" s="533">
        <v>184.81</v>
      </c>
      <c r="AE84" s="533">
        <v>181.97</v>
      </c>
      <c r="AF84" s="533">
        <v>179.11</v>
      </c>
      <c r="AG84" s="533">
        <v>176.24</v>
      </c>
      <c r="AH84" s="533">
        <v>173.35</v>
      </c>
      <c r="AI84" s="533">
        <v>170.45</v>
      </c>
      <c r="AJ84" s="533">
        <v>156</v>
      </c>
      <c r="AK84" s="533">
        <v>142.22999999999999</v>
      </c>
      <c r="AL84" s="533">
        <v>129.94999999999999</v>
      </c>
      <c r="AM84" s="533">
        <v>119.87</v>
      </c>
      <c r="AN84" s="533">
        <v>112.51</v>
      </c>
      <c r="AO84" s="534">
        <v>107.09</v>
      </c>
      <c r="AP84" s="534">
        <v>102.83</v>
      </c>
      <c r="AQ84" s="531"/>
      <c r="AR84" s="532">
        <v>95</v>
      </c>
      <c r="AS84" s="533">
        <v>202.37</v>
      </c>
      <c r="AT84" s="533">
        <v>199.7</v>
      </c>
      <c r="AU84" s="533">
        <v>197</v>
      </c>
      <c r="AV84" s="533">
        <v>194.28</v>
      </c>
      <c r="AW84" s="533">
        <v>191.54</v>
      </c>
      <c r="AX84" s="533">
        <v>188.76</v>
      </c>
      <c r="AY84" s="533">
        <v>185.96</v>
      </c>
      <c r="AZ84" s="533">
        <v>183.13</v>
      </c>
      <c r="BA84" s="533">
        <v>180.28</v>
      </c>
      <c r="BB84" s="533">
        <v>177.41</v>
      </c>
      <c r="BC84" s="533">
        <v>174.52</v>
      </c>
      <c r="BD84" s="533">
        <v>171.63</v>
      </c>
      <c r="BE84" s="533">
        <v>157.19999999999999</v>
      </c>
      <c r="BF84" s="533">
        <v>143.44999999999999</v>
      </c>
      <c r="BG84" s="533">
        <v>131.16999999999999</v>
      </c>
      <c r="BH84" s="533">
        <v>121.08</v>
      </c>
      <c r="BI84" s="533">
        <v>113.7</v>
      </c>
      <c r="BJ84" s="535">
        <v>108.26</v>
      </c>
      <c r="BK84" s="535">
        <v>103.97</v>
      </c>
    </row>
    <row r="85" spans="2:63" x14ac:dyDescent="0.25">
      <c r="B85" s="532">
        <v>96</v>
      </c>
      <c r="C85" s="533">
        <v>208.19</v>
      </c>
      <c r="D85" s="533">
        <v>205.3</v>
      </c>
      <c r="E85" s="533">
        <v>202.41</v>
      </c>
      <c r="F85" s="533">
        <v>199.52</v>
      </c>
      <c r="G85" s="533">
        <v>196.6</v>
      </c>
      <c r="H85" s="533">
        <v>193.67</v>
      </c>
      <c r="I85" s="533">
        <v>190.71</v>
      </c>
      <c r="J85" s="533">
        <v>187.73</v>
      </c>
      <c r="K85" s="533">
        <v>184.72</v>
      </c>
      <c r="L85" s="533">
        <v>181.7</v>
      </c>
      <c r="M85" s="533">
        <v>178.67</v>
      </c>
      <c r="N85" s="533">
        <v>175.63</v>
      </c>
      <c r="O85" s="533">
        <v>160.47</v>
      </c>
      <c r="P85" s="533">
        <v>146.01</v>
      </c>
      <c r="Q85" s="533">
        <v>133.05000000000001</v>
      </c>
      <c r="R85" s="533">
        <v>122.3</v>
      </c>
      <c r="S85" s="533">
        <v>114.31</v>
      </c>
      <c r="T85" s="534">
        <v>108.54</v>
      </c>
      <c r="U85" s="534">
        <v>104.04</v>
      </c>
      <c r="V85" s="531"/>
      <c r="W85" s="532">
        <v>96</v>
      </c>
      <c r="X85" s="533">
        <v>210.2</v>
      </c>
      <c r="Y85" s="533">
        <v>207.32</v>
      </c>
      <c r="Z85" s="533">
        <v>204.44</v>
      </c>
      <c r="AA85" s="533">
        <v>201.55</v>
      </c>
      <c r="AB85" s="533">
        <v>198.63</v>
      </c>
      <c r="AC85" s="533">
        <v>195.68</v>
      </c>
      <c r="AD85" s="533">
        <v>192.71</v>
      </c>
      <c r="AE85" s="533">
        <v>189.71</v>
      </c>
      <c r="AF85" s="533">
        <v>186.69</v>
      </c>
      <c r="AG85" s="533">
        <v>183.65</v>
      </c>
      <c r="AH85" s="533">
        <v>180.6</v>
      </c>
      <c r="AI85" s="533">
        <v>177.53</v>
      </c>
      <c r="AJ85" s="533">
        <v>162.22</v>
      </c>
      <c r="AK85" s="533">
        <v>147.56</v>
      </c>
      <c r="AL85" s="533">
        <v>134.37</v>
      </c>
      <c r="AM85" s="533">
        <v>123.4</v>
      </c>
      <c r="AN85" s="533">
        <v>115.24</v>
      </c>
      <c r="AO85" s="534">
        <v>109.36</v>
      </c>
      <c r="AP85" s="534">
        <v>104.78</v>
      </c>
      <c r="AQ85" s="531"/>
      <c r="AR85" s="532">
        <v>96</v>
      </c>
      <c r="AS85" s="533">
        <v>211.29</v>
      </c>
      <c r="AT85" s="533">
        <v>208.43</v>
      </c>
      <c r="AU85" s="533">
        <v>205.56</v>
      </c>
      <c r="AV85" s="533">
        <v>202.68</v>
      </c>
      <c r="AW85" s="533">
        <v>199.77</v>
      </c>
      <c r="AX85" s="533">
        <v>196.83</v>
      </c>
      <c r="AY85" s="533">
        <v>193.86</v>
      </c>
      <c r="AZ85" s="533">
        <v>190.87</v>
      </c>
      <c r="BA85" s="533">
        <v>187.86</v>
      </c>
      <c r="BB85" s="533">
        <v>184.82</v>
      </c>
      <c r="BC85" s="533">
        <v>181.77</v>
      </c>
      <c r="BD85" s="533">
        <v>178.71</v>
      </c>
      <c r="BE85" s="533">
        <v>163.43</v>
      </c>
      <c r="BF85" s="533">
        <v>148.78</v>
      </c>
      <c r="BG85" s="533">
        <v>135.6</v>
      </c>
      <c r="BH85" s="533">
        <v>124.62</v>
      </c>
      <c r="BI85" s="533">
        <v>116.46</v>
      </c>
      <c r="BJ85" s="535">
        <v>110.55</v>
      </c>
      <c r="BK85" s="535">
        <v>105.94</v>
      </c>
    </row>
    <row r="86" spans="2:63" x14ac:dyDescent="0.25">
      <c r="B86" s="532">
        <v>97</v>
      </c>
      <c r="C86" s="533">
        <v>217.7</v>
      </c>
      <c r="D86" s="533">
        <v>214.6</v>
      </c>
      <c r="E86" s="533">
        <v>211.51</v>
      </c>
      <c r="F86" s="533">
        <v>208.43</v>
      </c>
      <c r="G86" s="533">
        <v>205.33</v>
      </c>
      <c r="H86" s="533">
        <v>202.21</v>
      </c>
      <c r="I86" s="533">
        <v>199.08</v>
      </c>
      <c r="J86" s="533">
        <v>195.92</v>
      </c>
      <c r="K86" s="533">
        <v>192.73</v>
      </c>
      <c r="L86" s="533">
        <v>189.54</v>
      </c>
      <c r="M86" s="533">
        <v>186.32</v>
      </c>
      <c r="N86" s="533">
        <v>183.1</v>
      </c>
      <c r="O86" s="533">
        <v>167.02</v>
      </c>
      <c r="P86" s="533">
        <v>151.61000000000001</v>
      </c>
      <c r="Q86" s="533">
        <v>137.69</v>
      </c>
      <c r="R86" s="533">
        <v>126.01</v>
      </c>
      <c r="S86" s="533">
        <v>117.17</v>
      </c>
      <c r="T86" s="534">
        <v>110.88</v>
      </c>
      <c r="U86" s="534">
        <v>106.05</v>
      </c>
      <c r="V86" s="531"/>
      <c r="W86" s="532">
        <v>97</v>
      </c>
      <c r="X86" s="533">
        <v>219.74</v>
      </c>
      <c r="Y86" s="533">
        <v>216.65</v>
      </c>
      <c r="Z86" s="533">
        <v>213.58</v>
      </c>
      <c r="AA86" s="533">
        <v>210.5</v>
      </c>
      <c r="AB86" s="533">
        <v>207.4</v>
      </c>
      <c r="AC86" s="533">
        <v>204.28</v>
      </c>
      <c r="AD86" s="533">
        <v>201.13</v>
      </c>
      <c r="AE86" s="533">
        <v>197.96</v>
      </c>
      <c r="AF86" s="533">
        <v>194.77</v>
      </c>
      <c r="AG86" s="533">
        <v>191.55</v>
      </c>
      <c r="AH86" s="533">
        <v>188.32</v>
      </c>
      <c r="AI86" s="533">
        <v>185.07</v>
      </c>
      <c r="AJ86" s="533">
        <v>168.86</v>
      </c>
      <c r="AK86" s="533">
        <v>153.25</v>
      </c>
      <c r="AL86" s="533">
        <v>139.1</v>
      </c>
      <c r="AM86" s="533">
        <v>127.19</v>
      </c>
      <c r="AN86" s="533">
        <v>118.16</v>
      </c>
      <c r="AO86" s="534">
        <v>111.75</v>
      </c>
      <c r="AP86" s="534">
        <v>106.82</v>
      </c>
      <c r="AQ86" s="531"/>
      <c r="AR86" s="532">
        <v>97</v>
      </c>
      <c r="AS86" s="533">
        <v>220.83</v>
      </c>
      <c r="AT86" s="533">
        <v>217.76</v>
      </c>
      <c r="AU86" s="533">
        <v>214.7</v>
      </c>
      <c r="AV86" s="533">
        <v>211.63</v>
      </c>
      <c r="AW86" s="533">
        <v>208.54</v>
      </c>
      <c r="AX86" s="533">
        <v>205.42</v>
      </c>
      <c r="AY86" s="533">
        <v>202.28</v>
      </c>
      <c r="AZ86" s="533">
        <v>199.12</v>
      </c>
      <c r="BA86" s="533">
        <v>195.93</v>
      </c>
      <c r="BB86" s="533">
        <v>192.72</v>
      </c>
      <c r="BC86" s="533">
        <v>189.49</v>
      </c>
      <c r="BD86" s="533">
        <v>186.25</v>
      </c>
      <c r="BE86" s="533">
        <v>170.06</v>
      </c>
      <c r="BF86" s="533">
        <v>154.47</v>
      </c>
      <c r="BG86" s="533">
        <v>140.34</v>
      </c>
      <c r="BH86" s="533">
        <v>128.43</v>
      </c>
      <c r="BI86" s="533">
        <v>119.39</v>
      </c>
      <c r="BJ86" s="535">
        <v>112.96</v>
      </c>
      <c r="BK86" s="535">
        <v>108.01</v>
      </c>
    </row>
    <row r="87" spans="2:63" x14ac:dyDescent="0.25">
      <c r="B87" s="532">
        <v>98</v>
      </c>
      <c r="C87" s="533">
        <v>227.94</v>
      </c>
      <c r="D87" s="533">
        <v>224.59</v>
      </c>
      <c r="E87" s="533">
        <v>221.28</v>
      </c>
      <c r="F87" s="533">
        <v>217.98</v>
      </c>
      <c r="G87" s="533">
        <v>214.68</v>
      </c>
      <c r="H87" s="533">
        <v>211.36</v>
      </c>
      <c r="I87" s="533">
        <v>208.03</v>
      </c>
      <c r="J87" s="533">
        <v>204.68</v>
      </c>
      <c r="K87" s="533">
        <v>201.31</v>
      </c>
      <c r="L87" s="533">
        <v>197.92</v>
      </c>
      <c r="M87" s="533">
        <v>194.51</v>
      </c>
      <c r="N87" s="533">
        <v>191.1</v>
      </c>
      <c r="O87" s="533">
        <v>174.03</v>
      </c>
      <c r="P87" s="533">
        <v>157.6</v>
      </c>
      <c r="Q87" s="533">
        <v>142.66999999999999</v>
      </c>
      <c r="R87" s="533">
        <v>130.01</v>
      </c>
      <c r="S87" s="533">
        <v>120.24</v>
      </c>
      <c r="T87" s="534">
        <v>113.36</v>
      </c>
      <c r="U87" s="534">
        <v>108.16</v>
      </c>
      <c r="V87" s="531"/>
      <c r="W87" s="532">
        <v>98</v>
      </c>
      <c r="X87" s="533">
        <v>230</v>
      </c>
      <c r="Y87" s="533">
        <v>226.67</v>
      </c>
      <c r="Z87" s="533">
        <v>223.37</v>
      </c>
      <c r="AA87" s="533">
        <v>220.08</v>
      </c>
      <c r="AB87" s="533">
        <v>216.79</v>
      </c>
      <c r="AC87" s="533">
        <v>213.47</v>
      </c>
      <c r="AD87" s="533">
        <v>210.13</v>
      </c>
      <c r="AE87" s="533">
        <v>206.77</v>
      </c>
      <c r="AF87" s="533">
        <v>203.39</v>
      </c>
      <c r="AG87" s="533">
        <v>199.99</v>
      </c>
      <c r="AH87" s="533">
        <v>196.57</v>
      </c>
      <c r="AI87" s="533">
        <v>193.13</v>
      </c>
      <c r="AJ87" s="533">
        <v>175.94</v>
      </c>
      <c r="AK87" s="533">
        <v>159.33000000000001</v>
      </c>
      <c r="AL87" s="533">
        <v>144.16999999999999</v>
      </c>
      <c r="AM87" s="533">
        <v>131.28</v>
      </c>
      <c r="AN87" s="533">
        <v>121.3</v>
      </c>
      <c r="AO87" s="534">
        <v>114.27</v>
      </c>
      <c r="AP87" s="534">
        <v>108.97</v>
      </c>
      <c r="AQ87" s="531"/>
      <c r="AR87" s="532">
        <v>98</v>
      </c>
      <c r="AS87" s="533">
        <v>231.09</v>
      </c>
      <c r="AT87" s="533">
        <v>227.78</v>
      </c>
      <c r="AU87" s="533">
        <v>224.5</v>
      </c>
      <c r="AV87" s="533">
        <v>221.22</v>
      </c>
      <c r="AW87" s="533">
        <v>217.93</v>
      </c>
      <c r="AX87" s="533">
        <v>214.62</v>
      </c>
      <c r="AY87" s="533">
        <v>211.29</v>
      </c>
      <c r="AZ87" s="533">
        <v>207.93</v>
      </c>
      <c r="BA87" s="533">
        <v>204.56</v>
      </c>
      <c r="BB87" s="533">
        <v>201.16</v>
      </c>
      <c r="BC87" s="533">
        <v>197.74</v>
      </c>
      <c r="BD87" s="533">
        <v>194.31</v>
      </c>
      <c r="BE87" s="533">
        <v>177.14</v>
      </c>
      <c r="BF87" s="533">
        <v>160.56</v>
      </c>
      <c r="BG87" s="533">
        <v>145.41999999999999</v>
      </c>
      <c r="BH87" s="533">
        <v>132.53</v>
      </c>
      <c r="BI87" s="533">
        <v>122.55</v>
      </c>
      <c r="BJ87" s="535">
        <v>115.51</v>
      </c>
      <c r="BK87" s="535">
        <v>110.18</v>
      </c>
    </row>
    <row r="88" spans="2:63" x14ac:dyDescent="0.25">
      <c r="B88" s="532">
        <v>99</v>
      </c>
      <c r="C88" s="533">
        <v>239.06</v>
      </c>
      <c r="D88" s="533">
        <v>235.41</v>
      </c>
      <c r="E88" s="533">
        <v>231.83</v>
      </c>
      <c r="F88" s="533">
        <v>228.29</v>
      </c>
      <c r="G88" s="533">
        <v>224.76</v>
      </c>
      <c r="H88" s="533">
        <v>221.22</v>
      </c>
      <c r="I88" s="533">
        <v>217.67</v>
      </c>
      <c r="J88" s="533">
        <v>214.11</v>
      </c>
      <c r="K88" s="533">
        <v>210.53</v>
      </c>
      <c r="L88" s="533">
        <v>206.93</v>
      </c>
      <c r="M88" s="533">
        <v>203.31</v>
      </c>
      <c r="N88" s="533">
        <v>199.69</v>
      </c>
      <c r="O88" s="533">
        <v>181.56</v>
      </c>
      <c r="P88" s="533">
        <v>164.05</v>
      </c>
      <c r="Q88" s="533">
        <v>148.04</v>
      </c>
      <c r="R88" s="533">
        <v>134.34</v>
      </c>
      <c r="S88" s="533">
        <v>123.58</v>
      </c>
      <c r="T88" s="534">
        <v>115.99</v>
      </c>
      <c r="U88" s="534">
        <v>110.37</v>
      </c>
      <c r="V88" s="531"/>
      <c r="W88" s="532">
        <v>99</v>
      </c>
      <c r="X88" s="533">
        <v>241.12</v>
      </c>
      <c r="Y88" s="533">
        <v>237.5</v>
      </c>
      <c r="Z88" s="533">
        <v>233.94</v>
      </c>
      <c r="AA88" s="533">
        <v>230.41</v>
      </c>
      <c r="AB88" s="533">
        <v>226.89</v>
      </c>
      <c r="AC88" s="533">
        <v>223.36</v>
      </c>
      <c r="AD88" s="533">
        <v>219.81</v>
      </c>
      <c r="AE88" s="533">
        <v>216.24</v>
      </c>
      <c r="AF88" s="533">
        <v>212.65</v>
      </c>
      <c r="AG88" s="533">
        <v>209.05</v>
      </c>
      <c r="AH88" s="533">
        <v>205.42</v>
      </c>
      <c r="AI88" s="533">
        <v>201.78</v>
      </c>
      <c r="AJ88" s="533">
        <v>183.55</v>
      </c>
      <c r="AK88" s="533">
        <v>165.86</v>
      </c>
      <c r="AL88" s="533">
        <v>149.63</v>
      </c>
      <c r="AM88" s="533">
        <v>135.69</v>
      </c>
      <c r="AN88" s="533">
        <v>124.71</v>
      </c>
      <c r="AO88" s="534">
        <v>116.96</v>
      </c>
      <c r="AP88" s="534">
        <v>111.22</v>
      </c>
      <c r="AQ88" s="531"/>
      <c r="AR88" s="532">
        <v>99</v>
      </c>
      <c r="AS88" s="533">
        <v>242.22</v>
      </c>
      <c r="AT88" s="533">
        <v>238.62</v>
      </c>
      <c r="AU88" s="533">
        <v>235.07</v>
      </c>
      <c r="AV88" s="533">
        <v>231.55</v>
      </c>
      <c r="AW88" s="533">
        <v>228.03</v>
      </c>
      <c r="AX88" s="533">
        <v>224.51</v>
      </c>
      <c r="AY88" s="533">
        <v>220.97</v>
      </c>
      <c r="AZ88" s="533">
        <v>217.4</v>
      </c>
      <c r="BA88" s="533">
        <v>213.82</v>
      </c>
      <c r="BB88" s="533">
        <v>210.21</v>
      </c>
      <c r="BC88" s="533">
        <v>206.59</v>
      </c>
      <c r="BD88" s="533">
        <v>202.96</v>
      </c>
      <c r="BE88" s="533">
        <v>184.75</v>
      </c>
      <c r="BF88" s="533">
        <v>167.09</v>
      </c>
      <c r="BG88" s="533">
        <v>150.88</v>
      </c>
      <c r="BH88" s="533">
        <v>136.94999999999999</v>
      </c>
      <c r="BI88" s="533">
        <v>125.98</v>
      </c>
      <c r="BJ88" s="535">
        <v>118.21</v>
      </c>
      <c r="BK88" s="535">
        <v>112.46</v>
      </c>
    </row>
    <row r="89" spans="2:63" x14ac:dyDescent="0.25">
      <c r="B89" s="532">
        <v>100</v>
      </c>
      <c r="C89" s="533">
        <v>251.23</v>
      </c>
      <c r="D89" s="533">
        <v>247.22</v>
      </c>
      <c r="E89" s="533">
        <v>243.33</v>
      </c>
      <c r="F89" s="533">
        <v>239.49</v>
      </c>
      <c r="G89" s="533">
        <v>235.7</v>
      </c>
      <c r="H89" s="533">
        <v>231.91</v>
      </c>
      <c r="I89" s="533">
        <v>228.12</v>
      </c>
      <c r="J89" s="533">
        <v>224.32</v>
      </c>
      <c r="K89" s="533">
        <v>220.5</v>
      </c>
      <c r="L89" s="533">
        <v>216.67</v>
      </c>
      <c r="M89" s="533">
        <v>212.83</v>
      </c>
      <c r="N89" s="533">
        <v>208.97</v>
      </c>
      <c r="O89" s="533">
        <v>189.69</v>
      </c>
      <c r="P89" s="533">
        <v>171</v>
      </c>
      <c r="Q89" s="533">
        <v>153.82</v>
      </c>
      <c r="R89" s="533">
        <v>139.01</v>
      </c>
      <c r="S89" s="533">
        <v>127.21</v>
      </c>
      <c r="T89" s="534">
        <v>118.8</v>
      </c>
      <c r="U89" s="534">
        <v>112.7</v>
      </c>
      <c r="V89" s="531"/>
      <c r="W89" s="532">
        <v>100</v>
      </c>
      <c r="X89" s="533">
        <v>253.3</v>
      </c>
      <c r="Y89" s="533">
        <v>249.32</v>
      </c>
      <c r="Z89" s="533">
        <v>245.45</v>
      </c>
      <c r="AA89" s="533">
        <v>241.63</v>
      </c>
      <c r="AB89" s="533">
        <v>237.85</v>
      </c>
      <c r="AC89" s="533">
        <v>234.07</v>
      </c>
      <c r="AD89" s="533">
        <v>230.28</v>
      </c>
      <c r="AE89" s="533">
        <v>226.48</v>
      </c>
      <c r="AF89" s="533">
        <v>222.66</v>
      </c>
      <c r="AG89" s="533">
        <v>218.83</v>
      </c>
      <c r="AH89" s="533">
        <v>214.98</v>
      </c>
      <c r="AI89" s="533">
        <v>211.11</v>
      </c>
      <c r="AJ89" s="533">
        <v>191.74</v>
      </c>
      <c r="AK89" s="533">
        <v>172.9</v>
      </c>
      <c r="AL89" s="533">
        <v>155.52000000000001</v>
      </c>
      <c r="AM89" s="533">
        <v>140.46</v>
      </c>
      <c r="AN89" s="533">
        <v>128.41999999999999</v>
      </c>
      <c r="AO89" s="534">
        <v>119.83</v>
      </c>
      <c r="AP89" s="534">
        <v>113.61</v>
      </c>
      <c r="AQ89" s="531"/>
      <c r="AR89" s="532">
        <v>100</v>
      </c>
      <c r="AS89" s="533">
        <v>254.4</v>
      </c>
      <c r="AT89" s="533">
        <v>250.44</v>
      </c>
      <c r="AU89" s="533">
        <v>246.58</v>
      </c>
      <c r="AV89" s="533">
        <v>242.78</v>
      </c>
      <c r="AW89" s="533">
        <v>239</v>
      </c>
      <c r="AX89" s="533">
        <v>235.22</v>
      </c>
      <c r="AY89" s="533">
        <v>231.44</v>
      </c>
      <c r="AZ89" s="533">
        <v>227.64</v>
      </c>
      <c r="BA89" s="533">
        <v>223.83</v>
      </c>
      <c r="BB89" s="533">
        <v>220</v>
      </c>
      <c r="BC89" s="533">
        <v>216.15</v>
      </c>
      <c r="BD89" s="533">
        <v>212.29</v>
      </c>
      <c r="BE89" s="533">
        <v>192.94</v>
      </c>
      <c r="BF89" s="533">
        <v>174.12</v>
      </c>
      <c r="BG89" s="533">
        <v>156.77000000000001</v>
      </c>
      <c r="BH89" s="533">
        <v>141.72999999999999</v>
      </c>
      <c r="BI89" s="533">
        <v>129.69999999999999</v>
      </c>
      <c r="BJ89" s="535">
        <v>121.1</v>
      </c>
      <c r="BK89" s="535">
        <v>114.86</v>
      </c>
    </row>
  </sheetData>
  <mergeCells count="6">
    <mergeCell ref="C3:U3"/>
    <mergeCell ref="X3:AP3"/>
    <mergeCell ref="AS3:BK3"/>
    <mergeCell ref="C5:U5"/>
    <mergeCell ref="X5:AP5"/>
    <mergeCell ref="AS5:BK5"/>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tint="0.39997558519241921"/>
  </sheetPr>
  <dimension ref="B2:BK89"/>
  <sheetViews>
    <sheetView zoomScale="55" zoomScaleNormal="55" workbookViewId="0">
      <selection activeCell="B7" sqref="B7:BK89"/>
    </sheetView>
  </sheetViews>
  <sheetFormatPr defaultColWidth="9.140625" defaultRowHeight="19.5" x14ac:dyDescent="0.25"/>
  <cols>
    <col min="1" max="1" width="2.140625" style="443" customWidth="1"/>
    <col min="2" max="2" width="32.85546875" style="443" bestFit="1" customWidth="1"/>
    <col min="3" max="3" width="13" style="443" customWidth="1"/>
    <col min="4" max="4" width="14" style="443" customWidth="1"/>
    <col min="5" max="8" width="13.140625" style="443" bestFit="1" customWidth="1"/>
    <col min="9" max="9" width="13.85546875" style="443" customWidth="1"/>
    <col min="10" max="10" width="14.42578125" style="443" customWidth="1"/>
    <col min="11" max="16" width="14.42578125" style="443" bestFit="1" customWidth="1"/>
    <col min="17" max="19" width="12.85546875" style="443" bestFit="1" customWidth="1"/>
    <col min="20" max="20" width="12.85546875" style="443" customWidth="1"/>
    <col min="21" max="21" width="12.85546875" style="443" bestFit="1" customWidth="1"/>
    <col min="22" max="22" width="12.85546875" style="443" customWidth="1"/>
    <col min="23" max="23" width="20.85546875" style="443" bestFit="1" customWidth="1"/>
    <col min="24" max="28" width="13.140625" style="443" bestFit="1" customWidth="1"/>
    <col min="29" max="37" width="14.42578125" style="443" bestFit="1" customWidth="1"/>
    <col min="38" max="40" width="12.85546875" style="443" bestFit="1" customWidth="1"/>
    <col min="41" max="41" width="12.85546875" style="443" customWidth="1"/>
    <col min="42" max="42" width="12.85546875" style="443" bestFit="1" customWidth="1"/>
    <col min="43" max="43" width="8.42578125" style="443" bestFit="1" customWidth="1"/>
    <col min="44" max="44" width="8.42578125" style="443" customWidth="1"/>
    <col min="45" max="49" width="13.140625" style="443" bestFit="1" customWidth="1"/>
    <col min="50" max="58" width="14.42578125" style="443" bestFit="1" customWidth="1"/>
    <col min="59" max="59" width="13.140625" style="443" bestFit="1" customWidth="1"/>
    <col min="60" max="61" width="12.85546875" style="443" bestFit="1" customWidth="1"/>
    <col min="62" max="62" width="12.85546875" style="443" customWidth="1"/>
    <col min="63" max="63" width="12.85546875" style="443" bestFit="1" customWidth="1"/>
    <col min="64" max="16384" width="9.140625" style="443"/>
  </cols>
  <sheetData>
    <row r="2" spans="2:63" x14ac:dyDescent="0.25">
      <c r="B2" s="443" t="s">
        <v>174</v>
      </c>
    </row>
    <row r="3" spans="2:63" ht="42" customHeight="1" x14ac:dyDescent="0.25">
      <c r="B3" s="470"/>
      <c r="C3" s="781" t="s">
        <v>171</v>
      </c>
      <c r="D3" s="782"/>
      <c r="E3" s="782"/>
      <c r="F3" s="782"/>
      <c r="G3" s="782"/>
      <c r="H3" s="782"/>
      <c r="I3" s="782"/>
      <c r="J3" s="782"/>
      <c r="K3" s="782"/>
      <c r="L3" s="782"/>
      <c r="M3" s="782"/>
      <c r="N3" s="782"/>
      <c r="O3" s="782"/>
      <c r="P3" s="782"/>
      <c r="Q3" s="782"/>
      <c r="R3" s="782"/>
      <c r="S3" s="782"/>
      <c r="T3" s="471"/>
      <c r="U3" s="472"/>
      <c r="V3" s="473"/>
      <c r="X3" s="781" t="s">
        <v>171</v>
      </c>
      <c r="Y3" s="782"/>
      <c r="Z3" s="782"/>
      <c r="AA3" s="782"/>
      <c r="AB3" s="782"/>
      <c r="AC3" s="782"/>
      <c r="AD3" s="782"/>
      <c r="AE3" s="782"/>
      <c r="AF3" s="782"/>
      <c r="AG3" s="782"/>
      <c r="AH3" s="782"/>
      <c r="AI3" s="782"/>
      <c r="AJ3" s="782"/>
      <c r="AK3" s="782"/>
      <c r="AL3" s="782"/>
      <c r="AM3" s="782"/>
      <c r="AN3" s="782"/>
      <c r="AO3" s="471"/>
      <c r="AP3" s="472"/>
      <c r="AS3" s="781" t="s">
        <v>172</v>
      </c>
      <c r="AT3" s="782"/>
      <c r="AU3" s="782"/>
      <c r="AV3" s="782"/>
      <c r="AW3" s="782"/>
      <c r="AX3" s="782"/>
      <c r="AY3" s="782"/>
      <c r="AZ3" s="782"/>
      <c r="BA3" s="782"/>
      <c r="BB3" s="782"/>
      <c r="BC3" s="782"/>
      <c r="BD3" s="782"/>
      <c r="BE3" s="782"/>
      <c r="BF3" s="782"/>
      <c r="BG3" s="782"/>
      <c r="BH3" s="782"/>
      <c r="BI3" s="782"/>
      <c r="BJ3" s="471"/>
      <c r="BK3" s="472"/>
    </row>
    <row r="4" spans="2:63" ht="17.25" customHeight="1" x14ac:dyDescent="0.25">
      <c r="B4" s="470">
        <v>306330.18000000011</v>
      </c>
      <c r="C4" s="474">
        <f>B4-B5</f>
        <v>-1613.1799999998766</v>
      </c>
      <c r="X4" s="470"/>
      <c r="AS4" s="470"/>
    </row>
    <row r="5" spans="2:63" x14ac:dyDescent="0.25">
      <c r="B5" s="442">
        <f>SUM(C7:U89)+SUM(X7:AP89)+SUM(AS7:BK89)</f>
        <v>307943.36</v>
      </c>
      <c r="C5" s="783" t="s">
        <v>173</v>
      </c>
      <c r="D5" s="783"/>
      <c r="E5" s="783"/>
      <c r="F5" s="783"/>
      <c r="G5" s="783"/>
      <c r="H5" s="783"/>
      <c r="I5" s="783"/>
      <c r="J5" s="783"/>
      <c r="K5" s="783"/>
      <c r="L5" s="783"/>
      <c r="M5" s="783"/>
      <c r="N5" s="783"/>
      <c r="O5" s="783"/>
      <c r="P5" s="783"/>
      <c r="Q5" s="783"/>
      <c r="R5" s="783"/>
      <c r="S5" s="783"/>
      <c r="T5" s="783"/>
      <c r="U5" s="783"/>
      <c r="V5" s="475"/>
      <c r="X5" s="783" t="s">
        <v>165</v>
      </c>
      <c r="Y5" s="783"/>
      <c r="Z5" s="783"/>
      <c r="AA5" s="783"/>
      <c r="AB5" s="783"/>
      <c r="AC5" s="783"/>
      <c r="AD5" s="783"/>
      <c r="AE5" s="783"/>
      <c r="AF5" s="783"/>
      <c r="AG5" s="783"/>
      <c r="AH5" s="783"/>
      <c r="AI5" s="783"/>
      <c r="AJ5" s="783"/>
      <c r="AK5" s="783"/>
      <c r="AL5" s="783"/>
      <c r="AM5" s="783"/>
      <c r="AN5" s="783"/>
      <c r="AO5" s="783"/>
      <c r="AP5" s="783"/>
      <c r="AS5" s="783" t="s">
        <v>166</v>
      </c>
      <c r="AT5" s="783"/>
      <c r="AU5" s="783"/>
      <c r="AV5" s="783"/>
      <c r="AW5" s="783"/>
      <c r="AX5" s="783"/>
      <c r="AY5" s="783"/>
      <c r="AZ5" s="783"/>
      <c r="BA5" s="783"/>
      <c r="BB5" s="783"/>
      <c r="BC5" s="783"/>
      <c r="BD5" s="783"/>
      <c r="BE5" s="783"/>
      <c r="BF5" s="783"/>
      <c r="BG5" s="783"/>
      <c r="BH5" s="783"/>
      <c r="BI5" s="783"/>
      <c r="BJ5" s="783"/>
      <c r="BK5" s="783"/>
    </row>
    <row r="6" spans="2:63" ht="126.75" customHeight="1" x14ac:dyDescent="0.25">
      <c r="B6" s="476" t="s">
        <v>14</v>
      </c>
      <c r="C6" s="477">
        <v>0</v>
      </c>
      <c r="D6" s="478">
        <v>1</v>
      </c>
      <c r="E6" s="478">
        <v>2</v>
      </c>
      <c r="F6" s="478">
        <v>3</v>
      </c>
      <c r="G6" s="478">
        <v>4</v>
      </c>
      <c r="H6" s="478">
        <v>5</v>
      </c>
      <c r="I6" s="478">
        <v>6</v>
      </c>
      <c r="J6" s="478">
        <v>7</v>
      </c>
      <c r="K6" s="478">
        <v>8</v>
      </c>
      <c r="L6" s="478">
        <v>9</v>
      </c>
      <c r="M6" s="478">
        <v>10</v>
      </c>
      <c r="N6" s="479" t="s">
        <v>15</v>
      </c>
      <c r="O6" s="478" t="s">
        <v>16</v>
      </c>
      <c r="P6" s="478" t="s">
        <v>17</v>
      </c>
      <c r="Q6" s="478" t="s">
        <v>18</v>
      </c>
      <c r="R6" s="478" t="s">
        <v>19</v>
      </c>
      <c r="S6" s="478" t="s">
        <v>20</v>
      </c>
      <c r="T6" s="480" t="s">
        <v>167</v>
      </c>
      <c r="U6" s="481" t="s">
        <v>168</v>
      </c>
      <c r="V6" s="481"/>
      <c r="W6" s="476" t="s">
        <v>14</v>
      </c>
      <c r="X6" s="480">
        <v>0</v>
      </c>
      <c r="Y6" s="480">
        <v>1</v>
      </c>
      <c r="Z6" s="480">
        <v>2</v>
      </c>
      <c r="AA6" s="480">
        <v>3</v>
      </c>
      <c r="AB6" s="480">
        <v>4</v>
      </c>
      <c r="AC6" s="480">
        <v>5</v>
      </c>
      <c r="AD6" s="480">
        <v>6</v>
      </c>
      <c r="AE6" s="480">
        <v>7</v>
      </c>
      <c r="AF6" s="480">
        <v>8</v>
      </c>
      <c r="AG6" s="480">
        <v>9</v>
      </c>
      <c r="AH6" s="480">
        <v>10</v>
      </c>
      <c r="AI6" s="482" t="s">
        <v>15</v>
      </c>
      <c r="AJ6" s="480" t="s">
        <v>16</v>
      </c>
      <c r="AK6" s="480" t="s">
        <v>17</v>
      </c>
      <c r="AL6" s="480" t="s">
        <v>18</v>
      </c>
      <c r="AM6" s="480" t="s">
        <v>19</v>
      </c>
      <c r="AN6" s="480" t="s">
        <v>20</v>
      </c>
      <c r="AO6" s="480" t="s">
        <v>167</v>
      </c>
      <c r="AP6" s="480" t="s">
        <v>168</v>
      </c>
      <c r="AR6" s="476" t="s">
        <v>14</v>
      </c>
      <c r="AS6" s="480">
        <v>0</v>
      </c>
      <c r="AT6" s="478">
        <v>1</v>
      </c>
      <c r="AU6" s="478">
        <v>2</v>
      </c>
      <c r="AV6" s="478">
        <v>3</v>
      </c>
      <c r="AW6" s="478">
        <v>4</v>
      </c>
      <c r="AX6" s="478">
        <v>5</v>
      </c>
      <c r="AY6" s="478">
        <v>6</v>
      </c>
      <c r="AZ6" s="478">
        <v>7</v>
      </c>
      <c r="BA6" s="478">
        <v>8</v>
      </c>
      <c r="BB6" s="478">
        <v>9</v>
      </c>
      <c r="BC6" s="478">
        <v>10</v>
      </c>
      <c r="BD6" s="479" t="s">
        <v>15</v>
      </c>
      <c r="BE6" s="478" t="s">
        <v>16</v>
      </c>
      <c r="BF6" s="478" t="s">
        <v>17</v>
      </c>
      <c r="BG6" s="478" t="s">
        <v>18</v>
      </c>
      <c r="BH6" s="478" t="s">
        <v>19</v>
      </c>
      <c r="BI6" s="478" t="s">
        <v>20</v>
      </c>
      <c r="BJ6" s="480" t="s">
        <v>167</v>
      </c>
      <c r="BK6" s="481" t="s">
        <v>168</v>
      </c>
    </row>
    <row r="7" spans="2:63" x14ac:dyDescent="0.25">
      <c r="B7" s="536">
        <v>18</v>
      </c>
      <c r="C7" s="533">
        <v>56.25</v>
      </c>
      <c r="D7" s="533">
        <v>56.29</v>
      </c>
      <c r="E7" s="533">
        <v>56.32</v>
      </c>
      <c r="F7" s="533">
        <v>56.36</v>
      </c>
      <c r="G7" s="533">
        <v>56.39</v>
      </c>
      <c r="H7" s="533">
        <v>56.43</v>
      </c>
      <c r="I7" s="533">
        <v>56.46</v>
      </c>
      <c r="J7" s="533">
        <v>56.5</v>
      </c>
      <c r="K7" s="533">
        <v>56.53</v>
      </c>
      <c r="L7" s="533">
        <v>56.57</v>
      </c>
      <c r="M7" s="533">
        <v>56.6</v>
      </c>
      <c r="N7" s="533">
        <v>56.63</v>
      </c>
      <c r="O7" s="533">
        <v>56.78</v>
      </c>
      <c r="P7" s="533">
        <v>56.92</v>
      </c>
      <c r="Q7" s="533">
        <v>57.04</v>
      </c>
      <c r="R7" s="533">
        <v>57.14</v>
      </c>
      <c r="S7" s="533">
        <v>57.23</v>
      </c>
      <c r="T7" s="534">
        <v>57.3</v>
      </c>
      <c r="U7" s="534">
        <v>57.38</v>
      </c>
      <c r="V7" s="530"/>
      <c r="W7" s="536">
        <v>18</v>
      </c>
      <c r="X7" s="533">
        <v>56.44</v>
      </c>
      <c r="Y7" s="533">
        <v>56.47</v>
      </c>
      <c r="Z7" s="533">
        <v>56.51</v>
      </c>
      <c r="AA7" s="533">
        <v>56.55</v>
      </c>
      <c r="AB7" s="533">
        <v>56.58</v>
      </c>
      <c r="AC7" s="533">
        <v>56.62</v>
      </c>
      <c r="AD7" s="533">
        <v>56.65</v>
      </c>
      <c r="AE7" s="533">
        <v>56.69</v>
      </c>
      <c r="AF7" s="533">
        <v>56.72</v>
      </c>
      <c r="AG7" s="533">
        <v>56.76</v>
      </c>
      <c r="AH7" s="533">
        <v>56.79</v>
      </c>
      <c r="AI7" s="533">
        <v>56.82</v>
      </c>
      <c r="AJ7" s="533">
        <v>56.97</v>
      </c>
      <c r="AK7" s="533">
        <v>57.11</v>
      </c>
      <c r="AL7" s="533">
        <v>57.23</v>
      </c>
      <c r="AM7" s="533">
        <v>57.33</v>
      </c>
      <c r="AN7" s="533">
        <v>57.42</v>
      </c>
      <c r="AO7" s="534">
        <v>57.5</v>
      </c>
      <c r="AP7" s="534">
        <v>57.57</v>
      </c>
      <c r="AQ7" s="537"/>
      <c r="AR7" s="536">
        <v>18</v>
      </c>
      <c r="AS7" s="533">
        <v>56.86</v>
      </c>
      <c r="AT7" s="533">
        <v>56.9</v>
      </c>
      <c r="AU7" s="533">
        <v>56.94</v>
      </c>
      <c r="AV7" s="533">
        <v>56.98</v>
      </c>
      <c r="AW7" s="533">
        <v>57.01</v>
      </c>
      <c r="AX7" s="533">
        <v>57.05</v>
      </c>
      <c r="AY7" s="533">
        <v>57.08</v>
      </c>
      <c r="AZ7" s="533">
        <v>57.12</v>
      </c>
      <c r="BA7" s="533">
        <v>57.15</v>
      </c>
      <c r="BB7" s="533">
        <v>57.19</v>
      </c>
      <c r="BC7" s="533">
        <v>57.22</v>
      </c>
      <c r="BD7" s="533">
        <v>57.25</v>
      </c>
      <c r="BE7" s="533">
        <v>57.41</v>
      </c>
      <c r="BF7" s="533">
        <v>57.55</v>
      </c>
      <c r="BG7" s="533">
        <v>57.67</v>
      </c>
      <c r="BH7" s="533">
        <v>57.77</v>
      </c>
      <c r="BI7" s="533">
        <v>57.86</v>
      </c>
      <c r="BJ7" s="538">
        <v>57.94</v>
      </c>
      <c r="BK7" s="538">
        <v>58.01</v>
      </c>
    </row>
    <row r="8" spans="2:63" x14ac:dyDescent="0.25">
      <c r="B8" s="536">
        <v>19</v>
      </c>
      <c r="C8" s="533">
        <v>56.33</v>
      </c>
      <c r="D8" s="533">
        <v>56.36</v>
      </c>
      <c r="E8" s="533">
        <v>56.4</v>
      </c>
      <c r="F8" s="533">
        <v>56.44</v>
      </c>
      <c r="G8" s="533">
        <v>56.48</v>
      </c>
      <c r="H8" s="533">
        <v>56.51</v>
      </c>
      <c r="I8" s="533">
        <v>56.55</v>
      </c>
      <c r="J8" s="533">
        <v>56.59</v>
      </c>
      <c r="K8" s="533">
        <v>56.62</v>
      </c>
      <c r="L8" s="533">
        <v>56.66</v>
      </c>
      <c r="M8" s="533">
        <v>56.69</v>
      </c>
      <c r="N8" s="533">
        <v>56.73</v>
      </c>
      <c r="O8" s="533">
        <v>56.89</v>
      </c>
      <c r="P8" s="533">
        <v>57.03</v>
      </c>
      <c r="Q8" s="533">
        <v>57.15</v>
      </c>
      <c r="R8" s="533">
        <v>57.26</v>
      </c>
      <c r="S8" s="533">
        <v>57.35</v>
      </c>
      <c r="T8" s="534">
        <v>57.43</v>
      </c>
      <c r="U8" s="534">
        <v>57.51</v>
      </c>
      <c r="V8" s="530"/>
      <c r="W8" s="536">
        <v>19</v>
      </c>
      <c r="X8" s="533">
        <v>56.51</v>
      </c>
      <c r="Y8" s="533">
        <v>56.55</v>
      </c>
      <c r="Z8" s="533">
        <v>56.59</v>
      </c>
      <c r="AA8" s="533">
        <v>56.63</v>
      </c>
      <c r="AB8" s="533">
        <v>56.67</v>
      </c>
      <c r="AC8" s="533">
        <v>56.7</v>
      </c>
      <c r="AD8" s="533">
        <v>56.74</v>
      </c>
      <c r="AE8" s="533">
        <v>56.78</v>
      </c>
      <c r="AF8" s="533">
        <v>56.81</v>
      </c>
      <c r="AG8" s="533">
        <v>56.85</v>
      </c>
      <c r="AH8" s="533">
        <v>56.88</v>
      </c>
      <c r="AI8" s="533">
        <v>56.92</v>
      </c>
      <c r="AJ8" s="533">
        <v>57.08</v>
      </c>
      <c r="AK8" s="533">
        <v>57.22</v>
      </c>
      <c r="AL8" s="533">
        <v>57.34</v>
      </c>
      <c r="AM8" s="533">
        <v>57.45</v>
      </c>
      <c r="AN8" s="533">
        <v>57.54</v>
      </c>
      <c r="AO8" s="534">
        <v>57.62</v>
      </c>
      <c r="AP8" s="534">
        <v>57.7</v>
      </c>
      <c r="AQ8" s="537"/>
      <c r="AR8" s="536">
        <v>19</v>
      </c>
      <c r="AS8" s="533">
        <v>56.94</v>
      </c>
      <c r="AT8" s="533">
        <v>56.98</v>
      </c>
      <c r="AU8" s="533">
        <v>57.02</v>
      </c>
      <c r="AV8" s="533">
        <v>57.06</v>
      </c>
      <c r="AW8" s="533">
        <v>57.1</v>
      </c>
      <c r="AX8" s="533">
        <v>57.13</v>
      </c>
      <c r="AY8" s="533">
        <v>57.17</v>
      </c>
      <c r="AZ8" s="533">
        <v>57.21</v>
      </c>
      <c r="BA8" s="533">
        <v>57.25</v>
      </c>
      <c r="BB8" s="533">
        <v>57.28</v>
      </c>
      <c r="BC8" s="533">
        <v>57.32</v>
      </c>
      <c r="BD8" s="533">
        <v>57.35</v>
      </c>
      <c r="BE8" s="533">
        <v>57.51</v>
      </c>
      <c r="BF8" s="533">
        <v>57.66</v>
      </c>
      <c r="BG8" s="533">
        <v>57.78</v>
      </c>
      <c r="BH8" s="533">
        <v>57.89</v>
      </c>
      <c r="BI8" s="533">
        <v>57.99</v>
      </c>
      <c r="BJ8" s="538">
        <v>58.07</v>
      </c>
      <c r="BK8" s="538">
        <v>58.15</v>
      </c>
    </row>
    <row r="9" spans="2:63" x14ac:dyDescent="0.25">
      <c r="B9" s="536">
        <v>20</v>
      </c>
      <c r="C9" s="533">
        <v>56.41</v>
      </c>
      <c r="D9" s="533">
        <v>56.45</v>
      </c>
      <c r="E9" s="533">
        <v>56.49</v>
      </c>
      <c r="F9" s="533">
        <v>56.53</v>
      </c>
      <c r="G9" s="533">
        <v>56.57</v>
      </c>
      <c r="H9" s="533">
        <v>56.6</v>
      </c>
      <c r="I9" s="533">
        <v>56.64</v>
      </c>
      <c r="J9" s="533">
        <v>56.68</v>
      </c>
      <c r="K9" s="533">
        <v>56.72</v>
      </c>
      <c r="L9" s="533">
        <v>56.75</v>
      </c>
      <c r="M9" s="533">
        <v>56.79</v>
      </c>
      <c r="N9" s="533">
        <v>56.83</v>
      </c>
      <c r="O9" s="533">
        <v>56.99</v>
      </c>
      <c r="P9" s="533">
        <v>57.14</v>
      </c>
      <c r="Q9" s="533">
        <v>57.27</v>
      </c>
      <c r="R9" s="533">
        <v>57.38</v>
      </c>
      <c r="S9" s="533">
        <v>57.48</v>
      </c>
      <c r="T9" s="534">
        <v>57.56</v>
      </c>
      <c r="U9" s="534">
        <v>57.64</v>
      </c>
      <c r="V9" s="530"/>
      <c r="W9" s="536">
        <v>20</v>
      </c>
      <c r="X9" s="533">
        <v>56.59</v>
      </c>
      <c r="Y9" s="533">
        <v>56.64</v>
      </c>
      <c r="Z9" s="533">
        <v>56.68</v>
      </c>
      <c r="AA9" s="533">
        <v>56.71</v>
      </c>
      <c r="AB9" s="533">
        <v>56.75</v>
      </c>
      <c r="AC9" s="533">
        <v>56.79</v>
      </c>
      <c r="AD9" s="533">
        <v>56.83</v>
      </c>
      <c r="AE9" s="533">
        <v>56.87</v>
      </c>
      <c r="AF9" s="533">
        <v>56.91</v>
      </c>
      <c r="AG9" s="533">
        <v>56.95</v>
      </c>
      <c r="AH9" s="533">
        <v>56.98</v>
      </c>
      <c r="AI9" s="533">
        <v>57.02</v>
      </c>
      <c r="AJ9" s="533">
        <v>57.19</v>
      </c>
      <c r="AK9" s="533">
        <v>57.33</v>
      </c>
      <c r="AL9" s="533">
        <v>57.46</v>
      </c>
      <c r="AM9" s="533">
        <v>57.58</v>
      </c>
      <c r="AN9" s="533">
        <v>57.67</v>
      </c>
      <c r="AO9" s="534">
        <v>57.76</v>
      </c>
      <c r="AP9" s="534">
        <v>57.84</v>
      </c>
      <c r="AQ9" s="537"/>
      <c r="AR9" s="536">
        <v>20</v>
      </c>
      <c r="AS9" s="533">
        <v>57.02</v>
      </c>
      <c r="AT9" s="533">
        <v>57.07</v>
      </c>
      <c r="AU9" s="533">
        <v>57.11</v>
      </c>
      <c r="AV9" s="533">
        <v>57.15</v>
      </c>
      <c r="AW9" s="533">
        <v>57.19</v>
      </c>
      <c r="AX9" s="533">
        <v>57.23</v>
      </c>
      <c r="AY9" s="533">
        <v>57.27</v>
      </c>
      <c r="AZ9" s="533">
        <v>57.3</v>
      </c>
      <c r="BA9" s="533">
        <v>57.34</v>
      </c>
      <c r="BB9" s="533">
        <v>57.38</v>
      </c>
      <c r="BC9" s="533">
        <v>57.42</v>
      </c>
      <c r="BD9" s="533">
        <v>57.45</v>
      </c>
      <c r="BE9" s="533">
        <v>57.62</v>
      </c>
      <c r="BF9" s="533">
        <v>57.78</v>
      </c>
      <c r="BG9" s="533">
        <v>57.91</v>
      </c>
      <c r="BH9" s="533">
        <v>58.02</v>
      </c>
      <c r="BI9" s="533">
        <v>58.12</v>
      </c>
      <c r="BJ9" s="538">
        <v>58.21</v>
      </c>
      <c r="BK9" s="538">
        <v>58.29</v>
      </c>
    </row>
    <row r="10" spans="2:63" x14ac:dyDescent="0.25">
      <c r="B10" s="536">
        <v>21</v>
      </c>
      <c r="C10" s="533">
        <v>56.49</v>
      </c>
      <c r="D10" s="533">
        <v>56.53</v>
      </c>
      <c r="E10" s="533">
        <v>56.57</v>
      </c>
      <c r="F10" s="533">
        <v>56.62</v>
      </c>
      <c r="G10" s="533">
        <v>56.66</v>
      </c>
      <c r="H10" s="533">
        <v>56.7</v>
      </c>
      <c r="I10" s="533">
        <v>56.74</v>
      </c>
      <c r="J10" s="533">
        <v>56.78</v>
      </c>
      <c r="K10" s="533">
        <v>56.82</v>
      </c>
      <c r="L10" s="533">
        <v>56.86</v>
      </c>
      <c r="M10" s="533">
        <v>56.89</v>
      </c>
      <c r="N10" s="533">
        <v>56.93</v>
      </c>
      <c r="O10" s="533">
        <v>57.11</v>
      </c>
      <c r="P10" s="533">
        <v>57.26</v>
      </c>
      <c r="Q10" s="533">
        <v>57.4</v>
      </c>
      <c r="R10" s="533">
        <v>57.51</v>
      </c>
      <c r="S10" s="533">
        <v>57.61</v>
      </c>
      <c r="T10" s="534">
        <v>57.7</v>
      </c>
      <c r="U10" s="534">
        <v>57.79</v>
      </c>
      <c r="V10" s="530"/>
      <c r="W10" s="536">
        <v>21</v>
      </c>
      <c r="X10" s="533">
        <v>56.68</v>
      </c>
      <c r="Y10" s="533">
        <v>56.72</v>
      </c>
      <c r="Z10" s="533">
        <v>56.76</v>
      </c>
      <c r="AA10" s="533">
        <v>56.81</v>
      </c>
      <c r="AB10" s="533">
        <v>56.85</v>
      </c>
      <c r="AC10" s="533">
        <v>56.89</v>
      </c>
      <c r="AD10" s="533">
        <v>56.93</v>
      </c>
      <c r="AE10" s="533">
        <v>56.97</v>
      </c>
      <c r="AF10" s="533">
        <v>57.01</v>
      </c>
      <c r="AG10" s="533">
        <v>57.05</v>
      </c>
      <c r="AH10" s="533">
        <v>57.08</v>
      </c>
      <c r="AI10" s="533">
        <v>57.12</v>
      </c>
      <c r="AJ10" s="533">
        <v>57.3</v>
      </c>
      <c r="AK10" s="533">
        <v>57.45</v>
      </c>
      <c r="AL10" s="533">
        <v>57.59</v>
      </c>
      <c r="AM10" s="533">
        <v>57.71</v>
      </c>
      <c r="AN10" s="533">
        <v>57.81</v>
      </c>
      <c r="AO10" s="534">
        <v>57.9</v>
      </c>
      <c r="AP10" s="534">
        <v>57.98</v>
      </c>
      <c r="AQ10" s="537"/>
      <c r="AR10" s="536">
        <v>21</v>
      </c>
      <c r="AS10" s="533">
        <v>57.11</v>
      </c>
      <c r="AT10" s="533">
        <v>57.15</v>
      </c>
      <c r="AU10" s="533">
        <v>57.2</v>
      </c>
      <c r="AV10" s="533">
        <v>57.24</v>
      </c>
      <c r="AW10" s="533">
        <v>57.28</v>
      </c>
      <c r="AX10" s="533">
        <v>57.32</v>
      </c>
      <c r="AY10" s="533">
        <v>57.36</v>
      </c>
      <c r="AZ10" s="533">
        <v>57.4</v>
      </c>
      <c r="BA10" s="533">
        <v>57.44</v>
      </c>
      <c r="BB10" s="533">
        <v>57.48</v>
      </c>
      <c r="BC10" s="533">
        <v>57.52</v>
      </c>
      <c r="BD10" s="533">
        <v>57.56</v>
      </c>
      <c r="BE10" s="533">
        <v>57.74</v>
      </c>
      <c r="BF10" s="533">
        <v>57.9</v>
      </c>
      <c r="BG10" s="533">
        <v>58.04</v>
      </c>
      <c r="BH10" s="533">
        <v>58.15</v>
      </c>
      <c r="BI10" s="533">
        <v>58.26</v>
      </c>
      <c r="BJ10" s="538">
        <v>58.35</v>
      </c>
      <c r="BK10" s="538">
        <v>58.43</v>
      </c>
    </row>
    <row r="11" spans="2:63" x14ac:dyDescent="0.25">
      <c r="B11" s="536">
        <v>22</v>
      </c>
      <c r="C11" s="533">
        <v>56.58</v>
      </c>
      <c r="D11" s="533">
        <v>56.62</v>
      </c>
      <c r="E11" s="533">
        <v>56.67</v>
      </c>
      <c r="F11" s="533">
        <v>56.71</v>
      </c>
      <c r="G11" s="533">
        <v>56.75</v>
      </c>
      <c r="H11" s="533">
        <v>56.8</v>
      </c>
      <c r="I11" s="533">
        <v>56.84</v>
      </c>
      <c r="J11" s="533">
        <v>56.88</v>
      </c>
      <c r="K11" s="533">
        <v>56.92</v>
      </c>
      <c r="L11" s="533">
        <v>56.96</v>
      </c>
      <c r="M11" s="533">
        <v>57</v>
      </c>
      <c r="N11" s="533">
        <v>57.04</v>
      </c>
      <c r="O11" s="533">
        <v>57.22</v>
      </c>
      <c r="P11" s="533">
        <v>57.39</v>
      </c>
      <c r="Q11" s="533">
        <v>57.53</v>
      </c>
      <c r="R11" s="533">
        <v>57.65</v>
      </c>
      <c r="S11" s="533">
        <v>57.76</v>
      </c>
      <c r="T11" s="534">
        <v>57.85</v>
      </c>
      <c r="U11" s="534">
        <v>57.94</v>
      </c>
      <c r="V11" s="530"/>
      <c r="W11" s="536">
        <v>22</v>
      </c>
      <c r="X11" s="533">
        <v>56.77</v>
      </c>
      <c r="Y11" s="533">
        <v>56.81</v>
      </c>
      <c r="Z11" s="533">
        <v>56.86</v>
      </c>
      <c r="AA11" s="533">
        <v>56.9</v>
      </c>
      <c r="AB11" s="533">
        <v>56.94</v>
      </c>
      <c r="AC11" s="533">
        <v>56.99</v>
      </c>
      <c r="AD11" s="533">
        <v>57.03</v>
      </c>
      <c r="AE11" s="533">
        <v>57.07</v>
      </c>
      <c r="AF11" s="533">
        <v>57.11</v>
      </c>
      <c r="AG11" s="533">
        <v>57.15</v>
      </c>
      <c r="AH11" s="533">
        <v>57.19</v>
      </c>
      <c r="AI11" s="533">
        <v>57.23</v>
      </c>
      <c r="AJ11" s="533">
        <v>57.42</v>
      </c>
      <c r="AK11" s="533">
        <v>57.58</v>
      </c>
      <c r="AL11" s="533">
        <v>57.72</v>
      </c>
      <c r="AM11" s="533">
        <v>57.85</v>
      </c>
      <c r="AN11" s="533">
        <v>57.95</v>
      </c>
      <c r="AO11" s="534">
        <v>58.05</v>
      </c>
      <c r="AP11" s="534">
        <v>58.13</v>
      </c>
      <c r="AQ11" s="537"/>
      <c r="AR11" s="536">
        <v>22</v>
      </c>
      <c r="AS11" s="533">
        <v>57.2</v>
      </c>
      <c r="AT11" s="533">
        <v>57.24</v>
      </c>
      <c r="AU11" s="533">
        <v>57.29</v>
      </c>
      <c r="AV11" s="533">
        <v>57.33</v>
      </c>
      <c r="AW11" s="533">
        <v>57.38</v>
      </c>
      <c r="AX11" s="533">
        <v>57.42</v>
      </c>
      <c r="AY11" s="533">
        <v>57.46</v>
      </c>
      <c r="AZ11" s="533">
        <v>57.51</v>
      </c>
      <c r="BA11" s="533">
        <v>57.55</v>
      </c>
      <c r="BB11" s="533">
        <v>57.59</v>
      </c>
      <c r="BC11" s="533">
        <v>57.63</v>
      </c>
      <c r="BD11" s="533">
        <v>57.67</v>
      </c>
      <c r="BE11" s="533">
        <v>57.86</v>
      </c>
      <c r="BF11" s="533">
        <v>58.03</v>
      </c>
      <c r="BG11" s="533">
        <v>58.17</v>
      </c>
      <c r="BH11" s="533">
        <v>58.29</v>
      </c>
      <c r="BI11" s="533">
        <v>58.4</v>
      </c>
      <c r="BJ11" s="538">
        <v>58.5</v>
      </c>
      <c r="BK11" s="538">
        <v>58.59</v>
      </c>
    </row>
    <row r="12" spans="2:63" x14ac:dyDescent="0.25">
      <c r="B12" s="536">
        <v>23</v>
      </c>
      <c r="C12" s="533">
        <v>56.67</v>
      </c>
      <c r="D12" s="533">
        <v>56.72</v>
      </c>
      <c r="E12" s="533">
        <v>56.76</v>
      </c>
      <c r="F12" s="533">
        <v>56.81</v>
      </c>
      <c r="G12" s="533">
        <v>56.85</v>
      </c>
      <c r="H12" s="533">
        <v>56.9</v>
      </c>
      <c r="I12" s="533">
        <v>56.94</v>
      </c>
      <c r="J12" s="533">
        <v>56.99</v>
      </c>
      <c r="K12" s="533">
        <v>57.03</v>
      </c>
      <c r="L12" s="533">
        <v>57.07</v>
      </c>
      <c r="M12" s="533">
        <v>57.11</v>
      </c>
      <c r="N12" s="533">
        <v>57.16</v>
      </c>
      <c r="O12" s="533">
        <v>57.35</v>
      </c>
      <c r="P12" s="533">
        <v>57.52</v>
      </c>
      <c r="Q12" s="533">
        <v>57.67</v>
      </c>
      <c r="R12" s="533">
        <v>57.8</v>
      </c>
      <c r="S12" s="533">
        <v>57.91</v>
      </c>
      <c r="T12" s="534">
        <v>58.01</v>
      </c>
      <c r="U12" s="534">
        <v>58.1</v>
      </c>
      <c r="V12" s="530"/>
      <c r="W12" s="536">
        <v>23</v>
      </c>
      <c r="X12" s="533">
        <v>56.86</v>
      </c>
      <c r="Y12" s="533">
        <v>56.91</v>
      </c>
      <c r="Z12" s="533">
        <v>56.95</v>
      </c>
      <c r="AA12" s="533">
        <v>57</v>
      </c>
      <c r="AB12" s="533">
        <v>57.04</v>
      </c>
      <c r="AC12" s="533">
        <v>57.09</v>
      </c>
      <c r="AD12" s="533">
        <v>57.13</v>
      </c>
      <c r="AE12" s="533">
        <v>57.18</v>
      </c>
      <c r="AF12" s="533">
        <v>57.22</v>
      </c>
      <c r="AG12" s="533">
        <v>57.26</v>
      </c>
      <c r="AH12" s="533">
        <v>57.31</v>
      </c>
      <c r="AI12" s="533">
        <v>57.35</v>
      </c>
      <c r="AJ12" s="533">
        <v>57.54</v>
      </c>
      <c r="AK12" s="533">
        <v>57.71</v>
      </c>
      <c r="AL12" s="533">
        <v>57.86</v>
      </c>
      <c r="AM12" s="533">
        <v>57.99</v>
      </c>
      <c r="AN12" s="533">
        <v>58.1</v>
      </c>
      <c r="AO12" s="534">
        <v>58.2</v>
      </c>
      <c r="AP12" s="534">
        <v>58.29</v>
      </c>
      <c r="AQ12" s="537"/>
      <c r="AR12" s="536">
        <v>23</v>
      </c>
      <c r="AS12" s="533">
        <v>57.29</v>
      </c>
      <c r="AT12" s="533">
        <v>57.34</v>
      </c>
      <c r="AU12" s="533">
        <v>57.39</v>
      </c>
      <c r="AV12" s="533">
        <v>57.43</v>
      </c>
      <c r="AW12" s="533">
        <v>57.48</v>
      </c>
      <c r="AX12" s="533">
        <v>57.53</v>
      </c>
      <c r="AY12" s="533">
        <v>57.57</v>
      </c>
      <c r="AZ12" s="533">
        <v>57.62</v>
      </c>
      <c r="BA12" s="533">
        <v>57.66</v>
      </c>
      <c r="BB12" s="533">
        <v>57.7</v>
      </c>
      <c r="BC12" s="533">
        <v>57.75</v>
      </c>
      <c r="BD12" s="533">
        <v>57.79</v>
      </c>
      <c r="BE12" s="533">
        <v>57.99</v>
      </c>
      <c r="BF12" s="533">
        <v>58.16</v>
      </c>
      <c r="BG12" s="533">
        <v>58.31</v>
      </c>
      <c r="BH12" s="533">
        <v>58.44</v>
      </c>
      <c r="BI12" s="533">
        <v>58.56</v>
      </c>
      <c r="BJ12" s="538">
        <v>58.66</v>
      </c>
      <c r="BK12" s="538">
        <v>58.75</v>
      </c>
    </row>
    <row r="13" spans="2:63" x14ac:dyDescent="0.25">
      <c r="B13" s="536">
        <v>24</v>
      </c>
      <c r="C13" s="533">
        <v>56.77</v>
      </c>
      <c r="D13" s="533">
        <v>56.82</v>
      </c>
      <c r="E13" s="533">
        <v>56.86</v>
      </c>
      <c r="F13" s="533">
        <v>56.91</v>
      </c>
      <c r="G13" s="533">
        <v>56.96</v>
      </c>
      <c r="H13" s="533">
        <v>57.01</v>
      </c>
      <c r="I13" s="533">
        <v>57.05</v>
      </c>
      <c r="J13" s="533">
        <v>57.1</v>
      </c>
      <c r="K13" s="533">
        <v>57.14</v>
      </c>
      <c r="L13" s="533">
        <v>57.19</v>
      </c>
      <c r="M13" s="533">
        <v>57.23</v>
      </c>
      <c r="N13" s="533">
        <v>57.28</v>
      </c>
      <c r="O13" s="533">
        <v>57.48</v>
      </c>
      <c r="P13" s="533">
        <v>57.66</v>
      </c>
      <c r="Q13" s="533">
        <v>57.81</v>
      </c>
      <c r="R13" s="533">
        <v>57.95</v>
      </c>
      <c r="S13" s="533">
        <v>58.06</v>
      </c>
      <c r="T13" s="534">
        <v>58.17</v>
      </c>
      <c r="U13" s="534">
        <v>58.26</v>
      </c>
      <c r="V13" s="530"/>
      <c r="W13" s="536">
        <v>24</v>
      </c>
      <c r="X13" s="533">
        <v>56.96</v>
      </c>
      <c r="Y13" s="533">
        <v>57.01</v>
      </c>
      <c r="Z13" s="533">
        <v>57.05</v>
      </c>
      <c r="AA13" s="533">
        <v>57.1</v>
      </c>
      <c r="AB13" s="533">
        <v>57.15</v>
      </c>
      <c r="AC13" s="533">
        <v>57.2</v>
      </c>
      <c r="AD13" s="533">
        <v>57.24</v>
      </c>
      <c r="AE13" s="533">
        <v>57.29</v>
      </c>
      <c r="AF13" s="533">
        <v>57.34</v>
      </c>
      <c r="AG13" s="533">
        <v>57.38</v>
      </c>
      <c r="AH13" s="533">
        <v>57.43</v>
      </c>
      <c r="AI13" s="533">
        <v>57.47</v>
      </c>
      <c r="AJ13" s="533">
        <v>57.67</v>
      </c>
      <c r="AK13" s="533">
        <v>57.85</v>
      </c>
      <c r="AL13" s="533">
        <v>58.01</v>
      </c>
      <c r="AM13" s="533">
        <v>58.14</v>
      </c>
      <c r="AN13" s="533">
        <v>58.26</v>
      </c>
      <c r="AO13" s="534">
        <v>58.37</v>
      </c>
      <c r="AP13" s="534">
        <v>58.46</v>
      </c>
      <c r="AQ13" s="537"/>
      <c r="AR13" s="536">
        <v>24</v>
      </c>
      <c r="AS13" s="533">
        <v>57.39</v>
      </c>
      <c r="AT13" s="533">
        <v>57.44</v>
      </c>
      <c r="AU13" s="533">
        <v>57.49</v>
      </c>
      <c r="AV13" s="533">
        <v>57.54</v>
      </c>
      <c r="AW13" s="533">
        <v>57.59</v>
      </c>
      <c r="AX13" s="533">
        <v>57.64</v>
      </c>
      <c r="AY13" s="533">
        <v>57.68</v>
      </c>
      <c r="AZ13" s="533">
        <v>57.73</v>
      </c>
      <c r="BA13" s="533">
        <v>57.78</v>
      </c>
      <c r="BB13" s="533">
        <v>57.82</v>
      </c>
      <c r="BC13" s="533">
        <v>57.87</v>
      </c>
      <c r="BD13" s="533">
        <v>57.91</v>
      </c>
      <c r="BE13" s="533">
        <v>58.12</v>
      </c>
      <c r="BF13" s="533">
        <v>58.3</v>
      </c>
      <c r="BG13" s="533">
        <v>58.46</v>
      </c>
      <c r="BH13" s="533">
        <v>58.6</v>
      </c>
      <c r="BI13" s="533">
        <v>58.72</v>
      </c>
      <c r="BJ13" s="538">
        <v>58.82</v>
      </c>
      <c r="BK13" s="538">
        <v>58.92</v>
      </c>
    </row>
    <row r="14" spans="2:63" x14ac:dyDescent="0.25">
      <c r="B14" s="536">
        <v>25</v>
      </c>
      <c r="C14" s="533">
        <v>56.87</v>
      </c>
      <c r="D14" s="533">
        <v>56.92</v>
      </c>
      <c r="E14" s="533">
        <v>56.97</v>
      </c>
      <c r="F14" s="533">
        <v>57.02</v>
      </c>
      <c r="G14" s="533">
        <v>57.07</v>
      </c>
      <c r="H14" s="533">
        <v>57.12</v>
      </c>
      <c r="I14" s="533">
        <v>57.17</v>
      </c>
      <c r="J14" s="533">
        <v>57.22</v>
      </c>
      <c r="K14" s="533">
        <v>57.26</v>
      </c>
      <c r="L14" s="533">
        <v>57.31</v>
      </c>
      <c r="M14" s="533">
        <v>57.36</v>
      </c>
      <c r="N14" s="533">
        <v>57.4</v>
      </c>
      <c r="O14" s="533">
        <v>57.62</v>
      </c>
      <c r="P14" s="533">
        <v>57.8</v>
      </c>
      <c r="Q14" s="533">
        <v>57.97</v>
      </c>
      <c r="R14" s="533">
        <v>58.11</v>
      </c>
      <c r="S14" s="533">
        <v>58.23</v>
      </c>
      <c r="T14" s="534">
        <v>58.34</v>
      </c>
      <c r="U14" s="534">
        <v>58.43</v>
      </c>
      <c r="V14" s="530"/>
      <c r="W14" s="536">
        <v>25</v>
      </c>
      <c r="X14" s="533">
        <v>57.06</v>
      </c>
      <c r="Y14" s="533">
        <v>57.11</v>
      </c>
      <c r="Z14" s="533">
        <v>57.16</v>
      </c>
      <c r="AA14" s="533">
        <v>57.21</v>
      </c>
      <c r="AB14" s="533">
        <v>57.26</v>
      </c>
      <c r="AC14" s="533">
        <v>57.31</v>
      </c>
      <c r="AD14" s="533">
        <v>57.36</v>
      </c>
      <c r="AE14" s="533">
        <v>57.41</v>
      </c>
      <c r="AF14" s="533">
        <v>57.46</v>
      </c>
      <c r="AG14" s="533">
        <v>57.5</v>
      </c>
      <c r="AH14" s="533">
        <v>57.55</v>
      </c>
      <c r="AI14" s="533">
        <v>57.6</v>
      </c>
      <c r="AJ14" s="533">
        <v>57.81</v>
      </c>
      <c r="AK14" s="533">
        <v>58</v>
      </c>
      <c r="AL14" s="533">
        <v>58.16</v>
      </c>
      <c r="AM14" s="533">
        <v>58.31</v>
      </c>
      <c r="AN14" s="533">
        <v>58.43</v>
      </c>
      <c r="AO14" s="534">
        <v>58.54</v>
      </c>
      <c r="AP14" s="534">
        <v>58.63</v>
      </c>
      <c r="AQ14" s="537"/>
      <c r="AR14" s="536">
        <v>25</v>
      </c>
      <c r="AS14" s="533">
        <v>57.5</v>
      </c>
      <c r="AT14" s="533">
        <v>57.55</v>
      </c>
      <c r="AU14" s="533">
        <v>57.6</v>
      </c>
      <c r="AV14" s="533">
        <v>57.65</v>
      </c>
      <c r="AW14" s="533">
        <v>57.7</v>
      </c>
      <c r="AX14" s="533">
        <v>57.75</v>
      </c>
      <c r="AY14" s="533">
        <v>57.8</v>
      </c>
      <c r="AZ14" s="533">
        <v>57.85</v>
      </c>
      <c r="BA14" s="533">
        <v>57.9</v>
      </c>
      <c r="BB14" s="533">
        <v>57.95</v>
      </c>
      <c r="BC14" s="533">
        <v>57.99</v>
      </c>
      <c r="BD14" s="533">
        <v>58.04</v>
      </c>
      <c r="BE14" s="533">
        <v>58.26</v>
      </c>
      <c r="BF14" s="533">
        <v>58.45</v>
      </c>
      <c r="BG14" s="533">
        <v>58.62</v>
      </c>
      <c r="BH14" s="533">
        <v>58.76</v>
      </c>
      <c r="BI14" s="533">
        <v>58.89</v>
      </c>
      <c r="BJ14" s="538">
        <v>59</v>
      </c>
      <c r="BK14" s="538">
        <v>59.09</v>
      </c>
    </row>
    <row r="15" spans="2:63" x14ac:dyDescent="0.25">
      <c r="B15" s="536">
        <v>26</v>
      </c>
      <c r="C15" s="533">
        <v>56.97</v>
      </c>
      <c r="D15" s="533">
        <v>57.03</v>
      </c>
      <c r="E15" s="533">
        <v>57.08</v>
      </c>
      <c r="F15" s="533">
        <v>57.13</v>
      </c>
      <c r="G15" s="533">
        <v>57.19</v>
      </c>
      <c r="H15" s="533">
        <v>57.24</v>
      </c>
      <c r="I15" s="533">
        <v>57.29</v>
      </c>
      <c r="J15" s="533">
        <v>57.34</v>
      </c>
      <c r="K15" s="533">
        <v>57.39</v>
      </c>
      <c r="L15" s="533">
        <v>57.44</v>
      </c>
      <c r="M15" s="533">
        <v>57.49</v>
      </c>
      <c r="N15" s="533">
        <v>57.54</v>
      </c>
      <c r="O15" s="533">
        <v>57.76</v>
      </c>
      <c r="P15" s="533">
        <v>57.96</v>
      </c>
      <c r="Q15" s="533">
        <v>58.13</v>
      </c>
      <c r="R15" s="533">
        <v>58.28</v>
      </c>
      <c r="S15" s="533">
        <v>58.4</v>
      </c>
      <c r="T15" s="534">
        <v>58.52</v>
      </c>
      <c r="U15" s="534">
        <v>58.62</v>
      </c>
      <c r="V15" s="530"/>
      <c r="W15" s="536">
        <v>26</v>
      </c>
      <c r="X15" s="533">
        <v>57.17</v>
      </c>
      <c r="Y15" s="533">
        <v>57.22</v>
      </c>
      <c r="Z15" s="533">
        <v>57.27</v>
      </c>
      <c r="AA15" s="533">
        <v>57.33</v>
      </c>
      <c r="AB15" s="533">
        <v>57.38</v>
      </c>
      <c r="AC15" s="533">
        <v>57.43</v>
      </c>
      <c r="AD15" s="533">
        <v>57.48</v>
      </c>
      <c r="AE15" s="533">
        <v>57.53</v>
      </c>
      <c r="AF15" s="533">
        <v>57.58</v>
      </c>
      <c r="AG15" s="533">
        <v>57.63</v>
      </c>
      <c r="AH15" s="533">
        <v>57.68</v>
      </c>
      <c r="AI15" s="533">
        <v>57.73</v>
      </c>
      <c r="AJ15" s="533">
        <v>57.95</v>
      </c>
      <c r="AK15" s="533">
        <v>58.15</v>
      </c>
      <c r="AL15" s="533">
        <v>58.33</v>
      </c>
      <c r="AM15" s="533">
        <v>58.47</v>
      </c>
      <c r="AN15" s="533">
        <v>58.6</v>
      </c>
      <c r="AO15" s="534">
        <v>58.72</v>
      </c>
      <c r="AP15" s="534">
        <v>58.82</v>
      </c>
      <c r="AQ15" s="537"/>
      <c r="AR15" s="536">
        <v>26</v>
      </c>
      <c r="AS15" s="533">
        <v>57.6</v>
      </c>
      <c r="AT15" s="533">
        <v>57.66</v>
      </c>
      <c r="AU15" s="533">
        <v>57.71</v>
      </c>
      <c r="AV15" s="533">
        <v>57.77</v>
      </c>
      <c r="AW15" s="533">
        <v>57.82</v>
      </c>
      <c r="AX15" s="533">
        <v>57.87</v>
      </c>
      <c r="AY15" s="533">
        <v>57.93</v>
      </c>
      <c r="AZ15" s="533">
        <v>57.98</v>
      </c>
      <c r="BA15" s="533">
        <v>58.03</v>
      </c>
      <c r="BB15" s="533">
        <v>58.08</v>
      </c>
      <c r="BC15" s="533">
        <v>58.13</v>
      </c>
      <c r="BD15" s="533">
        <v>58.18</v>
      </c>
      <c r="BE15" s="533">
        <v>58.4</v>
      </c>
      <c r="BF15" s="533">
        <v>58.61</v>
      </c>
      <c r="BG15" s="533">
        <v>58.78</v>
      </c>
      <c r="BH15" s="533">
        <v>58.93</v>
      </c>
      <c r="BI15" s="533">
        <v>59.06</v>
      </c>
      <c r="BJ15" s="538">
        <v>59.18</v>
      </c>
      <c r="BK15" s="538">
        <v>59.28</v>
      </c>
    </row>
    <row r="16" spans="2:63" x14ac:dyDescent="0.25">
      <c r="B16" s="536">
        <v>27</v>
      </c>
      <c r="C16" s="533">
        <v>57.09</v>
      </c>
      <c r="D16" s="533">
        <v>57.14</v>
      </c>
      <c r="E16" s="533">
        <v>57.2</v>
      </c>
      <c r="F16" s="533">
        <v>57.25</v>
      </c>
      <c r="G16" s="533">
        <v>57.31</v>
      </c>
      <c r="H16" s="533">
        <v>57.36</v>
      </c>
      <c r="I16" s="533">
        <v>57.42</v>
      </c>
      <c r="J16" s="533">
        <v>57.47</v>
      </c>
      <c r="K16" s="533">
        <v>57.52</v>
      </c>
      <c r="L16" s="533">
        <v>57.57</v>
      </c>
      <c r="M16" s="533">
        <v>57.62</v>
      </c>
      <c r="N16" s="533">
        <v>57.67</v>
      </c>
      <c r="O16" s="533">
        <v>57.91</v>
      </c>
      <c r="P16" s="533">
        <v>58.12</v>
      </c>
      <c r="Q16" s="533">
        <v>58.3</v>
      </c>
      <c r="R16" s="533">
        <v>58.45</v>
      </c>
      <c r="S16" s="533">
        <v>58.59</v>
      </c>
      <c r="T16" s="534">
        <v>58.71</v>
      </c>
      <c r="U16" s="534">
        <v>58.81</v>
      </c>
      <c r="V16" s="530"/>
      <c r="W16" s="536">
        <v>27</v>
      </c>
      <c r="X16" s="533">
        <v>57.28</v>
      </c>
      <c r="Y16" s="533">
        <v>57.33</v>
      </c>
      <c r="Z16" s="533">
        <v>57.39</v>
      </c>
      <c r="AA16" s="533">
        <v>57.45</v>
      </c>
      <c r="AB16" s="533">
        <v>57.5</v>
      </c>
      <c r="AC16" s="533">
        <v>57.56</v>
      </c>
      <c r="AD16" s="533">
        <v>57.61</v>
      </c>
      <c r="AE16" s="533">
        <v>57.66</v>
      </c>
      <c r="AF16" s="533">
        <v>57.72</v>
      </c>
      <c r="AG16" s="533">
        <v>57.77</v>
      </c>
      <c r="AH16" s="533">
        <v>57.82</v>
      </c>
      <c r="AI16" s="533">
        <v>57.87</v>
      </c>
      <c r="AJ16" s="533">
        <v>58.11</v>
      </c>
      <c r="AK16" s="533">
        <v>58.31</v>
      </c>
      <c r="AL16" s="533">
        <v>58.5</v>
      </c>
      <c r="AM16" s="533">
        <v>58.65</v>
      </c>
      <c r="AN16" s="533">
        <v>58.79</v>
      </c>
      <c r="AO16" s="534">
        <v>58.91</v>
      </c>
      <c r="AP16" s="534">
        <v>59.01</v>
      </c>
      <c r="AQ16" s="537"/>
      <c r="AR16" s="536">
        <v>27</v>
      </c>
      <c r="AS16" s="533">
        <v>57.72</v>
      </c>
      <c r="AT16" s="533">
        <v>57.77</v>
      </c>
      <c r="AU16" s="533">
        <v>57.83</v>
      </c>
      <c r="AV16" s="533">
        <v>57.89</v>
      </c>
      <c r="AW16" s="533">
        <v>57.94</v>
      </c>
      <c r="AX16" s="533">
        <v>58</v>
      </c>
      <c r="AY16" s="533">
        <v>58.05</v>
      </c>
      <c r="AZ16" s="533">
        <v>58.11</v>
      </c>
      <c r="BA16" s="533">
        <v>58.16</v>
      </c>
      <c r="BB16" s="533">
        <v>58.22</v>
      </c>
      <c r="BC16" s="533">
        <v>58.27</v>
      </c>
      <c r="BD16" s="533">
        <v>58.32</v>
      </c>
      <c r="BE16" s="533">
        <v>58.56</v>
      </c>
      <c r="BF16" s="533">
        <v>58.77</v>
      </c>
      <c r="BG16" s="533">
        <v>58.95</v>
      </c>
      <c r="BH16" s="533">
        <v>59.11</v>
      </c>
      <c r="BI16" s="533">
        <v>59.25</v>
      </c>
      <c r="BJ16" s="538">
        <v>59.37</v>
      </c>
      <c r="BK16" s="538">
        <v>59.47</v>
      </c>
    </row>
    <row r="17" spans="2:63" x14ac:dyDescent="0.25">
      <c r="B17" s="536">
        <v>28</v>
      </c>
      <c r="C17" s="533">
        <v>57.2</v>
      </c>
      <c r="D17" s="533">
        <v>57.26</v>
      </c>
      <c r="E17" s="533">
        <v>57.32</v>
      </c>
      <c r="F17" s="533">
        <v>57.38</v>
      </c>
      <c r="G17" s="533">
        <v>57.44</v>
      </c>
      <c r="H17" s="533">
        <v>57.49</v>
      </c>
      <c r="I17" s="533">
        <v>57.55</v>
      </c>
      <c r="J17" s="533">
        <v>57.61</v>
      </c>
      <c r="K17" s="533">
        <v>57.66</v>
      </c>
      <c r="L17" s="533">
        <v>57.71</v>
      </c>
      <c r="M17" s="533">
        <v>57.77</v>
      </c>
      <c r="N17" s="533">
        <v>57.82</v>
      </c>
      <c r="O17" s="533">
        <v>58.07</v>
      </c>
      <c r="P17" s="533">
        <v>58.29</v>
      </c>
      <c r="Q17" s="533">
        <v>58.48</v>
      </c>
      <c r="R17" s="533">
        <v>58.64</v>
      </c>
      <c r="S17" s="533">
        <v>58.78</v>
      </c>
      <c r="T17" s="534">
        <v>58.91</v>
      </c>
      <c r="U17" s="534">
        <v>59.01</v>
      </c>
      <c r="V17" s="530"/>
      <c r="W17" s="536">
        <v>28</v>
      </c>
      <c r="X17" s="533">
        <v>57.4</v>
      </c>
      <c r="Y17" s="533">
        <v>57.45</v>
      </c>
      <c r="Z17" s="533">
        <v>57.51</v>
      </c>
      <c r="AA17" s="533">
        <v>57.57</v>
      </c>
      <c r="AB17" s="533">
        <v>57.63</v>
      </c>
      <c r="AC17" s="533">
        <v>57.69</v>
      </c>
      <c r="AD17" s="533">
        <v>57.74</v>
      </c>
      <c r="AE17" s="533">
        <v>57.8</v>
      </c>
      <c r="AF17" s="533">
        <v>57.86</v>
      </c>
      <c r="AG17" s="533">
        <v>57.91</v>
      </c>
      <c r="AH17" s="533">
        <v>57.96</v>
      </c>
      <c r="AI17" s="533">
        <v>58.02</v>
      </c>
      <c r="AJ17" s="533">
        <v>58.26</v>
      </c>
      <c r="AK17" s="533">
        <v>58.48</v>
      </c>
      <c r="AL17" s="533">
        <v>58.67</v>
      </c>
      <c r="AM17" s="533">
        <v>58.84</v>
      </c>
      <c r="AN17" s="533">
        <v>58.98</v>
      </c>
      <c r="AO17" s="534">
        <v>59.11</v>
      </c>
      <c r="AP17" s="534">
        <v>59.21</v>
      </c>
      <c r="AQ17" s="537"/>
      <c r="AR17" s="536">
        <v>28</v>
      </c>
      <c r="AS17" s="533">
        <v>57.84</v>
      </c>
      <c r="AT17" s="533">
        <v>57.9</v>
      </c>
      <c r="AU17" s="533">
        <v>57.96</v>
      </c>
      <c r="AV17" s="533">
        <v>58.02</v>
      </c>
      <c r="AW17" s="533">
        <v>58.07</v>
      </c>
      <c r="AX17" s="533">
        <v>58.13</v>
      </c>
      <c r="AY17" s="533">
        <v>58.19</v>
      </c>
      <c r="AZ17" s="533">
        <v>58.25</v>
      </c>
      <c r="BA17" s="533">
        <v>58.3</v>
      </c>
      <c r="BB17" s="533">
        <v>58.36</v>
      </c>
      <c r="BC17" s="533">
        <v>58.41</v>
      </c>
      <c r="BD17" s="533">
        <v>58.47</v>
      </c>
      <c r="BE17" s="533">
        <v>58.72</v>
      </c>
      <c r="BF17" s="533">
        <v>58.94</v>
      </c>
      <c r="BG17" s="533">
        <v>59.14</v>
      </c>
      <c r="BH17" s="533">
        <v>59.3</v>
      </c>
      <c r="BI17" s="533">
        <v>59.45</v>
      </c>
      <c r="BJ17" s="538">
        <v>59.57</v>
      </c>
      <c r="BK17" s="538">
        <v>59.68</v>
      </c>
    </row>
    <row r="18" spans="2:63" x14ac:dyDescent="0.25">
      <c r="B18" s="536">
        <v>29</v>
      </c>
      <c r="C18" s="533">
        <v>57.33</v>
      </c>
      <c r="D18" s="533">
        <v>57.39</v>
      </c>
      <c r="E18" s="533">
        <v>57.45</v>
      </c>
      <c r="F18" s="533">
        <v>57.51</v>
      </c>
      <c r="G18" s="533">
        <v>57.57</v>
      </c>
      <c r="H18" s="533">
        <v>57.63</v>
      </c>
      <c r="I18" s="533">
        <v>57.69</v>
      </c>
      <c r="J18" s="533">
        <v>57.75</v>
      </c>
      <c r="K18" s="533">
        <v>57.81</v>
      </c>
      <c r="L18" s="533">
        <v>57.86</v>
      </c>
      <c r="M18" s="533">
        <v>57.92</v>
      </c>
      <c r="N18" s="533">
        <v>57.97</v>
      </c>
      <c r="O18" s="533">
        <v>58.23</v>
      </c>
      <c r="P18" s="533">
        <v>58.46</v>
      </c>
      <c r="Q18" s="533">
        <v>58.66</v>
      </c>
      <c r="R18" s="533">
        <v>58.84</v>
      </c>
      <c r="S18" s="533">
        <v>58.99</v>
      </c>
      <c r="T18" s="534">
        <v>59.12</v>
      </c>
      <c r="U18" s="534">
        <v>59.22</v>
      </c>
      <c r="V18" s="530"/>
      <c r="W18" s="536">
        <v>29</v>
      </c>
      <c r="X18" s="533">
        <v>57.52</v>
      </c>
      <c r="Y18" s="533">
        <v>57.58</v>
      </c>
      <c r="Z18" s="533">
        <v>57.64</v>
      </c>
      <c r="AA18" s="533">
        <v>57.7</v>
      </c>
      <c r="AB18" s="533">
        <v>57.76</v>
      </c>
      <c r="AC18" s="533">
        <v>57.82</v>
      </c>
      <c r="AD18" s="533">
        <v>57.88</v>
      </c>
      <c r="AE18" s="533">
        <v>57.94</v>
      </c>
      <c r="AF18" s="533">
        <v>58</v>
      </c>
      <c r="AG18" s="533">
        <v>58.06</v>
      </c>
      <c r="AH18" s="533">
        <v>58.12</v>
      </c>
      <c r="AI18" s="533">
        <v>58.17</v>
      </c>
      <c r="AJ18" s="533">
        <v>58.43</v>
      </c>
      <c r="AK18" s="533">
        <v>58.66</v>
      </c>
      <c r="AL18" s="533">
        <v>58.86</v>
      </c>
      <c r="AM18" s="533">
        <v>59.04</v>
      </c>
      <c r="AN18" s="533">
        <v>59.19</v>
      </c>
      <c r="AO18" s="534">
        <v>59.32</v>
      </c>
      <c r="AP18" s="534">
        <v>59.42</v>
      </c>
      <c r="AQ18" s="537"/>
      <c r="AR18" s="536">
        <v>29</v>
      </c>
      <c r="AS18" s="533">
        <v>57.96</v>
      </c>
      <c r="AT18" s="533">
        <v>58.03</v>
      </c>
      <c r="AU18" s="533">
        <v>58.09</v>
      </c>
      <c r="AV18" s="533">
        <v>58.15</v>
      </c>
      <c r="AW18" s="533">
        <v>58.21</v>
      </c>
      <c r="AX18" s="533">
        <v>58.27</v>
      </c>
      <c r="AY18" s="533">
        <v>58.33</v>
      </c>
      <c r="AZ18" s="533">
        <v>58.39</v>
      </c>
      <c r="BA18" s="533">
        <v>58.45</v>
      </c>
      <c r="BB18" s="533">
        <v>58.51</v>
      </c>
      <c r="BC18" s="533">
        <v>58.57</v>
      </c>
      <c r="BD18" s="533">
        <v>58.62</v>
      </c>
      <c r="BE18" s="533">
        <v>58.89</v>
      </c>
      <c r="BF18" s="533">
        <v>59.12</v>
      </c>
      <c r="BG18" s="533">
        <v>59.33</v>
      </c>
      <c r="BH18" s="533">
        <v>59.5</v>
      </c>
      <c r="BI18" s="533">
        <v>59.66</v>
      </c>
      <c r="BJ18" s="538">
        <v>59.79</v>
      </c>
      <c r="BK18" s="538">
        <v>59.9</v>
      </c>
    </row>
    <row r="19" spans="2:63" x14ac:dyDescent="0.25">
      <c r="B19" s="536">
        <v>30</v>
      </c>
      <c r="C19" s="533">
        <v>57.45</v>
      </c>
      <c r="D19" s="533">
        <v>57.52</v>
      </c>
      <c r="E19" s="533">
        <v>57.58</v>
      </c>
      <c r="F19" s="533">
        <v>57.65</v>
      </c>
      <c r="G19" s="533">
        <v>57.71</v>
      </c>
      <c r="H19" s="533">
        <v>57.77</v>
      </c>
      <c r="I19" s="533">
        <v>57.84</v>
      </c>
      <c r="J19" s="533">
        <v>57.9</v>
      </c>
      <c r="K19" s="533">
        <v>57.96</v>
      </c>
      <c r="L19" s="533">
        <v>58.02</v>
      </c>
      <c r="M19" s="533">
        <v>58.08</v>
      </c>
      <c r="N19" s="533">
        <v>58.14</v>
      </c>
      <c r="O19" s="533">
        <v>58.41</v>
      </c>
      <c r="P19" s="533">
        <v>58.65</v>
      </c>
      <c r="Q19" s="533">
        <v>58.86</v>
      </c>
      <c r="R19" s="533">
        <v>59.04</v>
      </c>
      <c r="S19" s="533">
        <v>59.2</v>
      </c>
      <c r="T19" s="534">
        <v>59.34</v>
      </c>
      <c r="U19" s="534">
        <v>59.44</v>
      </c>
      <c r="V19" s="530"/>
      <c r="W19" s="536">
        <v>30</v>
      </c>
      <c r="X19" s="533">
        <v>57.65</v>
      </c>
      <c r="Y19" s="533">
        <v>57.71</v>
      </c>
      <c r="Z19" s="533">
        <v>57.78</v>
      </c>
      <c r="AA19" s="533">
        <v>57.84</v>
      </c>
      <c r="AB19" s="533">
        <v>57.91</v>
      </c>
      <c r="AC19" s="533">
        <v>57.97</v>
      </c>
      <c r="AD19" s="533">
        <v>58.03</v>
      </c>
      <c r="AE19" s="533">
        <v>58.09</v>
      </c>
      <c r="AF19" s="533">
        <v>58.16</v>
      </c>
      <c r="AG19" s="533">
        <v>58.22</v>
      </c>
      <c r="AH19" s="533">
        <v>58.28</v>
      </c>
      <c r="AI19" s="533">
        <v>58.33</v>
      </c>
      <c r="AJ19" s="533">
        <v>58.61</v>
      </c>
      <c r="AK19" s="533">
        <v>58.85</v>
      </c>
      <c r="AL19" s="533">
        <v>59.06</v>
      </c>
      <c r="AM19" s="533">
        <v>59.25</v>
      </c>
      <c r="AN19" s="533">
        <v>59.41</v>
      </c>
      <c r="AO19" s="534">
        <v>59.54</v>
      </c>
      <c r="AP19" s="534">
        <v>59.65</v>
      </c>
      <c r="AQ19" s="537"/>
      <c r="AR19" s="536">
        <v>30</v>
      </c>
      <c r="AS19" s="533">
        <v>58.09</v>
      </c>
      <c r="AT19" s="533">
        <v>58.16</v>
      </c>
      <c r="AU19" s="533">
        <v>58.23</v>
      </c>
      <c r="AV19" s="533">
        <v>58.29</v>
      </c>
      <c r="AW19" s="533">
        <v>58.36</v>
      </c>
      <c r="AX19" s="533">
        <v>58.42</v>
      </c>
      <c r="AY19" s="533">
        <v>58.48</v>
      </c>
      <c r="AZ19" s="533">
        <v>58.55</v>
      </c>
      <c r="BA19" s="533">
        <v>58.61</v>
      </c>
      <c r="BB19" s="533">
        <v>58.67</v>
      </c>
      <c r="BC19" s="533">
        <v>58.73</v>
      </c>
      <c r="BD19" s="533">
        <v>58.79</v>
      </c>
      <c r="BE19" s="533">
        <v>59.07</v>
      </c>
      <c r="BF19" s="533">
        <v>59.31</v>
      </c>
      <c r="BG19" s="533">
        <v>59.53</v>
      </c>
      <c r="BH19" s="533">
        <v>59.71</v>
      </c>
      <c r="BI19" s="533">
        <v>59.88</v>
      </c>
      <c r="BJ19" s="538">
        <v>60.01</v>
      </c>
      <c r="BK19" s="538">
        <v>60.12</v>
      </c>
    </row>
    <row r="20" spans="2:63" x14ac:dyDescent="0.25">
      <c r="B20" s="536">
        <v>31</v>
      </c>
      <c r="C20" s="533">
        <v>57.59</v>
      </c>
      <c r="D20" s="533">
        <v>57.66</v>
      </c>
      <c r="E20" s="533">
        <v>57.72</v>
      </c>
      <c r="F20" s="533">
        <v>57.79</v>
      </c>
      <c r="G20" s="533">
        <v>57.86</v>
      </c>
      <c r="H20" s="533">
        <v>57.93</v>
      </c>
      <c r="I20" s="533">
        <v>57.99</v>
      </c>
      <c r="J20" s="533">
        <v>58.06</v>
      </c>
      <c r="K20" s="533">
        <v>58.12</v>
      </c>
      <c r="L20" s="533">
        <v>58.18</v>
      </c>
      <c r="M20" s="533">
        <v>58.25</v>
      </c>
      <c r="N20" s="533">
        <v>58.31</v>
      </c>
      <c r="O20" s="533">
        <v>58.59</v>
      </c>
      <c r="P20" s="533">
        <v>58.85</v>
      </c>
      <c r="Q20" s="533">
        <v>59.07</v>
      </c>
      <c r="R20" s="533">
        <v>59.26</v>
      </c>
      <c r="S20" s="533">
        <v>59.43</v>
      </c>
      <c r="T20" s="534">
        <v>59.57</v>
      </c>
      <c r="U20" s="534">
        <v>59.68</v>
      </c>
      <c r="V20" s="530"/>
      <c r="W20" s="536">
        <v>31</v>
      </c>
      <c r="X20" s="533">
        <v>57.78</v>
      </c>
      <c r="Y20" s="533">
        <v>57.85</v>
      </c>
      <c r="Z20" s="533">
        <v>57.92</v>
      </c>
      <c r="AA20" s="533">
        <v>57.99</v>
      </c>
      <c r="AB20" s="533">
        <v>58.06</v>
      </c>
      <c r="AC20" s="533">
        <v>58.12</v>
      </c>
      <c r="AD20" s="533">
        <v>58.19</v>
      </c>
      <c r="AE20" s="533">
        <v>58.25</v>
      </c>
      <c r="AF20" s="533">
        <v>58.32</v>
      </c>
      <c r="AG20" s="533">
        <v>58.38</v>
      </c>
      <c r="AH20" s="533">
        <v>58.44</v>
      </c>
      <c r="AI20" s="533">
        <v>58.5</v>
      </c>
      <c r="AJ20" s="533">
        <v>58.79</v>
      </c>
      <c r="AK20" s="533">
        <v>59.05</v>
      </c>
      <c r="AL20" s="533">
        <v>59.27</v>
      </c>
      <c r="AM20" s="533">
        <v>59.47</v>
      </c>
      <c r="AN20" s="533">
        <v>59.63</v>
      </c>
      <c r="AO20" s="534">
        <v>59.77</v>
      </c>
      <c r="AP20" s="534">
        <v>59.89</v>
      </c>
      <c r="AQ20" s="537"/>
      <c r="AR20" s="536">
        <v>31</v>
      </c>
      <c r="AS20" s="533">
        <v>58.23</v>
      </c>
      <c r="AT20" s="533">
        <v>58.3</v>
      </c>
      <c r="AU20" s="533">
        <v>58.37</v>
      </c>
      <c r="AV20" s="533">
        <v>58.44</v>
      </c>
      <c r="AW20" s="533">
        <v>58.51</v>
      </c>
      <c r="AX20" s="533">
        <v>58.57</v>
      </c>
      <c r="AY20" s="533">
        <v>58.64</v>
      </c>
      <c r="AZ20" s="533">
        <v>58.71</v>
      </c>
      <c r="BA20" s="533">
        <v>58.77</v>
      </c>
      <c r="BB20" s="533">
        <v>58.84</v>
      </c>
      <c r="BC20" s="533">
        <v>58.9</v>
      </c>
      <c r="BD20" s="533">
        <v>58.96</v>
      </c>
      <c r="BE20" s="533">
        <v>59.26</v>
      </c>
      <c r="BF20" s="533">
        <v>59.52</v>
      </c>
      <c r="BG20" s="533">
        <v>59.74</v>
      </c>
      <c r="BH20" s="533">
        <v>59.94</v>
      </c>
      <c r="BI20" s="533">
        <v>60.11</v>
      </c>
      <c r="BJ20" s="538">
        <v>60.25</v>
      </c>
      <c r="BK20" s="538">
        <v>60.36</v>
      </c>
    </row>
    <row r="21" spans="2:63" x14ac:dyDescent="0.25">
      <c r="B21" s="536">
        <v>32</v>
      </c>
      <c r="C21" s="533">
        <v>57.73</v>
      </c>
      <c r="D21" s="533">
        <v>57.8</v>
      </c>
      <c r="E21" s="533">
        <v>57.87</v>
      </c>
      <c r="F21" s="533">
        <v>57.94</v>
      </c>
      <c r="G21" s="533">
        <v>58.02</v>
      </c>
      <c r="H21" s="533">
        <v>58.08</v>
      </c>
      <c r="I21" s="533">
        <v>58.15</v>
      </c>
      <c r="J21" s="533">
        <v>58.22</v>
      </c>
      <c r="K21" s="533">
        <v>58.29</v>
      </c>
      <c r="L21" s="533">
        <v>58.36</v>
      </c>
      <c r="M21" s="533">
        <v>58.42</v>
      </c>
      <c r="N21" s="533">
        <v>58.48</v>
      </c>
      <c r="O21" s="533">
        <v>58.79</v>
      </c>
      <c r="P21" s="533">
        <v>59.06</v>
      </c>
      <c r="Q21" s="533">
        <v>59.29</v>
      </c>
      <c r="R21" s="533">
        <v>59.49</v>
      </c>
      <c r="S21" s="533">
        <v>59.67</v>
      </c>
      <c r="T21" s="534">
        <v>59.81</v>
      </c>
      <c r="U21" s="534">
        <v>59.93</v>
      </c>
      <c r="V21" s="530"/>
      <c r="W21" s="536">
        <v>32</v>
      </c>
      <c r="X21" s="533">
        <v>57.93</v>
      </c>
      <c r="Y21" s="533">
        <v>58</v>
      </c>
      <c r="Z21" s="533">
        <v>58.07</v>
      </c>
      <c r="AA21" s="533">
        <v>58.14</v>
      </c>
      <c r="AB21" s="533">
        <v>58.21</v>
      </c>
      <c r="AC21" s="533">
        <v>58.28</v>
      </c>
      <c r="AD21" s="533">
        <v>58.35</v>
      </c>
      <c r="AE21" s="533">
        <v>58.42</v>
      </c>
      <c r="AF21" s="533">
        <v>58.49</v>
      </c>
      <c r="AG21" s="533">
        <v>58.55</v>
      </c>
      <c r="AH21" s="533">
        <v>58.62</v>
      </c>
      <c r="AI21" s="533">
        <v>58.68</v>
      </c>
      <c r="AJ21" s="533">
        <v>58.99</v>
      </c>
      <c r="AK21" s="533">
        <v>59.26</v>
      </c>
      <c r="AL21" s="533">
        <v>59.49</v>
      </c>
      <c r="AM21" s="533">
        <v>59.7</v>
      </c>
      <c r="AN21" s="533">
        <v>59.88</v>
      </c>
      <c r="AO21" s="534">
        <v>60.02</v>
      </c>
      <c r="AP21" s="534">
        <v>60.14</v>
      </c>
      <c r="AQ21" s="537"/>
      <c r="AR21" s="536">
        <v>32</v>
      </c>
      <c r="AS21" s="533">
        <v>58.38</v>
      </c>
      <c r="AT21" s="533">
        <v>58.45</v>
      </c>
      <c r="AU21" s="533">
        <v>58.52</v>
      </c>
      <c r="AV21" s="533">
        <v>58.59</v>
      </c>
      <c r="AW21" s="533">
        <v>58.67</v>
      </c>
      <c r="AX21" s="533">
        <v>58.74</v>
      </c>
      <c r="AY21" s="533">
        <v>58.81</v>
      </c>
      <c r="AZ21" s="533">
        <v>58.88</v>
      </c>
      <c r="BA21" s="533">
        <v>58.95</v>
      </c>
      <c r="BB21" s="533">
        <v>59.01</v>
      </c>
      <c r="BC21" s="533">
        <v>59.08</v>
      </c>
      <c r="BD21" s="533">
        <v>59.15</v>
      </c>
      <c r="BE21" s="533">
        <v>59.45</v>
      </c>
      <c r="BF21" s="533">
        <v>59.73</v>
      </c>
      <c r="BG21" s="533">
        <v>59.97</v>
      </c>
      <c r="BH21" s="533">
        <v>60.17</v>
      </c>
      <c r="BI21" s="533">
        <v>60.35</v>
      </c>
      <c r="BJ21" s="538">
        <v>60.5</v>
      </c>
      <c r="BK21" s="538">
        <v>60.62</v>
      </c>
    </row>
    <row r="22" spans="2:63" x14ac:dyDescent="0.25">
      <c r="B22" s="536">
        <v>33</v>
      </c>
      <c r="C22" s="533">
        <v>57.88</v>
      </c>
      <c r="D22" s="533">
        <v>57.96</v>
      </c>
      <c r="E22" s="533">
        <v>58.03</v>
      </c>
      <c r="F22" s="533">
        <v>58.1</v>
      </c>
      <c r="G22" s="533">
        <v>58.18</v>
      </c>
      <c r="H22" s="533">
        <v>58.25</v>
      </c>
      <c r="I22" s="533">
        <v>58.32</v>
      </c>
      <c r="J22" s="533">
        <v>58.4</v>
      </c>
      <c r="K22" s="533">
        <v>58.47</v>
      </c>
      <c r="L22" s="533">
        <v>58.54</v>
      </c>
      <c r="M22" s="533">
        <v>58.61</v>
      </c>
      <c r="N22" s="533">
        <v>58.67</v>
      </c>
      <c r="O22" s="533">
        <v>58.99</v>
      </c>
      <c r="P22" s="533">
        <v>59.27</v>
      </c>
      <c r="Q22" s="533">
        <v>59.52</v>
      </c>
      <c r="R22" s="533">
        <v>59.74</v>
      </c>
      <c r="S22" s="533">
        <v>59.92</v>
      </c>
      <c r="T22" s="534">
        <v>60.07</v>
      </c>
      <c r="U22" s="534">
        <v>60.19</v>
      </c>
      <c r="V22" s="530"/>
      <c r="W22" s="536">
        <v>33</v>
      </c>
      <c r="X22" s="533">
        <v>58.08</v>
      </c>
      <c r="Y22" s="533">
        <v>58.15</v>
      </c>
      <c r="Z22" s="533">
        <v>58.23</v>
      </c>
      <c r="AA22" s="533">
        <v>58.3</v>
      </c>
      <c r="AB22" s="533">
        <v>58.38</v>
      </c>
      <c r="AC22" s="533">
        <v>58.45</v>
      </c>
      <c r="AD22" s="533">
        <v>58.52</v>
      </c>
      <c r="AE22" s="533">
        <v>58.6</v>
      </c>
      <c r="AF22" s="533">
        <v>58.67</v>
      </c>
      <c r="AG22" s="533">
        <v>58.74</v>
      </c>
      <c r="AH22" s="533">
        <v>58.81</v>
      </c>
      <c r="AI22" s="533">
        <v>58.87</v>
      </c>
      <c r="AJ22" s="533">
        <v>59.19</v>
      </c>
      <c r="AK22" s="533">
        <v>59.48</v>
      </c>
      <c r="AL22" s="533">
        <v>59.73</v>
      </c>
      <c r="AM22" s="533">
        <v>59.94</v>
      </c>
      <c r="AN22" s="533">
        <v>60.13</v>
      </c>
      <c r="AO22" s="534">
        <v>60.28</v>
      </c>
      <c r="AP22" s="534">
        <v>60.4</v>
      </c>
      <c r="AQ22" s="537"/>
      <c r="AR22" s="536">
        <v>33</v>
      </c>
      <c r="AS22" s="533">
        <v>58.53</v>
      </c>
      <c r="AT22" s="533">
        <v>58.61</v>
      </c>
      <c r="AU22" s="533">
        <v>58.68</v>
      </c>
      <c r="AV22" s="533">
        <v>58.76</v>
      </c>
      <c r="AW22" s="533">
        <v>58.83</v>
      </c>
      <c r="AX22" s="533">
        <v>58.91</v>
      </c>
      <c r="AY22" s="533">
        <v>58.98</v>
      </c>
      <c r="AZ22" s="533">
        <v>59.06</v>
      </c>
      <c r="BA22" s="533">
        <v>59.13</v>
      </c>
      <c r="BB22" s="533">
        <v>59.2</v>
      </c>
      <c r="BC22" s="533">
        <v>59.27</v>
      </c>
      <c r="BD22" s="533">
        <v>59.34</v>
      </c>
      <c r="BE22" s="533">
        <v>59.66</v>
      </c>
      <c r="BF22" s="533">
        <v>59.95</v>
      </c>
      <c r="BG22" s="533">
        <v>60.2</v>
      </c>
      <c r="BH22" s="533">
        <v>60.42</v>
      </c>
      <c r="BI22" s="533">
        <v>60.61</v>
      </c>
      <c r="BJ22" s="538">
        <v>60.77</v>
      </c>
      <c r="BK22" s="538">
        <v>60.89</v>
      </c>
    </row>
    <row r="23" spans="2:63" x14ac:dyDescent="0.25">
      <c r="B23" s="536">
        <v>34</v>
      </c>
      <c r="C23" s="533">
        <v>58.04</v>
      </c>
      <c r="D23" s="533">
        <v>58.12</v>
      </c>
      <c r="E23" s="533">
        <v>58.19</v>
      </c>
      <c r="F23" s="533">
        <v>58.27</v>
      </c>
      <c r="G23" s="533">
        <v>58.35</v>
      </c>
      <c r="H23" s="533">
        <v>58.43</v>
      </c>
      <c r="I23" s="533">
        <v>58.5</v>
      </c>
      <c r="J23" s="533">
        <v>58.58</v>
      </c>
      <c r="K23" s="533">
        <v>58.65</v>
      </c>
      <c r="L23" s="533">
        <v>58.73</v>
      </c>
      <c r="M23" s="533">
        <v>58.8</v>
      </c>
      <c r="N23" s="533">
        <v>58.87</v>
      </c>
      <c r="O23" s="533">
        <v>59.21</v>
      </c>
      <c r="P23" s="533">
        <v>59.51</v>
      </c>
      <c r="Q23" s="533">
        <v>59.77</v>
      </c>
      <c r="R23" s="533">
        <v>60</v>
      </c>
      <c r="S23" s="533">
        <v>60.19</v>
      </c>
      <c r="T23" s="534">
        <v>60.35</v>
      </c>
      <c r="U23" s="534">
        <v>60.47</v>
      </c>
      <c r="V23" s="530"/>
      <c r="W23" s="536">
        <v>34</v>
      </c>
      <c r="X23" s="533">
        <v>58.23</v>
      </c>
      <c r="Y23" s="533">
        <v>58.31</v>
      </c>
      <c r="Z23" s="533">
        <v>58.39</v>
      </c>
      <c r="AA23" s="533">
        <v>58.47</v>
      </c>
      <c r="AB23" s="533">
        <v>58.55</v>
      </c>
      <c r="AC23" s="533">
        <v>58.63</v>
      </c>
      <c r="AD23" s="533">
        <v>58.7</v>
      </c>
      <c r="AE23" s="533">
        <v>58.78</v>
      </c>
      <c r="AF23" s="533">
        <v>58.85</v>
      </c>
      <c r="AG23" s="533">
        <v>58.93</v>
      </c>
      <c r="AH23" s="533">
        <v>59</v>
      </c>
      <c r="AI23" s="533">
        <v>59.07</v>
      </c>
      <c r="AJ23" s="533">
        <v>59.41</v>
      </c>
      <c r="AK23" s="533">
        <v>59.71</v>
      </c>
      <c r="AL23" s="533">
        <v>59.97</v>
      </c>
      <c r="AM23" s="533">
        <v>60.2</v>
      </c>
      <c r="AN23" s="533">
        <v>60.4</v>
      </c>
      <c r="AO23" s="534">
        <v>60.56</v>
      </c>
      <c r="AP23" s="534">
        <v>60.68</v>
      </c>
      <c r="AQ23" s="537"/>
      <c r="AR23" s="536">
        <v>34</v>
      </c>
      <c r="AS23" s="533">
        <v>58.69</v>
      </c>
      <c r="AT23" s="533">
        <v>58.77</v>
      </c>
      <c r="AU23" s="533">
        <v>58.85</v>
      </c>
      <c r="AV23" s="533">
        <v>58.93</v>
      </c>
      <c r="AW23" s="533">
        <v>59.01</v>
      </c>
      <c r="AX23" s="533">
        <v>59.09</v>
      </c>
      <c r="AY23" s="533">
        <v>59.17</v>
      </c>
      <c r="AZ23" s="533">
        <v>59.24</v>
      </c>
      <c r="BA23" s="533">
        <v>59.32</v>
      </c>
      <c r="BB23" s="533">
        <v>59.39</v>
      </c>
      <c r="BC23" s="533">
        <v>59.47</v>
      </c>
      <c r="BD23" s="533">
        <v>59.54</v>
      </c>
      <c r="BE23" s="533">
        <v>59.88</v>
      </c>
      <c r="BF23" s="533">
        <v>60.19</v>
      </c>
      <c r="BG23" s="533">
        <v>60.45</v>
      </c>
      <c r="BH23" s="533">
        <v>60.69</v>
      </c>
      <c r="BI23" s="533">
        <v>60.89</v>
      </c>
      <c r="BJ23" s="538">
        <v>61.05</v>
      </c>
      <c r="BK23" s="538">
        <v>61.17</v>
      </c>
    </row>
    <row r="24" spans="2:63" x14ac:dyDescent="0.25">
      <c r="B24" s="536">
        <v>35</v>
      </c>
      <c r="C24" s="533">
        <v>58.2</v>
      </c>
      <c r="D24" s="533">
        <v>58.28</v>
      </c>
      <c r="E24" s="533">
        <v>58.37</v>
      </c>
      <c r="F24" s="533">
        <v>58.45</v>
      </c>
      <c r="G24" s="533">
        <v>58.53</v>
      </c>
      <c r="H24" s="533">
        <v>58.61</v>
      </c>
      <c r="I24" s="533">
        <v>58.69</v>
      </c>
      <c r="J24" s="533">
        <v>58.77</v>
      </c>
      <c r="K24" s="533">
        <v>58.85</v>
      </c>
      <c r="L24" s="533">
        <v>58.93</v>
      </c>
      <c r="M24" s="533">
        <v>59.01</v>
      </c>
      <c r="N24" s="533">
        <v>59.08</v>
      </c>
      <c r="O24" s="533">
        <v>59.43</v>
      </c>
      <c r="P24" s="533">
        <v>59.75</v>
      </c>
      <c r="Q24" s="533">
        <v>60.03</v>
      </c>
      <c r="R24" s="533">
        <v>60.27</v>
      </c>
      <c r="S24" s="533">
        <v>60.48</v>
      </c>
      <c r="T24" s="534">
        <v>60.64</v>
      </c>
      <c r="U24" s="534">
        <v>60.77</v>
      </c>
      <c r="V24" s="530"/>
      <c r="W24" s="536">
        <v>35</v>
      </c>
      <c r="X24" s="533">
        <v>58.4</v>
      </c>
      <c r="Y24" s="533">
        <v>58.48</v>
      </c>
      <c r="Z24" s="533">
        <v>58.57</v>
      </c>
      <c r="AA24" s="533">
        <v>58.65</v>
      </c>
      <c r="AB24" s="533">
        <v>58.73</v>
      </c>
      <c r="AC24" s="533">
        <v>58.81</v>
      </c>
      <c r="AD24" s="533">
        <v>58.89</v>
      </c>
      <c r="AE24" s="533">
        <v>58.97</v>
      </c>
      <c r="AF24" s="533">
        <v>59.05</v>
      </c>
      <c r="AG24" s="533">
        <v>59.13</v>
      </c>
      <c r="AH24" s="533">
        <v>59.21</v>
      </c>
      <c r="AI24" s="533">
        <v>59.28</v>
      </c>
      <c r="AJ24" s="533">
        <v>59.64</v>
      </c>
      <c r="AK24" s="533">
        <v>59.96</v>
      </c>
      <c r="AL24" s="533">
        <v>60.23</v>
      </c>
      <c r="AM24" s="533">
        <v>60.48</v>
      </c>
      <c r="AN24" s="533">
        <v>60.69</v>
      </c>
      <c r="AO24" s="534">
        <v>60.85</v>
      </c>
      <c r="AP24" s="534">
        <v>60.98</v>
      </c>
      <c r="AQ24" s="537"/>
      <c r="AR24" s="536">
        <v>35</v>
      </c>
      <c r="AS24" s="533">
        <v>58.86</v>
      </c>
      <c r="AT24" s="533">
        <v>58.94</v>
      </c>
      <c r="AU24" s="533">
        <v>59.03</v>
      </c>
      <c r="AV24" s="533">
        <v>59.11</v>
      </c>
      <c r="AW24" s="533">
        <v>59.19</v>
      </c>
      <c r="AX24" s="533">
        <v>59.28</v>
      </c>
      <c r="AY24" s="533">
        <v>59.36</v>
      </c>
      <c r="AZ24" s="533">
        <v>59.44</v>
      </c>
      <c r="BA24" s="533">
        <v>59.52</v>
      </c>
      <c r="BB24" s="533">
        <v>59.6</v>
      </c>
      <c r="BC24" s="533">
        <v>59.68</v>
      </c>
      <c r="BD24" s="533">
        <v>59.75</v>
      </c>
      <c r="BE24" s="533">
        <v>60.11</v>
      </c>
      <c r="BF24" s="533">
        <v>60.44</v>
      </c>
      <c r="BG24" s="533">
        <v>60.72</v>
      </c>
      <c r="BH24" s="533">
        <v>60.97</v>
      </c>
      <c r="BI24" s="533">
        <v>61.18</v>
      </c>
      <c r="BJ24" s="538">
        <v>61.34</v>
      </c>
      <c r="BK24" s="538">
        <v>61.47</v>
      </c>
    </row>
    <row r="25" spans="2:63" x14ac:dyDescent="0.25">
      <c r="B25" s="536">
        <v>36</v>
      </c>
      <c r="C25" s="533">
        <v>58.37</v>
      </c>
      <c r="D25" s="533">
        <v>58.46</v>
      </c>
      <c r="E25" s="533">
        <v>58.55</v>
      </c>
      <c r="F25" s="533">
        <v>58.64</v>
      </c>
      <c r="G25" s="533">
        <v>58.72</v>
      </c>
      <c r="H25" s="533">
        <v>58.81</v>
      </c>
      <c r="I25" s="533">
        <v>58.89</v>
      </c>
      <c r="J25" s="533">
        <v>58.98</v>
      </c>
      <c r="K25" s="533">
        <v>59.06</v>
      </c>
      <c r="L25" s="533">
        <v>59.14</v>
      </c>
      <c r="M25" s="533">
        <v>59.22</v>
      </c>
      <c r="N25" s="533">
        <v>59.3</v>
      </c>
      <c r="O25" s="533">
        <v>59.67</v>
      </c>
      <c r="P25" s="533">
        <v>60.01</v>
      </c>
      <c r="Q25" s="533">
        <v>60.3</v>
      </c>
      <c r="R25" s="533">
        <v>60.56</v>
      </c>
      <c r="S25" s="533">
        <v>60.78</v>
      </c>
      <c r="T25" s="534">
        <v>60.95</v>
      </c>
      <c r="U25" s="534">
        <v>61.08</v>
      </c>
      <c r="V25" s="530"/>
      <c r="W25" s="536">
        <v>36</v>
      </c>
      <c r="X25" s="533">
        <v>58.57</v>
      </c>
      <c r="Y25" s="533">
        <v>58.66</v>
      </c>
      <c r="Z25" s="533">
        <v>58.75</v>
      </c>
      <c r="AA25" s="533">
        <v>58.84</v>
      </c>
      <c r="AB25" s="533">
        <v>58.92</v>
      </c>
      <c r="AC25" s="533">
        <v>59.01</v>
      </c>
      <c r="AD25" s="533">
        <v>59.09</v>
      </c>
      <c r="AE25" s="533">
        <v>59.18</v>
      </c>
      <c r="AF25" s="533">
        <v>59.26</v>
      </c>
      <c r="AG25" s="533">
        <v>59.34</v>
      </c>
      <c r="AH25" s="533">
        <v>59.42</v>
      </c>
      <c r="AI25" s="533">
        <v>59.5</v>
      </c>
      <c r="AJ25" s="533">
        <v>59.88</v>
      </c>
      <c r="AK25" s="533">
        <v>60.21</v>
      </c>
      <c r="AL25" s="533">
        <v>60.51</v>
      </c>
      <c r="AM25" s="533">
        <v>60.77</v>
      </c>
      <c r="AN25" s="533">
        <v>60.99</v>
      </c>
      <c r="AO25" s="534">
        <v>61.16</v>
      </c>
      <c r="AP25" s="534">
        <v>61.29</v>
      </c>
      <c r="AQ25" s="537"/>
      <c r="AR25" s="536">
        <v>36</v>
      </c>
      <c r="AS25" s="533">
        <v>59.03</v>
      </c>
      <c r="AT25" s="533">
        <v>59.12</v>
      </c>
      <c r="AU25" s="533">
        <v>59.21</v>
      </c>
      <c r="AV25" s="533">
        <v>59.3</v>
      </c>
      <c r="AW25" s="533">
        <v>59.39</v>
      </c>
      <c r="AX25" s="533">
        <v>59.48</v>
      </c>
      <c r="AY25" s="533">
        <v>59.56</v>
      </c>
      <c r="AZ25" s="533">
        <v>59.65</v>
      </c>
      <c r="BA25" s="533">
        <v>59.73</v>
      </c>
      <c r="BB25" s="533">
        <v>59.82</v>
      </c>
      <c r="BC25" s="533">
        <v>59.9</v>
      </c>
      <c r="BD25" s="533">
        <v>59.98</v>
      </c>
      <c r="BE25" s="533">
        <v>60.36</v>
      </c>
      <c r="BF25" s="533">
        <v>60.7</v>
      </c>
      <c r="BG25" s="533">
        <v>61</v>
      </c>
      <c r="BH25" s="533">
        <v>61.26</v>
      </c>
      <c r="BI25" s="533">
        <v>61.48</v>
      </c>
      <c r="BJ25" s="538">
        <v>61.66</v>
      </c>
      <c r="BK25" s="538">
        <v>61.79</v>
      </c>
    </row>
    <row r="26" spans="2:63" x14ac:dyDescent="0.25">
      <c r="B26" s="536">
        <v>37</v>
      </c>
      <c r="C26" s="533">
        <v>58.56</v>
      </c>
      <c r="D26" s="533">
        <v>58.65</v>
      </c>
      <c r="E26" s="533">
        <v>58.74</v>
      </c>
      <c r="F26" s="533">
        <v>58.83</v>
      </c>
      <c r="G26" s="533">
        <v>58.92</v>
      </c>
      <c r="H26" s="533">
        <v>59.01</v>
      </c>
      <c r="I26" s="533">
        <v>59.1</v>
      </c>
      <c r="J26" s="533">
        <v>59.19</v>
      </c>
      <c r="K26" s="533">
        <v>59.28</v>
      </c>
      <c r="L26" s="533">
        <v>59.36</v>
      </c>
      <c r="M26" s="533">
        <v>59.45</v>
      </c>
      <c r="N26" s="533">
        <v>59.53</v>
      </c>
      <c r="O26" s="533">
        <v>59.93</v>
      </c>
      <c r="P26" s="533">
        <v>60.28</v>
      </c>
      <c r="Q26" s="533">
        <v>60.59</v>
      </c>
      <c r="R26" s="533">
        <v>60.87</v>
      </c>
      <c r="S26" s="533">
        <v>61.09</v>
      </c>
      <c r="T26" s="534">
        <v>61.27</v>
      </c>
      <c r="U26" s="534">
        <v>61.41</v>
      </c>
      <c r="V26" s="530"/>
      <c r="W26" s="536">
        <v>37</v>
      </c>
      <c r="X26" s="533">
        <v>58.76</v>
      </c>
      <c r="Y26" s="533">
        <v>58.85</v>
      </c>
      <c r="Z26" s="533">
        <v>58.94</v>
      </c>
      <c r="AA26" s="533">
        <v>59.03</v>
      </c>
      <c r="AB26" s="533">
        <v>59.13</v>
      </c>
      <c r="AC26" s="533">
        <v>59.22</v>
      </c>
      <c r="AD26" s="533">
        <v>59.31</v>
      </c>
      <c r="AE26" s="533">
        <v>59.39</v>
      </c>
      <c r="AF26" s="533">
        <v>59.48</v>
      </c>
      <c r="AG26" s="533">
        <v>59.57</v>
      </c>
      <c r="AH26" s="533">
        <v>59.65</v>
      </c>
      <c r="AI26" s="533">
        <v>59.74</v>
      </c>
      <c r="AJ26" s="533">
        <v>60.13</v>
      </c>
      <c r="AK26" s="533">
        <v>60.49</v>
      </c>
      <c r="AL26" s="533">
        <v>60.8</v>
      </c>
      <c r="AM26" s="533">
        <v>61.08</v>
      </c>
      <c r="AN26" s="533">
        <v>61.31</v>
      </c>
      <c r="AO26" s="534">
        <v>61.49</v>
      </c>
      <c r="AP26" s="534">
        <v>61.62</v>
      </c>
      <c r="AQ26" s="537"/>
      <c r="AR26" s="536">
        <v>37</v>
      </c>
      <c r="AS26" s="533">
        <v>59.22</v>
      </c>
      <c r="AT26" s="533">
        <v>59.31</v>
      </c>
      <c r="AU26" s="533">
        <v>59.41</v>
      </c>
      <c r="AV26" s="533">
        <v>59.5</v>
      </c>
      <c r="AW26" s="533">
        <v>59.59</v>
      </c>
      <c r="AX26" s="533">
        <v>59.69</v>
      </c>
      <c r="AY26" s="533">
        <v>59.78</v>
      </c>
      <c r="AZ26" s="533">
        <v>59.87</v>
      </c>
      <c r="BA26" s="533">
        <v>59.96</v>
      </c>
      <c r="BB26" s="533">
        <v>60.04</v>
      </c>
      <c r="BC26" s="533">
        <v>60.13</v>
      </c>
      <c r="BD26" s="533">
        <v>60.22</v>
      </c>
      <c r="BE26" s="533">
        <v>60.62</v>
      </c>
      <c r="BF26" s="533">
        <v>60.98</v>
      </c>
      <c r="BG26" s="533">
        <v>61.3</v>
      </c>
      <c r="BH26" s="533">
        <v>61.58</v>
      </c>
      <c r="BI26" s="533">
        <v>61.81</v>
      </c>
      <c r="BJ26" s="538">
        <v>61.99</v>
      </c>
      <c r="BK26" s="538">
        <v>62.13</v>
      </c>
    </row>
    <row r="27" spans="2:63" x14ac:dyDescent="0.25">
      <c r="B27" s="536">
        <v>38</v>
      </c>
      <c r="C27" s="533">
        <v>58.75</v>
      </c>
      <c r="D27" s="533">
        <v>58.85</v>
      </c>
      <c r="E27" s="533">
        <v>58.94</v>
      </c>
      <c r="F27" s="533">
        <v>59.04</v>
      </c>
      <c r="G27" s="533">
        <v>59.13</v>
      </c>
      <c r="H27" s="533">
        <v>59.23</v>
      </c>
      <c r="I27" s="533">
        <v>59.32</v>
      </c>
      <c r="J27" s="533">
        <v>59.42</v>
      </c>
      <c r="K27" s="533">
        <v>59.51</v>
      </c>
      <c r="L27" s="533">
        <v>59.6</v>
      </c>
      <c r="M27" s="533">
        <v>59.69</v>
      </c>
      <c r="N27" s="533">
        <v>59.78</v>
      </c>
      <c r="O27" s="533">
        <v>60.19</v>
      </c>
      <c r="P27" s="533">
        <v>60.57</v>
      </c>
      <c r="Q27" s="533">
        <v>60.9</v>
      </c>
      <c r="R27" s="533">
        <v>61.19</v>
      </c>
      <c r="S27" s="533">
        <v>61.43</v>
      </c>
      <c r="T27" s="534">
        <v>61.61</v>
      </c>
      <c r="U27" s="534">
        <v>61.75</v>
      </c>
      <c r="V27" s="530"/>
      <c r="W27" s="536">
        <v>38</v>
      </c>
      <c r="X27" s="533">
        <v>58.95</v>
      </c>
      <c r="Y27" s="533">
        <v>59.05</v>
      </c>
      <c r="Z27" s="533">
        <v>59.14</v>
      </c>
      <c r="AA27" s="533">
        <v>59.24</v>
      </c>
      <c r="AB27" s="533">
        <v>59.34</v>
      </c>
      <c r="AC27" s="533">
        <v>59.43</v>
      </c>
      <c r="AD27" s="533">
        <v>59.53</v>
      </c>
      <c r="AE27" s="533">
        <v>59.62</v>
      </c>
      <c r="AF27" s="533">
        <v>59.71</v>
      </c>
      <c r="AG27" s="533">
        <v>59.81</v>
      </c>
      <c r="AH27" s="533">
        <v>59.9</v>
      </c>
      <c r="AI27" s="533">
        <v>59.98</v>
      </c>
      <c r="AJ27" s="533">
        <v>60.4</v>
      </c>
      <c r="AK27" s="533">
        <v>60.78</v>
      </c>
      <c r="AL27" s="533">
        <v>61.11</v>
      </c>
      <c r="AM27" s="533">
        <v>61.41</v>
      </c>
      <c r="AN27" s="533">
        <v>61.65</v>
      </c>
      <c r="AO27" s="534">
        <v>61.83</v>
      </c>
      <c r="AP27" s="534">
        <v>61.97</v>
      </c>
      <c r="AQ27" s="537"/>
      <c r="AR27" s="536">
        <v>38</v>
      </c>
      <c r="AS27" s="533">
        <v>59.42</v>
      </c>
      <c r="AT27" s="533">
        <v>59.51</v>
      </c>
      <c r="AU27" s="533">
        <v>59.61</v>
      </c>
      <c r="AV27" s="533">
        <v>59.71</v>
      </c>
      <c r="AW27" s="533">
        <v>59.81</v>
      </c>
      <c r="AX27" s="533">
        <v>59.91</v>
      </c>
      <c r="AY27" s="533">
        <v>60</v>
      </c>
      <c r="AZ27" s="533">
        <v>60.1</v>
      </c>
      <c r="BA27" s="533">
        <v>60.19</v>
      </c>
      <c r="BB27" s="533">
        <v>60.28</v>
      </c>
      <c r="BC27" s="533">
        <v>60.38</v>
      </c>
      <c r="BD27" s="533">
        <v>60.47</v>
      </c>
      <c r="BE27" s="533">
        <v>60.89</v>
      </c>
      <c r="BF27" s="533">
        <v>61.27</v>
      </c>
      <c r="BG27" s="533">
        <v>61.61</v>
      </c>
      <c r="BH27" s="533">
        <v>61.91</v>
      </c>
      <c r="BI27" s="533">
        <v>62.15</v>
      </c>
      <c r="BJ27" s="538">
        <v>62.34</v>
      </c>
      <c r="BK27" s="538">
        <v>62.48</v>
      </c>
    </row>
    <row r="28" spans="2:63" x14ac:dyDescent="0.25">
      <c r="B28" s="536">
        <v>39</v>
      </c>
      <c r="C28" s="533">
        <v>58.95</v>
      </c>
      <c r="D28" s="533">
        <v>59.05</v>
      </c>
      <c r="E28" s="533">
        <v>59.15</v>
      </c>
      <c r="F28" s="533">
        <v>59.26</v>
      </c>
      <c r="G28" s="533">
        <v>59.36</v>
      </c>
      <c r="H28" s="533">
        <v>59.46</v>
      </c>
      <c r="I28" s="533">
        <v>59.56</v>
      </c>
      <c r="J28" s="533">
        <v>59.66</v>
      </c>
      <c r="K28" s="533">
        <v>59.75</v>
      </c>
      <c r="L28" s="533">
        <v>59.85</v>
      </c>
      <c r="M28" s="533">
        <v>59.94</v>
      </c>
      <c r="N28" s="533">
        <v>60.04</v>
      </c>
      <c r="O28" s="533">
        <v>60.48</v>
      </c>
      <c r="P28" s="533">
        <v>60.87</v>
      </c>
      <c r="Q28" s="533">
        <v>61.23</v>
      </c>
      <c r="R28" s="533">
        <v>61.53</v>
      </c>
      <c r="S28" s="533">
        <v>61.78</v>
      </c>
      <c r="T28" s="534">
        <v>61.98</v>
      </c>
      <c r="U28" s="534">
        <v>62.12</v>
      </c>
      <c r="V28" s="530"/>
      <c r="W28" s="536">
        <v>39</v>
      </c>
      <c r="X28" s="533">
        <v>59.15</v>
      </c>
      <c r="Y28" s="533">
        <v>59.26</v>
      </c>
      <c r="Z28" s="533">
        <v>59.36</v>
      </c>
      <c r="AA28" s="533">
        <v>59.46</v>
      </c>
      <c r="AB28" s="533">
        <v>59.56</v>
      </c>
      <c r="AC28" s="533">
        <v>59.66</v>
      </c>
      <c r="AD28" s="533">
        <v>59.76</v>
      </c>
      <c r="AE28" s="533">
        <v>59.86</v>
      </c>
      <c r="AF28" s="533">
        <v>59.96</v>
      </c>
      <c r="AG28" s="533">
        <v>60.06</v>
      </c>
      <c r="AH28" s="533">
        <v>60.15</v>
      </c>
      <c r="AI28" s="533">
        <v>60.24</v>
      </c>
      <c r="AJ28" s="533">
        <v>60.69</v>
      </c>
      <c r="AK28" s="533">
        <v>61.09</v>
      </c>
      <c r="AL28" s="533">
        <v>61.44</v>
      </c>
      <c r="AM28" s="533">
        <v>61.75</v>
      </c>
      <c r="AN28" s="533">
        <v>62</v>
      </c>
      <c r="AO28" s="534">
        <v>62.2</v>
      </c>
      <c r="AP28" s="534">
        <v>62.34</v>
      </c>
      <c r="AQ28" s="537"/>
      <c r="AR28" s="536">
        <v>39</v>
      </c>
      <c r="AS28" s="533">
        <v>59.62</v>
      </c>
      <c r="AT28" s="533">
        <v>59.73</v>
      </c>
      <c r="AU28" s="533">
        <v>59.83</v>
      </c>
      <c r="AV28" s="533">
        <v>59.93</v>
      </c>
      <c r="AW28" s="533">
        <v>60.04</v>
      </c>
      <c r="AX28" s="533">
        <v>60.14</v>
      </c>
      <c r="AY28" s="533">
        <v>60.24</v>
      </c>
      <c r="AZ28" s="533">
        <v>60.34</v>
      </c>
      <c r="BA28" s="533">
        <v>60.44</v>
      </c>
      <c r="BB28" s="533">
        <v>60.54</v>
      </c>
      <c r="BC28" s="533">
        <v>60.63</v>
      </c>
      <c r="BD28" s="533">
        <v>60.73</v>
      </c>
      <c r="BE28" s="533">
        <v>61.18</v>
      </c>
      <c r="BF28" s="533">
        <v>61.58</v>
      </c>
      <c r="BG28" s="533">
        <v>61.95</v>
      </c>
      <c r="BH28" s="533">
        <v>62.26</v>
      </c>
      <c r="BI28" s="533">
        <v>62.51</v>
      </c>
      <c r="BJ28" s="538">
        <v>62.71</v>
      </c>
      <c r="BK28" s="538">
        <v>62.86</v>
      </c>
    </row>
    <row r="29" spans="2:63" x14ac:dyDescent="0.25">
      <c r="B29" s="536">
        <v>40</v>
      </c>
      <c r="C29" s="533">
        <v>59.16</v>
      </c>
      <c r="D29" s="533">
        <v>59.27</v>
      </c>
      <c r="E29" s="533">
        <v>59.38</v>
      </c>
      <c r="F29" s="533">
        <v>59.49</v>
      </c>
      <c r="G29" s="533">
        <v>59.59</v>
      </c>
      <c r="H29" s="533">
        <v>59.7</v>
      </c>
      <c r="I29" s="533">
        <v>59.8</v>
      </c>
      <c r="J29" s="533">
        <v>59.91</v>
      </c>
      <c r="K29" s="533">
        <v>60.01</v>
      </c>
      <c r="L29" s="533">
        <v>60.11</v>
      </c>
      <c r="M29" s="533">
        <v>60.21</v>
      </c>
      <c r="N29" s="533">
        <v>60.31</v>
      </c>
      <c r="O29" s="533">
        <v>60.77</v>
      </c>
      <c r="P29" s="533">
        <v>61.2</v>
      </c>
      <c r="Q29" s="533">
        <v>61.57</v>
      </c>
      <c r="R29" s="533">
        <v>61.9</v>
      </c>
      <c r="S29" s="533">
        <v>62.16</v>
      </c>
      <c r="T29" s="534">
        <v>62.36</v>
      </c>
      <c r="U29" s="534">
        <v>62.51</v>
      </c>
      <c r="V29" s="530"/>
      <c r="W29" s="536">
        <v>40</v>
      </c>
      <c r="X29" s="533">
        <v>59.37</v>
      </c>
      <c r="Y29" s="533">
        <v>59.47</v>
      </c>
      <c r="Z29" s="533">
        <v>59.58</v>
      </c>
      <c r="AA29" s="533">
        <v>59.69</v>
      </c>
      <c r="AB29" s="533">
        <v>59.8</v>
      </c>
      <c r="AC29" s="533">
        <v>59.9</v>
      </c>
      <c r="AD29" s="533">
        <v>60.01</v>
      </c>
      <c r="AE29" s="533">
        <v>60.11</v>
      </c>
      <c r="AF29" s="533">
        <v>60.22</v>
      </c>
      <c r="AG29" s="533">
        <v>60.32</v>
      </c>
      <c r="AH29" s="533">
        <v>60.42</v>
      </c>
      <c r="AI29" s="533">
        <v>60.52</v>
      </c>
      <c r="AJ29" s="533">
        <v>60.99</v>
      </c>
      <c r="AK29" s="533">
        <v>61.41</v>
      </c>
      <c r="AL29" s="533">
        <v>61.79</v>
      </c>
      <c r="AM29" s="533">
        <v>62.12</v>
      </c>
      <c r="AN29" s="533">
        <v>62.38</v>
      </c>
      <c r="AO29" s="534">
        <v>62.58</v>
      </c>
      <c r="AP29" s="534">
        <v>62.73</v>
      </c>
      <c r="AQ29" s="537"/>
      <c r="AR29" s="536">
        <v>40</v>
      </c>
      <c r="AS29" s="533">
        <v>59.84</v>
      </c>
      <c r="AT29" s="533">
        <v>59.95</v>
      </c>
      <c r="AU29" s="533">
        <v>60.06</v>
      </c>
      <c r="AV29" s="533">
        <v>60.17</v>
      </c>
      <c r="AW29" s="533">
        <v>60.28</v>
      </c>
      <c r="AX29" s="533">
        <v>60.38</v>
      </c>
      <c r="AY29" s="533">
        <v>60.49</v>
      </c>
      <c r="AZ29" s="533">
        <v>60.6</v>
      </c>
      <c r="BA29" s="533">
        <v>60.7</v>
      </c>
      <c r="BB29" s="533">
        <v>60.81</v>
      </c>
      <c r="BC29" s="533">
        <v>60.91</v>
      </c>
      <c r="BD29" s="533">
        <v>61.01</v>
      </c>
      <c r="BE29" s="533">
        <v>61.48</v>
      </c>
      <c r="BF29" s="533">
        <v>61.91</v>
      </c>
      <c r="BG29" s="533">
        <v>62.3</v>
      </c>
      <c r="BH29" s="533">
        <v>62.63</v>
      </c>
      <c r="BI29" s="533">
        <v>62.9</v>
      </c>
      <c r="BJ29" s="538">
        <v>63.1</v>
      </c>
      <c r="BK29" s="538">
        <v>63.25</v>
      </c>
    </row>
    <row r="30" spans="2:63" x14ac:dyDescent="0.25">
      <c r="B30" s="536">
        <v>41</v>
      </c>
      <c r="C30" s="533">
        <v>59.39</v>
      </c>
      <c r="D30" s="533">
        <v>59.5</v>
      </c>
      <c r="E30" s="533">
        <v>59.61</v>
      </c>
      <c r="F30" s="533">
        <v>59.73</v>
      </c>
      <c r="G30" s="533">
        <v>59.84</v>
      </c>
      <c r="H30" s="533">
        <v>59.95</v>
      </c>
      <c r="I30" s="533">
        <v>60.06</v>
      </c>
      <c r="J30" s="533">
        <v>60.17</v>
      </c>
      <c r="K30" s="533">
        <v>60.28</v>
      </c>
      <c r="L30" s="533">
        <v>60.39</v>
      </c>
      <c r="M30" s="533">
        <v>60.49</v>
      </c>
      <c r="N30" s="533">
        <v>60.6</v>
      </c>
      <c r="O30" s="533">
        <v>61.09</v>
      </c>
      <c r="P30" s="533">
        <v>61.54</v>
      </c>
      <c r="Q30" s="533">
        <v>61.94</v>
      </c>
      <c r="R30" s="533">
        <v>62.28</v>
      </c>
      <c r="S30" s="533">
        <v>62.56</v>
      </c>
      <c r="T30" s="534">
        <v>62.76</v>
      </c>
      <c r="U30" s="534">
        <v>62.92</v>
      </c>
      <c r="V30" s="530"/>
      <c r="W30" s="536">
        <v>41</v>
      </c>
      <c r="X30" s="533">
        <v>59.59</v>
      </c>
      <c r="Y30" s="533">
        <v>59.71</v>
      </c>
      <c r="Z30" s="533">
        <v>59.82</v>
      </c>
      <c r="AA30" s="533">
        <v>59.93</v>
      </c>
      <c r="AB30" s="533">
        <v>60.05</v>
      </c>
      <c r="AC30" s="533">
        <v>60.16</v>
      </c>
      <c r="AD30" s="533">
        <v>60.27</v>
      </c>
      <c r="AE30" s="533">
        <v>60.38</v>
      </c>
      <c r="AF30" s="533">
        <v>60.49</v>
      </c>
      <c r="AG30" s="533">
        <v>60.6</v>
      </c>
      <c r="AH30" s="533">
        <v>60.7</v>
      </c>
      <c r="AI30" s="533">
        <v>60.81</v>
      </c>
      <c r="AJ30" s="533">
        <v>61.3</v>
      </c>
      <c r="AK30" s="533">
        <v>61.76</v>
      </c>
      <c r="AL30" s="533">
        <v>62.16</v>
      </c>
      <c r="AM30" s="533">
        <v>62.5</v>
      </c>
      <c r="AN30" s="533">
        <v>62.78</v>
      </c>
      <c r="AO30" s="534">
        <v>62.99</v>
      </c>
      <c r="AP30" s="534">
        <v>63.15</v>
      </c>
      <c r="AQ30" s="537"/>
      <c r="AR30" s="536">
        <v>41</v>
      </c>
      <c r="AS30" s="533">
        <v>60.07</v>
      </c>
      <c r="AT30" s="533">
        <v>60.18</v>
      </c>
      <c r="AU30" s="533">
        <v>60.3</v>
      </c>
      <c r="AV30" s="533">
        <v>60.41</v>
      </c>
      <c r="AW30" s="533">
        <v>60.53</v>
      </c>
      <c r="AX30" s="533">
        <v>60.64</v>
      </c>
      <c r="AY30" s="533">
        <v>60.76</v>
      </c>
      <c r="AZ30" s="533">
        <v>60.87</v>
      </c>
      <c r="BA30" s="533">
        <v>60.98</v>
      </c>
      <c r="BB30" s="533">
        <v>61.09</v>
      </c>
      <c r="BC30" s="533">
        <v>61.2</v>
      </c>
      <c r="BD30" s="533">
        <v>61.3</v>
      </c>
      <c r="BE30" s="533">
        <v>61.81</v>
      </c>
      <c r="BF30" s="533">
        <v>62.26</v>
      </c>
      <c r="BG30" s="533">
        <v>62.67</v>
      </c>
      <c r="BH30" s="533">
        <v>63.02</v>
      </c>
      <c r="BI30" s="533">
        <v>63.3</v>
      </c>
      <c r="BJ30" s="538">
        <v>63.51</v>
      </c>
      <c r="BK30" s="538">
        <v>63.67</v>
      </c>
    </row>
    <row r="31" spans="2:63" x14ac:dyDescent="0.25">
      <c r="B31" s="536">
        <v>42</v>
      </c>
      <c r="C31" s="533">
        <v>59.62</v>
      </c>
      <c r="D31" s="533">
        <v>59.74</v>
      </c>
      <c r="E31" s="533">
        <v>59.86</v>
      </c>
      <c r="F31" s="533">
        <v>59.98</v>
      </c>
      <c r="G31" s="533">
        <v>60.1</v>
      </c>
      <c r="H31" s="533">
        <v>60.22</v>
      </c>
      <c r="I31" s="533">
        <v>60.34</v>
      </c>
      <c r="J31" s="533">
        <v>60.45</v>
      </c>
      <c r="K31" s="533">
        <v>60.57</v>
      </c>
      <c r="L31" s="533">
        <v>60.68</v>
      </c>
      <c r="M31" s="533">
        <v>60.79</v>
      </c>
      <c r="N31" s="533">
        <v>60.9</v>
      </c>
      <c r="O31" s="533">
        <v>61.43</v>
      </c>
      <c r="P31" s="533">
        <v>61.9</v>
      </c>
      <c r="Q31" s="533">
        <v>62.33</v>
      </c>
      <c r="R31" s="533">
        <v>62.69</v>
      </c>
      <c r="S31" s="533">
        <v>62.98</v>
      </c>
      <c r="T31" s="534">
        <v>63.19</v>
      </c>
      <c r="U31" s="534">
        <v>63.35</v>
      </c>
      <c r="V31" s="530"/>
      <c r="W31" s="536">
        <v>42</v>
      </c>
      <c r="X31" s="533">
        <v>59.83</v>
      </c>
      <c r="Y31" s="533">
        <v>59.95</v>
      </c>
      <c r="Z31" s="533">
        <v>60.07</v>
      </c>
      <c r="AA31" s="533">
        <v>60.19</v>
      </c>
      <c r="AB31" s="533">
        <v>60.31</v>
      </c>
      <c r="AC31" s="533">
        <v>60.43</v>
      </c>
      <c r="AD31" s="533">
        <v>60.55</v>
      </c>
      <c r="AE31" s="533">
        <v>60.66</v>
      </c>
      <c r="AF31" s="533">
        <v>60.78</v>
      </c>
      <c r="AG31" s="533">
        <v>60.89</v>
      </c>
      <c r="AH31" s="533">
        <v>61</v>
      </c>
      <c r="AI31" s="533">
        <v>61.12</v>
      </c>
      <c r="AJ31" s="533">
        <v>61.64</v>
      </c>
      <c r="AK31" s="533">
        <v>62.12</v>
      </c>
      <c r="AL31" s="533">
        <v>62.55</v>
      </c>
      <c r="AM31" s="533">
        <v>62.91</v>
      </c>
      <c r="AN31" s="533">
        <v>63.2</v>
      </c>
      <c r="AO31" s="534">
        <v>63.42</v>
      </c>
      <c r="AP31" s="534">
        <v>63.58</v>
      </c>
      <c r="AQ31" s="537"/>
      <c r="AR31" s="536">
        <v>42</v>
      </c>
      <c r="AS31" s="533">
        <v>60.31</v>
      </c>
      <c r="AT31" s="533">
        <v>60.43</v>
      </c>
      <c r="AU31" s="533">
        <v>60.55</v>
      </c>
      <c r="AV31" s="533">
        <v>60.68</v>
      </c>
      <c r="AW31" s="533">
        <v>60.8</v>
      </c>
      <c r="AX31" s="533">
        <v>60.92</v>
      </c>
      <c r="AY31" s="533">
        <v>61.04</v>
      </c>
      <c r="AZ31" s="533">
        <v>61.15</v>
      </c>
      <c r="BA31" s="533">
        <v>61.27</v>
      </c>
      <c r="BB31" s="533">
        <v>61.39</v>
      </c>
      <c r="BC31" s="533">
        <v>61.5</v>
      </c>
      <c r="BD31" s="533">
        <v>61.61</v>
      </c>
      <c r="BE31" s="533">
        <v>62.15</v>
      </c>
      <c r="BF31" s="533">
        <v>62.64</v>
      </c>
      <c r="BG31" s="533">
        <v>63.07</v>
      </c>
      <c r="BH31" s="533">
        <v>63.44</v>
      </c>
      <c r="BI31" s="533">
        <v>63.73</v>
      </c>
      <c r="BJ31" s="538">
        <v>63.95</v>
      </c>
      <c r="BK31" s="538">
        <v>64.11</v>
      </c>
    </row>
    <row r="32" spans="2:63" x14ac:dyDescent="0.25">
      <c r="B32" s="536">
        <v>43</v>
      </c>
      <c r="C32" s="533">
        <v>59.87</v>
      </c>
      <c r="D32" s="533">
        <v>60</v>
      </c>
      <c r="E32" s="533">
        <v>60.13</v>
      </c>
      <c r="F32" s="533">
        <v>60.25</v>
      </c>
      <c r="G32" s="533">
        <v>60.38</v>
      </c>
      <c r="H32" s="533">
        <v>60.5</v>
      </c>
      <c r="I32" s="533">
        <v>60.63</v>
      </c>
      <c r="J32" s="533">
        <v>60.75</v>
      </c>
      <c r="K32" s="533">
        <v>60.87</v>
      </c>
      <c r="L32" s="533">
        <v>60.99</v>
      </c>
      <c r="M32" s="533">
        <v>61.11</v>
      </c>
      <c r="N32" s="533">
        <v>61.22</v>
      </c>
      <c r="O32" s="533">
        <v>61.78</v>
      </c>
      <c r="P32" s="533">
        <v>62.29</v>
      </c>
      <c r="Q32" s="533">
        <v>62.74</v>
      </c>
      <c r="R32" s="533">
        <v>63.12</v>
      </c>
      <c r="S32" s="533">
        <v>63.42</v>
      </c>
      <c r="T32" s="534">
        <v>63.65</v>
      </c>
      <c r="U32" s="534">
        <v>63.81</v>
      </c>
      <c r="V32" s="530"/>
      <c r="W32" s="536">
        <v>43</v>
      </c>
      <c r="X32" s="533">
        <v>60.08</v>
      </c>
      <c r="Y32" s="533">
        <v>60.21</v>
      </c>
      <c r="Z32" s="533">
        <v>60.33</v>
      </c>
      <c r="AA32" s="533">
        <v>60.46</v>
      </c>
      <c r="AB32" s="533">
        <v>60.59</v>
      </c>
      <c r="AC32" s="533">
        <v>60.71</v>
      </c>
      <c r="AD32" s="533">
        <v>60.84</v>
      </c>
      <c r="AE32" s="533">
        <v>60.96</v>
      </c>
      <c r="AF32" s="533">
        <v>61.08</v>
      </c>
      <c r="AG32" s="533">
        <v>61.2</v>
      </c>
      <c r="AH32" s="533">
        <v>61.32</v>
      </c>
      <c r="AI32" s="533">
        <v>61.44</v>
      </c>
      <c r="AJ32" s="533">
        <v>62</v>
      </c>
      <c r="AK32" s="533">
        <v>62.51</v>
      </c>
      <c r="AL32" s="533">
        <v>62.97</v>
      </c>
      <c r="AM32" s="533">
        <v>63.35</v>
      </c>
      <c r="AN32" s="533">
        <v>63.65</v>
      </c>
      <c r="AO32" s="534">
        <v>63.88</v>
      </c>
      <c r="AP32" s="534">
        <v>64.05</v>
      </c>
      <c r="AQ32" s="537"/>
      <c r="AR32" s="536">
        <v>43</v>
      </c>
      <c r="AS32" s="533">
        <v>60.56</v>
      </c>
      <c r="AT32" s="533">
        <v>60.69</v>
      </c>
      <c r="AU32" s="533">
        <v>60.82</v>
      </c>
      <c r="AV32" s="533">
        <v>60.95</v>
      </c>
      <c r="AW32" s="533">
        <v>61.08</v>
      </c>
      <c r="AX32" s="533">
        <v>61.21</v>
      </c>
      <c r="AY32" s="533">
        <v>61.33</v>
      </c>
      <c r="AZ32" s="533">
        <v>61.46</v>
      </c>
      <c r="BA32" s="533">
        <v>61.58</v>
      </c>
      <c r="BB32" s="533">
        <v>61.7</v>
      </c>
      <c r="BC32" s="533">
        <v>61.82</v>
      </c>
      <c r="BD32" s="533">
        <v>61.94</v>
      </c>
      <c r="BE32" s="533">
        <v>62.51</v>
      </c>
      <c r="BF32" s="533">
        <v>63.03</v>
      </c>
      <c r="BG32" s="533">
        <v>63.49</v>
      </c>
      <c r="BH32" s="533">
        <v>63.88</v>
      </c>
      <c r="BI32" s="533">
        <v>64.180000000000007</v>
      </c>
      <c r="BJ32" s="538">
        <v>64.41</v>
      </c>
      <c r="BK32" s="538">
        <v>64.58</v>
      </c>
    </row>
    <row r="33" spans="2:63" x14ac:dyDescent="0.25">
      <c r="B33" s="536">
        <v>44</v>
      </c>
      <c r="C33" s="533">
        <v>60.14</v>
      </c>
      <c r="D33" s="533">
        <v>60.27</v>
      </c>
      <c r="E33" s="533">
        <v>60.4</v>
      </c>
      <c r="F33" s="533">
        <v>60.54</v>
      </c>
      <c r="G33" s="533">
        <v>60.67</v>
      </c>
      <c r="H33" s="533">
        <v>60.8</v>
      </c>
      <c r="I33" s="533">
        <v>60.93</v>
      </c>
      <c r="J33" s="533">
        <v>61.06</v>
      </c>
      <c r="K33" s="533">
        <v>61.19</v>
      </c>
      <c r="L33" s="533">
        <v>61.32</v>
      </c>
      <c r="M33" s="533">
        <v>61.44</v>
      </c>
      <c r="N33" s="533">
        <v>61.57</v>
      </c>
      <c r="O33" s="533">
        <v>62.16</v>
      </c>
      <c r="P33" s="533">
        <v>62.7</v>
      </c>
      <c r="Q33" s="533">
        <v>63.18</v>
      </c>
      <c r="R33" s="533">
        <v>63.58</v>
      </c>
      <c r="S33" s="533">
        <v>63.89</v>
      </c>
      <c r="T33" s="534">
        <v>64.13</v>
      </c>
      <c r="U33" s="534">
        <v>64.3</v>
      </c>
      <c r="V33" s="530"/>
      <c r="W33" s="536">
        <v>44</v>
      </c>
      <c r="X33" s="533">
        <v>60.34</v>
      </c>
      <c r="Y33" s="533">
        <v>60.48</v>
      </c>
      <c r="Z33" s="533">
        <v>60.61</v>
      </c>
      <c r="AA33" s="533">
        <v>60.75</v>
      </c>
      <c r="AB33" s="533">
        <v>60.88</v>
      </c>
      <c r="AC33" s="533">
        <v>61.01</v>
      </c>
      <c r="AD33" s="533">
        <v>61.15</v>
      </c>
      <c r="AE33" s="533">
        <v>61.28</v>
      </c>
      <c r="AF33" s="533">
        <v>61.41</v>
      </c>
      <c r="AG33" s="533">
        <v>61.53</v>
      </c>
      <c r="AH33" s="533">
        <v>61.66</v>
      </c>
      <c r="AI33" s="533">
        <v>61.78</v>
      </c>
      <c r="AJ33" s="533">
        <v>62.38</v>
      </c>
      <c r="AK33" s="533">
        <v>62.93</v>
      </c>
      <c r="AL33" s="533">
        <v>63.41</v>
      </c>
      <c r="AM33" s="533">
        <v>63.81</v>
      </c>
      <c r="AN33" s="533">
        <v>64.12</v>
      </c>
      <c r="AO33" s="534">
        <v>64.36</v>
      </c>
      <c r="AP33" s="534">
        <v>64.53</v>
      </c>
      <c r="AQ33" s="537"/>
      <c r="AR33" s="536">
        <v>44</v>
      </c>
      <c r="AS33" s="533">
        <v>60.83</v>
      </c>
      <c r="AT33" s="533">
        <v>60.97</v>
      </c>
      <c r="AU33" s="533">
        <v>61.1</v>
      </c>
      <c r="AV33" s="533">
        <v>61.24</v>
      </c>
      <c r="AW33" s="533">
        <v>61.38</v>
      </c>
      <c r="AX33" s="533">
        <v>61.51</v>
      </c>
      <c r="AY33" s="533">
        <v>61.65</v>
      </c>
      <c r="AZ33" s="533">
        <v>61.78</v>
      </c>
      <c r="BA33" s="533">
        <v>61.91</v>
      </c>
      <c r="BB33" s="533">
        <v>62.04</v>
      </c>
      <c r="BC33" s="533">
        <v>62.17</v>
      </c>
      <c r="BD33" s="533">
        <v>62.29</v>
      </c>
      <c r="BE33" s="533">
        <v>62.9</v>
      </c>
      <c r="BF33" s="533">
        <v>63.45</v>
      </c>
      <c r="BG33" s="533">
        <v>63.94</v>
      </c>
      <c r="BH33" s="533">
        <v>64.349999999999994</v>
      </c>
      <c r="BI33" s="533">
        <v>64.66</v>
      </c>
      <c r="BJ33" s="538">
        <v>64.900000000000006</v>
      </c>
      <c r="BK33" s="538">
        <v>65.08</v>
      </c>
    </row>
    <row r="34" spans="2:63" x14ac:dyDescent="0.25">
      <c r="B34" s="536">
        <v>45</v>
      </c>
      <c r="C34" s="533">
        <v>60.41</v>
      </c>
      <c r="D34" s="533">
        <v>60.56</v>
      </c>
      <c r="E34" s="533">
        <v>60.7</v>
      </c>
      <c r="F34" s="533">
        <v>60.84</v>
      </c>
      <c r="G34" s="533">
        <v>60.98</v>
      </c>
      <c r="H34" s="533">
        <v>61.12</v>
      </c>
      <c r="I34" s="533">
        <v>61.26</v>
      </c>
      <c r="J34" s="533">
        <v>61.39</v>
      </c>
      <c r="K34" s="533">
        <v>61.53</v>
      </c>
      <c r="L34" s="533">
        <v>61.66</v>
      </c>
      <c r="M34" s="533">
        <v>61.8</v>
      </c>
      <c r="N34" s="533">
        <v>61.93</v>
      </c>
      <c r="O34" s="533">
        <v>62.56</v>
      </c>
      <c r="P34" s="533">
        <v>63.14</v>
      </c>
      <c r="Q34" s="533">
        <v>63.65</v>
      </c>
      <c r="R34" s="533">
        <v>64.06</v>
      </c>
      <c r="S34" s="533">
        <v>64.39</v>
      </c>
      <c r="T34" s="534">
        <v>64.64</v>
      </c>
      <c r="U34" s="534">
        <v>64.81</v>
      </c>
      <c r="V34" s="530"/>
      <c r="W34" s="536">
        <v>45</v>
      </c>
      <c r="X34" s="533">
        <v>60.62</v>
      </c>
      <c r="Y34" s="533">
        <v>60.77</v>
      </c>
      <c r="Z34" s="533">
        <v>60.91</v>
      </c>
      <c r="AA34" s="533">
        <v>61.05</v>
      </c>
      <c r="AB34" s="533">
        <v>61.19</v>
      </c>
      <c r="AC34" s="533">
        <v>61.33</v>
      </c>
      <c r="AD34" s="533">
        <v>61.47</v>
      </c>
      <c r="AE34" s="533">
        <v>61.61</v>
      </c>
      <c r="AF34" s="533">
        <v>61.75</v>
      </c>
      <c r="AG34" s="533">
        <v>61.88</v>
      </c>
      <c r="AH34" s="533">
        <v>62.02</v>
      </c>
      <c r="AI34" s="533">
        <v>62.15</v>
      </c>
      <c r="AJ34" s="533">
        <v>62.78</v>
      </c>
      <c r="AK34" s="533">
        <v>63.37</v>
      </c>
      <c r="AL34" s="533">
        <v>63.88</v>
      </c>
      <c r="AM34" s="533">
        <v>64.3</v>
      </c>
      <c r="AN34" s="533">
        <v>64.63</v>
      </c>
      <c r="AO34" s="534">
        <v>64.87</v>
      </c>
      <c r="AP34" s="534">
        <v>65.05</v>
      </c>
      <c r="AQ34" s="537"/>
      <c r="AR34" s="536">
        <v>45</v>
      </c>
      <c r="AS34" s="533">
        <v>61.12</v>
      </c>
      <c r="AT34" s="533">
        <v>61.26</v>
      </c>
      <c r="AU34" s="533">
        <v>61.4</v>
      </c>
      <c r="AV34" s="533">
        <v>61.55</v>
      </c>
      <c r="AW34" s="533">
        <v>61.69</v>
      </c>
      <c r="AX34" s="533">
        <v>61.84</v>
      </c>
      <c r="AY34" s="533">
        <v>61.98</v>
      </c>
      <c r="AZ34" s="533">
        <v>62.12</v>
      </c>
      <c r="BA34" s="533">
        <v>62.26</v>
      </c>
      <c r="BB34" s="533">
        <v>62.39</v>
      </c>
      <c r="BC34" s="533">
        <v>62.53</v>
      </c>
      <c r="BD34" s="533">
        <v>62.66</v>
      </c>
      <c r="BE34" s="533">
        <v>63.3</v>
      </c>
      <c r="BF34" s="533">
        <v>63.9</v>
      </c>
      <c r="BG34" s="533">
        <v>64.42</v>
      </c>
      <c r="BH34" s="533">
        <v>64.84</v>
      </c>
      <c r="BI34" s="533">
        <v>65.17</v>
      </c>
      <c r="BJ34" s="538">
        <v>65.42</v>
      </c>
      <c r="BK34" s="538">
        <v>65.599999999999994</v>
      </c>
    </row>
    <row r="35" spans="2:63" x14ac:dyDescent="0.25">
      <c r="B35" s="536">
        <v>46</v>
      </c>
      <c r="C35" s="533">
        <v>60.71</v>
      </c>
      <c r="D35" s="533">
        <v>60.86</v>
      </c>
      <c r="E35" s="533">
        <v>61.01</v>
      </c>
      <c r="F35" s="533">
        <v>61.16</v>
      </c>
      <c r="G35" s="533">
        <v>61.31</v>
      </c>
      <c r="H35" s="533">
        <v>61.45</v>
      </c>
      <c r="I35" s="533">
        <v>61.6</v>
      </c>
      <c r="J35" s="533">
        <v>61.75</v>
      </c>
      <c r="K35" s="533">
        <v>61.89</v>
      </c>
      <c r="L35" s="533">
        <v>62.03</v>
      </c>
      <c r="M35" s="533">
        <v>62.17</v>
      </c>
      <c r="N35" s="533">
        <v>62.31</v>
      </c>
      <c r="O35" s="533">
        <v>62.98</v>
      </c>
      <c r="P35" s="533">
        <v>63.6</v>
      </c>
      <c r="Q35" s="533">
        <v>64.14</v>
      </c>
      <c r="R35" s="533">
        <v>64.58</v>
      </c>
      <c r="S35" s="533">
        <v>64.92</v>
      </c>
      <c r="T35" s="534">
        <v>65.180000000000007</v>
      </c>
      <c r="U35" s="534">
        <v>65.36</v>
      </c>
      <c r="V35" s="530"/>
      <c r="W35" s="536">
        <v>46</v>
      </c>
      <c r="X35" s="533">
        <v>60.92</v>
      </c>
      <c r="Y35" s="533">
        <v>61.07</v>
      </c>
      <c r="Z35" s="533">
        <v>61.22</v>
      </c>
      <c r="AA35" s="533">
        <v>61.37</v>
      </c>
      <c r="AB35" s="533">
        <v>61.52</v>
      </c>
      <c r="AC35" s="533">
        <v>61.67</v>
      </c>
      <c r="AD35" s="533">
        <v>61.82</v>
      </c>
      <c r="AE35" s="533">
        <v>61.97</v>
      </c>
      <c r="AF35" s="533">
        <v>62.11</v>
      </c>
      <c r="AG35" s="533">
        <v>62.25</v>
      </c>
      <c r="AH35" s="533">
        <v>62.4</v>
      </c>
      <c r="AI35" s="533">
        <v>62.54</v>
      </c>
      <c r="AJ35" s="533">
        <v>63.21</v>
      </c>
      <c r="AK35" s="533">
        <v>63.83</v>
      </c>
      <c r="AL35" s="533">
        <v>64.38</v>
      </c>
      <c r="AM35" s="533">
        <v>64.819999999999993</v>
      </c>
      <c r="AN35" s="533">
        <v>65.16</v>
      </c>
      <c r="AO35" s="534">
        <v>65.42</v>
      </c>
      <c r="AP35" s="534">
        <v>65.61</v>
      </c>
      <c r="AQ35" s="537"/>
      <c r="AR35" s="536">
        <v>46</v>
      </c>
      <c r="AS35" s="533">
        <v>61.42</v>
      </c>
      <c r="AT35" s="533">
        <v>61.57</v>
      </c>
      <c r="AU35" s="533">
        <v>61.72</v>
      </c>
      <c r="AV35" s="533">
        <v>61.87</v>
      </c>
      <c r="AW35" s="533">
        <v>62.03</v>
      </c>
      <c r="AX35" s="533">
        <v>62.18</v>
      </c>
      <c r="AY35" s="533">
        <v>62.33</v>
      </c>
      <c r="AZ35" s="533">
        <v>62.48</v>
      </c>
      <c r="BA35" s="533">
        <v>62.62</v>
      </c>
      <c r="BB35" s="533">
        <v>62.77</v>
      </c>
      <c r="BC35" s="533">
        <v>62.91</v>
      </c>
      <c r="BD35" s="533">
        <v>63.06</v>
      </c>
      <c r="BE35" s="533">
        <v>63.74</v>
      </c>
      <c r="BF35" s="533">
        <v>64.37</v>
      </c>
      <c r="BG35" s="533">
        <v>64.92</v>
      </c>
      <c r="BH35" s="533">
        <v>65.37</v>
      </c>
      <c r="BI35" s="533">
        <v>65.72</v>
      </c>
      <c r="BJ35" s="538">
        <v>65.97</v>
      </c>
      <c r="BK35" s="538">
        <v>66.16</v>
      </c>
    </row>
    <row r="36" spans="2:63" x14ac:dyDescent="0.25">
      <c r="B36" s="536">
        <v>47</v>
      </c>
      <c r="C36" s="533">
        <v>61.02</v>
      </c>
      <c r="D36" s="533">
        <v>61.18</v>
      </c>
      <c r="E36" s="533">
        <v>61.34</v>
      </c>
      <c r="F36" s="533">
        <v>61.49</v>
      </c>
      <c r="G36" s="533">
        <v>61.65</v>
      </c>
      <c r="H36" s="533">
        <v>61.81</v>
      </c>
      <c r="I36" s="533">
        <v>61.96</v>
      </c>
      <c r="J36" s="533">
        <v>62.12</v>
      </c>
      <c r="K36" s="533">
        <v>62.27</v>
      </c>
      <c r="L36" s="533">
        <v>62.42</v>
      </c>
      <c r="M36" s="533">
        <v>62.57</v>
      </c>
      <c r="N36" s="533">
        <v>62.72</v>
      </c>
      <c r="O36" s="533">
        <v>63.44</v>
      </c>
      <c r="P36" s="533">
        <v>64.099999999999994</v>
      </c>
      <c r="Q36" s="533">
        <v>64.67</v>
      </c>
      <c r="R36" s="533">
        <v>65.13</v>
      </c>
      <c r="S36" s="533">
        <v>65.48</v>
      </c>
      <c r="T36" s="534">
        <v>65.75</v>
      </c>
      <c r="U36" s="534">
        <v>65.94</v>
      </c>
      <c r="V36" s="530"/>
      <c r="W36" s="536">
        <v>47</v>
      </c>
      <c r="X36" s="533">
        <v>61.23</v>
      </c>
      <c r="Y36" s="533">
        <v>61.39</v>
      </c>
      <c r="Z36" s="533">
        <v>61.55</v>
      </c>
      <c r="AA36" s="533">
        <v>61.71</v>
      </c>
      <c r="AB36" s="533">
        <v>61.87</v>
      </c>
      <c r="AC36" s="533">
        <v>62.03</v>
      </c>
      <c r="AD36" s="533">
        <v>62.19</v>
      </c>
      <c r="AE36" s="533">
        <v>62.34</v>
      </c>
      <c r="AF36" s="533">
        <v>62.49</v>
      </c>
      <c r="AG36" s="533">
        <v>62.65</v>
      </c>
      <c r="AH36" s="533">
        <v>62.8</v>
      </c>
      <c r="AI36" s="533">
        <v>62.95</v>
      </c>
      <c r="AJ36" s="533">
        <v>63.67</v>
      </c>
      <c r="AK36" s="533">
        <v>64.33</v>
      </c>
      <c r="AL36" s="533">
        <v>64.900000000000006</v>
      </c>
      <c r="AM36" s="533">
        <v>65.37</v>
      </c>
      <c r="AN36" s="533">
        <v>65.73</v>
      </c>
      <c r="AO36" s="534">
        <v>65.989999999999995</v>
      </c>
      <c r="AP36" s="534">
        <v>66.19</v>
      </c>
      <c r="AQ36" s="537"/>
      <c r="AR36" s="536">
        <v>47</v>
      </c>
      <c r="AS36" s="533">
        <v>61.73</v>
      </c>
      <c r="AT36" s="533">
        <v>61.9</v>
      </c>
      <c r="AU36" s="533">
        <v>62.06</v>
      </c>
      <c r="AV36" s="533">
        <v>62.22</v>
      </c>
      <c r="AW36" s="533">
        <v>62.38</v>
      </c>
      <c r="AX36" s="533">
        <v>62.54</v>
      </c>
      <c r="AY36" s="533">
        <v>62.7</v>
      </c>
      <c r="AZ36" s="533">
        <v>62.86</v>
      </c>
      <c r="BA36" s="533">
        <v>63.01</v>
      </c>
      <c r="BB36" s="533">
        <v>63.17</v>
      </c>
      <c r="BC36" s="533">
        <v>63.32</v>
      </c>
      <c r="BD36" s="533">
        <v>63.47</v>
      </c>
      <c r="BE36" s="533">
        <v>64.2</v>
      </c>
      <c r="BF36" s="533">
        <v>64.88</v>
      </c>
      <c r="BG36" s="533">
        <v>65.459999999999994</v>
      </c>
      <c r="BH36" s="533">
        <v>65.930000000000007</v>
      </c>
      <c r="BI36" s="533">
        <v>66.290000000000006</v>
      </c>
      <c r="BJ36" s="538">
        <v>66.56</v>
      </c>
      <c r="BK36" s="538">
        <v>66.75</v>
      </c>
    </row>
    <row r="37" spans="2:63" x14ac:dyDescent="0.25">
      <c r="B37" s="536">
        <v>48</v>
      </c>
      <c r="C37" s="533">
        <v>61.35</v>
      </c>
      <c r="D37" s="533">
        <v>61.52</v>
      </c>
      <c r="E37" s="533">
        <v>61.68</v>
      </c>
      <c r="F37" s="533">
        <v>61.85</v>
      </c>
      <c r="G37" s="533">
        <v>62.02</v>
      </c>
      <c r="H37" s="533">
        <v>62.19</v>
      </c>
      <c r="I37" s="533">
        <v>62.35</v>
      </c>
      <c r="J37" s="533">
        <v>62.51</v>
      </c>
      <c r="K37" s="533">
        <v>62.68</v>
      </c>
      <c r="L37" s="533">
        <v>62.84</v>
      </c>
      <c r="M37" s="533">
        <v>63</v>
      </c>
      <c r="N37" s="533">
        <v>63.16</v>
      </c>
      <c r="O37" s="533">
        <v>63.92</v>
      </c>
      <c r="P37" s="533">
        <v>64.63</v>
      </c>
      <c r="Q37" s="533">
        <v>65.22</v>
      </c>
      <c r="R37" s="533">
        <v>65.709999999999994</v>
      </c>
      <c r="S37" s="533">
        <v>66.08</v>
      </c>
      <c r="T37" s="534">
        <v>66.36</v>
      </c>
      <c r="U37" s="534">
        <v>66.56</v>
      </c>
      <c r="V37" s="530"/>
      <c r="W37" s="536">
        <v>48</v>
      </c>
      <c r="X37" s="533">
        <v>61.56</v>
      </c>
      <c r="Y37" s="533">
        <v>61.73</v>
      </c>
      <c r="Z37" s="533">
        <v>61.9</v>
      </c>
      <c r="AA37" s="533">
        <v>62.07</v>
      </c>
      <c r="AB37" s="533">
        <v>62.24</v>
      </c>
      <c r="AC37" s="533">
        <v>62.41</v>
      </c>
      <c r="AD37" s="533">
        <v>62.57</v>
      </c>
      <c r="AE37" s="533">
        <v>62.74</v>
      </c>
      <c r="AF37" s="533">
        <v>62.9</v>
      </c>
      <c r="AG37" s="533">
        <v>63.06</v>
      </c>
      <c r="AH37" s="533">
        <v>63.23</v>
      </c>
      <c r="AI37" s="533">
        <v>63.38</v>
      </c>
      <c r="AJ37" s="533">
        <v>64.16</v>
      </c>
      <c r="AK37" s="533">
        <v>64.86</v>
      </c>
      <c r="AL37" s="533">
        <v>65.47</v>
      </c>
      <c r="AM37" s="533">
        <v>65.95</v>
      </c>
      <c r="AN37" s="533">
        <v>66.33</v>
      </c>
      <c r="AO37" s="534">
        <v>66.61</v>
      </c>
      <c r="AP37" s="534">
        <v>66.81</v>
      </c>
      <c r="AQ37" s="537"/>
      <c r="AR37" s="536">
        <v>48</v>
      </c>
      <c r="AS37" s="533">
        <v>62.07</v>
      </c>
      <c r="AT37" s="533">
        <v>62.24</v>
      </c>
      <c r="AU37" s="533">
        <v>62.41</v>
      </c>
      <c r="AV37" s="533">
        <v>62.59</v>
      </c>
      <c r="AW37" s="533">
        <v>62.76</v>
      </c>
      <c r="AX37" s="533">
        <v>62.93</v>
      </c>
      <c r="AY37" s="533">
        <v>63.09</v>
      </c>
      <c r="AZ37" s="533">
        <v>63.26</v>
      </c>
      <c r="BA37" s="533">
        <v>63.43</v>
      </c>
      <c r="BB37" s="533">
        <v>63.59</v>
      </c>
      <c r="BC37" s="533">
        <v>63.76</v>
      </c>
      <c r="BD37" s="533">
        <v>63.92</v>
      </c>
      <c r="BE37" s="533">
        <v>64.7</v>
      </c>
      <c r="BF37" s="533">
        <v>65.42</v>
      </c>
      <c r="BG37" s="533">
        <v>66.03</v>
      </c>
      <c r="BH37" s="533">
        <v>66.52</v>
      </c>
      <c r="BI37" s="533">
        <v>66.900000000000006</v>
      </c>
      <c r="BJ37" s="538">
        <v>67.180000000000007</v>
      </c>
      <c r="BK37" s="538">
        <v>67.38</v>
      </c>
    </row>
    <row r="38" spans="2:63" x14ac:dyDescent="0.25">
      <c r="B38" s="536">
        <v>49</v>
      </c>
      <c r="C38" s="533">
        <v>61.7</v>
      </c>
      <c r="D38" s="533">
        <v>61.88</v>
      </c>
      <c r="E38" s="533">
        <v>62.05</v>
      </c>
      <c r="F38" s="533">
        <v>62.23</v>
      </c>
      <c r="G38" s="533">
        <v>62.41</v>
      </c>
      <c r="H38" s="533">
        <v>62.59</v>
      </c>
      <c r="I38" s="533">
        <v>62.76</v>
      </c>
      <c r="J38" s="533">
        <v>62.94</v>
      </c>
      <c r="K38" s="533">
        <v>63.11</v>
      </c>
      <c r="L38" s="533">
        <v>63.28</v>
      </c>
      <c r="M38" s="533">
        <v>63.45</v>
      </c>
      <c r="N38" s="533">
        <v>63.62</v>
      </c>
      <c r="O38" s="533">
        <v>64.44</v>
      </c>
      <c r="P38" s="533">
        <v>65.19</v>
      </c>
      <c r="Q38" s="533">
        <v>65.819999999999993</v>
      </c>
      <c r="R38" s="533">
        <v>66.319999999999993</v>
      </c>
      <c r="S38" s="533">
        <v>66.709999999999994</v>
      </c>
      <c r="T38" s="534">
        <v>67</v>
      </c>
      <c r="U38" s="534">
        <v>67.209999999999994</v>
      </c>
      <c r="V38" s="530"/>
      <c r="W38" s="536">
        <v>49</v>
      </c>
      <c r="X38" s="533">
        <v>61.92</v>
      </c>
      <c r="Y38" s="533">
        <v>62.1</v>
      </c>
      <c r="Z38" s="533">
        <v>62.27</v>
      </c>
      <c r="AA38" s="533">
        <v>62.45</v>
      </c>
      <c r="AB38" s="533">
        <v>62.63</v>
      </c>
      <c r="AC38" s="533">
        <v>62.81</v>
      </c>
      <c r="AD38" s="533">
        <v>62.99</v>
      </c>
      <c r="AE38" s="533">
        <v>63.16</v>
      </c>
      <c r="AF38" s="533">
        <v>63.34</v>
      </c>
      <c r="AG38" s="533">
        <v>63.51</v>
      </c>
      <c r="AH38" s="533">
        <v>63.68</v>
      </c>
      <c r="AI38" s="533">
        <v>63.85</v>
      </c>
      <c r="AJ38" s="533">
        <v>64.680000000000007</v>
      </c>
      <c r="AK38" s="533">
        <v>65.430000000000007</v>
      </c>
      <c r="AL38" s="533">
        <v>66.06</v>
      </c>
      <c r="AM38" s="533">
        <v>66.569999999999993</v>
      </c>
      <c r="AN38" s="533">
        <v>66.959999999999994</v>
      </c>
      <c r="AO38" s="534">
        <v>67.25</v>
      </c>
      <c r="AP38" s="534">
        <v>67.459999999999994</v>
      </c>
      <c r="AQ38" s="537"/>
      <c r="AR38" s="536">
        <v>49</v>
      </c>
      <c r="AS38" s="533">
        <v>62.43</v>
      </c>
      <c r="AT38" s="533">
        <v>62.61</v>
      </c>
      <c r="AU38" s="533">
        <v>62.79</v>
      </c>
      <c r="AV38" s="533">
        <v>62.97</v>
      </c>
      <c r="AW38" s="533">
        <v>63.15</v>
      </c>
      <c r="AX38" s="533">
        <v>63.33</v>
      </c>
      <c r="AY38" s="533">
        <v>63.51</v>
      </c>
      <c r="AZ38" s="533">
        <v>63.69</v>
      </c>
      <c r="BA38" s="533">
        <v>63.87</v>
      </c>
      <c r="BB38" s="533">
        <v>64.040000000000006</v>
      </c>
      <c r="BC38" s="533">
        <v>64.22</v>
      </c>
      <c r="BD38" s="533">
        <v>64.39</v>
      </c>
      <c r="BE38" s="533">
        <v>65.23</v>
      </c>
      <c r="BF38" s="533">
        <v>65.989999999999995</v>
      </c>
      <c r="BG38" s="533">
        <v>66.63</v>
      </c>
      <c r="BH38" s="533">
        <v>67.150000000000006</v>
      </c>
      <c r="BI38" s="533">
        <v>67.540000000000006</v>
      </c>
      <c r="BJ38" s="538">
        <v>67.83</v>
      </c>
      <c r="BK38" s="538">
        <v>68.040000000000006</v>
      </c>
    </row>
    <row r="39" spans="2:63" x14ac:dyDescent="0.25">
      <c r="B39" s="536">
        <v>50</v>
      </c>
      <c r="C39" s="533">
        <v>62.07</v>
      </c>
      <c r="D39" s="533">
        <v>62.26</v>
      </c>
      <c r="E39" s="533">
        <v>62.45</v>
      </c>
      <c r="F39" s="533">
        <v>62.63</v>
      </c>
      <c r="G39" s="533">
        <v>62.82</v>
      </c>
      <c r="H39" s="533">
        <v>63.01</v>
      </c>
      <c r="I39" s="533">
        <v>63.2</v>
      </c>
      <c r="J39" s="533">
        <v>63.38</v>
      </c>
      <c r="K39" s="533">
        <v>63.57</v>
      </c>
      <c r="L39" s="533">
        <v>63.75</v>
      </c>
      <c r="M39" s="533">
        <v>63.93</v>
      </c>
      <c r="N39" s="533">
        <v>64.11</v>
      </c>
      <c r="O39" s="533">
        <v>64.989999999999995</v>
      </c>
      <c r="P39" s="533">
        <v>65.78</v>
      </c>
      <c r="Q39" s="533">
        <v>66.44</v>
      </c>
      <c r="R39" s="533">
        <v>66.97</v>
      </c>
      <c r="S39" s="533">
        <v>67.38</v>
      </c>
      <c r="T39" s="534">
        <v>67.680000000000007</v>
      </c>
      <c r="U39" s="534">
        <v>67.900000000000006</v>
      </c>
      <c r="V39" s="530"/>
      <c r="W39" s="536">
        <v>50</v>
      </c>
      <c r="X39" s="533">
        <v>62.29</v>
      </c>
      <c r="Y39" s="533">
        <v>62.48</v>
      </c>
      <c r="Z39" s="533">
        <v>62.67</v>
      </c>
      <c r="AA39" s="533">
        <v>62.86</v>
      </c>
      <c r="AB39" s="533">
        <v>63.05</v>
      </c>
      <c r="AC39" s="533">
        <v>63.24</v>
      </c>
      <c r="AD39" s="533">
        <v>63.42</v>
      </c>
      <c r="AE39" s="533">
        <v>63.61</v>
      </c>
      <c r="AF39" s="533">
        <v>63.8</v>
      </c>
      <c r="AG39" s="533">
        <v>63.98</v>
      </c>
      <c r="AH39" s="533">
        <v>64.17</v>
      </c>
      <c r="AI39" s="533">
        <v>64.349999999999994</v>
      </c>
      <c r="AJ39" s="533">
        <v>65.23</v>
      </c>
      <c r="AK39" s="533">
        <v>66.03</v>
      </c>
      <c r="AL39" s="533">
        <v>66.7</v>
      </c>
      <c r="AM39" s="533">
        <v>67.23</v>
      </c>
      <c r="AN39" s="533">
        <v>67.64</v>
      </c>
      <c r="AO39" s="534">
        <v>67.94</v>
      </c>
      <c r="AP39" s="534">
        <v>68.16</v>
      </c>
      <c r="AQ39" s="537"/>
      <c r="AR39" s="536">
        <v>50</v>
      </c>
      <c r="AS39" s="533">
        <v>62.8</v>
      </c>
      <c r="AT39" s="533">
        <v>63</v>
      </c>
      <c r="AU39" s="533">
        <v>63.19</v>
      </c>
      <c r="AV39" s="533">
        <v>63.38</v>
      </c>
      <c r="AW39" s="533">
        <v>63.58</v>
      </c>
      <c r="AX39" s="533">
        <v>63.77</v>
      </c>
      <c r="AY39" s="533">
        <v>63.96</v>
      </c>
      <c r="AZ39" s="533">
        <v>64.150000000000006</v>
      </c>
      <c r="BA39" s="533">
        <v>64.34</v>
      </c>
      <c r="BB39" s="533">
        <v>64.52</v>
      </c>
      <c r="BC39" s="533">
        <v>64.709999999999994</v>
      </c>
      <c r="BD39" s="533">
        <v>64.89</v>
      </c>
      <c r="BE39" s="533">
        <v>65.790000000000006</v>
      </c>
      <c r="BF39" s="533">
        <v>66.599999999999994</v>
      </c>
      <c r="BG39" s="533">
        <v>67.27</v>
      </c>
      <c r="BH39" s="533">
        <v>67.81</v>
      </c>
      <c r="BI39" s="533">
        <v>68.22</v>
      </c>
      <c r="BJ39" s="538">
        <v>68.52</v>
      </c>
      <c r="BK39" s="538">
        <v>68.739999999999995</v>
      </c>
    </row>
    <row r="40" spans="2:63" x14ac:dyDescent="0.25">
      <c r="B40" s="536">
        <v>51</v>
      </c>
      <c r="C40" s="533">
        <v>62.46</v>
      </c>
      <c r="D40" s="533">
        <v>62.66</v>
      </c>
      <c r="E40" s="533">
        <v>62.86</v>
      </c>
      <c r="F40" s="533">
        <v>63.06</v>
      </c>
      <c r="G40" s="533">
        <v>63.26</v>
      </c>
      <c r="H40" s="533">
        <v>63.46</v>
      </c>
      <c r="I40" s="533">
        <v>63.66</v>
      </c>
      <c r="J40" s="533">
        <v>63.86</v>
      </c>
      <c r="K40" s="533">
        <v>64.05</v>
      </c>
      <c r="L40" s="533">
        <v>64.25</v>
      </c>
      <c r="M40" s="533">
        <v>64.44</v>
      </c>
      <c r="N40" s="533">
        <v>64.64</v>
      </c>
      <c r="O40" s="533">
        <v>65.58</v>
      </c>
      <c r="P40" s="533">
        <v>66.41</v>
      </c>
      <c r="Q40" s="533">
        <v>67.11</v>
      </c>
      <c r="R40" s="533">
        <v>67.66</v>
      </c>
      <c r="S40" s="533">
        <v>68.09</v>
      </c>
      <c r="T40" s="534">
        <v>68.400000000000006</v>
      </c>
      <c r="U40" s="534">
        <v>68.62</v>
      </c>
      <c r="V40" s="530"/>
      <c r="W40" s="536">
        <v>51</v>
      </c>
      <c r="X40" s="533">
        <v>62.68</v>
      </c>
      <c r="Y40" s="533">
        <v>62.88</v>
      </c>
      <c r="Z40" s="533">
        <v>63.09</v>
      </c>
      <c r="AA40" s="533">
        <v>63.29</v>
      </c>
      <c r="AB40" s="533">
        <v>63.49</v>
      </c>
      <c r="AC40" s="533">
        <v>63.69</v>
      </c>
      <c r="AD40" s="533">
        <v>63.89</v>
      </c>
      <c r="AE40" s="533">
        <v>64.09</v>
      </c>
      <c r="AF40" s="533">
        <v>64.290000000000006</v>
      </c>
      <c r="AG40" s="533">
        <v>64.489999999999995</v>
      </c>
      <c r="AH40" s="533">
        <v>64.680000000000007</v>
      </c>
      <c r="AI40" s="533">
        <v>64.88</v>
      </c>
      <c r="AJ40" s="533">
        <v>65.819999999999993</v>
      </c>
      <c r="AK40" s="533">
        <v>66.66</v>
      </c>
      <c r="AL40" s="533">
        <v>67.37</v>
      </c>
      <c r="AM40" s="533">
        <v>67.930000000000007</v>
      </c>
      <c r="AN40" s="533">
        <v>68.349999999999994</v>
      </c>
      <c r="AO40" s="534">
        <v>68.66</v>
      </c>
      <c r="AP40" s="534">
        <v>68.89</v>
      </c>
      <c r="AQ40" s="537"/>
      <c r="AR40" s="536">
        <v>51</v>
      </c>
      <c r="AS40" s="533">
        <v>63.21</v>
      </c>
      <c r="AT40" s="533">
        <v>63.41</v>
      </c>
      <c r="AU40" s="533">
        <v>63.62</v>
      </c>
      <c r="AV40" s="533">
        <v>63.82</v>
      </c>
      <c r="AW40" s="533">
        <v>64.02</v>
      </c>
      <c r="AX40" s="533">
        <v>64.23</v>
      </c>
      <c r="AY40" s="533">
        <v>64.430000000000007</v>
      </c>
      <c r="AZ40" s="533">
        <v>64.63</v>
      </c>
      <c r="BA40" s="533">
        <v>64.83</v>
      </c>
      <c r="BB40" s="533">
        <v>65.03</v>
      </c>
      <c r="BC40" s="533">
        <v>65.23</v>
      </c>
      <c r="BD40" s="533">
        <v>65.430000000000007</v>
      </c>
      <c r="BE40" s="533">
        <v>66.39</v>
      </c>
      <c r="BF40" s="533">
        <v>67.239999999999995</v>
      </c>
      <c r="BG40" s="533">
        <v>67.95</v>
      </c>
      <c r="BH40" s="533">
        <v>68.52</v>
      </c>
      <c r="BI40" s="533">
        <v>68.94</v>
      </c>
      <c r="BJ40" s="538">
        <v>69.260000000000005</v>
      </c>
      <c r="BK40" s="538">
        <v>69.489999999999995</v>
      </c>
    </row>
    <row r="41" spans="2:63" x14ac:dyDescent="0.25">
      <c r="B41" s="536">
        <v>52</v>
      </c>
      <c r="C41" s="533">
        <v>62.88</v>
      </c>
      <c r="D41" s="533">
        <v>63.09</v>
      </c>
      <c r="E41" s="533">
        <v>63.3</v>
      </c>
      <c r="F41" s="533">
        <v>63.52</v>
      </c>
      <c r="G41" s="533">
        <v>63.73</v>
      </c>
      <c r="H41" s="533">
        <v>63.94</v>
      </c>
      <c r="I41" s="533">
        <v>64.150000000000006</v>
      </c>
      <c r="J41" s="533">
        <v>64.36</v>
      </c>
      <c r="K41" s="533">
        <v>64.58</v>
      </c>
      <c r="L41" s="533">
        <v>64.78</v>
      </c>
      <c r="M41" s="533">
        <v>64.989999999999995</v>
      </c>
      <c r="N41" s="533">
        <v>65.2</v>
      </c>
      <c r="O41" s="533">
        <v>66.2</v>
      </c>
      <c r="P41" s="533">
        <v>67.09</v>
      </c>
      <c r="Q41" s="533">
        <v>67.819999999999993</v>
      </c>
      <c r="R41" s="533">
        <v>68.400000000000006</v>
      </c>
      <c r="S41" s="533">
        <v>68.83</v>
      </c>
      <c r="T41" s="534">
        <v>69.16</v>
      </c>
      <c r="U41" s="534">
        <v>69.39</v>
      </c>
      <c r="V41" s="530"/>
      <c r="W41" s="536">
        <v>52</v>
      </c>
      <c r="X41" s="533">
        <v>63.1</v>
      </c>
      <c r="Y41" s="533">
        <v>63.32</v>
      </c>
      <c r="Z41" s="533">
        <v>63.53</v>
      </c>
      <c r="AA41" s="533">
        <v>63.75</v>
      </c>
      <c r="AB41" s="533">
        <v>63.96</v>
      </c>
      <c r="AC41" s="533">
        <v>64.17</v>
      </c>
      <c r="AD41" s="533">
        <v>64.39</v>
      </c>
      <c r="AE41" s="533">
        <v>64.599999999999994</v>
      </c>
      <c r="AF41" s="533">
        <v>64.81</v>
      </c>
      <c r="AG41" s="533">
        <v>65.02</v>
      </c>
      <c r="AH41" s="533">
        <v>65.23</v>
      </c>
      <c r="AI41" s="533">
        <v>65.44</v>
      </c>
      <c r="AJ41" s="533">
        <v>66.45</v>
      </c>
      <c r="AK41" s="533">
        <v>67.34</v>
      </c>
      <c r="AL41" s="533">
        <v>68.08</v>
      </c>
      <c r="AM41" s="533">
        <v>68.66</v>
      </c>
      <c r="AN41" s="533">
        <v>69.099999999999994</v>
      </c>
      <c r="AO41" s="534">
        <v>69.430000000000007</v>
      </c>
      <c r="AP41" s="534">
        <v>69.67</v>
      </c>
      <c r="AQ41" s="537"/>
      <c r="AR41" s="536">
        <v>52</v>
      </c>
      <c r="AS41" s="533">
        <v>63.63</v>
      </c>
      <c r="AT41" s="533">
        <v>63.85</v>
      </c>
      <c r="AU41" s="533">
        <v>64.069999999999993</v>
      </c>
      <c r="AV41" s="533">
        <v>64.28</v>
      </c>
      <c r="AW41" s="533">
        <v>64.5</v>
      </c>
      <c r="AX41" s="533">
        <v>64.72</v>
      </c>
      <c r="AY41" s="533">
        <v>64.94</v>
      </c>
      <c r="AZ41" s="533">
        <v>65.150000000000006</v>
      </c>
      <c r="BA41" s="533">
        <v>65.37</v>
      </c>
      <c r="BB41" s="533">
        <v>65.58</v>
      </c>
      <c r="BC41" s="533">
        <v>65.790000000000006</v>
      </c>
      <c r="BD41" s="533">
        <v>66.010000000000005</v>
      </c>
      <c r="BE41" s="533">
        <v>67.03</v>
      </c>
      <c r="BF41" s="533">
        <v>67.930000000000007</v>
      </c>
      <c r="BG41" s="533">
        <v>68.680000000000007</v>
      </c>
      <c r="BH41" s="533">
        <v>69.260000000000005</v>
      </c>
      <c r="BI41" s="533">
        <v>69.709999999999994</v>
      </c>
      <c r="BJ41" s="538">
        <v>70.03</v>
      </c>
      <c r="BK41" s="538">
        <v>70.27</v>
      </c>
    </row>
    <row r="42" spans="2:63" x14ac:dyDescent="0.25">
      <c r="B42" s="536">
        <v>53</v>
      </c>
      <c r="C42" s="533">
        <v>63.32</v>
      </c>
      <c r="D42" s="533">
        <v>63.54</v>
      </c>
      <c r="E42" s="533">
        <v>63.77</v>
      </c>
      <c r="F42" s="533">
        <v>64</v>
      </c>
      <c r="G42" s="533">
        <v>64.22</v>
      </c>
      <c r="H42" s="533">
        <v>64.45</v>
      </c>
      <c r="I42" s="533">
        <v>64.680000000000007</v>
      </c>
      <c r="J42" s="533">
        <v>64.900000000000006</v>
      </c>
      <c r="K42" s="533">
        <v>65.13</v>
      </c>
      <c r="L42" s="533">
        <v>65.349999999999994</v>
      </c>
      <c r="M42" s="533">
        <v>65.58</v>
      </c>
      <c r="N42" s="533">
        <v>65.8</v>
      </c>
      <c r="O42" s="533">
        <v>66.87</v>
      </c>
      <c r="P42" s="533">
        <v>67.8</v>
      </c>
      <c r="Q42" s="533">
        <v>68.569999999999993</v>
      </c>
      <c r="R42" s="533">
        <v>69.17</v>
      </c>
      <c r="S42" s="533">
        <v>69.62</v>
      </c>
      <c r="T42" s="534">
        <v>69.95</v>
      </c>
      <c r="U42" s="534">
        <v>70.2</v>
      </c>
      <c r="V42" s="530"/>
      <c r="W42" s="536">
        <v>53</v>
      </c>
      <c r="X42" s="533">
        <v>63.55</v>
      </c>
      <c r="Y42" s="533">
        <v>63.77</v>
      </c>
      <c r="Z42" s="533">
        <v>64</v>
      </c>
      <c r="AA42" s="533">
        <v>64.23</v>
      </c>
      <c r="AB42" s="533">
        <v>64.459999999999994</v>
      </c>
      <c r="AC42" s="533">
        <v>64.69</v>
      </c>
      <c r="AD42" s="533">
        <v>64.92</v>
      </c>
      <c r="AE42" s="533">
        <v>65.14</v>
      </c>
      <c r="AF42" s="533">
        <v>65.37</v>
      </c>
      <c r="AG42" s="533">
        <v>65.599999999999994</v>
      </c>
      <c r="AH42" s="533">
        <v>65.819999999999993</v>
      </c>
      <c r="AI42" s="533">
        <v>66.05</v>
      </c>
      <c r="AJ42" s="533">
        <v>67.12</v>
      </c>
      <c r="AK42" s="533">
        <v>68.06</v>
      </c>
      <c r="AL42" s="533">
        <v>68.83</v>
      </c>
      <c r="AM42" s="533">
        <v>69.44</v>
      </c>
      <c r="AN42" s="533">
        <v>69.900000000000006</v>
      </c>
      <c r="AO42" s="534">
        <v>70.23</v>
      </c>
      <c r="AP42" s="534">
        <v>70.48</v>
      </c>
      <c r="AQ42" s="537"/>
      <c r="AR42" s="536">
        <v>53</v>
      </c>
      <c r="AS42" s="533">
        <v>64.08</v>
      </c>
      <c r="AT42" s="533">
        <v>64.31</v>
      </c>
      <c r="AU42" s="533">
        <v>64.540000000000006</v>
      </c>
      <c r="AV42" s="533">
        <v>64.78</v>
      </c>
      <c r="AW42" s="533">
        <v>65.010000000000005</v>
      </c>
      <c r="AX42" s="533">
        <v>65.239999999999995</v>
      </c>
      <c r="AY42" s="533">
        <v>65.47</v>
      </c>
      <c r="AZ42" s="533">
        <v>65.7</v>
      </c>
      <c r="BA42" s="533">
        <v>65.930000000000007</v>
      </c>
      <c r="BB42" s="533">
        <v>66.16</v>
      </c>
      <c r="BC42" s="533">
        <v>66.39</v>
      </c>
      <c r="BD42" s="533">
        <v>66.62</v>
      </c>
      <c r="BE42" s="533">
        <v>67.709999999999994</v>
      </c>
      <c r="BF42" s="533">
        <v>68.66</v>
      </c>
      <c r="BG42" s="533">
        <v>69.44</v>
      </c>
      <c r="BH42" s="533">
        <v>70.05</v>
      </c>
      <c r="BI42" s="533">
        <v>70.510000000000005</v>
      </c>
      <c r="BJ42" s="538">
        <v>70.849999999999994</v>
      </c>
      <c r="BK42" s="538">
        <v>71.09</v>
      </c>
    </row>
    <row r="43" spans="2:63" x14ac:dyDescent="0.25">
      <c r="B43" s="536">
        <v>54</v>
      </c>
      <c r="C43" s="533">
        <v>63.79</v>
      </c>
      <c r="D43" s="533">
        <v>64.03</v>
      </c>
      <c r="E43" s="533">
        <v>64.27</v>
      </c>
      <c r="F43" s="533">
        <v>64.510000000000005</v>
      </c>
      <c r="G43" s="533">
        <v>64.75</v>
      </c>
      <c r="H43" s="533">
        <v>65</v>
      </c>
      <c r="I43" s="533">
        <v>65.239999999999995</v>
      </c>
      <c r="J43" s="533">
        <v>65.48</v>
      </c>
      <c r="K43" s="533">
        <v>65.72</v>
      </c>
      <c r="L43" s="533">
        <v>65.959999999999994</v>
      </c>
      <c r="M43" s="533">
        <v>66.209999999999994</v>
      </c>
      <c r="N43" s="533">
        <v>66.44</v>
      </c>
      <c r="O43" s="533">
        <v>67.58</v>
      </c>
      <c r="P43" s="533">
        <v>68.56</v>
      </c>
      <c r="Q43" s="533">
        <v>69.36</v>
      </c>
      <c r="R43" s="533">
        <v>69.98</v>
      </c>
      <c r="S43" s="533">
        <v>70.45</v>
      </c>
      <c r="T43" s="534">
        <v>70.8</v>
      </c>
      <c r="U43" s="534">
        <v>71.05</v>
      </c>
      <c r="V43" s="530"/>
      <c r="W43" s="536">
        <v>54</v>
      </c>
      <c r="X43" s="533">
        <v>64.02</v>
      </c>
      <c r="Y43" s="533">
        <v>64.260000000000005</v>
      </c>
      <c r="Z43" s="533">
        <v>64.5</v>
      </c>
      <c r="AA43" s="533">
        <v>64.75</v>
      </c>
      <c r="AB43" s="533">
        <v>64.989999999999995</v>
      </c>
      <c r="AC43" s="533">
        <v>65.239999999999995</v>
      </c>
      <c r="AD43" s="533">
        <v>65.48</v>
      </c>
      <c r="AE43" s="533">
        <v>65.73</v>
      </c>
      <c r="AF43" s="533">
        <v>65.97</v>
      </c>
      <c r="AG43" s="533">
        <v>66.209999999999994</v>
      </c>
      <c r="AH43" s="533">
        <v>66.45</v>
      </c>
      <c r="AI43" s="533">
        <v>66.7</v>
      </c>
      <c r="AJ43" s="533">
        <v>67.84</v>
      </c>
      <c r="AK43" s="533">
        <v>68.83</v>
      </c>
      <c r="AL43" s="533">
        <v>69.63</v>
      </c>
      <c r="AM43" s="533">
        <v>70.260000000000005</v>
      </c>
      <c r="AN43" s="533">
        <v>70.739999999999995</v>
      </c>
      <c r="AO43" s="534">
        <v>71.09</v>
      </c>
      <c r="AP43" s="534">
        <v>71.34</v>
      </c>
      <c r="AQ43" s="537"/>
      <c r="AR43" s="536">
        <v>54</v>
      </c>
      <c r="AS43" s="533">
        <v>64.56</v>
      </c>
      <c r="AT43" s="533">
        <v>64.81</v>
      </c>
      <c r="AU43" s="533">
        <v>65.05</v>
      </c>
      <c r="AV43" s="533">
        <v>65.3</v>
      </c>
      <c r="AW43" s="533">
        <v>65.55</v>
      </c>
      <c r="AX43" s="533">
        <v>65.8</v>
      </c>
      <c r="AY43" s="533">
        <v>66.040000000000006</v>
      </c>
      <c r="AZ43" s="533">
        <v>66.290000000000006</v>
      </c>
      <c r="BA43" s="533">
        <v>66.540000000000006</v>
      </c>
      <c r="BB43" s="533">
        <v>66.790000000000006</v>
      </c>
      <c r="BC43" s="533">
        <v>67.03</v>
      </c>
      <c r="BD43" s="533">
        <v>67.28</v>
      </c>
      <c r="BE43" s="533">
        <v>68.430000000000007</v>
      </c>
      <c r="BF43" s="533">
        <v>69.430000000000007</v>
      </c>
      <c r="BG43" s="533">
        <v>70.25</v>
      </c>
      <c r="BH43" s="533">
        <v>70.88</v>
      </c>
      <c r="BI43" s="533">
        <v>71.36</v>
      </c>
      <c r="BJ43" s="538">
        <v>71.709999999999994</v>
      </c>
      <c r="BK43" s="538">
        <v>71.959999999999994</v>
      </c>
    </row>
    <row r="44" spans="2:63" x14ac:dyDescent="0.25">
      <c r="B44" s="536">
        <v>55</v>
      </c>
      <c r="C44" s="533">
        <v>64.290000000000006</v>
      </c>
      <c r="D44" s="533">
        <v>64.540000000000006</v>
      </c>
      <c r="E44" s="533">
        <v>64.8</v>
      </c>
      <c r="F44" s="533">
        <v>65.06</v>
      </c>
      <c r="G44" s="533">
        <v>65.319999999999993</v>
      </c>
      <c r="H44" s="533">
        <v>65.58</v>
      </c>
      <c r="I44" s="533">
        <v>65.84</v>
      </c>
      <c r="J44" s="533">
        <v>66.099999999999994</v>
      </c>
      <c r="K44" s="533">
        <v>66.36</v>
      </c>
      <c r="L44" s="533">
        <v>66.62</v>
      </c>
      <c r="M44" s="533">
        <v>66.88</v>
      </c>
      <c r="N44" s="533">
        <v>67.13</v>
      </c>
      <c r="O44" s="533">
        <v>68.33</v>
      </c>
      <c r="P44" s="533">
        <v>69.36</v>
      </c>
      <c r="Q44" s="533">
        <v>70.2</v>
      </c>
      <c r="R44" s="533">
        <v>70.849999999999994</v>
      </c>
      <c r="S44" s="533">
        <v>71.34</v>
      </c>
      <c r="T44" s="534">
        <v>71.69</v>
      </c>
      <c r="U44" s="534" t="s">
        <v>556</v>
      </c>
      <c r="V44" s="530"/>
      <c r="W44" s="536">
        <v>55</v>
      </c>
      <c r="X44" s="533">
        <v>64.52</v>
      </c>
      <c r="Y44" s="533">
        <v>64.78</v>
      </c>
      <c r="Z44" s="533">
        <v>65.040000000000006</v>
      </c>
      <c r="AA44" s="533">
        <v>65.3</v>
      </c>
      <c r="AB44" s="533">
        <v>65.56</v>
      </c>
      <c r="AC44" s="533">
        <v>65.819999999999993</v>
      </c>
      <c r="AD44" s="533">
        <v>66.09</v>
      </c>
      <c r="AE44" s="533">
        <v>66.349999999999994</v>
      </c>
      <c r="AF44" s="533">
        <v>66.61</v>
      </c>
      <c r="AG44" s="533">
        <v>66.87</v>
      </c>
      <c r="AH44" s="533">
        <v>67.13</v>
      </c>
      <c r="AI44" s="533">
        <v>67.39</v>
      </c>
      <c r="AJ44" s="533">
        <v>68.599999999999994</v>
      </c>
      <c r="AK44" s="533">
        <v>69.64</v>
      </c>
      <c r="AL44" s="533">
        <v>70.48</v>
      </c>
      <c r="AM44" s="533">
        <v>71.14</v>
      </c>
      <c r="AN44" s="533">
        <v>71.63</v>
      </c>
      <c r="AO44" s="534">
        <v>71.989999999999995</v>
      </c>
      <c r="AP44" s="534" t="s">
        <v>556</v>
      </c>
      <c r="AQ44" s="537"/>
      <c r="AR44" s="536">
        <v>55</v>
      </c>
      <c r="AS44" s="533">
        <v>65.069999999999993</v>
      </c>
      <c r="AT44" s="533">
        <v>65.33</v>
      </c>
      <c r="AU44" s="533">
        <v>65.599999999999994</v>
      </c>
      <c r="AV44" s="533">
        <v>65.86</v>
      </c>
      <c r="AW44" s="533">
        <v>66.13</v>
      </c>
      <c r="AX44" s="533">
        <v>66.39</v>
      </c>
      <c r="AY44" s="533">
        <v>66.66</v>
      </c>
      <c r="AZ44" s="533">
        <v>66.92</v>
      </c>
      <c r="BA44" s="533">
        <v>67.19</v>
      </c>
      <c r="BB44" s="533">
        <v>67.45</v>
      </c>
      <c r="BC44" s="533">
        <v>67.72</v>
      </c>
      <c r="BD44" s="533">
        <v>67.98</v>
      </c>
      <c r="BE44" s="533">
        <v>69.2</v>
      </c>
      <c r="BF44" s="533">
        <v>70.260000000000005</v>
      </c>
      <c r="BG44" s="533">
        <v>71.11</v>
      </c>
      <c r="BH44" s="533">
        <v>71.77</v>
      </c>
      <c r="BI44" s="533">
        <v>72.260000000000005</v>
      </c>
      <c r="BJ44" s="538">
        <v>72.62</v>
      </c>
      <c r="BK44" s="538" t="s">
        <v>556</v>
      </c>
    </row>
    <row r="45" spans="2:63" x14ac:dyDescent="0.25">
      <c r="B45" s="536">
        <v>56</v>
      </c>
      <c r="C45" s="533">
        <v>64.819999999999993</v>
      </c>
      <c r="D45" s="533">
        <v>65.09</v>
      </c>
      <c r="E45" s="533">
        <v>65.37</v>
      </c>
      <c r="F45" s="533">
        <v>65.650000000000006</v>
      </c>
      <c r="G45" s="533">
        <v>65.92</v>
      </c>
      <c r="H45" s="533">
        <v>66.2</v>
      </c>
      <c r="I45" s="533">
        <v>66.48</v>
      </c>
      <c r="J45" s="533">
        <v>66.760000000000005</v>
      </c>
      <c r="K45" s="533">
        <v>67.040000000000006</v>
      </c>
      <c r="L45" s="533">
        <v>67.319999999999993</v>
      </c>
      <c r="M45" s="533">
        <v>67.59</v>
      </c>
      <c r="N45" s="533">
        <v>67.87</v>
      </c>
      <c r="O45" s="533">
        <v>69.14</v>
      </c>
      <c r="P45" s="533">
        <v>70.22</v>
      </c>
      <c r="Q45" s="533">
        <v>71.09</v>
      </c>
      <c r="R45" s="533">
        <v>71.77</v>
      </c>
      <c r="S45" s="533">
        <v>72.27</v>
      </c>
      <c r="T45" s="534">
        <v>72.64</v>
      </c>
      <c r="U45" s="534" t="s">
        <v>556</v>
      </c>
      <c r="V45" s="530"/>
      <c r="W45" s="536">
        <v>56</v>
      </c>
      <c r="X45" s="533">
        <v>65.06</v>
      </c>
      <c r="Y45" s="533">
        <v>65.33</v>
      </c>
      <c r="Z45" s="533">
        <v>65.61</v>
      </c>
      <c r="AA45" s="533">
        <v>65.89</v>
      </c>
      <c r="AB45" s="533">
        <v>66.17</v>
      </c>
      <c r="AC45" s="533">
        <v>66.45</v>
      </c>
      <c r="AD45" s="533">
        <v>66.73</v>
      </c>
      <c r="AE45" s="533">
        <v>67.010000000000005</v>
      </c>
      <c r="AF45" s="533">
        <v>67.3</v>
      </c>
      <c r="AG45" s="533">
        <v>67.58</v>
      </c>
      <c r="AH45" s="533">
        <v>67.849999999999994</v>
      </c>
      <c r="AI45" s="533">
        <v>68.13</v>
      </c>
      <c r="AJ45" s="533">
        <v>69.41</v>
      </c>
      <c r="AK45" s="533">
        <v>70.5</v>
      </c>
      <c r="AL45" s="533">
        <v>71.38</v>
      </c>
      <c r="AM45" s="533">
        <v>72.06</v>
      </c>
      <c r="AN45" s="533">
        <v>72.569999999999993</v>
      </c>
      <c r="AO45" s="534">
        <v>72.94</v>
      </c>
      <c r="AP45" s="534" t="s">
        <v>556</v>
      </c>
      <c r="AQ45" s="537"/>
      <c r="AR45" s="536">
        <v>56</v>
      </c>
      <c r="AS45" s="533">
        <v>65.62</v>
      </c>
      <c r="AT45" s="533">
        <v>65.900000000000006</v>
      </c>
      <c r="AU45" s="533">
        <v>66.180000000000007</v>
      </c>
      <c r="AV45" s="533">
        <v>66.459999999999994</v>
      </c>
      <c r="AW45" s="533">
        <v>66.739999999999995</v>
      </c>
      <c r="AX45" s="533">
        <v>67.03</v>
      </c>
      <c r="AY45" s="533">
        <v>67.31</v>
      </c>
      <c r="AZ45" s="533">
        <v>67.599999999999994</v>
      </c>
      <c r="BA45" s="533">
        <v>67.89</v>
      </c>
      <c r="BB45" s="533">
        <v>68.17</v>
      </c>
      <c r="BC45" s="533">
        <v>68.45</v>
      </c>
      <c r="BD45" s="533">
        <v>68.73</v>
      </c>
      <c r="BE45" s="533">
        <v>70.03</v>
      </c>
      <c r="BF45" s="533">
        <v>71.13</v>
      </c>
      <c r="BG45" s="533">
        <v>72.02</v>
      </c>
      <c r="BH45" s="533">
        <v>72.7</v>
      </c>
      <c r="BI45" s="533">
        <v>73.209999999999994</v>
      </c>
      <c r="BJ45" s="538">
        <v>73.58</v>
      </c>
      <c r="BK45" s="538" t="s">
        <v>556</v>
      </c>
    </row>
    <row r="46" spans="2:63" x14ac:dyDescent="0.25">
      <c r="B46" s="536">
        <v>57</v>
      </c>
      <c r="C46" s="533">
        <v>65.39</v>
      </c>
      <c r="D46" s="533">
        <v>65.680000000000007</v>
      </c>
      <c r="E46" s="533">
        <v>65.98</v>
      </c>
      <c r="F46" s="533">
        <v>66.27</v>
      </c>
      <c r="G46" s="533">
        <v>66.569999999999993</v>
      </c>
      <c r="H46" s="533">
        <v>66.87</v>
      </c>
      <c r="I46" s="533">
        <v>67.17</v>
      </c>
      <c r="J46" s="533">
        <v>67.47</v>
      </c>
      <c r="K46" s="533">
        <v>67.77</v>
      </c>
      <c r="L46" s="533">
        <v>68.069999999999993</v>
      </c>
      <c r="M46" s="533">
        <v>68.36</v>
      </c>
      <c r="N46" s="533">
        <v>68.650000000000006</v>
      </c>
      <c r="O46" s="533">
        <v>70</v>
      </c>
      <c r="P46" s="533">
        <v>71.14</v>
      </c>
      <c r="Q46" s="533">
        <v>72.05</v>
      </c>
      <c r="R46" s="533">
        <v>72.75</v>
      </c>
      <c r="S46" s="533">
        <v>73.27</v>
      </c>
      <c r="T46" s="534">
        <v>73.650000000000006</v>
      </c>
      <c r="U46" s="534" t="s">
        <v>556</v>
      </c>
      <c r="V46" s="530"/>
      <c r="W46" s="536">
        <v>57</v>
      </c>
      <c r="X46" s="533">
        <v>65.63</v>
      </c>
      <c r="Y46" s="533">
        <v>65.930000000000007</v>
      </c>
      <c r="Z46" s="533">
        <v>66.22</v>
      </c>
      <c r="AA46" s="533">
        <v>66.52</v>
      </c>
      <c r="AB46" s="533">
        <v>66.819999999999993</v>
      </c>
      <c r="AC46" s="533">
        <v>67.13</v>
      </c>
      <c r="AD46" s="533">
        <v>67.430000000000007</v>
      </c>
      <c r="AE46" s="533">
        <v>67.73</v>
      </c>
      <c r="AF46" s="533">
        <v>68.03</v>
      </c>
      <c r="AG46" s="533">
        <v>68.33</v>
      </c>
      <c r="AH46" s="533">
        <v>68.63</v>
      </c>
      <c r="AI46" s="533">
        <v>68.92</v>
      </c>
      <c r="AJ46" s="533">
        <v>70.28</v>
      </c>
      <c r="AK46" s="533">
        <v>71.430000000000007</v>
      </c>
      <c r="AL46" s="533">
        <v>72.349999999999994</v>
      </c>
      <c r="AM46" s="533">
        <v>73.05</v>
      </c>
      <c r="AN46" s="533">
        <v>73.58</v>
      </c>
      <c r="AO46" s="534">
        <v>73.959999999999994</v>
      </c>
      <c r="AP46" s="534" t="s">
        <v>556</v>
      </c>
      <c r="AQ46" s="537"/>
      <c r="AR46" s="536">
        <v>57</v>
      </c>
      <c r="AS46" s="533">
        <v>66.2</v>
      </c>
      <c r="AT46" s="533">
        <v>66.5</v>
      </c>
      <c r="AU46" s="533">
        <v>66.8</v>
      </c>
      <c r="AV46" s="533">
        <v>67.099999999999994</v>
      </c>
      <c r="AW46" s="533">
        <v>67.41</v>
      </c>
      <c r="AX46" s="533">
        <v>67.709999999999994</v>
      </c>
      <c r="AY46" s="533">
        <v>68.02</v>
      </c>
      <c r="AZ46" s="533">
        <v>68.33</v>
      </c>
      <c r="BA46" s="533">
        <v>68.63</v>
      </c>
      <c r="BB46" s="533">
        <v>68.94</v>
      </c>
      <c r="BC46" s="533">
        <v>69.239999999999995</v>
      </c>
      <c r="BD46" s="533">
        <v>69.53</v>
      </c>
      <c r="BE46" s="533">
        <v>70.91</v>
      </c>
      <c r="BF46" s="533">
        <v>72.069999999999993</v>
      </c>
      <c r="BG46" s="533">
        <v>72.989999999999995</v>
      </c>
      <c r="BH46" s="533">
        <v>73.7</v>
      </c>
      <c r="BI46" s="533">
        <v>74.23</v>
      </c>
      <c r="BJ46" s="538">
        <v>74.61</v>
      </c>
      <c r="BK46" s="538" t="s">
        <v>556</v>
      </c>
    </row>
    <row r="47" spans="2:63" x14ac:dyDescent="0.25">
      <c r="B47" s="536">
        <v>58</v>
      </c>
      <c r="C47" s="533">
        <v>66</v>
      </c>
      <c r="D47" s="533">
        <v>66.31</v>
      </c>
      <c r="E47" s="533">
        <v>66.63</v>
      </c>
      <c r="F47" s="533">
        <v>66.95</v>
      </c>
      <c r="G47" s="533">
        <v>67.27</v>
      </c>
      <c r="H47" s="533">
        <v>67.59</v>
      </c>
      <c r="I47" s="533">
        <v>67.91</v>
      </c>
      <c r="J47" s="533">
        <v>68.239999999999995</v>
      </c>
      <c r="K47" s="533">
        <v>68.56</v>
      </c>
      <c r="L47" s="533">
        <v>68.88</v>
      </c>
      <c r="M47" s="533">
        <v>69.19</v>
      </c>
      <c r="N47" s="533">
        <v>69.5</v>
      </c>
      <c r="O47" s="533">
        <v>70.92</v>
      </c>
      <c r="P47" s="533">
        <v>72.12</v>
      </c>
      <c r="Q47" s="533">
        <v>73.069999999999993</v>
      </c>
      <c r="R47" s="533">
        <v>73.790000000000006</v>
      </c>
      <c r="S47" s="533">
        <v>74.34</v>
      </c>
      <c r="T47" s="534">
        <v>74.73</v>
      </c>
      <c r="U47" s="534" t="s">
        <v>556</v>
      </c>
      <c r="V47" s="530"/>
      <c r="W47" s="536">
        <v>58</v>
      </c>
      <c r="X47" s="533">
        <v>66.25</v>
      </c>
      <c r="Y47" s="533">
        <v>66.56</v>
      </c>
      <c r="Z47" s="533">
        <v>66.88</v>
      </c>
      <c r="AA47" s="533">
        <v>67.2</v>
      </c>
      <c r="AB47" s="533">
        <v>67.52</v>
      </c>
      <c r="AC47" s="533">
        <v>67.849999999999994</v>
      </c>
      <c r="AD47" s="533">
        <v>68.180000000000007</v>
      </c>
      <c r="AE47" s="533">
        <v>68.5</v>
      </c>
      <c r="AF47" s="533">
        <v>68.83</v>
      </c>
      <c r="AG47" s="533">
        <v>69.150000000000006</v>
      </c>
      <c r="AH47" s="533">
        <v>69.459999999999994</v>
      </c>
      <c r="AI47" s="533">
        <v>69.77</v>
      </c>
      <c r="AJ47" s="533">
        <v>71.209999999999994</v>
      </c>
      <c r="AK47" s="533">
        <v>72.41</v>
      </c>
      <c r="AL47" s="533">
        <v>73.37</v>
      </c>
      <c r="AM47" s="533">
        <v>74.11</v>
      </c>
      <c r="AN47" s="533">
        <v>74.650000000000006</v>
      </c>
      <c r="AO47" s="534">
        <v>75.06</v>
      </c>
      <c r="AP47" s="534" t="s">
        <v>556</v>
      </c>
      <c r="AQ47" s="537"/>
      <c r="AR47" s="536">
        <v>58</v>
      </c>
      <c r="AS47" s="533">
        <v>66.819999999999993</v>
      </c>
      <c r="AT47" s="533">
        <v>67.14</v>
      </c>
      <c r="AU47" s="533">
        <v>67.459999999999994</v>
      </c>
      <c r="AV47" s="533">
        <v>67.790000000000006</v>
      </c>
      <c r="AW47" s="533">
        <v>68.12</v>
      </c>
      <c r="AX47" s="533">
        <v>68.45</v>
      </c>
      <c r="AY47" s="533">
        <v>68.78</v>
      </c>
      <c r="AZ47" s="533">
        <v>69.11</v>
      </c>
      <c r="BA47" s="533">
        <v>69.44</v>
      </c>
      <c r="BB47" s="533">
        <v>69.760000000000005</v>
      </c>
      <c r="BC47" s="533">
        <v>70.08</v>
      </c>
      <c r="BD47" s="533">
        <v>70.400000000000006</v>
      </c>
      <c r="BE47" s="533">
        <v>71.849999999999994</v>
      </c>
      <c r="BF47" s="533">
        <v>73.069999999999993</v>
      </c>
      <c r="BG47" s="533">
        <v>74.03</v>
      </c>
      <c r="BH47" s="533">
        <v>74.77</v>
      </c>
      <c r="BI47" s="533">
        <v>75.31</v>
      </c>
      <c r="BJ47" s="538">
        <v>75.709999999999994</v>
      </c>
      <c r="BK47" s="538" t="s">
        <v>556</v>
      </c>
    </row>
    <row r="48" spans="2:63" x14ac:dyDescent="0.25">
      <c r="B48" s="536">
        <v>59</v>
      </c>
      <c r="C48" s="533">
        <v>66.650000000000006</v>
      </c>
      <c r="D48" s="533">
        <v>66.989999999999995</v>
      </c>
      <c r="E48" s="533">
        <v>67.33</v>
      </c>
      <c r="F48" s="533">
        <v>67.67</v>
      </c>
      <c r="G48" s="533">
        <v>68.02</v>
      </c>
      <c r="H48" s="533">
        <v>68.37</v>
      </c>
      <c r="I48" s="533">
        <v>68.709999999999994</v>
      </c>
      <c r="J48" s="533">
        <v>69.06</v>
      </c>
      <c r="K48" s="533">
        <v>69.400000000000006</v>
      </c>
      <c r="L48" s="533">
        <v>69.739999999999995</v>
      </c>
      <c r="M48" s="533">
        <v>70.08</v>
      </c>
      <c r="N48" s="533">
        <v>70.400000000000006</v>
      </c>
      <c r="O48" s="533">
        <v>71.91</v>
      </c>
      <c r="P48" s="533">
        <v>73.16</v>
      </c>
      <c r="Q48" s="533">
        <v>74.16</v>
      </c>
      <c r="R48" s="533">
        <v>74.91</v>
      </c>
      <c r="S48" s="533">
        <v>75.48</v>
      </c>
      <c r="T48" s="534">
        <v>75.89</v>
      </c>
      <c r="U48" s="534" t="s">
        <v>556</v>
      </c>
      <c r="V48" s="530"/>
      <c r="W48" s="536">
        <v>59</v>
      </c>
      <c r="X48" s="533">
        <v>66.900000000000006</v>
      </c>
      <c r="Y48" s="533">
        <v>67.239999999999995</v>
      </c>
      <c r="Z48" s="533">
        <v>67.59</v>
      </c>
      <c r="AA48" s="533">
        <v>67.930000000000007</v>
      </c>
      <c r="AB48" s="533">
        <v>68.28</v>
      </c>
      <c r="AC48" s="533">
        <v>68.63</v>
      </c>
      <c r="AD48" s="533">
        <v>68.98</v>
      </c>
      <c r="AE48" s="533">
        <v>69.33</v>
      </c>
      <c r="AF48" s="533">
        <v>69.680000000000007</v>
      </c>
      <c r="AG48" s="533">
        <v>70.02</v>
      </c>
      <c r="AH48" s="533">
        <v>70.36</v>
      </c>
      <c r="AI48" s="533">
        <v>70.69</v>
      </c>
      <c r="AJ48" s="533">
        <v>72.2</v>
      </c>
      <c r="AK48" s="533">
        <v>73.47</v>
      </c>
      <c r="AL48" s="533">
        <v>74.47</v>
      </c>
      <c r="AM48" s="533">
        <v>75.239999999999995</v>
      </c>
      <c r="AN48" s="533">
        <v>75.81</v>
      </c>
      <c r="AO48" s="534">
        <v>76.22</v>
      </c>
      <c r="AP48" s="534" t="s">
        <v>556</v>
      </c>
      <c r="AQ48" s="537"/>
      <c r="AR48" s="536">
        <v>59</v>
      </c>
      <c r="AS48" s="533">
        <v>67.489999999999995</v>
      </c>
      <c r="AT48" s="533">
        <v>67.83</v>
      </c>
      <c r="AU48" s="533">
        <v>68.180000000000007</v>
      </c>
      <c r="AV48" s="533">
        <v>68.53</v>
      </c>
      <c r="AW48" s="533">
        <v>68.88</v>
      </c>
      <c r="AX48" s="533">
        <v>69.239999999999995</v>
      </c>
      <c r="AY48" s="533">
        <v>69.599999999999994</v>
      </c>
      <c r="AZ48" s="533">
        <v>69.95</v>
      </c>
      <c r="BA48" s="533">
        <v>70.3</v>
      </c>
      <c r="BB48" s="533">
        <v>70.650000000000006</v>
      </c>
      <c r="BC48" s="533">
        <v>70.989999999999995</v>
      </c>
      <c r="BD48" s="533">
        <v>71.319999999999993</v>
      </c>
      <c r="BE48" s="533">
        <v>72.86</v>
      </c>
      <c r="BF48" s="533">
        <v>74.13</v>
      </c>
      <c r="BG48" s="533">
        <v>75.14</v>
      </c>
      <c r="BH48" s="533">
        <v>75.91</v>
      </c>
      <c r="BI48" s="533">
        <v>76.48</v>
      </c>
      <c r="BJ48" s="538">
        <v>76.89</v>
      </c>
      <c r="BK48" s="538" t="s">
        <v>556</v>
      </c>
    </row>
    <row r="49" spans="2:63" x14ac:dyDescent="0.25">
      <c r="B49" s="536">
        <v>60</v>
      </c>
      <c r="C49" s="533">
        <v>67.349999999999994</v>
      </c>
      <c r="D49" s="533">
        <v>67.709999999999994</v>
      </c>
      <c r="E49" s="533">
        <v>68.08</v>
      </c>
      <c r="F49" s="533">
        <v>68.45</v>
      </c>
      <c r="G49" s="533">
        <v>68.83</v>
      </c>
      <c r="H49" s="533">
        <v>69.2</v>
      </c>
      <c r="I49" s="533">
        <v>69.569999999999993</v>
      </c>
      <c r="J49" s="533">
        <v>69.95</v>
      </c>
      <c r="K49" s="533">
        <v>70.31</v>
      </c>
      <c r="L49" s="533">
        <v>70.67</v>
      </c>
      <c r="M49" s="533">
        <v>71.03</v>
      </c>
      <c r="N49" s="533">
        <v>71.37</v>
      </c>
      <c r="O49" s="533">
        <v>72.97</v>
      </c>
      <c r="P49" s="533">
        <v>74.28</v>
      </c>
      <c r="Q49" s="533">
        <v>75.319999999999993</v>
      </c>
      <c r="R49" s="533">
        <v>76.11</v>
      </c>
      <c r="S49" s="533">
        <v>76.7</v>
      </c>
      <c r="T49" s="534" t="s">
        <v>556</v>
      </c>
      <c r="U49" s="534" t="s">
        <v>556</v>
      </c>
      <c r="V49" s="530"/>
      <c r="W49" s="536">
        <v>60</v>
      </c>
      <c r="X49" s="533">
        <v>67.61</v>
      </c>
      <c r="Y49" s="533">
        <v>67.97</v>
      </c>
      <c r="Z49" s="533">
        <v>68.34</v>
      </c>
      <c r="AA49" s="533">
        <v>68.72</v>
      </c>
      <c r="AB49" s="533">
        <v>69.099999999999994</v>
      </c>
      <c r="AC49" s="533">
        <v>69.47</v>
      </c>
      <c r="AD49" s="533">
        <v>69.849999999999994</v>
      </c>
      <c r="AE49" s="533">
        <v>70.22</v>
      </c>
      <c r="AF49" s="533">
        <v>70.59</v>
      </c>
      <c r="AG49" s="533">
        <v>70.959999999999994</v>
      </c>
      <c r="AH49" s="533">
        <v>71.319999999999993</v>
      </c>
      <c r="AI49" s="533">
        <v>71.67</v>
      </c>
      <c r="AJ49" s="533">
        <v>73.27</v>
      </c>
      <c r="AK49" s="533">
        <v>74.599999999999994</v>
      </c>
      <c r="AL49" s="533">
        <v>75.650000000000006</v>
      </c>
      <c r="AM49" s="533">
        <v>76.45</v>
      </c>
      <c r="AN49" s="533">
        <v>77.040000000000006</v>
      </c>
      <c r="AO49" s="534" t="s">
        <v>556</v>
      </c>
      <c r="AP49" s="534" t="s">
        <v>556</v>
      </c>
      <c r="AQ49" s="537"/>
      <c r="AR49" s="536">
        <v>60</v>
      </c>
      <c r="AS49" s="533">
        <v>68.2</v>
      </c>
      <c r="AT49" s="533">
        <v>68.569999999999993</v>
      </c>
      <c r="AU49" s="533">
        <v>68.95</v>
      </c>
      <c r="AV49" s="533">
        <v>69.33</v>
      </c>
      <c r="AW49" s="533">
        <v>69.709999999999994</v>
      </c>
      <c r="AX49" s="533">
        <v>70.09</v>
      </c>
      <c r="AY49" s="533">
        <v>70.47</v>
      </c>
      <c r="AZ49" s="533">
        <v>70.849999999999994</v>
      </c>
      <c r="BA49" s="533">
        <v>71.23</v>
      </c>
      <c r="BB49" s="533">
        <v>71.599999999999994</v>
      </c>
      <c r="BC49" s="533">
        <v>71.959999999999994</v>
      </c>
      <c r="BD49" s="533">
        <v>72.31</v>
      </c>
      <c r="BE49" s="533">
        <v>73.94</v>
      </c>
      <c r="BF49" s="533">
        <v>75.28</v>
      </c>
      <c r="BG49" s="533">
        <v>76.33</v>
      </c>
      <c r="BH49" s="533">
        <v>77.13</v>
      </c>
      <c r="BI49" s="533">
        <v>77.72</v>
      </c>
      <c r="BJ49" s="538" t="s">
        <v>556</v>
      </c>
      <c r="BK49" s="538" t="s">
        <v>556</v>
      </c>
    </row>
    <row r="50" spans="2:63" x14ac:dyDescent="0.25">
      <c r="B50" s="536">
        <v>61</v>
      </c>
      <c r="C50" s="533">
        <v>68.099999999999994</v>
      </c>
      <c r="D50" s="533">
        <v>68.489999999999995</v>
      </c>
      <c r="E50" s="533">
        <v>68.89</v>
      </c>
      <c r="F50" s="533">
        <v>69.290000000000006</v>
      </c>
      <c r="G50" s="533">
        <v>69.7</v>
      </c>
      <c r="H50" s="533">
        <v>70.099999999999994</v>
      </c>
      <c r="I50" s="533">
        <v>70.5</v>
      </c>
      <c r="J50" s="533">
        <v>70.900000000000006</v>
      </c>
      <c r="K50" s="533">
        <v>71.290000000000006</v>
      </c>
      <c r="L50" s="533">
        <v>71.67</v>
      </c>
      <c r="M50" s="533">
        <v>72.05</v>
      </c>
      <c r="N50" s="533">
        <v>72.42</v>
      </c>
      <c r="O50" s="533">
        <v>74.099999999999994</v>
      </c>
      <c r="P50" s="533">
        <v>75.489999999999995</v>
      </c>
      <c r="Q50" s="533">
        <v>76.569999999999993</v>
      </c>
      <c r="R50" s="533">
        <v>77.400000000000006</v>
      </c>
      <c r="S50" s="533">
        <v>78.02</v>
      </c>
      <c r="T50" s="534" t="s">
        <v>556</v>
      </c>
      <c r="U50" s="534" t="s">
        <v>556</v>
      </c>
      <c r="V50" s="530"/>
      <c r="W50" s="536">
        <v>61</v>
      </c>
      <c r="X50" s="533">
        <v>68.37</v>
      </c>
      <c r="Y50" s="533">
        <v>68.760000000000005</v>
      </c>
      <c r="Z50" s="533">
        <v>69.16</v>
      </c>
      <c r="AA50" s="533">
        <v>69.569999999999993</v>
      </c>
      <c r="AB50" s="533">
        <v>69.97</v>
      </c>
      <c r="AC50" s="533">
        <v>70.38</v>
      </c>
      <c r="AD50" s="533">
        <v>70.78</v>
      </c>
      <c r="AE50" s="533">
        <v>71.180000000000007</v>
      </c>
      <c r="AF50" s="533">
        <v>71.58</v>
      </c>
      <c r="AG50" s="533">
        <v>71.97</v>
      </c>
      <c r="AH50" s="533">
        <v>72.349999999999994</v>
      </c>
      <c r="AI50" s="533">
        <v>72.72</v>
      </c>
      <c r="AJ50" s="533">
        <v>74.42</v>
      </c>
      <c r="AK50" s="533">
        <v>75.819999999999993</v>
      </c>
      <c r="AL50" s="533">
        <v>76.92</v>
      </c>
      <c r="AM50" s="533">
        <v>77.75</v>
      </c>
      <c r="AN50" s="533">
        <v>78.37</v>
      </c>
      <c r="AO50" s="534" t="s">
        <v>556</v>
      </c>
      <c r="AP50" s="534" t="s">
        <v>556</v>
      </c>
      <c r="AQ50" s="537"/>
      <c r="AR50" s="536">
        <v>61</v>
      </c>
      <c r="AS50" s="533">
        <v>68.97</v>
      </c>
      <c r="AT50" s="533">
        <v>69.37</v>
      </c>
      <c r="AU50" s="533">
        <v>69.78</v>
      </c>
      <c r="AV50" s="533">
        <v>70.19</v>
      </c>
      <c r="AW50" s="533">
        <v>70.599999999999994</v>
      </c>
      <c r="AX50" s="533">
        <v>71.010000000000005</v>
      </c>
      <c r="AY50" s="533">
        <v>71.42</v>
      </c>
      <c r="AZ50" s="533">
        <v>71.83</v>
      </c>
      <c r="BA50" s="533">
        <v>72.23</v>
      </c>
      <c r="BB50" s="533">
        <v>72.62</v>
      </c>
      <c r="BC50" s="533">
        <v>73</v>
      </c>
      <c r="BD50" s="533">
        <v>73.38</v>
      </c>
      <c r="BE50" s="533">
        <v>75.099999999999994</v>
      </c>
      <c r="BF50" s="533">
        <v>76.510000000000005</v>
      </c>
      <c r="BG50" s="533">
        <v>77.61</v>
      </c>
      <c r="BH50" s="533">
        <v>78.45</v>
      </c>
      <c r="BI50" s="533">
        <v>79.06</v>
      </c>
      <c r="BJ50" s="538" t="s">
        <v>556</v>
      </c>
      <c r="BK50" s="538" t="s">
        <v>556</v>
      </c>
    </row>
    <row r="51" spans="2:63" x14ac:dyDescent="0.25">
      <c r="B51" s="536">
        <v>62</v>
      </c>
      <c r="C51" s="533">
        <v>68.92</v>
      </c>
      <c r="D51" s="533">
        <v>69.34</v>
      </c>
      <c r="E51" s="533">
        <v>69.77</v>
      </c>
      <c r="F51" s="533">
        <v>70.209999999999994</v>
      </c>
      <c r="G51" s="533">
        <v>70.64</v>
      </c>
      <c r="H51" s="533">
        <v>71.069999999999993</v>
      </c>
      <c r="I51" s="533">
        <v>71.5</v>
      </c>
      <c r="J51" s="533">
        <v>71.930000000000007</v>
      </c>
      <c r="K51" s="533">
        <v>72.34</v>
      </c>
      <c r="L51" s="533">
        <v>72.75</v>
      </c>
      <c r="M51" s="533">
        <v>73.150000000000006</v>
      </c>
      <c r="N51" s="533">
        <v>73.540000000000006</v>
      </c>
      <c r="O51" s="533">
        <v>75.33</v>
      </c>
      <c r="P51" s="533">
        <v>76.790000000000006</v>
      </c>
      <c r="Q51" s="533">
        <v>77.930000000000007</v>
      </c>
      <c r="R51" s="533">
        <v>78.8</v>
      </c>
      <c r="S51" s="533">
        <v>79.45</v>
      </c>
      <c r="T51" s="534" t="s">
        <v>556</v>
      </c>
      <c r="U51" s="534" t="s">
        <v>556</v>
      </c>
      <c r="V51" s="530"/>
      <c r="W51" s="536">
        <v>62</v>
      </c>
      <c r="X51" s="533">
        <v>69.19</v>
      </c>
      <c r="Y51" s="533">
        <v>69.62</v>
      </c>
      <c r="Z51" s="533">
        <v>70.05</v>
      </c>
      <c r="AA51" s="533">
        <v>70.489999999999995</v>
      </c>
      <c r="AB51" s="533">
        <v>70.92</v>
      </c>
      <c r="AC51" s="533">
        <v>71.36</v>
      </c>
      <c r="AD51" s="533">
        <v>71.790000000000006</v>
      </c>
      <c r="AE51" s="533">
        <v>72.22</v>
      </c>
      <c r="AF51" s="533">
        <v>72.64</v>
      </c>
      <c r="AG51" s="533">
        <v>73.06</v>
      </c>
      <c r="AH51" s="533">
        <v>73.459999999999994</v>
      </c>
      <c r="AI51" s="533">
        <v>73.86</v>
      </c>
      <c r="AJ51" s="533">
        <v>75.66</v>
      </c>
      <c r="AK51" s="533">
        <v>77.13</v>
      </c>
      <c r="AL51" s="533">
        <v>78.290000000000006</v>
      </c>
      <c r="AM51" s="533">
        <v>79.17</v>
      </c>
      <c r="AN51" s="533">
        <v>79.819999999999993</v>
      </c>
      <c r="AO51" s="534" t="s">
        <v>556</v>
      </c>
      <c r="AP51" s="534" t="s">
        <v>556</v>
      </c>
      <c r="AQ51" s="537"/>
      <c r="AR51" s="536">
        <v>62</v>
      </c>
      <c r="AS51" s="533">
        <v>69.8</v>
      </c>
      <c r="AT51" s="533">
        <v>70.239999999999995</v>
      </c>
      <c r="AU51" s="533">
        <v>70.680000000000007</v>
      </c>
      <c r="AV51" s="533">
        <v>71.12</v>
      </c>
      <c r="AW51" s="533">
        <v>71.56</v>
      </c>
      <c r="AX51" s="533">
        <v>72</v>
      </c>
      <c r="AY51" s="533">
        <v>72.44</v>
      </c>
      <c r="AZ51" s="533">
        <v>72.88</v>
      </c>
      <c r="BA51" s="533">
        <v>73.3</v>
      </c>
      <c r="BB51" s="533">
        <v>73.72</v>
      </c>
      <c r="BC51" s="533">
        <v>74.13</v>
      </c>
      <c r="BD51" s="533">
        <v>74.53</v>
      </c>
      <c r="BE51" s="533">
        <v>76.349999999999994</v>
      </c>
      <c r="BF51" s="533">
        <v>77.83</v>
      </c>
      <c r="BG51" s="533">
        <v>79</v>
      </c>
      <c r="BH51" s="533">
        <v>79.87</v>
      </c>
      <c r="BI51" s="533">
        <v>80.52</v>
      </c>
      <c r="BJ51" s="538" t="s">
        <v>556</v>
      </c>
      <c r="BK51" s="538" t="s">
        <v>556</v>
      </c>
    </row>
    <row r="52" spans="2:63" x14ac:dyDescent="0.25">
      <c r="B52" s="536">
        <v>63</v>
      </c>
      <c r="C52" s="533">
        <v>69.8</v>
      </c>
      <c r="D52" s="533">
        <v>70.260000000000005</v>
      </c>
      <c r="E52" s="533">
        <v>70.73</v>
      </c>
      <c r="F52" s="533">
        <v>71.19</v>
      </c>
      <c r="G52" s="533">
        <v>71.66</v>
      </c>
      <c r="H52" s="533">
        <v>72.12</v>
      </c>
      <c r="I52" s="533">
        <v>72.58</v>
      </c>
      <c r="J52" s="533">
        <v>73.040000000000006</v>
      </c>
      <c r="K52" s="533">
        <v>73.48</v>
      </c>
      <c r="L52" s="533">
        <v>73.92</v>
      </c>
      <c r="M52" s="533">
        <v>74.349999999999994</v>
      </c>
      <c r="N52" s="533">
        <v>74.77</v>
      </c>
      <c r="O52" s="533">
        <v>76.66</v>
      </c>
      <c r="P52" s="533">
        <v>78.209999999999994</v>
      </c>
      <c r="Q52" s="533">
        <v>79.42</v>
      </c>
      <c r="R52" s="533">
        <v>80.34</v>
      </c>
      <c r="S52" s="533">
        <v>81.03</v>
      </c>
      <c r="T52" s="534" t="s">
        <v>556</v>
      </c>
      <c r="U52" s="534" t="s">
        <v>556</v>
      </c>
      <c r="V52" s="530"/>
      <c r="W52" s="536">
        <v>63</v>
      </c>
      <c r="X52" s="533">
        <v>70.08</v>
      </c>
      <c r="Y52" s="533">
        <v>70.540000000000006</v>
      </c>
      <c r="Z52" s="533">
        <v>71.010000000000005</v>
      </c>
      <c r="AA52" s="533">
        <v>71.48</v>
      </c>
      <c r="AB52" s="533">
        <v>71.959999999999994</v>
      </c>
      <c r="AC52" s="533">
        <v>72.42</v>
      </c>
      <c r="AD52" s="533">
        <v>72.89</v>
      </c>
      <c r="AE52" s="533">
        <v>73.349999999999994</v>
      </c>
      <c r="AF52" s="533">
        <v>73.8</v>
      </c>
      <c r="AG52" s="533">
        <v>74.239999999999995</v>
      </c>
      <c r="AH52" s="533">
        <v>74.67</v>
      </c>
      <c r="AI52" s="533">
        <v>75.09</v>
      </c>
      <c r="AJ52" s="533">
        <v>77</v>
      </c>
      <c r="AK52" s="533">
        <v>78.569999999999993</v>
      </c>
      <c r="AL52" s="533">
        <v>79.790000000000006</v>
      </c>
      <c r="AM52" s="533">
        <v>80.72</v>
      </c>
      <c r="AN52" s="533">
        <v>81.42</v>
      </c>
      <c r="AO52" s="534" t="s">
        <v>556</v>
      </c>
      <c r="AP52" s="534" t="s">
        <v>556</v>
      </c>
      <c r="AQ52" s="537"/>
      <c r="AR52" s="536">
        <v>63</v>
      </c>
      <c r="AS52" s="533">
        <v>70.709999999999994</v>
      </c>
      <c r="AT52" s="533">
        <v>71.180000000000007</v>
      </c>
      <c r="AU52" s="533">
        <v>71.650000000000006</v>
      </c>
      <c r="AV52" s="533">
        <v>72.13</v>
      </c>
      <c r="AW52" s="533">
        <v>72.61</v>
      </c>
      <c r="AX52" s="533">
        <v>73.08</v>
      </c>
      <c r="AY52" s="533">
        <v>73.55</v>
      </c>
      <c r="AZ52" s="533">
        <v>74.010000000000005</v>
      </c>
      <c r="BA52" s="533">
        <v>74.47</v>
      </c>
      <c r="BB52" s="533">
        <v>74.92</v>
      </c>
      <c r="BC52" s="533">
        <v>75.349999999999994</v>
      </c>
      <c r="BD52" s="533">
        <v>75.78</v>
      </c>
      <c r="BE52" s="533">
        <v>77.709999999999994</v>
      </c>
      <c r="BF52" s="533">
        <v>79.28</v>
      </c>
      <c r="BG52" s="533">
        <v>80.510000000000005</v>
      </c>
      <c r="BH52" s="533">
        <v>81.44</v>
      </c>
      <c r="BI52" s="533">
        <v>82.13</v>
      </c>
      <c r="BJ52" s="538" t="s">
        <v>556</v>
      </c>
      <c r="BK52" s="538" t="s">
        <v>556</v>
      </c>
    </row>
    <row r="53" spans="2:63" x14ac:dyDescent="0.25">
      <c r="B53" s="536">
        <v>64</v>
      </c>
      <c r="C53" s="533">
        <v>70.760000000000005</v>
      </c>
      <c r="D53" s="533">
        <v>71.260000000000005</v>
      </c>
      <c r="E53" s="533">
        <v>71.760000000000005</v>
      </c>
      <c r="F53" s="533">
        <v>72.260000000000005</v>
      </c>
      <c r="G53" s="533">
        <v>72.77</v>
      </c>
      <c r="H53" s="533">
        <v>73.260000000000005</v>
      </c>
      <c r="I53" s="533">
        <v>73.760000000000005</v>
      </c>
      <c r="J53" s="533">
        <v>74.239999999999995</v>
      </c>
      <c r="K53" s="533">
        <v>74.72</v>
      </c>
      <c r="L53" s="533">
        <v>75.19</v>
      </c>
      <c r="M53" s="533">
        <v>75.64</v>
      </c>
      <c r="N53" s="533">
        <v>76.09</v>
      </c>
      <c r="O53" s="533">
        <v>78.099999999999994</v>
      </c>
      <c r="P53" s="533">
        <v>79.75</v>
      </c>
      <c r="Q53" s="533">
        <v>81.03</v>
      </c>
      <c r="R53" s="533">
        <v>82.02</v>
      </c>
      <c r="S53" s="533">
        <v>82.75</v>
      </c>
      <c r="T53" s="534" t="s">
        <v>556</v>
      </c>
      <c r="U53" s="534" t="s">
        <v>556</v>
      </c>
      <c r="V53" s="530"/>
      <c r="W53" s="536">
        <v>64</v>
      </c>
      <c r="X53" s="533">
        <v>71.05</v>
      </c>
      <c r="Y53" s="533">
        <v>71.55</v>
      </c>
      <c r="Z53" s="533">
        <v>72.06</v>
      </c>
      <c r="AA53" s="533">
        <v>72.56</v>
      </c>
      <c r="AB53" s="533">
        <v>73.069999999999993</v>
      </c>
      <c r="AC53" s="533">
        <v>73.569999999999993</v>
      </c>
      <c r="AD53" s="533">
        <v>74.069999999999993</v>
      </c>
      <c r="AE53" s="533">
        <v>74.56</v>
      </c>
      <c r="AF53" s="533">
        <v>75.040000000000006</v>
      </c>
      <c r="AG53" s="533">
        <v>75.510000000000005</v>
      </c>
      <c r="AH53" s="533">
        <v>75.98</v>
      </c>
      <c r="AI53" s="533">
        <v>76.42</v>
      </c>
      <c r="AJ53" s="533">
        <v>78.459999999999994</v>
      </c>
      <c r="AK53" s="533">
        <v>80.12</v>
      </c>
      <c r="AL53" s="533">
        <v>81.42</v>
      </c>
      <c r="AM53" s="533">
        <v>82.42</v>
      </c>
      <c r="AN53" s="533">
        <v>83.16</v>
      </c>
      <c r="AO53" s="534" t="s">
        <v>556</v>
      </c>
      <c r="AP53" s="534" t="s">
        <v>556</v>
      </c>
      <c r="AQ53" s="537"/>
      <c r="AR53" s="536">
        <v>64</v>
      </c>
      <c r="AS53" s="533">
        <v>71.69</v>
      </c>
      <c r="AT53" s="533">
        <v>72.2</v>
      </c>
      <c r="AU53" s="533">
        <v>72.709999999999994</v>
      </c>
      <c r="AV53" s="533">
        <v>73.22</v>
      </c>
      <c r="AW53" s="533">
        <v>73.739999999999995</v>
      </c>
      <c r="AX53" s="533">
        <v>74.239999999999995</v>
      </c>
      <c r="AY53" s="533">
        <v>74.75</v>
      </c>
      <c r="AZ53" s="533">
        <v>75.239999999999995</v>
      </c>
      <c r="BA53" s="533">
        <v>75.73</v>
      </c>
      <c r="BB53" s="533">
        <v>76.209999999999994</v>
      </c>
      <c r="BC53" s="533">
        <v>76.67</v>
      </c>
      <c r="BD53" s="533">
        <v>77.13</v>
      </c>
      <c r="BE53" s="533">
        <v>79.180000000000007</v>
      </c>
      <c r="BF53" s="533">
        <v>80.849999999999994</v>
      </c>
      <c r="BG53" s="533">
        <v>82.16</v>
      </c>
      <c r="BH53" s="533">
        <v>83.14</v>
      </c>
      <c r="BI53" s="533">
        <v>83.88</v>
      </c>
      <c r="BJ53" s="538" t="s">
        <v>556</v>
      </c>
      <c r="BK53" s="538" t="s">
        <v>556</v>
      </c>
    </row>
    <row r="54" spans="2:63" x14ac:dyDescent="0.25">
      <c r="B54" s="536">
        <v>65</v>
      </c>
      <c r="C54" s="533">
        <v>71.8</v>
      </c>
      <c r="D54" s="533">
        <v>72.34</v>
      </c>
      <c r="E54" s="533">
        <v>72.88</v>
      </c>
      <c r="F54" s="533">
        <v>73.42</v>
      </c>
      <c r="G54" s="533">
        <v>73.959999999999994</v>
      </c>
      <c r="H54" s="533">
        <v>74.5</v>
      </c>
      <c r="I54" s="533">
        <v>75.02</v>
      </c>
      <c r="J54" s="533">
        <v>75.540000000000006</v>
      </c>
      <c r="K54" s="533">
        <v>76.05</v>
      </c>
      <c r="L54" s="533">
        <v>76.55</v>
      </c>
      <c r="M54" s="533">
        <v>77.040000000000006</v>
      </c>
      <c r="N54" s="533">
        <v>77.510000000000005</v>
      </c>
      <c r="O54" s="533">
        <v>79.66</v>
      </c>
      <c r="P54" s="533">
        <v>81.41</v>
      </c>
      <c r="Q54" s="533">
        <v>82.79</v>
      </c>
      <c r="R54" s="533">
        <v>83.84</v>
      </c>
      <c r="S54" s="533" t="s">
        <v>556</v>
      </c>
      <c r="T54" s="534" t="s">
        <v>556</v>
      </c>
      <c r="U54" s="534" t="s">
        <v>556</v>
      </c>
      <c r="V54" s="530"/>
      <c r="W54" s="536">
        <v>65</v>
      </c>
      <c r="X54" s="533">
        <v>72.09</v>
      </c>
      <c r="Y54" s="533">
        <v>72.64</v>
      </c>
      <c r="Z54" s="533">
        <v>73.19</v>
      </c>
      <c r="AA54" s="533">
        <v>73.73</v>
      </c>
      <c r="AB54" s="533">
        <v>74.28</v>
      </c>
      <c r="AC54" s="533">
        <v>74.819999999999993</v>
      </c>
      <c r="AD54" s="533">
        <v>75.349999999999994</v>
      </c>
      <c r="AE54" s="533">
        <v>75.87</v>
      </c>
      <c r="AF54" s="533">
        <v>76.39</v>
      </c>
      <c r="AG54" s="533">
        <v>76.89</v>
      </c>
      <c r="AH54" s="533">
        <v>77.39</v>
      </c>
      <c r="AI54" s="533">
        <v>77.87</v>
      </c>
      <c r="AJ54" s="533">
        <v>80.040000000000006</v>
      </c>
      <c r="AK54" s="533">
        <v>81.81</v>
      </c>
      <c r="AL54" s="533">
        <v>83.2</v>
      </c>
      <c r="AM54" s="533">
        <v>84.26</v>
      </c>
      <c r="AN54" s="533" t="s">
        <v>556</v>
      </c>
      <c r="AO54" s="534" t="s">
        <v>556</v>
      </c>
      <c r="AP54" s="534" t="s">
        <v>556</v>
      </c>
      <c r="AQ54" s="537"/>
      <c r="AR54" s="536">
        <v>65</v>
      </c>
      <c r="AS54" s="533">
        <v>72.75</v>
      </c>
      <c r="AT54" s="533">
        <v>73.3</v>
      </c>
      <c r="AU54" s="533">
        <v>73.849999999999994</v>
      </c>
      <c r="AV54" s="533">
        <v>74.400000000000006</v>
      </c>
      <c r="AW54" s="533">
        <v>74.959999999999994</v>
      </c>
      <c r="AX54" s="533">
        <v>75.5</v>
      </c>
      <c r="AY54" s="533">
        <v>76.040000000000006</v>
      </c>
      <c r="AZ54" s="533">
        <v>76.569999999999993</v>
      </c>
      <c r="BA54" s="533">
        <v>77.09</v>
      </c>
      <c r="BB54" s="533">
        <v>77.599999999999994</v>
      </c>
      <c r="BC54" s="533">
        <v>78.099999999999994</v>
      </c>
      <c r="BD54" s="533">
        <v>78.58</v>
      </c>
      <c r="BE54" s="533">
        <v>80.77</v>
      </c>
      <c r="BF54" s="533">
        <v>82.55</v>
      </c>
      <c r="BG54" s="533">
        <v>83.94</v>
      </c>
      <c r="BH54" s="533">
        <v>85</v>
      </c>
      <c r="BI54" s="533" t="s">
        <v>556</v>
      </c>
      <c r="BJ54" s="538" t="s">
        <v>556</v>
      </c>
      <c r="BK54" s="538" t="s">
        <v>556</v>
      </c>
    </row>
    <row r="55" spans="2:63" x14ac:dyDescent="0.25">
      <c r="B55" s="536">
        <v>66</v>
      </c>
      <c r="C55" s="533">
        <v>72.92</v>
      </c>
      <c r="D55" s="533">
        <v>73.5</v>
      </c>
      <c r="E55" s="533">
        <v>74.09</v>
      </c>
      <c r="F55" s="533">
        <v>74.67</v>
      </c>
      <c r="G55" s="533">
        <v>75.25</v>
      </c>
      <c r="H55" s="533">
        <v>75.819999999999993</v>
      </c>
      <c r="I55" s="533">
        <v>76.39</v>
      </c>
      <c r="J55" s="533">
        <v>76.95</v>
      </c>
      <c r="K55" s="533">
        <v>77.489999999999995</v>
      </c>
      <c r="L55" s="533">
        <v>78.03</v>
      </c>
      <c r="M55" s="533">
        <v>78.55</v>
      </c>
      <c r="N55" s="533">
        <v>79.05</v>
      </c>
      <c r="O55" s="533">
        <v>81.34</v>
      </c>
      <c r="P55" s="533">
        <v>83.21</v>
      </c>
      <c r="Q55" s="533">
        <v>84.68</v>
      </c>
      <c r="R55" s="533">
        <v>85.81</v>
      </c>
      <c r="S55" s="533" t="s">
        <v>556</v>
      </c>
      <c r="T55" s="534" t="s">
        <v>556</v>
      </c>
      <c r="U55" s="534" t="s">
        <v>556</v>
      </c>
      <c r="V55" s="530"/>
      <c r="W55" s="536">
        <v>66</v>
      </c>
      <c r="X55" s="533">
        <v>73.23</v>
      </c>
      <c r="Y55" s="533">
        <v>73.81</v>
      </c>
      <c r="Z55" s="533">
        <v>74.400000000000006</v>
      </c>
      <c r="AA55" s="533">
        <v>74.989999999999995</v>
      </c>
      <c r="AB55" s="533">
        <v>75.58</v>
      </c>
      <c r="AC55" s="533">
        <v>76.16</v>
      </c>
      <c r="AD55" s="533">
        <v>76.73</v>
      </c>
      <c r="AE55" s="533">
        <v>77.290000000000006</v>
      </c>
      <c r="AF55" s="533">
        <v>77.84</v>
      </c>
      <c r="AG55" s="533">
        <v>78.38</v>
      </c>
      <c r="AH55" s="533">
        <v>78.91</v>
      </c>
      <c r="AI55" s="533">
        <v>79.42</v>
      </c>
      <c r="AJ55" s="533">
        <v>81.73</v>
      </c>
      <c r="AK55" s="533">
        <v>83.62</v>
      </c>
      <c r="AL55" s="533">
        <v>85.11</v>
      </c>
      <c r="AM55" s="533">
        <v>86.26</v>
      </c>
      <c r="AN55" s="533" t="s">
        <v>556</v>
      </c>
      <c r="AO55" s="534" t="s">
        <v>556</v>
      </c>
      <c r="AP55" s="534" t="s">
        <v>556</v>
      </c>
      <c r="AQ55" s="537"/>
      <c r="AR55" s="536">
        <v>66</v>
      </c>
      <c r="AS55" s="533">
        <v>73.89</v>
      </c>
      <c r="AT55" s="533">
        <v>74.489999999999995</v>
      </c>
      <c r="AU55" s="533">
        <v>75.09</v>
      </c>
      <c r="AV55" s="533">
        <v>75.680000000000007</v>
      </c>
      <c r="AW55" s="533">
        <v>76.27</v>
      </c>
      <c r="AX55" s="533">
        <v>76.86</v>
      </c>
      <c r="AY55" s="533">
        <v>77.44</v>
      </c>
      <c r="AZ55" s="533">
        <v>78.010000000000005</v>
      </c>
      <c r="BA55" s="533">
        <v>78.56</v>
      </c>
      <c r="BB55" s="533">
        <v>79.11</v>
      </c>
      <c r="BC55" s="533">
        <v>79.64</v>
      </c>
      <c r="BD55" s="533">
        <v>80.150000000000006</v>
      </c>
      <c r="BE55" s="533">
        <v>82.49</v>
      </c>
      <c r="BF55" s="533">
        <v>84.38</v>
      </c>
      <c r="BG55" s="533">
        <v>85.87</v>
      </c>
      <c r="BH55" s="533">
        <v>87.01</v>
      </c>
      <c r="BI55" s="533" t="s">
        <v>556</v>
      </c>
      <c r="BJ55" s="538" t="s">
        <v>556</v>
      </c>
      <c r="BK55" s="538" t="s">
        <v>556</v>
      </c>
    </row>
    <row r="56" spans="2:63" x14ac:dyDescent="0.25">
      <c r="B56" s="536">
        <v>67</v>
      </c>
      <c r="C56" s="533">
        <v>74.13</v>
      </c>
      <c r="D56" s="533">
        <v>74.760000000000005</v>
      </c>
      <c r="E56" s="533">
        <v>75.39</v>
      </c>
      <c r="F56" s="533">
        <v>76.02</v>
      </c>
      <c r="G56" s="533">
        <v>76.64</v>
      </c>
      <c r="H56" s="533">
        <v>77.25</v>
      </c>
      <c r="I56" s="533">
        <v>77.86</v>
      </c>
      <c r="J56" s="533">
        <v>78.459999999999994</v>
      </c>
      <c r="K56" s="533">
        <v>79.040000000000006</v>
      </c>
      <c r="L56" s="533">
        <v>79.61</v>
      </c>
      <c r="M56" s="533">
        <v>80.17</v>
      </c>
      <c r="N56" s="533">
        <v>80.709999999999994</v>
      </c>
      <c r="O56" s="533">
        <v>83.15</v>
      </c>
      <c r="P56" s="533">
        <v>85.15</v>
      </c>
      <c r="Q56" s="533">
        <v>86.72</v>
      </c>
      <c r="R56" s="533">
        <v>87.95</v>
      </c>
      <c r="S56" s="533" t="s">
        <v>556</v>
      </c>
      <c r="T56" s="534" t="s">
        <v>556</v>
      </c>
      <c r="U56" s="534" t="s">
        <v>556</v>
      </c>
      <c r="V56" s="530"/>
      <c r="W56" s="536">
        <v>67</v>
      </c>
      <c r="X56" s="533">
        <v>74.45</v>
      </c>
      <c r="Y56" s="533">
        <v>75.08</v>
      </c>
      <c r="Z56" s="533">
        <v>75.72</v>
      </c>
      <c r="AA56" s="533">
        <v>76.349999999999994</v>
      </c>
      <c r="AB56" s="533">
        <v>76.98</v>
      </c>
      <c r="AC56" s="533">
        <v>77.599999999999994</v>
      </c>
      <c r="AD56" s="533">
        <v>78.209999999999994</v>
      </c>
      <c r="AE56" s="533">
        <v>78.819999999999993</v>
      </c>
      <c r="AF56" s="533">
        <v>79.41</v>
      </c>
      <c r="AG56" s="533">
        <v>79.98</v>
      </c>
      <c r="AH56" s="533">
        <v>80.55</v>
      </c>
      <c r="AI56" s="533">
        <v>81.09</v>
      </c>
      <c r="AJ56" s="533">
        <v>83.56</v>
      </c>
      <c r="AK56" s="533">
        <v>85.58</v>
      </c>
      <c r="AL56" s="533">
        <v>87.18</v>
      </c>
      <c r="AM56" s="533">
        <v>88.42</v>
      </c>
      <c r="AN56" s="533" t="s">
        <v>556</v>
      </c>
      <c r="AO56" s="534" t="s">
        <v>556</v>
      </c>
      <c r="AP56" s="534" t="s">
        <v>556</v>
      </c>
      <c r="AQ56" s="537"/>
      <c r="AR56" s="536">
        <v>67</v>
      </c>
      <c r="AS56" s="533">
        <v>75.13</v>
      </c>
      <c r="AT56" s="533">
        <v>75.77</v>
      </c>
      <c r="AU56" s="533">
        <v>76.42</v>
      </c>
      <c r="AV56" s="533">
        <v>77.06</v>
      </c>
      <c r="AW56" s="533">
        <v>77.69</v>
      </c>
      <c r="AX56" s="533">
        <v>78.319999999999993</v>
      </c>
      <c r="AY56" s="533">
        <v>78.94</v>
      </c>
      <c r="AZ56" s="533">
        <v>79.55</v>
      </c>
      <c r="BA56" s="533">
        <v>80.14</v>
      </c>
      <c r="BB56" s="533">
        <v>80.73</v>
      </c>
      <c r="BC56" s="533">
        <v>81.290000000000006</v>
      </c>
      <c r="BD56" s="533">
        <v>81.84</v>
      </c>
      <c r="BE56" s="533">
        <v>84.33</v>
      </c>
      <c r="BF56" s="533">
        <v>86.36</v>
      </c>
      <c r="BG56" s="533">
        <v>87.95</v>
      </c>
      <c r="BH56" s="533">
        <v>89.18</v>
      </c>
      <c r="BI56" s="533" t="s">
        <v>556</v>
      </c>
      <c r="BJ56" s="538" t="s">
        <v>556</v>
      </c>
      <c r="BK56" s="538" t="s">
        <v>556</v>
      </c>
    </row>
    <row r="57" spans="2:63" x14ac:dyDescent="0.25">
      <c r="B57" s="536">
        <v>68</v>
      </c>
      <c r="C57" s="533">
        <v>75.44</v>
      </c>
      <c r="D57" s="533">
        <v>76.12</v>
      </c>
      <c r="E57" s="533">
        <v>76.790000000000006</v>
      </c>
      <c r="F57" s="533">
        <v>77.459999999999994</v>
      </c>
      <c r="G57" s="533">
        <v>78.13</v>
      </c>
      <c r="H57" s="533">
        <v>78.790000000000006</v>
      </c>
      <c r="I57" s="533">
        <v>79.44</v>
      </c>
      <c r="J57" s="533">
        <v>80.08</v>
      </c>
      <c r="K57" s="533">
        <v>80.7</v>
      </c>
      <c r="L57" s="533">
        <v>81.31</v>
      </c>
      <c r="M57" s="533">
        <v>81.91</v>
      </c>
      <c r="N57" s="533">
        <v>82.48</v>
      </c>
      <c r="O57" s="533">
        <v>85.09</v>
      </c>
      <c r="P57" s="533">
        <v>87.23</v>
      </c>
      <c r="Q57" s="533">
        <v>88.92</v>
      </c>
      <c r="R57" s="533">
        <v>90.25</v>
      </c>
      <c r="S57" s="533" t="s">
        <v>556</v>
      </c>
      <c r="T57" s="534" t="s">
        <v>556</v>
      </c>
      <c r="U57" s="534" t="s">
        <v>556</v>
      </c>
      <c r="V57" s="530"/>
      <c r="W57" s="536">
        <v>68</v>
      </c>
      <c r="X57" s="533">
        <v>75.77</v>
      </c>
      <c r="Y57" s="533">
        <v>76.45</v>
      </c>
      <c r="Z57" s="533">
        <v>77.14</v>
      </c>
      <c r="AA57" s="533">
        <v>77.819999999999993</v>
      </c>
      <c r="AB57" s="533">
        <v>78.489999999999995</v>
      </c>
      <c r="AC57" s="533">
        <v>79.16</v>
      </c>
      <c r="AD57" s="533">
        <v>79.81</v>
      </c>
      <c r="AE57" s="533">
        <v>80.459999999999994</v>
      </c>
      <c r="AF57" s="533">
        <v>81.09</v>
      </c>
      <c r="AG57" s="533">
        <v>81.709999999999994</v>
      </c>
      <c r="AH57" s="533">
        <v>82.31</v>
      </c>
      <c r="AI57" s="533">
        <v>82.89</v>
      </c>
      <c r="AJ57" s="533">
        <v>85.53</v>
      </c>
      <c r="AK57" s="533">
        <v>87.69</v>
      </c>
      <c r="AL57" s="533">
        <v>89.41</v>
      </c>
      <c r="AM57" s="533">
        <v>90.75</v>
      </c>
      <c r="AN57" s="533" t="s">
        <v>556</v>
      </c>
      <c r="AO57" s="534" t="s">
        <v>556</v>
      </c>
      <c r="AP57" s="534" t="s">
        <v>556</v>
      </c>
      <c r="AQ57" s="537"/>
      <c r="AR57" s="536">
        <v>68</v>
      </c>
      <c r="AS57" s="533">
        <v>76.47</v>
      </c>
      <c r="AT57" s="533">
        <v>77.16</v>
      </c>
      <c r="AU57" s="533">
        <v>77.849999999999994</v>
      </c>
      <c r="AV57" s="533">
        <v>78.540000000000006</v>
      </c>
      <c r="AW57" s="533">
        <v>79.22</v>
      </c>
      <c r="AX57" s="533">
        <v>79.89</v>
      </c>
      <c r="AY57" s="533">
        <v>80.55</v>
      </c>
      <c r="AZ57" s="533">
        <v>81.2</v>
      </c>
      <c r="BA57" s="533">
        <v>81.84</v>
      </c>
      <c r="BB57" s="533">
        <v>82.46</v>
      </c>
      <c r="BC57" s="533">
        <v>83.07</v>
      </c>
      <c r="BD57" s="533">
        <v>83.66</v>
      </c>
      <c r="BE57" s="533">
        <v>86.31</v>
      </c>
      <c r="BF57" s="533">
        <v>88.48</v>
      </c>
      <c r="BG57" s="533">
        <v>90.19</v>
      </c>
      <c r="BH57" s="533">
        <v>91.52</v>
      </c>
      <c r="BI57" s="533" t="s">
        <v>556</v>
      </c>
      <c r="BJ57" s="538" t="s">
        <v>556</v>
      </c>
      <c r="BK57" s="538" t="s">
        <v>556</v>
      </c>
    </row>
    <row r="58" spans="2:63" x14ac:dyDescent="0.25">
      <c r="B58" s="536">
        <v>69</v>
      </c>
      <c r="C58" s="533">
        <v>76.849999999999994</v>
      </c>
      <c r="D58" s="533">
        <v>77.569999999999993</v>
      </c>
      <c r="E58" s="533">
        <v>78.3</v>
      </c>
      <c r="F58" s="533">
        <v>79.02</v>
      </c>
      <c r="G58" s="533">
        <v>79.739999999999995</v>
      </c>
      <c r="H58" s="533">
        <v>80.44</v>
      </c>
      <c r="I58" s="533">
        <v>81.14</v>
      </c>
      <c r="J58" s="533">
        <v>81.819999999999993</v>
      </c>
      <c r="K58" s="533">
        <v>82.49</v>
      </c>
      <c r="L58" s="533">
        <v>83.14</v>
      </c>
      <c r="M58" s="533">
        <v>83.77</v>
      </c>
      <c r="N58" s="533">
        <v>84.39</v>
      </c>
      <c r="O58" s="533">
        <v>87.17</v>
      </c>
      <c r="P58" s="533">
        <v>89.46</v>
      </c>
      <c r="Q58" s="533">
        <v>91.28</v>
      </c>
      <c r="R58" s="533">
        <v>92.72</v>
      </c>
      <c r="S58" s="533" t="s">
        <v>556</v>
      </c>
      <c r="T58" s="534" t="s">
        <v>556</v>
      </c>
      <c r="U58" s="534" t="s">
        <v>556</v>
      </c>
      <c r="V58" s="530"/>
      <c r="W58" s="536">
        <v>69</v>
      </c>
      <c r="X58" s="533">
        <v>77.19</v>
      </c>
      <c r="Y58" s="533">
        <v>77.930000000000007</v>
      </c>
      <c r="Z58" s="533">
        <v>78.66</v>
      </c>
      <c r="AA58" s="533">
        <v>79.39</v>
      </c>
      <c r="AB58" s="533">
        <v>80.11</v>
      </c>
      <c r="AC58" s="533">
        <v>80.83</v>
      </c>
      <c r="AD58" s="533">
        <v>81.53</v>
      </c>
      <c r="AE58" s="533">
        <v>82.22</v>
      </c>
      <c r="AF58" s="533">
        <v>82.89</v>
      </c>
      <c r="AG58" s="533">
        <v>83.55</v>
      </c>
      <c r="AH58" s="533">
        <v>84.19</v>
      </c>
      <c r="AI58" s="533">
        <v>84.82</v>
      </c>
      <c r="AJ58" s="533">
        <v>87.64</v>
      </c>
      <c r="AK58" s="533">
        <v>89.95</v>
      </c>
      <c r="AL58" s="533">
        <v>91.8</v>
      </c>
      <c r="AM58" s="533">
        <v>93.26</v>
      </c>
      <c r="AN58" s="533" t="s">
        <v>556</v>
      </c>
      <c r="AO58" s="534" t="s">
        <v>556</v>
      </c>
      <c r="AP58" s="534" t="s">
        <v>556</v>
      </c>
      <c r="AQ58" s="537"/>
      <c r="AR58" s="536">
        <v>69</v>
      </c>
      <c r="AS58" s="533">
        <v>77.91</v>
      </c>
      <c r="AT58" s="533">
        <v>78.650000000000006</v>
      </c>
      <c r="AU58" s="533">
        <v>79.39</v>
      </c>
      <c r="AV58" s="533">
        <v>80.13</v>
      </c>
      <c r="AW58" s="533">
        <v>80.86</v>
      </c>
      <c r="AX58" s="533">
        <v>81.58</v>
      </c>
      <c r="AY58" s="533">
        <v>82.29</v>
      </c>
      <c r="AZ58" s="533">
        <v>82.98</v>
      </c>
      <c r="BA58" s="533">
        <v>83.66</v>
      </c>
      <c r="BB58" s="533">
        <v>84.33</v>
      </c>
      <c r="BC58" s="533">
        <v>84.97</v>
      </c>
      <c r="BD58" s="533">
        <v>85.6</v>
      </c>
      <c r="BE58" s="533">
        <v>88.43</v>
      </c>
      <c r="BF58" s="533">
        <v>90.75</v>
      </c>
      <c r="BG58" s="533">
        <v>92.59</v>
      </c>
      <c r="BH58" s="533">
        <v>94.04</v>
      </c>
      <c r="BI58" s="533" t="s">
        <v>556</v>
      </c>
      <c r="BJ58" s="538" t="s">
        <v>556</v>
      </c>
      <c r="BK58" s="538" t="s">
        <v>556</v>
      </c>
    </row>
    <row r="59" spans="2:63" x14ac:dyDescent="0.25">
      <c r="B59" s="536">
        <v>70</v>
      </c>
      <c r="C59" s="533">
        <v>78.36</v>
      </c>
      <c r="D59" s="533">
        <v>79.14</v>
      </c>
      <c r="E59" s="533">
        <v>79.92</v>
      </c>
      <c r="F59" s="533">
        <v>80.69</v>
      </c>
      <c r="G59" s="533">
        <v>81.459999999999994</v>
      </c>
      <c r="H59" s="533">
        <v>82.21</v>
      </c>
      <c r="I59" s="533">
        <v>82.95</v>
      </c>
      <c r="J59" s="533">
        <v>83.68</v>
      </c>
      <c r="K59" s="533">
        <v>84.4</v>
      </c>
      <c r="L59" s="533">
        <v>85.09</v>
      </c>
      <c r="M59" s="533">
        <v>85.77</v>
      </c>
      <c r="N59" s="533">
        <v>86.43</v>
      </c>
      <c r="O59" s="533">
        <v>89.4</v>
      </c>
      <c r="P59" s="533">
        <v>91.85</v>
      </c>
      <c r="Q59" s="533">
        <v>93.81</v>
      </c>
      <c r="R59" s="533" t="s">
        <v>556</v>
      </c>
      <c r="S59" s="533" t="s">
        <v>556</v>
      </c>
      <c r="T59" s="534" t="s">
        <v>556</v>
      </c>
      <c r="U59" s="534" t="s">
        <v>556</v>
      </c>
      <c r="V59" s="530"/>
      <c r="W59" s="536">
        <v>70</v>
      </c>
      <c r="X59" s="533">
        <v>78.72</v>
      </c>
      <c r="Y59" s="533">
        <v>79.510000000000005</v>
      </c>
      <c r="Z59" s="533">
        <v>80.3</v>
      </c>
      <c r="AA59" s="533">
        <v>81.08</v>
      </c>
      <c r="AB59" s="533">
        <v>81.849999999999994</v>
      </c>
      <c r="AC59" s="533">
        <v>82.62</v>
      </c>
      <c r="AD59" s="533">
        <v>83.37</v>
      </c>
      <c r="AE59" s="533">
        <v>84.1</v>
      </c>
      <c r="AF59" s="533">
        <v>84.83</v>
      </c>
      <c r="AG59" s="533">
        <v>85.53</v>
      </c>
      <c r="AH59" s="533">
        <v>86.22</v>
      </c>
      <c r="AI59" s="533">
        <v>86.88</v>
      </c>
      <c r="AJ59" s="533">
        <v>89.89</v>
      </c>
      <c r="AK59" s="533">
        <v>92.37</v>
      </c>
      <c r="AL59" s="533">
        <v>94.36</v>
      </c>
      <c r="AM59" s="533" t="s">
        <v>556</v>
      </c>
      <c r="AN59" s="533" t="s">
        <v>556</v>
      </c>
      <c r="AO59" s="534" t="s">
        <v>556</v>
      </c>
      <c r="AP59" s="534" t="s">
        <v>556</v>
      </c>
      <c r="AQ59" s="537"/>
      <c r="AR59" s="536">
        <v>70</v>
      </c>
      <c r="AS59" s="533">
        <v>79.45</v>
      </c>
      <c r="AT59" s="533">
        <v>80.25</v>
      </c>
      <c r="AU59" s="533">
        <v>81.040000000000006</v>
      </c>
      <c r="AV59" s="533">
        <v>81.83</v>
      </c>
      <c r="AW59" s="533">
        <v>82.61</v>
      </c>
      <c r="AX59" s="533">
        <v>83.38</v>
      </c>
      <c r="AY59" s="533">
        <v>84.14</v>
      </c>
      <c r="AZ59" s="533">
        <v>84.88</v>
      </c>
      <c r="BA59" s="533">
        <v>85.61</v>
      </c>
      <c r="BB59" s="533">
        <v>86.32</v>
      </c>
      <c r="BC59" s="533">
        <v>87.01</v>
      </c>
      <c r="BD59" s="533">
        <v>87.68</v>
      </c>
      <c r="BE59" s="533">
        <v>90.7</v>
      </c>
      <c r="BF59" s="533">
        <v>93.18</v>
      </c>
      <c r="BG59" s="533">
        <v>95.16</v>
      </c>
      <c r="BH59" s="533" t="s">
        <v>556</v>
      </c>
      <c r="BI59" s="533" t="s">
        <v>556</v>
      </c>
      <c r="BJ59" s="538" t="s">
        <v>556</v>
      </c>
      <c r="BK59" s="538" t="s">
        <v>556</v>
      </c>
    </row>
    <row r="60" spans="2:63" x14ac:dyDescent="0.25">
      <c r="B60" s="536">
        <v>71</v>
      </c>
      <c r="C60" s="533">
        <v>79.98</v>
      </c>
      <c r="D60" s="533">
        <v>80.819999999999993</v>
      </c>
      <c r="E60" s="533">
        <v>81.650000000000006</v>
      </c>
      <c r="F60" s="533">
        <v>82.48</v>
      </c>
      <c r="G60" s="533">
        <v>83.3</v>
      </c>
      <c r="H60" s="533">
        <v>84.11</v>
      </c>
      <c r="I60" s="533">
        <v>84.9</v>
      </c>
      <c r="J60" s="533">
        <v>85.68</v>
      </c>
      <c r="K60" s="533">
        <v>86.44</v>
      </c>
      <c r="L60" s="533">
        <v>87.18</v>
      </c>
      <c r="M60" s="533">
        <v>87.9</v>
      </c>
      <c r="N60" s="533">
        <v>88.6</v>
      </c>
      <c r="O60" s="533">
        <v>91.78</v>
      </c>
      <c r="P60" s="533">
        <v>94.4</v>
      </c>
      <c r="Q60" s="533">
        <v>96.52</v>
      </c>
      <c r="R60" s="533" t="s">
        <v>556</v>
      </c>
      <c r="S60" s="533" t="s">
        <v>556</v>
      </c>
      <c r="T60" s="534" t="s">
        <v>556</v>
      </c>
      <c r="U60" s="534" t="s">
        <v>556</v>
      </c>
      <c r="V60" s="530"/>
      <c r="W60" s="536">
        <v>71</v>
      </c>
      <c r="X60" s="533">
        <v>80.36</v>
      </c>
      <c r="Y60" s="533">
        <v>81.209999999999994</v>
      </c>
      <c r="Z60" s="533">
        <v>82.05</v>
      </c>
      <c r="AA60" s="533">
        <v>82.89</v>
      </c>
      <c r="AB60" s="533">
        <v>83.72</v>
      </c>
      <c r="AC60" s="533">
        <v>84.53</v>
      </c>
      <c r="AD60" s="533">
        <v>85.34</v>
      </c>
      <c r="AE60" s="533">
        <v>86.12</v>
      </c>
      <c r="AF60" s="533">
        <v>86.89</v>
      </c>
      <c r="AG60" s="533">
        <v>87.64</v>
      </c>
      <c r="AH60" s="533">
        <v>88.38</v>
      </c>
      <c r="AI60" s="533">
        <v>89.09</v>
      </c>
      <c r="AJ60" s="533">
        <v>92.3</v>
      </c>
      <c r="AK60" s="533">
        <v>94.96</v>
      </c>
      <c r="AL60" s="533">
        <v>97.11</v>
      </c>
      <c r="AM60" s="533" t="s">
        <v>556</v>
      </c>
      <c r="AN60" s="533" t="s">
        <v>556</v>
      </c>
      <c r="AO60" s="534" t="s">
        <v>556</v>
      </c>
      <c r="AP60" s="534" t="s">
        <v>556</v>
      </c>
      <c r="AQ60" s="537"/>
      <c r="AR60" s="536">
        <v>71</v>
      </c>
      <c r="AS60" s="533">
        <v>81.11</v>
      </c>
      <c r="AT60" s="533">
        <v>81.96</v>
      </c>
      <c r="AU60" s="533">
        <v>82.82</v>
      </c>
      <c r="AV60" s="533">
        <v>83.66</v>
      </c>
      <c r="AW60" s="533">
        <v>84.49</v>
      </c>
      <c r="AX60" s="533">
        <v>85.32</v>
      </c>
      <c r="AY60" s="533">
        <v>86.13</v>
      </c>
      <c r="AZ60" s="533">
        <v>86.92</v>
      </c>
      <c r="BA60" s="533">
        <v>87.7</v>
      </c>
      <c r="BB60" s="533">
        <v>88.45</v>
      </c>
      <c r="BC60" s="533">
        <v>89.19</v>
      </c>
      <c r="BD60" s="533">
        <v>89.9</v>
      </c>
      <c r="BE60" s="533">
        <v>93.13</v>
      </c>
      <c r="BF60" s="533">
        <v>95.78</v>
      </c>
      <c r="BG60" s="533">
        <v>97.92</v>
      </c>
      <c r="BH60" s="533" t="s">
        <v>556</v>
      </c>
      <c r="BI60" s="533" t="s">
        <v>556</v>
      </c>
      <c r="BJ60" s="538" t="s">
        <v>556</v>
      </c>
      <c r="BK60" s="538" t="s">
        <v>556</v>
      </c>
    </row>
    <row r="61" spans="2:63" x14ac:dyDescent="0.25">
      <c r="B61" s="536">
        <v>72</v>
      </c>
      <c r="C61" s="533">
        <v>81.72</v>
      </c>
      <c r="D61" s="533">
        <v>82.62</v>
      </c>
      <c r="E61" s="533">
        <v>83.51</v>
      </c>
      <c r="F61" s="533">
        <v>84.4</v>
      </c>
      <c r="G61" s="533">
        <v>85.27</v>
      </c>
      <c r="H61" s="533">
        <v>86.13</v>
      </c>
      <c r="I61" s="533">
        <v>86.98</v>
      </c>
      <c r="J61" s="533">
        <v>87.81</v>
      </c>
      <c r="K61" s="533">
        <v>88.62</v>
      </c>
      <c r="L61" s="533">
        <v>89.41</v>
      </c>
      <c r="M61" s="533">
        <v>90.18</v>
      </c>
      <c r="N61" s="533">
        <v>90.93</v>
      </c>
      <c r="O61" s="533">
        <v>94.32</v>
      </c>
      <c r="P61" s="533">
        <v>97.13</v>
      </c>
      <c r="Q61" s="533">
        <v>99.42</v>
      </c>
      <c r="R61" s="533" t="s">
        <v>556</v>
      </c>
      <c r="S61" s="533" t="s">
        <v>556</v>
      </c>
      <c r="T61" s="534" t="s">
        <v>556</v>
      </c>
      <c r="U61" s="534" t="s">
        <v>556</v>
      </c>
      <c r="V61" s="530"/>
      <c r="W61" s="536">
        <v>72</v>
      </c>
      <c r="X61" s="533">
        <v>82.12</v>
      </c>
      <c r="Y61" s="533">
        <v>83.03</v>
      </c>
      <c r="Z61" s="533">
        <v>83.93</v>
      </c>
      <c r="AA61" s="533">
        <v>84.83</v>
      </c>
      <c r="AB61" s="533">
        <v>85.71</v>
      </c>
      <c r="AC61" s="533">
        <v>86.58</v>
      </c>
      <c r="AD61" s="533">
        <v>87.44</v>
      </c>
      <c r="AE61" s="533">
        <v>88.28</v>
      </c>
      <c r="AF61" s="533">
        <v>89.1</v>
      </c>
      <c r="AG61" s="533">
        <v>89.9</v>
      </c>
      <c r="AH61" s="533">
        <v>90.68</v>
      </c>
      <c r="AI61" s="533">
        <v>91.44</v>
      </c>
      <c r="AJ61" s="533">
        <v>94.88</v>
      </c>
      <c r="AK61" s="533">
        <v>97.73</v>
      </c>
      <c r="AL61" s="533">
        <v>100.05</v>
      </c>
      <c r="AM61" s="533" t="s">
        <v>556</v>
      </c>
      <c r="AN61" s="533" t="s">
        <v>556</v>
      </c>
      <c r="AO61" s="534" t="s">
        <v>556</v>
      </c>
      <c r="AP61" s="534" t="s">
        <v>556</v>
      </c>
      <c r="AQ61" s="537"/>
      <c r="AR61" s="536">
        <v>72</v>
      </c>
      <c r="AS61" s="533">
        <v>82.89</v>
      </c>
      <c r="AT61" s="533">
        <v>83.8</v>
      </c>
      <c r="AU61" s="533">
        <v>84.71</v>
      </c>
      <c r="AV61" s="533">
        <v>85.61</v>
      </c>
      <c r="AW61" s="533">
        <v>86.51</v>
      </c>
      <c r="AX61" s="533">
        <v>87.38</v>
      </c>
      <c r="AY61" s="533">
        <v>88.25</v>
      </c>
      <c r="AZ61" s="533">
        <v>89.09</v>
      </c>
      <c r="BA61" s="533">
        <v>89.92</v>
      </c>
      <c r="BB61" s="533">
        <v>90.73</v>
      </c>
      <c r="BC61" s="533">
        <v>91.51</v>
      </c>
      <c r="BD61" s="533">
        <v>92.27</v>
      </c>
      <c r="BE61" s="533">
        <v>95.71</v>
      </c>
      <c r="BF61" s="533">
        <v>98.56</v>
      </c>
      <c r="BG61" s="533">
        <v>100.87</v>
      </c>
      <c r="BH61" s="533" t="s">
        <v>556</v>
      </c>
      <c r="BI61" s="533" t="s">
        <v>556</v>
      </c>
      <c r="BJ61" s="538" t="s">
        <v>556</v>
      </c>
      <c r="BK61" s="538" t="s">
        <v>556</v>
      </c>
    </row>
    <row r="62" spans="2:63" x14ac:dyDescent="0.25">
      <c r="B62" s="536">
        <v>73</v>
      </c>
      <c r="C62" s="533">
        <v>83.59</v>
      </c>
      <c r="D62" s="533">
        <v>84.55</v>
      </c>
      <c r="E62" s="533">
        <v>85.5</v>
      </c>
      <c r="F62" s="533">
        <v>86.44</v>
      </c>
      <c r="G62" s="533">
        <v>87.37</v>
      </c>
      <c r="H62" s="533">
        <v>88.29</v>
      </c>
      <c r="I62" s="533">
        <v>89.19</v>
      </c>
      <c r="J62" s="533">
        <v>90.08</v>
      </c>
      <c r="K62" s="533">
        <v>90.94</v>
      </c>
      <c r="L62" s="533">
        <v>91.79</v>
      </c>
      <c r="M62" s="533">
        <v>92.61</v>
      </c>
      <c r="N62" s="533">
        <v>93.4</v>
      </c>
      <c r="O62" s="533">
        <v>97.02</v>
      </c>
      <c r="P62" s="533">
        <v>100.03</v>
      </c>
      <c r="Q62" s="533">
        <v>102.52</v>
      </c>
      <c r="R62" s="533" t="s">
        <v>556</v>
      </c>
      <c r="S62" s="533" t="s">
        <v>556</v>
      </c>
      <c r="T62" s="534" t="s">
        <v>556</v>
      </c>
      <c r="U62" s="534" t="s">
        <v>556</v>
      </c>
      <c r="V62" s="530"/>
      <c r="W62" s="536">
        <v>73</v>
      </c>
      <c r="X62" s="533">
        <v>84.01</v>
      </c>
      <c r="Y62" s="533">
        <v>84.98</v>
      </c>
      <c r="Z62" s="533">
        <v>85.94</v>
      </c>
      <c r="AA62" s="533">
        <v>86.9</v>
      </c>
      <c r="AB62" s="533">
        <v>87.84</v>
      </c>
      <c r="AC62" s="533">
        <v>88.77</v>
      </c>
      <c r="AD62" s="533">
        <v>89.69</v>
      </c>
      <c r="AE62" s="533">
        <v>90.58</v>
      </c>
      <c r="AF62" s="533">
        <v>91.46</v>
      </c>
      <c r="AG62" s="533">
        <v>92.31</v>
      </c>
      <c r="AH62" s="533">
        <v>93.14</v>
      </c>
      <c r="AI62" s="533">
        <v>93.95</v>
      </c>
      <c r="AJ62" s="533">
        <v>97.62</v>
      </c>
      <c r="AK62" s="533">
        <v>100.68</v>
      </c>
      <c r="AL62" s="533">
        <v>103.2</v>
      </c>
      <c r="AM62" s="533" t="s">
        <v>556</v>
      </c>
      <c r="AN62" s="533" t="s">
        <v>556</v>
      </c>
      <c r="AO62" s="534" t="s">
        <v>556</v>
      </c>
      <c r="AP62" s="534" t="s">
        <v>556</v>
      </c>
      <c r="AQ62" s="537"/>
      <c r="AR62" s="536">
        <v>73</v>
      </c>
      <c r="AS62" s="533">
        <v>84.79</v>
      </c>
      <c r="AT62" s="533">
        <v>85.77</v>
      </c>
      <c r="AU62" s="533">
        <v>86.74</v>
      </c>
      <c r="AV62" s="533">
        <v>87.7</v>
      </c>
      <c r="AW62" s="533">
        <v>88.65</v>
      </c>
      <c r="AX62" s="533">
        <v>89.59</v>
      </c>
      <c r="AY62" s="533">
        <v>90.51</v>
      </c>
      <c r="AZ62" s="533">
        <v>91.41</v>
      </c>
      <c r="BA62" s="533">
        <v>92.29</v>
      </c>
      <c r="BB62" s="533">
        <v>93.15</v>
      </c>
      <c r="BC62" s="533">
        <v>93.99</v>
      </c>
      <c r="BD62" s="533">
        <v>94.8</v>
      </c>
      <c r="BE62" s="533">
        <v>98.47</v>
      </c>
      <c r="BF62" s="533">
        <v>101.52</v>
      </c>
      <c r="BG62" s="533">
        <v>104.02</v>
      </c>
      <c r="BH62" s="533" t="s">
        <v>556</v>
      </c>
      <c r="BI62" s="533" t="s">
        <v>556</v>
      </c>
      <c r="BJ62" s="538" t="s">
        <v>556</v>
      </c>
      <c r="BK62" s="538" t="s">
        <v>556</v>
      </c>
    </row>
    <row r="63" spans="2:63" x14ac:dyDescent="0.25">
      <c r="B63" s="536">
        <v>74</v>
      </c>
      <c r="C63" s="533">
        <v>85.58</v>
      </c>
      <c r="D63" s="533">
        <v>86.6</v>
      </c>
      <c r="E63" s="533">
        <v>87.62</v>
      </c>
      <c r="F63" s="533">
        <v>88.63</v>
      </c>
      <c r="G63" s="533">
        <v>89.62</v>
      </c>
      <c r="H63" s="533">
        <v>90.6</v>
      </c>
      <c r="I63" s="533">
        <v>91.56</v>
      </c>
      <c r="J63" s="533">
        <v>92.5</v>
      </c>
      <c r="K63" s="533">
        <v>93.42</v>
      </c>
      <c r="L63" s="533">
        <v>94.32</v>
      </c>
      <c r="M63" s="533">
        <v>95.19</v>
      </c>
      <c r="N63" s="533">
        <v>96.04</v>
      </c>
      <c r="O63" s="533">
        <v>99.9</v>
      </c>
      <c r="P63" s="533">
        <v>103.13</v>
      </c>
      <c r="Q63" s="533">
        <v>105.84</v>
      </c>
      <c r="R63" s="533" t="s">
        <v>556</v>
      </c>
      <c r="S63" s="533" t="s">
        <v>556</v>
      </c>
      <c r="T63" s="534" t="s">
        <v>556</v>
      </c>
      <c r="U63" s="534" t="s">
        <v>556</v>
      </c>
      <c r="V63" s="530"/>
      <c r="W63" s="536">
        <v>74</v>
      </c>
      <c r="X63" s="533">
        <v>86.02</v>
      </c>
      <c r="Y63" s="533">
        <v>87.06</v>
      </c>
      <c r="Z63" s="533">
        <v>88.09</v>
      </c>
      <c r="AA63" s="533">
        <v>89.11</v>
      </c>
      <c r="AB63" s="533">
        <v>90.11</v>
      </c>
      <c r="AC63" s="533">
        <v>91.11</v>
      </c>
      <c r="AD63" s="533">
        <v>92.08</v>
      </c>
      <c r="AE63" s="533">
        <v>93.03</v>
      </c>
      <c r="AF63" s="533">
        <v>93.97</v>
      </c>
      <c r="AG63" s="533">
        <v>94.88</v>
      </c>
      <c r="AH63" s="533">
        <v>95.76</v>
      </c>
      <c r="AI63" s="533">
        <v>96.62</v>
      </c>
      <c r="AJ63" s="533">
        <v>100.54</v>
      </c>
      <c r="AK63" s="533">
        <v>103.82</v>
      </c>
      <c r="AL63" s="533">
        <v>106.57</v>
      </c>
      <c r="AM63" s="533" t="s">
        <v>556</v>
      </c>
      <c r="AN63" s="533" t="s">
        <v>556</v>
      </c>
      <c r="AO63" s="534" t="s">
        <v>556</v>
      </c>
      <c r="AP63" s="534" t="s">
        <v>556</v>
      </c>
      <c r="AQ63" s="537"/>
      <c r="AR63" s="536">
        <v>74</v>
      </c>
      <c r="AS63" s="533">
        <v>86.82</v>
      </c>
      <c r="AT63" s="533">
        <v>87.87</v>
      </c>
      <c r="AU63" s="533">
        <v>88.9</v>
      </c>
      <c r="AV63" s="533">
        <v>89.93</v>
      </c>
      <c r="AW63" s="533">
        <v>90.94</v>
      </c>
      <c r="AX63" s="533">
        <v>91.94</v>
      </c>
      <c r="AY63" s="533">
        <v>92.92</v>
      </c>
      <c r="AZ63" s="533">
        <v>93.88</v>
      </c>
      <c r="BA63" s="533">
        <v>94.82</v>
      </c>
      <c r="BB63" s="533">
        <v>95.73</v>
      </c>
      <c r="BC63" s="533">
        <v>96.62</v>
      </c>
      <c r="BD63" s="533">
        <v>97.48</v>
      </c>
      <c r="BE63" s="533">
        <v>101.4</v>
      </c>
      <c r="BF63" s="533">
        <v>104.67</v>
      </c>
      <c r="BG63" s="533">
        <v>107.39</v>
      </c>
      <c r="BH63" s="533" t="s">
        <v>556</v>
      </c>
      <c r="BI63" s="533" t="s">
        <v>556</v>
      </c>
      <c r="BJ63" s="538" t="s">
        <v>556</v>
      </c>
      <c r="BK63" s="538" t="s">
        <v>556</v>
      </c>
    </row>
    <row r="64" spans="2:63" x14ac:dyDescent="0.25">
      <c r="B64" s="536">
        <v>75</v>
      </c>
      <c r="C64" s="533">
        <v>87.71</v>
      </c>
      <c r="D64" s="533">
        <v>88.8</v>
      </c>
      <c r="E64" s="533">
        <v>89.88</v>
      </c>
      <c r="F64" s="533">
        <v>90.95</v>
      </c>
      <c r="G64" s="533">
        <v>92.01</v>
      </c>
      <c r="H64" s="533">
        <v>93.05</v>
      </c>
      <c r="I64" s="533">
        <v>94.07</v>
      </c>
      <c r="J64" s="533">
        <v>95.07</v>
      </c>
      <c r="K64" s="533">
        <v>96.05</v>
      </c>
      <c r="L64" s="533">
        <v>97.01</v>
      </c>
      <c r="M64" s="533">
        <v>97.94</v>
      </c>
      <c r="N64" s="533">
        <v>98.84</v>
      </c>
      <c r="O64" s="533">
        <v>102.96</v>
      </c>
      <c r="P64" s="533">
        <v>106.43</v>
      </c>
      <c r="Q64" s="533" t="s">
        <v>556</v>
      </c>
      <c r="R64" s="533" t="s">
        <v>556</v>
      </c>
      <c r="S64" s="533" t="s">
        <v>556</v>
      </c>
      <c r="T64" s="534" t="s">
        <v>556</v>
      </c>
      <c r="U64" s="534" t="s">
        <v>556</v>
      </c>
      <c r="V64" s="530"/>
      <c r="W64" s="536">
        <v>75</v>
      </c>
      <c r="X64" s="533">
        <v>88.18</v>
      </c>
      <c r="Y64" s="533">
        <v>89.28</v>
      </c>
      <c r="Z64" s="533">
        <v>90.38</v>
      </c>
      <c r="AA64" s="533">
        <v>91.47</v>
      </c>
      <c r="AB64" s="533">
        <v>92.54</v>
      </c>
      <c r="AC64" s="533">
        <v>93.59</v>
      </c>
      <c r="AD64" s="533">
        <v>94.63</v>
      </c>
      <c r="AE64" s="533">
        <v>95.64</v>
      </c>
      <c r="AF64" s="533">
        <v>96.64</v>
      </c>
      <c r="AG64" s="533">
        <v>97.61</v>
      </c>
      <c r="AH64" s="533">
        <v>98.55</v>
      </c>
      <c r="AI64" s="533">
        <v>99.47</v>
      </c>
      <c r="AJ64" s="533">
        <v>103.65</v>
      </c>
      <c r="AK64" s="533">
        <v>107.17</v>
      </c>
      <c r="AL64" s="533" t="s">
        <v>556</v>
      </c>
      <c r="AM64" s="533" t="s">
        <v>556</v>
      </c>
      <c r="AN64" s="533" t="s">
        <v>556</v>
      </c>
      <c r="AO64" s="534" t="s">
        <v>556</v>
      </c>
      <c r="AP64" s="534" t="s">
        <v>556</v>
      </c>
      <c r="AQ64" s="537"/>
      <c r="AR64" s="536">
        <v>75</v>
      </c>
      <c r="AS64" s="533">
        <v>88.99</v>
      </c>
      <c r="AT64" s="533">
        <v>90.11</v>
      </c>
      <c r="AU64" s="533">
        <v>91.21</v>
      </c>
      <c r="AV64" s="533">
        <v>92.3</v>
      </c>
      <c r="AW64" s="533">
        <v>93.38</v>
      </c>
      <c r="AX64" s="533">
        <v>94.44</v>
      </c>
      <c r="AY64" s="533">
        <v>95.49</v>
      </c>
      <c r="AZ64" s="533">
        <v>96.51</v>
      </c>
      <c r="BA64" s="533">
        <v>97.5</v>
      </c>
      <c r="BB64" s="533">
        <v>98.47</v>
      </c>
      <c r="BC64" s="533">
        <v>99.42</v>
      </c>
      <c r="BD64" s="533">
        <v>100.34</v>
      </c>
      <c r="BE64" s="533">
        <v>104.52</v>
      </c>
      <c r="BF64" s="533">
        <v>108.03</v>
      </c>
      <c r="BG64" s="533" t="s">
        <v>556</v>
      </c>
      <c r="BH64" s="533" t="s">
        <v>556</v>
      </c>
      <c r="BI64" s="533" t="s">
        <v>556</v>
      </c>
      <c r="BJ64" s="538" t="s">
        <v>556</v>
      </c>
      <c r="BK64" s="538" t="s">
        <v>556</v>
      </c>
    </row>
    <row r="65" spans="2:63" x14ac:dyDescent="0.25">
      <c r="B65" s="536">
        <v>76</v>
      </c>
      <c r="C65" s="533">
        <v>89.97</v>
      </c>
      <c r="D65" s="533">
        <v>91.13</v>
      </c>
      <c r="E65" s="533">
        <v>92.29</v>
      </c>
      <c r="F65" s="533">
        <v>93.43</v>
      </c>
      <c r="G65" s="533">
        <v>94.55</v>
      </c>
      <c r="H65" s="533">
        <v>95.66</v>
      </c>
      <c r="I65" s="533">
        <v>96.74</v>
      </c>
      <c r="J65" s="533">
        <v>97.81</v>
      </c>
      <c r="K65" s="533">
        <v>98.85</v>
      </c>
      <c r="L65" s="533">
        <v>99.86</v>
      </c>
      <c r="M65" s="533">
        <v>100.85</v>
      </c>
      <c r="N65" s="533">
        <v>101.81</v>
      </c>
      <c r="O65" s="533">
        <v>106.21</v>
      </c>
      <c r="P65" s="533">
        <v>109.95</v>
      </c>
      <c r="Q65" s="533" t="s">
        <v>556</v>
      </c>
      <c r="R65" s="533" t="s">
        <v>556</v>
      </c>
      <c r="S65" s="533" t="s">
        <v>556</v>
      </c>
      <c r="T65" s="534" t="s">
        <v>556</v>
      </c>
      <c r="U65" s="534" t="s">
        <v>556</v>
      </c>
      <c r="V65" s="530"/>
      <c r="W65" s="536">
        <v>76</v>
      </c>
      <c r="X65" s="533">
        <v>90.47</v>
      </c>
      <c r="Y65" s="533">
        <v>91.65</v>
      </c>
      <c r="Z65" s="533">
        <v>92.82</v>
      </c>
      <c r="AA65" s="533">
        <v>93.97</v>
      </c>
      <c r="AB65" s="533">
        <v>95.11</v>
      </c>
      <c r="AC65" s="533">
        <v>96.24</v>
      </c>
      <c r="AD65" s="533">
        <v>97.34</v>
      </c>
      <c r="AE65" s="533">
        <v>98.42</v>
      </c>
      <c r="AF65" s="533">
        <v>99.47</v>
      </c>
      <c r="AG65" s="533">
        <v>100.5</v>
      </c>
      <c r="AH65" s="533">
        <v>101.51</v>
      </c>
      <c r="AI65" s="533">
        <v>102.48</v>
      </c>
      <c r="AJ65" s="533">
        <v>106.95</v>
      </c>
      <c r="AK65" s="533">
        <v>110.75</v>
      </c>
      <c r="AL65" s="533" t="s">
        <v>556</v>
      </c>
      <c r="AM65" s="533" t="s">
        <v>556</v>
      </c>
      <c r="AN65" s="533" t="s">
        <v>556</v>
      </c>
      <c r="AO65" s="534" t="s">
        <v>556</v>
      </c>
      <c r="AP65" s="534" t="s">
        <v>556</v>
      </c>
      <c r="AQ65" s="537"/>
      <c r="AR65" s="536">
        <v>76</v>
      </c>
      <c r="AS65" s="533">
        <v>91.3</v>
      </c>
      <c r="AT65" s="533">
        <v>92.49</v>
      </c>
      <c r="AU65" s="533">
        <v>93.67</v>
      </c>
      <c r="AV65" s="533">
        <v>94.83</v>
      </c>
      <c r="AW65" s="533">
        <v>95.98</v>
      </c>
      <c r="AX65" s="533">
        <v>97.1</v>
      </c>
      <c r="AY65" s="533">
        <v>98.21</v>
      </c>
      <c r="AZ65" s="533">
        <v>99.29</v>
      </c>
      <c r="BA65" s="533">
        <v>100.35</v>
      </c>
      <c r="BB65" s="533">
        <v>101.39</v>
      </c>
      <c r="BC65" s="533">
        <v>102.39</v>
      </c>
      <c r="BD65" s="533">
        <v>103.37</v>
      </c>
      <c r="BE65" s="533">
        <v>107.83</v>
      </c>
      <c r="BF65" s="533">
        <v>111.6</v>
      </c>
      <c r="BG65" s="533" t="s">
        <v>556</v>
      </c>
      <c r="BH65" s="533" t="s">
        <v>556</v>
      </c>
      <c r="BI65" s="533" t="s">
        <v>556</v>
      </c>
      <c r="BJ65" s="538" t="s">
        <v>556</v>
      </c>
      <c r="BK65" s="538" t="s">
        <v>556</v>
      </c>
    </row>
    <row r="66" spans="2:63" x14ac:dyDescent="0.25">
      <c r="B66" s="536">
        <v>77</v>
      </c>
      <c r="C66" s="533">
        <v>92.39</v>
      </c>
      <c r="D66" s="533">
        <v>93.62</v>
      </c>
      <c r="E66" s="533">
        <v>94.85</v>
      </c>
      <c r="F66" s="533">
        <v>96.06</v>
      </c>
      <c r="G66" s="533">
        <v>97.25</v>
      </c>
      <c r="H66" s="533">
        <v>98.43</v>
      </c>
      <c r="I66" s="533">
        <v>99.58</v>
      </c>
      <c r="J66" s="533">
        <v>100.71</v>
      </c>
      <c r="K66" s="533">
        <v>101.82</v>
      </c>
      <c r="L66" s="533">
        <v>102.89</v>
      </c>
      <c r="M66" s="533">
        <v>103.95</v>
      </c>
      <c r="N66" s="533">
        <v>104.97</v>
      </c>
      <c r="O66" s="533">
        <v>109.66</v>
      </c>
      <c r="P66" s="533">
        <v>113.69</v>
      </c>
      <c r="Q66" s="533" t="s">
        <v>556</v>
      </c>
      <c r="R66" s="533" t="s">
        <v>556</v>
      </c>
      <c r="S66" s="533" t="s">
        <v>556</v>
      </c>
      <c r="T66" s="534" t="s">
        <v>556</v>
      </c>
      <c r="U66" s="534" t="s">
        <v>556</v>
      </c>
      <c r="V66" s="530"/>
      <c r="W66" s="536">
        <v>77</v>
      </c>
      <c r="X66" s="533">
        <v>92.92</v>
      </c>
      <c r="Y66" s="533">
        <v>94.17</v>
      </c>
      <c r="Z66" s="533">
        <v>95.41</v>
      </c>
      <c r="AA66" s="533">
        <v>96.64</v>
      </c>
      <c r="AB66" s="533">
        <v>97.85</v>
      </c>
      <c r="AC66" s="533">
        <v>99.05</v>
      </c>
      <c r="AD66" s="533">
        <v>100.22</v>
      </c>
      <c r="AE66" s="533">
        <v>101.36</v>
      </c>
      <c r="AF66" s="533">
        <v>102.49</v>
      </c>
      <c r="AG66" s="533">
        <v>103.58</v>
      </c>
      <c r="AH66" s="533">
        <v>104.65</v>
      </c>
      <c r="AI66" s="533">
        <v>105.69</v>
      </c>
      <c r="AJ66" s="533">
        <v>110.45</v>
      </c>
      <c r="AK66" s="533">
        <v>114.55</v>
      </c>
      <c r="AL66" s="533" t="s">
        <v>556</v>
      </c>
      <c r="AM66" s="533" t="s">
        <v>556</v>
      </c>
      <c r="AN66" s="533" t="s">
        <v>556</v>
      </c>
      <c r="AO66" s="534" t="s">
        <v>556</v>
      </c>
      <c r="AP66" s="534" t="s">
        <v>556</v>
      </c>
      <c r="AQ66" s="537"/>
      <c r="AR66" s="536">
        <v>77</v>
      </c>
      <c r="AS66" s="533">
        <v>93.77</v>
      </c>
      <c r="AT66" s="533">
        <v>95.03</v>
      </c>
      <c r="AU66" s="533">
        <v>96.28</v>
      </c>
      <c r="AV66" s="533">
        <v>97.51</v>
      </c>
      <c r="AW66" s="533">
        <v>98.73</v>
      </c>
      <c r="AX66" s="533">
        <v>99.93</v>
      </c>
      <c r="AY66" s="533">
        <v>101.1</v>
      </c>
      <c r="AZ66" s="533">
        <v>102.25</v>
      </c>
      <c r="BA66" s="533">
        <v>103.38</v>
      </c>
      <c r="BB66" s="533">
        <v>104.48</v>
      </c>
      <c r="BC66" s="533">
        <v>105.55</v>
      </c>
      <c r="BD66" s="533">
        <v>106.59</v>
      </c>
      <c r="BE66" s="533">
        <v>111.34</v>
      </c>
      <c r="BF66" s="533">
        <v>115.41</v>
      </c>
      <c r="BG66" s="533" t="s">
        <v>556</v>
      </c>
      <c r="BH66" s="533" t="s">
        <v>556</v>
      </c>
      <c r="BI66" s="533" t="s">
        <v>556</v>
      </c>
      <c r="BJ66" s="538" t="s">
        <v>556</v>
      </c>
      <c r="BK66" s="538" t="s">
        <v>556</v>
      </c>
    </row>
    <row r="67" spans="2:63" x14ac:dyDescent="0.25">
      <c r="B67" s="536">
        <v>78</v>
      </c>
      <c r="C67" s="533">
        <v>94.95</v>
      </c>
      <c r="D67" s="533">
        <v>96.26</v>
      </c>
      <c r="E67" s="533">
        <v>97.56</v>
      </c>
      <c r="F67" s="533">
        <v>98.85</v>
      </c>
      <c r="G67" s="533">
        <v>100.12</v>
      </c>
      <c r="H67" s="533">
        <v>101.36</v>
      </c>
      <c r="I67" s="533">
        <v>102.59</v>
      </c>
      <c r="J67" s="533">
        <v>103.79</v>
      </c>
      <c r="K67" s="533">
        <v>104.96</v>
      </c>
      <c r="L67" s="533">
        <v>106.11</v>
      </c>
      <c r="M67" s="533">
        <v>107.23</v>
      </c>
      <c r="N67" s="533">
        <v>108.31</v>
      </c>
      <c r="O67" s="533">
        <v>113.32</v>
      </c>
      <c r="P67" s="533">
        <v>117.69</v>
      </c>
      <c r="Q67" s="533" t="s">
        <v>556</v>
      </c>
      <c r="R67" s="533" t="s">
        <v>556</v>
      </c>
      <c r="S67" s="533" t="s">
        <v>556</v>
      </c>
      <c r="T67" s="534" t="s">
        <v>556</v>
      </c>
      <c r="U67" s="534" t="s">
        <v>556</v>
      </c>
      <c r="V67" s="530"/>
      <c r="W67" s="536">
        <v>78</v>
      </c>
      <c r="X67" s="533">
        <v>95.52</v>
      </c>
      <c r="Y67" s="533">
        <v>96.85</v>
      </c>
      <c r="Z67" s="533">
        <v>98.17</v>
      </c>
      <c r="AA67" s="533">
        <v>99.48</v>
      </c>
      <c r="AB67" s="533">
        <v>100.76</v>
      </c>
      <c r="AC67" s="533">
        <v>102.03</v>
      </c>
      <c r="AD67" s="533">
        <v>103.27</v>
      </c>
      <c r="AE67" s="533">
        <v>104.49</v>
      </c>
      <c r="AF67" s="533">
        <v>105.68</v>
      </c>
      <c r="AG67" s="533">
        <v>106.85</v>
      </c>
      <c r="AH67" s="533">
        <v>107.98</v>
      </c>
      <c r="AI67" s="533">
        <v>109.09</v>
      </c>
      <c r="AJ67" s="533">
        <v>114.18</v>
      </c>
      <c r="AK67" s="533">
        <v>118.61</v>
      </c>
      <c r="AL67" s="533" t="s">
        <v>556</v>
      </c>
      <c r="AM67" s="533" t="s">
        <v>556</v>
      </c>
      <c r="AN67" s="533" t="s">
        <v>556</v>
      </c>
      <c r="AO67" s="534" t="s">
        <v>556</v>
      </c>
      <c r="AP67" s="534" t="s">
        <v>556</v>
      </c>
      <c r="AQ67" s="537"/>
      <c r="AR67" s="536">
        <v>78</v>
      </c>
      <c r="AS67" s="533">
        <v>96.38</v>
      </c>
      <c r="AT67" s="533">
        <v>97.72</v>
      </c>
      <c r="AU67" s="533">
        <v>99.05</v>
      </c>
      <c r="AV67" s="533">
        <v>100.36</v>
      </c>
      <c r="AW67" s="533">
        <v>101.65</v>
      </c>
      <c r="AX67" s="533">
        <v>102.92</v>
      </c>
      <c r="AY67" s="533">
        <v>104.17</v>
      </c>
      <c r="AZ67" s="533">
        <v>105.39</v>
      </c>
      <c r="BA67" s="533">
        <v>106.59</v>
      </c>
      <c r="BB67" s="533">
        <v>107.75</v>
      </c>
      <c r="BC67" s="533">
        <v>108.89</v>
      </c>
      <c r="BD67" s="533">
        <v>109.99</v>
      </c>
      <c r="BE67" s="533">
        <v>115.07</v>
      </c>
      <c r="BF67" s="533">
        <v>119.47</v>
      </c>
      <c r="BG67" s="533" t="s">
        <v>556</v>
      </c>
      <c r="BH67" s="533" t="s">
        <v>556</v>
      </c>
      <c r="BI67" s="533" t="s">
        <v>556</v>
      </c>
      <c r="BJ67" s="538" t="s">
        <v>556</v>
      </c>
      <c r="BK67" s="538" t="s">
        <v>556</v>
      </c>
    </row>
    <row r="68" spans="2:63" x14ac:dyDescent="0.25">
      <c r="B68" s="536">
        <v>79</v>
      </c>
      <c r="C68" s="533">
        <v>97.68</v>
      </c>
      <c r="D68" s="533">
        <v>99.07</v>
      </c>
      <c r="E68" s="533">
        <v>100.45</v>
      </c>
      <c r="F68" s="533">
        <v>101.81</v>
      </c>
      <c r="G68" s="533">
        <v>103.15</v>
      </c>
      <c r="H68" s="533">
        <v>104.48</v>
      </c>
      <c r="I68" s="533">
        <v>105.78</v>
      </c>
      <c r="J68" s="533">
        <v>107.05</v>
      </c>
      <c r="K68" s="533">
        <v>108.29</v>
      </c>
      <c r="L68" s="533">
        <v>109.51</v>
      </c>
      <c r="M68" s="533">
        <v>110.7</v>
      </c>
      <c r="N68" s="533">
        <v>111.86</v>
      </c>
      <c r="O68" s="533">
        <v>117.21</v>
      </c>
      <c r="P68" s="533">
        <v>121.95</v>
      </c>
      <c r="Q68" s="533" t="s">
        <v>556</v>
      </c>
      <c r="R68" s="533" t="s">
        <v>556</v>
      </c>
      <c r="S68" s="533" t="s">
        <v>556</v>
      </c>
      <c r="T68" s="534" t="s">
        <v>556</v>
      </c>
      <c r="U68" s="534" t="s">
        <v>556</v>
      </c>
      <c r="V68" s="530"/>
      <c r="W68" s="536">
        <v>79</v>
      </c>
      <c r="X68" s="533">
        <v>98.28</v>
      </c>
      <c r="Y68" s="533">
        <v>99.7</v>
      </c>
      <c r="Z68" s="533">
        <v>101.1</v>
      </c>
      <c r="AA68" s="533">
        <v>102.48</v>
      </c>
      <c r="AB68" s="533">
        <v>103.85</v>
      </c>
      <c r="AC68" s="533">
        <v>105.19</v>
      </c>
      <c r="AD68" s="533">
        <v>106.51</v>
      </c>
      <c r="AE68" s="533">
        <v>107.8</v>
      </c>
      <c r="AF68" s="533">
        <v>109.07</v>
      </c>
      <c r="AG68" s="533">
        <v>110.31</v>
      </c>
      <c r="AH68" s="533">
        <v>111.51</v>
      </c>
      <c r="AI68" s="533">
        <v>112.69</v>
      </c>
      <c r="AJ68" s="533">
        <v>118.13</v>
      </c>
      <c r="AK68" s="533">
        <v>122.94</v>
      </c>
      <c r="AL68" s="533" t="s">
        <v>556</v>
      </c>
      <c r="AM68" s="533" t="s">
        <v>556</v>
      </c>
      <c r="AN68" s="533" t="s">
        <v>556</v>
      </c>
      <c r="AO68" s="534" t="s">
        <v>556</v>
      </c>
      <c r="AP68" s="534" t="s">
        <v>556</v>
      </c>
      <c r="AQ68" s="537"/>
      <c r="AR68" s="536">
        <v>79</v>
      </c>
      <c r="AS68" s="533">
        <v>99.16</v>
      </c>
      <c r="AT68" s="533">
        <v>100.58</v>
      </c>
      <c r="AU68" s="533">
        <v>101.99</v>
      </c>
      <c r="AV68" s="533">
        <v>103.38</v>
      </c>
      <c r="AW68" s="533">
        <v>104.75</v>
      </c>
      <c r="AX68" s="533">
        <v>106.1</v>
      </c>
      <c r="AY68" s="533">
        <v>107.42</v>
      </c>
      <c r="AZ68" s="533">
        <v>108.72</v>
      </c>
      <c r="BA68" s="533">
        <v>109.98</v>
      </c>
      <c r="BB68" s="533">
        <v>111.22</v>
      </c>
      <c r="BC68" s="533">
        <v>112.43</v>
      </c>
      <c r="BD68" s="533">
        <v>113.6</v>
      </c>
      <c r="BE68" s="533">
        <v>119.02</v>
      </c>
      <c r="BF68" s="533">
        <v>123.8</v>
      </c>
      <c r="BG68" s="533" t="s">
        <v>556</v>
      </c>
      <c r="BH68" s="533" t="s">
        <v>556</v>
      </c>
      <c r="BI68" s="533" t="s">
        <v>556</v>
      </c>
      <c r="BJ68" s="538" t="s">
        <v>556</v>
      </c>
      <c r="BK68" s="538" t="s">
        <v>556</v>
      </c>
    </row>
    <row r="69" spans="2:63" x14ac:dyDescent="0.25">
      <c r="B69" s="536">
        <v>80</v>
      </c>
      <c r="C69" s="533">
        <v>100.57</v>
      </c>
      <c r="D69" s="533">
        <v>102.04</v>
      </c>
      <c r="E69" s="533">
        <v>103.5</v>
      </c>
      <c r="F69" s="533">
        <v>104.95</v>
      </c>
      <c r="G69" s="533">
        <v>106.37</v>
      </c>
      <c r="H69" s="533">
        <v>107.77</v>
      </c>
      <c r="I69" s="533">
        <v>109.15</v>
      </c>
      <c r="J69" s="533">
        <v>110.5</v>
      </c>
      <c r="K69" s="533">
        <v>111.82</v>
      </c>
      <c r="L69" s="533">
        <v>113.12</v>
      </c>
      <c r="M69" s="533">
        <v>114.38</v>
      </c>
      <c r="N69" s="533">
        <v>115.61</v>
      </c>
      <c r="O69" s="533">
        <v>121.34</v>
      </c>
      <c r="P69" s="533" t="s">
        <v>556</v>
      </c>
      <c r="Q69" s="533" t="s">
        <v>556</v>
      </c>
      <c r="R69" s="533" t="s">
        <v>556</v>
      </c>
      <c r="S69" s="533" t="s">
        <v>556</v>
      </c>
      <c r="T69" s="534" t="s">
        <v>556</v>
      </c>
      <c r="U69" s="534" t="s">
        <v>556</v>
      </c>
      <c r="V69" s="530"/>
      <c r="W69" s="536">
        <v>80</v>
      </c>
      <c r="X69" s="533">
        <v>101.22</v>
      </c>
      <c r="Y69" s="533">
        <v>102.72</v>
      </c>
      <c r="Z69" s="533">
        <v>104.2</v>
      </c>
      <c r="AA69" s="533">
        <v>105.67</v>
      </c>
      <c r="AB69" s="533">
        <v>107.11</v>
      </c>
      <c r="AC69" s="533">
        <v>108.54</v>
      </c>
      <c r="AD69" s="533">
        <v>109.94</v>
      </c>
      <c r="AE69" s="533">
        <v>111.31</v>
      </c>
      <c r="AF69" s="533">
        <v>112.65</v>
      </c>
      <c r="AG69" s="533">
        <v>113.97</v>
      </c>
      <c r="AH69" s="533">
        <v>115.25</v>
      </c>
      <c r="AI69" s="533">
        <v>116.51</v>
      </c>
      <c r="AJ69" s="533">
        <v>122.33</v>
      </c>
      <c r="AK69" s="533" t="s">
        <v>556</v>
      </c>
      <c r="AL69" s="533" t="s">
        <v>556</v>
      </c>
      <c r="AM69" s="533" t="s">
        <v>556</v>
      </c>
      <c r="AN69" s="533" t="s">
        <v>556</v>
      </c>
      <c r="AO69" s="534" t="s">
        <v>556</v>
      </c>
      <c r="AP69" s="534" t="s">
        <v>556</v>
      </c>
      <c r="AQ69" s="537"/>
      <c r="AR69" s="536">
        <v>80</v>
      </c>
      <c r="AS69" s="533">
        <v>102.11</v>
      </c>
      <c r="AT69" s="533">
        <v>103.61</v>
      </c>
      <c r="AU69" s="533">
        <v>105.1</v>
      </c>
      <c r="AV69" s="533">
        <v>106.58</v>
      </c>
      <c r="AW69" s="533">
        <v>108.03</v>
      </c>
      <c r="AX69" s="533">
        <v>109.46</v>
      </c>
      <c r="AY69" s="533">
        <v>110.86</v>
      </c>
      <c r="AZ69" s="533">
        <v>112.23</v>
      </c>
      <c r="BA69" s="533">
        <v>113.58</v>
      </c>
      <c r="BB69" s="533">
        <v>114.89</v>
      </c>
      <c r="BC69" s="533">
        <v>116.17</v>
      </c>
      <c r="BD69" s="533">
        <v>117.43</v>
      </c>
      <c r="BE69" s="533">
        <v>123.22</v>
      </c>
      <c r="BF69" s="533" t="s">
        <v>556</v>
      </c>
      <c r="BG69" s="533" t="s">
        <v>556</v>
      </c>
      <c r="BH69" s="533" t="s">
        <v>556</v>
      </c>
      <c r="BI69" s="533" t="s">
        <v>556</v>
      </c>
      <c r="BJ69" s="538" t="s">
        <v>556</v>
      </c>
      <c r="BK69" s="538" t="s">
        <v>556</v>
      </c>
    </row>
    <row r="70" spans="2:63" x14ac:dyDescent="0.25">
      <c r="B70" s="536">
        <v>81</v>
      </c>
      <c r="C70" s="533">
        <v>103.63</v>
      </c>
      <c r="D70" s="533">
        <v>105.19</v>
      </c>
      <c r="E70" s="533">
        <v>106.74</v>
      </c>
      <c r="F70" s="533">
        <v>108.27</v>
      </c>
      <c r="G70" s="533">
        <v>109.78</v>
      </c>
      <c r="H70" s="533">
        <v>111.26</v>
      </c>
      <c r="I70" s="533">
        <v>112.72</v>
      </c>
      <c r="J70" s="533">
        <v>114.15</v>
      </c>
      <c r="K70" s="533">
        <v>115.56</v>
      </c>
      <c r="L70" s="533">
        <v>116.93</v>
      </c>
      <c r="M70" s="533">
        <v>118.27</v>
      </c>
      <c r="N70" s="533">
        <v>119.59</v>
      </c>
      <c r="O70" s="533">
        <v>125.72</v>
      </c>
      <c r="P70" s="533" t="s">
        <v>556</v>
      </c>
      <c r="Q70" s="533" t="s">
        <v>556</v>
      </c>
      <c r="R70" s="533" t="s">
        <v>556</v>
      </c>
      <c r="S70" s="533" t="s">
        <v>556</v>
      </c>
      <c r="T70" s="534" t="s">
        <v>556</v>
      </c>
      <c r="U70" s="534" t="s">
        <v>556</v>
      </c>
      <c r="V70" s="530"/>
      <c r="W70" s="536">
        <v>81</v>
      </c>
      <c r="X70" s="533">
        <v>104.33</v>
      </c>
      <c r="Y70" s="533">
        <v>105.92</v>
      </c>
      <c r="Z70" s="533">
        <v>107.49</v>
      </c>
      <c r="AA70" s="533">
        <v>109.04</v>
      </c>
      <c r="AB70" s="533">
        <v>110.57</v>
      </c>
      <c r="AC70" s="533">
        <v>112.08</v>
      </c>
      <c r="AD70" s="533">
        <v>113.57</v>
      </c>
      <c r="AE70" s="533">
        <v>115.02</v>
      </c>
      <c r="AF70" s="533">
        <v>116.45</v>
      </c>
      <c r="AG70" s="533">
        <v>117.85</v>
      </c>
      <c r="AH70" s="533">
        <v>119.21</v>
      </c>
      <c r="AI70" s="533">
        <v>120.55</v>
      </c>
      <c r="AJ70" s="533">
        <v>126.79</v>
      </c>
      <c r="AK70" s="533" t="s">
        <v>556</v>
      </c>
      <c r="AL70" s="533" t="s">
        <v>556</v>
      </c>
      <c r="AM70" s="533" t="s">
        <v>556</v>
      </c>
      <c r="AN70" s="533" t="s">
        <v>556</v>
      </c>
      <c r="AO70" s="534" t="s">
        <v>556</v>
      </c>
      <c r="AP70" s="534" t="s">
        <v>556</v>
      </c>
      <c r="AQ70" s="537"/>
      <c r="AR70" s="536">
        <v>81</v>
      </c>
      <c r="AS70" s="533">
        <v>105.23</v>
      </c>
      <c r="AT70" s="533">
        <v>106.82</v>
      </c>
      <c r="AU70" s="533">
        <v>108.4</v>
      </c>
      <c r="AV70" s="533">
        <v>109.96</v>
      </c>
      <c r="AW70" s="533">
        <v>111.5</v>
      </c>
      <c r="AX70" s="533">
        <v>113.01</v>
      </c>
      <c r="AY70" s="533">
        <v>114.5</v>
      </c>
      <c r="AZ70" s="533">
        <v>115.96</v>
      </c>
      <c r="BA70" s="533">
        <v>117.38</v>
      </c>
      <c r="BB70" s="533">
        <v>118.78</v>
      </c>
      <c r="BC70" s="533">
        <v>120.14</v>
      </c>
      <c r="BD70" s="533">
        <v>121.47</v>
      </c>
      <c r="BE70" s="533">
        <v>127.68</v>
      </c>
      <c r="BF70" s="533" t="s">
        <v>556</v>
      </c>
      <c r="BG70" s="533" t="s">
        <v>556</v>
      </c>
      <c r="BH70" s="533" t="s">
        <v>556</v>
      </c>
      <c r="BI70" s="533" t="s">
        <v>556</v>
      </c>
      <c r="BJ70" s="538" t="s">
        <v>556</v>
      </c>
      <c r="BK70" s="538" t="s">
        <v>556</v>
      </c>
    </row>
    <row r="71" spans="2:63" x14ac:dyDescent="0.25">
      <c r="B71" s="536">
        <v>82</v>
      </c>
      <c r="C71" s="533">
        <v>106.87</v>
      </c>
      <c r="D71" s="533">
        <v>108.52</v>
      </c>
      <c r="E71" s="533">
        <v>110.16</v>
      </c>
      <c r="F71" s="533">
        <v>111.78</v>
      </c>
      <c r="G71" s="533">
        <v>113.38</v>
      </c>
      <c r="H71" s="533">
        <v>114.95</v>
      </c>
      <c r="I71" s="533">
        <v>116.5</v>
      </c>
      <c r="J71" s="533">
        <v>118.02</v>
      </c>
      <c r="K71" s="533">
        <v>119.5</v>
      </c>
      <c r="L71" s="533">
        <v>120.96</v>
      </c>
      <c r="M71" s="533">
        <v>122.39</v>
      </c>
      <c r="N71" s="533">
        <v>123.79</v>
      </c>
      <c r="O71" s="533">
        <v>130.38999999999999</v>
      </c>
      <c r="P71" s="533" t="s">
        <v>556</v>
      </c>
      <c r="Q71" s="533" t="s">
        <v>556</v>
      </c>
      <c r="R71" s="533" t="s">
        <v>556</v>
      </c>
      <c r="S71" s="533" t="s">
        <v>556</v>
      </c>
      <c r="T71" s="534" t="s">
        <v>556</v>
      </c>
      <c r="U71" s="534" t="s">
        <v>556</v>
      </c>
      <c r="V71" s="530"/>
      <c r="W71" s="536">
        <v>82</v>
      </c>
      <c r="X71" s="533">
        <v>107.62</v>
      </c>
      <c r="Y71" s="533">
        <v>109.3</v>
      </c>
      <c r="Z71" s="533">
        <v>110.97</v>
      </c>
      <c r="AA71" s="533">
        <v>112.61</v>
      </c>
      <c r="AB71" s="533">
        <v>114.24</v>
      </c>
      <c r="AC71" s="533">
        <v>115.83</v>
      </c>
      <c r="AD71" s="533">
        <v>117.41</v>
      </c>
      <c r="AE71" s="533">
        <v>118.95</v>
      </c>
      <c r="AF71" s="533">
        <v>120.47</v>
      </c>
      <c r="AG71" s="533">
        <v>121.95</v>
      </c>
      <c r="AH71" s="533">
        <v>123.4</v>
      </c>
      <c r="AI71" s="533">
        <v>124.83</v>
      </c>
      <c r="AJ71" s="533">
        <v>131.53</v>
      </c>
      <c r="AK71" s="533" t="s">
        <v>556</v>
      </c>
      <c r="AL71" s="533" t="s">
        <v>556</v>
      </c>
      <c r="AM71" s="533" t="s">
        <v>556</v>
      </c>
      <c r="AN71" s="533" t="s">
        <v>556</v>
      </c>
      <c r="AO71" s="534" t="s">
        <v>556</v>
      </c>
      <c r="AP71" s="534" t="s">
        <v>556</v>
      </c>
      <c r="AQ71" s="537"/>
      <c r="AR71" s="536">
        <v>82</v>
      </c>
      <c r="AS71" s="533">
        <v>108.54</v>
      </c>
      <c r="AT71" s="533">
        <v>110.22</v>
      </c>
      <c r="AU71" s="533">
        <v>111.89</v>
      </c>
      <c r="AV71" s="533">
        <v>113.54</v>
      </c>
      <c r="AW71" s="533">
        <v>115.17</v>
      </c>
      <c r="AX71" s="533">
        <v>116.77</v>
      </c>
      <c r="AY71" s="533">
        <v>118.35</v>
      </c>
      <c r="AZ71" s="533">
        <v>119.89</v>
      </c>
      <c r="BA71" s="533">
        <v>121.4</v>
      </c>
      <c r="BB71" s="533">
        <v>122.88</v>
      </c>
      <c r="BC71" s="533">
        <v>124.33</v>
      </c>
      <c r="BD71" s="533">
        <v>125.75</v>
      </c>
      <c r="BE71" s="533">
        <v>132.41999999999999</v>
      </c>
      <c r="BF71" s="533" t="s">
        <v>556</v>
      </c>
      <c r="BG71" s="533" t="s">
        <v>556</v>
      </c>
      <c r="BH71" s="533" t="s">
        <v>556</v>
      </c>
      <c r="BI71" s="533" t="s">
        <v>556</v>
      </c>
      <c r="BJ71" s="538" t="s">
        <v>556</v>
      </c>
      <c r="BK71" s="538" t="s">
        <v>556</v>
      </c>
    </row>
    <row r="72" spans="2:63" x14ac:dyDescent="0.25">
      <c r="B72" s="536">
        <v>83</v>
      </c>
      <c r="C72" s="533">
        <v>110.3</v>
      </c>
      <c r="D72" s="533">
        <v>112.05</v>
      </c>
      <c r="E72" s="533">
        <v>113.78</v>
      </c>
      <c r="F72" s="533">
        <v>115.5</v>
      </c>
      <c r="G72" s="533">
        <v>117.19</v>
      </c>
      <c r="H72" s="533">
        <v>118.85</v>
      </c>
      <c r="I72" s="533">
        <v>120.49</v>
      </c>
      <c r="J72" s="533">
        <v>122.1</v>
      </c>
      <c r="K72" s="533">
        <v>123.68</v>
      </c>
      <c r="L72" s="533">
        <v>125.23</v>
      </c>
      <c r="M72" s="533">
        <v>126.75</v>
      </c>
      <c r="N72" s="533">
        <v>128.25</v>
      </c>
      <c r="O72" s="533">
        <v>135.37</v>
      </c>
      <c r="P72" s="533" t="s">
        <v>556</v>
      </c>
      <c r="Q72" s="533" t="s">
        <v>556</v>
      </c>
      <c r="R72" s="533" t="s">
        <v>556</v>
      </c>
      <c r="S72" s="533" t="s">
        <v>556</v>
      </c>
      <c r="T72" s="534" t="s">
        <v>556</v>
      </c>
      <c r="U72" s="534" t="s">
        <v>556</v>
      </c>
      <c r="V72" s="530"/>
      <c r="W72" s="536">
        <v>83</v>
      </c>
      <c r="X72" s="533">
        <v>111.11</v>
      </c>
      <c r="Y72" s="533">
        <v>112.89</v>
      </c>
      <c r="Z72" s="533">
        <v>114.65</v>
      </c>
      <c r="AA72" s="533">
        <v>116.39</v>
      </c>
      <c r="AB72" s="533">
        <v>118.11</v>
      </c>
      <c r="AC72" s="533">
        <v>119.8</v>
      </c>
      <c r="AD72" s="533">
        <v>121.47</v>
      </c>
      <c r="AE72" s="533">
        <v>123.1</v>
      </c>
      <c r="AF72" s="533">
        <v>124.71</v>
      </c>
      <c r="AG72" s="533">
        <v>126.29</v>
      </c>
      <c r="AH72" s="533">
        <v>127.84</v>
      </c>
      <c r="AI72" s="533">
        <v>129.36000000000001</v>
      </c>
      <c r="AJ72" s="533">
        <v>136.58000000000001</v>
      </c>
      <c r="AK72" s="533" t="s">
        <v>556</v>
      </c>
      <c r="AL72" s="533" t="s">
        <v>556</v>
      </c>
      <c r="AM72" s="533" t="s">
        <v>556</v>
      </c>
      <c r="AN72" s="533" t="s">
        <v>556</v>
      </c>
      <c r="AO72" s="534" t="s">
        <v>556</v>
      </c>
      <c r="AP72" s="534" t="s">
        <v>556</v>
      </c>
      <c r="AQ72" s="537"/>
      <c r="AR72" s="536">
        <v>83</v>
      </c>
      <c r="AS72" s="533">
        <v>112.03</v>
      </c>
      <c r="AT72" s="533">
        <v>113.82</v>
      </c>
      <c r="AU72" s="533">
        <v>115.58</v>
      </c>
      <c r="AV72" s="533">
        <v>117.33</v>
      </c>
      <c r="AW72" s="533">
        <v>119.05</v>
      </c>
      <c r="AX72" s="533">
        <v>120.75</v>
      </c>
      <c r="AY72" s="533">
        <v>122.41</v>
      </c>
      <c r="AZ72" s="533">
        <v>124.05</v>
      </c>
      <c r="BA72" s="533">
        <v>125.65</v>
      </c>
      <c r="BB72" s="533">
        <v>127.23</v>
      </c>
      <c r="BC72" s="533">
        <v>128.77000000000001</v>
      </c>
      <c r="BD72" s="533">
        <v>130.28</v>
      </c>
      <c r="BE72" s="533">
        <v>137.47</v>
      </c>
      <c r="BF72" s="533" t="s">
        <v>556</v>
      </c>
      <c r="BG72" s="533" t="s">
        <v>556</v>
      </c>
      <c r="BH72" s="533" t="s">
        <v>556</v>
      </c>
      <c r="BI72" s="533" t="s">
        <v>556</v>
      </c>
      <c r="BJ72" s="538" t="s">
        <v>556</v>
      </c>
      <c r="BK72" s="538" t="s">
        <v>556</v>
      </c>
    </row>
    <row r="73" spans="2:63" x14ac:dyDescent="0.25">
      <c r="B73" s="536">
        <v>84</v>
      </c>
      <c r="C73" s="533">
        <v>113.93</v>
      </c>
      <c r="D73" s="533">
        <v>115.78</v>
      </c>
      <c r="E73" s="533">
        <v>117.61</v>
      </c>
      <c r="F73" s="533">
        <v>119.42</v>
      </c>
      <c r="G73" s="533">
        <v>121.21</v>
      </c>
      <c r="H73" s="533">
        <v>122.97</v>
      </c>
      <c r="I73" s="533">
        <v>124.71</v>
      </c>
      <c r="J73" s="533">
        <v>126.42</v>
      </c>
      <c r="K73" s="533">
        <v>128.1</v>
      </c>
      <c r="L73" s="533">
        <v>129.75</v>
      </c>
      <c r="M73" s="533">
        <v>131.37</v>
      </c>
      <c r="N73" s="533">
        <v>132.97</v>
      </c>
      <c r="O73" s="533">
        <v>140.69</v>
      </c>
      <c r="P73" s="533" t="s">
        <v>556</v>
      </c>
      <c r="Q73" s="533" t="s">
        <v>556</v>
      </c>
      <c r="R73" s="533" t="s">
        <v>556</v>
      </c>
      <c r="S73" s="533" t="s">
        <v>556</v>
      </c>
      <c r="T73" s="534" t="s">
        <v>556</v>
      </c>
      <c r="U73" s="534" t="s">
        <v>556</v>
      </c>
      <c r="V73" s="530"/>
      <c r="W73" s="536">
        <v>84</v>
      </c>
      <c r="X73" s="533">
        <v>114.8</v>
      </c>
      <c r="Y73" s="533">
        <v>116.68</v>
      </c>
      <c r="Z73" s="533">
        <v>118.54</v>
      </c>
      <c r="AA73" s="533">
        <v>120.38</v>
      </c>
      <c r="AB73" s="533">
        <v>122.2</v>
      </c>
      <c r="AC73" s="533">
        <v>123.99</v>
      </c>
      <c r="AD73" s="533">
        <v>125.76</v>
      </c>
      <c r="AE73" s="533">
        <v>127.5</v>
      </c>
      <c r="AF73" s="533">
        <v>129.19999999999999</v>
      </c>
      <c r="AG73" s="533">
        <v>130.88</v>
      </c>
      <c r="AH73" s="533">
        <v>132.53</v>
      </c>
      <c r="AI73" s="533">
        <v>134.16</v>
      </c>
      <c r="AJ73" s="533">
        <v>141.97</v>
      </c>
      <c r="AK73" s="533" t="s">
        <v>556</v>
      </c>
      <c r="AL73" s="533" t="s">
        <v>556</v>
      </c>
      <c r="AM73" s="533" t="s">
        <v>556</v>
      </c>
      <c r="AN73" s="533" t="s">
        <v>556</v>
      </c>
      <c r="AO73" s="534" t="s">
        <v>556</v>
      </c>
      <c r="AP73" s="534" t="s">
        <v>556</v>
      </c>
      <c r="AQ73" s="537"/>
      <c r="AR73" s="536">
        <v>84</v>
      </c>
      <c r="AS73" s="533">
        <v>115.73</v>
      </c>
      <c r="AT73" s="533">
        <v>117.62</v>
      </c>
      <c r="AU73" s="533">
        <v>119.48</v>
      </c>
      <c r="AV73" s="533">
        <v>121.33</v>
      </c>
      <c r="AW73" s="533">
        <v>123.15</v>
      </c>
      <c r="AX73" s="533">
        <v>124.94</v>
      </c>
      <c r="AY73" s="533">
        <v>126.71</v>
      </c>
      <c r="AZ73" s="533">
        <v>128.44</v>
      </c>
      <c r="BA73" s="533">
        <v>130.15</v>
      </c>
      <c r="BB73" s="533">
        <v>131.82</v>
      </c>
      <c r="BC73" s="533">
        <v>133.46</v>
      </c>
      <c r="BD73" s="533">
        <v>135.08000000000001</v>
      </c>
      <c r="BE73" s="533">
        <v>142.85</v>
      </c>
      <c r="BF73" s="533" t="s">
        <v>556</v>
      </c>
      <c r="BG73" s="533" t="s">
        <v>556</v>
      </c>
      <c r="BH73" s="533" t="s">
        <v>556</v>
      </c>
      <c r="BI73" s="533" t="s">
        <v>556</v>
      </c>
      <c r="BJ73" s="538" t="s">
        <v>556</v>
      </c>
      <c r="BK73" s="538" t="s">
        <v>556</v>
      </c>
    </row>
    <row r="74" spans="2:63" x14ac:dyDescent="0.25">
      <c r="B74" s="536">
        <v>85</v>
      </c>
      <c r="C74" s="533">
        <v>117.77</v>
      </c>
      <c r="D74" s="533">
        <v>119.72</v>
      </c>
      <c r="E74" s="533">
        <v>121.65</v>
      </c>
      <c r="F74" s="533">
        <v>123.57</v>
      </c>
      <c r="G74" s="533">
        <v>125.46</v>
      </c>
      <c r="H74" s="533">
        <v>127.33</v>
      </c>
      <c r="I74" s="533">
        <v>129.16999999999999</v>
      </c>
      <c r="J74" s="533">
        <v>130.97999999999999</v>
      </c>
      <c r="K74" s="533">
        <v>132.77000000000001</v>
      </c>
      <c r="L74" s="533">
        <v>134.53</v>
      </c>
      <c r="M74" s="533">
        <v>136.27000000000001</v>
      </c>
      <c r="N74" s="533">
        <v>137.97999999999999</v>
      </c>
      <c r="O74" s="533" t="s">
        <v>556</v>
      </c>
      <c r="P74" s="533" t="s">
        <v>556</v>
      </c>
      <c r="Q74" s="533" t="s">
        <v>556</v>
      </c>
      <c r="R74" s="533" t="s">
        <v>556</v>
      </c>
      <c r="S74" s="533" t="s">
        <v>556</v>
      </c>
      <c r="T74" s="534" t="s">
        <v>556</v>
      </c>
      <c r="U74" s="534" t="s">
        <v>556</v>
      </c>
      <c r="V74" s="530"/>
      <c r="W74" s="536">
        <v>85</v>
      </c>
      <c r="X74" s="533">
        <v>118.7</v>
      </c>
      <c r="Y74" s="533">
        <v>120.68</v>
      </c>
      <c r="Z74" s="533">
        <v>122.65</v>
      </c>
      <c r="AA74" s="533">
        <v>124.6</v>
      </c>
      <c r="AB74" s="533">
        <v>126.52</v>
      </c>
      <c r="AC74" s="533">
        <v>128.41999999999999</v>
      </c>
      <c r="AD74" s="533">
        <v>130.29</v>
      </c>
      <c r="AE74" s="533">
        <v>132.13999999999999</v>
      </c>
      <c r="AF74" s="533">
        <v>133.96</v>
      </c>
      <c r="AG74" s="533">
        <v>135.74</v>
      </c>
      <c r="AH74" s="533">
        <v>137.51</v>
      </c>
      <c r="AI74" s="533">
        <v>139.24</v>
      </c>
      <c r="AJ74" s="533" t="s">
        <v>556</v>
      </c>
      <c r="AK74" s="533" t="s">
        <v>556</v>
      </c>
      <c r="AL74" s="533" t="s">
        <v>556</v>
      </c>
      <c r="AM74" s="533" t="s">
        <v>556</v>
      </c>
      <c r="AN74" s="533" t="s">
        <v>556</v>
      </c>
      <c r="AO74" s="534" t="s">
        <v>556</v>
      </c>
      <c r="AP74" s="534" t="s">
        <v>556</v>
      </c>
      <c r="AQ74" s="537"/>
      <c r="AR74" s="536">
        <v>85</v>
      </c>
      <c r="AS74" s="533">
        <v>119.64</v>
      </c>
      <c r="AT74" s="533">
        <v>121.63</v>
      </c>
      <c r="AU74" s="533">
        <v>123.6</v>
      </c>
      <c r="AV74" s="533">
        <v>125.55</v>
      </c>
      <c r="AW74" s="533">
        <v>127.48</v>
      </c>
      <c r="AX74" s="533">
        <v>129.38</v>
      </c>
      <c r="AY74" s="533">
        <v>131.25</v>
      </c>
      <c r="AZ74" s="533">
        <v>133.09</v>
      </c>
      <c r="BA74" s="533">
        <v>134.9</v>
      </c>
      <c r="BB74" s="533">
        <v>136.68</v>
      </c>
      <c r="BC74" s="533">
        <v>138.44</v>
      </c>
      <c r="BD74" s="533">
        <v>140.16999999999999</v>
      </c>
      <c r="BE74" s="533" t="s">
        <v>556</v>
      </c>
      <c r="BF74" s="533" t="s">
        <v>556</v>
      </c>
      <c r="BG74" s="533" t="s">
        <v>556</v>
      </c>
      <c r="BH74" s="533" t="s">
        <v>556</v>
      </c>
      <c r="BI74" s="533" t="s">
        <v>556</v>
      </c>
      <c r="BJ74" s="538" t="s">
        <v>556</v>
      </c>
      <c r="BK74" s="538" t="s">
        <v>556</v>
      </c>
    </row>
    <row r="75" spans="2:63" x14ac:dyDescent="0.25">
      <c r="B75" s="536">
        <v>86</v>
      </c>
      <c r="C75" s="533">
        <v>121.82</v>
      </c>
      <c r="D75" s="533">
        <v>123.88</v>
      </c>
      <c r="E75" s="533">
        <v>125.92</v>
      </c>
      <c r="F75" s="533">
        <v>127.95</v>
      </c>
      <c r="G75" s="533">
        <v>129.94999999999999</v>
      </c>
      <c r="H75" s="533">
        <v>131.93</v>
      </c>
      <c r="I75" s="533">
        <v>133.88999999999999</v>
      </c>
      <c r="J75" s="533">
        <v>135.82</v>
      </c>
      <c r="K75" s="533">
        <v>137.72</v>
      </c>
      <c r="L75" s="533">
        <v>139.61000000000001</v>
      </c>
      <c r="M75" s="533">
        <v>141.47</v>
      </c>
      <c r="N75" s="533">
        <v>143.31</v>
      </c>
      <c r="O75" s="533" t="s">
        <v>556</v>
      </c>
      <c r="P75" s="533" t="s">
        <v>556</v>
      </c>
      <c r="Q75" s="533" t="s">
        <v>556</v>
      </c>
      <c r="R75" s="533" t="s">
        <v>556</v>
      </c>
      <c r="S75" s="533" t="s">
        <v>556</v>
      </c>
      <c r="T75" s="534" t="s">
        <v>556</v>
      </c>
      <c r="U75" s="534" t="s">
        <v>556</v>
      </c>
      <c r="V75" s="530"/>
      <c r="W75" s="536">
        <v>86</v>
      </c>
      <c r="X75" s="533">
        <v>122.82</v>
      </c>
      <c r="Y75" s="533">
        <v>124.92</v>
      </c>
      <c r="Z75" s="533">
        <v>127</v>
      </c>
      <c r="AA75" s="533">
        <v>129.06</v>
      </c>
      <c r="AB75" s="533">
        <v>131.09</v>
      </c>
      <c r="AC75" s="533">
        <v>133.1</v>
      </c>
      <c r="AD75" s="533">
        <v>135.09</v>
      </c>
      <c r="AE75" s="533">
        <v>137.05000000000001</v>
      </c>
      <c r="AF75" s="533">
        <v>138.97999999999999</v>
      </c>
      <c r="AG75" s="533">
        <v>140.88999999999999</v>
      </c>
      <c r="AH75" s="533">
        <v>142.78</v>
      </c>
      <c r="AI75" s="533">
        <v>144.63999999999999</v>
      </c>
      <c r="AJ75" s="533" t="s">
        <v>556</v>
      </c>
      <c r="AK75" s="533" t="s">
        <v>556</v>
      </c>
      <c r="AL75" s="533" t="s">
        <v>556</v>
      </c>
      <c r="AM75" s="533" t="s">
        <v>556</v>
      </c>
      <c r="AN75" s="533" t="s">
        <v>556</v>
      </c>
      <c r="AO75" s="534" t="s">
        <v>556</v>
      </c>
      <c r="AP75" s="534" t="s">
        <v>556</v>
      </c>
      <c r="AQ75" s="537"/>
      <c r="AR75" s="536">
        <v>86</v>
      </c>
      <c r="AS75" s="533">
        <v>123.76</v>
      </c>
      <c r="AT75" s="533">
        <v>125.87</v>
      </c>
      <c r="AU75" s="533">
        <v>127.95</v>
      </c>
      <c r="AV75" s="533">
        <v>130.01</v>
      </c>
      <c r="AW75" s="533">
        <v>132.05000000000001</v>
      </c>
      <c r="AX75" s="533">
        <v>134.06</v>
      </c>
      <c r="AY75" s="533">
        <v>136.04</v>
      </c>
      <c r="AZ75" s="533">
        <v>138</v>
      </c>
      <c r="BA75" s="533">
        <v>139.91999999999999</v>
      </c>
      <c r="BB75" s="533">
        <v>141.82</v>
      </c>
      <c r="BC75" s="533">
        <v>143.69999999999999</v>
      </c>
      <c r="BD75" s="533">
        <v>145.56</v>
      </c>
      <c r="BE75" s="533" t="s">
        <v>556</v>
      </c>
      <c r="BF75" s="533" t="s">
        <v>556</v>
      </c>
      <c r="BG75" s="533" t="s">
        <v>556</v>
      </c>
      <c r="BH75" s="533" t="s">
        <v>556</v>
      </c>
      <c r="BI75" s="533" t="s">
        <v>556</v>
      </c>
      <c r="BJ75" s="538" t="s">
        <v>556</v>
      </c>
      <c r="BK75" s="538" t="s">
        <v>556</v>
      </c>
    </row>
    <row r="76" spans="2:63" x14ac:dyDescent="0.25">
      <c r="B76" s="536">
        <v>87</v>
      </c>
      <c r="C76" s="533">
        <v>126.1</v>
      </c>
      <c r="D76" s="533">
        <v>128.27000000000001</v>
      </c>
      <c r="E76" s="533">
        <v>130.44</v>
      </c>
      <c r="F76" s="533">
        <v>132.58000000000001</v>
      </c>
      <c r="G76" s="533">
        <v>134.69999999999999</v>
      </c>
      <c r="H76" s="533">
        <v>136.80000000000001</v>
      </c>
      <c r="I76" s="533">
        <v>138.88</v>
      </c>
      <c r="J76" s="533">
        <v>140.94</v>
      </c>
      <c r="K76" s="533">
        <v>142.97</v>
      </c>
      <c r="L76" s="533">
        <v>144.99</v>
      </c>
      <c r="M76" s="533">
        <v>146.99</v>
      </c>
      <c r="N76" s="533">
        <v>148.97999999999999</v>
      </c>
      <c r="O76" s="533" t="s">
        <v>556</v>
      </c>
      <c r="P76" s="533" t="s">
        <v>556</v>
      </c>
      <c r="Q76" s="533" t="s">
        <v>556</v>
      </c>
      <c r="R76" s="533" t="s">
        <v>556</v>
      </c>
      <c r="S76" s="533" t="s">
        <v>556</v>
      </c>
      <c r="T76" s="534" t="s">
        <v>556</v>
      </c>
      <c r="U76" s="534" t="s">
        <v>556</v>
      </c>
      <c r="V76" s="530"/>
      <c r="W76" s="536">
        <v>87</v>
      </c>
      <c r="X76" s="533">
        <v>127.17</v>
      </c>
      <c r="Y76" s="533">
        <v>129.38999999999999</v>
      </c>
      <c r="Z76" s="533">
        <v>131.58000000000001</v>
      </c>
      <c r="AA76" s="533">
        <v>133.76</v>
      </c>
      <c r="AB76" s="533">
        <v>135.91999999999999</v>
      </c>
      <c r="AC76" s="533">
        <v>138.05000000000001</v>
      </c>
      <c r="AD76" s="533">
        <v>140.16</v>
      </c>
      <c r="AE76" s="533">
        <v>142.24</v>
      </c>
      <c r="AF76" s="533">
        <v>144.30000000000001</v>
      </c>
      <c r="AG76" s="533">
        <v>146.34</v>
      </c>
      <c r="AH76" s="533">
        <v>148.37</v>
      </c>
      <c r="AI76" s="533">
        <v>150.38</v>
      </c>
      <c r="AJ76" s="533" t="s">
        <v>556</v>
      </c>
      <c r="AK76" s="533" t="s">
        <v>556</v>
      </c>
      <c r="AL76" s="533" t="s">
        <v>556</v>
      </c>
      <c r="AM76" s="533" t="s">
        <v>556</v>
      </c>
      <c r="AN76" s="533" t="s">
        <v>556</v>
      </c>
      <c r="AO76" s="534" t="s">
        <v>556</v>
      </c>
      <c r="AP76" s="534" t="s">
        <v>556</v>
      </c>
      <c r="AQ76" s="537"/>
      <c r="AR76" s="536">
        <v>87</v>
      </c>
      <c r="AS76" s="533">
        <v>128.12</v>
      </c>
      <c r="AT76" s="533">
        <v>130.34</v>
      </c>
      <c r="AU76" s="533">
        <v>132.54</v>
      </c>
      <c r="AV76" s="533">
        <v>134.72</v>
      </c>
      <c r="AW76" s="533">
        <v>136.88</v>
      </c>
      <c r="AX76" s="533">
        <v>139.01</v>
      </c>
      <c r="AY76" s="533">
        <v>141.11000000000001</v>
      </c>
      <c r="AZ76" s="533">
        <v>143.19</v>
      </c>
      <c r="BA76" s="533">
        <v>145.24</v>
      </c>
      <c r="BB76" s="533">
        <v>147.27000000000001</v>
      </c>
      <c r="BC76" s="533">
        <v>149.29</v>
      </c>
      <c r="BD76" s="533">
        <v>151.30000000000001</v>
      </c>
      <c r="BE76" s="533" t="s">
        <v>556</v>
      </c>
      <c r="BF76" s="533" t="s">
        <v>556</v>
      </c>
      <c r="BG76" s="533" t="s">
        <v>556</v>
      </c>
      <c r="BH76" s="533" t="s">
        <v>556</v>
      </c>
      <c r="BI76" s="533" t="s">
        <v>556</v>
      </c>
      <c r="BJ76" s="538" t="s">
        <v>556</v>
      </c>
      <c r="BK76" s="538" t="s">
        <v>556</v>
      </c>
    </row>
    <row r="77" spans="2:63" x14ac:dyDescent="0.25">
      <c r="B77" s="536">
        <v>88</v>
      </c>
      <c r="C77" s="533">
        <v>130.62</v>
      </c>
      <c r="D77" s="533">
        <v>132.91999999999999</v>
      </c>
      <c r="E77" s="533">
        <v>135.21</v>
      </c>
      <c r="F77" s="533">
        <v>137.47999999999999</v>
      </c>
      <c r="G77" s="533">
        <v>139.72999999999999</v>
      </c>
      <c r="H77" s="533">
        <v>141.96</v>
      </c>
      <c r="I77" s="533">
        <v>144.16999999999999</v>
      </c>
      <c r="J77" s="533">
        <v>146.36000000000001</v>
      </c>
      <c r="K77" s="533">
        <v>148.54</v>
      </c>
      <c r="L77" s="533">
        <v>150.71</v>
      </c>
      <c r="M77" s="533">
        <v>152.87</v>
      </c>
      <c r="N77" s="533">
        <v>155.04</v>
      </c>
      <c r="O77" s="533" t="s">
        <v>556</v>
      </c>
      <c r="P77" s="533" t="s">
        <v>556</v>
      </c>
      <c r="Q77" s="533" t="s">
        <v>556</v>
      </c>
      <c r="R77" s="533" t="s">
        <v>556</v>
      </c>
      <c r="S77" s="533" t="s">
        <v>556</v>
      </c>
      <c r="T77" s="534" t="s">
        <v>556</v>
      </c>
      <c r="U77" s="534" t="s">
        <v>556</v>
      </c>
      <c r="V77" s="530"/>
      <c r="W77" s="536">
        <v>88</v>
      </c>
      <c r="X77" s="533">
        <v>131.77000000000001</v>
      </c>
      <c r="Y77" s="533">
        <v>134.11000000000001</v>
      </c>
      <c r="Z77" s="533">
        <v>136.43</v>
      </c>
      <c r="AA77" s="533">
        <v>138.74</v>
      </c>
      <c r="AB77" s="533">
        <v>141.02000000000001</v>
      </c>
      <c r="AC77" s="533">
        <v>143.28</v>
      </c>
      <c r="AD77" s="533">
        <v>145.52000000000001</v>
      </c>
      <c r="AE77" s="533">
        <v>147.74</v>
      </c>
      <c r="AF77" s="533">
        <v>149.94</v>
      </c>
      <c r="AG77" s="533">
        <v>152.13</v>
      </c>
      <c r="AH77" s="533">
        <v>154.31</v>
      </c>
      <c r="AI77" s="533">
        <v>156.5</v>
      </c>
      <c r="AJ77" s="533" t="s">
        <v>556</v>
      </c>
      <c r="AK77" s="533" t="s">
        <v>556</v>
      </c>
      <c r="AL77" s="533" t="s">
        <v>556</v>
      </c>
      <c r="AM77" s="533" t="s">
        <v>556</v>
      </c>
      <c r="AN77" s="533" t="s">
        <v>556</v>
      </c>
      <c r="AO77" s="534" t="s">
        <v>556</v>
      </c>
      <c r="AP77" s="534" t="s">
        <v>556</v>
      </c>
      <c r="AQ77" s="537"/>
      <c r="AR77" s="536">
        <v>88</v>
      </c>
      <c r="AS77" s="533">
        <v>132.72</v>
      </c>
      <c r="AT77" s="533">
        <v>135.06</v>
      </c>
      <c r="AU77" s="533">
        <v>137.38999999999999</v>
      </c>
      <c r="AV77" s="533">
        <v>139.69</v>
      </c>
      <c r="AW77" s="533">
        <v>141.97</v>
      </c>
      <c r="AX77" s="533">
        <v>144.22999999999999</v>
      </c>
      <c r="AY77" s="533">
        <v>146.47</v>
      </c>
      <c r="AZ77" s="533">
        <v>148.68</v>
      </c>
      <c r="BA77" s="533">
        <v>150.88</v>
      </c>
      <c r="BB77" s="533">
        <v>153.06</v>
      </c>
      <c r="BC77" s="533">
        <v>155.24</v>
      </c>
      <c r="BD77" s="533">
        <v>157.41</v>
      </c>
      <c r="BE77" s="533" t="s">
        <v>556</v>
      </c>
      <c r="BF77" s="533" t="s">
        <v>556</v>
      </c>
      <c r="BG77" s="533" t="s">
        <v>556</v>
      </c>
      <c r="BH77" s="533" t="s">
        <v>556</v>
      </c>
      <c r="BI77" s="533" t="s">
        <v>556</v>
      </c>
      <c r="BJ77" s="538" t="s">
        <v>556</v>
      </c>
      <c r="BK77" s="538" t="s">
        <v>556</v>
      </c>
    </row>
    <row r="78" spans="2:63" x14ac:dyDescent="0.25">
      <c r="B78" s="536">
        <v>89</v>
      </c>
      <c r="C78" s="533">
        <v>135.4</v>
      </c>
      <c r="D78" s="533">
        <v>137.83000000000001</v>
      </c>
      <c r="E78" s="533">
        <v>140.25</v>
      </c>
      <c r="F78" s="533">
        <v>142.66</v>
      </c>
      <c r="G78" s="533">
        <v>145.05000000000001</v>
      </c>
      <c r="H78" s="533">
        <v>147.41999999999999</v>
      </c>
      <c r="I78" s="533">
        <v>149.78</v>
      </c>
      <c r="J78" s="533">
        <v>152.12</v>
      </c>
      <c r="K78" s="533">
        <v>154.46</v>
      </c>
      <c r="L78" s="533">
        <v>156.80000000000001</v>
      </c>
      <c r="M78" s="533">
        <v>159.15</v>
      </c>
      <c r="N78" s="533">
        <v>161.53</v>
      </c>
      <c r="O78" s="533" t="s">
        <v>556</v>
      </c>
      <c r="P78" s="533" t="s">
        <v>556</v>
      </c>
      <c r="Q78" s="533" t="s">
        <v>556</v>
      </c>
      <c r="R78" s="533" t="s">
        <v>556</v>
      </c>
      <c r="S78" s="533" t="s">
        <v>556</v>
      </c>
      <c r="T78" s="534" t="s">
        <v>556</v>
      </c>
      <c r="U78" s="534" t="s">
        <v>556</v>
      </c>
      <c r="V78" s="530"/>
      <c r="W78" s="536">
        <v>89</v>
      </c>
      <c r="X78" s="533">
        <v>136.63</v>
      </c>
      <c r="Y78" s="533">
        <v>139.1</v>
      </c>
      <c r="Z78" s="533">
        <v>141.55000000000001</v>
      </c>
      <c r="AA78" s="533">
        <v>143.99</v>
      </c>
      <c r="AB78" s="533">
        <v>146.41</v>
      </c>
      <c r="AC78" s="533">
        <v>148.81</v>
      </c>
      <c r="AD78" s="533">
        <v>151.19999999999999</v>
      </c>
      <c r="AE78" s="533">
        <v>153.57</v>
      </c>
      <c r="AF78" s="533">
        <v>155.93</v>
      </c>
      <c r="AG78" s="533">
        <v>158.29</v>
      </c>
      <c r="AH78" s="533">
        <v>160.66</v>
      </c>
      <c r="AI78" s="533">
        <v>163.04</v>
      </c>
      <c r="AJ78" s="533" t="s">
        <v>556</v>
      </c>
      <c r="AK78" s="533" t="s">
        <v>556</v>
      </c>
      <c r="AL78" s="533" t="s">
        <v>556</v>
      </c>
      <c r="AM78" s="533" t="s">
        <v>556</v>
      </c>
      <c r="AN78" s="533" t="s">
        <v>556</v>
      </c>
      <c r="AO78" s="534" t="s">
        <v>556</v>
      </c>
      <c r="AP78" s="534" t="s">
        <v>556</v>
      </c>
      <c r="AQ78" s="537"/>
      <c r="AR78" s="536">
        <v>89</v>
      </c>
      <c r="AS78" s="533">
        <v>137.58000000000001</v>
      </c>
      <c r="AT78" s="533">
        <v>140.05000000000001</v>
      </c>
      <c r="AU78" s="533">
        <v>142.51</v>
      </c>
      <c r="AV78" s="533">
        <v>144.94999999999999</v>
      </c>
      <c r="AW78" s="533">
        <v>147.36000000000001</v>
      </c>
      <c r="AX78" s="533">
        <v>149.76</v>
      </c>
      <c r="AY78" s="533">
        <v>152.13999999999999</v>
      </c>
      <c r="AZ78" s="533">
        <v>154.51</v>
      </c>
      <c r="BA78" s="533">
        <v>156.86000000000001</v>
      </c>
      <c r="BB78" s="533">
        <v>159.21</v>
      </c>
      <c r="BC78" s="533">
        <v>161.57</v>
      </c>
      <c r="BD78" s="533">
        <v>163.95</v>
      </c>
      <c r="BE78" s="533" t="s">
        <v>556</v>
      </c>
      <c r="BF78" s="533" t="s">
        <v>556</v>
      </c>
      <c r="BG78" s="533" t="s">
        <v>556</v>
      </c>
      <c r="BH78" s="533" t="s">
        <v>556</v>
      </c>
      <c r="BI78" s="533" t="s">
        <v>556</v>
      </c>
      <c r="BJ78" s="538" t="s">
        <v>556</v>
      </c>
      <c r="BK78" s="538" t="s">
        <v>556</v>
      </c>
    </row>
    <row r="79" spans="2:63" x14ac:dyDescent="0.25">
      <c r="B79" s="536">
        <v>90</v>
      </c>
      <c r="C79" s="533">
        <v>140.46</v>
      </c>
      <c r="D79" s="533">
        <v>143.03</v>
      </c>
      <c r="E79" s="533">
        <v>145.59</v>
      </c>
      <c r="F79" s="533">
        <v>148.13999999999999</v>
      </c>
      <c r="G79" s="533">
        <v>150.68</v>
      </c>
      <c r="H79" s="533">
        <v>153.21</v>
      </c>
      <c r="I79" s="533">
        <v>155.72999999999999</v>
      </c>
      <c r="J79" s="533">
        <v>158.25</v>
      </c>
      <c r="K79" s="533">
        <v>160.77000000000001</v>
      </c>
      <c r="L79" s="533">
        <v>163.32</v>
      </c>
      <c r="M79" s="533">
        <v>165.89</v>
      </c>
      <c r="N79" s="533" t="s">
        <v>556</v>
      </c>
      <c r="O79" s="533" t="s">
        <v>556</v>
      </c>
      <c r="P79" s="533" t="s">
        <v>556</v>
      </c>
      <c r="Q79" s="533" t="s">
        <v>556</v>
      </c>
      <c r="R79" s="533" t="s">
        <v>556</v>
      </c>
      <c r="S79" s="533" t="s">
        <v>556</v>
      </c>
      <c r="T79" s="534" t="s">
        <v>556</v>
      </c>
      <c r="U79" s="534" t="s">
        <v>556</v>
      </c>
      <c r="V79" s="530"/>
      <c r="W79" s="536">
        <v>90</v>
      </c>
      <c r="X79" s="533">
        <v>141.76</v>
      </c>
      <c r="Y79" s="533">
        <v>144.37</v>
      </c>
      <c r="Z79" s="533">
        <v>146.96</v>
      </c>
      <c r="AA79" s="533">
        <v>149.55000000000001</v>
      </c>
      <c r="AB79" s="533">
        <v>152.12</v>
      </c>
      <c r="AC79" s="533">
        <v>154.66999999999999</v>
      </c>
      <c r="AD79" s="533">
        <v>157.22</v>
      </c>
      <c r="AE79" s="533">
        <v>159.76</v>
      </c>
      <c r="AF79" s="533">
        <v>162.30000000000001</v>
      </c>
      <c r="AG79" s="533">
        <v>164.86</v>
      </c>
      <c r="AH79" s="533">
        <v>167.45</v>
      </c>
      <c r="AI79" s="533" t="s">
        <v>556</v>
      </c>
      <c r="AJ79" s="533" t="s">
        <v>556</v>
      </c>
      <c r="AK79" s="533" t="s">
        <v>556</v>
      </c>
      <c r="AL79" s="533" t="s">
        <v>556</v>
      </c>
      <c r="AM79" s="533" t="s">
        <v>556</v>
      </c>
      <c r="AN79" s="533" t="s">
        <v>556</v>
      </c>
      <c r="AO79" s="534" t="s">
        <v>556</v>
      </c>
      <c r="AP79" s="534" t="s">
        <v>556</v>
      </c>
      <c r="AQ79" s="537"/>
      <c r="AR79" s="536">
        <v>90</v>
      </c>
      <c r="AS79" s="533">
        <v>142.69999999999999</v>
      </c>
      <c r="AT79" s="533">
        <v>145.32</v>
      </c>
      <c r="AU79" s="533">
        <v>147.91999999999999</v>
      </c>
      <c r="AV79" s="533">
        <v>150.5</v>
      </c>
      <c r="AW79" s="533">
        <v>153.06</v>
      </c>
      <c r="AX79" s="533">
        <v>155.62</v>
      </c>
      <c r="AY79" s="533">
        <v>158.16</v>
      </c>
      <c r="AZ79" s="533">
        <v>160.69</v>
      </c>
      <c r="BA79" s="533">
        <v>163.22999999999999</v>
      </c>
      <c r="BB79" s="533">
        <v>165.78</v>
      </c>
      <c r="BC79" s="533">
        <v>168.36</v>
      </c>
      <c r="BD79" s="533" t="s">
        <v>556</v>
      </c>
      <c r="BE79" s="533" t="s">
        <v>556</v>
      </c>
      <c r="BF79" s="533" t="s">
        <v>556</v>
      </c>
      <c r="BG79" s="533" t="s">
        <v>556</v>
      </c>
      <c r="BH79" s="533" t="s">
        <v>556</v>
      </c>
      <c r="BI79" s="533" t="s">
        <v>556</v>
      </c>
      <c r="BJ79" s="538" t="s">
        <v>556</v>
      </c>
      <c r="BK79" s="538" t="s">
        <v>556</v>
      </c>
    </row>
    <row r="80" spans="2:63" x14ac:dyDescent="0.25">
      <c r="B80" s="536">
        <v>91</v>
      </c>
      <c r="C80" s="533">
        <v>145.81</v>
      </c>
      <c r="D80" s="533">
        <v>148.53</v>
      </c>
      <c r="E80" s="533">
        <v>151.24</v>
      </c>
      <c r="F80" s="533">
        <v>153.94999999999999</v>
      </c>
      <c r="G80" s="533">
        <v>156.66</v>
      </c>
      <c r="H80" s="533">
        <v>159.36000000000001</v>
      </c>
      <c r="I80" s="533">
        <v>162.07</v>
      </c>
      <c r="J80" s="533">
        <v>164.78</v>
      </c>
      <c r="K80" s="533">
        <v>167.52</v>
      </c>
      <c r="L80" s="533">
        <v>170.31</v>
      </c>
      <c r="M80" s="533" t="s">
        <v>556</v>
      </c>
      <c r="N80" s="533" t="s">
        <v>556</v>
      </c>
      <c r="O80" s="533" t="s">
        <v>556</v>
      </c>
      <c r="P80" s="533" t="s">
        <v>556</v>
      </c>
      <c r="Q80" s="533" t="s">
        <v>556</v>
      </c>
      <c r="R80" s="533" t="s">
        <v>556</v>
      </c>
      <c r="S80" s="533" t="s">
        <v>556</v>
      </c>
      <c r="T80" s="534" t="s">
        <v>556</v>
      </c>
      <c r="U80" s="534" t="s">
        <v>556</v>
      </c>
      <c r="V80" s="530"/>
      <c r="W80" s="536">
        <v>91</v>
      </c>
      <c r="X80" s="533">
        <v>147.18</v>
      </c>
      <c r="Y80" s="533">
        <v>149.94</v>
      </c>
      <c r="Z80" s="533">
        <v>152.69</v>
      </c>
      <c r="AA80" s="533">
        <v>155.43</v>
      </c>
      <c r="AB80" s="533">
        <v>158.16</v>
      </c>
      <c r="AC80" s="533">
        <v>160.88</v>
      </c>
      <c r="AD80" s="533">
        <v>163.61000000000001</v>
      </c>
      <c r="AE80" s="533">
        <v>166.35</v>
      </c>
      <c r="AF80" s="533">
        <v>169.1</v>
      </c>
      <c r="AG80" s="533">
        <v>171.9</v>
      </c>
      <c r="AH80" s="533" t="s">
        <v>556</v>
      </c>
      <c r="AI80" s="533" t="s">
        <v>556</v>
      </c>
      <c r="AJ80" s="533" t="s">
        <v>556</v>
      </c>
      <c r="AK80" s="533" t="s">
        <v>556</v>
      </c>
      <c r="AL80" s="533" t="s">
        <v>556</v>
      </c>
      <c r="AM80" s="533" t="s">
        <v>556</v>
      </c>
      <c r="AN80" s="533" t="s">
        <v>556</v>
      </c>
      <c r="AO80" s="534" t="s">
        <v>556</v>
      </c>
      <c r="AP80" s="534" t="s">
        <v>556</v>
      </c>
      <c r="AQ80" s="537"/>
      <c r="AR80" s="536">
        <v>91</v>
      </c>
      <c r="AS80" s="533">
        <v>148.12</v>
      </c>
      <c r="AT80" s="533">
        <v>150.88</v>
      </c>
      <c r="AU80" s="533">
        <v>153.63</v>
      </c>
      <c r="AV80" s="533">
        <v>156.37</v>
      </c>
      <c r="AW80" s="533">
        <v>159.1</v>
      </c>
      <c r="AX80" s="533">
        <v>161.83000000000001</v>
      </c>
      <c r="AY80" s="533">
        <v>164.55</v>
      </c>
      <c r="AZ80" s="533">
        <v>167.28</v>
      </c>
      <c r="BA80" s="533">
        <v>170.03</v>
      </c>
      <c r="BB80" s="533">
        <v>172.82</v>
      </c>
      <c r="BC80" s="533" t="s">
        <v>556</v>
      </c>
      <c r="BD80" s="533" t="s">
        <v>556</v>
      </c>
      <c r="BE80" s="533" t="s">
        <v>556</v>
      </c>
      <c r="BF80" s="533" t="s">
        <v>556</v>
      </c>
      <c r="BG80" s="533" t="s">
        <v>556</v>
      </c>
      <c r="BH80" s="533" t="s">
        <v>556</v>
      </c>
      <c r="BI80" s="533" t="s">
        <v>556</v>
      </c>
      <c r="BJ80" s="538" t="s">
        <v>556</v>
      </c>
      <c r="BK80" s="538" t="s">
        <v>556</v>
      </c>
    </row>
    <row r="81" spans="2:63" x14ac:dyDescent="0.25">
      <c r="B81" s="536">
        <v>92</v>
      </c>
      <c r="C81" s="533">
        <v>151.47</v>
      </c>
      <c r="D81" s="533">
        <v>154.35</v>
      </c>
      <c r="E81" s="533">
        <v>157.24</v>
      </c>
      <c r="F81" s="533">
        <v>160.12</v>
      </c>
      <c r="G81" s="533">
        <v>163.01</v>
      </c>
      <c r="H81" s="533">
        <v>165.91</v>
      </c>
      <c r="I81" s="533">
        <v>168.82</v>
      </c>
      <c r="J81" s="533">
        <v>171.77</v>
      </c>
      <c r="K81" s="533">
        <v>174.77</v>
      </c>
      <c r="L81" s="533" t="s">
        <v>556</v>
      </c>
      <c r="M81" s="533" t="s">
        <v>556</v>
      </c>
      <c r="N81" s="533" t="s">
        <v>556</v>
      </c>
      <c r="O81" s="533" t="s">
        <v>556</v>
      </c>
      <c r="P81" s="533" t="s">
        <v>556</v>
      </c>
      <c r="Q81" s="533" t="s">
        <v>556</v>
      </c>
      <c r="R81" s="533" t="s">
        <v>556</v>
      </c>
      <c r="S81" s="533" t="s">
        <v>556</v>
      </c>
      <c r="T81" s="534" t="s">
        <v>556</v>
      </c>
      <c r="U81" s="534" t="s">
        <v>556</v>
      </c>
      <c r="V81" s="530"/>
      <c r="W81" s="536">
        <v>92</v>
      </c>
      <c r="X81" s="533">
        <v>152.91</v>
      </c>
      <c r="Y81" s="533">
        <v>155.83000000000001</v>
      </c>
      <c r="Z81" s="533">
        <v>158.74</v>
      </c>
      <c r="AA81" s="533">
        <v>161.66</v>
      </c>
      <c r="AB81" s="533">
        <v>164.57</v>
      </c>
      <c r="AC81" s="533">
        <v>167.49</v>
      </c>
      <c r="AD81" s="533">
        <v>170.42</v>
      </c>
      <c r="AE81" s="533">
        <v>173.39</v>
      </c>
      <c r="AF81" s="533">
        <v>176.4</v>
      </c>
      <c r="AG81" s="533" t="s">
        <v>556</v>
      </c>
      <c r="AH81" s="533" t="s">
        <v>556</v>
      </c>
      <c r="AI81" s="533" t="s">
        <v>556</v>
      </c>
      <c r="AJ81" s="533" t="s">
        <v>556</v>
      </c>
      <c r="AK81" s="533" t="s">
        <v>556</v>
      </c>
      <c r="AL81" s="533" t="s">
        <v>556</v>
      </c>
      <c r="AM81" s="533" t="s">
        <v>556</v>
      </c>
      <c r="AN81" s="533" t="s">
        <v>556</v>
      </c>
      <c r="AO81" s="534" t="s">
        <v>556</v>
      </c>
      <c r="AP81" s="534" t="s">
        <v>556</v>
      </c>
      <c r="AQ81" s="537"/>
      <c r="AR81" s="536">
        <v>92</v>
      </c>
      <c r="AS81" s="533">
        <v>153.85</v>
      </c>
      <c r="AT81" s="533">
        <v>156.77000000000001</v>
      </c>
      <c r="AU81" s="533">
        <v>159.69</v>
      </c>
      <c r="AV81" s="533">
        <v>162.6</v>
      </c>
      <c r="AW81" s="533">
        <v>165.51</v>
      </c>
      <c r="AX81" s="533">
        <v>168.43</v>
      </c>
      <c r="AY81" s="533">
        <v>171.36</v>
      </c>
      <c r="AZ81" s="533">
        <v>174.32</v>
      </c>
      <c r="BA81" s="533">
        <v>177.33</v>
      </c>
      <c r="BB81" s="533" t="s">
        <v>556</v>
      </c>
      <c r="BC81" s="533" t="s">
        <v>556</v>
      </c>
      <c r="BD81" s="533" t="s">
        <v>556</v>
      </c>
      <c r="BE81" s="533" t="s">
        <v>556</v>
      </c>
      <c r="BF81" s="533" t="s">
        <v>556</v>
      </c>
      <c r="BG81" s="533" t="s">
        <v>556</v>
      </c>
      <c r="BH81" s="533" t="s">
        <v>556</v>
      </c>
      <c r="BI81" s="533" t="s">
        <v>556</v>
      </c>
      <c r="BJ81" s="538" t="s">
        <v>556</v>
      </c>
      <c r="BK81" s="538" t="s">
        <v>556</v>
      </c>
    </row>
    <row r="82" spans="2:63" x14ac:dyDescent="0.25">
      <c r="B82" s="536">
        <v>93</v>
      </c>
      <c r="C82" s="533">
        <v>157.47999999999999</v>
      </c>
      <c r="D82" s="533">
        <v>160.54</v>
      </c>
      <c r="E82" s="533">
        <v>163.6</v>
      </c>
      <c r="F82" s="533">
        <v>166.68</v>
      </c>
      <c r="G82" s="533">
        <v>169.78</v>
      </c>
      <c r="H82" s="533">
        <v>172.9</v>
      </c>
      <c r="I82" s="533">
        <v>176.06</v>
      </c>
      <c r="J82" s="533">
        <v>179.29</v>
      </c>
      <c r="K82" s="533" t="s">
        <v>556</v>
      </c>
      <c r="L82" s="533" t="s">
        <v>556</v>
      </c>
      <c r="M82" s="533" t="s">
        <v>556</v>
      </c>
      <c r="N82" s="533" t="s">
        <v>556</v>
      </c>
      <c r="O82" s="533" t="s">
        <v>556</v>
      </c>
      <c r="P82" s="533" t="s">
        <v>556</v>
      </c>
      <c r="Q82" s="533" t="s">
        <v>556</v>
      </c>
      <c r="R82" s="533" t="s">
        <v>556</v>
      </c>
      <c r="S82" s="533" t="s">
        <v>556</v>
      </c>
      <c r="T82" s="534" t="s">
        <v>556</v>
      </c>
      <c r="U82" s="534" t="s">
        <v>556</v>
      </c>
      <c r="V82" s="530"/>
      <c r="W82" s="536">
        <v>93</v>
      </c>
      <c r="X82" s="533">
        <v>158.97999999999999</v>
      </c>
      <c r="Y82" s="533">
        <v>162.07</v>
      </c>
      <c r="Z82" s="533">
        <v>165.17</v>
      </c>
      <c r="AA82" s="533">
        <v>168.27</v>
      </c>
      <c r="AB82" s="533">
        <v>171.39</v>
      </c>
      <c r="AC82" s="533">
        <v>174.53</v>
      </c>
      <c r="AD82" s="533">
        <v>177.71</v>
      </c>
      <c r="AE82" s="533">
        <v>180.95</v>
      </c>
      <c r="AF82" s="533" t="s">
        <v>556</v>
      </c>
      <c r="AG82" s="533" t="s">
        <v>556</v>
      </c>
      <c r="AH82" s="533" t="s">
        <v>556</v>
      </c>
      <c r="AI82" s="533" t="s">
        <v>556</v>
      </c>
      <c r="AJ82" s="533" t="s">
        <v>556</v>
      </c>
      <c r="AK82" s="533" t="s">
        <v>556</v>
      </c>
      <c r="AL82" s="533" t="s">
        <v>556</v>
      </c>
      <c r="AM82" s="533" t="s">
        <v>556</v>
      </c>
      <c r="AN82" s="533" t="s">
        <v>556</v>
      </c>
      <c r="AO82" s="534" t="s">
        <v>556</v>
      </c>
      <c r="AP82" s="534" t="s">
        <v>556</v>
      </c>
      <c r="AQ82" s="537"/>
      <c r="AR82" s="536">
        <v>93</v>
      </c>
      <c r="AS82" s="533">
        <v>159.91999999999999</v>
      </c>
      <c r="AT82" s="533">
        <v>163.01</v>
      </c>
      <c r="AU82" s="533">
        <v>166.11</v>
      </c>
      <c r="AV82" s="533">
        <v>169.22</v>
      </c>
      <c r="AW82" s="533">
        <v>172.33</v>
      </c>
      <c r="AX82" s="533">
        <v>175.47</v>
      </c>
      <c r="AY82" s="533">
        <v>178.65</v>
      </c>
      <c r="AZ82" s="533">
        <v>181.88</v>
      </c>
      <c r="BA82" s="533" t="s">
        <v>556</v>
      </c>
      <c r="BB82" s="533" t="s">
        <v>556</v>
      </c>
      <c r="BC82" s="533" t="s">
        <v>556</v>
      </c>
      <c r="BD82" s="533" t="s">
        <v>556</v>
      </c>
      <c r="BE82" s="533" t="s">
        <v>556</v>
      </c>
      <c r="BF82" s="533" t="s">
        <v>556</v>
      </c>
      <c r="BG82" s="533" t="s">
        <v>556</v>
      </c>
      <c r="BH82" s="533" t="s">
        <v>556</v>
      </c>
      <c r="BI82" s="533" t="s">
        <v>556</v>
      </c>
      <c r="BJ82" s="538" t="s">
        <v>556</v>
      </c>
      <c r="BK82" s="538" t="s">
        <v>556</v>
      </c>
    </row>
    <row r="83" spans="2:63" x14ac:dyDescent="0.25">
      <c r="B83" s="536">
        <v>94</v>
      </c>
      <c r="C83" s="533">
        <v>163.86</v>
      </c>
      <c r="D83" s="533">
        <v>167.11</v>
      </c>
      <c r="E83" s="533">
        <v>170.38</v>
      </c>
      <c r="F83" s="533">
        <v>173.68</v>
      </c>
      <c r="G83" s="533">
        <v>177.01</v>
      </c>
      <c r="H83" s="533">
        <v>180.4</v>
      </c>
      <c r="I83" s="533">
        <v>183.86</v>
      </c>
      <c r="J83" s="533" t="s">
        <v>556</v>
      </c>
      <c r="K83" s="533" t="s">
        <v>556</v>
      </c>
      <c r="L83" s="533" t="s">
        <v>556</v>
      </c>
      <c r="M83" s="533" t="s">
        <v>556</v>
      </c>
      <c r="N83" s="533" t="s">
        <v>556</v>
      </c>
      <c r="O83" s="533" t="s">
        <v>556</v>
      </c>
      <c r="P83" s="533" t="s">
        <v>556</v>
      </c>
      <c r="Q83" s="533" t="s">
        <v>556</v>
      </c>
      <c r="R83" s="533" t="s">
        <v>556</v>
      </c>
      <c r="S83" s="533" t="s">
        <v>556</v>
      </c>
      <c r="T83" s="534" t="s">
        <v>556</v>
      </c>
      <c r="U83" s="534" t="s">
        <v>556</v>
      </c>
      <c r="V83" s="530"/>
      <c r="W83" s="536">
        <v>94</v>
      </c>
      <c r="X83" s="533">
        <v>165.42</v>
      </c>
      <c r="Y83" s="533">
        <v>168.7</v>
      </c>
      <c r="Z83" s="533">
        <v>172</v>
      </c>
      <c r="AA83" s="533">
        <v>175.32</v>
      </c>
      <c r="AB83" s="533">
        <v>178.67</v>
      </c>
      <c r="AC83" s="533">
        <v>182.08</v>
      </c>
      <c r="AD83" s="533">
        <v>185.55</v>
      </c>
      <c r="AE83" s="533" t="s">
        <v>556</v>
      </c>
      <c r="AF83" s="533" t="s">
        <v>556</v>
      </c>
      <c r="AG83" s="533" t="s">
        <v>556</v>
      </c>
      <c r="AH83" s="533" t="s">
        <v>556</v>
      </c>
      <c r="AI83" s="533" t="s">
        <v>556</v>
      </c>
      <c r="AJ83" s="533" t="s">
        <v>556</v>
      </c>
      <c r="AK83" s="533" t="s">
        <v>556</v>
      </c>
      <c r="AL83" s="533" t="s">
        <v>556</v>
      </c>
      <c r="AM83" s="533" t="s">
        <v>556</v>
      </c>
      <c r="AN83" s="533" t="s">
        <v>556</v>
      </c>
      <c r="AO83" s="534" t="s">
        <v>556</v>
      </c>
      <c r="AP83" s="534" t="s">
        <v>556</v>
      </c>
      <c r="AQ83" s="537"/>
      <c r="AR83" s="536">
        <v>94</v>
      </c>
      <c r="AS83" s="533">
        <v>166.35</v>
      </c>
      <c r="AT83" s="533">
        <v>169.64</v>
      </c>
      <c r="AU83" s="533">
        <v>172.94</v>
      </c>
      <c r="AV83" s="533">
        <v>176.26</v>
      </c>
      <c r="AW83" s="533">
        <v>179.61</v>
      </c>
      <c r="AX83" s="533">
        <v>183.01</v>
      </c>
      <c r="AY83" s="533">
        <v>186.48</v>
      </c>
      <c r="AZ83" s="533" t="s">
        <v>556</v>
      </c>
      <c r="BA83" s="533" t="s">
        <v>556</v>
      </c>
      <c r="BB83" s="533" t="s">
        <v>556</v>
      </c>
      <c r="BC83" s="533" t="s">
        <v>556</v>
      </c>
      <c r="BD83" s="533" t="s">
        <v>556</v>
      </c>
      <c r="BE83" s="533" t="s">
        <v>556</v>
      </c>
      <c r="BF83" s="533" t="s">
        <v>556</v>
      </c>
      <c r="BG83" s="533" t="s">
        <v>556</v>
      </c>
      <c r="BH83" s="533" t="s">
        <v>556</v>
      </c>
      <c r="BI83" s="533" t="s">
        <v>556</v>
      </c>
      <c r="BJ83" s="538" t="s">
        <v>556</v>
      </c>
      <c r="BK83" s="538" t="s">
        <v>556</v>
      </c>
    </row>
    <row r="84" spans="2:63" x14ac:dyDescent="0.25">
      <c r="B84" s="536">
        <v>95</v>
      </c>
      <c r="C84" s="533">
        <v>170.65</v>
      </c>
      <c r="D84" s="533">
        <v>174.12</v>
      </c>
      <c r="E84" s="533">
        <v>177.62</v>
      </c>
      <c r="F84" s="533">
        <v>181.17</v>
      </c>
      <c r="G84" s="533">
        <v>184.79</v>
      </c>
      <c r="H84" s="533">
        <v>188.49</v>
      </c>
      <c r="I84" s="533" t="s">
        <v>556</v>
      </c>
      <c r="J84" s="533" t="s">
        <v>556</v>
      </c>
      <c r="K84" s="533" t="s">
        <v>556</v>
      </c>
      <c r="L84" s="533" t="s">
        <v>556</v>
      </c>
      <c r="M84" s="533" t="s">
        <v>556</v>
      </c>
      <c r="N84" s="533" t="s">
        <v>556</v>
      </c>
      <c r="O84" s="533" t="s">
        <v>556</v>
      </c>
      <c r="P84" s="533" t="s">
        <v>556</v>
      </c>
      <c r="Q84" s="533" t="s">
        <v>556</v>
      </c>
      <c r="R84" s="533" t="s">
        <v>556</v>
      </c>
      <c r="S84" s="533" t="s">
        <v>556</v>
      </c>
      <c r="T84" s="534" t="s">
        <v>556</v>
      </c>
      <c r="U84" s="534" t="s">
        <v>556</v>
      </c>
      <c r="V84" s="530"/>
      <c r="W84" s="536">
        <v>95</v>
      </c>
      <c r="X84" s="533">
        <v>172.26</v>
      </c>
      <c r="Y84" s="533">
        <v>175.76</v>
      </c>
      <c r="Z84" s="533">
        <v>179.29</v>
      </c>
      <c r="AA84" s="533">
        <v>182.86</v>
      </c>
      <c r="AB84" s="533">
        <v>186.49</v>
      </c>
      <c r="AC84" s="533">
        <v>190.2</v>
      </c>
      <c r="AD84" s="533" t="s">
        <v>556</v>
      </c>
      <c r="AE84" s="533" t="s">
        <v>556</v>
      </c>
      <c r="AF84" s="533" t="s">
        <v>556</v>
      </c>
      <c r="AG84" s="533" t="s">
        <v>556</v>
      </c>
      <c r="AH84" s="533" t="s">
        <v>556</v>
      </c>
      <c r="AI84" s="533" t="s">
        <v>556</v>
      </c>
      <c r="AJ84" s="533" t="s">
        <v>556</v>
      </c>
      <c r="AK84" s="533" t="s">
        <v>556</v>
      </c>
      <c r="AL84" s="533" t="s">
        <v>556</v>
      </c>
      <c r="AM84" s="533" t="s">
        <v>556</v>
      </c>
      <c r="AN84" s="533" t="s">
        <v>556</v>
      </c>
      <c r="AO84" s="534" t="s">
        <v>556</v>
      </c>
      <c r="AP84" s="534" t="s">
        <v>556</v>
      </c>
      <c r="AQ84" s="537"/>
      <c r="AR84" s="536">
        <v>95</v>
      </c>
      <c r="AS84" s="533">
        <v>173.19</v>
      </c>
      <c r="AT84" s="533">
        <v>176.7</v>
      </c>
      <c r="AU84" s="533">
        <v>180.23</v>
      </c>
      <c r="AV84" s="533">
        <v>183.8</v>
      </c>
      <c r="AW84" s="533">
        <v>187.43</v>
      </c>
      <c r="AX84" s="533">
        <v>191.14</v>
      </c>
      <c r="AY84" s="533" t="s">
        <v>556</v>
      </c>
      <c r="AZ84" s="533" t="s">
        <v>556</v>
      </c>
      <c r="BA84" s="533" t="s">
        <v>556</v>
      </c>
      <c r="BB84" s="533" t="s">
        <v>556</v>
      </c>
      <c r="BC84" s="533" t="s">
        <v>556</v>
      </c>
      <c r="BD84" s="533" t="s">
        <v>556</v>
      </c>
      <c r="BE84" s="533" t="s">
        <v>556</v>
      </c>
      <c r="BF84" s="533" t="s">
        <v>556</v>
      </c>
      <c r="BG84" s="533" t="s">
        <v>556</v>
      </c>
      <c r="BH84" s="533" t="s">
        <v>556</v>
      </c>
      <c r="BI84" s="533" t="s">
        <v>556</v>
      </c>
      <c r="BJ84" s="538" t="s">
        <v>556</v>
      </c>
      <c r="BK84" s="538" t="s">
        <v>556</v>
      </c>
    </row>
    <row r="85" spans="2:63" x14ac:dyDescent="0.25">
      <c r="B85" s="536">
        <v>96</v>
      </c>
      <c r="C85" s="533">
        <v>177.9</v>
      </c>
      <c r="D85" s="533">
        <v>181.62</v>
      </c>
      <c r="E85" s="533">
        <v>185.39</v>
      </c>
      <c r="F85" s="533">
        <v>189.24</v>
      </c>
      <c r="G85" s="533">
        <v>193.19</v>
      </c>
      <c r="H85" s="533" t="s">
        <v>556</v>
      </c>
      <c r="I85" s="533" t="s">
        <v>556</v>
      </c>
      <c r="J85" s="533" t="s">
        <v>556</v>
      </c>
      <c r="K85" s="533" t="s">
        <v>556</v>
      </c>
      <c r="L85" s="533" t="s">
        <v>556</v>
      </c>
      <c r="M85" s="533" t="s">
        <v>556</v>
      </c>
      <c r="N85" s="533" t="s">
        <v>556</v>
      </c>
      <c r="O85" s="533" t="s">
        <v>556</v>
      </c>
      <c r="P85" s="533" t="s">
        <v>556</v>
      </c>
      <c r="Q85" s="533" t="s">
        <v>556</v>
      </c>
      <c r="R85" s="533" t="s">
        <v>556</v>
      </c>
      <c r="S85" s="533" t="s">
        <v>556</v>
      </c>
      <c r="T85" s="534" t="s">
        <v>556</v>
      </c>
      <c r="U85" s="534" t="s">
        <v>556</v>
      </c>
      <c r="V85" s="530"/>
      <c r="W85" s="536">
        <v>96</v>
      </c>
      <c r="X85" s="533">
        <v>179.56</v>
      </c>
      <c r="Y85" s="533">
        <v>183.3</v>
      </c>
      <c r="Z85" s="533">
        <v>187.09</v>
      </c>
      <c r="AA85" s="533">
        <v>190.96</v>
      </c>
      <c r="AB85" s="533">
        <v>194.93</v>
      </c>
      <c r="AC85" s="533" t="s">
        <v>556</v>
      </c>
      <c r="AD85" s="533" t="s">
        <v>556</v>
      </c>
      <c r="AE85" s="533" t="s">
        <v>556</v>
      </c>
      <c r="AF85" s="533" t="s">
        <v>556</v>
      </c>
      <c r="AG85" s="533" t="s">
        <v>556</v>
      </c>
      <c r="AH85" s="533" t="s">
        <v>556</v>
      </c>
      <c r="AI85" s="533" t="s">
        <v>556</v>
      </c>
      <c r="AJ85" s="533" t="s">
        <v>556</v>
      </c>
      <c r="AK85" s="533" t="s">
        <v>556</v>
      </c>
      <c r="AL85" s="533" t="s">
        <v>556</v>
      </c>
      <c r="AM85" s="533" t="s">
        <v>556</v>
      </c>
      <c r="AN85" s="533" t="s">
        <v>556</v>
      </c>
      <c r="AO85" s="534" t="s">
        <v>556</v>
      </c>
      <c r="AP85" s="534" t="s">
        <v>556</v>
      </c>
      <c r="AQ85" s="537"/>
      <c r="AR85" s="536">
        <v>96</v>
      </c>
      <c r="AS85" s="533">
        <v>180.49</v>
      </c>
      <c r="AT85" s="533">
        <v>184.24</v>
      </c>
      <c r="AU85" s="533">
        <v>188.03</v>
      </c>
      <c r="AV85" s="533">
        <v>191.9</v>
      </c>
      <c r="AW85" s="533">
        <v>195.87</v>
      </c>
      <c r="AX85" s="533" t="s">
        <v>556</v>
      </c>
      <c r="AY85" s="533" t="s">
        <v>556</v>
      </c>
      <c r="AZ85" s="533" t="s">
        <v>556</v>
      </c>
      <c r="BA85" s="533" t="s">
        <v>556</v>
      </c>
      <c r="BB85" s="533" t="s">
        <v>556</v>
      </c>
      <c r="BC85" s="533" t="s">
        <v>556</v>
      </c>
      <c r="BD85" s="533" t="s">
        <v>556</v>
      </c>
      <c r="BE85" s="533" t="s">
        <v>556</v>
      </c>
      <c r="BF85" s="533" t="s">
        <v>556</v>
      </c>
      <c r="BG85" s="533" t="s">
        <v>556</v>
      </c>
      <c r="BH85" s="533" t="s">
        <v>556</v>
      </c>
      <c r="BI85" s="533" t="s">
        <v>556</v>
      </c>
      <c r="BJ85" s="538" t="s">
        <v>556</v>
      </c>
      <c r="BK85" s="538" t="s">
        <v>556</v>
      </c>
    </row>
    <row r="86" spans="2:63" x14ac:dyDescent="0.25">
      <c r="B86" s="536">
        <v>97</v>
      </c>
      <c r="C86" s="533">
        <v>185.69</v>
      </c>
      <c r="D86" s="533">
        <v>189.68</v>
      </c>
      <c r="E86" s="533">
        <v>193.77</v>
      </c>
      <c r="F86" s="533">
        <v>197.98</v>
      </c>
      <c r="G86" s="533" t="s">
        <v>556</v>
      </c>
      <c r="H86" s="533" t="s">
        <v>556</v>
      </c>
      <c r="I86" s="533" t="s">
        <v>556</v>
      </c>
      <c r="J86" s="533" t="s">
        <v>556</v>
      </c>
      <c r="K86" s="533" t="s">
        <v>556</v>
      </c>
      <c r="L86" s="533" t="s">
        <v>556</v>
      </c>
      <c r="M86" s="533" t="s">
        <v>556</v>
      </c>
      <c r="N86" s="533" t="s">
        <v>556</v>
      </c>
      <c r="O86" s="533" t="s">
        <v>556</v>
      </c>
      <c r="P86" s="533" t="s">
        <v>556</v>
      </c>
      <c r="Q86" s="533" t="s">
        <v>556</v>
      </c>
      <c r="R86" s="533" t="s">
        <v>556</v>
      </c>
      <c r="S86" s="533" t="s">
        <v>556</v>
      </c>
      <c r="T86" s="534" t="s">
        <v>556</v>
      </c>
      <c r="U86" s="534" t="s">
        <v>556</v>
      </c>
      <c r="V86" s="530"/>
      <c r="W86" s="536">
        <v>97</v>
      </c>
      <c r="X86" s="533">
        <v>187.38</v>
      </c>
      <c r="Y86" s="533">
        <v>191.4</v>
      </c>
      <c r="Z86" s="533">
        <v>195.51</v>
      </c>
      <c r="AA86" s="533">
        <v>199.73</v>
      </c>
      <c r="AB86" s="533" t="s">
        <v>556</v>
      </c>
      <c r="AC86" s="533" t="s">
        <v>556</v>
      </c>
      <c r="AD86" s="533" t="s">
        <v>556</v>
      </c>
      <c r="AE86" s="533" t="s">
        <v>556</v>
      </c>
      <c r="AF86" s="533" t="s">
        <v>556</v>
      </c>
      <c r="AG86" s="533" t="s">
        <v>556</v>
      </c>
      <c r="AH86" s="533" t="s">
        <v>556</v>
      </c>
      <c r="AI86" s="533" t="s">
        <v>556</v>
      </c>
      <c r="AJ86" s="533" t="s">
        <v>556</v>
      </c>
      <c r="AK86" s="533" t="s">
        <v>556</v>
      </c>
      <c r="AL86" s="533" t="s">
        <v>556</v>
      </c>
      <c r="AM86" s="533" t="s">
        <v>556</v>
      </c>
      <c r="AN86" s="533" t="s">
        <v>556</v>
      </c>
      <c r="AO86" s="534" t="s">
        <v>556</v>
      </c>
      <c r="AP86" s="534" t="s">
        <v>556</v>
      </c>
      <c r="AQ86" s="537"/>
      <c r="AR86" s="536">
        <v>97</v>
      </c>
      <c r="AS86" s="533">
        <v>188.31</v>
      </c>
      <c r="AT86" s="533">
        <v>192.34</v>
      </c>
      <c r="AU86" s="533">
        <v>196.45</v>
      </c>
      <c r="AV86" s="533">
        <v>200.67</v>
      </c>
      <c r="AW86" s="533" t="s">
        <v>556</v>
      </c>
      <c r="AX86" s="533" t="s">
        <v>556</v>
      </c>
      <c r="AY86" s="533" t="s">
        <v>556</v>
      </c>
      <c r="AZ86" s="533" t="s">
        <v>556</v>
      </c>
      <c r="BA86" s="533" t="s">
        <v>556</v>
      </c>
      <c r="BB86" s="533" t="s">
        <v>556</v>
      </c>
      <c r="BC86" s="533" t="s">
        <v>556</v>
      </c>
      <c r="BD86" s="533" t="s">
        <v>556</v>
      </c>
      <c r="BE86" s="533" t="s">
        <v>556</v>
      </c>
      <c r="BF86" s="533" t="s">
        <v>556</v>
      </c>
      <c r="BG86" s="533" t="s">
        <v>556</v>
      </c>
      <c r="BH86" s="533" t="s">
        <v>556</v>
      </c>
      <c r="BI86" s="533" t="s">
        <v>556</v>
      </c>
      <c r="BJ86" s="538" t="s">
        <v>556</v>
      </c>
      <c r="BK86" s="538" t="s">
        <v>556</v>
      </c>
    </row>
    <row r="87" spans="2:63" x14ac:dyDescent="0.25">
      <c r="B87" s="536">
        <v>98</v>
      </c>
      <c r="C87" s="533">
        <v>194.09</v>
      </c>
      <c r="D87" s="533">
        <v>198.42</v>
      </c>
      <c r="E87" s="533">
        <v>202.89</v>
      </c>
      <c r="F87" s="533" t="s">
        <v>556</v>
      </c>
      <c r="G87" s="533" t="s">
        <v>556</v>
      </c>
      <c r="H87" s="533" t="s">
        <v>556</v>
      </c>
      <c r="I87" s="533" t="s">
        <v>556</v>
      </c>
      <c r="J87" s="533" t="s">
        <v>556</v>
      </c>
      <c r="K87" s="533" t="s">
        <v>556</v>
      </c>
      <c r="L87" s="533" t="s">
        <v>556</v>
      </c>
      <c r="M87" s="533" t="s">
        <v>556</v>
      </c>
      <c r="N87" s="533" t="s">
        <v>556</v>
      </c>
      <c r="O87" s="533" t="s">
        <v>556</v>
      </c>
      <c r="P87" s="533" t="s">
        <v>556</v>
      </c>
      <c r="Q87" s="533" t="s">
        <v>556</v>
      </c>
      <c r="R87" s="533" t="s">
        <v>556</v>
      </c>
      <c r="S87" s="533" t="s">
        <v>556</v>
      </c>
      <c r="T87" s="534" t="s">
        <v>556</v>
      </c>
      <c r="U87" s="534" t="s">
        <v>556</v>
      </c>
      <c r="V87" s="530"/>
      <c r="W87" s="536">
        <v>98</v>
      </c>
      <c r="X87" s="533">
        <v>195.82</v>
      </c>
      <c r="Y87" s="533">
        <v>200.17</v>
      </c>
      <c r="Z87" s="533">
        <v>204.65</v>
      </c>
      <c r="AA87" s="533" t="s">
        <v>556</v>
      </c>
      <c r="AB87" s="533" t="s">
        <v>556</v>
      </c>
      <c r="AC87" s="533" t="s">
        <v>556</v>
      </c>
      <c r="AD87" s="533" t="s">
        <v>556</v>
      </c>
      <c r="AE87" s="533" t="s">
        <v>556</v>
      </c>
      <c r="AF87" s="533" t="s">
        <v>556</v>
      </c>
      <c r="AG87" s="533" t="s">
        <v>556</v>
      </c>
      <c r="AH87" s="533" t="s">
        <v>556</v>
      </c>
      <c r="AI87" s="533" t="s">
        <v>556</v>
      </c>
      <c r="AJ87" s="533" t="s">
        <v>556</v>
      </c>
      <c r="AK87" s="533" t="s">
        <v>556</v>
      </c>
      <c r="AL87" s="533" t="s">
        <v>556</v>
      </c>
      <c r="AM87" s="533" t="s">
        <v>556</v>
      </c>
      <c r="AN87" s="533" t="s">
        <v>556</v>
      </c>
      <c r="AO87" s="534" t="s">
        <v>556</v>
      </c>
      <c r="AP87" s="534" t="s">
        <v>556</v>
      </c>
      <c r="AQ87" s="537"/>
      <c r="AR87" s="536">
        <v>98</v>
      </c>
      <c r="AS87" s="533">
        <v>196.75</v>
      </c>
      <c r="AT87" s="533">
        <v>201.11</v>
      </c>
      <c r="AU87" s="533">
        <v>205.6</v>
      </c>
      <c r="AV87" s="533" t="s">
        <v>556</v>
      </c>
      <c r="AW87" s="533" t="s">
        <v>556</v>
      </c>
      <c r="AX87" s="533" t="s">
        <v>556</v>
      </c>
      <c r="AY87" s="533" t="s">
        <v>556</v>
      </c>
      <c r="AZ87" s="533" t="s">
        <v>556</v>
      </c>
      <c r="BA87" s="533" t="s">
        <v>556</v>
      </c>
      <c r="BB87" s="533" t="s">
        <v>556</v>
      </c>
      <c r="BC87" s="533" t="s">
        <v>556</v>
      </c>
      <c r="BD87" s="533" t="s">
        <v>556</v>
      </c>
      <c r="BE87" s="533" t="s">
        <v>556</v>
      </c>
      <c r="BF87" s="533" t="s">
        <v>556</v>
      </c>
      <c r="BG87" s="533" t="s">
        <v>556</v>
      </c>
      <c r="BH87" s="533" t="s">
        <v>556</v>
      </c>
      <c r="BI87" s="533" t="s">
        <v>556</v>
      </c>
      <c r="BJ87" s="538" t="s">
        <v>556</v>
      </c>
      <c r="BK87" s="538" t="s">
        <v>556</v>
      </c>
    </row>
    <row r="88" spans="2:63" x14ac:dyDescent="0.25">
      <c r="B88" s="536">
        <v>99</v>
      </c>
      <c r="C88" s="533">
        <v>203.24</v>
      </c>
      <c r="D88" s="533">
        <v>207.98</v>
      </c>
      <c r="E88" s="533" t="s">
        <v>556</v>
      </c>
      <c r="F88" s="533" t="s">
        <v>556</v>
      </c>
      <c r="G88" s="533" t="s">
        <v>556</v>
      </c>
      <c r="H88" s="533" t="s">
        <v>556</v>
      </c>
      <c r="I88" s="533" t="s">
        <v>556</v>
      </c>
      <c r="J88" s="533" t="s">
        <v>556</v>
      </c>
      <c r="K88" s="533" t="s">
        <v>556</v>
      </c>
      <c r="L88" s="533" t="s">
        <v>556</v>
      </c>
      <c r="M88" s="533" t="s">
        <v>556</v>
      </c>
      <c r="N88" s="533" t="s">
        <v>556</v>
      </c>
      <c r="O88" s="533" t="s">
        <v>556</v>
      </c>
      <c r="P88" s="533" t="s">
        <v>556</v>
      </c>
      <c r="Q88" s="533" t="s">
        <v>556</v>
      </c>
      <c r="R88" s="533" t="s">
        <v>556</v>
      </c>
      <c r="S88" s="533" t="s">
        <v>556</v>
      </c>
      <c r="T88" s="534" t="s">
        <v>556</v>
      </c>
      <c r="U88" s="534" t="s">
        <v>556</v>
      </c>
      <c r="V88" s="530"/>
      <c r="W88" s="536">
        <v>99</v>
      </c>
      <c r="X88" s="533">
        <v>204.99</v>
      </c>
      <c r="Y88" s="533">
        <v>209.74</v>
      </c>
      <c r="Z88" s="533" t="s">
        <v>556</v>
      </c>
      <c r="AA88" s="533" t="s">
        <v>556</v>
      </c>
      <c r="AB88" s="533" t="s">
        <v>556</v>
      </c>
      <c r="AC88" s="533" t="s">
        <v>556</v>
      </c>
      <c r="AD88" s="533" t="s">
        <v>556</v>
      </c>
      <c r="AE88" s="533" t="s">
        <v>556</v>
      </c>
      <c r="AF88" s="533" t="s">
        <v>556</v>
      </c>
      <c r="AG88" s="533" t="s">
        <v>556</v>
      </c>
      <c r="AH88" s="533" t="s">
        <v>556</v>
      </c>
      <c r="AI88" s="533" t="s">
        <v>556</v>
      </c>
      <c r="AJ88" s="533" t="s">
        <v>556</v>
      </c>
      <c r="AK88" s="533" t="s">
        <v>556</v>
      </c>
      <c r="AL88" s="533" t="s">
        <v>556</v>
      </c>
      <c r="AM88" s="533" t="s">
        <v>556</v>
      </c>
      <c r="AN88" s="533" t="s">
        <v>556</v>
      </c>
      <c r="AO88" s="534" t="s">
        <v>556</v>
      </c>
      <c r="AP88" s="534" t="s">
        <v>556</v>
      </c>
      <c r="AQ88" s="537"/>
      <c r="AR88" s="536">
        <v>99</v>
      </c>
      <c r="AS88" s="533">
        <v>205.92</v>
      </c>
      <c r="AT88" s="533">
        <v>210.68</v>
      </c>
      <c r="AU88" s="533" t="s">
        <v>556</v>
      </c>
      <c r="AV88" s="533" t="s">
        <v>556</v>
      </c>
      <c r="AW88" s="533" t="s">
        <v>556</v>
      </c>
      <c r="AX88" s="533" t="s">
        <v>556</v>
      </c>
      <c r="AY88" s="533" t="s">
        <v>556</v>
      </c>
      <c r="AZ88" s="533" t="s">
        <v>556</v>
      </c>
      <c r="BA88" s="533" t="s">
        <v>556</v>
      </c>
      <c r="BB88" s="533" t="s">
        <v>556</v>
      </c>
      <c r="BC88" s="533" t="s">
        <v>556</v>
      </c>
      <c r="BD88" s="533" t="s">
        <v>556</v>
      </c>
      <c r="BE88" s="533" t="s">
        <v>556</v>
      </c>
      <c r="BF88" s="533" t="s">
        <v>556</v>
      </c>
      <c r="BG88" s="533" t="s">
        <v>556</v>
      </c>
      <c r="BH88" s="533" t="s">
        <v>556</v>
      </c>
      <c r="BI88" s="533" t="s">
        <v>556</v>
      </c>
      <c r="BJ88" s="538" t="s">
        <v>556</v>
      </c>
      <c r="BK88" s="538" t="s">
        <v>556</v>
      </c>
    </row>
    <row r="89" spans="2:63" x14ac:dyDescent="0.25">
      <c r="B89" s="536">
        <v>100</v>
      </c>
      <c r="C89" s="533">
        <v>213.31</v>
      </c>
      <c r="D89" s="533" t="s">
        <v>556</v>
      </c>
      <c r="E89" s="533" t="s">
        <v>556</v>
      </c>
      <c r="F89" s="533" t="s">
        <v>556</v>
      </c>
      <c r="G89" s="533" t="s">
        <v>556</v>
      </c>
      <c r="H89" s="533" t="s">
        <v>556</v>
      </c>
      <c r="I89" s="533" t="s">
        <v>556</v>
      </c>
      <c r="J89" s="533" t="s">
        <v>556</v>
      </c>
      <c r="K89" s="533" t="s">
        <v>556</v>
      </c>
      <c r="L89" s="533" t="s">
        <v>556</v>
      </c>
      <c r="M89" s="533" t="s">
        <v>556</v>
      </c>
      <c r="N89" s="533" t="s">
        <v>556</v>
      </c>
      <c r="O89" s="533" t="s">
        <v>556</v>
      </c>
      <c r="P89" s="533" t="s">
        <v>556</v>
      </c>
      <c r="Q89" s="533" t="s">
        <v>556</v>
      </c>
      <c r="R89" s="533" t="s">
        <v>556</v>
      </c>
      <c r="S89" s="533" t="s">
        <v>556</v>
      </c>
      <c r="T89" s="534" t="s">
        <v>556</v>
      </c>
      <c r="U89" s="534" t="s">
        <v>556</v>
      </c>
      <c r="V89" s="530"/>
      <c r="W89" s="536">
        <v>100</v>
      </c>
      <c r="X89" s="533">
        <v>215.06</v>
      </c>
      <c r="Y89" s="533" t="s">
        <v>556</v>
      </c>
      <c r="Z89" s="533" t="s">
        <v>556</v>
      </c>
      <c r="AA89" s="533" t="s">
        <v>556</v>
      </c>
      <c r="AB89" s="533" t="s">
        <v>556</v>
      </c>
      <c r="AC89" s="533" t="s">
        <v>556</v>
      </c>
      <c r="AD89" s="533" t="s">
        <v>556</v>
      </c>
      <c r="AE89" s="533" t="s">
        <v>556</v>
      </c>
      <c r="AF89" s="533" t="s">
        <v>556</v>
      </c>
      <c r="AG89" s="533" t="s">
        <v>556</v>
      </c>
      <c r="AH89" s="533" t="s">
        <v>556</v>
      </c>
      <c r="AI89" s="533" t="s">
        <v>556</v>
      </c>
      <c r="AJ89" s="533" t="s">
        <v>556</v>
      </c>
      <c r="AK89" s="533" t="s">
        <v>556</v>
      </c>
      <c r="AL89" s="533" t="s">
        <v>556</v>
      </c>
      <c r="AM89" s="533" t="s">
        <v>556</v>
      </c>
      <c r="AN89" s="533" t="s">
        <v>556</v>
      </c>
      <c r="AO89" s="534" t="s">
        <v>556</v>
      </c>
      <c r="AP89" s="534" t="s">
        <v>556</v>
      </c>
      <c r="AQ89" s="537"/>
      <c r="AR89" s="536">
        <v>100</v>
      </c>
      <c r="AS89" s="533">
        <v>216</v>
      </c>
      <c r="AT89" s="533" t="s">
        <v>556</v>
      </c>
      <c r="AU89" s="533" t="s">
        <v>556</v>
      </c>
      <c r="AV89" s="533" t="s">
        <v>556</v>
      </c>
      <c r="AW89" s="533" t="s">
        <v>556</v>
      </c>
      <c r="AX89" s="533" t="s">
        <v>556</v>
      </c>
      <c r="AY89" s="533" t="s">
        <v>556</v>
      </c>
      <c r="AZ89" s="533" t="s">
        <v>556</v>
      </c>
      <c r="BA89" s="533" t="s">
        <v>556</v>
      </c>
      <c r="BB89" s="533" t="s">
        <v>556</v>
      </c>
      <c r="BC89" s="533" t="s">
        <v>556</v>
      </c>
      <c r="BD89" s="533" t="s">
        <v>556</v>
      </c>
      <c r="BE89" s="533" t="s">
        <v>556</v>
      </c>
      <c r="BF89" s="533" t="s">
        <v>556</v>
      </c>
      <c r="BG89" s="533" t="s">
        <v>556</v>
      </c>
      <c r="BH89" s="533" t="s">
        <v>556</v>
      </c>
      <c r="BI89" s="533" t="s">
        <v>556</v>
      </c>
      <c r="BJ89" s="538" t="s">
        <v>556</v>
      </c>
      <c r="BK89" s="538" t="s">
        <v>556</v>
      </c>
    </row>
  </sheetData>
  <mergeCells count="6">
    <mergeCell ref="C3:S3"/>
    <mergeCell ref="X3:AN3"/>
    <mergeCell ref="AS3:BI3"/>
    <mergeCell ref="C5:U5"/>
    <mergeCell ref="X5:AP5"/>
    <mergeCell ref="AS5:BK5"/>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5" tint="0.39997558519241921"/>
  </sheetPr>
  <dimension ref="B1:BK89"/>
  <sheetViews>
    <sheetView zoomScale="60" zoomScaleNormal="60" workbookViewId="0">
      <selection activeCell="B7" sqref="B7:BK89"/>
    </sheetView>
  </sheetViews>
  <sheetFormatPr defaultColWidth="9.140625" defaultRowHeight="19.5" x14ac:dyDescent="0.25"/>
  <cols>
    <col min="1" max="1" width="2.140625" style="443" customWidth="1"/>
    <col min="2" max="2" width="49.42578125" style="442" bestFit="1" customWidth="1"/>
    <col min="3" max="3" width="13" style="442" customWidth="1"/>
    <col min="4" max="4" width="12.5703125" style="442" customWidth="1"/>
    <col min="5" max="8" width="12.85546875" style="442" bestFit="1" customWidth="1"/>
    <col min="9" max="9" width="13.85546875" style="442" customWidth="1"/>
    <col min="10" max="10" width="14.42578125" style="442" customWidth="1"/>
    <col min="11" max="19" width="12.85546875" style="442" bestFit="1" customWidth="1"/>
    <col min="20" max="20" width="12.85546875" style="442" customWidth="1"/>
    <col min="21" max="21" width="12.85546875" style="442" bestFit="1" customWidth="1"/>
    <col min="22" max="22" width="8.42578125" style="442" bestFit="1" customWidth="1"/>
    <col min="23" max="24" width="11.5703125" style="442" bestFit="1" customWidth="1"/>
    <col min="25" max="40" width="12.85546875" style="442" bestFit="1" customWidth="1"/>
    <col min="41" max="41" width="12.85546875" style="442" customWidth="1"/>
    <col min="42" max="42" width="12.85546875" style="442" bestFit="1" customWidth="1"/>
    <col min="43" max="43" width="8.42578125" style="442" bestFit="1" customWidth="1"/>
    <col min="44" max="44" width="8.42578125" style="442" customWidth="1"/>
    <col min="45" max="45" width="11.5703125" style="442" bestFit="1" customWidth="1"/>
    <col min="46" max="61" width="12.85546875" style="442" bestFit="1" customWidth="1"/>
    <col min="62" max="62" width="12.85546875" style="442" customWidth="1"/>
    <col min="63" max="63" width="12.85546875" style="442" bestFit="1" customWidth="1"/>
    <col min="64" max="16384" width="9.140625" style="443"/>
  </cols>
  <sheetData>
    <row r="1" spans="2:63" x14ac:dyDescent="0.25">
      <c r="B1" s="442" t="s">
        <v>175</v>
      </c>
      <c r="C1" s="442" t="s">
        <v>437</v>
      </c>
    </row>
    <row r="3" spans="2:63" ht="42.75" customHeight="1" x14ac:dyDescent="0.25">
      <c r="B3" s="444"/>
      <c r="C3" s="774" t="s">
        <v>176</v>
      </c>
      <c r="D3" s="775"/>
      <c r="E3" s="775"/>
      <c r="F3" s="775"/>
      <c r="G3" s="775"/>
      <c r="H3" s="775"/>
      <c r="I3" s="775"/>
      <c r="J3" s="775"/>
      <c r="K3" s="775"/>
      <c r="L3" s="775"/>
      <c r="M3" s="775"/>
      <c r="N3" s="775"/>
      <c r="O3" s="775"/>
      <c r="P3" s="775"/>
      <c r="Q3" s="775"/>
      <c r="R3" s="775"/>
      <c r="S3" s="775"/>
      <c r="T3" s="775"/>
      <c r="U3" s="776"/>
      <c r="X3" s="784" t="s">
        <v>177</v>
      </c>
      <c r="Y3" s="785"/>
      <c r="Z3" s="785"/>
      <c r="AA3" s="785"/>
      <c r="AB3" s="785"/>
      <c r="AC3" s="785"/>
      <c r="AD3" s="785"/>
      <c r="AE3" s="785"/>
      <c r="AF3" s="785"/>
      <c r="AG3" s="785"/>
      <c r="AH3" s="785"/>
      <c r="AI3" s="785"/>
      <c r="AJ3" s="785"/>
      <c r="AK3" s="785"/>
      <c r="AL3" s="785"/>
      <c r="AM3" s="785"/>
      <c r="AN3" s="785"/>
      <c r="AO3" s="785"/>
      <c r="AP3" s="786"/>
      <c r="AS3" s="784" t="s">
        <v>176</v>
      </c>
      <c r="AT3" s="785"/>
      <c r="AU3" s="785"/>
      <c r="AV3" s="785"/>
      <c r="AW3" s="785"/>
      <c r="AX3" s="785"/>
      <c r="AY3" s="785"/>
      <c r="AZ3" s="785"/>
      <c r="BA3" s="785"/>
      <c r="BB3" s="785"/>
      <c r="BC3" s="785"/>
      <c r="BD3" s="785"/>
      <c r="BE3" s="785"/>
      <c r="BF3" s="785"/>
      <c r="BG3" s="785"/>
      <c r="BH3" s="785"/>
      <c r="BI3" s="785"/>
      <c r="BJ3" s="785"/>
      <c r="BK3" s="786"/>
    </row>
    <row r="4" spans="2:63" ht="17.25" customHeight="1" x14ac:dyDescent="0.25">
      <c r="B4" s="444">
        <v>231909.10999999987</v>
      </c>
      <c r="C4" s="442">
        <f>B4-B5</f>
        <v>-1793.1700000001874</v>
      </c>
      <c r="X4" s="444"/>
      <c r="AS4" s="444"/>
    </row>
    <row r="5" spans="2:63" x14ac:dyDescent="0.25">
      <c r="B5" s="442">
        <f>SUM(C7:U89)+SUM(X7:AP89)+SUM(AS7:BK89)</f>
        <v>233702.28000000006</v>
      </c>
      <c r="C5" s="777" t="s">
        <v>173</v>
      </c>
      <c r="D5" s="777"/>
      <c r="E5" s="777"/>
      <c r="F5" s="777"/>
      <c r="G5" s="777"/>
      <c r="H5" s="777"/>
      <c r="I5" s="777"/>
      <c r="J5" s="777"/>
      <c r="K5" s="777"/>
      <c r="L5" s="777"/>
      <c r="M5" s="777"/>
      <c r="N5" s="777"/>
      <c r="O5" s="777"/>
      <c r="P5" s="777"/>
      <c r="Q5" s="777"/>
      <c r="R5" s="777"/>
      <c r="S5" s="777"/>
      <c r="T5" s="777"/>
      <c r="U5" s="777"/>
      <c r="X5" s="777" t="s">
        <v>165</v>
      </c>
      <c r="Y5" s="777"/>
      <c r="Z5" s="777"/>
      <c r="AA5" s="777"/>
      <c r="AB5" s="777"/>
      <c r="AC5" s="777"/>
      <c r="AD5" s="777"/>
      <c r="AE5" s="777"/>
      <c r="AF5" s="777"/>
      <c r="AG5" s="777"/>
      <c r="AH5" s="777"/>
      <c r="AI5" s="777"/>
      <c r="AJ5" s="777"/>
      <c r="AK5" s="777"/>
      <c r="AL5" s="777"/>
      <c r="AM5" s="777"/>
      <c r="AN5" s="777"/>
      <c r="AO5" s="777"/>
      <c r="AP5" s="777"/>
      <c r="AS5" s="777" t="s">
        <v>166</v>
      </c>
      <c r="AT5" s="777"/>
      <c r="AU5" s="777"/>
      <c r="AV5" s="777"/>
      <c r="AW5" s="777"/>
      <c r="AX5" s="777"/>
      <c r="AY5" s="777"/>
      <c r="AZ5" s="777"/>
      <c r="BA5" s="777"/>
      <c r="BB5" s="777"/>
      <c r="BC5" s="777"/>
      <c r="BD5" s="777"/>
      <c r="BE5" s="777"/>
      <c r="BF5" s="777"/>
      <c r="BG5" s="777"/>
      <c r="BH5" s="777"/>
      <c r="BI5" s="777"/>
      <c r="BJ5" s="777"/>
      <c r="BK5" s="777"/>
    </row>
    <row r="6" spans="2:63" s="449" customFormat="1" ht="120.75" customHeight="1" x14ac:dyDescent="0.25">
      <c r="B6" s="445" t="s">
        <v>14</v>
      </c>
      <c r="C6" s="446">
        <v>0</v>
      </c>
      <c r="D6" s="447">
        <v>1</v>
      </c>
      <c r="E6" s="447">
        <v>2</v>
      </c>
      <c r="F6" s="447">
        <v>3</v>
      </c>
      <c r="G6" s="447">
        <v>4</v>
      </c>
      <c r="H6" s="447">
        <v>5</v>
      </c>
      <c r="I6" s="447">
        <v>6</v>
      </c>
      <c r="J6" s="447">
        <v>7</v>
      </c>
      <c r="K6" s="447">
        <v>8</v>
      </c>
      <c r="L6" s="447">
        <v>9</v>
      </c>
      <c r="M6" s="447">
        <v>10</v>
      </c>
      <c r="N6" s="448" t="s">
        <v>15</v>
      </c>
      <c r="O6" s="447" t="s">
        <v>16</v>
      </c>
      <c r="P6" s="447" t="s">
        <v>17</v>
      </c>
      <c r="Q6" s="447" t="s">
        <v>18</v>
      </c>
      <c r="R6" s="447" t="s">
        <v>19</v>
      </c>
      <c r="S6" s="447" t="s">
        <v>20</v>
      </c>
      <c r="T6" s="465" t="s">
        <v>167</v>
      </c>
      <c r="U6" s="466" t="s">
        <v>168</v>
      </c>
      <c r="W6" s="445" t="s">
        <v>14</v>
      </c>
      <c r="X6" s="467">
        <v>0</v>
      </c>
      <c r="Y6" s="465">
        <v>1</v>
      </c>
      <c r="Z6" s="465">
        <v>2</v>
      </c>
      <c r="AA6" s="465">
        <v>3</v>
      </c>
      <c r="AB6" s="465">
        <v>4</v>
      </c>
      <c r="AC6" s="465">
        <v>5</v>
      </c>
      <c r="AD6" s="465">
        <v>6</v>
      </c>
      <c r="AE6" s="465">
        <v>7</v>
      </c>
      <c r="AF6" s="465">
        <v>8</v>
      </c>
      <c r="AG6" s="465">
        <v>9</v>
      </c>
      <c r="AH6" s="465">
        <v>10</v>
      </c>
      <c r="AI6" s="468" t="s">
        <v>15</v>
      </c>
      <c r="AJ6" s="465" t="s">
        <v>16</v>
      </c>
      <c r="AK6" s="465" t="s">
        <v>17</v>
      </c>
      <c r="AL6" s="465" t="s">
        <v>18</v>
      </c>
      <c r="AM6" s="465" t="s">
        <v>19</v>
      </c>
      <c r="AN6" s="465" t="s">
        <v>20</v>
      </c>
      <c r="AO6" s="465" t="s">
        <v>167</v>
      </c>
      <c r="AP6" s="465" t="s">
        <v>168</v>
      </c>
      <c r="AR6" s="445" t="s">
        <v>14</v>
      </c>
      <c r="AS6" s="446">
        <v>0</v>
      </c>
      <c r="AT6" s="447">
        <v>1</v>
      </c>
      <c r="AU6" s="447">
        <v>2</v>
      </c>
      <c r="AV6" s="447">
        <v>3</v>
      </c>
      <c r="AW6" s="447">
        <v>4</v>
      </c>
      <c r="AX6" s="447">
        <v>5</v>
      </c>
      <c r="AY6" s="447">
        <v>6</v>
      </c>
      <c r="AZ6" s="447">
        <v>7</v>
      </c>
      <c r="BA6" s="447">
        <v>8</v>
      </c>
      <c r="BB6" s="447">
        <v>9</v>
      </c>
      <c r="BC6" s="447">
        <v>10</v>
      </c>
      <c r="BD6" s="448" t="s">
        <v>15</v>
      </c>
      <c r="BE6" s="447" t="s">
        <v>16</v>
      </c>
      <c r="BF6" s="447" t="s">
        <v>17</v>
      </c>
      <c r="BG6" s="447" t="s">
        <v>18</v>
      </c>
      <c r="BH6" s="447" t="s">
        <v>19</v>
      </c>
      <c r="BI6" s="447" t="s">
        <v>20</v>
      </c>
      <c r="BJ6" s="465" t="s">
        <v>167</v>
      </c>
      <c r="BK6" s="466" t="s">
        <v>168</v>
      </c>
    </row>
    <row r="7" spans="2:63" x14ac:dyDescent="0.25">
      <c r="B7" s="532">
        <v>18</v>
      </c>
      <c r="C7" s="533">
        <v>55.75</v>
      </c>
      <c r="D7" s="533">
        <v>55.79</v>
      </c>
      <c r="E7" s="533">
        <v>55.82</v>
      </c>
      <c r="F7" s="533">
        <v>55.86</v>
      </c>
      <c r="G7" s="533">
        <v>55.89</v>
      </c>
      <c r="H7" s="533">
        <v>55.93</v>
      </c>
      <c r="I7" s="533">
        <v>55.96</v>
      </c>
      <c r="J7" s="533">
        <v>56</v>
      </c>
      <c r="K7" s="533">
        <v>56.03</v>
      </c>
      <c r="L7" s="533">
        <v>56.07</v>
      </c>
      <c r="M7" s="533">
        <v>56.1</v>
      </c>
      <c r="N7" s="533">
        <v>56.13</v>
      </c>
      <c r="O7" s="533">
        <v>56.28</v>
      </c>
      <c r="P7" s="533">
        <v>56.42</v>
      </c>
      <c r="Q7" s="533">
        <v>56.54</v>
      </c>
      <c r="R7" s="533">
        <v>56.64</v>
      </c>
      <c r="S7" s="533">
        <v>56.73</v>
      </c>
      <c r="T7" s="534">
        <v>56.8</v>
      </c>
      <c r="U7" s="534">
        <v>56.88</v>
      </c>
      <c r="V7" s="531"/>
      <c r="W7" s="532">
        <v>18</v>
      </c>
      <c r="X7" s="533">
        <v>55.94</v>
      </c>
      <c r="Y7" s="533">
        <v>55.97</v>
      </c>
      <c r="Z7" s="533">
        <v>56.01</v>
      </c>
      <c r="AA7" s="533">
        <v>56.05</v>
      </c>
      <c r="AB7" s="533">
        <v>56.08</v>
      </c>
      <c r="AC7" s="533">
        <v>56.12</v>
      </c>
      <c r="AD7" s="533">
        <v>56.15</v>
      </c>
      <c r="AE7" s="533">
        <v>56.19</v>
      </c>
      <c r="AF7" s="533">
        <v>56.22</v>
      </c>
      <c r="AG7" s="533">
        <v>56.26</v>
      </c>
      <c r="AH7" s="533">
        <v>56.29</v>
      </c>
      <c r="AI7" s="533">
        <v>56.32</v>
      </c>
      <c r="AJ7" s="533">
        <v>56.47</v>
      </c>
      <c r="AK7" s="533">
        <v>56.61</v>
      </c>
      <c r="AL7" s="533">
        <v>56.73</v>
      </c>
      <c r="AM7" s="533">
        <v>56.83</v>
      </c>
      <c r="AN7" s="533">
        <v>56.92</v>
      </c>
      <c r="AO7" s="534">
        <v>57</v>
      </c>
      <c r="AP7" s="534">
        <v>57.07</v>
      </c>
      <c r="AQ7" s="531"/>
      <c r="AR7" s="532">
        <v>18</v>
      </c>
      <c r="AS7" s="533">
        <v>56.36</v>
      </c>
      <c r="AT7" s="533">
        <v>56.4</v>
      </c>
      <c r="AU7" s="533">
        <v>56.44</v>
      </c>
      <c r="AV7" s="533">
        <v>56.48</v>
      </c>
      <c r="AW7" s="533">
        <v>56.51</v>
      </c>
      <c r="AX7" s="533">
        <v>56.55</v>
      </c>
      <c r="AY7" s="533">
        <v>56.58</v>
      </c>
      <c r="AZ7" s="533">
        <v>56.62</v>
      </c>
      <c r="BA7" s="533">
        <v>56.65</v>
      </c>
      <c r="BB7" s="533">
        <v>56.69</v>
      </c>
      <c r="BC7" s="533">
        <v>56.72</v>
      </c>
      <c r="BD7" s="533">
        <v>56.75</v>
      </c>
      <c r="BE7" s="533">
        <v>56.91</v>
      </c>
      <c r="BF7" s="533">
        <v>57.05</v>
      </c>
      <c r="BG7" s="533">
        <v>57.17</v>
      </c>
      <c r="BH7" s="533">
        <v>57.27</v>
      </c>
      <c r="BI7" s="533">
        <v>57.36</v>
      </c>
      <c r="BJ7" s="538">
        <v>57.44</v>
      </c>
      <c r="BK7" s="538">
        <v>57.51</v>
      </c>
    </row>
    <row r="8" spans="2:63" x14ac:dyDescent="0.25">
      <c r="B8" s="532">
        <v>19</v>
      </c>
      <c r="C8" s="533">
        <v>55.83</v>
      </c>
      <c r="D8" s="533">
        <v>55.86</v>
      </c>
      <c r="E8" s="533">
        <v>55.9</v>
      </c>
      <c r="F8" s="533">
        <v>55.94</v>
      </c>
      <c r="G8" s="533">
        <v>55.98</v>
      </c>
      <c r="H8" s="533">
        <v>56.01</v>
      </c>
      <c r="I8" s="533">
        <v>56.05</v>
      </c>
      <c r="J8" s="533">
        <v>56.09</v>
      </c>
      <c r="K8" s="533">
        <v>56.12</v>
      </c>
      <c r="L8" s="533">
        <v>56.16</v>
      </c>
      <c r="M8" s="533">
        <v>56.19</v>
      </c>
      <c r="N8" s="533">
        <v>56.23</v>
      </c>
      <c r="O8" s="533">
        <v>56.39</v>
      </c>
      <c r="P8" s="533">
        <v>56.53</v>
      </c>
      <c r="Q8" s="533">
        <v>56.65</v>
      </c>
      <c r="R8" s="533">
        <v>56.76</v>
      </c>
      <c r="S8" s="533">
        <v>56.85</v>
      </c>
      <c r="T8" s="534">
        <v>56.93</v>
      </c>
      <c r="U8" s="534">
        <v>57.01</v>
      </c>
      <c r="V8" s="531"/>
      <c r="W8" s="532">
        <v>19</v>
      </c>
      <c r="X8" s="533">
        <v>56.01</v>
      </c>
      <c r="Y8" s="533">
        <v>56.05</v>
      </c>
      <c r="Z8" s="533">
        <v>56.09</v>
      </c>
      <c r="AA8" s="533">
        <v>56.13</v>
      </c>
      <c r="AB8" s="533">
        <v>56.17</v>
      </c>
      <c r="AC8" s="533">
        <v>56.2</v>
      </c>
      <c r="AD8" s="533">
        <v>56.24</v>
      </c>
      <c r="AE8" s="533">
        <v>56.28</v>
      </c>
      <c r="AF8" s="533">
        <v>56.31</v>
      </c>
      <c r="AG8" s="533">
        <v>56.35</v>
      </c>
      <c r="AH8" s="533">
        <v>56.38</v>
      </c>
      <c r="AI8" s="533">
        <v>56.42</v>
      </c>
      <c r="AJ8" s="533">
        <v>56.58</v>
      </c>
      <c r="AK8" s="533">
        <v>56.72</v>
      </c>
      <c r="AL8" s="533">
        <v>56.84</v>
      </c>
      <c r="AM8" s="533">
        <v>56.95</v>
      </c>
      <c r="AN8" s="533">
        <v>57.04</v>
      </c>
      <c r="AO8" s="534">
        <v>57.12</v>
      </c>
      <c r="AP8" s="534">
        <v>57.2</v>
      </c>
      <c r="AQ8" s="531"/>
      <c r="AR8" s="532">
        <v>19</v>
      </c>
      <c r="AS8" s="533">
        <v>56.44</v>
      </c>
      <c r="AT8" s="533">
        <v>56.48</v>
      </c>
      <c r="AU8" s="533">
        <v>56.52</v>
      </c>
      <c r="AV8" s="533">
        <v>56.56</v>
      </c>
      <c r="AW8" s="533">
        <v>56.6</v>
      </c>
      <c r="AX8" s="533">
        <v>56.63</v>
      </c>
      <c r="AY8" s="533">
        <v>56.67</v>
      </c>
      <c r="AZ8" s="533">
        <v>56.71</v>
      </c>
      <c r="BA8" s="533">
        <v>56.75</v>
      </c>
      <c r="BB8" s="533">
        <v>56.78</v>
      </c>
      <c r="BC8" s="533">
        <v>56.82</v>
      </c>
      <c r="BD8" s="533">
        <v>56.85</v>
      </c>
      <c r="BE8" s="533">
        <v>57.01</v>
      </c>
      <c r="BF8" s="533">
        <v>57.16</v>
      </c>
      <c r="BG8" s="533">
        <v>57.28</v>
      </c>
      <c r="BH8" s="533">
        <v>57.39</v>
      </c>
      <c r="BI8" s="533">
        <v>57.49</v>
      </c>
      <c r="BJ8" s="538">
        <v>57.57</v>
      </c>
      <c r="BK8" s="538">
        <v>57.65</v>
      </c>
    </row>
    <row r="9" spans="2:63" x14ac:dyDescent="0.25">
      <c r="B9" s="532">
        <v>20</v>
      </c>
      <c r="C9" s="533">
        <v>55.91</v>
      </c>
      <c r="D9" s="533">
        <v>55.95</v>
      </c>
      <c r="E9" s="533">
        <v>55.99</v>
      </c>
      <c r="F9" s="533">
        <v>56.03</v>
      </c>
      <c r="G9" s="533">
        <v>56.07</v>
      </c>
      <c r="H9" s="533">
        <v>56.1</v>
      </c>
      <c r="I9" s="533">
        <v>56.14</v>
      </c>
      <c r="J9" s="533">
        <v>56.18</v>
      </c>
      <c r="K9" s="533">
        <v>56.22</v>
      </c>
      <c r="L9" s="533">
        <v>56.25</v>
      </c>
      <c r="M9" s="533">
        <v>56.29</v>
      </c>
      <c r="N9" s="533">
        <v>56.33</v>
      </c>
      <c r="O9" s="533">
        <v>56.49</v>
      </c>
      <c r="P9" s="533">
        <v>56.64</v>
      </c>
      <c r="Q9" s="533">
        <v>56.77</v>
      </c>
      <c r="R9" s="533">
        <v>56.88</v>
      </c>
      <c r="S9" s="533">
        <v>56.98</v>
      </c>
      <c r="T9" s="534">
        <v>57.06</v>
      </c>
      <c r="U9" s="534">
        <v>57.14</v>
      </c>
      <c r="V9" s="531"/>
      <c r="W9" s="532">
        <v>20</v>
      </c>
      <c r="X9" s="533">
        <v>56.09</v>
      </c>
      <c r="Y9" s="533">
        <v>56.14</v>
      </c>
      <c r="Z9" s="533">
        <v>56.18</v>
      </c>
      <c r="AA9" s="533">
        <v>56.21</v>
      </c>
      <c r="AB9" s="533">
        <v>56.25</v>
      </c>
      <c r="AC9" s="533">
        <v>56.29</v>
      </c>
      <c r="AD9" s="533">
        <v>56.33</v>
      </c>
      <c r="AE9" s="533">
        <v>56.37</v>
      </c>
      <c r="AF9" s="533">
        <v>56.41</v>
      </c>
      <c r="AG9" s="533">
        <v>56.45</v>
      </c>
      <c r="AH9" s="533">
        <v>56.48</v>
      </c>
      <c r="AI9" s="533">
        <v>56.52</v>
      </c>
      <c r="AJ9" s="533">
        <v>56.69</v>
      </c>
      <c r="AK9" s="533">
        <v>56.83</v>
      </c>
      <c r="AL9" s="533">
        <v>56.96</v>
      </c>
      <c r="AM9" s="533">
        <v>57.08</v>
      </c>
      <c r="AN9" s="533">
        <v>57.17</v>
      </c>
      <c r="AO9" s="534">
        <v>57.26</v>
      </c>
      <c r="AP9" s="534">
        <v>57.34</v>
      </c>
      <c r="AQ9" s="531"/>
      <c r="AR9" s="532">
        <v>20</v>
      </c>
      <c r="AS9" s="533">
        <v>56.52</v>
      </c>
      <c r="AT9" s="533">
        <v>56.57</v>
      </c>
      <c r="AU9" s="533">
        <v>56.61</v>
      </c>
      <c r="AV9" s="533">
        <v>56.65</v>
      </c>
      <c r="AW9" s="533">
        <v>56.69</v>
      </c>
      <c r="AX9" s="533">
        <v>56.73</v>
      </c>
      <c r="AY9" s="533">
        <v>56.77</v>
      </c>
      <c r="AZ9" s="533">
        <v>56.8</v>
      </c>
      <c r="BA9" s="533">
        <v>56.84</v>
      </c>
      <c r="BB9" s="533">
        <v>56.88</v>
      </c>
      <c r="BC9" s="533">
        <v>56.92</v>
      </c>
      <c r="BD9" s="533">
        <v>56.95</v>
      </c>
      <c r="BE9" s="533">
        <v>57.12</v>
      </c>
      <c r="BF9" s="533">
        <v>57.28</v>
      </c>
      <c r="BG9" s="533">
        <v>57.41</v>
      </c>
      <c r="BH9" s="533">
        <v>57.52</v>
      </c>
      <c r="BI9" s="533">
        <v>57.62</v>
      </c>
      <c r="BJ9" s="538">
        <v>57.71</v>
      </c>
      <c r="BK9" s="538">
        <v>57.79</v>
      </c>
    </row>
    <row r="10" spans="2:63" x14ac:dyDescent="0.25">
      <c r="B10" s="532">
        <v>21</v>
      </c>
      <c r="C10" s="533">
        <v>55.99</v>
      </c>
      <c r="D10" s="533">
        <v>56.03</v>
      </c>
      <c r="E10" s="533">
        <v>56.07</v>
      </c>
      <c r="F10" s="533">
        <v>56.12</v>
      </c>
      <c r="G10" s="533">
        <v>56.16</v>
      </c>
      <c r="H10" s="533">
        <v>56.2</v>
      </c>
      <c r="I10" s="533">
        <v>56.24</v>
      </c>
      <c r="J10" s="533">
        <v>56.28</v>
      </c>
      <c r="K10" s="533">
        <v>56.32</v>
      </c>
      <c r="L10" s="533">
        <v>56.36</v>
      </c>
      <c r="M10" s="533">
        <v>56.39</v>
      </c>
      <c r="N10" s="533">
        <v>56.43</v>
      </c>
      <c r="O10" s="533">
        <v>56.61</v>
      </c>
      <c r="P10" s="533">
        <v>56.76</v>
      </c>
      <c r="Q10" s="533">
        <v>56.9</v>
      </c>
      <c r="R10" s="533">
        <v>57.01</v>
      </c>
      <c r="S10" s="533">
        <v>57.11</v>
      </c>
      <c r="T10" s="534">
        <v>57.2</v>
      </c>
      <c r="U10" s="534">
        <v>57.29</v>
      </c>
      <c r="V10" s="531"/>
      <c r="W10" s="532">
        <v>21</v>
      </c>
      <c r="X10" s="533">
        <v>56.18</v>
      </c>
      <c r="Y10" s="533">
        <v>56.22</v>
      </c>
      <c r="Z10" s="533">
        <v>56.26</v>
      </c>
      <c r="AA10" s="533">
        <v>56.31</v>
      </c>
      <c r="AB10" s="533">
        <v>56.35</v>
      </c>
      <c r="AC10" s="533">
        <v>56.39</v>
      </c>
      <c r="AD10" s="533">
        <v>56.43</v>
      </c>
      <c r="AE10" s="533">
        <v>56.47</v>
      </c>
      <c r="AF10" s="533">
        <v>56.51</v>
      </c>
      <c r="AG10" s="533">
        <v>56.55</v>
      </c>
      <c r="AH10" s="533">
        <v>56.58</v>
      </c>
      <c r="AI10" s="533">
        <v>56.62</v>
      </c>
      <c r="AJ10" s="533">
        <v>56.8</v>
      </c>
      <c r="AK10" s="533">
        <v>56.95</v>
      </c>
      <c r="AL10" s="533">
        <v>57.09</v>
      </c>
      <c r="AM10" s="533">
        <v>57.21</v>
      </c>
      <c r="AN10" s="533">
        <v>57.31</v>
      </c>
      <c r="AO10" s="534">
        <v>57.4</v>
      </c>
      <c r="AP10" s="534">
        <v>57.48</v>
      </c>
      <c r="AQ10" s="531"/>
      <c r="AR10" s="532">
        <v>21</v>
      </c>
      <c r="AS10" s="533">
        <v>56.61</v>
      </c>
      <c r="AT10" s="533">
        <v>56.65</v>
      </c>
      <c r="AU10" s="533">
        <v>56.7</v>
      </c>
      <c r="AV10" s="533">
        <v>56.74</v>
      </c>
      <c r="AW10" s="533">
        <v>56.78</v>
      </c>
      <c r="AX10" s="533">
        <v>56.82</v>
      </c>
      <c r="AY10" s="533">
        <v>56.86</v>
      </c>
      <c r="AZ10" s="533">
        <v>56.9</v>
      </c>
      <c r="BA10" s="533">
        <v>56.94</v>
      </c>
      <c r="BB10" s="533">
        <v>56.98</v>
      </c>
      <c r="BC10" s="533">
        <v>57.02</v>
      </c>
      <c r="BD10" s="533">
        <v>57.06</v>
      </c>
      <c r="BE10" s="533">
        <v>57.24</v>
      </c>
      <c r="BF10" s="533">
        <v>57.4</v>
      </c>
      <c r="BG10" s="533">
        <v>57.54</v>
      </c>
      <c r="BH10" s="533">
        <v>57.65</v>
      </c>
      <c r="BI10" s="533">
        <v>57.76</v>
      </c>
      <c r="BJ10" s="538">
        <v>57.85</v>
      </c>
      <c r="BK10" s="538">
        <v>57.93</v>
      </c>
    </row>
    <row r="11" spans="2:63" x14ac:dyDescent="0.25">
      <c r="B11" s="532">
        <v>22</v>
      </c>
      <c r="C11" s="533">
        <v>56.08</v>
      </c>
      <c r="D11" s="533">
        <v>56.12</v>
      </c>
      <c r="E11" s="533">
        <v>56.17</v>
      </c>
      <c r="F11" s="533">
        <v>56.21</v>
      </c>
      <c r="G11" s="533">
        <v>56.25</v>
      </c>
      <c r="H11" s="533">
        <v>56.3</v>
      </c>
      <c r="I11" s="533">
        <v>56.34</v>
      </c>
      <c r="J11" s="533">
        <v>56.38</v>
      </c>
      <c r="K11" s="533">
        <v>56.42</v>
      </c>
      <c r="L11" s="533">
        <v>56.46</v>
      </c>
      <c r="M11" s="533">
        <v>56.5</v>
      </c>
      <c r="N11" s="533">
        <v>56.54</v>
      </c>
      <c r="O11" s="533">
        <v>56.72</v>
      </c>
      <c r="P11" s="533">
        <v>56.89</v>
      </c>
      <c r="Q11" s="533">
        <v>57.03</v>
      </c>
      <c r="R11" s="533">
        <v>57.15</v>
      </c>
      <c r="S11" s="533">
        <v>57.26</v>
      </c>
      <c r="T11" s="534">
        <v>57.35</v>
      </c>
      <c r="U11" s="534">
        <v>57.44</v>
      </c>
      <c r="V11" s="531"/>
      <c r="W11" s="532">
        <v>22</v>
      </c>
      <c r="X11" s="533">
        <v>56.27</v>
      </c>
      <c r="Y11" s="533">
        <v>56.31</v>
      </c>
      <c r="Z11" s="533">
        <v>56.36</v>
      </c>
      <c r="AA11" s="533">
        <v>56.4</v>
      </c>
      <c r="AB11" s="533">
        <v>56.44</v>
      </c>
      <c r="AC11" s="533">
        <v>56.49</v>
      </c>
      <c r="AD11" s="533">
        <v>56.53</v>
      </c>
      <c r="AE11" s="533">
        <v>56.57</v>
      </c>
      <c r="AF11" s="533">
        <v>56.61</v>
      </c>
      <c r="AG11" s="533">
        <v>56.65</v>
      </c>
      <c r="AH11" s="533">
        <v>56.69</v>
      </c>
      <c r="AI11" s="533">
        <v>56.73</v>
      </c>
      <c r="AJ11" s="533">
        <v>56.92</v>
      </c>
      <c r="AK11" s="533">
        <v>57.08</v>
      </c>
      <c r="AL11" s="533">
        <v>57.22</v>
      </c>
      <c r="AM11" s="533">
        <v>57.35</v>
      </c>
      <c r="AN11" s="533">
        <v>57.45</v>
      </c>
      <c r="AO11" s="534">
        <v>57.55</v>
      </c>
      <c r="AP11" s="534">
        <v>57.63</v>
      </c>
      <c r="AQ11" s="531"/>
      <c r="AR11" s="532">
        <v>22</v>
      </c>
      <c r="AS11" s="533">
        <v>56.7</v>
      </c>
      <c r="AT11" s="533">
        <v>56.74</v>
      </c>
      <c r="AU11" s="533">
        <v>56.79</v>
      </c>
      <c r="AV11" s="533">
        <v>56.83</v>
      </c>
      <c r="AW11" s="533">
        <v>56.88</v>
      </c>
      <c r="AX11" s="533">
        <v>56.92</v>
      </c>
      <c r="AY11" s="533">
        <v>56.96</v>
      </c>
      <c r="AZ11" s="533">
        <v>57.01</v>
      </c>
      <c r="BA11" s="533">
        <v>57.05</v>
      </c>
      <c r="BB11" s="533">
        <v>57.09</v>
      </c>
      <c r="BC11" s="533">
        <v>57.13</v>
      </c>
      <c r="BD11" s="533">
        <v>57.17</v>
      </c>
      <c r="BE11" s="533">
        <v>57.36</v>
      </c>
      <c r="BF11" s="533">
        <v>57.53</v>
      </c>
      <c r="BG11" s="533">
        <v>57.67</v>
      </c>
      <c r="BH11" s="533">
        <v>57.79</v>
      </c>
      <c r="BI11" s="533">
        <v>57.9</v>
      </c>
      <c r="BJ11" s="538">
        <v>58</v>
      </c>
      <c r="BK11" s="538">
        <v>58.09</v>
      </c>
    </row>
    <row r="12" spans="2:63" x14ac:dyDescent="0.25">
      <c r="B12" s="532">
        <v>23</v>
      </c>
      <c r="C12" s="533">
        <v>56.17</v>
      </c>
      <c r="D12" s="533">
        <v>56.22</v>
      </c>
      <c r="E12" s="533">
        <v>56.26</v>
      </c>
      <c r="F12" s="533">
        <v>56.31</v>
      </c>
      <c r="G12" s="533">
        <v>56.35</v>
      </c>
      <c r="H12" s="533">
        <v>56.4</v>
      </c>
      <c r="I12" s="533">
        <v>56.44</v>
      </c>
      <c r="J12" s="533">
        <v>56.49</v>
      </c>
      <c r="K12" s="533">
        <v>56.53</v>
      </c>
      <c r="L12" s="533">
        <v>56.57</v>
      </c>
      <c r="M12" s="533">
        <v>56.61</v>
      </c>
      <c r="N12" s="533">
        <v>56.66</v>
      </c>
      <c r="O12" s="533">
        <v>56.85</v>
      </c>
      <c r="P12" s="533">
        <v>57.02</v>
      </c>
      <c r="Q12" s="533">
        <v>57.17</v>
      </c>
      <c r="R12" s="533">
        <v>57.3</v>
      </c>
      <c r="S12" s="533">
        <v>57.41</v>
      </c>
      <c r="T12" s="534">
        <v>57.51</v>
      </c>
      <c r="U12" s="534">
        <v>57.6</v>
      </c>
      <c r="V12" s="531"/>
      <c r="W12" s="532">
        <v>23</v>
      </c>
      <c r="X12" s="533">
        <v>56.36</v>
      </c>
      <c r="Y12" s="533">
        <v>56.41</v>
      </c>
      <c r="Z12" s="533">
        <v>56.45</v>
      </c>
      <c r="AA12" s="533">
        <v>56.5</v>
      </c>
      <c r="AB12" s="533">
        <v>56.54</v>
      </c>
      <c r="AC12" s="533">
        <v>56.59</v>
      </c>
      <c r="AD12" s="533">
        <v>56.63</v>
      </c>
      <c r="AE12" s="533">
        <v>56.68</v>
      </c>
      <c r="AF12" s="533">
        <v>56.72</v>
      </c>
      <c r="AG12" s="533">
        <v>56.76</v>
      </c>
      <c r="AH12" s="533">
        <v>56.81</v>
      </c>
      <c r="AI12" s="533">
        <v>56.85</v>
      </c>
      <c r="AJ12" s="533">
        <v>57.04</v>
      </c>
      <c r="AK12" s="533">
        <v>57.21</v>
      </c>
      <c r="AL12" s="533">
        <v>57.36</v>
      </c>
      <c r="AM12" s="533">
        <v>57.49</v>
      </c>
      <c r="AN12" s="533">
        <v>57.6</v>
      </c>
      <c r="AO12" s="534">
        <v>57.7</v>
      </c>
      <c r="AP12" s="534">
        <v>57.79</v>
      </c>
      <c r="AQ12" s="531"/>
      <c r="AR12" s="532">
        <v>23</v>
      </c>
      <c r="AS12" s="533">
        <v>56.79</v>
      </c>
      <c r="AT12" s="533">
        <v>56.84</v>
      </c>
      <c r="AU12" s="533">
        <v>56.89</v>
      </c>
      <c r="AV12" s="533">
        <v>56.93</v>
      </c>
      <c r="AW12" s="533">
        <v>56.98</v>
      </c>
      <c r="AX12" s="533">
        <v>57.03</v>
      </c>
      <c r="AY12" s="533">
        <v>57.07</v>
      </c>
      <c r="AZ12" s="533">
        <v>57.12</v>
      </c>
      <c r="BA12" s="533">
        <v>57.16</v>
      </c>
      <c r="BB12" s="533">
        <v>57.2</v>
      </c>
      <c r="BC12" s="533">
        <v>57.25</v>
      </c>
      <c r="BD12" s="533">
        <v>57.29</v>
      </c>
      <c r="BE12" s="533">
        <v>57.49</v>
      </c>
      <c r="BF12" s="533">
        <v>57.66</v>
      </c>
      <c r="BG12" s="533">
        <v>57.81</v>
      </c>
      <c r="BH12" s="533">
        <v>57.94</v>
      </c>
      <c r="BI12" s="533">
        <v>58.06</v>
      </c>
      <c r="BJ12" s="538">
        <v>58.16</v>
      </c>
      <c r="BK12" s="538">
        <v>58.25</v>
      </c>
    </row>
    <row r="13" spans="2:63" x14ac:dyDescent="0.25">
      <c r="B13" s="532">
        <v>24</v>
      </c>
      <c r="C13" s="533">
        <v>56.27</v>
      </c>
      <c r="D13" s="533">
        <v>56.32</v>
      </c>
      <c r="E13" s="533">
        <v>56.36</v>
      </c>
      <c r="F13" s="533">
        <v>56.41</v>
      </c>
      <c r="G13" s="533">
        <v>56.46</v>
      </c>
      <c r="H13" s="533">
        <v>56.51</v>
      </c>
      <c r="I13" s="533">
        <v>56.55</v>
      </c>
      <c r="J13" s="533">
        <v>56.6</v>
      </c>
      <c r="K13" s="533">
        <v>56.64</v>
      </c>
      <c r="L13" s="533">
        <v>56.69</v>
      </c>
      <c r="M13" s="533">
        <v>56.73</v>
      </c>
      <c r="N13" s="533">
        <v>56.78</v>
      </c>
      <c r="O13" s="533">
        <v>56.98</v>
      </c>
      <c r="P13" s="533">
        <v>57.16</v>
      </c>
      <c r="Q13" s="533">
        <v>57.31</v>
      </c>
      <c r="R13" s="533">
        <v>57.45</v>
      </c>
      <c r="S13" s="533">
        <v>57.56</v>
      </c>
      <c r="T13" s="534">
        <v>57.67</v>
      </c>
      <c r="U13" s="534">
        <v>57.76</v>
      </c>
      <c r="V13" s="531"/>
      <c r="W13" s="532">
        <v>24</v>
      </c>
      <c r="X13" s="533">
        <v>56.46</v>
      </c>
      <c r="Y13" s="533">
        <v>56.51</v>
      </c>
      <c r="Z13" s="533">
        <v>56.55</v>
      </c>
      <c r="AA13" s="533">
        <v>56.6</v>
      </c>
      <c r="AB13" s="533">
        <v>56.65</v>
      </c>
      <c r="AC13" s="533">
        <v>56.7</v>
      </c>
      <c r="AD13" s="533">
        <v>56.74</v>
      </c>
      <c r="AE13" s="533">
        <v>56.79</v>
      </c>
      <c r="AF13" s="533">
        <v>56.84</v>
      </c>
      <c r="AG13" s="533">
        <v>56.88</v>
      </c>
      <c r="AH13" s="533">
        <v>56.93</v>
      </c>
      <c r="AI13" s="533">
        <v>56.97</v>
      </c>
      <c r="AJ13" s="533">
        <v>57.17</v>
      </c>
      <c r="AK13" s="533">
        <v>57.35</v>
      </c>
      <c r="AL13" s="533">
        <v>57.51</v>
      </c>
      <c r="AM13" s="533">
        <v>57.64</v>
      </c>
      <c r="AN13" s="533">
        <v>57.76</v>
      </c>
      <c r="AO13" s="534">
        <v>57.87</v>
      </c>
      <c r="AP13" s="534">
        <v>57.96</v>
      </c>
      <c r="AQ13" s="531"/>
      <c r="AR13" s="532">
        <v>24</v>
      </c>
      <c r="AS13" s="533">
        <v>56.89</v>
      </c>
      <c r="AT13" s="533">
        <v>56.94</v>
      </c>
      <c r="AU13" s="533">
        <v>56.99</v>
      </c>
      <c r="AV13" s="533">
        <v>57.04</v>
      </c>
      <c r="AW13" s="533">
        <v>57.09</v>
      </c>
      <c r="AX13" s="533">
        <v>57.14</v>
      </c>
      <c r="AY13" s="533">
        <v>57.18</v>
      </c>
      <c r="AZ13" s="533">
        <v>57.23</v>
      </c>
      <c r="BA13" s="533">
        <v>57.28</v>
      </c>
      <c r="BB13" s="533">
        <v>57.32</v>
      </c>
      <c r="BC13" s="533">
        <v>57.37</v>
      </c>
      <c r="BD13" s="533">
        <v>57.41</v>
      </c>
      <c r="BE13" s="533">
        <v>57.62</v>
      </c>
      <c r="BF13" s="533">
        <v>57.8</v>
      </c>
      <c r="BG13" s="533">
        <v>57.96</v>
      </c>
      <c r="BH13" s="533">
        <v>58.1</v>
      </c>
      <c r="BI13" s="533">
        <v>58.22</v>
      </c>
      <c r="BJ13" s="538">
        <v>58.32</v>
      </c>
      <c r="BK13" s="538">
        <v>58.42</v>
      </c>
    </row>
    <row r="14" spans="2:63" x14ac:dyDescent="0.25">
      <c r="B14" s="532">
        <v>25</v>
      </c>
      <c r="C14" s="533">
        <v>56.37</v>
      </c>
      <c r="D14" s="533">
        <v>56.42</v>
      </c>
      <c r="E14" s="533">
        <v>56.47</v>
      </c>
      <c r="F14" s="533">
        <v>56.52</v>
      </c>
      <c r="G14" s="533">
        <v>56.57</v>
      </c>
      <c r="H14" s="533">
        <v>56.62</v>
      </c>
      <c r="I14" s="533">
        <v>56.67</v>
      </c>
      <c r="J14" s="533">
        <v>56.72</v>
      </c>
      <c r="K14" s="533">
        <v>56.76</v>
      </c>
      <c r="L14" s="533">
        <v>56.81</v>
      </c>
      <c r="M14" s="533">
        <v>56.86</v>
      </c>
      <c r="N14" s="533">
        <v>56.9</v>
      </c>
      <c r="O14" s="533">
        <v>57.12</v>
      </c>
      <c r="P14" s="533">
        <v>57.3</v>
      </c>
      <c r="Q14" s="533">
        <v>57.47</v>
      </c>
      <c r="R14" s="533">
        <v>57.61</v>
      </c>
      <c r="S14" s="533">
        <v>57.73</v>
      </c>
      <c r="T14" s="534">
        <v>57.84</v>
      </c>
      <c r="U14" s="534">
        <v>57.93</v>
      </c>
      <c r="V14" s="531"/>
      <c r="W14" s="532">
        <v>25</v>
      </c>
      <c r="X14" s="533">
        <v>56.56</v>
      </c>
      <c r="Y14" s="533">
        <v>56.61</v>
      </c>
      <c r="Z14" s="533">
        <v>56.66</v>
      </c>
      <c r="AA14" s="533">
        <v>56.71</v>
      </c>
      <c r="AB14" s="533">
        <v>56.76</v>
      </c>
      <c r="AC14" s="533">
        <v>56.81</v>
      </c>
      <c r="AD14" s="533">
        <v>56.86</v>
      </c>
      <c r="AE14" s="533">
        <v>56.91</v>
      </c>
      <c r="AF14" s="533">
        <v>56.96</v>
      </c>
      <c r="AG14" s="533">
        <v>57</v>
      </c>
      <c r="AH14" s="533">
        <v>57.05</v>
      </c>
      <c r="AI14" s="533">
        <v>57.1</v>
      </c>
      <c r="AJ14" s="533">
        <v>57.31</v>
      </c>
      <c r="AK14" s="533">
        <v>57.5</v>
      </c>
      <c r="AL14" s="533">
        <v>57.66</v>
      </c>
      <c r="AM14" s="533">
        <v>57.81</v>
      </c>
      <c r="AN14" s="533">
        <v>57.93</v>
      </c>
      <c r="AO14" s="534">
        <v>58.04</v>
      </c>
      <c r="AP14" s="534">
        <v>58.13</v>
      </c>
      <c r="AQ14" s="531"/>
      <c r="AR14" s="532">
        <v>25</v>
      </c>
      <c r="AS14" s="533">
        <v>57</v>
      </c>
      <c r="AT14" s="533">
        <v>57.05</v>
      </c>
      <c r="AU14" s="533">
        <v>57.1</v>
      </c>
      <c r="AV14" s="533">
        <v>57.15</v>
      </c>
      <c r="AW14" s="533">
        <v>57.2</v>
      </c>
      <c r="AX14" s="533">
        <v>57.25</v>
      </c>
      <c r="AY14" s="533">
        <v>57.3</v>
      </c>
      <c r="AZ14" s="533">
        <v>57.35</v>
      </c>
      <c r="BA14" s="533">
        <v>57.4</v>
      </c>
      <c r="BB14" s="533">
        <v>57.45</v>
      </c>
      <c r="BC14" s="533">
        <v>57.49</v>
      </c>
      <c r="BD14" s="533">
        <v>57.54</v>
      </c>
      <c r="BE14" s="533">
        <v>57.76</v>
      </c>
      <c r="BF14" s="533">
        <v>57.95</v>
      </c>
      <c r="BG14" s="533">
        <v>58.12</v>
      </c>
      <c r="BH14" s="533">
        <v>58.26</v>
      </c>
      <c r="BI14" s="533">
        <v>58.39</v>
      </c>
      <c r="BJ14" s="538">
        <v>58.5</v>
      </c>
      <c r="BK14" s="538">
        <v>58.59</v>
      </c>
    </row>
    <row r="15" spans="2:63" x14ac:dyDescent="0.25">
      <c r="B15" s="532">
        <v>26</v>
      </c>
      <c r="C15" s="533">
        <v>56.47</v>
      </c>
      <c r="D15" s="533">
        <v>56.53</v>
      </c>
      <c r="E15" s="533">
        <v>56.58</v>
      </c>
      <c r="F15" s="533">
        <v>56.63</v>
      </c>
      <c r="G15" s="533">
        <v>56.69</v>
      </c>
      <c r="H15" s="533">
        <v>56.74</v>
      </c>
      <c r="I15" s="533">
        <v>56.79</v>
      </c>
      <c r="J15" s="533">
        <v>56.84</v>
      </c>
      <c r="K15" s="533">
        <v>56.89</v>
      </c>
      <c r="L15" s="533">
        <v>56.94</v>
      </c>
      <c r="M15" s="533">
        <v>56.99</v>
      </c>
      <c r="N15" s="533">
        <v>57.04</v>
      </c>
      <c r="O15" s="533">
        <v>57.26</v>
      </c>
      <c r="P15" s="533">
        <v>57.46</v>
      </c>
      <c r="Q15" s="533">
        <v>57.63</v>
      </c>
      <c r="R15" s="533">
        <v>57.78</v>
      </c>
      <c r="S15" s="533">
        <v>57.9</v>
      </c>
      <c r="T15" s="534">
        <v>58.02</v>
      </c>
      <c r="U15" s="534">
        <v>58.12</v>
      </c>
      <c r="V15" s="531"/>
      <c r="W15" s="532">
        <v>26</v>
      </c>
      <c r="X15" s="533">
        <v>56.67</v>
      </c>
      <c r="Y15" s="533">
        <v>56.72</v>
      </c>
      <c r="Z15" s="533">
        <v>56.77</v>
      </c>
      <c r="AA15" s="533">
        <v>56.83</v>
      </c>
      <c r="AB15" s="533">
        <v>56.88</v>
      </c>
      <c r="AC15" s="533">
        <v>56.93</v>
      </c>
      <c r="AD15" s="533">
        <v>56.98</v>
      </c>
      <c r="AE15" s="533">
        <v>57.03</v>
      </c>
      <c r="AF15" s="533">
        <v>57.08</v>
      </c>
      <c r="AG15" s="533">
        <v>57.13</v>
      </c>
      <c r="AH15" s="533">
        <v>57.18</v>
      </c>
      <c r="AI15" s="533">
        <v>57.23</v>
      </c>
      <c r="AJ15" s="533">
        <v>57.45</v>
      </c>
      <c r="AK15" s="533">
        <v>57.65</v>
      </c>
      <c r="AL15" s="533">
        <v>57.83</v>
      </c>
      <c r="AM15" s="533">
        <v>57.97</v>
      </c>
      <c r="AN15" s="533">
        <v>58.1</v>
      </c>
      <c r="AO15" s="534">
        <v>58.22</v>
      </c>
      <c r="AP15" s="534">
        <v>58.32</v>
      </c>
      <c r="AQ15" s="531"/>
      <c r="AR15" s="532">
        <v>26</v>
      </c>
      <c r="AS15" s="533">
        <v>57.1</v>
      </c>
      <c r="AT15" s="533">
        <v>57.16</v>
      </c>
      <c r="AU15" s="533">
        <v>57.21</v>
      </c>
      <c r="AV15" s="533">
        <v>57.27</v>
      </c>
      <c r="AW15" s="533">
        <v>57.32</v>
      </c>
      <c r="AX15" s="533">
        <v>57.37</v>
      </c>
      <c r="AY15" s="533">
        <v>57.43</v>
      </c>
      <c r="AZ15" s="533">
        <v>57.48</v>
      </c>
      <c r="BA15" s="533">
        <v>57.53</v>
      </c>
      <c r="BB15" s="533">
        <v>57.58</v>
      </c>
      <c r="BC15" s="533">
        <v>57.63</v>
      </c>
      <c r="BD15" s="533">
        <v>57.68</v>
      </c>
      <c r="BE15" s="533">
        <v>57.9</v>
      </c>
      <c r="BF15" s="533">
        <v>58.11</v>
      </c>
      <c r="BG15" s="533">
        <v>58.28</v>
      </c>
      <c r="BH15" s="533">
        <v>58.43</v>
      </c>
      <c r="BI15" s="533">
        <v>58.56</v>
      </c>
      <c r="BJ15" s="538">
        <v>58.68</v>
      </c>
      <c r="BK15" s="538">
        <v>58.78</v>
      </c>
    </row>
    <row r="16" spans="2:63" x14ac:dyDescent="0.25">
      <c r="B16" s="532">
        <v>27</v>
      </c>
      <c r="C16" s="533">
        <v>56.59</v>
      </c>
      <c r="D16" s="533">
        <v>56.64</v>
      </c>
      <c r="E16" s="533">
        <v>56.7</v>
      </c>
      <c r="F16" s="533">
        <v>56.75</v>
      </c>
      <c r="G16" s="533">
        <v>56.81</v>
      </c>
      <c r="H16" s="533">
        <v>56.86</v>
      </c>
      <c r="I16" s="533">
        <v>56.92</v>
      </c>
      <c r="J16" s="533">
        <v>56.97</v>
      </c>
      <c r="K16" s="533">
        <v>57.02</v>
      </c>
      <c r="L16" s="533">
        <v>57.07</v>
      </c>
      <c r="M16" s="533">
        <v>57.12</v>
      </c>
      <c r="N16" s="533">
        <v>57.17</v>
      </c>
      <c r="O16" s="533">
        <v>57.41</v>
      </c>
      <c r="P16" s="533">
        <v>57.62</v>
      </c>
      <c r="Q16" s="533">
        <v>57.8</v>
      </c>
      <c r="R16" s="533">
        <v>57.95</v>
      </c>
      <c r="S16" s="533">
        <v>58.09</v>
      </c>
      <c r="T16" s="534">
        <v>58.21</v>
      </c>
      <c r="U16" s="534">
        <v>58.31</v>
      </c>
      <c r="V16" s="531"/>
      <c r="W16" s="532">
        <v>27</v>
      </c>
      <c r="X16" s="533">
        <v>56.78</v>
      </c>
      <c r="Y16" s="533">
        <v>56.83</v>
      </c>
      <c r="Z16" s="533">
        <v>56.89</v>
      </c>
      <c r="AA16" s="533">
        <v>56.95</v>
      </c>
      <c r="AB16" s="533">
        <v>57</v>
      </c>
      <c r="AC16" s="533">
        <v>57.06</v>
      </c>
      <c r="AD16" s="533">
        <v>57.11</v>
      </c>
      <c r="AE16" s="533">
        <v>57.16</v>
      </c>
      <c r="AF16" s="533">
        <v>57.22</v>
      </c>
      <c r="AG16" s="533">
        <v>57.27</v>
      </c>
      <c r="AH16" s="533">
        <v>57.32</v>
      </c>
      <c r="AI16" s="533">
        <v>57.37</v>
      </c>
      <c r="AJ16" s="533">
        <v>57.61</v>
      </c>
      <c r="AK16" s="533">
        <v>57.81</v>
      </c>
      <c r="AL16" s="533">
        <v>58</v>
      </c>
      <c r="AM16" s="533">
        <v>58.15</v>
      </c>
      <c r="AN16" s="533">
        <v>58.29</v>
      </c>
      <c r="AO16" s="534">
        <v>58.41</v>
      </c>
      <c r="AP16" s="534">
        <v>58.51</v>
      </c>
      <c r="AQ16" s="531"/>
      <c r="AR16" s="532">
        <v>27</v>
      </c>
      <c r="AS16" s="533">
        <v>57.22</v>
      </c>
      <c r="AT16" s="533">
        <v>57.27</v>
      </c>
      <c r="AU16" s="533">
        <v>57.33</v>
      </c>
      <c r="AV16" s="533">
        <v>57.39</v>
      </c>
      <c r="AW16" s="533">
        <v>57.44</v>
      </c>
      <c r="AX16" s="533">
        <v>57.5</v>
      </c>
      <c r="AY16" s="533">
        <v>57.55</v>
      </c>
      <c r="AZ16" s="533">
        <v>57.61</v>
      </c>
      <c r="BA16" s="533">
        <v>57.66</v>
      </c>
      <c r="BB16" s="533">
        <v>57.72</v>
      </c>
      <c r="BC16" s="533">
        <v>57.77</v>
      </c>
      <c r="BD16" s="533">
        <v>57.82</v>
      </c>
      <c r="BE16" s="533">
        <v>58.06</v>
      </c>
      <c r="BF16" s="533">
        <v>58.27</v>
      </c>
      <c r="BG16" s="533">
        <v>58.45</v>
      </c>
      <c r="BH16" s="533">
        <v>58.61</v>
      </c>
      <c r="BI16" s="533">
        <v>58.75</v>
      </c>
      <c r="BJ16" s="538">
        <v>58.87</v>
      </c>
      <c r="BK16" s="538">
        <v>58.97</v>
      </c>
    </row>
    <row r="17" spans="2:63" x14ac:dyDescent="0.25">
      <c r="B17" s="532">
        <v>28</v>
      </c>
      <c r="C17" s="533">
        <v>56.7</v>
      </c>
      <c r="D17" s="533">
        <v>56.76</v>
      </c>
      <c r="E17" s="533">
        <v>56.82</v>
      </c>
      <c r="F17" s="533">
        <v>56.88</v>
      </c>
      <c r="G17" s="533">
        <v>56.94</v>
      </c>
      <c r="H17" s="533">
        <v>56.99</v>
      </c>
      <c r="I17" s="533">
        <v>57.05</v>
      </c>
      <c r="J17" s="533">
        <v>57.11</v>
      </c>
      <c r="K17" s="533">
        <v>57.16</v>
      </c>
      <c r="L17" s="533">
        <v>57.21</v>
      </c>
      <c r="M17" s="533">
        <v>57.27</v>
      </c>
      <c r="N17" s="533">
        <v>57.32</v>
      </c>
      <c r="O17" s="533">
        <v>57.57</v>
      </c>
      <c r="P17" s="533">
        <v>57.79</v>
      </c>
      <c r="Q17" s="533">
        <v>57.98</v>
      </c>
      <c r="R17" s="533">
        <v>58.14</v>
      </c>
      <c r="S17" s="533">
        <v>58.28</v>
      </c>
      <c r="T17" s="534">
        <v>58.41</v>
      </c>
      <c r="U17" s="534">
        <v>58.51</v>
      </c>
      <c r="V17" s="531"/>
      <c r="W17" s="532">
        <v>28</v>
      </c>
      <c r="X17" s="533">
        <v>56.9</v>
      </c>
      <c r="Y17" s="533">
        <v>56.95</v>
      </c>
      <c r="Z17" s="533">
        <v>57.01</v>
      </c>
      <c r="AA17" s="533">
        <v>57.07</v>
      </c>
      <c r="AB17" s="533">
        <v>57.13</v>
      </c>
      <c r="AC17" s="533">
        <v>57.19</v>
      </c>
      <c r="AD17" s="533">
        <v>57.24</v>
      </c>
      <c r="AE17" s="533">
        <v>57.3</v>
      </c>
      <c r="AF17" s="533">
        <v>57.36</v>
      </c>
      <c r="AG17" s="533">
        <v>57.41</v>
      </c>
      <c r="AH17" s="533">
        <v>57.46</v>
      </c>
      <c r="AI17" s="533">
        <v>57.52</v>
      </c>
      <c r="AJ17" s="533">
        <v>57.76</v>
      </c>
      <c r="AK17" s="533">
        <v>57.98</v>
      </c>
      <c r="AL17" s="533">
        <v>58.17</v>
      </c>
      <c r="AM17" s="533">
        <v>58.34</v>
      </c>
      <c r="AN17" s="533">
        <v>58.48</v>
      </c>
      <c r="AO17" s="534">
        <v>58.61</v>
      </c>
      <c r="AP17" s="534">
        <v>58.71</v>
      </c>
      <c r="AQ17" s="531"/>
      <c r="AR17" s="532">
        <v>28</v>
      </c>
      <c r="AS17" s="533">
        <v>57.34</v>
      </c>
      <c r="AT17" s="533">
        <v>57.4</v>
      </c>
      <c r="AU17" s="533">
        <v>57.46</v>
      </c>
      <c r="AV17" s="533">
        <v>57.52</v>
      </c>
      <c r="AW17" s="533">
        <v>57.57</v>
      </c>
      <c r="AX17" s="533">
        <v>57.63</v>
      </c>
      <c r="AY17" s="533">
        <v>57.69</v>
      </c>
      <c r="AZ17" s="533">
        <v>57.75</v>
      </c>
      <c r="BA17" s="533">
        <v>57.8</v>
      </c>
      <c r="BB17" s="533">
        <v>57.86</v>
      </c>
      <c r="BC17" s="533">
        <v>57.91</v>
      </c>
      <c r="BD17" s="533">
        <v>57.97</v>
      </c>
      <c r="BE17" s="533">
        <v>58.22</v>
      </c>
      <c r="BF17" s="533">
        <v>58.44</v>
      </c>
      <c r="BG17" s="533">
        <v>58.64</v>
      </c>
      <c r="BH17" s="533">
        <v>58.8</v>
      </c>
      <c r="BI17" s="533">
        <v>58.95</v>
      </c>
      <c r="BJ17" s="538">
        <v>59.07</v>
      </c>
      <c r="BK17" s="538">
        <v>59.18</v>
      </c>
    </row>
    <row r="18" spans="2:63" x14ac:dyDescent="0.25">
      <c r="B18" s="532">
        <v>29</v>
      </c>
      <c r="C18" s="533">
        <v>56.83</v>
      </c>
      <c r="D18" s="533">
        <v>56.89</v>
      </c>
      <c r="E18" s="533">
        <v>56.95</v>
      </c>
      <c r="F18" s="533">
        <v>57.01</v>
      </c>
      <c r="G18" s="533">
        <v>57.07</v>
      </c>
      <c r="H18" s="533">
        <v>57.13</v>
      </c>
      <c r="I18" s="533">
        <v>57.19</v>
      </c>
      <c r="J18" s="533">
        <v>57.25</v>
      </c>
      <c r="K18" s="533">
        <v>57.31</v>
      </c>
      <c r="L18" s="533">
        <v>57.36</v>
      </c>
      <c r="M18" s="533">
        <v>57.42</v>
      </c>
      <c r="N18" s="533">
        <v>57.47</v>
      </c>
      <c r="O18" s="533">
        <v>57.73</v>
      </c>
      <c r="P18" s="533">
        <v>57.96</v>
      </c>
      <c r="Q18" s="533">
        <v>58.16</v>
      </c>
      <c r="R18" s="533">
        <v>58.34</v>
      </c>
      <c r="S18" s="533">
        <v>58.49</v>
      </c>
      <c r="T18" s="534">
        <v>58.62</v>
      </c>
      <c r="U18" s="534">
        <v>58.72</v>
      </c>
      <c r="V18" s="531"/>
      <c r="W18" s="532">
        <v>29</v>
      </c>
      <c r="X18" s="533">
        <v>57.02</v>
      </c>
      <c r="Y18" s="533">
        <v>57.08</v>
      </c>
      <c r="Z18" s="533">
        <v>57.14</v>
      </c>
      <c r="AA18" s="533">
        <v>57.2</v>
      </c>
      <c r="AB18" s="533">
        <v>57.26</v>
      </c>
      <c r="AC18" s="533">
        <v>57.32</v>
      </c>
      <c r="AD18" s="533">
        <v>57.38</v>
      </c>
      <c r="AE18" s="533">
        <v>57.44</v>
      </c>
      <c r="AF18" s="533">
        <v>57.5</v>
      </c>
      <c r="AG18" s="533">
        <v>57.56</v>
      </c>
      <c r="AH18" s="533">
        <v>57.62</v>
      </c>
      <c r="AI18" s="533">
        <v>57.67</v>
      </c>
      <c r="AJ18" s="533">
        <v>57.93</v>
      </c>
      <c r="AK18" s="533">
        <v>58.16</v>
      </c>
      <c r="AL18" s="533">
        <v>58.36</v>
      </c>
      <c r="AM18" s="533">
        <v>58.54</v>
      </c>
      <c r="AN18" s="533">
        <v>58.69</v>
      </c>
      <c r="AO18" s="534">
        <v>58.82</v>
      </c>
      <c r="AP18" s="534">
        <v>58.92</v>
      </c>
      <c r="AQ18" s="531"/>
      <c r="AR18" s="532">
        <v>29</v>
      </c>
      <c r="AS18" s="533">
        <v>57.46</v>
      </c>
      <c r="AT18" s="533">
        <v>57.53</v>
      </c>
      <c r="AU18" s="533">
        <v>57.59</v>
      </c>
      <c r="AV18" s="533">
        <v>57.65</v>
      </c>
      <c r="AW18" s="533">
        <v>57.71</v>
      </c>
      <c r="AX18" s="533">
        <v>57.77</v>
      </c>
      <c r="AY18" s="533">
        <v>57.83</v>
      </c>
      <c r="AZ18" s="533">
        <v>57.89</v>
      </c>
      <c r="BA18" s="533">
        <v>57.95</v>
      </c>
      <c r="BB18" s="533">
        <v>58.01</v>
      </c>
      <c r="BC18" s="533">
        <v>58.07</v>
      </c>
      <c r="BD18" s="533">
        <v>58.12</v>
      </c>
      <c r="BE18" s="533">
        <v>58.39</v>
      </c>
      <c r="BF18" s="533">
        <v>58.62</v>
      </c>
      <c r="BG18" s="533">
        <v>58.83</v>
      </c>
      <c r="BH18" s="533">
        <v>59</v>
      </c>
      <c r="BI18" s="533">
        <v>59.16</v>
      </c>
      <c r="BJ18" s="538">
        <v>59.29</v>
      </c>
      <c r="BK18" s="538">
        <v>59.4</v>
      </c>
    </row>
    <row r="19" spans="2:63" x14ac:dyDescent="0.25">
      <c r="B19" s="532">
        <v>30</v>
      </c>
      <c r="C19" s="533">
        <v>56.95</v>
      </c>
      <c r="D19" s="533">
        <v>57.02</v>
      </c>
      <c r="E19" s="533">
        <v>57.08</v>
      </c>
      <c r="F19" s="533">
        <v>57.15</v>
      </c>
      <c r="G19" s="533">
        <v>57.21</v>
      </c>
      <c r="H19" s="533">
        <v>57.27</v>
      </c>
      <c r="I19" s="533">
        <v>57.34</v>
      </c>
      <c r="J19" s="533">
        <v>57.4</v>
      </c>
      <c r="K19" s="533">
        <v>57.46</v>
      </c>
      <c r="L19" s="533">
        <v>57.52</v>
      </c>
      <c r="M19" s="533">
        <v>57.58</v>
      </c>
      <c r="N19" s="533">
        <v>57.64</v>
      </c>
      <c r="O19" s="533">
        <v>57.91</v>
      </c>
      <c r="P19" s="533">
        <v>58.15</v>
      </c>
      <c r="Q19" s="533">
        <v>58.36</v>
      </c>
      <c r="R19" s="533">
        <v>58.54</v>
      </c>
      <c r="S19" s="533">
        <v>58.7</v>
      </c>
      <c r="T19" s="534">
        <v>58.84</v>
      </c>
      <c r="U19" s="534">
        <v>58.94</v>
      </c>
      <c r="V19" s="531"/>
      <c r="W19" s="532">
        <v>30</v>
      </c>
      <c r="X19" s="533">
        <v>57.15</v>
      </c>
      <c r="Y19" s="533">
        <v>57.21</v>
      </c>
      <c r="Z19" s="533">
        <v>57.28</v>
      </c>
      <c r="AA19" s="533">
        <v>57.34</v>
      </c>
      <c r="AB19" s="533">
        <v>57.41</v>
      </c>
      <c r="AC19" s="533">
        <v>57.47</v>
      </c>
      <c r="AD19" s="533">
        <v>57.53</v>
      </c>
      <c r="AE19" s="533">
        <v>57.59</v>
      </c>
      <c r="AF19" s="533">
        <v>57.66</v>
      </c>
      <c r="AG19" s="533">
        <v>57.72</v>
      </c>
      <c r="AH19" s="533">
        <v>57.78</v>
      </c>
      <c r="AI19" s="533">
        <v>57.83</v>
      </c>
      <c r="AJ19" s="533">
        <v>58.11</v>
      </c>
      <c r="AK19" s="533">
        <v>58.35</v>
      </c>
      <c r="AL19" s="533">
        <v>58.56</v>
      </c>
      <c r="AM19" s="533">
        <v>58.75</v>
      </c>
      <c r="AN19" s="533">
        <v>58.91</v>
      </c>
      <c r="AO19" s="534">
        <v>59.04</v>
      </c>
      <c r="AP19" s="534">
        <v>59.15</v>
      </c>
      <c r="AQ19" s="531"/>
      <c r="AR19" s="532">
        <v>30</v>
      </c>
      <c r="AS19" s="533">
        <v>57.59</v>
      </c>
      <c r="AT19" s="533">
        <v>57.66</v>
      </c>
      <c r="AU19" s="533">
        <v>57.73</v>
      </c>
      <c r="AV19" s="533">
        <v>57.79</v>
      </c>
      <c r="AW19" s="533">
        <v>57.86</v>
      </c>
      <c r="AX19" s="533">
        <v>57.92</v>
      </c>
      <c r="AY19" s="533">
        <v>57.98</v>
      </c>
      <c r="AZ19" s="533">
        <v>58.05</v>
      </c>
      <c r="BA19" s="533">
        <v>58.11</v>
      </c>
      <c r="BB19" s="533">
        <v>58.17</v>
      </c>
      <c r="BC19" s="533">
        <v>58.23</v>
      </c>
      <c r="BD19" s="533">
        <v>58.29</v>
      </c>
      <c r="BE19" s="533">
        <v>58.57</v>
      </c>
      <c r="BF19" s="533">
        <v>58.81</v>
      </c>
      <c r="BG19" s="533">
        <v>59.03</v>
      </c>
      <c r="BH19" s="533">
        <v>59.21</v>
      </c>
      <c r="BI19" s="533">
        <v>59.38</v>
      </c>
      <c r="BJ19" s="538">
        <v>59.51</v>
      </c>
      <c r="BK19" s="538">
        <v>59.62</v>
      </c>
    </row>
    <row r="20" spans="2:63" x14ac:dyDescent="0.25">
      <c r="B20" s="532">
        <v>31</v>
      </c>
      <c r="C20" s="533">
        <v>57.09</v>
      </c>
      <c r="D20" s="533">
        <v>57.16</v>
      </c>
      <c r="E20" s="533">
        <v>57.22</v>
      </c>
      <c r="F20" s="533">
        <v>57.29</v>
      </c>
      <c r="G20" s="533">
        <v>57.36</v>
      </c>
      <c r="H20" s="533">
        <v>57.43</v>
      </c>
      <c r="I20" s="533">
        <v>57.49</v>
      </c>
      <c r="J20" s="533">
        <v>57.56</v>
      </c>
      <c r="K20" s="533">
        <v>57.62</v>
      </c>
      <c r="L20" s="533">
        <v>57.68</v>
      </c>
      <c r="M20" s="533">
        <v>57.75</v>
      </c>
      <c r="N20" s="533">
        <v>57.81</v>
      </c>
      <c r="O20" s="533">
        <v>58.09</v>
      </c>
      <c r="P20" s="533">
        <v>58.35</v>
      </c>
      <c r="Q20" s="533">
        <v>58.57</v>
      </c>
      <c r="R20" s="533">
        <v>58.76</v>
      </c>
      <c r="S20" s="533">
        <v>58.93</v>
      </c>
      <c r="T20" s="534">
        <v>59.07</v>
      </c>
      <c r="U20" s="534">
        <v>59.18</v>
      </c>
      <c r="V20" s="531"/>
      <c r="W20" s="532">
        <v>31</v>
      </c>
      <c r="X20" s="533">
        <v>57.28</v>
      </c>
      <c r="Y20" s="533">
        <v>57.35</v>
      </c>
      <c r="Z20" s="533">
        <v>57.42</v>
      </c>
      <c r="AA20" s="533">
        <v>57.49</v>
      </c>
      <c r="AB20" s="533">
        <v>57.56</v>
      </c>
      <c r="AC20" s="533">
        <v>57.62</v>
      </c>
      <c r="AD20" s="533">
        <v>57.69</v>
      </c>
      <c r="AE20" s="533">
        <v>57.75</v>
      </c>
      <c r="AF20" s="533">
        <v>57.82</v>
      </c>
      <c r="AG20" s="533">
        <v>57.88</v>
      </c>
      <c r="AH20" s="533">
        <v>57.94</v>
      </c>
      <c r="AI20" s="533">
        <v>58</v>
      </c>
      <c r="AJ20" s="533">
        <v>58.29</v>
      </c>
      <c r="AK20" s="533">
        <v>58.55</v>
      </c>
      <c r="AL20" s="533">
        <v>58.77</v>
      </c>
      <c r="AM20" s="533">
        <v>58.97</v>
      </c>
      <c r="AN20" s="533">
        <v>59.13</v>
      </c>
      <c r="AO20" s="534">
        <v>59.27</v>
      </c>
      <c r="AP20" s="534">
        <v>59.39</v>
      </c>
      <c r="AQ20" s="531"/>
      <c r="AR20" s="532">
        <v>31</v>
      </c>
      <c r="AS20" s="533">
        <v>57.73</v>
      </c>
      <c r="AT20" s="533">
        <v>57.8</v>
      </c>
      <c r="AU20" s="533">
        <v>57.87</v>
      </c>
      <c r="AV20" s="533">
        <v>57.94</v>
      </c>
      <c r="AW20" s="533">
        <v>58.01</v>
      </c>
      <c r="AX20" s="533">
        <v>58.07</v>
      </c>
      <c r="AY20" s="533">
        <v>58.14</v>
      </c>
      <c r="AZ20" s="533">
        <v>58.21</v>
      </c>
      <c r="BA20" s="533">
        <v>58.27</v>
      </c>
      <c r="BB20" s="533">
        <v>58.34</v>
      </c>
      <c r="BC20" s="533">
        <v>58.4</v>
      </c>
      <c r="BD20" s="533">
        <v>58.46</v>
      </c>
      <c r="BE20" s="533">
        <v>58.76</v>
      </c>
      <c r="BF20" s="533">
        <v>59.02</v>
      </c>
      <c r="BG20" s="533">
        <v>59.24</v>
      </c>
      <c r="BH20" s="533">
        <v>59.44</v>
      </c>
      <c r="BI20" s="533">
        <v>59.61</v>
      </c>
      <c r="BJ20" s="538">
        <v>59.75</v>
      </c>
      <c r="BK20" s="538">
        <v>59.86</v>
      </c>
    </row>
    <row r="21" spans="2:63" x14ac:dyDescent="0.25">
      <c r="B21" s="532">
        <v>32</v>
      </c>
      <c r="C21" s="533">
        <v>57.23</v>
      </c>
      <c r="D21" s="533">
        <v>57.3</v>
      </c>
      <c r="E21" s="533">
        <v>57.37</v>
      </c>
      <c r="F21" s="533">
        <v>57.44</v>
      </c>
      <c r="G21" s="533">
        <v>57.52</v>
      </c>
      <c r="H21" s="533">
        <v>57.58</v>
      </c>
      <c r="I21" s="533">
        <v>57.65</v>
      </c>
      <c r="J21" s="533">
        <v>57.72</v>
      </c>
      <c r="K21" s="533">
        <v>57.79</v>
      </c>
      <c r="L21" s="533">
        <v>57.86</v>
      </c>
      <c r="M21" s="533">
        <v>57.92</v>
      </c>
      <c r="N21" s="533">
        <v>57.98</v>
      </c>
      <c r="O21" s="533">
        <v>58.29</v>
      </c>
      <c r="P21" s="533">
        <v>58.56</v>
      </c>
      <c r="Q21" s="533">
        <v>58.79</v>
      </c>
      <c r="R21" s="533">
        <v>58.99</v>
      </c>
      <c r="S21" s="533">
        <v>59.17</v>
      </c>
      <c r="T21" s="534">
        <v>59.31</v>
      </c>
      <c r="U21" s="534">
        <v>59.43</v>
      </c>
      <c r="V21" s="531"/>
      <c r="W21" s="532">
        <v>32</v>
      </c>
      <c r="X21" s="533">
        <v>57.43</v>
      </c>
      <c r="Y21" s="533">
        <v>57.5</v>
      </c>
      <c r="Z21" s="533">
        <v>57.57</v>
      </c>
      <c r="AA21" s="533">
        <v>57.64</v>
      </c>
      <c r="AB21" s="533">
        <v>57.71</v>
      </c>
      <c r="AC21" s="533">
        <v>57.78</v>
      </c>
      <c r="AD21" s="533">
        <v>57.85</v>
      </c>
      <c r="AE21" s="533">
        <v>57.92</v>
      </c>
      <c r="AF21" s="533">
        <v>57.99</v>
      </c>
      <c r="AG21" s="533">
        <v>58.05</v>
      </c>
      <c r="AH21" s="533">
        <v>58.12</v>
      </c>
      <c r="AI21" s="533">
        <v>58.18</v>
      </c>
      <c r="AJ21" s="533">
        <v>58.49</v>
      </c>
      <c r="AK21" s="533">
        <v>58.76</v>
      </c>
      <c r="AL21" s="533">
        <v>58.99</v>
      </c>
      <c r="AM21" s="533">
        <v>59.2</v>
      </c>
      <c r="AN21" s="533">
        <v>59.38</v>
      </c>
      <c r="AO21" s="534">
        <v>59.52</v>
      </c>
      <c r="AP21" s="534">
        <v>59.64</v>
      </c>
      <c r="AQ21" s="531"/>
      <c r="AR21" s="532">
        <v>32</v>
      </c>
      <c r="AS21" s="533">
        <v>57.88</v>
      </c>
      <c r="AT21" s="533">
        <v>57.95</v>
      </c>
      <c r="AU21" s="533">
        <v>58.02</v>
      </c>
      <c r="AV21" s="533">
        <v>58.09</v>
      </c>
      <c r="AW21" s="533">
        <v>58.17</v>
      </c>
      <c r="AX21" s="533">
        <v>58.24</v>
      </c>
      <c r="AY21" s="533">
        <v>58.31</v>
      </c>
      <c r="AZ21" s="533">
        <v>58.38</v>
      </c>
      <c r="BA21" s="533">
        <v>58.45</v>
      </c>
      <c r="BB21" s="533">
        <v>58.51</v>
      </c>
      <c r="BC21" s="533">
        <v>58.58</v>
      </c>
      <c r="BD21" s="533">
        <v>58.65</v>
      </c>
      <c r="BE21" s="533">
        <v>58.95</v>
      </c>
      <c r="BF21" s="533">
        <v>59.23</v>
      </c>
      <c r="BG21" s="533">
        <v>59.47</v>
      </c>
      <c r="BH21" s="533">
        <v>59.67</v>
      </c>
      <c r="BI21" s="533">
        <v>59.85</v>
      </c>
      <c r="BJ21" s="538">
        <v>60</v>
      </c>
      <c r="BK21" s="538">
        <v>60.12</v>
      </c>
    </row>
    <row r="22" spans="2:63" x14ac:dyDescent="0.25">
      <c r="B22" s="532">
        <v>33</v>
      </c>
      <c r="C22" s="533">
        <v>57.38</v>
      </c>
      <c r="D22" s="533">
        <v>57.46</v>
      </c>
      <c r="E22" s="533">
        <v>57.53</v>
      </c>
      <c r="F22" s="533">
        <v>57.6</v>
      </c>
      <c r="G22" s="533">
        <v>57.68</v>
      </c>
      <c r="H22" s="533">
        <v>57.75</v>
      </c>
      <c r="I22" s="533">
        <v>57.82</v>
      </c>
      <c r="J22" s="533">
        <v>57.9</v>
      </c>
      <c r="K22" s="533">
        <v>57.97</v>
      </c>
      <c r="L22" s="533">
        <v>58.04</v>
      </c>
      <c r="M22" s="533">
        <v>58.11</v>
      </c>
      <c r="N22" s="533">
        <v>58.17</v>
      </c>
      <c r="O22" s="533">
        <v>58.49</v>
      </c>
      <c r="P22" s="533">
        <v>58.77</v>
      </c>
      <c r="Q22" s="533">
        <v>59.02</v>
      </c>
      <c r="R22" s="533">
        <v>59.24</v>
      </c>
      <c r="S22" s="533">
        <v>59.42</v>
      </c>
      <c r="T22" s="534">
        <v>59.57</v>
      </c>
      <c r="U22" s="534">
        <v>59.69</v>
      </c>
      <c r="V22" s="531"/>
      <c r="W22" s="532">
        <v>33</v>
      </c>
      <c r="X22" s="533">
        <v>57.58</v>
      </c>
      <c r="Y22" s="533">
        <v>57.65</v>
      </c>
      <c r="Z22" s="533">
        <v>57.73</v>
      </c>
      <c r="AA22" s="533">
        <v>57.8</v>
      </c>
      <c r="AB22" s="533">
        <v>57.88</v>
      </c>
      <c r="AC22" s="533">
        <v>57.95</v>
      </c>
      <c r="AD22" s="533">
        <v>58.02</v>
      </c>
      <c r="AE22" s="533">
        <v>58.1</v>
      </c>
      <c r="AF22" s="533">
        <v>58.17</v>
      </c>
      <c r="AG22" s="533">
        <v>58.24</v>
      </c>
      <c r="AH22" s="533">
        <v>58.31</v>
      </c>
      <c r="AI22" s="533">
        <v>58.37</v>
      </c>
      <c r="AJ22" s="533">
        <v>58.69</v>
      </c>
      <c r="AK22" s="533">
        <v>58.98</v>
      </c>
      <c r="AL22" s="533">
        <v>59.23</v>
      </c>
      <c r="AM22" s="533">
        <v>59.44</v>
      </c>
      <c r="AN22" s="533">
        <v>59.63</v>
      </c>
      <c r="AO22" s="534">
        <v>59.78</v>
      </c>
      <c r="AP22" s="534">
        <v>59.9</v>
      </c>
      <c r="AQ22" s="531"/>
      <c r="AR22" s="532">
        <v>33</v>
      </c>
      <c r="AS22" s="533">
        <v>58.03</v>
      </c>
      <c r="AT22" s="533">
        <v>58.11</v>
      </c>
      <c r="AU22" s="533">
        <v>58.18</v>
      </c>
      <c r="AV22" s="533">
        <v>58.26</v>
      </c>
      <c r="AW22" s="533">
        <v>58.33</v>
      </c>
      <c r="AX22" s="533">
        <v>58.41</v>
      </c>
      <c r="AY22" s="533">
        <v>58.48</v>
      </c>
      <c r="AZ22" s="533">
        <v>58.56</v>
      </c>
      <c r="BA22" s="533">
        <v>58.63</v>
      </c>
      <c r="BB22" s="533">
        <v>58.7</v>
      </c>
      <c r="BC22" s="533">
        <v>58.77</v>
      </c>
      <c r="BD22" s="533">
        <v>58.84</v>
      </c>
      <c r="BE22" s="533">
        <v>59.16</v>
      </c>
      <c r="BF22" s="533">
        <v>59.45</v>
      </c>
      <c r="BG22" s="533">
        <v>59.7</v>
      </c>
      <c r="BH22" s="533">
        <v>59.92</v>
      </c>
      <c r="BI22" s="533">
        <v>60.11</v>
      </c>
      <c r="BJ22" s="538">
        <v>60.27</v>
      </c>
      <c r="BK22" s="538">
        <v>60.39</v>
      </c>
    </row>
    <row r="23" spans="2:63" x14ac:dyDescent="0.25">
      <c r="B23" s="532">
        <v>34</v>
      </c>
      <c r="C23" s="533">
        <v>57.54</v>
      </c>
      <c r="D23" s="533">
        <v>57.62</v>
      </c>
      <c r="E23" s="533">
        <v>57.69</v>
      </c>
      <c r="F23" s="533">
        <v>57.77</v>
      </c>
      <c r="G23" s="533">
        <v>57.85</v>
      </c>
      <c r="H23" s="533">
        <v>57.93</v>
      </c>
      <c r="I23" s="533">
        <v>58</v>
      </c>
      <c r="J23" s="533">
        <v>58.08</v>
      </c>
      <c r="K23" s="533">
        <v>58.15</v>
      </c>
      <c r="L23" s="533">
        <v>58.23</v>
      </c>
      <c r="M23" s="533">
        <v>58.3</v>
      </c>
      <c r="N23" s="533">
        <v>58.37</v>
      </c>
      <c r="O23" s="533">
        <v>58.71</v>
      </c>
      <c r="P23" s="533">
        <v>59.01</v>
      </c>
      <c r="Q23" s="533">
        <v>59.27</v>
      </c>
      <c r="R23" s="533">
        <v>59.5</v>
      </c>
      <c r="S23" s="533">
        <v>59.69</v>
      </c>
      <c r="T23" s="534">
        <v>59.85</v>
      </c>
      <c r="U23" s="534">
        <v>59.97</v>
      </c>
      <c r="V23" s="531"/>
      <c r="W23" s="532">
        <v>34</v>
      </c>
      <c r="X23" s="533">
        <v>57.73</v>
      </c>
      <c r="Y23" s="533">
        <v>57.81</v>
      </c>
      <c r="Z23" s="533">
        <v>57.89</v>
      </c>
      <c r="AA23" s="533">
        <v>57.97</v>
      </c>
      <c r="AB23" s="533">
        <v>58.05</v>
      </c>
      <c r="AC23" s="533">
        <v>58.13</v>
      </c>
      <c r="AD23" s="533">
        <v>58.2</v>
      </c>
      <c r="AE23" s="533">
        <v>58.28</v>
      </c>
      <c r="AF23" s="533">
        <v>58.35</v>
      </c>
      <c r="AG23" s="533">
        <v>58.43</v>
      </c>
      <c r="AH23" s="533">
        <v>58.5</v>
      </c>
      <c r="AI23" s="533">
        <v>58.57</v>
      </c>
      <c r="AJ23" s="533">
        <v>58.91</v>
      </c>
      <c r="AK23" s="533">
        <v>59.21</v>
      </c>
      <c r="AL23" s="533">
        <v>59.47</v>
      </c>
      <c r="AM23" s="533">
        <v>59.7</v>
      </c>
      <c r="AN23" s="533">
        <v>59.9</v>
      </c>
      <c r="AO23" s="534">
        <v>60.06</v>
      </c>
      <c r="AP23" s="534">
        <v>60.18</v>
      </c>
      <c r="AQ23" s="531"/>
      <c r="AR23" s="532">
        <v>34</v>
      </c>
      <c r="AS23" s="533">
        <v>58.19</v>
      </c>
      <c r="AT23" s="533">
        <v>58.27</v>
      </c>
      <c r="AU23" s="533">
        <v>58.35</v>
      </c>
      <c r="AV23" s="533">
        <v>58.43</v>
      </c>
      <c r="AW23" s="533">
        <v>58.51</v>
      </c>
      <c r="AX23" s="533">
        <v>58.59</v>
      </c>
      <c r="AY23" s="533">
        <v>58.67</v>
      </c>
      <c r="AZ23" s="533">
        <v>58.74</v>
      </c>
      <c r="BA23" s="533">
        <v>58.82</v>
      </c>
      <c r="BB23" s="533">
        <v>58.89</v>
      </c>
      <c r="BC23" s="533">
        <v>58.97</v>
      </c>
      <c r="BD23" s="533">
        <v>59.04</v>
      </c>
      <c r="BE23" s="533">
        <v>59.38</v>
      </c>
      <c r="BF23" s="533">
        <v>59.69</v>
      </c>
      <c r="BG23" s="533">
        <v>59.95</v>
      </c>
      <c r="BH23" s="533">
        <v>60.19</v>
      </c>
      <c r="BI23" s="533">
        <v>60.39</v>
      </c>
      <c r="BJ23" s="538">
        <v>60.55</v>
      </c>
      <c r="BK23" s="538">
        <v>60.67</v>
      </c>
    </row>
    <row r="24" spans="2:63" x14ac:dyDescent="0.25">
      <c r="B24" s="532">
        <v>35</v>
      </c>
      <c r="C24" s="533">
        <v>57.7</v>
      </c>
      <c r="D24" s="533">
        <v>57.78</v>
      </c>
      <c r="E24" s="533">
        <v>57.87</v>
      </c>
      <c r="F24" s="533">
        <v>57.95</v>
      </c>
      <c r="G24" s="533">
        <v>58.03</v>
      </c>
      <c r="H24" s="533">
        <v>58.11</v>
      </c>
      <c r="I24" s="533">
        <v>58.19</v>
      </c>
      <c r="J24" s="533">
        <v>58.27</v>
      </c>
      <c r="K24" s="533">
        <v>58.35</v>
      </c>
      <c r="L24" s="533">
        <v>58.43</v>
      </c>
      <c r="M24" s="533">
        <v>58.51</v>
      </c>
      <c r="N24" s="533">
        <v>58.58</v>
      </c>
      <c r="O24" s="533">
        <v>58.93</v>
      </c>
      <c r="P24" s="533">
        <v>59.25</v>
      </c>
      <c r="Q24" s="533">
        <v>59.53</v>
      </c>
      <c r="R24" s="533">
        <v>59.77</v>
      </c>
      <c r="S24" s="533">
        <v>59.98</v>
      </c>
      <c r="T24" s="534">
        <v>60.14</v>
      </c>
      <c r="U24" s="534">
        <v>60.27</v>
      </c>
      <c r="V24" s="531"/>
      <c r="W24" s="532">
        <v>35</v>
      </c>
      <c r="X24" s="533">
        <v>57.9</v>
      </c>
      <c r="Y24" s="533">
        <v>57.98</v>
      </c>
      <c r="Z24" s="533">
        <v>58.07</v>
      </c>
      <c r="AA24" s="533">
        <v>58.15</v>
      </c>
      <c r="AB24" s="533">
        <v>58.23</v>
      </c>
      <c r="AC24" s="533">
        <v>58.31</v>
      </c>
      <c r="AD24" s="533">
        <v>58.39</v>
      </c>
      <c r="AE24" s="533">
        <v>58.47</v>
      </c>
      <c r="AF24" s="533">
        <v>58.55</v>
      </c>
      <c r="AG24" s="533">
        <v>58.63</v>
      </c>
      <c r="AH24" s="533">
        <v>58.71</v>
      </c>
      <c r="AI24" s="533">
        <v>58.78</v>
      </c>
      <c r="AJ24" s="533">
        <v>59.14</v>
      </c>
      <c r="AK24" s="533">
        <v>59.46</v>
      </c>
      <c r="AL24" s="533">
        <v>59.73</v>
      </c>
      <c r="AM24" s="533">
        <v>59.98</v>
      </c>
      <c r="AN24" s="533">
        <v>60.19</v>
      </c>
      <c r="AO24" s="534">
        <v>60.35</v>
      </c>
      <c r="AP24" s="534">
        <v>60.48</v>
      </c>
      <c r="AQ24" s="531"/>
      <c r="AR24" s="532">
        <v>35</v>
      </c>
      <c r="AS24" s="533">
        <v>58.36</v>
      </c>
      <c r="AT24" s="533">
        <v>58.44</v>
      </c>
      <c r="AU24" s="533">
        <v>58.53</v>
      </c>
      <c r="AV24" s="533">
        <v>58.61</v>
      </c>
      <c r="AW24" s="533">
        <v>58.69</v>
      </c>
      <c r="AX24" s="533">
        <v>58.78</v>
      </c>
      <c r="AY24" s="533">
        <v>58.86</v>
      </c>
      <c r="AZ24" s="533">
        <v>58.94</v>
      </c>
      <c r="BA24" s="533">
        <v>59.02</v>
      </c>
      <c r="BB24" s="533">
        <v>59.1</v>
      </c>
      <c r="BC24" s="533">
        <v>59.18</v>
      </c>
      <c r="BD24" s="533">
        <v>59.25</v>
      </c>
      <c r="BE24" s="533">
        <v>59.61</v>
      </c>
      <c r="BF24" s="533">
        <v>59.94</v>
      </c>
      <c r="BG24" s="533">
        <v>60.22</v>
      </c>
      <c r="BH24" s="533">
        <v>60.47</v>
      </c>
      <c r="BI24" s="533">
        <v>60.68</v>
      </c>
      <c r="BJ24" s="538">
        <v>60.84</v>
      </c>
      <c r="BK24" s="538">
        <v>60.97</v>
      </c>
    </row>
    <row r="25" spans="2:63" x14ac:dyDescent="0.25">
      <c r="B25" s="532">
        <v>36</v>
      </c>
      <c r="C25" s="533">
        <v>57.87</v>
      </c>
      <c r="D25" s="533">
        <v>57.96</v>
      </c>
      <c r="E25" s="533">
        <v>58.05</v>
      </c>
      <c r="F25" s="533">
        <v>58.14</v>
      </c>
      <c r="G25" s="533">
        <v>58.22</v>
      </c>
      <c r="H25" s="533">
        <v>58.31</v>
      </c>
      <c r="I25" s="533">
        <v>58.39</v>
      </c>
      <c r="J25" s="533">
        <v>58.48</v>
      </c>
      <c r="K25" s="533">
        <v>58.56</v>
      </c>
      <c r="L25" s="533">
        <v>58.64</v>
      </c>
      <c r="M25" s="533">
        <v>58.72</v>
      </c>
      <c r="N25" s="533">
        <v>58.8</v>
      </c>
      <c r="O25" s="533">
        <v>59.17</v>
      </c>
      <c r="P25" s="533">
        <v>59.51</v>
      </c>
      <c r="Q25" s="533">
        <v>59.8</v>
      </c>
      <c r="R25" s="533">
        <v>60.06</v>
      </c>
      <c r="S25" s="533">
        <v>60.28</v>
      </c>
      <c r="T25" s="534">
        <v>60.4</v>
      </c>
      <c r="U25" s="534">
        <v>60.4</v>
      </c>
      <c r="V25" s="531"/>
      <c r="W25" s="532">
        <v>36</v>
      </c>
      <c r="X25" s="533">
        <v>58.07</v>
      </c>
      <c r="Y25" s="533">
        <v>58.16</v>
      </c>
      <c r="Z25" s="533">
        <v>58.25</v>
      </c>
      <c r="AA25" s="533">
        <v>58.34</v>
      </c>
      <c r="AB25" s="533">
        <v>58.42</v>
      </c>
      <c r="AC25" s="533">
        <v>58.51</v>
      </c>
      <c r="AD25" s="533">
        <v>58.59</v>
      </c>
      <c r="AE25" s="533">
        <v>58.68</v>
      </c>
      <c r="AF25" s="533">
        <v>58.76</v>
      </c>
      <c r="AG25" s="533">
        <v>58.84</v>
      </c>
      <c r="AH25" s="533">
        <v>58.92</v>
      </c>
      <c r="AI25" s="533">
        <v>59</v>
      </c>
      <c r="AJ25" s="533">
        <v>59.38</v>
      </c>
      <c r="AK25" s="533">
        <v>59.71</v>
      </c>
      <c r="AL25" s="533">
        <v>60.01</v>
      </c>
      <c r="AM25" s="533">
        <v>60.27</v>
      </c>
      <c r="AN25" s="533">
        <v>60.49</v>
      </c>
      <c r="AO25" s="534">
        <v>60.62</v>
      </c>
      <c r="AP25" s="534">
        <v>60.62</v>
      </c>
      <c r="AQ25" s="531"/>
      <c r="AR25" s="532">
        <v>36</v>
      </c>
      <c r="AS25" s="533">
        <v>58.53</v>
      </c>
      <c r="AT25" s="533">
        <v>58.62</v>
      </c>
      <c r="AU25" s="533">
        <v>58.71</v>
      </c>
      <c r="AV25" s="533">
        <v>58.8</v>
      </c>
      <c r="AW25" s="533">
        <v>58.89</v>
      </c>
      <c r="AX25" s="533">
        <v>58.98</v>
      </c>
      <c r="AY25" s="533">
        <v>59.06</v>
      </c>
      <c r="AZ25" s="533">
        <v>59.15</v>
      </c>
      <c r="BA25" s="533">
        <v>59.23</v>
      </c>
      <c r="BB25" s="533">
        <v>59.32</v>
      </c>
      <c r="BC25" s="533">
        <v>59.4</v>
      </c>
      <c r="BD25" s="533">
        <v>59.48</v>
      </c>
      <c r="BE25" s="533">
        <v>59.86</v>
      </c>
      <c r="BF25" s="533">
        <v>60.2</v>
      </c>
      <c r="BG25" s="533">
        <v>60.5</v>
      </c>
      <c r="BH25" s="533">
        <v>60.76</v>
      </c>
      <c r="BI25" s="533">
        <v>60.98</v>
      </c>
      <c r="BJ25" s="538">
        <v>61.16</v>
      </c>
      <c r="BK25" s="538">
        <v>61.29</v>
      </c>
    </row>
    <row r="26" spans="2:63" x14ac:dyDescent="0.25">
      <c r="B26" s="532">
        <v>37</v>
      </c>
      <c r="C26" s="533">
        <v>58.06</v>
      </c>
      <c r="D26" s="533">
        <v>58.15</v>
      </c>
      <c r="E26" s="533">
        <v>58.24</v>
      </c>
      <c r="F26" s="533">
        <v>58.33</v>
      </c>
      <c r="G26" s="533">
        <v>58.42</v>
      </c>
      <c r="H26" s="533">
        <v>58.51</v>
      </c>
      <c r="I26" s="533">
        <v>58.6</v>
      </c>
      <c r="J26" s="533">
        <v>58.69</v>
      </c>
      <c r="K26" s="533">
        <v>58.78</v>
      </c>
      <c r="L26" s="533">
        <v>58.86</v>
      </c>
      <c r="M26" s="533">
        <v>58.95</v>
      </c>
      <c r="N26" s="533">
        <v>59.03</v>
      </c>
      <c r="O26" s="533">
        <v>59.43</v>
      </c>
      <c r="P26" s="533">
        <v>59.78</v>
      </c>
      <c r="Q26" s="533">
        <v>60.09</v>
      </c>
      <c r="R26" s="533">
        <v>60.37</v>
      </c>
      <c r="S26" s="533">
        <v>60.46</v>
      </c>
      <c r="T26" s="534">
        <v>60.46</v>
      </c>
      <c r="U26" s="534">
        <v>60.45</v>
      </c>
      <c r="V26" s="531"/>
      <c r="W26" s="532">
        <v>37</v>
      </c>
      <c r="X26" s="533">
        <v>58.26</v>
      </c>
      <c r="Y26" s="533">
        <v>58.35</v>
      </c>
      <c r="Z26" s="533">
        <v>58.44</v>
      </c>
      <c r="AA26" s="533">
        <v>58.53</v>
      </c>
      <c r="AB26" s="533">
        <v>58.63</v>
      </c>
      <c r="AC26" s="533">
        <v>58.72</v>
      </c>
      <c r="AD26" s="533">
        <v>58.81</v>
      </c>
      <c r="AE26" s="533">
        <v>58.89</v>
      </c>
      <c r="AF26" s="533">
        <v>58.98</v>
      </c>
      <c r="AG26" s="533">
        <v>59.07</v>
      </c>
      <c r="AH26" s="533">
        <v>59.15</v>
      </c>
      <c r="AI26" s="533">
        <v>59.24</v>
      </c>
      <c r="AJ26" s="533">
        <v>59.63</v>
      </c>
      <c r="AK26" s="533">
        <v>59.99</v>
      </c>
      <c r="AL26" s="533">
        <v>60.3</v>
      </c>
      <c r="AM26" s="533">
        <v>60.58</v>
      </c>
      <c r="AN26" s="533">
        <v>60.68</v>
      </c>
      <c r="AO26" s="534">
        <v>60.68</v>
      </c>
      <c r="AP26" s="534">
        <v>60.68</v>
      </c>
      <c r="AQ26" s="531"/>
      <c r="AR26" s="532">
        <v>37</v>
      </c>
      <c r="AS26" s="533">
        <v>58.72</v>
      </c>
      <c r="AT26" s="533">
        <v>58.81</v>
      </c>
      <c r="AU26" s="533">
        <v>58.91</v>
      </c>
      <c r="AV26" s="533">
        <v>59</v>
      </c>
      <c r="AW26" s="533">
        <v>59.09</v>
      </c>
      <c r="AX26" s="533">
        <v>59.19</v>
      </c>
      <c r="AY26" s="533">
        <v>59.28</v>
      </c>
      <c r="AZ26" s="533">
        <v>59.37</v>
      </c>
      <c r="BA26" s="533">
        <v>59.46</v>
      </c>
      <c r="BB26" s="533">
        <v>59.54</v>
      </c>
      <c r="BC26" s="533">
        <v>59.63</v>
      </c>
      <c r="BD26" s="533">
        <v>59.72</v>
      </c>
      <c r="BE26" s="533">
        <v>60.12</v>
      </c>
      <c r="BF26" s="533">
        <v>60.48</v>
      </c>
      <c r="BG26" s="533">
        <v>60.8</v>
      </c>
      <c r="BH26" s="533">
        <v>61.08</v>
      </c>
      <c r="BI26" s="533">
        <v>61.31</v>
      </c>
      <c r="BJ26" s="538">
        <v>61.49</v>
      </c>
      <c r="BK26" s="538">
        <v>61.6</v>
      </c>
    </row>
    <row r="27" spans="2:63" x14ac:dyDescent="0.25">
      <c r="B27" s="532">
        <v>38</v>
      </c>
      <c r="C27" s="533">
        <v>58.25</v>
      </c>
      <c r="D27" s="533">
        <v>58.35</v>
      </c>
      <c r="E27" s="533">
        <v>58.44</v>
      </c>
      <c r="F27" s="533">
        <v>58.54</v>
      </c>
      <c r="G27" s="533">
        <v>58.63</v>
      </c>
      <c r="H27" s="533">
        <v>58.73</v>
      </c>
      <c r="I27" s="533">
        <v>58.82</v>
      </c>
      <c r="J27" s="533">
        <v>58.92</v>
      </c>
      <c r="K27" s="533">
        <v>59.01</v>
      </c>
      <c r="L27" s="533">
        <v>59.1</v>
      </c>
      <c r="M27" s="533">
        <v>59.19</v>
      </c>
      <c r="N27" s="533">
        <v>59.28</v>
      </c>
      <c r="O27" s="533">
        <v>59.69</v>
      </c>
      <c r="P27" s="533">
        <v>60.07</v>
      </c>
      <c r="Q27" s="533">
        <v>60.4</v>
      </c>
      <c r="R27" s="533">
        <v>60.51</v>
      </c>
      <c r="S27" s="533">
        <v>60.52</v>
      </c>
      <c r="T27" s="534">
        <v>60.51</v>
      </c>
      <c r="U27" s="534">
        <v>60.51</v>
      </c>
      <c r="V27" s="531"/>
      <c r="W27" s="532">
        <v>38</v>
      </c>
      <c r="X27" s="533">
        <v>58.45</v>
      </c>
      <c r="Y27" s="533">
        <v>58.55</v>
      </c>
      <c r="Z27" s="533">
        <v>58.64</v>
      </c>
      <c r="AA27" s="533">
        <v>58.74</v>
      </c>
      <c r="AB27" s="533">
        <v>58.84</v>
      </c>
      <c r="AC27" s="533">
        <v>58.93</v>
      </c>
      <c r="AD27" s="533">
        <v>59.03</v>
      </c>
      <c r="AE27" s="533">
        <v>59.12</v>
      </c>
      <c r="AF27" s="533">
        <v>59.21</v>
      </c>
      <c r="AG27" s="533">
        <v>59.31</v>
      </c>
      <c r="AH27" s="533">
        <v>59.4</v>
      </c>
      <c r="AI27" s="533">
        <v>59.48</v>
      </c>
      <c r="AJ27" s="533">
        <v>59.9</v>
      </c>
      <c r="AK27" s="533">
        <v>60.28</v>
      </c>
      <c r="AL27" s="533">
        <v>60.61</v>
      </c>
      <c r="AM27" s="533">
        <v>60.74</v>
      </c>
      <c r="AN27" s="533">
        <v>60.74</v>
      </c>
      <c r="AO27" s="534">
        <v>60.74</v>
      </c>
      <c r="AP27" s="534">
        <v>60.74</v>
      </c>
      <c r="AQ27" s="531"/>
      <c r="AR27" s="532">
        <v>38</v>
      </c>
      <c r="AS27" s="533">
        <v>58.92</v>
      </c>
      <c r="AT27" s="533">
        <v>59.01</v>
      </c>
      <c r="AU27" s="533">
        <v>59.11</v>
      </c>
      <c r="AV27" s="533">
        <v>59.21</v>
      </c>
      <c r="AW27" s="533">
        <v>59.31</v>
      </c>
      <c r="AX27" s="533">
        <v>59.41</v>
      </c>
      <c r="AY27" s="533">
        <v>59.5</v>
      </c>
      <c r="AZ27" s="533">
        <v>59.6</v>
      </c>
      <c r="BA27" s="533">
        <v>59.69</v>
      </c>
      <c r="BB27" s="533">
        <v>59.78</v>
      </c>
      <c r="BC27" s="533">
        <v>59.88</v>
      </c>
      <c r="BD27" s="533">
        <v>59.97</v>
      </c>
      <c r="BE27" s="533">
        <v>60.39</v>
      </c>
      <c r="BF27" s="533">
        <v>60.77</v>
      </c>
      <c r="BG27" s="533">
        <v>61.11</v>
      </c>
      <c r="BH27" s="533">
        <v>61.41</v>
      </c>
      <c r="BI27" s="533">
        <v>61.65</v>
      </c>
      <c r="BJ27" s="538">
        <v>61.66</v>
      </c>
      <c r="BK27" s="538">
        <v>61.66</v>
      </c>
    </row>
    <row r="28" spans="2:63" x14ac:dyDescent="0.25">
      <c r="B28" s="532">
        <v>39</v>
      </c>
      <c r="C28" s="533">
        <v>58.45</v>
      </c>
      <c r="D28" s="533">
        <v>58.55</v>
      </c>
      <c r="E28" s="533">
        <v>58.65</v>
      </c>
      <c r="F28" s="533">
        <v>58.76</v>
      </c>
      <c r="G28" s="533">
        <v>58.86</v>
      </c>
      <c r="H28" s="533">
        <v>58.96</v>
      </c>
      <c r="I28" s="533">
        <v>59.06</v>
      </c>
      <c r="J28" s="533">
        <v>59.16</v>
      </c>
      <c r="K28" s="533">
        <v>59.25</v>
      </c>
      <c r="L28" s="533">
        <v>59.35</v>
      </c>
      <c r="M28" s="533">
        <v>59.44</v>
      </c>
      <c r="N28" s="533">
        <v>59.54</v>
      </c>
      <c r="O28" s="533">
        <v>59.98</v>
      </c>
      <c r="P28" s="533">
        <v>60.37</v>
      </c>
      <c r="Q28" s="533">
        <v>60.56</v>
      </c>
      <c r="R28" s="533">
        <v>60.57</v>
      </c>
      <c r="S28" s="533">
        <v>60.57</v>
      </c>
      <c r="T28" s="534">
        <v>60.57</v>
      </c>
      <c r="U28" s="534">
        <v>60.57</v>
      </c>
      <c r="V28" s="531"/>
      <c r="W28" s="532">
        <v>39</v>
      </c>
      <c r="X28" s="533">
        <v>58.65</v>
      </c>
      <c r="Y28" s="533">
        <v>58.76</v>
      </c>
      <c r="Z28" s="533">
        <v>58.86</v>
      </c>
      <c r="AA28" s="533">
        <v>58.96</v>
      </c>
      <c r="AB28" s="533">
        <v>59.06</v>
      </c>
      <c r="AC28" s="533">
        <v>59.16</v>
      </c>
      <c r="AD28" s="533">
        <v>59.26</v>
      </c>
      <c r="AE28" s="533">
        <v>59.36</v>
      </c>
      <c r="AF28" s="533">
        <v>59.46</v>
      </c>
      <c r="AG28" s="533">
        <v>59.56</v>
      </c>
      <c r="AH28" s="533">
        <v>59.65</v>
      </c>
      <c r="AI28" s="533">
        <v>59.74</v>
      </c>
      <c r="AJ28" s="533">
        <v>60.19</v>
      </c>
      <c r="AK28" s="533">
        <v>60.59</v>
      </c>
      <c r="AL28" s="533">
        <v>60.78</v>
      </c>
      <c r="AM28" s="533">
        <v>60.8</v>
      </c>
      <c r="AN28" s="533">
        <v>60.8</v>
      </c>
      <c r="AO28" s="534">
        <v>60.8</v>
      </c>
      <c r="AP28" s="534">
        <v>60.8</v>
      </c>
      <c r="AQ28" s="531"/>
      <c r="AR28" s="532">
        <v>39</v>
      </c>
      <c r="AS28" s="533">
        <v>59.12</v>
      </c>
      <c r="AT28" s="533">
        <v>59.23</v>
      </c>
      <c r="AU28" s="533">
        <v>59.33</v>
      </c>
      <c r="AV28" s="533">
        <v>59.43</v>
      </c>
      <c r="AW28" s="533">
        <v>59.54</v>
      </c>
      <c r="AX28" s="533">
        <v>59.64</v>
      </c>
      <c r="AY28" s="533">
        <v>59.74</v>
      </c>
      <c r="AZ28" s="533">
        <v>59.84</v>
      </c>
      <c r="BA28" s="533">
        <v>59.94</v>
      </c>
      <c r="BB28" s="533">
        <v>60.04</v>
      </c>
      <c r="BC28" s="533">
        <v>60.13</v>
      </c>
      <c r="BD28" s="533">
        <v>60.23</v>
      </c>
      <c r="BE28" s="533">
        <v>60.68</v>
      </c>
      <c r="BF28" s="533">
        <v>61.08</v>
      </c>
      <c r="BG28" s="533">
        <v>61.45</v>
      </c>
      <c r="BH28" s="533">
        <v>61.72</v>
      </c>
      <c r="BI28" s="533">
        <v>61.73</v>
      </c>
      <c r="BJ28" s="538">
        <v>61.73</v>
      </c>
      <c r="BK28" s="538">
        <v>61.73</v>
      </c>
    </row>
    <row r="29" spans="2:63" x14ac:dyDescent="0.25">
      <c r="B29" s="532">
        <v>40</v>
      </c>
      <c r="C29" s="533">
        <v>58.66</v>
      </c>
      <c r="D29" s="533">
        <v>58.77</v>
      </c>
      <c r="E29" s="533">
        <v>58.88</v>
      </c>
      <c r="F29" s="533">
        <v>58.99</v>
      </c>
      <c r="G29" s="533">
        <v>59.09</v>
      </c>
      <c r="H29" s="533">
        <v>59.2</v>
      </c>
      <c r="I29" s="533">
        <v>59.3</v>
      </c>
      <c r="J29" s="533">
        <v>59.41</v>
      </c>
      <c r="K29" s="533">
        <v>59.51</v>
      </c>
      <c r="L29" s="533">
        <v>59.61</v>
      </c>
      <c r="M29" s="533">
        <v>59.71</v>
      </c>
      <c r="N29" s="533">
        <v>59.81</v>
      </c>
      <c r="O29" s="533">
        <v>60.27</v>
      </c>
      <c r="P29" s="533">
        <v>60.59</v>
      </c>
      <c r="Q29" s="533">
        <v>60.62</v>
      </c>
      <c r="R29" s="533">
        <v>60.63</v>
      </c>
      <c r="S29" s="533">
        <v>60.63</v>
      </c>
      <c r="T29" s="534">
        <v>60.63</v>
      </c>
      <c r="U29" s="534">
        <v>60.62</v>
      </c>
      <c r="V29" s="531"/>
      <c r="W29" s="532">
        <v>40</v>
      </c>
      <c r="X29" s="533">
        <v>58.87</v>
      </c>
      <c r="Y29" s="533">
        <v>58.97</v>
      </c>
      <c r="Z29" s="533">
        <v>59.08</v>
      </c>
      <c r="AA29" s="533">
        <v>59.19</v>
      </c>
      <c r="AB29" s="533">
        <v>59.3</v>
      </c>
      <c r="AC29" s="533">
        <v>59.4</v>
      </c>
      <c r="AD29" s="533">
        <v>59.51</v>
      </c>
      <c r="AE29" s="533">
        <v>59.61</v>
      </c>
      <c r="AF29" s="533">
        <v>59.72</v>
      </c>
      <c r="AG29" s="533">
        <v>59.82</v>
      </c>
      <c r="AH29" s="533">
        <v>59.92</v>
      </c>
      <c r="AI29" s="533">
        <v>60.02</v>
      </c>
      <c r="AJ29" s="533">
        <v>60.49</v>
      </c>
      <c r="AK29" s="533">
        <v>60.82</v>
      </c>
      <c r="AL29" s="533">
        <v>60.85</v>
      </c>
      <c r="AM29" s="533">
        <v>60.86</v>
      </c>
      <c r="AN29" s="533">
        <v>60.86</v>
      </c>
      <c r="AO29" s="534">
        <v>60.86</v>
      </c>
      <c r="AP29" s="534">
        <v>60.85</v>
      </c>
      <c r="AQ29" s="531"/>
      <c r="AR29" s="532">
        <v>40</v>
      </c>
      <c r="AS29" s="533">
        <v>59.34</v>
      </c>
      <c r="AT29" s="533">
        <v>59.45</v>
      </c>
      <c r="AU29" s="533">
        <v>59.56</v>
      </c>
      <c r="AV29" s="533">
        <v>59.67</v>
      </c>
      <c r="AW29" s="533">
        <v>59.78</v>
      </c>
      <c r="AX29" s="533">
        <v>59.88</v>
      </c>
      <c r="AY29" s="533">
        <v>59.99</v>
      </c>
      <c r="AZ29" s="533">
        <v>60.1</v>
      </c>
      <c r="BA29" s="533">
        <v>60.2</v>
      </c>
      <c r="BB29" s="533">
        <v>60.31</v>
      </c>
      <c r="BC29" s="533">
        <v>60.41</v>
      </c>
      <c r="BD29" s="533">
        <v>60.51</v>
      </c>
      <c r="BE29" s="533">
        <v>60.98</v>
      </c>
      <c r="BF29" s="533">
        <v>61.41</v>
      </c>
      <c r="BG29" s="533">
        <v>61.77</v>
      </c>
      <c r="BH29" s="533">
        <v>61.79</v>
      </c>
      <c r="BI29" s="533">
        <v>61.79</v>
      </c>
      <c r="BJ29" s="538">
        <v>61.79</v>
      </c>
      <c r="BK29" s="538">
        <v>61.79</v>
      </c>
    </row>
    <row r="30" spans="2:63" x14ac:dyDescent="0.25">
      <c r="B30" s="532">
        <v>41</v>
      </c>
      <c r="C30" s="533">
        <v>58.89</v>
      </c>
      <c r="D30" s="533">
        <v>59</v>
      </c>
      <c r="E30" s="533">
        <v>59.11</v>
      </c>
      <c r="F30" s="533">
        <v>59.23</v>
      </c>
      <c r="G30" s="533">
        <v>59.34</v>
      </c>
      <c r="H30" s="533">
        <v>59.45</v>
      </c>
      <c r="I30" s="533">
        <v>59.56</v>
      </c>
      <c r="J30" s="533">
        <v>59.67</v>
      </c>
      <c r="K30" s="533">
        <v>59.78</v>
      </c>
      <c r="L30" s="533">
        <v>59.89</v>
      </c>
      <c r="M30" s="533">
        <v>59.99</v>
      </c>
      <c r="N30" s="533">
        <v>60.1</v>
      </c>
      <c r="O30" s="533">
        <v>60.59</v>
      </c>
      <c r="P30" s="533">
        <v>60.65</v>
      </c>
      <c r="Q30" s="533">
        <v>60.68</v>
      </c>
      <c r="R30" s="533">
        <v>60.69</v>
      </c>
      <c r="S30" s="533">
        <v>60.69</v>
      </c>
      <c r="T30" s="534">
        <v>60.68</v>
      </c>
      <c r="U30" s="534">
        <v>60.68</v>
      </c>
      <c r="V30" s="531"/>
      <c r="W30" s="532">
        <v>41</v>
      </c>
      <c r="X30" s="533">
        <v>59.09</v>
      </c>
      <c r="Y30" s="533">
        <v>59.21</v>
      </c>
      <c r="Z30" s="533">
        <v>59.32</v>
      </c>
      <c r="AA30" s="533">
        <v>59.43</v>
      </c>
      <c r="AB30" s="533">
        <v>59.55</v>
      </c>
      <c r="AC30" s="533">
        <v>59.66</v>
      </c>
      <c r="AD30" s="533">
        <v>59.77</v>
      </c>
      <c r="AE30" s="533">
        <v>59.88</v>
      </c>
      <c r="AF30" s="533">
        <v>59.99</v>
      </c>
      <c r="AG30" s="533">
        <v>60.1</v>
      </c>
      <c r="AH30" s="533">
        <v>60.2</v>
      </c>
      <c r="AI30" s="533">
        <v>60.31</v>
      </c>
      <c r="AJ30" s="533">
        <v>60.8</v>
      </c>
      <c r="AK30" s="533">
        <v>60.88</v>
      </c>
      <c r="AL30" s="533">
        <v>60.91</v>
      </c>
      <c r="AM30" s="533">
        <v>60.92</v>
      </c>
      <c r="AN30" s="533">
        <v>60.92</v>
      </c>
      <c r="AO30" s="534">
        <v>60.91</v>
      </c>
      <c r="AP30" s="534">
        <v>60.91</v>
      </c>
      <c r="AQ30" s="531"/>
      <c r="AR30" s="532">
        <v>41</v>
      </c>
      <c r="AS30" s="533">
        <v>59.57</v>
      </c>
      <c r="AT30" s="533">
        <v>59.68</v>
      </c>
      <c r="AU30" s="533">
        <v>59.8</v>
      </c>
      <c r="AV30" s="533">
        <v>59.91</v>
      </c>
      <c r="AW30" s="533">
        <v>60.03</v>
      </c>
      <c r="AX30" s="533">
        <v>60.14</v>
      </c>
      <c r="AY30" s="533">
        <v>60.26</v>
      </c>
      <c r="AZ30" s="533">
        <v>60.37</v>
      </c>
      <c r="BA30" s="533">
        <v>60.48</v>
      </c>
      <c r="BB30" s="533">
        <v>60.59</v>
      </c>
      <c r="BC30" s="533">
        <v>60.7</v>
      </c>
      <c r="BD30" s="533">
        <v>60.8</v>
      </c>
      <c r="BE30" s="533">
        <v>61.31</v>
      </c>
      <c r="BF30" s="533">
        <v>61.76</v>
      </c>
      <c r="BG30" s="533">
        <v>61.84</v>
      </c>
      <c r="BH30" s="533">
        <v>61.85</v>
      </c>
      <c r="BI30" s="533">
        <v>61.85</v>
      </c>
      <c r="BJ30" s="538">
        <v>61.85</v>
      </c>
      <c r="BK30" s="538">
        <v>61.85</v>
      </c>
    </row>
    <row r="31" spans="2:63" x14ac:dyDescent="0.25">
      <c r="B31" s="532">
        <v>42</v>
      </c>
      <c r="C31" s="533">
        <v>59.12</v>
      </c>
      <c r="D31" s="533">
        <v>59.24</v>
      </c>
      <c r="E31" s="533">
        <v>59.36</v>
      </c>
      <c r="F31" s="533">
        <v>59.48</v>
      </c>
      <c r="G31" s="533">
        <v>59.6</v>
      </c>
      <c r="H31" s="533">
        <v>59.72</v>
      </c>
      <c r="I31" s="533">
        <v>59.84</v>
      </c>
      <c r="J31" s="533">
        <v>59.95</v>
      </c>
      <c r="K31" s="533">
        <v>60.07</v>
      </c>
      <c r="L31" s="533">
        <v>60.18</v>
      </c>
      <c r="M31" s="533">
        <v>60.29</v>
      </c>
      <c r="N31" s="533">
        <v>60.4</v>
      </c>
      <c r="O31" s="533">
        <v>60.67</v>
      </c>
      <c r="P31" s="533">
        <v>60.72</v>
      </c>
      <c r="Q31" s="533">
        <v>60.74</v>
      </c>
      <c r="R31" s="533">
        <v>60.74</v>
      </c>
      <c r="S31" s="533">
        <v>60.74</v>
      </c>
      <c r="T31" s="534">
        <v>60.74</v>
      </c>
      <c r="U31" s="534">
        <v>60.74</v>
      </c>
      <c r="V31" s="531"/>
      <c r="W31" s="532">
        <v>42</v>
      </c>
      <c r="X31" s="533">
        <v>59.33</v>
      </c>
      <c r="Y31" s="533">
        <v>59.45</v>
      </c>
      <c r="Z31" s="533">
        <v>59.57</v>
      </c>
      <c r="AA31" s="533">
        <v>59.69</v>
      </c>
      <c r="AB31" s="533">
        <v>59.81</v>
      </c>
      <c r="AC31" s="533">
        <v>59.93</v>
      </c>
      <c r="AD31" s="533">
        <v>60.05</v>
      </c>
      <c r="AE31" s="533">
        <v>60.16</v>
      </c>
      <c r="AF31" s="533">
        <v>60.28</v>
      </c>
      <c r="AG31" s="533">
        <v>60.39</v>
      </c>
      <c r="AH31" s="533">
        <v>60.5</v>
      </c>
      <c r="AI31" s="533">
        <v>60.62</v>
      </c>
      <c r="AJ31" s="533">
        <v>60.89</v>
      </c>
      <c r="AK31" s="533">
        <v>60.94</v>
      </c>
      <c r="AL31" s="533">
        <v>60.97</v>
      </c>
      <c r="AM31" s="533">
        <v>60.98</v>
      </c>
      <c r="AN31" s="533">
        <v>60.97</v>
      </c>
      <c r="AO31" s="534">
        <v>60.97</v>
      </c>
      <c r="AP31" s="534">
        <v>60.97</v>
      </c>
      <c r="AQ31" s="531"/>
      <c r="AR31" s="532">
        <v>42</v>
      </c>
      <c r="AS31" s="533">
        <v>59.81</v>
      </c>
      <c r="AT31" s="533">
        <v>59.93</v>
      </c>
      <c r="AU31" s="533">
        <v>60.05</v>
      </c>
      <c r="AV31" s="533">
        <v>60.18</v>
      </c>
      <c r="AW31" s="533">
        <v>60.3</v>
      </c>
      <c r="AX31" s="533">
        <v>60.42</v>
      </c>
      <c r="AY31" s="533">
        <v>60.54</v>
      </c>
      <c r="AZ31" s="533">
        <v>60.65</v>
      </c>
      <c r="BA31" s="533">
        <v>60.77</v>
      </c>
      <c r="BB31" s="533">
        <v>60.89</v>
      </c>
      <c r="BC31" s="533">
        <v>61</v>
      </c>
      <c r="BD31" s="533">
        <v>61.11</v>
      </c>
      <c r="BE31" s="533">
        <v>61.65</v>
      </c>
      <c r="BF31" s="533">
        <v>61.88</v>
      </c>
      <c r="BG31" s="533">
        <v>61.91</v>
      </c>
      <c r="BH31" s="533">
        <v>61.92</v>
      </c>
      <c r="BI31" s="533">
        <v>61.92</v>
      </c>
      <c r="BJ31" s="538">
        <v>61.92</v>
      </c>
      <c r="BK31" s="538">
        <v>61.92</v>
      </c>
    </row>
    <row r="32" spans="2:63" x14ac:dyDescent="0.25">
      <c r="B32" s="532">
        <v>43</v>
      </c>
      <c r="C32" s="533">
        <v>59.37</v>
      </c>
      <c r="D32" s="533">
        <v>59.5</v>
      </c>
      <c r="E32" s="533">
        <v>59.63</v>
      </c>
      <c r="F32" s="533">
        <v>59.75</v>
      </c>
      <c r="G32" s="533">
        <v>59.88</v>
      </c>
      <c r="H32" s="533">
        <v>60</v>
      </c>
      <c r="I32" s="533">
        <v>60.13</v>
      </c>
      <c r="J32" s="533">
        <v>60.25</v>
      </c>
      <c r="K32" s="533">
        <v>60.37</v>
      </c>
      <c r="L32" s="533">
        <v>60.49</v>
      </c>
      <c r="M32" s="533">
        <v>60.61</v>
      </c>
      <c r="N32" s="533">
        <v>60.66</v>
      </c>
      <c r="O32" s="533">
        <v>60.73</v>
      </c>
      <c r="P32" s="533">
        <v>60.78</v>
      </c>
      <c r="Q32" s="533">
        <v>60.8</v>
      </c>
      <c r="R32" s="533">
        <v>60.8</v>
      </c>
      <c r="S32" s="533">
        <v>60.8</v>
      </c>
      <c r="T32" s="534">
        <v>60.79</v>
      </c>
      <c r="U32" s="534">
        <v>60.79</v>
      </c>
      <c r="V32" s="531"/>
      <c r="W32" s="532">
        <v>43</v>
      </c>
      <c r="X32" s="533">
        <v>59.58</v>
      </c>
      <c r="Y32" s="533">
        <v>59.71</v>
      </c>
      <c r="Z32" s="533">
        <v>59.83</v>
      </c>
      <c r="AA32" s="533">
        <v>59.96</v>
      </c>
      <c r="AB32" s="533">
        <v>60.09</v>
      </c>
      <c r="AC32" s="533">
        <v>60.21</v>
      </c>
      <c r="AD32" s="533">
        <v>60.34</v>
      </c>
      <c r="AE32" s="533">
        <v>60.46</v>
      </c>
      <c r="AF32" s="533">
        <v>60.58</v>
      </c>
      <c r="AG32" s="533">
        <v>60.7</v>
      </c>
      <c r="AH32" s="533">
        <v>60.82</v>
      </c>
      <c r="AI32" s="533">
        <v>60.88</v>
      </c>
      <c r="AJ32" s="533">
        <v>60.96</v>
      </c>
      <c r="AK32" s="533">
        <v>61.01</v>
      </c>
      <c r="AL32" s="533">
        <v>61.03</v>
      </c>
      <c r="AM32" s="533">
        <v>61.03</v>
      </c>
      <c r="AN32" s="533">
        <v>61.03</v>
      </c>
      <c r="AO32" s="534">
        <v>61.03</v>
      </c>
      <c r="AP32" s="534">
        <v>61.02</v>
      </c>
      <c r="AQ32" s="531"/>
      <c r="AR32" s="532">
        <v>43</v>
      </c>
      <c r="AS32" s="533">
        <v>60.06</v>
      </c>
      <c r="AT32" s="533">
        <v>60.19</v>
      </c>
      <c r="AU32" s="533">
        <v>60.32</v>
      </c>
      <c r="AV32" s="533">
        <v>60.45</v>
      </c>
      <c r="AW32" s="533">
        <v>60.58</v>
      </c>
      <c r="AX32" s="533">
        <v>60.71</v>
      </c>
      <c r="AY32" s="533">
        <v>60.83</v>
      </c>
      <c r="AZ32" s="533">
        <v>60.96</v>
      </c>
      <c r="BA32" s="533">
        <v>61.08</v>
      </c>
      <c r="BB32" s="533">
        <v>61.2</v>
      </c>
      <c r="BC32" s="533">
        <v>61.32</v>
      </c>
      <c r="BD32" s="533">
        <v>61.44</v>
      </c>
      <c r="BE32" s="533">
        <v>61.89</v>
      </c>
      <c r="BF32" s="533">
        <v>61.94</v>
      </c>
      <c r="BG32" s="533">
        <v>61.97</v>
      </c>
      <c r="BH32" s="533">
        <v>61.98</v>
      </c>
      <c r="BI32" s="533">
        <v>61.98</v>
      </c>
      <c r="BJ32" s="538">
        <v>61.98</v>
      </c>
      <c r="BK32" s="538">
        <v>61.98</v>
      </c>
    </row>
    <row r="33" spans="2:63" x14ac:dyDescent="0.25">
      <c r="B33" s="532">
        <v>44</v>
      </c>
      <c r="C33" s="533">
        <v>59.64</v>
      </c>
      <c r="D33" s="533">
        <v>59.77</v>
      </c>
      <c r="E33" s="533">
        <v>59.9</v>
      </c>
      <c r="F33" s="533">
        <v>60.04</v>
      </c>
      <c r="G33" s="533">
        <v>60.17</v>
      </c>
      <c r="H33" s="533">
        <v>60.3</v>
      </c>
      <c r="I33" s="533">
        <v>60.43</v>
      </c>
      <c r="J33" s="533">
        <v>60.56</v>
      </c>
      <c r="K33" s="533">
        <v>60.66</v>
      </c>
      <c r="L33" s="533">
        <v>60.68</v>
      </c>
      <c r="M33" s="533">
        <v>60.7</v>
      </c>
      <c r="N33" s="533">
        <v>60.72</v>
      </c>
      <c r="O33" s="533">
        <v>60.8</v>
      </c>
      <c r="P33" s="533">
        <v>60.84</v>
      </c>
      <c r="Q33" s="533">
        <v>60.85</v>
      </c>
      <c r="R33" s="533">
        <v>60.85</v>
      </c>
      <c r="S33" s="533">
        <v>60.85</v>
      </c>
      <c r="T33" s="534">
        <v>60.85</v>
      </c>
      <c r="U33" s="534">
        <v>60.84</v>
      </c>
      <c r="V33" s="531"/>
      <c r="W33" s="532">
        <v>44</v>
      </c>
      <c r="X33" s="533">
        <v>59.84</v>
      </c>
      <c r="Y33" s="533">
        <v>59.98</v>
      </c>
      <c r="Z33" s="533">
        <v>60.11</v>
      </c>
      <c r="AA33" s="533">
        <v>60.25</v>
      </c>
      <c r="AB33" s="533">
        <v>60.38</v>
      </c>
      <c r="AC33" s="533">
        <v>60.51</v>
      </c>
      <c r="AD33" s="533">
        <v>60.65</v>
      </c>
      <c r="AE33" s="533">
        <v>60.78</v>
      </c>
      <c r="AF33" s="533">
        <v>60.89</v>
      </c>
      <c r="AG33" s="533">
        <v>60.91</v>
      </c>
      <c r="AH33" s="533">
        <v>60.93</v>
      </c>
      <c r="AI33" s="533">
        <v>60.95</v>
      </c>
      <c r="AJ33" s="533">
        <v>61.02</v>
      </c>
      <c r="AK33" s="533">
        <v>61.07</v>
      </c>
      <c r="AL33" s="533">
        <v>61.09</v>
      </c>
      <c r="AM33" s="533">
        <v>61.09</v>
      </c>
      <c r="AN33" s="533">
        <v>61.08</v>
      </c>
      <c r="AO33" s="534">
        <v>61.08</v>
      </c>
      <c r="AP33" s="534">
        <v>61.08</v>
      </c>
      <c r="AQ33" s="531"/>
      <c r="AR33" s="532">
        <v>44</v>
      </c>
      <c r="AS33" s="533">
        <v>60.33</v>
      </c>
      <c r="AT33" s="533">
        <v>60.47</v>
      </c>
      <c r="AU33" s="533">
        <v>60.6</v>
      </c>
      <c r="AV33" s="533">
        <v>60.74</v>
      </c>
      <c r="AW33" s="533">
        <v>60.88</v>
      </c>
      <c r="AX33" s="533">
        <v>61.01</v>
      </c>
      <c r="AY33" s="533">
        <v>61.15</v>
      </c>
      <c r="AZ33" s="533">
        <v>61.28</v>
      </c>
      <c r="BA33" s="533">
        <v>61.41</v>
      </c>
      <c r="BB33" s="533">
        <v>61.54</v>
      </c>
      <c r="BC33" s="533">
        <v>61.67</v>
      </c>
      <c r="BD33" s="533">
        <v>61.79</v>
      </c>
      <c r="BE33" s="533">
        <v>61.96</v>
      </c>
      <c r="BF33" s="533">
        <v>62.01</v>
      </c>
      <c r="BG33" s="533">
        <v>62.04</v>
      </c>
      <c r="BH33" s="533">
        <v>62.04</v>
      </c>
      <c r="BI33" s="533">
        <v>62.04</v>
      </c>
      <c r="BJ33" s="538">
        <v>62.04</v>
      </c>
      <c r="BK33" s="538">
        <v>62.04</v>
      </c>
    </row>
    <row r="34" spans="2:63" x14ac:dyDescent="0.25">
      <c r="B34" s="532">
        <v>45</v>
      </c>
      <c r="C34" s="533">
        <v>59.91</v>
      </c>
      <c r="D34" s="533">
        <v>60.06</v>
      </c>
      <c r="E34" s="533">
        <v>60.2</v>
      </c>
      <c r="F34" s="533">
        <v>60.34</v>
      </c>
      <c r="G34" s="533">
        <v>60.48</v>
      </c>
      <c r="H34" s="533">
        <v>60.62</v>
      </c>
      <c r="I34" s="533">
        <v>60.68</v>
      </c>
      <c r="J34" s="533">
        <v>60.7</v>
      </c>
      <c r="K34" s="533">
        <v>60.73</v>
      </c>
      <c r="L34" s="533">
        <v>60.75</v>
      </c>
      <c r="M34" s="533">
        <v>60.77</v>
      </c>
      <c r="N34" s="533">
        <v>60.79</v>
      </c>
      <c r="O34" s="533">
        <v>60.86</v>
      </c>
      <c r="P34" s="533">
        <v>60.89</v>
      </c>
      <c r="Q34" s="533">
        <v>60.91</v>
      </c>
      <c r="R34" s="533">
        <v>60.9</v>
      </c>
      <c r="S34" s="533">
        <v>60.9</v>
      </c>
      <c r="T34" s="534">
        <v>60.9</v>
      </c>
      <c r="U34" s="534">
        <v>60.89</v>
      </c>
      <c r="V34" s="531"/>
      <c r="W34" s="532">
        <v>45</v>
      </c>
      <c r="X34" s="533">
        <v>60.12</v>
      </c>
      <c r="Y34" s="533">
        <v>60.27</v>
      </c>
      <c r="Z34" s="533">
        <v>60.41</v>
      </c>
      <c r="AA34" s="533">
        <v>60.55</v>
      </c>
      <c r="AB34" s="533">
        <v>60.69</v>
      </c>
      <c r="AC34" s="533">
        <v>60.83</v>
      </c>
      <c r="AD34" s="533">
        <v>60.91</v>
      </c>
      <c r="AE34" s="533">
        <v>60.93</v>
      </c>
      <c r="AF34" s="533">
        <v>60.95</v>
      </c>
      <c r="AG34" s="533">
        <v>60.98</v>
      </c>
      <c r="AH34" s="533">
        <v>61</v>
      </c>
      <c r="AI34" s="533">
        <v>61.02</v>
      </c>
      <c r="AJ34" s="533">
        <v>61.09</v>
      </c>
      <c r="AK34" s="533">
        <v>61.13</v>
      </c>
      <c r="AL34" s="533">
        <v>61.14</v>
      </c>
      <c r="AM34" s="533">
        <v>61.14</v>
      </c>
      <c r="AN34" s="533">
        <v>61.14</v>
      </c>
      <c r="AO34" s="534">
        <v>61.13</v>
      </c>
      <c r="AP34" s="534">
        <v>61.13</v>
      </c>
      <c r="AQ34" s="531"/>
      <c r="AR34" s="532">
        <v>45</v>
      </c>
      <c r="AS34" s="533">
        <v>60.62</v>
      </c>
      <c r="AT34" s="533">
        <v>60.76</v>
      </c>
      <c r="AU34" s="533">
        <v>60.9</v>
      </c>
      <c r="AV34" s="533">
        <v>61.05</v>
      </c>
      <c r="AW34" s="533">
        <v>61.19</v>
      </c>
      <c r="AX34" s="533">
        <v>61.34</v>
      </c>
      <c r="AY34" s="533">
        <v>61.48</v>
      </c>
      <c r="AZ34" s="533">
        <v>61.62</v>
      </c>
      <c r="BA34" s="533">
        <v>61.76</v>
      </c>
      <c r="BB34" s="533">
        <v>61.89</v>
      </c>
      <c r="BC34" s="533">
        <v>61.93</v>
      </c>
      <c r="BD34" s="533">
        <v>61.95</v>
      </c>
      <c r="BE34" s="533">
        <v>62.03</v>
      </c>
      <c r="BF34" s="533">
        <v>62.08</v>
      </c>
      <c r="BG34" s="533">
        <v>62.1</v>
      </c>
      <c r="BH34" s="533">
        <v>62.1</v>
      </c>
      <c r="BI34" s="533">
        <v>62.1</v>
      </c>
      <c r="BJ34" s="538">
        <v>62.1</v>
      </c>
      <c r="BK34" s="538">
        <v>62.1</v>
      </c>
    </row>
    <row r="35" spans="2:63" x14ac:dyDescent="0.25">
      <c r="B35" s="532">
        <v>46</v>
      </c>
      <c r="C35" s="533">
        <v>60.21</v>
      </c>
      <c r="D35" s="533">
        <v>60.36</v>
      </c>
      <c r="E35" s="533">
        <v>60.51</v>
      </c>
      <c r="F35" s="533">
        <v>60.66</v>
      </c>
      <c r="G35" s="533">
        <v>60.69</v>
      </c>
      <c r="H35" s="533">
        <v>60.72</v>
      </c>
      <c r="I35" s="533">
        <v>60.75</v>
      </c>
      <c r="J35" s="533">
        <v>60.77</v>
      </c>
      <c r="K35" s="533">
        <v>60.79</v>
      </c>
      <c r="L35" s="533">
        <v>60.81</v>
      </c>
      <c r="M35" s="533">
        <v>60.83</v>
      </c>
      <c r="N35" s="533">
        <v>60.85</v>
      </c>
      <c r="O35" s="533">
        <v>60.92</v>
      </c>
      <c r="P35" s="533">
        <v>60.95</v>
      </c>
      <c r="Q35" s="533">
        <v>60.96</v>
      </c>
      <c r="R35" s="533">
        <v>60.95</v>
      </c>
      <c r="S35" s="533">
        <v>60.95</v>
      </c>
      <c r="T35" s="534">
        <v>60.95</v>
      </c>
      <c r="U35" s="534">
        <v>60.94</v>
      </c>
      <c r="V35" s="531"/>
      <c r="W35" s="532">
        <v>46</v>
      </c>
      <c r="X35" s="533">
        <v>60.42</v>
      </c>
      <c r="Y35" s="533">
        <v>60.57</v>
      </c>
      <c r="Z35" s="533">
        <v>60.72</v>
      </c>
      <c r="AA35" s="533">
        <v>60.87</v>
      </c>
      <c r="AB35" s="533">
        <v>60.92</v>
      </c>
      <c r="AC35" s="533">
        <v>60.95</v>
      </c>
      <c r="AD35" s="533">
        <v>60.97</v>
      </c>
      <c r="AE35" s="533">
        <v>61</v>
      </c>
      <c r="AF35" s="533">
        <v>61.02</v>
      </c>
      <c r="AG35" s="533">
        <v>61.04</v>
      </c>
      <c r="AH35" s="533">
        <v>61.06</v>
      </c>
      <c r="AI35" s="533">
        <v>61.08</v>
      </c>
      <c r="AJ35" s="533">
        <v>61.15</v>
      </c>
      <c r="AK35" s="533">
        <v>61.18</v>
      </c>
      <c r="AL35" s="533">
        <v>61.2</v>
      </c>
      <c r="AM35" s="533">
        <v>61.19</v>
      </c>
      <c r="AN35" s="533">
        <v>61.19</v>
      </c>
      <c r="AO35" s="534">
        <v>61.19</v>
      </c>
      <c r="AP35" s="534">
        <v>61.18</v>
      </c>
      <c r="AQ35" s="531"/>
      <c r="AR35" s="532">
        <v>46</v>
      </c>
      <c r="AS35" s="533">
        <v>60.92</v>
      </c>
      <c r="AT35" s="533">
        <v>61.07</v>
      </c>
      <c r="AU35" s="533">
        <v>61.22</v>
      </c>
      <c r="AV35" s="533">
        <v>61.37</v>
      </c>
      <c r="AW35" s="533">
        <v>61.53</v>
      </c>
      <c r="AX35" s="533">
        <v>61.68</v>
      </c>
      <c r="AY35" s="533">
        <v>61.83</v>
      </c>
      <c r="AZ35" s="533">
        <v>61.93</v>
      </c>
      <c r="BA35" s="533">
        <v>61.95</v>
      </c>
      <c r="BB35" s="533">
        <v>61.98</v>
      </c>
      <c r="BC35" s="533">
        <v>62</v>
      </c>
      <c r="BD35" s="533">
        <v>62.02</v>
      </c>
      <c r="BE35" s="533">
        <v>62.1</v>
      </c>
      <c r="BF35" s="533">
        <v>62.14</v>
      </c>
      <c r="BG35" s="533">
        <v>62.16</v>
      </c>
      <c r="BH35" s="533">
        <v>62.16</v>
      </c>
      <c r="BI35" s="533">
        <v>62.16</v>
      </c>
      <c r="BJ35" s="538">
        <v>62.16</v>
      </c>
      <c r="BK35" s="538">
        <v>62.16</v>
      </c>
    </row>
    <row r="36" spans="2:63" x14ac:dyDescent="0.25">
      <c r="B36" s="532">
        <v>47</v>
      </c>
      <c r="C36" s="533">
        <v>60.52</v>
      </c>
      <c r="D36" s="533">
        <v>60.67</v>
      </c>
      <c r="E36" s="533">
        <v>60.7</v>
      </c>
      <c r="F36" s="533">
        <v>60.73</v>
      </c>
      <c r="G36" s="533">
        <v>60.76</v>
      </c>
      <c r="H36" s="533">
        <v>60.79</v>
      </c>
      <c r="I36" s="533">
        <v>60.81</v>
      </c>
      <c r="J36" s="533">
        <v>60.84</v>
      </c>
      <c r="K36" s="533">
        <v>60.86</v>
      </c>
      <c r="L36" s="533">
        <v>60.88</v>
      </c>
      <c r="M36" s="533">
        <v>60.9</v>
      </c>
      <c r="N36" s="533">
        <v>60.91</v>
      </c>
      <c r="O36" s="533">
        <v>60.97</v>
      </c>
      <c r="P36" s="533">
        <v>61</v>
      </c>
      <c r="Q36" s="533">
        <v>61.01</v>
      </c>
      <c r="R36" s="533">
        <v>61</v>
      </c>
      <c r="S36" s="533">
        <v>61</v>
      </c>
      <c r="T36" s="534">
        <v>60.99</v>
      </c>
      <c r="U36" s="534">
        <v>60.99</v>
      </c>
      <c r="V36" s="531"/>
      <c r="W36" s="532">
        <v>47</v>
      </c>
      <c r="X36" s="533">
        <v>60.73</v>
      </c>
      <c r="Y36" s="533">
        <v>60.89</v>
      </c>
      <c r="Z36" s="533">
        <v>60.93</v>
      </c>
      <c r="AA36" s="533">
        <v>60.96</v>
      </c>
      <c r="AB36" s="533">
        <v>60.99</v>
      </c>
      <c r="AC36" s="533">
        <v>61.02</v>
      </c>
      <c r="AD36" s="533">
        <v>61.04</v>
      </c>
      <c r="AE36" s="533">
        <v>61.07</v>
      </c>
      <c r="AF36" s="533">
        <v>61.09</v>
      </c>
      <c r="AG36" s="533">
        <v>61.11</v>
      </c>
      <c r="AH36" s="533">
        <v>61.13</v>
      </c>
      <c r="AI36" s="533">
        <v>61.14</v>
      </c>
      <c r="AJ36" s="533">
        <v>61.21</v>
      </c>
      <c r="AK36" s="533">
        <v>61.24</v>
      </c>
      <c r="AL36" s="533">
        <v>61.25</v>
      </c>
      <c r="AM36" s="533">
        <v>61.24</v>
      </c>
      <c r="AN36" s="533">
        <v>61.24</v>
      </c>
      <c r="AO36" s="534">
        <v>61.23</v>
      </c>
      <c r="AP36" s="534">
        <v>61.23</v>
      </c>
      <c r="AQ36" s="531"/>
      <c r="AR36" s="532">
        <v>47</v>
      </c>
      <c r="AS36" s="533">
        <v>61.23</v>
      </c>
      <c r="AT36" s="533">
        <v>61.4</v>
      </c>
      <c r="AU36" s="533">
        <v>61.56</v>
      </c>
      <c r="AV36" s="533">
        <v>61.72</v>
      </c>
      <c r="AW36" s="533">
        <v>61.88</v>
      </c>
      <c r="AX36" s="533">
        <v>61.95</v>
      </c>
      <c r="AY36" s="533">
        <v>61.98</v>
      </c>
      <c r="AZ36" s="533">
        <v>62</v>
      </c>
      <c r="BA36" s="533">
        <v>62.03</v>
      </c>
      <c r="BB36" s="533">
        <v>62.05</v>
      </c>
      <c r="BC36" s="533">
        <v>62.07</v>
      </c>
      <c r="BD36" s="533">
        <v>62.09</v>
      </c>
      <c r="BE36" s="533">
        <v>62.16</v>
      </c>
      <c r="BF36" s="533">
        <v>62.2</v>
      </c>
      <c r="BG36" s="533">
        <v>62.21</v>
      </c>
      <c r="BH36" s="533">
        <v>62.21</v>
      </c>
      <c r="BI36" s="533">
        <v>62.21</v>
      </c>
      <c r="BJ36" s="538">
        <v>62.21</v>
      </c>
      <c r="BK36" s="538">
        <v>62.21</v>
      </c>
    </row>
    <row r="37" spans="2:63" x14ac:dyDescent="0.25">
      <c r="B37" s="532">
        <v>48</v>
      </c>
      <c r="C37" s="533">
        <v>60.71</v>
      </c>
      <c r="D37" s="533">
        <v>60.74</v>
      </c>
      <c r="E37" s="533">
        <v>60.77</v>
      </c>
      <c r="F37" s="533">
        <v>60.8</v>
      </c>
      <c r="G37" s="533">
        <v>60.83</v>
      </c>
      <c r="H37" s="533">
        <v>60.85</v>
      </c>
      <c r="I37" s="533">
        <v>60.88</v>
      </c>
      <c r="J37" s="533">
        <v>60.9</v>
      </c>
      <c r="K37" s="533">
        <v>60.92</v>
      </c>
      <c r="L37" s="533">
        <v>60.94</v>
      </c>
      <c r="M37" s="533">
        <v>60.96</v>
      </c>
      <c r="N37" s="533">
        <v>60.97</v>
      </c>
      <c r="O37" s="533">
        <v>61.03</v>
      </c>
      <c r="P37" s="533">
        <v>61.05</v>
      </c>
      <c r="Q37" s="533">
        <v>61.05</v>
      </c>
      <c r="R37" s="533">
        <v>61.05</v>
      </c>
      <c r="S37" s="533">
        <v>61.04</v>
      </c>
      <c r="T37" s="534">
        <v>61.04</v>
      </c>
      <c r="U37" s="534">
        <v>61.03</v>
      </c>
      <c r="V37" s="531"/>
      <c r="W37" s="532">
        <v>48</v>
      </c>
      <c r="X37" s="533">
        <v>60.93</v>
      </c>
      <c r="Y37" s="533">
        <v>60.97</v>
      </c>
      <c r="Z37" s="533">
        <v>61</v>
      </c>
      <c r="AA37" s="533">
        <v>61.03</v>
      </c>
      <c r="AB37" s="533">
        <v>61.06</v>
      </c>
      <c r="AC37" s="533">
        <v>61.08</v>
      </c>
      <c r="AD37" s="533">
        <v>61.11</v>
      </c>
      <c r="AE37" s="533">
        <v>61.13</v>
      </c>
      <c r="AF37" s="533">
        <v>61.15</v>
      </c>
      <c r="AG37" s="533">
        <v>61.17</v>
      </c>
      <c r="AH37" s="533">
        <v>61.19</v>
      </c>
      <c r="AI37" s="533">
        <v>61.21</v>
      </c>
      <c r="AJ37" s="533">
        <v>61.26</v>
      </c>
      <c r="AK37" s="533">
        <v>61.29</v>
      </c>
      <c r="AL37" s="533">
        <v>61.29</v>
      </c>
      <c r="AM37" s="533">
        <v>61.29</v>
      </c>
      <c r="AN37" s="533">
        <v>61.28</v>
      </c>
      <c r="AO37" s="534">
        <v>61.28</v>
      </c>
      <c r="AP37" s="534">
        <v>61.28</v>
      </c>
      <c r="AQ37" s="531"/>
      <c r="AR37" s="532">
        <v>48</v>
      </c>
      <c r="AS37" s="533">
        <v>61.57</v>
      </c>
      <c r="AT37" s="533">
        <v>61.74</v>
      </c>
      <c r="AU37" s="533">
        <v>61.91</v>
      </c>
      <c r="AV37" s="533">
        <v>61.96</v>
      </c>
      <c r="AW37" s="533">
        <v>61.99</v>
      </c>
      <c r="AX37" s="533">
        <v>62.02</v>
      </c>
      <c r="AY37" s="533">
        <v>62.05</v>
      </c>
      <c r="AZ37" s="533">
        <v>62.07</v>
      </c>
      <c r="BA37" s="533">
        <v>62.1</v>
      </c>
      <c r="BB37" s="533">
        <v>62.12</v>
      </c>
      <c r="BC37" s="533">
        <v>62.14</v>
      </c>
      <c r="BD37" s="533">
        <v>62.16</v>
      </c>
      <c r="BE37" s="533">
        <v>62.22</v>
      </c>
      <c r="BF37" s="533">
        <v>62.26</v>
      </c>
      <c r="BG37" s="533">
        <v>62.27</v>
      </c>
      <c r="BH37" s="533">
        <v>62.27</v>
      </c>
      <c r="BI37" s="533">
        <v>62.27</v>
      </c>
      <c r="BJ37" s="538">
        <v>62.27</v>
      </c>
      <c r="BK37" s="538">
        <v>62.27</v>
      </c>
    </row>
    <row r="38" spans="2:63" x14ac:dyDescent="0.25">
      <c r="B38" s="532">
        <v>49</v>
      </c>
      <c r="C38" s="533">
        <v>60.78</v>
      </c>
      <c r="D38" s="533">
        <v>60.81</v>
      </c>
      <c r="E38" s="533">
        <v>60.84</v>
      </c>
      <c r="F38" s="533">
        <v>60.87</v>
      </c>
      <c r="G38" s="533">
        <v>60.89</v>
      </c>
      <c r="H38" s="533">
        <v>60.92</v>
      </c>
      <c r="I38" s="533">
        <v>60.94</v>
      </c>
      <c r="J38" s="533">
        <v>60.96</v>
      </c>
      <c r="K38" s="533">
        <v>60.98</v>
      </c>
      <c r="L38" s="533">
        <v>61</v>
      </c>
      <c r="M38" s="533">
        <v>61.02</v>
      </c>
      <c r="N38" s="533">
        <v>61.03</v>
      </c>
      <c r="O38" s="533">
        <v>61.08</v>
      </c>
      <c r="P38" s="533">
        <v>61.1</v>
      </c>
      <c r="Q38" s="533">
        <v>61.09</v>
      </c>
      <c r="R38" s="533">
        <v>61.09</v>
      </c>
      <c r="S38" s="533">
        <v>61.08</v>
      </c>
      <c r="T38" s="534">
        <v>61.08</v>
      </c>
      <c r="U38" s="534">
        <v>61.08</v>
      </c>
      <c r="V38" s="531"/>
      <c r="W38" s="532">
        <v>49</v>
      </c>
      <c r="X38" s="533">
        <v>61</v>
      </c>
      <c r="Y38" s="533">
        <v>61.04</v>
      </c>
      <c r="Z38" s="533">
        <v>61.07</v>
      </c>
      <c r="AA38" s="533">
        <v>61.1</v>
      </c>
      <c r="AB38" s="533">
        <v>61.12</v>
      </c>
      <c r="AC38" s="533">
        <v>61.15</v>
      </c>
      <c r="AD38" s="533">
        <v>61.17</v>
      </c>
      <c r="AE38" s="533">
        <v>61.2</v>
      </c>
      <c r="AF38" s="533">
        <v>61.22</v>
      </c>
      <c r="AG38" s="533">
        <v>61.23</v>
      </c>
      <c r="AH38" s="533">
        <v>61.25</v>
      </c>
      <c r="AI38" s="533">
        <v>61.27</v>
      </c>
      <c r="AJ38" s="533">
        <v>61.32</v>
      </c>
      <c r="AK38" s="533">
        <v>61.34</v>
      </c>
      <c r="AL38" s="533">
        <v>61.34</v>
      </c>
      <c r="AM38" s="533">
        <v>61.33</v>
      </c>
      <c r="AN38" s="533">
        <v>61.33</v>
      </c>
      <c r="AO38" s="534">
        <v>61.33</v>
      </c>
      <c r="AP38" s="534">
        <v>61.32</v>
      </c>
      <c r="AQ38" s="531"/>
      <c r="AR38" s="532">
        <v>49</v>
      </c>
      <c r="AS38" s="533">
        <v>61.93</v>
      </c>
      <c r="AT38" s="533">
        <v>61.97</v>
      </c>
      <c r="AU38" s="533">
        <v>62</v>
      </c>
      <c r="AV38" s="533">
        <v>62.03</v>
      </c>
      <c r="AW38" s="533">
        <v>62.06</v>
      </c>
      <c r="AX38" s="533">
        <v>62.09</v>
      </c>
      <c r="AY38" s="533">
        <v>62.12</v>
      </c>
      <c r="AZ38" s="533">
        <v>62.14</v>
      </c>
      <c r="BA38" s="533">
        <v>62.17</v>
      </c>
      <c r="BB38" s="533">
        <v>62.19</v>
      </c>
      <c r="BC38" s="533">
        <v>62.2</v>
      </c>
      <c r="BD38" s="533">
        <v>62.22</v>
      </c>
      <c r="BE38" s="533">
        <v>62.28</v>
      </c>
      <c r="BF38" s="533">
        <v>62.32</v>
      </c>
      <c r="BG38" s="533">
        <v>62.32</v>
      </c>
      <c r="BH38" s="533">
        <v>62.32</v>
      </c>
      <c r="BI38" s="533">
        <v>62.32</v>
      </c>
      <c r="BJ38" s="538">
        <v>62.32</v>
      </c>
      <c r="BK38" s="538">
        <v>62.32</v>
      </c>
    </row>
    <row r="39" spans="2:63" x14ac:dyDescent="0.25">
      <c r="B39" s="532">
        <v>50</v>
      </c>
      <c r="C39" s="533">
        <v>60.84</v>
      </c>
      <c r="D39" s="533">
        <v>60.87</v>
      </c>
      <c r="E39" s="533">
        <v>60.9</v>
      </c>
      <c r="F39" s="533">
        <v>60.93</v>
      </c>
      <c r="G39" s="533">
        <v>60.96</v>
      </c>
      <c r="H39" s="533">
        <v>60.98</v>
      </c>
      <c r="I39" s="533">
        <v>61</v>
      </c>
      <c r="J39" s="533">
        <v>61.02</v>
      </c>
      <c r="K39" s="533">
        <v>61.04</v>
      </c>
      <c r="L39" s="533">
        <v>61.06</v>
      </c>
      <c r="M39" s="533">
        <v>61.07</v>
      </c>
      <c r="N39" s="533">
        <v>61.09</v>
      </c>
      <c r="O39" s="533">
        <v>61.13</v>
      </c>
      <c r="P39" s="533">
        <v>61.15</v>
      </c>
      <c r="Q39" s="533">
        <v>61.13</v>
      </c>
      <c r="R39" s="533">
        <v>61.13</v>
      </c>
      <c r="S39" s="533">
        <v>61.12</v>
      </c>
      <c r="T39" s="534">
        <v>61.12</v>
      </c>
      <c r="U39" s="534">
        <v>61.12</v>
      </c>
      <c r="V39" s="531"/>
      <c r="W39" s="532">
        <v>50</v>
      </c>
      <c r="X39" s="533">
        <v>61.07</v>
      </c>
      <c r="Y39" s="533">
        <v>61.1</v>
      </c>
      <c r="Z39" s="533">
        <v>61.13</v>
      </c>
      <c r="AA39" s="533">
        <v>61.16</v>
      </c>
      <c r="AB39" s="533">
        <v>61.19</v>
      </c>
      <c r="AC39" s="533">
        <v>61.21</v>
      </c>
      <c r="AD39" s="533">
        <v>61.24</v>
      </c>
      <c r="AE39" s="533">
        <v>61.26</v>
      </c>
      <c r="AF39" s="533">
        <v>61.28</v>
      </c>
      <c r="AG39" s="533">
        <v>61.29</v>
      </c>
      <c r="AH39" s="533">
        <v>61.31</v>
      </c>
      <c r="AI39" s="533">
        <v>61.32</v>
      </c>
      <c r="AJ39" s="533">
        <v>61.37</v>
      </c>
      <c r="AK39" s="533">
        <v>61.39</v>
      </c>
      <c r="AL39" s="533">
        <v>61.38</v>
      </c>
      <c r="AM39" s="533">
        <v>61.37</v>
      </c>
      <c r="AN39" s="533">
        <v>61.37</v>
      </c>
      <c r="AO39" s="534">
        <v>61.37</v>
      </c>
      <c r="AP39" s="534">
        <v>61.37</v>
      </c>
      <c r="AQ39" s="531"/>
      <c r="AR39" s="532">
        <v>50</v>
      </c>
      <c r="AS39" s="533">
        <v>62.01</v>
      </c>
      <c r="AT39" s="533">
        <v>62.04</v>
      </c>
      <c r="AU39" s="533">
        <v>62.07</v>
      </c>
      <c r="AV39" s="533">
        <v>62.1</v>
      </c>
      <c r="AW39" s="533">
        <v>62.13</v>
      </c>
      <c r="AX39" s="533">
        <v>62.16</v>
      </c>
      <c r="AY39" s="533">
        <v>62.19</v>
      </c>
      <c r="AZ39" s="533">
        <v>62.21</v>
      </c>
      <c r="BA39" s="533">
        <v>62.23</v>
      </c>
      <c r="BB39" s="533">
        <v>62.25</v>
      </c>
      <c r="BC39" s="533">
        <v>62.27</v>
      </c>
      <c r="BD39" s="533">
        <v>62.29</v>
      </c>
      <c r="BE39" s="533">
        <v>62.34</v>
      </c>
      <c r="BF39" s="533">
        <v>62.37</v>
      </c>
      <c r="BG39" s="533">
        <v>62.37</v>
      </c>
      <c r="BH39" s="533">
        <v>62.37</v>
      </c>
      <c r="BI39" s="533">
        <v>62.37</v>
      </c>
      <c r="BJ39" s="538">
        <v>62.37</v>
      </c>
      <c r="BK39" s="538">
        <v>62.37</v>
      </c>
    </row>
    <row r="40" spans="2:63" x14ac:dyDescent="0.25">
      <c r="B40" s="532">
        <v>51</v>
      </c>
      <c r="C40" s="533">
        <v>60.91</v>
      </c>
      <c r="D40" s="533">
        <v>60.94</v>
      </c>
      <c r="E40" s="533">
        <v>60.97</v>
      </c>
      <c r="F40" s="533">
        <v>60.99</v>
      </c>
      <c r="G40" s="533">
        <v>61.02</v>
      </c>
      <c r="H40" s="533">
        <v>61.04</v>
      </c>
      <c r="I40" s="533">
        <v>61.06</v>
      </c>
      <c r="J40" s="533">
        <v>61.08</v>
      </c>
      <c r="K40" s="533">
        <v>61.1</v>
      </c>
      <c r="L40" s="533">
        <v>61.11</v>
      </c>
      <c r="M40" s="533">
        <v>61.12</v>
      </c>
      <c r="N40" s="533">
        <v>61.14</v>
      </c>
      <c r="O40" s="533">
        <v>61.17</v>
      </c>
      <c r="P40" s="533">
        <v>61.18</v>
      </c>
      <c r="Q40" s="533">
        <v>61.17</v>
      </c>
      <c r="R40" s="533">
        <v>61.16</v>
      </c>
      <c r="S40" s="533">
        <v>61.16</v>
      </c>
      <c r="T40" s="534">
        <v>61.15</v>
      </c>
      <c r="U40" s="534">
        <v>61.15</v>
      </c>
      <c r="V40" s="531"/>
      <c r="W40" s="532">
        <v>51</v>
      </c>
      <c r="X40" s="533">
        <v>61.14</v>
      </c>
      <c r="Y40" s="533">
        <v>61.17</v>
      </c>
      <c r="Z40" s="533">
        <v>61.2</v>
      </c>
      <c r="AA40" s="533">
        <v>61.23</v>
      </c>
      <c r="AB40" s="533">
        <v>61.25</v>
      </c>
      <c r="AC40" s="533">
        <v>61.27</v>
      </c>
      <c r="AD40" s="533">
        <v>61.3</v>
      </c>
      <c r="AE40" s="533">
        <v>61.31</v>
      </c>
      <c r="AF40" s="533">
        <v>61.33</v>
      </c>
      <c r="AG40" s="533">
        <v>61.35</v>
      </c>
      <c r="AH40" s="533">
        <v>61.36</v>
      </c>
      <c r="AI40" s="533">
        <v>61.37</v>
      </c>
      <c r="AJ40" s="533">
        <v>61.42</v>
      </c>
      <c r="AK40" s="533">
        <v>61.43</v>
      </c>
      <c r="AL40" s="533">
        <v>61.42</v>
      </c>
      <c r="AM40" s="533">
        <v>61.41</v>
      </c>
      <c r="AN40" s="533">
        <v>61.41</v>
      </c>
      <c r="AO40" s="534">
        <v>61.41</v>
      </c>
      <c r="AP40" s="534">
        <v>61.4</v>
      </c>
      <c r="AQ40" s="531"/>
      <c r="AR40" s="532">
        <v>51</v>
      </c>
      <c r="AS40" s="533">
        <v>62.08</v>
      </c>
      <c r="AT40" s="533">
        <v>62.11</v>
      </c>
      <c r="AU40" s="533">
        <v>62.14</v>
      </c>
      <c r="AV40" s="533">
        <v>62.17</v>
      </c>
      <c r="AW40" s="533">
        <v>62.2</v>
      </c>
      <c r="AX40" s="533">
        <v>62.23</v>
      </c>
      <c r="AY40" s="533">
        <v>62.25</v>
      </c>
      <c r="AZ40" s="533">
        <v>62.28</v>
      </c>
      <c r="BA40" s="533">
        <v>62.3</v>
      </c>
      <c r="BB40" s="533">
        <v>62.31</v>
      </c>
      <c r="BC40" s="533">
        <v>62.33</v>
      </c>
      <c r="BD40" s="533">
        <v>62.35</v>
      </c>
      <c r="BE40" s="533">
        <v>62.4</v>
      </c>
      <c r="BF40" s="533">
        <v>62.42</v>
      </c>
      <c r="BG40" s="533">
        <v>62.42</v>
      </c>
      <c r="BH40" s="533">
        <v>62.42</v>
      </c>
      <c r="BI40" s="533">
        <v>62.42</v>
      </c>
      <c r="BJ40" s="538">
        <v>62.42</v>
      </c>
      <c r="BK40" s="538">
        <v>62.41</v>
      </c>
    </row>
    <row r="41" spans="2:63" x14ac:dyDescent="0.25">
      <c r="B41" s="532">
        <v>52</v>
      </c>
      <c r="C41" s="533">
        <v>60.97</v>
      </c>
      <c r="D41" s="533">
        <v>61</v>
      </c>
      <c r="E41" s="533">
        <v>61.03</v>
      </c>
      <c r="F41" s="533">
        <v>61.05</v>
      </c>
      <c r="G41" s="533">
        <v>61.07</v>
      </c>
      <c r="H41" s="533">
        <v>61.1</v>
      </c>
      <c r="I41" s="533">
        <v>61.12</v>
      </c>
      <c r="J41" s="533">
        <v>61.13</v>
      </c>
      <c r="K41" s="533">
        <v>61.15</v>
      </c>
      <c r="L41" s="533">
        <v>61.16</v>
      </c>
      <c r="M41" s="533">
        <v>61.17</v>
      </c>
      <c r="N41" s="533">
        <v>61.18</v>
      </c>
      <c r="O41" s="533">
        <v>61.21</v>
      </c>
      <c r="P41" s="533">
        <v>61.22</v>
      </c>
      <c r="Q41" s="533">
        <v>61.2</v>
      </c>
      <c r="R41" s="533">
        <v>61.19</v>
      </c>
      <c r="S41" s="533">
        <v>61.19</v>
      </c>
      <c r="T41" s="534">
        <v>61.19</v>
      </c>
      <c r="U41" s="534">
        <v>61.18</v>
      </c>
      <c r="V41" s="531"/>
      <c r="W41" s="532">
        <v>52</v>
      </c>
      <c r="X41" s="533">
        <v>61.2</v>
      </c>
      <c r="Y41" s="533">
        <v>61.23</v>
      </c>
      <c r="Z41" s="533">
        <v>61.26</v>
      </c>
      <c r="AA41" s="533">
        <v>61.29</v>
      </c>
      <c r="AB41" s="533">
        <v>61.31</v>
      </c>
      <c r="AC41" s="533">
        <v>61.33</v>
      </c>
      <c r="AD41" s="533">
        <v>61.35</v>
      </c>
      <c r="AE41" s="533">
        <v>61.37</v>
      </c>
      <c r="AF41" s="533">
        <v>61.39</v>
      </c>
      <c r="AG41" s="533">
        <v>61.4</v>
      </c>
      <c r="AH41" s="533">
        <v>61.41</v>
      </c>
      <c r="AI41" s="533">
        <v>61.42</v>
      </c>
      <c r="AJ41" s="533">
        <v>61.46</v>
      </c>
      <c r="AK41" s="533">
        <v>61.46</v>
      </c>
      <c r="AL41" s="533">
        <v>61.45</v>
      </c>
      <c r="AM41" s="533">
        <v>61.45</v>
      </c>
      <c r="AN41" s="533">
        <v>61.44</v>
      </c>
      <c r="AO41" s="534">
        <v>61.44</v>
      </c>
      <c r="AP41" s="534">
        <v>61.44</v>
      </c>
      <c r="AQ41" s="531"/>
      <c r="AR41" s="532">
        <v>52</v>
      </c>
      <c r="AS41" s="533">
        <v>62.15</v>
      </c>
      <c r="AT41" s="533">
        <v>62.18</v>
      </c>
      <c r="AU41" s="533">
        <v>62.21</v>
      </c>
      <c r="AV41" s="533">
        <v>62.24</v>
      </c>
      <c r="AW41" s="533">
        <v>62.27</v>
      </c>
      <c r="AX41" s="533">
        <v>62.29</v>
      </c>
      <c r="AY41" s="533">
        <v>62.32</v>
      </c>
      <c r="AZ41" s="533">
        <v>62.34</v>
      </c>
      <c r="BA41" s="533">
        <v>62.36</v>
      </c>
      <c r="BB41" s="533">
        <v>62.37</v>
      </c>
      <c r="BC41" s="533">
        <v>62.39</v>
      </c>
      <c r="BD41" s="533">
        <v>62.4</v>
      </c>
      <c r="BE41" s="533">
        <v>62.45</v>
      </c>
      <c r="BF41" s="533">
        <v>62.46</v>
      </c>
      <c r="BG41" s="533">
        <v>62.46</v>
      </c>
      <c r="BH41" s="533">
        <v>62.46</v>
      </c>
      <c r="BI41" s="533">
        <v>62.46</v>
      </c>
      <c r="BJ41" s="538">
        <v>62.46</v>
      </c>
      <c r="BK41" s="538">
        <v>62.46</v>
      </c>
    </row>
    <row r="42" spans="2:63" x14ac:dyDescent="0.25">
      <c r="B42" s="532">
        <v>53</v>
      </c>
      <c r="C42" s="533">
        <v>61.03</v>
      </c>
      <c r="D42" s="533">
        <v>61.06</v>
      </c>
      <c r="E42" s="533">
        <v>61.08</v>
      </c>
      <c r="F42" s="533">
        <v>61.11</v>
      </c>
      <c r="G42" s="533">
        <v>61.13</v>
      </c>
      <c r="H42" s="533">
        <v>61.15</v>
      </c>
      <c r="I42" s="533">
        <v>61.17</v>
      </c>
      <c r="J42" s="533">
        <v>61.18</v>
      </c>
      <c r="K42" s="533">
        <v>61.2</v>
      </c>
      <c r="L42" s="533">
        <v>61.21</v>
      </c>
      <c r="M42" s="533">
        <v>61.22</v>
      </c>
      <c r="N42" s="533">
        <v>61.23</v>
      </c>
      <c r="O42" s="533">
        <v>61.25</v>
      </c>
      <c r="P42" s="533">
        <v>61.25</v>
      </c>
      <c r="Q42" s="533">
        <v>61.23</v>
      </c>
      <c r="R42" s="533">
        <v>61.22</v>
      </c>
      <c r="S42" s="533">
        <v>61.22</v>
      </c>
      <c r="T42" s="534">
        <v>61.22</v>
      </c>
      <c r="U42" s="534">
        <v>61.21</v>
      </c>
      <c r="V42" s="531"/>
      <c r="W42" s="532">
        <v>53</v>
      </c>
      <c r="X42" s="533">
        <v>61.26</v>
      </c>
      <c r="Y42" s="533">
        <v>61.29</v>
      </c>
      <c r="Z42" s="533">
        <v>61.32</v>
      </c>
      <c r="AA42" s="533">
        <v>61.34</v>
      </c>
      <c r="AB42" s="533">
        <v>61.37</v>
      </c>
      <c r="AC42" s="533">
        <v>61.39</v>
      </c>
      <c r="AD42" s="533">
        <v>61.41</v>
      </c>
      <c r="AE42" s="533">
        <v>61.42</v>
      </c>
      <c r="AF42" s="533">
        <v>61.44</v>
      </c>
      <c r="AG42" s="533">
        <v>61.45</v>
      </c>
      <c r="AH42" s="533">
        <v>61.46</v>
      </c>
      <c r="AI42" s="533">
        <v>61.47</v>
      </c>
      <c r="AJ42" s="533">
        <v>61.5</v>
      </c>
      <c r="AK42" s="533">
        <v>61.5</v>
      </c>
      <c r="AL42" s="533">
        <v>61.49</v>
      </c>
      <c r="AM42" s="533">
        <v>61.48</v>
      </c>
      <c r="AN42" s="533">
        <v>61.48</v>
      </c>
      <c r="AO42" s="534">
        <v>61.47</v>
      </c>
      <c r="AP42" s="534">
        <v>61.47</v>
      </c>
      <c r="AQ42" s="531"/>
      <c r="AR42" s="532">
        <v>53</v>
      </c>
      <c r="AS42" s="533">
        <v>62.22</v>
      </c>
      <c r="AT42" s="533">
        <v>62.25</v>
      </c>
      <c r="AU42" s="533">
        <v>62.28</v>
      </c>
      <c r="AV42" s="533">
        <v>62.31</v>
      </c>
      <c r="AW42" s="533">
        <v>62.33</v>
      </c>
      <c r="AX42" s="533">
        <v>62.36</v>
      </c>
      <c r="AY42" s="533">
        <v>62.38</v>
      </c>
      <c r="AZ42" s="533">
        <v>62.4</v>
      </c>
      <c r="BA42" s="533">
        <v>62.41</v>
      </c>
      <c r="BB42" s="533">
        <v>62.43</v>
      </c>
      <c r="BC42" s="533">
        <v>62.44</v>
      </c>
      <c r="BD42" s="533">
        <v>62.46</v>
      </c>
      <c r="BE42" s="533">
        <v>62.5</v>
      </c>
      <c r="BF42" s="533">
        <v>62.51</v>
      </c>
      <c r="BG42" s="533">
        <v>62.5</v>
      </c>
      <c r="BH42" s="533">
        <v>62.5</v>
      </c>
      <c r="BI42" s="533">
        <v>62.5</v>
      </c>
      <c r="BJ42" s="538">
        <v>62.5</v>
      </c>
      <c r="BK42" s="538">
        <v>62.5</v>
      </c>
    </row>
    <row r="43" spans="2:63" x14ac:dyDescent="0.25">
      <c r="B43" s="532">
        <v>54</v>
      </c>
      <c r="C43" s="533">
        <v>61.09</v>
      </c>
      <c r="D43" s="533">
        <v>61.11</v>
      </c>
      <c r="E43" s="533">
        <v>61.14</v>
      </c>
      <c r="F43" s="533">
        <v>61.16</v>
      </c>
      <c r="G43" s="533">
        <v>61.18</v>
      </c>
      <c r="H43" s="533">
        <v>61.2</v>
      </c>
      <c r="I43" s="533">
        <v>61.21</v>
      </c>
      <c r="J43" s="533">
        <v>61.23</v>
      </c>
      <c r="K43" s="533">
        <v>61.24</v>
      </c>
      <c r="L43" s="533">
        <v>61.25</v>
      </c>
      <c r="M43" s="533">
        <v>61.26</v>
      </c>
      <c r="N43" s="533">
        <v>61.27</v>
      </c>
      <c r="O43" s="533">
        <v>61.29</v>
      </c>
      <c r="P43" s="533">
        <v>61.27</v>
      </c>
      <c r="Q43" s="533">
        <v>61.26</v>
      </c>
      <c r="R43" s="533">
        <v>61.25</v>
      </c>
      <c r="S43" s="533">
        <v>61.24</v>
      </c>
      <c r="T43" s="534">
        <v>61.24</v>
      </c>
      <c r="U43" s="534">
        <v>61.24</v>
      </c>
      <c r="V43" s="531"/>
      <c r="W43" s="532">
        <v>54</v>
      </c>
      <c r="X43" s="533">
        <v>61.32</v>
      </c>
      <c r="Y43" s="533">
        <v>61.35</v>
      </c>
      <c r="Z43" s="533">
        <v>61.38</v>
      </c>
      <c r="AA43" s="533">
        <v>61.4</v>
      </c>
      <c r="AB43" s="533">
        <v>61.42</v>
      </c>
      <c r="AC43" s="533">
        <v>61.44</v>
      </c>
      <c r="AD43" s="533">
        <v>61.45</v>
      </c>
      <c r="AE43" s="533">
        <v>61.47</v>
      </c>
      <c r="AF43" s="533">
        <v>61.48</v>
      </c>
      <c r="AG43" s="533">
        <v>61.49</v>
      </c>
      <c r="AH43" s="533">
        <v>61.5</v>
      </c>
      <c r="AI43" s="533">
        <v>61.51</v>
      </c>
      <c r="AJ43" s="533">
        <v>61.53</v>
      </c>
      <c r="AK43" s="533">
        <v>61.53</v>
      </c>
      <c r="AL43" s="533">
        <v>61.51</v>
      </c>
      <c r="AM43" s="533">
        <v>61.51</v>
      </c>
      <c r="AN43" s="533">
        <v>61.5</v>
      </c>
      <c r="AO43" s="534">
        <v>61.5</v>
      </c>
      <c r="AP43" s="534">
        <v>61.5</v>
      </c>
      <c r="AQ43" s="531"/>
      <c r="AR43" s="532">
        <v>54</v>
      </c>
      <c r="AS43" s="533">
        <v>62.28</v>
      </c>
      <c r="AT43" s="533">
        <v>62.31</v>
      </c>
      <c r="AU43" s="533">
        <v>62.34</v>
      </c>
      <c r="AV43" s="533">
        <v>62.37</v>
      </c>
      <c r="AW43" s="533">
        <v>62.39</v>
      </c>
      <c r="AX43" s="533">
        <v>62.41</v>
      </c>
      <c r="AY43" s="533">
        <v>62.43</v>
      </c>
      <c r="AZ43" s="533">
        <v>62.45</v>
      </c>
      <c r="BA43" s="533">
        <v>62.47</v>
      </c>
      <c r="BB43" s="533">
        <v>62.48</v>
      </c>
      <c r="BC43" s="533">
        <v>62.5</v>
      </c>
      <c r="BD43" s="533">
        <v>62.51</v>
      </c>
      <c r="BE43" s="533">
        <v>62.54</v>
      </c>
      <c r="BF43" s="533">
        <v>62.55</v>
      </c>
      <c r="BG43" s="533">
        <v>62.54</v>
      </c>
      <c r="BH43" s="533">
        <v>62.54</v>
      </c>
      <c r="BI43" s="533">
        <v>62.54</v>
      </c>
      <c r="BJ43" s="538">
        <v>62.54</v>
      </c>
      <c r="BK43" s="538">
        <v>62.54</v>
      </c>
    </row>
    <row r="44" spans="2:63" x14ac:dyDescent="0.25">
      <c r="B44" s="532">
        <v>55</v>
      </c>
      <c r="C44" s="533">
        <v>61.14</v>
      </c>
      <c r="D44" s="533">
        <v>61.17</v>
      </c>
      <c r="E44" s="533">
        <v>61.19</v>
      </c>
      <c r="F44" s="533">
        <v>61.21</v>
      </c>
      <c r="G44" s="533">
        <v>61.23</v>
      </c>
      <c r="H44" s="533">
        <v>61.24</v>
      </c>
      <c r="I44" s="533">
        <v>61.26</v>
      </c>
      <c r="J44" s="533">
        <v>61.27</v>
      </c>
      <c r="K44" s="533">
        <v>61.28</v>
      </c>
      <c r="L44" s="533">
        <v>61.29</v>
      </c>
      <c r="M44" s="533">
        <v>61.3</v>
      </c>
      <c r="N44" s="533">
        <v>61.3</v>
      </c>
      <c r="O44" s="533">
        <v>61.31</v>
      </c>
      <c r="P44" s="533">
        <v>61.29</v>
      </c>
      <c r="Q44" s="533">
        <v>61.28</v>
      </c>
      <c r="R44" s="533">
        <v>61.27</v>
      </c>
      <c r="S44" s="533">
        <v>61.27</v>
      </c>
      <c r="T44" s="534">
        <v>61.26</v>
      </c>
      <c r="U44" s="534" t="s">
        <v>556</v>
      </c>
      <c r="V44" s="531"/>
      <c r="W44" s="532">
        <v>55</v>
      </c>
      <c r="X44" s="533">
        <v>61.38</v>
      </c>
      <c r="Y44" s="533">
        <v>61.41</v>
      </c>
      <c r="Z44" s="533">
        <v>61.43</v>
      </c>
      <c r="AA44" s="533">
        <v>61.45</v>
      </c>
      <c r="AB44" s="533">
        <v>61.47</v>
      </c>
      <c r="AC44" s="533">
        <v>61.49</v>
      </c>
      <c r="AD44" s="533">
        <v>61.5</v>
      </c>
      <c r="AE44" s="533">
        <v>61.51</v>
      </c>
      <c r="AF44" s="533">
        <v>61.52</v>
      </c>
      <c r="AG44" s="533">
        <v>61.53</v>
      </c>
      <c r="AH44" s="533">
        <v>61.54</v>
      </c>
      <c r="AI44" s="533">
        <v>61.55</v>
      </c>
      <c r="AJ44" s="533">
        <v>61.57</v>
      </c>
      <c r="AK44" s="533">
        <v>61.55</v>
      </c>
      <c r="AL44" s="533">
        <v>61.54</v>
      </c>
      <c r="AM44" s="533">
        <v>61.53</v>
      </c>
      <c r="AN44" s="533">
        <v>61.53</v>
      </c>
      <c r="AO44" s="534">
        <v>61.53</v>
      </c>
      <c r="AP44" s="534" t="s">
        <v>556</v>
      </c>
      <c r="AQ44" s="531"/>
      <c r="AR44" s="532">
        <v>55</v>
      </c>
      <c r="AS44" s="533">
        <v>62.35</v>
      </c>
      <c r="AT44" s="533">
        <v>62.38</v>
      </c>
      <c r="AU44" s="533">
        <v>62.4</v>
      </c>
      <c r="AV44" s="533">
        <v>62.43</v>
      </c>
      <c r="AW44" s="533">
        <v>62.45</v>
      </c>
      <c r="AX44" s="533">
        <v>62.47</v>
      </c>
      <c r="AY44" s="533">
        <v>62.49</v>
      </c>
      <c r="AZ44" s="533">
        <v>62.5</v>
      </c>
      <c r="BA44" s="533">
        <v>62.52</v>
      </c>
      <c r="BB44" s="533">
        <v>62.53</v>
      </c>
      <c r="BC44" s="533">
        <v>62.54</v>
      </c>
      <c r="BD44" s="533">
        <v>62.55</v>
      </c>
      <c r="BE44" s="533">
        <v>62.58</v>
      </c>
      <c r="BF44" s="533">
        <v>62.58</v>
      </c>
      <c r="BG44" s="533">
        <v>62.58</v>
      </c>
      <c r="BH44" s="533">
        <v>62.57</v>
      </c>
      <c r="BI44" s="533">
        <v>62.57</v>
      </c>
      <c r="BJ44" s="538">
        <v>62.57</v>
      </c>
      <c r="BK44" s="538" t="s">
        <v>556</v>
      </c>
    </row>
    <row r="45" spans="2:63" x14ac:dyDescent="0.25">
      <c r="B45" s="532">
        <v>56</v>
      </c>
      <c r="C45" s="533">
        <v>61.19</v>
      </c>
      <c r="D45" s="533">
        <v>61.22</v>
      </c>
      <c r="E45" s="533">
        <v>61.24</v>
      </c>
      <c r="F45" s="533">
        <v>61.25</v>
      </c>
      <c r="G45" s="533">
        <v>61.27</v>
      </c>
      <c r="H45" s="533">
        <v>61.28</v>
      </c>
      <c r="I45" s="533">
        <v>61.3</v>
      </c>
      <c r="J45" s="533">
        <v>61.31</v>
      </c>
      <c r="K45" s="533">
        <v>61.31</v>
      </c>
      <c r="L45" s="533">
        <v>61.32</v>
      </c>
      <c r="M45" s="533">
        <v>61.33</v>
      </c>
      <c r="N45" s="533">
        <v>61.33</v>
      </c>
      <c r="O45" s="533">
        <v>61.33</v>
      </c>
      <c r="P45" s="533">
        <v>61.31</v>
      </c>
      <c r="Q45" s="533">
        <v>61.3</v>
      </c>
      <c r="R45" s="533">
        <v>61.29</v>
      </c>
      <c r="S45" s="533">
        <v>61.28</v>
      </c>
      <c r="T45" s="534">
        <v>61.28</v>
      </c>
      <c r="U45" s="534" t="s">
        <v>556</v>
      </c>
      <c r="V45" s="531"/>
      <c r="W45" s="532">
        <v>56</v>
      </c>
      <c r="X45" s="533">
        <v>61.43</v>
      </c>
      <c r="Y45" s="533">
        <v>61.46</v>
      </c>
      <c r="Z45" s="533">
        <v>61.48</v>
      </c>
      <c r="AA45" s="533">
        <v>61.5</v>
      </c>
      <c r="AB45" s="533">
        <v>61.51</v>
      </c>
      <c r="AC45" s="533">
        <v>61.53</v>
      </c>
      <c r="AD45" s="533">
        <v>61.54</v>
      </c>
      <c r="AE45" s="533">
        <v>61.55</v>
      </c>
      <c r="AF45" s="533">
        <v>61.56</v>
      </c>
      <c r="AG45" s="533">
        <v>61.57</v>
      </c>
      <c r="AH45" s="533">
        <v>61.58</v>
      </c>
      <c r="AI45" s="533">
        <v>61.58</v>
      </c>
      <c r="AJ45" s="533">
        <v>61.59</v>
      </c>
      <c r="AK45" s="533">
        <v>61.57</v>
      </c>
      <c r="AL45" s="533">
        <v>61.56</v>
      </c>
      <c r="AM45" s="533">
        <v>61.55</v>
      </c>
      <c r="AN45" s="533">
        <v>61.55</v>
      </c>
      <c r="AO45" s="534">
        <v>61.55</v>
      </c>
      <c r="AP45" s="534" t="s">
        <v>556</v>
      </c>
      <c r="AQ45" s="531"/>
      <c r="AR45" s="532">
        <v>56</v>
      </c>
      <c r="AS45" s="533">
        <v>62.41</v>
      </c>
      <c r="AT45" s="533">
        <v>62.43</v>
      </c>
      <c r="AU45" s="533">
        <v>62.46</v>
      </c>
      <c r="AV45" s="533">
        <v>62.48</v>
      </c>
      <c r="AW45" s="533">
        <v>62.5</v>
      </c>
      <c r="AX45" s="533">
        <v>62.52</v>
      </c>
      <c r="AY45" s="533">
        <v>62.54</v>
      </c>
      <c r="AZ45" s="533">
        <v>62.55</v>
      </c>
      <c r="BA45" s="533">
        <v>62.57</v>
      </c>
      <c r="BB45" s="533">
        <v>62.58</v>
      </c>
      <c r="BC45" s="533">
        <v>62.59</v>
      </c>
      <c r="BD45" s="533">
        <v>62.59</v>
      </c>
      <c r="BE45" s="533">
        <v>62.62</v>
      </c>
      <c r="BF45" s="533">
        <v>62.61</v>
      </c>
      <c r="BG45" s="533">
        <v>62.61</v>
      </c>
      <c r="BH45" s="533">
        <v>62.61</v>
      </c>
      <c r="BI45" s="533">
        <v>62.6</v>
      </c>
      <c r="BJ45" s="538">
        <v>62.6</v>
      </c>
      <c r="BK45" s="538" t="s">
        <v>556</v>
      </c>
    </row>
    <row r="46" spans="2:63" x14ac:dyDescent="0.25">
      <c r="B46" s="532">
        <v>57</v>
      </c>
      <c r="C46" s="533">
        <v>61.24</v>
      </c>
      <c r="D46" s="533">
        <v>61.26</v>
      </c>
      <c r="E46" s="533">
        <v>61.28</v>
      </c>
      <c r="F46" s="533">
        <v>61.29</v>
      </c>
      <c r="G46" s="533">
        <v>61.31</v>
      </c>
      <c r="H46" s="533">
        <v>61.32</v>
      </c>
      <c r="I46" s="533">
        <v>61.33</v>
      </c>
      <c r="J46" s="533">
        <v>61.34</v>
      </c>
      <c r="K46" s="533">
        <v>61.34</v>
      </c>
      <c r="L46" s="533">
        <v>61.35</v>
      </c>
      <c r="M46" s="533">
        <v>61.35</v>
      </c>
      <c r="N46" s="533">
        <v>61.36</v>
      </c>
      <c r="O46" s="533">
        <v>61.35</v>
      </c>
      <c r="P46" s="533">
        <v>61.33</v>
      </c>
      <c r="Q46" s="533">
        <v>61.31</v>
      </c>
      <c r="R46" s="533">
        <v>61.3</v>
      </c>
      <c r="S46" s="533">
        <v>61.3</v>
      </c>
      <c r="T46" s="534">
        <v>61.29</v>
      </c>
      <c r="U46" s="534" t="s">
        <v>556</v>
      </c>
      <c r="V46" s="531"/>
      <c r="W46" s="532">
        <v>57</v>
      </c>
      <c r="X46" s="533">
        <v>61.48</v>
      </c>
      <c r="Y46" s="533">
        <v>61.5</v>
      </c>
      <c r="Z46" s="533">
        <v>61.52</v>
      </c>
      <c r="AA46" s="533">
        <v>61.54</v>
      </c>
      <c r="AB46" s="533">
        <v>61.55</v>
      </c>
      <c r="AC46" s="533">
        <v>61.57</v>
      </c>
      <c r="AD46" s="533">
        <v>61.58</v>
      </c>
      <c r="AE46" s="533">
        <v>61.59</v>
      </c>
      <c r="AF46" s="533">
        <v>61.59</v>
      </c>
      <c r="AG46" s="533">
        <v>61.6</v>
      </c>
      <c r="AH46" s="533">
        <v>61.61</v>
      </c>
      <c r="AI46" s="533">
        <v>61.61</v>
      </c>
      <c r="AJ46" s="533">
        <v>61.61</v>
      </c>
      <c r="AK46" s="533">
        <v>61.59</v>
      </c>
      <c r="AL46" s="533">
        <v>61.58</v>
      </c>
      <c r="AM46" s="533">
        <v>61.57</v>
      </c>
      <c r="AN46" s="533">
        <v>61.57</v>
      </c>
      <c r="AO46" s="534">
        <v>61.56</v>
      </c>
      <c r="AP46" s="534" t="s">
        <v>556</v>
      </c>
      <c r="AQ46" s="531"/>
      <c r="AR46" s="532">
        <v>57</v>
      </c>
      <c r="AS46" s="533">
        <v>62.46</v>
      </c>
      <c r="AT46" s="533">
        <v>62.49</v>
      </c>
      <c r="AU46" s="533">
        <v>62.51</v>
      </c>
      <c r="AV46" s="533">
        <v>62.53</v>
      </c>
      <c r="AW46" s="533">
        <v>62.55</v>
      </c>
      <c r="AX46" s="533">
        <v>62.57</v>
      </c>
      <c r="AY46" s="533">
        <v>62.58</v>
      </c>
      <c r="AZ46" s="533">
        <v>62.6</v>
      </c>
      <c r="BA46" s="533">
        <v>62.61</v>
      </c>
      <c r="BB46" s="533">
        <v>62.62</v>
      </c>
      <c r="BC46" s="533">
        <v>62.63</v>
      </c>
      <c r="BD46" s="533">
        <v>62.63</v>
      </c>
      <c r="BE46" s="533">
        <v>62.65</v>
      </c>
      <c r="BF46" s="533">
        <v>62.64</v>
      </c>
      <c r="BG46" s="533">
        <v>62.64</v>
      </c>
      <c r="BH46" s="533">
        <v>62.63</v>
      </c>
      <c r="BI46" s="533">
        <v>62.63</v>
      </c>
      <c r="BJ46" s="538">
        <v>62.63</v>
      </c>
      <c r="BK46" s="538" t="s">
        <v>556</v>
      </c>
    </row>
    <row r="47" spans="2:63" x14ac:dyDescent="0.25">
      <c r="B47" s="532">
        <v>58</v>
      </c>
      <c r="C47" s="533">
        <v>61.28</v>
      </c>
      <c r="D47" s="533">
        <v>61.3</v>
      </c>
      <c r="E47" s="533">
        <v>61.32</v>
      </c>
      <c r="F47" s="533">
        <v>61.33</v>
      </c>
      <c r="G47" s="533">
        <v>61.34</v>
      </c>
      <c r="H47" s="533">
        <v>61.35</v>
      </c>
      <c r="I47" s="533">
        <v>61.36</v>
      </c>
      <c r="J47" s="533">
        <v>61.37</v>
      </c>
      <c r="K47" s="533">
        <v>61.37</v>
      </c>
      <c r="L47" s="533">
        <v>61.37</v>
      </c>
      <c r="M47" s="533">
        <v>61.38</v>
      </c>
      <c r="N47" s="533">
        <v>61.38</v>
      </c>
      <c r="O47" s="533">
        <v>61.36</v>
      </c>
      <c r="P47" s="533">
        <v>61.34</v>
      </c>
      <c r="Q47" s="533">
        <v>61.32</v>
      </c>
      <c r="R47" s="533">
        <v>61.31</v>
      </c>
      <c r="S47" s="533">
        <v>61.3</v>
      </c>
      <c r="T47" s="534">
        <v>61.3</v>
      </c>
      <c r="U47" s="534" t="s">
        <v>556</v>
      </c>
      <c r="V47" s="531"/>
      <c r="W47" s="532">
        <v>58</v>
      </c>
      <c r="X47" s="533">
        <v>61.53</v>
      </c>
      <c r="Y47" s="533">
        <v>61.55</v>
      </c>
      <c r="Z47" s="533">
        <v>61.56</v>
      </c>
      <c r="AA47" s="533">
        <v>61.58</v>
      </c>
      <c r="AB47" s="533">
        <v>61.59</v>
      </c>
      <c r="AC47" s="533">
        <v>61.6</v>
      </c>
      <c r="AD47" s="533">
        <v>61.61</v>
      </c>
      <c r="AE47" s="533">
        <v>61.62</v>
      </c>
      <c r="AF47" s="533">
        <v>61.62</v>
      </c>
      <c r="AG47" s="533">
        <v>61.63</v>
      </c>
      <c r="AH47" s="533">
        <v>61.63</v>
      </c>
      <c r="AI47" s="533">
        <v>61.63</v>
      </c>
      <c r="AJ47" s="533">
        <v>61.62</v>
      </c>
      <c r="AK47" s="533">
        <v>61.6</v>
      </c>
      <c r="AL47" s="533">
        <v>61.59</v>
      </c>
      <c r="AM47" s="533">
        <v>61.58</v>
      </c>
      <c r="AN47" s="533">
        <v>61.58</v>
      </c>
      <c r="AO47" s="534">
        <v>61.58</v>
      </c>
      <c r="AP47" s="534" t="s">
        <v>556</v>
      </c>
      <c r="AQ47" s="531"/>
      <c r="AR47" s="532">
        <v>58</v>
      </c>
      <c r="AS47" s="533">
        <v>62.52</v>
      </c>
      <c r="AT47" s="533">
        <v>62.54</v>
      </c>
      <c r="AU47" s="533">
        <v>62.56</v>
      </c>
      <c r="AV47" s="533">
        <v>62.58</v>
      </c>
      <c r="AW47" s="533">
        <v>62.6</v>
      </c>
      <c r="AX47" s="533">
        <v>62.61</v>
      </c>
      <c r="AY47" s="533">
        <v>62.62</v>
      </c>
      <c r="AZ47" s="533">
        <v>62.64</v>
      </c>
      <c r="BA47" s="533">
        <v>62.65</v>
      </c>
      <c r="BB47" s="533">
        <v>62.65</v>
      </c>
      <c r="BC47" s="533">
        <v>62.66</v>
      </c>
      <c r="BD47" s="533">
        <v>62.67</v>
      </c>
      <c r="BE47" s="533">
        <v>62.67</v>
      </c>
      <c r="BF47" s="533">
        <v>62.66</v>
      </c>
      <c r="BG47" s="533">
        <v>62.66</v>
      </c>
      <c r="BH47" s="533">
        <v>62.66</v>
      </c>
      <c r="BI47" s="533">
        <v>62.66</v>
      </c>
      <c r="BJ47" s="538">
        <v>62.65</v>
      </c>
      <c r="BK47" s="538" t="s">
        <v>556</v>
      </c>
    </row>
    <row r="48" spans="2:63" x14ac:dyDescent="0.25">
      <c r="B48" s="532">
        <v>59</v>
      </c>
      <c r="C48" s="533">
        <v>61.32</v>
      </c>
      <c r="D48" s="533">
        <v>61.34</v>
      </c>
      <c r="E48" s="533">
        <v>61.35</v>
      </c>
      <c r="F48" s="533">
        <v>61.36</v>
      </c>
      <c r="G48" s="533">
        <v>61.37</v>
      </c>
      <c r="H48" s="533">
        <v>61.38</v>
      </c>
      <c r="I48" s="533">
        <v>61.38</v>
      </c>
      <c r="J48" s="533">
        <v>61.39</v>
      </c>
      <c r="K48" s="533">
        <v>61.39</v>
      </c>
      <c r="L48" s="533">
        <v>61.39</v>
      </c>
      <c r="M48" s="533">
        <v>61.39</v>
      </c>
      <c r="N48" s="533">
        <v>61.39</v>
      </c>
      <c r="O48" s="533">
        <v>61.37</v>
      </c>
      <c r="P48" s="533">
        <v>61.34</v>
      </c>
      <c r="Q48" s="533">
        <v>61.32</v>
      </c>
      <c r="R48" s="533">
        <v>61.31</v>
      </c>
      <c r="S48" s="533">
        <v>61.31</v>
      </c>
      <c r="T48" s="534">
        <v>61.3</v>
      </c>
      <c r="U48" s="534" t="s">
        <v>556</v>
      </c>
      <c r="V48" s="531"/>
      <c r="W48" s="532">
        <v>59</v>
      </c>
      <c r="X48" s="533">
        <v>61.57</v>
      </c>
      <c r="Y48" s="533">
        <v>61.58</v>
      </c>
      <c r="Z48" s="533">
        <v>61.6</v>
      </c>
      <c r="AA48" s="533">
        <v>61.61</v>
      </c>
      <c r="AB48" s="533">
        <v>61.62</v>
      </c>
      <c r="AC48" s="533">
        <v>61.63</v>
      </c>
      <c r="AD48" s="533">
        <v>61.64</v>
      </c>
      <c r="AE48" s="533">
        <v>61.64</v>
      </c>
      <c r="AF48" s="533">
        <v>61.65</v>
      </c>
      <c r="AG48" s="533">
        <v>61.65</v>
      </c>
      <c r="AH48" s="533">
        <v>61.65</v>
      </c>
      <c r="AI48" s="533">
        <v>61.65</v>
      </c>
      <c r="AJ48" s="533">
        <v>61.63</v>
      </c>
      <c r="AK48" s="533">
        <v>61.61</v>
      </c>
      <c r="AL48" s="533">
        <v>61.6</v>
      </c>
      <c r="AM48" s="533">
        <v>61.59</v>
      </c>
      <c r="AN48" s="533">
        <v>61.59</v>
      </c>
      <c r="AO48" s="534">
        <v>61.58</v>
      </c>
      <c r="AP48" s="534" t="s">
        <v>556</v>
      </c>
      <c r="AQ48" s="531"/>
      <c r="AR48" s="532">
        <v>59</v>
      </c>
      <c r="AS48" s="533">
        <v>62.56</v>
      </c>
      <c r="AT48" s="533">
        <v>62.59</v>
      </c>
      <c r="AU48" s="533">
        <v>62.6</v>
      </c>
      <c r="AV48" s="533">
        <v>62.62</v>
      </c>
      <c r="AW48" s="533">
        <v>62.64</v>
      </c>
      <c r="AX48" s="533">
        <v>62.65</v>
      </c>
      <c r="AY48" s="533">
        <v>62.66</v>
      </c>
      <c r="AZ48" s="533">
        <v>62.67</v>
      </c>
      <c r="BA48" s="533">
        <v>62.68</v>
      </c>
      <c r="BB48" s="533">
        <v>62.69</v>
      </c>
      <c r="BC48" s="533">
        <v>62.69</v>
      </c>
      <c r="BD48" s="533">
        <v>62.7</v>
      </c>
      <c r="BE48" s="533">
        <v>62.69</v>
      </c>
      <c r="BF48" s="533">
        <v>62.69</v>
      </c>
      <c r="BG48" s="533">
        <v>62.68</v>
      </c>
      <c r="BH48" s="533">
        <v>62.68</v>
      </c>
      <c r="BI48" s="533">
        <v>62.67</v>
      </c>
      <c r="BJ48" s="538">
        <v>62.67</v>
      </c>
      <c r="BK48" s="538" t="s">
        <v>556</v>
      </c>
    </row>
    <row r="49" spans="2:63" x14ac:dyDescent="0.25">
      <c r="B49" s="532">
        <v>60</v>
      </c>
      <c r="C49" s="533">
        <v>61.35</v>
      </c>
      <c r="D49" s="533">
        <v>61.37</v>
      </c>
      <c r="E49" s="533">
        <v>61.38</v>
      </c>
      <c r="F49" s="533">
        <v>61.39</v>
      </c>
      <c r="G49" s="533">
        <v>61.39</v>
      </c>
      <c r="H49" s="533">
        <v>61.4</v>
      </c>
      <c r="I49" s="533">
        <v>61.4</v>
      </c>
      <c r="J49" s="533">
        <v>61.4</v>
      </c>
      <c r="K49" s="533">
        <v>61.4</v>
      </c>
      <c r="L49" s="533">
        <v>61.4</v>
      </c>
      <c r="M49" s="533">
        <v>61.4</v>
      </c>
      <c r="N49" s="533">
        <v>61.4</v>
      </c>
      <c r="O49" s="533">
        <v>61.37</v>
      </c>
      <c r="P49" s="533">
        <v>61.34</v>
      </c>
      <c r="Q49" s="533">
        <v>61.32</v>
      </c>
      <c r="R49" s="533">
        <v>61.31</v>
      </c>
      <c r="S49" s="533">
        <v>61.31</v>
      </c>
      <c r="T49" s="534" t="s">
        <v>556</v>
      </c>
      <c r="U49" s="534" t="s">
        <v>556</v>
      </c>
      <c r="V49" s="531"/>
      <c r="W49" s="532">
        <v>60</v>
      </c>
      <c r="X49" s="533">
        <v>61.6</v>
      </c>
      <c r="Y49" s="533">
        <v>61.62</v>
      </c>
      <c r="Z49" s="533">
        <v>61.63</v>
      </c>
      <c r="AA49" s="533">
        <v>61.64</v>
      </c>
      <c r="AB49" s="533">
        <v>61.65</v>
      </c>
      <c r="AC49" s="533">
        <v>61.65</v>
      </c>
      <c r="AD49" s="533">
        <v>61.66</v>
      </c>
      <c r="AE49" s="533">
        <v>61.66</v>
      </c>
      <c r="AF49" s="533">
        <v>61.66</v>
      </c>
      <c r="AG49" s="533">
        <v>61.67</v>
      </c>
      <c r="AH49" s="533">
        <v>61.67</v>
      </c>
      <c r="AI49" s="533">
        <v>61.67</v>
      </c>
      <c r="AJ49" s="533">
        <v>61.64</v>
      </c>
      <c r="AK49" s="533">
        <v>61.61</v>
      </c>
      <c r="AL49" s="533">
        <v>61.6</v>
      </c>
      <c r="AM49" s="533">
        <v>61.59</v>
      </c>
      <c r="AN49" s="533">
        <v>61.59</v>
      </c>
      <c r="AO49" s="534" t="s">
        <v>556</v>
      </c>
      <c r="AP49" s="534" t="s">
        <v>556</v>
      </c>
      <c r="AQ49" s="531"/>
      <c r="AR49" s="532">
        <v>60</v>
      </c>
      <c r="AS49" s="533">
        <v>62.61</v>
      </c>
      <c r="AT49" s="533">
        <v>62.63</v>
      </c>
      <c r="AU49" s="533">
        <v>62.64</v>
      </c>
      <c r="AV49" s="533">
        <v>62.66</v>
      </c>
      <c r="AW49" s="533">
        <v>62.67</v>
      </c>
      <c r="AX49" s="533">
        <v>62.68</v>
      </c>
      <c r="AY49" s="533">
        <v>62.69</v>
      </c>
      <c r="AZ49" s="533">
        <v>62.7</v>
      </c>
      <c r="BA49" s="533">
        <v>62.71</v>
      </c>
      <c r="BB49" s="533">
        <v>62.71</v>
      </c>
      <c r="BC49" s="533">
        <v>62.72</v>
      </c>
      <c r="BD49" s="533">
        <v>62.72</v>
      </c>
      <c r="BE49" s="533">
        <v>62.71</v>
      </c>
      <c r="BF49" s="533">
        <v>62.7</v>
      </c>
      <c r="BG49" s="533">
        <v>62.7</v>
      </c>
      <c r="BH49" s="533">
        <v>62.69</v>
      </c>
      <c r="BI49" s="533">
        <v>62.69</v>
      </c>
      <c r="BJ49" s="538" t="s">
        <v>556</v>
      </c>
      <c r="BK49" s="538" t="s">
        <v>556</v>
      </c>
    </row>
    <row r="50" spans="2:63" x14ac:dyDescent="0.25">
      <c r="B50" s="532">
        <v>61</v>
      </c>
      <c r="C50" s="533">
        <v>61.38</v>
      </c>
      <c r="D50" s="533">
        <v>61.39</v>
      </c>
      <c r="E50" s="533">
        <v>61.4</v>
      </c>
      <c r="F50" s="533">
        <v>61.41</v>
      </c>
      <c r="G50" s="533">
        <v>61.41</v>
      </c>
      <c r="H50" s="533">
        <v>61.41</v>
      </c>
      <c r="I50" s="533">
        <v>61.41</v>
      </c>
      <c r="J50" s="533">
        <v>61.41</v>
      </c>
      <c r="K50" s="533">
        <v>61.41</v>
      </c>
      <c r="L50" s="533">
        <v>61.41</v>
      </c>
      <c r="M50" s="533">
        <v>61.41</v>
      </c>
      <c r="N50" s="533">
        <v>61.4</v>
      </c>
      <c r="O50" s="533">
        <v>61.37</v>
      </c>
      <c r="P50" s="533">
        <v>61.34</v>
      </c>
      <c r="Q50" s="533">
        <v>61.32</v>
      </c>
      <c r="R50" s="533">
        <v>61.31</v>
      </c>
      <c r="S50" s="533">
        <v>61.3</v>
      </c>
      <c r="T50" s="534" t="s">
        <v>556</v>
      </c>
      <c r="U50" s="534" t="s">
        <v>556</v>
      </c>
      <c r="V50" s="531"/>
      <c r="W50" s="532">
        <v>61</v>
      </c>
      <c r="X50" s="533">
        <v>61.63</v>
      </c>
      <c r="Y50" s="533">
        <v>61.64</v>
      </c>
      <c r="Z50" s="533">
        <v>61.65</v>
      </c>
      <c r="AA50" s="533">
        <v>61.66</v>
      </c>
      <c r="AB50" s="533">
        <v>61.67</v>
      </c>
      <c r="AC50" s="533">
        <v>61.67</v>
      </c>
      <c r="AD50" s="533">
        <v>61.67</v>
      </c>
      <c r="AE50" s="533">
        <v>61.68</v>
      </c>
      <c r="AF50" s="533">
        <v>61.68</v>
      </c>
      <c r="AG50" s="533">
        <v>61.68</v>
      </c>
      <c r="AH50" s="533">
        <v>61.68</v>
      </c>
      <c r="AI50" s="533">
        <v>61.67</v>
      </c>
      <c r="AJ50" s="533">
        <v>61.64</v>
      </c>
      <c r="AK50" s="533">
        <v>61.61</v>
      </c>
      <c r="AL50" s="533">
        <v>61.6</v>
      </c>
      <c r="AM50" s="533">
        <v>61.59</v>
      </c>
      <c r="AN50" s="533">
        <v>61.59</v>
      </c>
      <c r="AO50" s="534" t="s">
        <v>556</v>
      </c>
      <c r="AP50" s="534" t="s">
        <v>556</v>
      </c>
      <c r="AQ50" s="531"/>
      <c r="AR50" s="532">
        <v>61</v>
      </c>
      <c r="AS50" s="533">
        <v>62.65</v>
      </c>
      <c r="AT50" s="533">
        <v>62.67</v>
      </c>
      <c r="AU50" s="533">
        <v>62.68</v>
      </c>
      <c r="AV50" s="533">
        <v>62.69</v>
      </c>
      <c r="AW50" s="533">
        <v>62.7</v>
      </c>
      <c r="AX50" s="533">
        <v>62.71</v>
      </c>
      <c r="AY50" s="533">
        <v>62.72</v>
      </c>
      <c r="AZ50" s="533">
        <v>62.73</v>
      </c>
      <c r="BA50" s="533">
        <v>62.73</v>
      </c>
      <c r="BB50" s="533">
        <v>62.74</v>
      </c>
      <c r="BC50" s="533">
        <v>62.74</v>
      </c>
      <c r="BD50" s="533">
        <v>62.74</v>
      </c>
      <c r="BE50" s="533">
        <v>62.73</v>
      </c>
      <c r="BF50" s="533">
        <v>62.72</v>
      </c>
      <c r="BG50" s="533">
        <v>62.71</v>
      </c>
      <c r="BH50" s="533">
        <v>62.7</v>
      </c>
      <c r="BI50" s="533">
        <v>62.7</v>
      </c>
      <c r="BJ50" s="538" t="s">
        <v>556</v>
      </c>
      <c r="BK50" s="538" t="s">
        <v>556</v>
      </c>
    </row>
    <row r="51" spans="2:63" x14ac:dyDescent="0.25">
      <c r="B51" s="532">
        <v>62</v>
      </c>
      <c r="C51" s="533">
        <v>61.4</v>
      </c>
      <c r="D51" s="533">
        <v>61.41</v>
      </c>
      <c r="E51" s="533">
        <v>61.42</v>
      </c>
      <c r="F51" s="533">
        <v>61.42</v>
      </c>
      <c r="G51" s="533">
        <v>61.42</v>
      </c>
      <c r="H51" s="533">
        <v>61.42</v>
      </c>
      <c r="I51" s="533">
        <v>61.42</v>
      </c>
      <c r="J51" s="533">
        <v>61.42</v>
      </c>
      <c r="K51" s="533">
        <v>61.42</v>
      </c>
      <c r="L51" s="533">
        <v>61.42</v>
      </c>
      <c r="M51" s="533">
        <v>61.41</v>
      </c>
      <c r="N51" s="533">
        <v>61.4</v>
      </c>
      <c r="O51" s="533">
        <v>61.36</v>
      </c>
      <c r="P51" s="533">
        <v>61.33</v>
      </c>
      <c r="Q51" s="533">
        <v>61.31</v>
      </c>
      <c r="R51" s="533">
        <v>61.3</v>
      </c>
      <c r="S51" s="533">
        <v>61.29</v>
      </c>
      <c r="T51" s="534" t="s">
        <v>556</v>
      </c>
      <c r="U51" s="534" t="s">
        <v>556</v>
      </c>
      <c r="V51" s="531"/>
      <c r="W51" s="532">
        <v>62</v>
      </c>
      <c r="X51" s="533">
        <v>61.66</v>
      </c>
      <c r="Y51" s="533">
        <v>61.67</v>
      </c>
      <c r="Z51" s="533">
        <v>61.67</v>
      </c>
      <c r="AA51" s="533">
        <v>61.68</v>
      </c>
      <c r="AB51" s="533">
        <v>61.68</v>
      </c>
      <c r="AC51" s="533">
        <v>61.68</v>
      </c>
      <c r="AD51" s="533">
        <v>61.69</v>
      </c>
      <c r="AE51" s="533">
        <v>61.69</v>
      </c>
      <c r="AF51" s="533">
        <v>61.68</v>
      </c>
      <c r="AG51" s="533">
        <v>61.68</v>
      </c>
      <c r="AH51" s="533">
        <v>61.68</v>
      </c>
      <c r="AI51" s="533">
        <v>61.67</v>
      </c>
      <c r="AJ51" s="533">
        <v>61.63</v>
      </c>
      <c r="AK51" s="533">
        <v>61.61</v>
      </c>
      <c r="AL51" s="533">
        <v>61.59</v>
      </c>
      <c r="AM51" s="533">
        <v>61.58</v>
      </c>
      <c r="AN51" s="533">
        <v>61.58</v>
      </c>
      <c r="AO51" s="534" t="s">
        <v>556</v>
      </c>
      <c r="AP51" s="534" t="s">
        <v>556</v>
      </c>
      <c r="AQ51" s="531"/>
      <c r="AR51" s="532">
        <v>62</v>
      </c>
      <c r="AS51" s="533">
        <v>62.68</v>
      </c>
      <c r="AT51" s="533">
        <v>62.7</v>
      </c>
      <c r="AU51" s="533">
        <v>62.71</v>
      </c>
      <c r="AV51" s="533">
        <v>62.72</v>
      </c>
      <c r="AW51" s="533">
        <v>62.73</v>
      </c>
      <c r="AX51" s="533">
        <v>62.74</v>
      </c>
      <c r="AY51" s="533">
        <v>62.74</v>
      </c>
      <c r="AZ51" s="533">
        <v>62.75</v>
      </c>
      <c r="BA51" s="533">
        <v>62.75</v>
      </c>
      <c r="BB51" s="533">
        <v>62.76</v>
      </c>
      <c r="BC51" s="533">
        <v>62.75</v>
      </c>
      <c r="BD51" s="533">
        <v>62.75</v>
      </c>
      <c r="BE51" s="533">
        <v>62.74</v>
      </c>
      <c r="BF51" s="533">
        <v>62.72</v>
      </c>
      <c r="BG51" s="533">
        <v>62.72</v>
      </c>
      <c r="BH51" s="533">
        <v>62.71</v>
      </c>
      <c r="BI51" s="533">
        <v>62.71</v>
      </c>
      <c r="BJ51" s="538" t="s">
        <v>556</v>
      </c>
      <c r="BK51" s="538" t="s">
        <v>556</v>
      </c>
    </row>
    <row r="52" spans="2:63" x14ac:dyDescent="0.25">
      <c r="B52" s="532">
        <v>63</v>
      </c>
      <c r="C52" s="533">
        <v>61.42</v>
      </c>
      <c r="D52" s="533">
        <v>61.42</v>
      </c>
      <c r="E52" s="533">
        <v>61.43</v>
      </c>
      <c r="F52" s="533">
        <v>61.43</v>
      </c>
      <c r="G52" s="533">
        <v>61.43</v>
      </c>
      <c r="H52" s="533">
        <v>61.43</v>
      </c>
      <c r="I52" s="533">
        <v>61.42</v>
      </c>
      <c r="J52" s="533">
        <v>61.42</v>
      </c>
      <c r="K52" s="533">
        <v>61.42</v>
      </c>
      <c r="L52" s="533">
        <v>61.41</v>
      </c>
      <c r="M52" s="533">
        <v>61.4</v>
      </c>
      <c r="N52" s="533">
        <v>61.39</v>
      </c>
      <c r="O52" s="533">
        <v>61.34</v>
      </c>
      <c r="P52" s="533">
        <v>61.31</v>
      </c>
      <c r="Q52" s="533">
        <v>61.29</v>
      </c>
      <c r="R52" s="533">
        <v>61.28</v>
      </c>
      <c r="S52" s="533">
        <v>61.27</v>
      </c>
      <c r="T52" s="534" t="s">
        <v>556</v>
      </c>
      <c r="U52" s="534" t="s">
        <v>556</v>
      </c>
      <c r="V52" s="531"/>
      <c r="W52" s="532">
        <v>63</v>
      </c>
      <c r="X52" s="533">
        <v>61.68</v>
      </c>
      <c r="Y52" s="533">
        <v>61.68</v>
      </c>
      <c r="Z52" s="533">
        <v>61.69</v>
      </c>
      <c r="AA52" s="533">
        <v>61.69</v>
      </c>
      <c r="AB52" s="533">
        <v>61.69</v>
      </c>
      <c r="AC52" s="533">
        <v>61.69</v>
      </c>
      <c r="AD52" s="533">
        <v>61.69</v>
      </c>
      <c r="AE52" s="533">
        <v>61.69</v>
      </c>
      <c r="AF52" s="533">
        <v>61.69</v>
      </c>
      <c r="AG52" s="533">
        <v>61.68</v>
      </c>
      <c r="AH52" s="533">
        <v>61.67</v>
      </c>
      <c r="AI52" s="533">
        <v>61.66</v>
      </c>
      <c r="AJ52" s="533">
        <v>61.62</v>
      </c>
      <c r="AK52" s="533">
        <v>61.6</v>
      </c>
      <c r="AL52" s="533">
        <v>61.58</v>
      </c>
      <c r="AM52" s="533">
        <v>61.57</v>
      </c>
      <c r="AN52" s="533">
        <v>61.57</v>
      </c>
      <c r="AO52" s="534" t="s">
        <v>556</v>
      </c>
      <c r="AP52" s="534" t="s">
        <v>556</v>
      </c>
      <c r="AQ52" s="531"/>
      <c r="AR52" s="532">
        <v>63</v>
      </c>
      <c r="AS52" s="533">
        <v>62.71</v>
      </c>
      <c r="AT52" s="533">
        <v>62.73</v>
      </c>
      <c r="AU52" s="533">
        <v>62.74</v>
      </c>
      <c r="AV52" s="533">
        <v>62.75</v>
      </c>
      <c r="AW52" s="533">
        <v>62.75</v>
      </c>
      <c r="AX52" s="533">
        <v>62.76</v>
      </c>
      <c r="AY52" s="533">
        <v>62.76</v>
      </c>
      <c r="AZ52" s="533">
        <v>62.77</v>
      </c>
      <c r="BA52" s="533">
        <v>62.77</v>
      </c>
      <c r="BB52" s="533">
        <v>62.77</v>
      </c>
      <c r="BC52" s="533">
        <v>62.76</v>
      </c>
      <c r="BD52" s="533">
        <v>62.76</v>
      </c>
      <c r="BE52" s="533">
        <v>62.74</v>
      </c>
      <c r="BF52" s="533">
        <v>62.73</v>
      </c>
      <c r="BG52" s="533">
        <v>62.72</v>
      </c>
      <c r="BH52" s="533">
        <v>62.71</v>
      </c>
      <c r="BI52" s="533">
        <v>62.71</v>
      </c>
      <c r="BJ52" s="538" t="s">
        <v>556</v>
      </c>
      <c r="BK52" s="538" t="s">
        <v>556</v>
      </c>
    </row>
    <row r="53" spans="2:63" x14ac:dyDescent="0.25">
      <c r="B53" s="532">
        <v>64</v>
      </c>
      <c r="C53" s="533">
        <v>61.43</v>
      </c>
      <c r="D53" s="533">
        <v>61.43</v>
      </c>
      <c r="E53" s="533">
        <v>61.43</v>
      </c>
      <c r="F53" s="533">
        <v>61.43</v>
      </c>
      <c r="G53" s="533">
        <v>61.43</v>
      </c>
      <c r="H53" s="533">
        <v>61.42</v>
      </c>
      <c r="I53" s="533">
        <v>61.42</v>
      </c>
      <c r="J53" s="533">
        <v>61.41</v>
      </c>
      <c r="K53" s="533">
        <v>61.4</v>
      </c>
      <c r="L53" s="533">
        <v>61.39</v>
      </c>
      <c r="M53" s="533">
        <v>61.38</v>
      </c>
      <c r="N53" s="533">
        <v>61.37</v>
      </c>
      <c r="O53" s="533">
        <v>61.32</v>
      </c>
      <c r="P53" s="533">
        <v>61.29</v>
      </c>
      <c r="Q53" s="533">
        <v>61.27</v>
      </c>
      <c r="R53" s="533">
        <v>61.25</v>
      </c>
      <c r="S53" s="533">
        <v>61.24</v>
      </c>
      <c r="T53" s="534" t="s">
        <v>556</v>
      </c>
      <c r="U53" s="534" t="s">
        <v>556</v>
      </c>
      <c r="V53" s="531"/>
      <c r="W53" s="532">
        <v>64</v>
      </c>
      <c r="X53" s="533">
        <v>61.69</v>
      </c>
      <c r="Y53" s="533">
        <v>61.69</v>
      </c>
      <c r="Z53" s="533">
        <v>61.7</v>
      </c>
      <c r="AA53" s="533">
        <v>61.7</v>
      </c>
      <c r="AB53" s="533">
        <v>61.7</v>
      </c>
      <c r="AC53" s="533">
        <v>61.69</v>
      </c>
      <c r="AD53" s="533">
        <v>61.69</v>
      </c>
      <c r="AE53" s="533">
        <v>61.69</v>
      </c>
      <c r="AF53" s="533">
        <v>61.68</v>
      </c>
      <c r="AG53" s="533">
        <v>61.67</v>
      </c>
      <c r="AH53" s="533">
        <v>61.66</v>
      </c>
      <c r="AI53" s="533">
        <v>61.65</v>
      </c>
      <c r="AJ53" s="533">
        <v>61.61</v>
      </c>
      <c r="AK53" s="533">
        <v>61.58</v>
      </c>
      <c r="AL53" s="533">
        <v>61.56</v>
      </c>
      <c r="AM53" s="533">
        <v>61.55</v>
      </c>
      <c r="AN53" s="533">
        <v>61.55</v>
      </c>
      <c r="AO53" s="534" t="s">
        <v>556</v>
      </c>
      <c r="AP53" s="534" t="s">
        <v>556</v>
      </c>
      <c r="AQ53" s="531"/>
      <c r="AR53" s="532">
        <v>64</v>
      </c>
      <c r="AS53" s="533">
        <v>62.74</v>
      </c>
      <c r="AT53" s="533">
        <v>62.75</v>
      </c>
      <c r="AU53" s="533">
        <v>62.76</v>
      </c>
      <c r="AV53" s="533">
        <v>62.76</v>
      </c>
      <c r="AW53" s="533">
        <v>62.77</v>
      </c>
      <c r="AX53" s="533">
        <v>62.77</v>
      </c>
      <c r="AY53" s="533">
        <v>62.78</v>
      </c>
      <c r="AZ53" s="533">
        <v>62.78</v>
      </c>
      <c r="BA53" s="533">
        <v>62.77</v>
      </c>
      <c r="BB53" s="533">
        <v>62.77</v>
      </c>
      <c r="BC53" s="533">
        <v>62.77</v>
      </c>
      <c r="BD53" s="533">
        <v>62.76</v>
      </c>
      <c r="BE53" s="533">
        <v>62.74</v>
      </c>
      <c r="BF53" s="533">
        <v>62.73</v>
      </c>
      <c r="BG53" s="533">
        <v>62.72</v>
      </c>
      <c r="BH53" s="533">
        <v>62.71</v>
      </c>
      <c r="BI53" s="533">
        <v>62.7</v>
      </c>
      <c r="BJ53" s="538" t="s">
        <v>556</v>
      </c>
      <c r="BK53" s="538" t="s">
        <v>556</v>
      </c>
    </row>
    <row r="54" spans="2:63" x14ac:dyDescent="0.25">
      <c r="B54" s="532">
        <v>65</v>
      </c>
      <c r="C54" s="533">
        <v>61.43</v>
      </c>
      <c r="D54" s="533">
        <v>61.43</v>
      </c>
      <c r="E54" s="533">
        <v>61.43</v>
      </c>
      <c r="F54" s="533">
        <v>61.43</v>
      </c>
      <c r="G54" s="533">
        <v>61.42</v>
      </c>
      <c r="H54" s="533">
        <v>61.42</v>
      </c>
      <c r="I54" s="533">
        <v>61.41</v>
      </c>
      <c r="J54" s="533">
        <v>61.4</v>
      </c>
      <c r="K54" s="533">
        <v>61.39</v>
      </c>
      <c r="L54" s="533">
        <v>61.37</v>
      </c>
      <c r="M54" s="533">
        <v>61.36</v>
      </c>
      <c r="N54" s="533">
        <v>61.35</v>
      </c>
      <c r="O54" s="533">
        <v>61.3</v>
      </c>
      <c r="P54" s="533">
        <v>61.26</v>
      </c>
      <c r="Q54" s="533">
        <v>61.24</v>
      </c>
      <c r="R54" s="533">
        <v>61.22</v>
      </c>
      <c r="S54" s="533" t="s">
        <v>556</v>
      </c>
      <c r="T54" s="534" t="s">
        <v>556</v>
      </c>
      <c r="U54" s="534" t="s">
        <v>556</v>
      </c>
      <c r="V54" s="531"/>
      <c r="W54" s="532">
        <v>65</v>
      </c>
      <c r="X54" s="533">
        <v>61.7</v>
      </c>
      <c r="Y54" s="533">
        <v>61.7</v>
      </c>
      <c r="Z54" s="533">
        <v>61.7</v>
      </c>
      <c r="AA54" s="533">
        <v>61.7</v>
      </c>
      <c r="AB54" s="533">
        <v>61.69</v>
      </c>
      <c r="AC54" s="533">
        <v>61.69</v>
      </c>
      <c r="AD54" s="533">
        <v>61.69</v>
      </c>
      <c r="AE54" s="533">
        <v>61.68</v>
      </c>
      <c r="AF54" s="533">
        <v>61.66</v>
      </c>
      <c r="AG54" s="533">
        <v>61.65</v>
      </c>
      <c r="AH54" s="533">
        <v>61.64</v>
      </c>
      <c r="AI54" s="533">
        <v>61.63</v>
      </c>
      <c r="AJ54" s="533">
        <v>61.59</v>
      </c>
      <c r="AK54" s="533">
        <v>61.56</v>
      </c>
      <c r="AL54" s="533">
        <v>61.54</v>
      </c>
      <c r="AM54" s="533">
        <v>61.53</v>
      </c>
      <c r="AN54" s="533" t="s">
        <v>556</v>
      </c>
      <c r="AO54" s="534" t="s">
        <v>556</v>
      </c>
      <c r="AP54" s="534" t="s">
        <v>556</v>
      </c>
      <c r="AQ54" s="531"/>
      <c r="AR54" s="532">
        <v>65</v>
      </c>
      <c r="AS54" s="533">
        <v>62.76</v>
      </c>
      <c r="AT54" s="533">
        <v>62.77</v>
      </c>
      <c r="AU54" s="533">
        <v>62.77</v>
      </c>
      <c r="AV54" s="533">
        <v>62.78</v>
      </c>
      <c r="AW54" s="533">
        <v>62.78</v>
      </c>
      <c r="AX54" s="533">
        <v>62.78</v>
      </c>
      <c r="AY54" s="533">
        <v>62.79</v>
      </c>
      <c r="AZ54" s="533">
        <v>62.78</v>
      </c>
      <c r="BA54" s="533">
        <v>62.78</v>
      </c>
      <c r="BB54" s="533">
        <v>62.77</v>
      </c>
      <c r="BC54" s="533">
        <v>62.77</v>
      </c>
      <c r="BD54" s="533">
        <v>62.76</v>
      </c>
      <c r="BE54" s="533">
        <v>62.74</v>
      </c>
      <c r="BF54" s="533">
        <v>62.72</v>
      </c>
      <c r="BG54" s="533">
        <v>62.71</v>
      </c>
      <c r="BH54" s="533">
        <v>62.7</v>
      </c>
      <c r="BI54" s="533" t="s">
        <v>556</v>
      </c>
      <c r="BJ54" s="538" t="s">
        <v>556</v>
      </c>
      <c r="BK54" s="538" t="s">
        <v>556</v>
      </c>
    </row>
    <row r="55" spans="2:63" x14ac:dyDescent="0.25">
      <c r="B55" s="532">
        <v>66</v>
      </c>
      <c r="C55" s="533">
        <v>61.43</v>
      </c>
      <c r="D55" s="533">
        <v>61.43</v>
      </c>
      <c r="E55" s="533">
        <v>61.42</v>
      </c>
      <c r="F55" s="533">
        <v>61.42</v>
      </c>
      <c r="G55" s="533">
        <v>61.41</v>
      </c>
      <c r="H55" s="533">
        <v>61.4</v>
      </c>
      <c r="I55" s="533">
        <v>61.39</v>
      </c>
      <c r="J55" s="533">
        <v>61.38</v>
      </c>
      <c r="K55" s="533">
        <v>61.36</v>
      </c>
      <c r="L55" s="533">
        <v>61.35</v>
      </c>
      <c r="M55" s="533">
        <v>61.34</v>
      </c>
      <c r="N55" s="533">
        <v>61.32</v>
      </c>
      <c r="O55" s="533">
        <v>61.27</v>
      </c>
      <c r="P55" s="533">
        <v>61.23</v>
      </c>
      <c r="Q55" s="533">
        <v>61.2</v>
      </c>
      <c r="R55" s="533">
        <v>61.19</v>
      </c>
      <c r="S55" s="533" t="s">
        <v>556</v>
      </c>
      <c r="T55" s="534" t="s">
        <v>556</v>
      </c>
      <c r="U55" s="534" t="s">
        <v>556</v>
      </c>
      <c r="V55" s="531"/>
      <c r="W55" s="532">
        <v>66</v>
      </c>
      <c r="X55" s="533">
        <v>61.7</v>
      </c>
      <c r="Y55" s="533">
        <v>61.7</v>
      </c>
      <c r="Z55" s="533">
        <v>61.7</v>
      </c>
      <c r="AA55" s="533">
        <v>61.69</v>
      </c>
      <c r="AB55" s="533">
        <v>61.69</v>
      </c>
      <c r="AC55" s="533">
        <v>61.68</v>
      </c>
      <c r="AD55" s="533">
        <v>61.67</v>
      </c>
      <c r="AE55" s="533">
        <v>61.66</v>
      </c>
      <c r="AF55" s="533">
        <v>61.65</v>
      </c>
      <c r="AG55" s="533">
        <v>61.64</v>
      </c>
      <c r="AH55" s="533">
        <v>61.62</v>
      </c>
      <c r="AI55" s="533">
        <v>61.61</v>
      </c>
      <c r="AJ55" s="533">
        <v>61.57</v>
      </c>
      <c r="AK55" s="533">
        <v>61.53</v>
      </c>
      <c r="AL55" s="533">
        <v>61.51</v>
      </c>
      <c r="AM55" s="533">
        <v>61.5</v>
      </c>
      <c r="AN55" s="533" t="s">
        <v>556</v>
      </c>
      <c r="AO55" s="534" t="s">
        <v>556</v>
      </c>
      <c r="AP55" s="534" t="s">
        <v>556</v>
      </c>
      <c r="AQ55" s="531"/>
      <c r="AR55" s="532">
        <v>66</v>
      </c>
      <c r="AS55" s="533">
        <v>62.78</v>
      </c>
      <c r="AT55" s="533">
        <v>62.78</v>
      </c>
      <c r="AU55" s="533">
        <v>62.79</v>
      </c>
      <c r="AV55" s="533">
        <v>62.79</v>
      </c>
      <c r="AW55" s="533">
        <v>62.79</v>
      </c>
      <c r="AX55" s="533">
        <v>62.79</v>
      </c>
      <c r="AY55" s="533">
        <v>62.79</v>
      </c>
      <c r="AZ55" s="533">
        <v>62.78</v>
      </c>
      <c r="BA55" s="533">
        <v>62.77</v>
      </c>
      <c r="BB55" s="533">
        <v>62.77</v>
      </c>
      <c r="BC55" s="533">
        <v>62.76</v>
      </c>
      <c r="BD55" s="533">
        <v>62.76</v>
      </c>
      <c r="BE55" s="533">
        <v>62.73</v>
      </c>
      <c r="BF55" s="533">
        <v>62.72</v>
      </c>
      <c r="BG55" s="533">
        <v>62.7</v>
      </c>
      <c r="BH55" s="533">
        <v>62.69</v>
      </c>
      <c r="BI55" s="533" t="s">
        <v>556</v>
      </c>
      <c r="BJ55" s="538" t="s">
        <v>556</v>
      </c>
      <c r="BK55" s="538" t="s">
        <v>556</v>
      </c>
    </row>
    <row r="56" spans="2:63" x14ac:dyDescent="0.25">
      <c r="B56" s="532">
        <v>67</v>
      </c>
      <c r="C56" s="533">
        <v>61.43</v>
      </c>
      <c r="D56" s="533">
        <v>61.42</v>
      </c>
      <c r="E56" s="533">
        <v>61.41</v>
      </c>
      <c r="F56" s="533">
        <v>61.4</v>
      </c>
      <c r="G56" s="533">
        <v>61.39</v>
      </c>
      <c r="H56" s="533">
        <v>61.38</v>
      </c>
      <c r="I56" s="533">
        <v>61.36</v>
      </c>
      <c r="J56" s="533">
        <v>61.35</v>
      </c>
      <c r="K56" s="533">
        <v>61.33</v>
      </c>
      <c r="L56" s="533">
        <v>61.32</v>
      </c>
      <c r="M56" s="533">
        <v>61.31</v>
      </c>
      <c r="N56" s="533">
        <v>61.29</v>
      </c>
      <c r="O56" s="533">
        <v>61.23</v>
      </c>
      <c r="P56" s="533">
        <v>61.19</v>
      </c>
      <c r="Q56" s="533">
        <v>61.16</v>
      </c>
      <c r="R56" s="533">
        <v>61.14</v>
      </c>
      <c r="S56" s="533" t="s">
        <v>556</v>
      </c>
      <c r="T56" s="534" t="s">
        <v>556</v>
      </c>
      <c r="U56" s="534" t="s">
        <v>556</v>
      </c>
      <c r="V56" s="531"/>
      <c r="W56" s="532">
        <v>67</v>
      </c>
      <c r="X56" s="533">
        <v>61.7</v>
      </c>
      <c r="Y56" s="533">
        <v>61.7</v>
      </c>
      <c r="Z56" s="533">
        <v>61.69</v>
      </c>
      <c r="AA56" s="533">
        <v>61.68</v>
      </c>
      <c r="AB56" s="533">
        <v>61.68</v>
      </c>
      <c r="AC56" s="533">
        <v>61.66</v>
      </c>
      <c r="AD56" s="533">
        <v>61.65</v>
      </c>
      <c r="AE56" s="533">
        <v>61.64</v>
      </c>
      <c r="AF56" s="533">
        <v>61.62</v>
      </c>
      <c r="AG56" s="533">
        <v>61.61</v>
      </c>
      <c r="AH56" s="533">
        <v>61.6</v>
      </c>
      <c r="AI56" s="533">
        <v>61.59</v>
      </c>
      <c r="AJ56" s="533">
        <v>61.54</v>
      </c>
      <c r="AK56" s="533">
        <v>61.5</v>
      </c>
      <c r="AL56" s="533">
        <v>61.48</v>
      </c>
      <c r="AM56" s="533">
        <v>61.46</v>
      </c>
      <c r="AN56" s="533" t="s">
        <v>556</v>
      </c>
      <c r="AO56" s="534" t="s">
        <v>556</v>
      </c>
      <c r="AP56" s="534" t="s">
        <v>556</v>
      </c>
      <c r="AQ56" s="531"/>
      <c r="AR56" s="532">
        <v>67</v>
      </c>
      <c r="AS56" s="533">
        <v>62.79</v>
      </c>
      <c r="AT56" s="533">
        <v>62.79</v>
      </c>
      <c r="AU56" s="533">
        <v>62.79</v>
      </c>
      <c r="AV56" s="533">
        <v>62.79</v>
      </c>
      <c r="AW56" s="533">
        <v>62.79</v>
      </c>
      <c r="AX56" s="533">
        <v>62.79</v>
      </c>
      <c r="AY56" s="533">
        <v>62.78</v>
      </c>
      <c r="AZ56" s="533">
        <v>62.77</v>
      </c>
      <c r="BA56" s="533">
        <v>62.77</v>
      </c>
      <c r="BB56" s="533">
        <v>62.76</v>
      </c>
      <c r="BC56" s="533">
        <v>62.76</v>
      </c>
      <c r="BD56" s="533">
        <v>62.75</v>
      </c>
      <c r="BE56" s="533">
        <v>62.72</v>
      </c>
      <c r="BF56" s="533">
        <v>62.7</v>
      </c>
      <c r="BG56" s="533">
        <v>62.69</v>
      </c>
      <c r="BH56" s="533">
        <v>62.67</v>
      </c>
      <c r="BI56" s="533" t="s">
        <v>556</v>
      </c>
      <c r="BJ56" s="538" t="s">
        <v>556</v>
      </c>
      <c r="BK56" s="538" t="s">
        <v>556</v>
      </c>
    </row>
    <row r="57" spans="2:63" x14ac:dyDescent="0.25">
      <c r="B57" s="532">
        <v>68</v>
      </c>
      <c r="C57" s="533">
        <v>61.41</v>
      </c>
      <c r="D57" s="533">
        <v>61.41</v>
      </c>
      <c r="E57" s="533">
        <v>61.39</v>
      </c>
      <c r="F57" s="533">
        <v>61.38</v>
      </c>
      <c r="G57" s="533">
        <v>61.37</v>
      </c>
      <c r="H57" s="533">
        <v>61.35</v>
      </c>
      <c r="I57" s="533">
        <v>61.33</v>
      </c>
      <c r="J57" s="533">
        <v>61.32</v>
      </c>
      <c r="K57" s="533">
        <v>61.3</v>
      </c>
      <c r="L57" s="533">
        <v>61.29</v>
      </c>
      <c r="M57" s="533">
        <v>61.27</v>
      </c>
      <c r="N57" s="533">
        <v>61.26</v>
      </c>
      <c r="O57" s="533">
        <v>61.19</v>
      </c>
      <c r="P57" s="533">
        <v>61.15</v>
      </c>
      <c r="Q57" s="533">
        <v>61.11</v>
      </c>
      <c r="R57" s="533">
        <v>61.09</v>
      </c>
      <c r="S57" s="533" t="s">
        <v>556</v>
      </c>
      <c r="T57" s="534" t="s">
        <v>556</v>
      </c>
      <c r="U57" s="534" t="s">
        <v>556</v>
      </c>
      <c r="V57" s="531"/>
      <c r="W57" s="532">
        <v>68</v>
      </c>
      <c r="X57" s="533">
        <v>61.69</v>
      </c>
      <c r="Y57" s="533">
        <v>61.68</v>
      </c>
      <c r="Z57" s="533">
        <v>61.68</v>
      </c>
      <c r="AA57" s="533">
        <v>61.67</v>
      </c>
      <c r="AB57" s="533">
        <v>61.65</v>
      </c>
      <c r="AC57" s="533">
        <v>61.64</v>
      </c>
      <c r="AD57" s="533">
        <v>61.62</v>
      </c>
      <c r="AE57" s="533">
        <v>61.61</v>
      </c>
      <c r="AF57" s="533">
        <v>61.6</v>
      </c>
      <c r="AG57" s="533">
        <v>61.58</v>
      </c>
      <c r="AH57" s="533">
        <v>61.57</v>
      </c>
      <c r="AI57" s="533">
        <v>61.56</v>
      </c>
      <c r="AJ57" s="533">
        <v>61.5</v>
      </c>
      <c r="AK57" s="533">
        <v>61.47</v>
      </c>
      <c r="AL57" s="533">
        <v>61.44</v>
      </c>
      <c r="AM57" s="533">
        <v>61.42</v>
      </c>
      <c r="AN57" s="533" t="s">
        <v>556</v>
      </c>
      <c r="AO57" s="534" t="s">
        <v>556</v>
      </c>
      <c r="AP57" s="534" t="s">
        <v>556</v>
      </c>
      <c r="AQ57" s="531"/>
      <c r="AR57" s="532">
        <v>68</v>
      </c>
      <c r="AS57" s="533">
        <v>62.8</v>
      </c>
      <c r="AT57" s="533">
        <v>62.8</v>
      </c>
      <c r="AU57" s="533">
        <v>62.8</v>
      </c>
      <c r="AV57" s="533">
        <v>62.8</v>
      </c>
      <c r="AW57" s="533">
        <v>62.79</v>
      </c>
      <c r="AX57" s="533">
        <v>62.78</v>
      </c>
      <c r="AY57" s="533">
        <v>62.77</v>
      </c>
      <c r="AZ57" s="533">
        <v>62.77</v>
      </c>
      <c r="BA57" s="533">
        <v>62.76</v>
      </c>
      <c r="BB57" s="533">
        <v>62.75</v>
      </c>
      <c r="BC57" s="533">
        <v>62.75</v>
      </c>
      <c r="BD57" s="533">
        <v>62.74</v>
      </c>
      <c r="BE57" s="533">
        <v>62.71</v>
      </c>
      <c r="BF57" s="533">
        <v>62.69</v>
      </c>
      <c r="BG57" s="533">
        <v>62.67</v>
      </c>
      <c r="BH57" s="533">
        <v>62.65</v>
      </c>
      <c r="BI57" s="533" t="s">
        <v>556</v>
      </c>
      <c r="BJ57" s="538" t="s">
        <v>556</v>
      </c>
      <c r="BK57" s="538" t="s">
        <v>556</v>
      </c>
    </row>
    <row r="58" spans="2:63" x14ac:dyDescent="0.25">
      <c r="B58" s="532">
        <v>69</v>
      </c>
      <c r="C58" s="533">
        <v>61.4</v>
      </c>
      <c r="D58" s="533">
        <v>61.38</v>
      </c>
      <c r="E58" s="533">
        <v>61.37</v>
      </c>
      <c r="F58" s="533">
        <v>61.35</v>
      </c>
      <c r="G58" s="533">
        <v>61.33</v>
      </c>
      <c r="H58" s="533">
        <v>61.32</v>
      </c>
      <c r="I58" s="533">
        <v>61.3</v>
      </c>
      <c r="J58" s="533">
        <v>61.28</v>
      </c>
      <c r="K58" s="533">
        <v>61.26</v>
      </c>
      <c r="L58" s="533">
        <v>61.25</v>
      </c>
      <c r="M58" s="533">
        <v>61.23</v>
      </c>
      <c r="N58" s="533">
        <v>61.21</v>
      </c>
      <c r="O58" s="533">
        <v>61.15</v>
      </c>
      <c r="P58" s="533">
        <v>61.1</v>
      </c>
      <c r="Q58" s="533">
        <v>61.06</v>
      </c>
      <c r="R58" s="533">
        <v>61.03</v>
      </c>
      <c r="S58" s="533" t="s">
        <v>556</v>
      </c>
      <c r="T58" s="534" t="s">
        <v>556</v>
      </c>
      <c r="U58" s="534" t="s">
        <v>556</v>
      </c>
      <c r="V58" s="531"/>
      <c r="W58" s="532">
        <v>69</v>
      </c>
      <c r="X58" s="533">
        <v>61.68</v>
      </c>
      <c r="Y58" s="533">
        <v>61.67</v>
      </c>
      <c r="Z58" s="533">
        <v>61.66</v>
      </c>
      <c r="AA58" s="533">
        <v>61.64</v>
      </c>
      <c r="AB58" s="533">
        <v>61.63</v>
      </c>
      <c r="AC58" s="533">
        <v>61.61</v>
      </c>
      <c r="AD58" s="533">
        <v>61.59</v>
      </c>
      <c r="AE58" s="533">
        <v>61.58</v>
      </c>
      <c r="AF58" s="533">
        <v>61.56</v>
      </c>
      <c r="AG58" s="533">
        <v>61.55</v>
      </c>
      <c r="AH58" s="533">
        <v>61.54</v>
      </c>
      <c r="AI58" s="533">
        <v>61.52</v>
      </c>
      <c r="AJ58" s="533">
        <v>61.47</v>
      </c>
      <c r="AK58" s="533">
        <v>61.42</v>
      </c>
      <c r="AL58" s="533">
        <v>61.39</v>
      </c>
      <c r="AM58" s="533">
        <v>61.37</v>
      </c>
      <c r="AN58" s="533" t="s">
        <v>556</v>
      </c>
      <c r="AO58" s="534" t="s">
        <v>556</v>
      </c>
      <c r="AP58" s="534" t="s">
        <v>556</v>
      </c>
      <c r="AQ58" s="531"/>
      <c r="AR58" s="532">
        <v>69</v>
      </c>
      <c r="AS58" s="533">
        <v>62.8</v>
      </c>
      <c r="AT58" s="533">
        <v>62.8</v>
      </c>
      <c r="AU58" s="533">
        <v>62.8</v>
      </c>
      <c r="AV58" s="533">
        <v>62.79</v>
      </c>
      <c r="AW58" s="533">
        <v>62.78</v>
      </c>
      <c r="AX58" s="533">
        <v>62.77</v>
      </c>
      <c r="AY58" s="533">
        <v>62.76</v>
      </c>
      <c r="AZ58" s="533">
        <v>62.75</v>
      </c>
      <c r="BA58" s="533">
        <v>62.75</v>
      </c>
      <c r="BB58" s="533">
        <v>62.74</v>
      </c>
      <c r="BC58" s="533">
        <v>62.73</v>
      </c>
      <c r="BD58" s="533">
        <v>62.72</v>
      </c>
      <c r="BE58" s="533">
        <v>62.69</v>
      </c>
      <c r="BF58" s="533">
        <v>62.66</v>
      </c>
      <c r="BG58" s="533">
        <v>62.64</v>
      </c>
      <c r="BH58" s="533">
        <v>62.62</v>
      </c>
      <c r="BI58" s="533" t="s">
        <v>556</v>
      </c>
      <c r="BJ58" s="538" t="s">
        <v>556</v>
      </c>
      <c r="BK58" s="538" t="s">
        <v>556</v>
      </c>
    </row>
    <row r="59" spans="2:63" x14ac:dyDescent="0.25">
      <c r="B59" s="532">
        <v>70</v>
      </c>
      <c r="C59" s="533">
        <v>61.37</v>
      </c>
      <c r="D59" s="533">
        <v>61.36</v>
      </c>
      <c r="E59" s="533">
        <v>61.34</v>
      </c>
      <c r="F59" s="533">
        <v>61.32</v>
      </c>
      <c r="G59" s="533">
        <v>61.3</v>
      </c>
      <c r="H59" s="533">
        <v>61.28</v>
      </c>
      <c r="I59" s="533">
        <v>61.26</v>
      </c>
      <c r="J59" s="533">
        <v>61.24</v>
      </c>
      <c r="K59" s="533">
        <v>61.22</v>
      </c>
      <c r="L59" s="533">
        <v>61.2</v>
      </c>
      <c r="M59" s="533">
        <v>61.18</v>
      </c>
      <c r="N59" s="533">
        <v>61.17</v>
      </c>
      <c r="O59" s="533">
        <v>61.1</v>
      </c>
      <c r="P59" s="533">
        <v>61.04</v>
      </c>
      <c r="Q59" s="533">
        <v>61</v>
      </c>
      <c r="R59" s="533" t="s">
        <v>556</v>
      </c>
      <c r="S59" s="533" t="s">
        <v>556</v>
      </c>
      <c r="T59" s="534" t="s">
        <v>556</v>
      </c>
      <c r="U59" s="534" t="s">
        <v>556</v>
      </c>
      <c r="V59" s="531"/>
      <c r="W59" s="532">
        <v>70</v>
      </c>
      <c r="X59" s="533">
        <v>61.66</v>
      </c>
      <c r="Y59" s="533">
        <v>61.65</v>
      </c>
      <c r="Z59" s="533">
        <v>61.63</v>
      </c>
      <c r="AA59" s="533">
        <v>61.61</v>
      </c>
      <c r="AB59" s="533">
        <v>61.59</v>
      </c>
      <c r="AC59" s="533">
        <v>61.58</v>
      </c>
      <c r="AD59" s="533">
        <v>61.56</v>
      </c>
      <c r="AE59" s="533">
        <v>61.54</v>
      </c>
      <c r="AF59" s="533">
        <v>61.53</v>
      </c>
      <c r="AG59" s="533">
        <v>61.51</v>
      </c>
      <c r="AH59" s="533">
        <v>61.5</v>
      </c>
      <c r="AI59" s="533">
        <v>61.48</v>
      </c>
      <c r="AJ59" s="533">
        <v>61.42</v>
      </c>
      <c r="AK59" s="533">
        <v>61.37</v>
      </c>
      <c r="AL59" s="533">
        <v>61.34</v>
      </c>
      <c r="AM59" s="533" t="s">
        <v>556</v>
      </c>
      <c r="AN59" s="533" t="s">
        <v>556</v>
      </c>
      <c r="AO59" s="534" t="s">
        <v>556</v>
      </c>
      <c r="AP59" s="534" t="s">
        <v>556</v>
      </c>
      <c r="AQ59" s="531"/>
      <c r="AR59" s="532">
        <v>70</v>
      </c>
      <c r="AS59" s="533">
        <v>62.8</v>
      </c>
      <c r="AT59" s="533">
        <v>62.79</v>
      </c>
      <c r="AU59" s="533">
        <v>62.79</v>
      </c>
      <c r="AV59" s="533">
        <v>62.78</v>
      </c>
      <c r="AW59" s="533">
        <v>62.77</v>
      </c>
      <c r="AX59" s="533">
        <v>62.76</v>
      </c>
      <c r="AY59" s="533">
        <v>62.75</v>
      </c>
      <c r="AZ59" s="533">
        <v>62.74</v>
      </c>
      <c r="BA59" s="533">
        <v>62.73</v>
      </c>
      <c r="BB59" s="533">
        <v>62.72</v>
      </c>
      <c r="BC59" s="533">
        <v>62.71</v>
      </c>
      <c r="BD59" s="533">
        <v>62.7</v>
      </c>
      <c r="BE59" s="533">
        <v>62.67</v>
      </c>
      <c r="BF59" s="533">
        <v>62.64</v>
      </c>
      <c r="BG59" s="533">
        <v>62.61</v>
      </c>
      <c r="BH59" s="533" t="s">
        <v>556</v>
      </c>
      <c r="BI59" s="533" t="s">
        <v>556</v>
      </c>
      <c r="BJ59" s="538" t="s">
        <v>556</v>
      </c>
      <c r="BK59" s="538" t="s">
        <v>556</v>
      </c>
    </row>
    <row r="60" spans="2:63" x14ac:dyDescent="0.25">
      <c r="B60" s="532">
        <v>71</v>
      </c>
      <c r="C60" s="533">
        <v>61.34</v>
      </c>
      <c r="D60" s="533">
        <v>61.32</v>
      </c>
      <c r="E60" s="533">
        <v>61.3</v>
      </c>
      <c r="F60" s="533">
        <v>61.28</v>
      </c>
      <c r="G60" s="533">
        <v>61.25</v>
      </c>
      <c r="H60" s="533">
        <v>61.23</v>
      </c>
      <c r="I60" s="533">
        <v>61.21</v>
      </c>
      <c r="J60" s="533">
        <v>61.19</v>
      </c>
      <c r="K60" s="533">
        <v>61.17</v>
      </c>
      <c r="L60" s="533">
        <v>61.15</v>
      </c>
      <c r="M60" s="533">
        <v>61.13</v>
      </c>
      <c r="N60" s="533">
        <v>61.12</v>
      </c>
      <c r="O60" s="533">
        <v>61.04</v>
      </c>
      <c r="P60" s="533">
        <v>60.98</v>
      </c>
      <c r="Q60" s="533">
        <v>60.93</v>
      </c>
      <c r="R60" s="533" t="s">
        <v>556</v>
      </c>
      <c r="S60" s="533" t="s">
        <v>556</v>
      </c>
      <c r="T60" s="534" t="s">
        <v>556</v>
      </c>
      <c r="U60" s="534" t="s">
        <v>556</v>
      </c>
      <c r="V60" s="531"/>
      <c r="W60" s="532">
        <v>71</v>
      </c>
      <c r="X60" s="533">
        <v>61.64</v>
      </c>
      <c r="Y60" s="533">
        <v>61.62</v>
      </c>
      <c r="Z60" s="533">
        <v>61.6</v>
      </c>
      <c r="AA60" s="533">
        <v>61.58</v>
      </c>
      <c r="AB60" s="533">
        <v>61.56</v>
      </c>
      <c r="AC60" s="533">
        <v>61.54</v>
      </c>
      <c r="AD60" s="533">
        <v>61.52</v>
      </c>
      <c r="AE60" s="533">
        <v>61.5</v>
      </c>
      <c r="AF60" s="533">
        <v>61.49</v>
      </c>
      <c r="AG60" s="533">
        <v>61.47</v>
      </c>
      <c r="AH60" s="533">
        <v>61.45</v>
      </c>
      <c r="AI60" s="533">
        <v>61.44</v>
      </c>
      <c r="AJ60" s="533">
        <v>61.37</v>
      </c>
      <c r="AK60" s="533">
        <v>61.32</v>
      </c>
      <c r="AL60" s="533">
        <v>61.28</v>
      </c>
      <c r="AM60" s="533" t="s">
        <v>556</v>
      </c>
      <c r="AN60" s="533" t="s">
        <v>556</v>
      </c>
      <c r="AO60" s="534" t="s">
        <v>556</v>
      </c>
      <c r="AP60" s="534" t="s">
        <v>556</v>
      </c>
      <c r="AQ60" s="531"/>
      <c r="AR60" s="532">
        <v>71</v>
      </c>
      <c r="AS60" s="533">
        <v>62.79</v>
      </c>
      <c r="AT60" s="533">
        <v>62.78</v>
      </c>
      <c r="AU60" s="533">
        <v>62.77</v>
      </c>
      <c r="AV60" s="533">
        <v>62.76</v>
      </c>
      <c r="AW60" s="533">
        <v>62.75</v>
      </c>
      <c r="AX60" s="533">
        <v>62.74</v>
      </c>
      <c r="AY60" s="533">
        <v>62.73</v>
      </c>
      <c r="AZ60" s="533">
        <v>62.72</v>
      </c>
      <c r="BA60" s="533">
        <v>62.71</v>
      </c>
      <c r="BB60" s="533">
        <v>62.7</v>
      </c>
      <c r="BC60" s="533">
        <v>62.69</v>
      </c>
      <c r="BD60" s="533">
        <v>62.68</v>
      </c>
      <c r="BE60" s="533">
        <v>62.64</v>
      </c>
      <c r="BF60" s="533">
        <v>62.61</v>
      </c>
      <c r="BG60" s="533">
        <v>62.58</v>
      </c>
      <c r="BH60" s="533" t="s">
        <v>556</v>
      </c>
      <c r="BI60" s="533" t="s">
        <v>556</v>
      </c>
      <c r="BJ60" s="538" t="s">
        <v>556</v>
      </c>
      <c r="BK60" s="538" t="s">
        <v>556</v>
      </c>
    </row>
    <row r="61" spans="2:63" x14ac:dyDescent="0.25">
      <c r="B61" s="532">
        <v>72</v>
      </c>
      <c r="C61" s="533">
        <v>61.3</v>
      </c>
      <c r="D61" s="533">
        <v>61.27</v>
      </c>
      <c r="E61" s="533">
        <v>61.25</v>
      </c>
      <c r="F61" s="533">
        <v>61.23</v>
      </c>
      <c r="G61" s="533">
        <v>61.2</v>
      </c>
      <c r="H61" s="533">
        <v>61.18</v>
      </c>
      <c r="I61" s="533">
        <v>61.16</v>
      </c>
      <c r="J61" s="533">
        <v>61.13</v>
      </c>
      <c r="K61" s="533">
        <v>61.11</v>
      </c>
      <c r="L61" s="533">
        <v>61.09</v>
      </c>
      <c r="M61" s="533">
        <v>61.07</v>
      </c>
      <c r="N61" s="533">
        <v>61.05</v>
      </c>
      <c r="O61" s="533">
        <v>60.97</v>
      </c>
      <c r="P61" s="533">
        <v>60.91</v>
      </c>
      <c r="Q61" s="533">
        <v>60.85</v>
      </c>
      <c r="R61" s="533" t="s">
        <v>556</v>
      </c>
      <c r="S61" s="533" t="s">
        <v>556</v>
      </c>
      <c r="T61" s="534" t="s">
        <v>556</v>
      </c>
      <c r="U61" s="534" t="s">
        <v>556</v>
      </c>
      <c r="V61" s="531"/>
      <c r="W61" s="532">
        <v>72</v>
      </c>
      <c r="X61" s="533">
        <v>61.6</v>
      </c>
      <c r="Y61" s="533">
        <v>61.58</v>
      </c>
      <c r="Z61" s="533">
        <v>61.55</v>
      </c>
      <c r="AA61" s="533">
        <v>61.53</v>
      </c>
      <c r="AB61" s="533">
        <v>61.51</v>
      </c>
      <c r="AC61" s="533">
        <v>61.49</v>
      </c>
      <c r="AD61" s="533">
        <v>61.47</v>
      </c>
      <c r="AE61" s="533">
        <v>61.45</v>
      </c>
      <c r="AF61" s="533">
        <v>61.44</v>
      </c>
      <c r="AG61" s="533">
        <v>61.42</v>
      </c>
      <c r="AH61" s="533">
        <v>61.4</v>
      </c>
      <c r="AI61" s="533">
        <v>61.38</v>
      </c>
      <c r="AJ61" s="533">
        <v>61.31</v>
      </c>
      <c r="AK61" s="533">
        <v>61.26</v>
      </c>
      <c r="AL61" s="533">
        <v>61.21</v>
      </c>
      <c r="AM61" s="533" t="s">
        <v>556</v>
      </c>
      <c r="AN61" s="533" t="s">
        <v>556</v>
      </c>
      <c r="AO61" s="534" t="s">
        <v>556</v>
      </c>
      <c r="AP61" s="534" t="s">
        <v>556</v>
      </c>
      <c r="AQ61" s="531"/>
      <c r="AR61" s="532">
        <v>72</v>
      </c>
      <c r="AS61" s="533">
        <v>62.77</v>
      </c>
      <c r="AT61" s="533">
        <v>62.76</v>
      </c>
      <c r="AU61" s="533">
        <v>62.75</v>
      </c>
      <c r="AV61" s="533">
        <v>62.74</v>
      </c>
      <c r="AW61" s="533">
        <v>62.72</v>
      </c>
      <c r="AX61" s="533">
        <v>62.71</v>
      </c>
      <c r="AY61" s="533">
        <v>62.7</v>
      </c>
      <c r="AZ61" s="533">
        <v>62.69</v>
      </c>
      <c r="BA61" s="533">
        <v>62.68</v>
      </c>
      <c r="BB61" s="533">
        <v>62.67</v>
      </c>
      <c r="BC61" s="533">
        <v>62.66</v>
      </c>
      <c r="BD61" s="533">
        <v>62.65</v>
      </c>
      <c r="BE61" s="533">
        <v>62.61</v>
      </c>
      <c r="BF61" s="533">
        <v>62.57</v>
      </c>
      <c r="BG61" s="533">
        <v>62.54</v>
      </c>
      <c r="BH61" s="533" t="s">
        <v>556</v>
      </c>
      <c r="BI61" s="533" t="s">
        <v>556</v>
      </c>
      <c r="BJ61" s="538" t="s">
        <v>556</v>
      </c>
      <c r="BK61" s="538" t="s">
        <v>556</v>
      </c>
    </row>
    <row r="62" spans="2:63" x14ac:dyDescent="0.25">
      <c r="B62" s="532">
        <v>73</v>
      </c>
      <c r="C62" s="533">
        <v>61.25</v>
      </c>
      <c r="D62" s="533">
        <v>61.22</v>
      </c>
      <c r="E62" s="533">
        <v>61.2</v>
      </c>
      <c r="F62" s="533">
        <v>61.17</v>
      </c>
      <c r="G62" s="533">
        <v>61.14</v>
      </c>
      <c r="H62" s="533">
        <v>61.12</v>
      </c>
      <c r="I62" s="533">
        <v>61.1</v>
      </c>
      <c r="J62" s="533">
        <v>61.07</v>
      </c>
      <c r="K62" s="533">
        <v>61.05</v>
      </c>
      <c r="L62" s="533">
        <v>61.03</v>
      </c>
      <c r="M62" s="533">
        <v>61.01</v>
      </c>
      <c r="N62" s="533">
        <v>60.99</v>
      </c>
      <c r="O62" s="533">
        <v>60.9</v>
      </c>
      <c r="P62" s="533">
        <v>60.83</v>
      </c>
      <c r="Q62" s="533">
        <v>60.77</v>
      </c>
      <c r="R62" s="533" t="s">
        <v>556</v>
      </c>
      <c r="S62" s="533" t="s">
        <v>556</v>
      </c>
      <c r="T62" s="534" t="s">
        <v>556</v>
      </c>
      <c r="U62" s="534" t="s">
        <v>556</v>
      </c>
      <c r="V62" s="531"/>
      <c r="W62" s="532">
        <v>73</v>
      </c>
      <c r="X62" s="533">
        <v>61.55</v>
      </c>
      <c r="Y62" s="533">
        <v>61.53</v>
      </c>
      <c r="Z62" s="533">
        <v>61.51</v>
      </c>
      <c r="AA62" s="533">
        <v>61.49</v>
      </c>
      <c r="AB62" s="533">
        <v>61.46</v>
      </c>
      <c r="AC62" s="533">
        <v>61.44</v>
      </c>
      <c r="AD62" s="533">
        <v>61.42</v>
      </c>
      <c r="AE62" s="533">
        <v>61.4</v>
      </c>
      <c r="AF62" s="533">
        <v>61.38</v>
      </c>
      <c r="AG62" s="533">
        <v>61.36</v>
      </c>
      <c r="AH62" s="533">
        <v>61.34</v>
      </c>
      <c r="AI62" s="533">
        <v>61.33</v>
      </c>
      <c r="AJ62" s="533">
        <v>61.25</v>
      </c>
      <c r="AK62" s="533">
        <v>61.19</v>
      </c>
      <c r="AL62" s="533">
        <v>61.14</v>
      </c>
      <c r="AM62" s="533" t="s">
        <v>556</v>
      </c>
      <c r="AN62" s="533" t="s">
        <v>556</v>
      </c>
      <c r="AO62" s="534" t="s">
        <v>556</v>
      </c>
      <c r="AP62" s="534" t="s">
        <v>556</v>
      </c>
      <c r="AQ62" s="531"/>
      <c r="AR62" s="532">
        <v>73</v>
      </c>
      <c r="AS62" s="533">
        <v>62.75</v>
      </c>
      <c r="AT62" s="533">
        <v>62.73</v>
      </c>
      <c r="AU62" s="533">
        <v>62.72</v>
      </c>
      <c r="AV62" s="533">
        <v>62.71</v>
      </c>
      <c r="AW62" s="533">
        <v>62.7</v>
      </c>
      <c r="AX62" s="533">
        <v>62.68</v>
      </c>
      <c r="AY62" s="533">
        <v>62.67</v>
      </c>
      <c r="AZ62" s="533">
        <v>62.66</v>
      </c>
      <c r="BA62" s="533">
        <v>62.65</v>
      </c>
      <c r="BB62" s="533">
        <v>62.64</v>
      </c>
      <c r="BC62" s="533">
        <v>62.63</v>
      </c>
      <c r="BD62" s="533">
        <v>62.62</v>
      </c>
      <c r="BE62" s="533">
        <v>62.57</v>
      </c>
      <c r="BF62" s="533">
        <v>62.52</v>
      </c>
      <c r="BG62" s="533">
        <v>62.49</v>
      </c>
      <c r="BH62" s="533" t="s">
        <v>556</v>
      </c>
      <c r="BI62" s="533" t="s">
        <v>556</v>
      </c>
      <c r="BJ62" s="538" t="s">
        <v>556</v>
      </c>
      <c r="BK62" s="538" t="s">
        <v>556</v>
      </c>
    </row>
    <row r="63" spans="2:63" x14ac:dyDescent="0.25">
      <c r="B63" s="532">
        <v>74</v>
      </c>
      <c r="C63" s="533">
        <v>61.2</v>
      </c>
      <c r="D63" s="533">
        <v>61.17</v>
      </c>
      <c r="E63" s="533">
        <v>61.14</v>
      </c>
      <c r="F63" s="533">
        <v>61.11</v>
      </c>
      <c r="G63" s="533">
        <v>61.08</v>
      </c>
      <c r="H63" s="533">
        <v>61.06</v>
      </c>
      <c r="I63" s="533">
        <v>61.03</v>
      </c>
      <c r="J63" s="533">
        <v>61.01</v>
      </c>
      <c r="K63" s="533">
        <v>60.98</v>
      </c>
      <c r="L63" s="533">
        <v>60.96</v>
      </c>
      <c r="M63" s="533">
        <v>60.94</v>
      </c>
      <c r="N63" s="533">
        <v>60.91</v>
      </c>
      <c r="O63" s="533">
        <v>60.82</v>
      </c>
      <c r="P63" s="533">
        <v>60.74</v>
      </c>
      <c r="Q63" s="533">
        <v>60.67</v>
      </c>
      <c r="R63" s="533" t="s">
        <v>556</v>
      </c>
      <c r="S63" s="533" t="s">
        <v>556</v>
      </c>
      <c r="T63" s="534" t="s">
        <v>556</v>
      </c>
      <c r="U63" s="534" t="s">
        <v>556</v>
      </c>
      <c r="V63" s="531"/>
      <c r="W63" s="532">
        <v>74</v>
      </c>
      <c r="X63" s="533">
        <v>61.51</v>
      </c>
      <c r="Y63" s="533">
        <v>61.48</v>
      </c>
      <c r="Z63" s="533">
        <v>61.46</v>
      </c>
      <c r="AA63" s="533">
        <v>61.43</v>
      </c>
      <c r="AB63" s="533">
        <v>61.41</v>
      </c>
      <c r="AC63" s="533">
        <v>61.39</v>
      </c>
      <c r="AD63" s="533">
        <v>61.36</v>
      </c>
      <c r="AE63" s="533">
        <v>61.34</v>
      </c>
      <c r="AF63" s="533">
        <v>61.32</v>
      </c>
      <c r="AG63" s="533">
        <v>61.3</v>
      </c>
      <c r="AH63" s="533">
        <v>61.28</v>
      </c>
      <c r="AI63" s="533">
        <v>61.26</v>
      </c>
      <c r="AJ63" s="533">
        <v>61.18</v>
      </c>
      <c r="AK63" s="533">
        <v>61.11</v>
      </c>
      <c r="AL63" s="533">
        <v>61.06</v>
      </c>
      <c r="AM63" s="533" t="s">
        <v>556</v>
      </c>
      <c r="AN63" s="533" t="s">
        <v>556</v>
      </c>
      <c r="AO63" s="534" t="s">
        <v>556</v>
      </c>
      <c r="AP63" s="534" t="s">
        <v>556</v>
      </c>
      <c r="AQ63" s="531"/>
      <c r="AR63" s="532">
        <v>74</v>
      </c>
      <c r="AS63" s="533">
        <v>62.72</v>
      </c>
      <c r="AT63" s="533">
        <v>62.71</v>
      </c>
      <c r="AU63" s="533">
        <v>62.69</v>
      </c>
      <c r="AV63" s="533">
        <v>62.68</v>
      </c>
      <c r="AW63" s="533">
        <v>62.67</v>
      </c>
      <c r="AX63" s="533">
        <v>62.65</v>
      </c>
      <c r="AY63" s="533">
        <v>62.64</v>
      </c>
      <c r="AZ63" s="533">
        <v>62.63</v>
      </c>
      <c r="BA63" s="533">
        <v>62.61</v>
      </c>
      <c r="BB63" s="533">
        <v>62.6</v>
      </c>
      <c r="BC63" s="533">
        <v>62.59</v>
      </c>
      <c r="BD63" s="533">
        <v>62.58</v>
      </c>
      <c r="BE63" s="533">
        <v>62.52</v>
      </c>
      <c r="BF63" s="533">
        <v>62.48</v>
      </c>
      <c r="BG63" s="533">
        <v>62.43</v>
      </c>
      <c r="BH63" s="533" t="s">
        <v>556</v>
      </c>
      <c r="BI63" s="533" t="s">
        <v>556</v>
      </c>
      <c r="BJ63" s="538" t="s">
        <v>556</v>
      </c>
      <c r="BK63" s="538" t="s">
        <v>556</v>
      </c>
    </row>
    <row r="64" spans="2:63" x14ac:dyDescent="0.25">
      <c r="B64" s="532">
        <v>75</v>
      </c>
      <c r="C64" s="533">
        <v>61.14</v>
      </c>
      <c r="D64" s="533">
        <v>61.11</v>
      </c>
      <c r="E64" s="533">
        <v>61.08</v>
      </c>
      <c r="F64" s="533">
        <v>61.05</v>
      </c>
      <c r="G64" s="533">
        <v>61.02</v>
      </c>
      <c r="H64" s="533">
        <v>60.99</v>
      </c>
      <c r="I64" s="533">
        <v>60.96</v>
      </c>
      <c r="J64" s="533">
        <v>60.94</v>
      </c>
      <c r="K64" s="533">
        <v>60.91</v>
      </c>
      <c r="L64" s="533">
        <v>60.89</v>
      </c>
      <c r="M64" s="533">
        <v>60.86</v>
      </c>
      <c r="N64" s="533">
        <v>60.84</v>
      </c>
      <c r="O64" s="533">
        <v>60.73</v>
      </c>
      <c r="P64" s="533">
        <v>60.65</v>
      </c>
      <c r="Q64" s="533" t="s">
        <v>556</v>
      </c>
      <c r="R64" s="533" t="s">
        <v>556</v>
      </c>
      <c r="S64" s="533" t="s">
        <v>556</v>
      </c>
      <c r="T64" s="534" t="s">
        <v>556</v>
      </c>
      <c r="U64" s="534" t="s">
        <v>556</v>
      </c>
      <c r="V64" s="531"/>
      <c r="W64" s="532">
        <v>75</v>
      </c>
      <c r="X64" s="533">
        <v>61.46</v>
      </c>
      <c r="Y64" s="533">
        <v>61.43</v>
      </c>
      <c r="Z64" s="533">
        <v>61.4</v>
      </c>
      <c r="AA64" s="533">
        <v>61.38</v>
      </c>
      <c r="AB64" s="533">
        <v>61.35</v>
      </c>
      <c r="AC64" s="533">
        <v>61.33</v>
      </c>
      <c r="AD64" s="533">
        <v>61.3</v>
      </c>
      <c r="AE64" s="533">
        <v>61.28</v>
      </c>
      <c r="AF64" s="533">
        <v>61.26</v>
      </c>
      <c r="AG64" s="533">
        <v>61.24</v>
      </c>
      <c r="AH64" s="533">
        <v>61.22</v>
      </c>
      <c r="AI64" s="533">
        <v>61.19</v>
      </c>
      <c r="AJ64" s="533">
        <v>61.1</v>
      </c>
      <c r="AK64" s="533">
        <v>61.03</v>
      </c>
      <c r="AL64" s="533" t="s">
        <v>556</v>
      </c>
      <c r="AM64" s="533" t="s">
        <v>556</v>
      </c>
      <c r="AN64" s="533" t="s">
        <v>556</v>
      </c>
      <c r="AO64" s="534" t="s">
        <v>556</v>
      </c>
      <c r="AP64" s="534" t="s">
        <v>556</v>
      </c>
      <c r="AQ64" s="531"/>
      <c r="AR64" s="532">
        <v>75</v>
      </c>
      <c r="AS64" s="533">
        <v>62.69</v>
      </c>
      <c r="AT64" s="533">
        <v>62.68</v>
      </c>
      <c r="AU64" s="533">
        <v>62.66</v>
      </c>
      <c r="AV64" s="533">
        <v>62.65</v>
      </c>
      <c r="AW64" s="533">
        <v>62.63</v>
      </c>
      <c r="AX64" s="533">
        <v>62.62</v>
      </c>
      <c r="AY64" s="533">
        <v>62.6</v>
      </c>
      <c r="AZ64" s="533">
        <v>62.59</v>
      </c>
      <c r="BA64" s="533">
        <v>62.58</v>
      </c>
      <c r="BB64" s="533">
        <v>62.56</v>
      </c>
      <c r="BC64" s="533">
        <v>62.55</v>
      </c>
      <c r="BD64" s="533">
        <v>62.54</v>
      </c>
      <c r="BE64" s="533">
        <v>62.48</v>
      </c>
      <c r="BF64" s="533">
        <v>62.42</v>
      </c>
      <c r="BG64" s="533" t="s">
        <v>556</v>
      </c>
      <c r="BH64" s="533" t="s">
        <v>556</v>
      </c>
      <c r="BI64" s="533" t="s">
        <v>556</v>
      </c>
      <c r="BJ64" s="538" t="s">
        <v>556</v>
      </c>
      <c r="BK64" s="538" t="s">
        <v>556</v>
      </c>
    </row>
    <row r="65" spans="2:63" x14ac:dyDescent="0.25">
      <c r="B65" s="532">
        <v>76</v>
      </c>
      <c r="C65" s="533">
        <v>61.08</v>
      </c>
      <c r="D65" s="533">
        <v>61.04</v>
      </c>
      <c r="E65" s="533">
        <v>61.01</v>
      </c>
      <c r="F65" s="533">
        <v>60.98</v>
      </c>
      <c r="G65" s="533">
        <v>60.95</v>
      </c>
      <c r="H65" s="533">
        <v>60.92</v>
      </c>
      <c r="I65" s="533">
        <v>60.89</v>
      </c>
      <c r="J65" s="533">
        <v>60.86</v>
      </c>
      <c r="K65" s="533">
        <v>60.83</v>
      </c>
      <c r="L65" s="533">
        <v>60.81</v>
      </c>
      <c r="M65" s="533">
        <v>60.78</v>
      </c>
      <c r="N65" s="533">
        <v>60.76</v>
      </c>
      <c r="O65" s="533">
        <v>60.64</v>
      </c>
      <c r="P65" s="533">
        <v>60.55</v>
      </c>
      <c r="Q65" s="533" t="s">
        <v>556</v>
      </c>
      <c r="R65" s="533" t="s">
        <v>556</v>
      </c>
      <c r="S65" s="533" t="s">
        <v>556</v>
      </c>
      <c r="T65" s="534" t="s">
        <v>556</v>
      </c>
      <c r="U65" s="534" t="s">
        <v>556</v>
      </c>
      <c r="V65" s="531"/>
      <c r="W65" s="532">
        <v>76</v>
      </c>
      <c r="X65" s="533">
        <v>61.4</v>
      </c>
      <c r="Y65" s="533">
        <v>61.37</v>
      </c>
      <c r="Z65" s="533">
        <v>61.35</v>
      </c>
      <c r="AA65" s="533">
        <v>61.32</v>
      </c>
      <c r="AB65" s="533">
        <v>61.29</v>
      </c>
      <c r="AC65" s="533">
        <v>61.27</v>
      </c>
      <c r="AD65" s="533">
        <v>61.24</v>
      </c>
      <c r="AE65" s="533">
        <v>61.21</v>
      </c>
      <c r="AF65" s="533">
        <v>61.19</v>
      </c>
      <c r="AG65" s="533">
        <v>61.17</v>
      </c>
      <c r="AH65" s="533">
        <v>61.14</v>
      </c>
      <c r="AI65" s="533">
        <v>61.12</v>
      </c>
      <c r="AJ65" s="533">
        <v>61.03</v>
      </c>
      <c r="AK65" s="533">
        <v>60.94</v>
      </c>
      <c r="AL65" s="533" t="s">
        <v>556</v>
      </c>
      <c r="AM65" s="533" t="s">
        <v>556</v>
      </c>
      <c r="AN65" s="533" t="s">
        <v>556</v>
      </c>
      <c r="AO65" s="534" t="s">
        <v>556</v>
      </c>
      <c r="AP65" s="534" t="s">
        <v>556</v>
      </c>
      <c r="AQ65" s="531"/>
      <c r="AR65" s="532">
        <v>76</v>
      </c>
      <c r="AS65" s="533">
        <v>62.66</v>
      </c>
      <c r="AT65" s="533">
        <v>62.65</v>
      </c>
      <c r="AU65" s="533">
        <v>62.63</v>
      </c>
      <c r="AV65" s="533">
        <v>62.61</v>
      </c>
      <c r="AW65" s="533">
        <v>62.6</v>
      </c>
      <c r="AX65" s="533">
        <v>62.58</v>
      </c>
      <c r="AY65" s="533">
        <v>62.57</v>
      </c>
      <c r="AZ65" s="533">
        <v>62.55</v>
      </c>
      <c r="BA65" s="533">
        <v>62.54</v>
      </c>
      <c r="BB65" s="533">
        <v>62.52</v>
      </c>
      <c r="BC65" s="533">
        <v>62.51</v>
      </c>
      <c r="BD65" s="533">
        <v>62.49</v>
      </c>
      <c r="BE65" s="533">
        <v>62.43</v>
      </c>
      <c r="BF65" s="533">
        <v>62.37</v>
      </c>
      <c r="BG65" s="533" t="s">
        <v>556</v>
      </c>
      <c r="BH65" s="533" t="s">
        <v>556</v>
      </c>
      <c r="BI65" s="533" t="s">
        <v>556</v>
      </c>
      <c r="BJ65" s="538" t="s">
        <v>556</v>
      </c>
      <c r="BK65" s="538" t="s">
        <v>556</v>
      </c>
    </row>
    <row r="66" spans="2:63" x14ac:dyDescent="0.25">
      <c r="B66" s="532">
        <v>77</v>
      </c>
      <c r="C66" s="533">
        <v>61.01</v>
      </c>
      <c r="D66" s="533">
        <v>60.98</v>
      </c>
      <c r="E66" s="533">
        <v>60.94</v>
      </c>
      <c r="F66" s="533">
        <v>60.91</v>
      </c>
      <c r="G66" s="533">
        <v>60.87</v>
      </c>
      <c r="H66" s="533">
        <v>60.84</v>
      </c>
      <c r="I66" s="533">
        <v>60.81</v>
      </c>
      <c r="J66" s="533">
        <v>60.78</v>
      </c>
      <c r="K66" s="533">
        <v>60.75</v>
      </c>
      <c r="L66" s="533">
        <v>60.72</v>
      </c>
      <c r="M66" s="533">
        <v>60.69</v>
      </c>
      <c r="N66" s="533">
        <v>60.67</v>
      </c>
      <c r="O66" s="533">
        <v>60.55</v>
      </c>
      <c r="P66" s="533">
        <v>60.44</v>
      </c>
      <c r="Q66" s="533" t="s">
        <v>556</v>
      </c>
      <c r="R66" s="533" t="s">
        <v>556</v>
      </c>
      <c r="S66" s="533" t="s">
        <v>556</v>
      </c>
      <c r="T66" s="534" t="s">
        <v>556</v>
      </c>
      <c r="U66" s="534" t="s">
        <v>556</v>
      </c>
      <c r="V66" s="531"/>
      <c r="W66" s="532">
        <v>77</v>
      </c>
      <c r="X66" s="533">
        <v>61.35</v>
      </c>
      <c r="Y66" s="533">
        <v>61.32</v>
      </c>
      <c r="Z66" s="533">
        <v>61.29</v>
      </c>
      <c r="AA66" s="533">
        <v>61.26</v>
      </c>
      <c r="AB66" s="533">
        <v>61.23</v>
      </c>
      <c r="AC66" s="533">
        <v>61.2</v>
      </c>
      <c r="AD66" s="533">
        <v>61.17</v>
      </c>
      <c r="AE66" s="533">
        <v>61.14</v>
      </c>
      <c r="AF66" s="533">
        <v>61.12</v>
      </c>
      <c r="AG66" s="533">
        <v>61.09</v>
      </c>
      <c r="AH66" s="533">
        <v>61.07</v>
      </c>
      <c r="AI66" s="533">
        <v>61.05</v>
      </c>
      <c r="AJ66" s="533">
        <v>60.94</v>
      </c>
      <c r="AK66" s="533">
        <v>60.85</v>
      </c>
      <c r="AL66" s="533" t="s">
        <v>556</v>
      </c>
      <c r="AM66" s="533" t="s">
        <v>556</v>
      </c>
      <c r="AN66" s="533" t="s">
        <v>556</v>
      </c>
      <c r="AO66" s="534" t="s">
        <v>556</v>
      </c>
      <c r="AP66" s="534" t="s">
        <v>556</v>
      </c>
      <c r="AQ66" s="531"/>
      <c r="AR66" s="532">
        <v>77</v>
      </c>
      <c r="AS66" s="533">
        <v>62.63</v>
      </c>
      <c r="AT66" s="533">
        <v>62.61</v>
      </c>
      <c r="AU66" s="533">
        <v>62.59</v>
      </c>
      <c r="AV66" s="533">
        <v>62.58</v>
      </c>
      <c r="AW66" s="533">
        <v>62.56</v>
      </c>
      <c r="AX66" s="533">
        <v>62.54</v>
      </c>
      <c r="AY66" s="533">
        <v>62.52</v>
      </c>
      <c r="AZ66" s="533">
        <v>62.51</v>
      </c>
      <c r="BA66" s="533">
        <v>62.49</v>
      </c>
      <c r="BB66" s="533">
        <v>62.48</v>
      </c>
      <c r="BC66" s="533">
        <v>62.46</v>
      </c>
      <c r="BD66" s="533">
        <v>62.44</v>
      </c>
      <c r="BE66" s="533">
        <v>62.37</v>
      </c>
      <c r="BF66" s="533">
        <v>62.3</v>
      </c>
      <c r="BG66" s="533" t="s">
        <v>556</v>
      </c>
      <c r="BH66" s="533" t="s">
        <v>556</v>
      </c>
      <c r="BI66" s="533" t="s">
        <v>556</v>
      </c>
      <c r="BJ66" s="538" t="s">
        <v>556</v>
      </c>
      <c r="BK66" s="538" t="s">
        <v>556</v>
      </c>
    </row>
    <row r="67" spans="2:63" x14ac:dyDescent="0.25">
      <c r="B67" s="532">
        <v>78</v>
      </c>
      <c r="C67" s="533">
        <v>60.94</v>
      </c>
      <c r="D67" s="533">
        <v>60.9</v>
      </c>
      <c r="E67" s="533">
        <v>60.87</v>
      </c>
      <c r="F67" s="533">
        <v>60.83</v>
      </c>
      <c r="G67" s="533">
        <v>60.8</v>
      </c>
      <c r="H67" s="533">
        <v>60.76</v>
      </c>
      <c r="I67" s="533">
        <v>60.73</v>
      </c>
      <c r="J67" s="533">
        <v>60.7</v>
      </c>
      <c r="K67" s="533">
        <v>60.66</v>
      </c>
      <c r="L67" s="533">
        <v>60.63</v>
      </c>
      <c r="M67" s="533">
        <v>60.6</v>
      </c>
      <c r="N67" s="533">
        <v>60.57</v>
      </c>
      <c r="O67" s="533">
        <v>60.44</v>
      </c>
      <c r="P67" s="533">
        <v>60.33</v>
      </c>
      <c r="Q67" s="533" t="s">
        <v>556</v>
      </c>
      <c r="R67" s="533" t="s">
        <v>556</v>
      </c>
      <c r="S67" s="533" t="s">
        <v>556</v>
      </c>
      <c r="T67" s="534" t="s">
        <v>556</v>
      </c>
      <c r="U67" s="534" t="s">
        <v>556</v>
      </c>
      <c r="V67" s="531"/>
      <c r="W67" s="532">
        <v>78</v>
      </c>
      <c r="X67" s="533">
        <v>61.28</v>
      </c>
      <c r="Y67" s="533">
        <v>61.25</v>
      </c>
      <c r="Z67" s="533">
        <v>61.22</v>
      </c>
      <c r="AA67" s="533">
        <v>61.19</v>
      </c>
      <c r="AB67" s="533">
        <v>61.16</v>
      </c>
      <c r="AC67" s="533">
        <v>61.13</v>
      </c>
      <c r="AD67" s="533">
        <v>61.1</v>
      </c>
      <c r="AE67" s="533">
        <v>61.07</v>
      </c>
      <c r="AF67" s="533">
        <v>61.04</v>
      </c>
      <c r="AG67" s="533">
        <v>61.02</v>
      </c>
      <c r="AH67" s="533">
        <v>60.99</v>
      </c>
      <c r="AI67" s="533">
        <v>60.96</v>
      </c>
      <c r="AJ67" s="533">
        <v>60.85</v>
      </c>
      <c r="AK67" s="533">
        <v>60.75</v>
      </c>
      <c r="AL67" s="533" t="s">
        <v>556</v>
      </c>
      <c r="AM67" s="533" t="s">
        <v>556</v>
      </c>
      <c r="AN67" s="533" t="s">
        <v>556</v>
      </c>
      <c r="AO67" s="534" t="s">
        <v>556</v>
      </c>
      <c r="AP67" s="534" t="s">
        <v>556</v>
      </c>
      <c r="AQ67" s="531"/>
      <c r="AR67" s="532">
        <v>78</v>
      </c>
      <c r="AS67" s="533">
        <v>62.59</v>
      </c>
      <c r="AT67" s="533">
        <v>62.57</v>
      </c>
      <c r="AU67" s="533">
        <v>62.55</v>
      </c>
      <c r="AV67" s="533">
        <v>62.53</v>
      </c>
      <c r="AW67" s="533">
        <v>62.52</v>
      </c>
      <c r="AX67" s="533">
        <v>62.5</v>
      </c>
      <c r="AY67" s="533">
        <v>62.48</v>
      </c>
      <c r="AZ67" s="533">
        <v>62.46</v>
      </c>
      <c r="BA67" s="533">
        <v>62.44</v>
      </c>
      <c r="BB67" s="533">
        <v>62.43</v>
      </c>
      <c r="BC67" s="533">
        <v>62.41</v>
      </c>
      <c r="BD67" s="533">
        <v>62.39</v>
      </c>
      <c r="BE67" s="533">
        <v>62.31</v>
      </c>
      <c r="BF67" s="533">
        <v>62.23</v>
      </c>
      <c r="BG67" s="533" t="s">
        <v>556</v>
      </c>
      <c r="BH67" s="533" t="s">
        <v>556</v>
      </c>
      <c r="BI67" s="533" t="s">
        <v>556</v>
      </c>
      <c r="BJ67" s="538" t="s">
        <v>556</v>
      </c>
      <c r="BK67" s="538" t="s">
        <v>556</v>
      </c>
    </row>
    <row r="68" spans="2:63" x14ac:dyDescent="0.25">
      <c r="B68" s="532">
        <v>79</v>
      </c>
      <c r="C68" s="533">
        <v>60.87</v>
      </c>
      <c r="D68" s="533">
        <v>60.83</v>
      </c>
      <c r="E68" s="533">
        <v>60.79</v>
      </c>
      <c r="F68" s="533">
        <v>60.75</v>
      </c>
      <c r="G68" s="533">
        <v>60.71</v>
      </c>
      <c r="H68" s="533">
        <v>60.67</v>
      </c>
      <c r="I68" s="533">
        <v>60.64</v>
      </c>
      <c r="J68" s="533">
        <v>60.6</v>
      </c>
      <c r="K68" s="533">
        <v>60.57</v>
      </c>
      <c r="L68" s="533">
        <v>60.54</v>
      </c>
      <c r="M68" s="533">
        <v>60.51</v>
      </c>
      <c r="N68" s="533">
        <v>60.48</v>
      </c>
      <c r="O68" s="533">
        <v>60.33</v>
      </c>
      <c r="P68" s="533">
        <v>60.2</v>
      </c>
      <c r="Q68" s="533" t="s">
        <v>556</v>
      </c>
      <c r="R68" s="533" t="s">
        <v>556</v>
      </c>
      <c r="S68" s="533" t="s">
        <v>556</v>
      </c>
      <c r="T68" s="534" t="s">
        <v>556</v>
      </c>
      <c r="U68" s="534" t="s">
        <v>556</v>
      </c>
      <c r="V68" s="531"/>
      <c r="W68" s="532">
        <v>79</v>
      </c>
      <c r="X68" s="533">
        <v>61.22</v>
      </c>
      <c r="Y68" s="533">
        <v>61.18</v>
      </c>
      <c r="Z68" s="533">
        <v>61.15</v>
      </c>
      <c r="AA68" s="533">
        <v>61.12</v>
      </c>
      <c r="AB68" s="533">
        <v>61.08</v>
      </c>
      <c r="AC68" s="533">
        <v>61.05</v>
      </c>
      <c r="AD68" s="533">
        <v>61.02</v>
      </c>
      <c r="AE68" s="533">
        <v>60.99</v>
      </c>
      <c r="AF68" s="533">
        <v>60.96</v>
      </c>
      <c r="AG68" s="533">
        <v>60.93</v>
      </c>
      <c r="AH68" s="533">
        <v>60.9</v>
      </c>
      <c r="AI68" s="533">
        <v>60.88</v>
      </c>
      <c r="AJ68" s="533">
        <v>60.75</v>
      </c>
      <c r="AK68" s="533">
        <v>60.64</v>
      </c>
      <c r="AL68" s="533" t="s">
        <v>556</v>
      </c>
      <c r="AM68" s="533" t="s">
        <v>556</v>
      </c>
      <c r="AN68" s="533" t="s">
        <v>556</v>
      </c>
      <c r="AO68" s="534" t="s">
        <v>556</v>
      </c>
      <c r="AP68" s="534" t="s">
        <v>556</v>
      </c>
      <c r="AQ68" s="531"/>
      <c r="AR68" s="532">
        <v>79</v>
      </c>
      <c r="AS68" s="533">
        <v>62.55</v>
      </c>
      <c r="AT68" s="533">
        <v>62.53</v>
      </c>
      <c r="AU68" s="533">
        <v>62.51</v>
      </c>
      <c r="AV68" s="533">
        <v>62.49</v>
      </c>
      <c r="AW68" s="533">
        <v>62.47</v>
      </c>
      <c r="AX68" s="533">
        <v>62.45</v>
      </c>
      <c r="AY68" s="533">
        <v>62.43</v>
      </c>
      <c r="AZ68" s="533">
        <v>62.41</v>
      </c>
      <c r="BA68" s="533">
        <v>62.39</v>
      </c>
      <c r="BB68" s="533">
        <v>62.37</v>
      </c>
      <c r="BC68" s="533">
        <v>62.35</v>
      </c>
      <c r="BD68" s="533">
        <v>62.34</v>
      </c>
      <c r="BE68" s="533">
        <v>62.25</v>
      </c>
      <c r="BF68" s="533">
        <v>62.16</v>
      </c>
      <c r="BG68" s="533" t="s">
        <v>556</v>
      </c>
      <c r="BH68" s="533" t="s">
        <v>556</v>
      </c>
      <c r="BI68" s="533" t="s">
        <v>556</v>
      </c>
      <c r="BJ68" s="538" t="s">
        <v>556</v>
      </c>
      <c r="BK68" s="538" t="s">
        <v>556</v>
      </c>
    </row>
    <row r="69" spans="2:63" x14ac:dyDescent="0.25">
      <c r="B69" s="532">
        <v>80</v>
      </c>
      <c r="C69" s="533">
        <v>60.79</v>
      </c>
      <c r="D69" s="533">
        <v>60.74</v>
      </c>
      <c r="E69" s="533">
        <v>60.7</v>
      </c>
      <c r="F69" s="533">
        <v>60.66</v>
      </c>
      <c r="G69" s="533">
        <v>60.62</v>
      </c>
      <c r="H69" s="533">
        <v>60.58</v>
      </c>
      <c r="I69" s="533">
        <v>60.55</v>
      </c>
      <c r="J69" s="533">
        <v>60.51</v>
      </c>
      <c r="K69" s="533">
        <v>60.47</v>
      </c>
      <c r="L69" s="533">
        <v>60.44</v>
      </c>
      <c r="M69" s="533">
        <v>60.4</v>
      </c>
      <c r="N69" s="533">
        <v>60.37</v>
      </c>
      <c r="O69" s="533">
        <v>60.21</v>
      </c>
      <c r="P69" s="533" t="s">
        <v>556</v>
      </c>
      <c r="Q69" s="533" t="s">
        <v>556</v>
      </c>
      <c r="R69" s="533" t="s">
        <v>556</v>
      </c>
      <c r="S69" s="533" t="s">
        <v>556</v>
      </c>
      <c r="T69" s="534" t="s">
        <v>556</v>
      </c>
      <c r="U69" s="534" t="s">
        <v>556</v>
      </c>
      <c r="V69" s="531"/>
      <c r="W69" s="532">
        <v>80</v>
      </c>
      <c r="X69" s="533">
        <v>61.15</v>
      </c>
      <c r="Y69" s="533">
        <v>61.11</v>
      </c>
      <c r="Z69" s="533">
        <v>61.08</v>
      </c>
      <c r="AA69" s="533">
        <v>61.04</v>
      </c>
      <c r="AB69" s="533">
        <v>61</v>
      </c>
      <c r="AC69" s="533">
        <v>60.97</v>
      </c>
      <c r="AD69" s="533">
        <v>60.94</v>
      </c>
      <c r="AE69" s="533">
        <v>60.91</v>
      </c>
      <c r="AF69" s="533">
        <v>60.87</v>
      </c>
      <c r="AG69" s="533">
        <v>60.84</v>
      </c>
      <c r="AH69" s="533">
        <v>60.81</v>
      </c>
      <c r="AI69" s="533">
        <v>60.78</v>
      </c>
      <c r="AJ69" s="533">
        <v>60.65</v>
      </c>
      <c r="AK69" s="533" t="s">
        <v>556</v>
      </c>
      <c r="AL69" s="533" t="s">
        <v>556</v>
      </c>
      <c r="AM69" s="533" t="s">
        <v>556</v>
      </c>
      <c r="AN69" s="533" t="s">
        <v>556</v>
      </c>
      <c r="AO69" s="534" t="s">
        <v>556</v>
      </c>
      <c r="AP69" s="534" t="s">
        <v>556</v>
      </c>
      <c r="AQ69" s="531"/>
      <c r="AR69" s="532">
        <v>80</v>
      </c>
      <c r="AS69" s="533">
        <v>62.51</v>
      </c>
      <c r="AT69" s="533">
        <v>62.49</v>
      </c>
      <c r="AU69" s="533">
        <v>62.47</v>
      </c>
      <c r="AV69" s="533">
        <v>62.44</v>
      </c>
      <c r="AW69" s="533">
        <v>62.42</v>
      </c>
      <c r="AX69" s="533">
        <v>62.4</v>
      </c>
      <c r="AY69" s="533">
        <v>62.38</v>
      </c>
      <c r="AZ69" s="533">
        <v>62.36</v>
      </c>
      <c r="BA69" s="533">
        <v>62.34</v>
      </c>
      <c r="BB69" s="533">
        <v>62.32</v>
      </c>
      <c r="BC69" s="533">
        <v>62.3</v>
      </c>
      <c r="BD69" s="533">
        <v>62.28</v>
      </c>
      <c r="BE69" s="533">
        <v>62.18</v>
      </c>
      <c r="BF69" s="533" t="s">
        <v>556</v>
      </c>
      <c r="BG69" s="533" t="s">
        <v>556</v>
      </c>
      <c r="BH69" s="533" t="s">
        <v>556</v>
      </c>
      <c r="BI69" s="533" t="s">
        <v>556</v>
      </c>
      <c r="BJ69" s="538" t="s">
        <v>556</v>
      </c>
      <c r="BK69" s="538" t="s">
        <v>556</v>
      </c>
    </row>
    <row r="70" spans="2:63" x14ac:dyDescent="0.25">
      <c r="B70" s="532">
        <v>81</v>
      </c>
      <c r="C70" s="533">
        <v>60.7</v>
      </c>
      <c r="D70" s="533">
        <v>60.66</v>
      </c>
      <c r="E70" s="533">
        <v>60.61</v>
      </c>
      <c r="F70" s="533">
        <v>60.57</v>
      </c>
      <c r="G70" s="533">
        <v>60.53</v>
      </c>
      <c r="H70" s="533">
        <v>60.49</v>
      </c>
      <c r="I70" s="533">
        <v>60.44</v>
      </c>
      <c r="J70" s="533">
        <v>60.41</v>
      </c>
      <c r="K70" s="533">
        <v>60.37</v>
      </c>
      <c r="L70" s="533">
        <v>60.33</v>
      </c>
      <c r="M70" s="533">
        <v>60.29</v>
      </c>
      <c r="N70" s="533">
        <v>60.26</v>
      </c>
      <c r="O70" s="533">
        <v>60.09</v>
      </c>
      <c r="P70" s="533" t="s">
        <v>556</v>
      </c>
      <c r="Q70" s="533" t="s">
        <v>556</v>
      </c>
      <c r="R70" s="533" t="s">
        <v>556</v>
      </c>
      <c r="S70" s="533" t="s">
        <v>556</v>
      </c>
      <c r="T70" s="534" t="s">
        <v>556</v>
      </c>
      <c r="U70" s="534" t="s">
        <v>556</v>
      </c>
      <c r="V70" s="531"/>
      <c r="W70" s="532">
        <v>81</v>
      </c>
      <c r="X70" s="533">
        <v>61.08</v>
      </c>
      <c r="Y70" s="533">
        <v>61.04</v>
      </c>
      <c r="Z70" s="533">
        <v>61</v>
      </c>
      <c r="AA70" s="533">
        <v>60.96</v>
      </c>
      <c r="AB70" s="533">
        <v>60.92</v>
      </c>
      <c r="AC70" s="533">
        <v>60.88</v>
      </c>
      <c r="AD70" s="533">
        <v>60.85</v>
      </c>
      <c r="AE70" s="533">
        <v>60.81</v>
      </c>
      <c r="AF70" s="533">
        <v>60.78</v>
      </c>
      <c r="AG70" s="533">
        <v>60.75</v>
      </c>
      <c r="AH70" s="533">
        <v>60.72</v>
      </c>
      <c r="AI70" s="533">
        <v>60.68</v>
      </c>
      <c r="AJ70" s="533">
        <v>60.54</v>
      </c>
      <c r="AK70" s="533" t="s">
        <v>556</v>
      </c>
      <c r="AL70" s="533" t="s">
        <v>556</v>
      </c>
      <c r="AM70" s="533" t="s">
        <v>556</v>
      </c>
      <c r="AN70" s="533" t="s">
        <v>556</v>
      </c>
      <c r="AO70" s="534" t="s">
        <v>556</v>
      </c>
      <c r="AP70" s="534" t="s">
        <v>556</v>
      </c>
      <c r="AQ70" s="531"/>
      <c r="AR70" s="532">
        <v>81</v>
      </c>
      <c r="AS70" s="533">
        <v>62.47</v>
      </c>
      <c r="AT70" s="533">
        <v>62.44</v>
      </c>
      <c r="AU70" s="533">
        <v>62.42</v>
      </c>
      <c r="AV70" s="533">
        <v>62.39</v>
      </c>
      <c r="AW70" s="533">
        <v>62.37</v>
      </c>
      <c r="AX70" s="533">
        <v>62.35</v>
      </c>
      <c r="AY70" s="533">
        <v>62.32</v>
      </c>
      <c r="AZ70" s="533">
        <v>62.3</v>
      </c>
      <c r="BA70" s="533">
        <v>62.28</v>
      </c>
      <c r="BB70" s="533">
        <v>62.25</v>
      </c>
      <c r="BC70" s="533">
        <v>62.23</v>
      </c>
      <c r="BD70" s="533">
        <v>62.21</v>
      </c>
      <c r="BE70" s="533">
        <v>62.1</v>
      </c>
      <c r="BF70" s="533" t="s">
        <v>556</v>
      </c>
      <c r="BG70" s="533" t="s">
        <v>556</v>
      </c>
      <c r="BH70" s="533" t="s">
        <v>556</v>
      </c>
      <c r="BI70" s="533" t="s">
        <v>556</v>
      </c>
      <c r="BJ70" s="538" t="s">
        <v>556</v>
      </c>
      <c r="BK70" s="538" t="s">
        <v>556</v>
      </c>
    </row>
    <row r="71" spans="2:63" x14ac:dyDescent="0.25">
      <c r="B71" s="532">
        <v>82</v>
      </c>
      <c r="C71" s="533">
        <v>60.61</v>
      </c>
      <c r="D71" s="533">
        <v>60.56</v>
      </c>
      <c r="E71" s="533">
        <v>60.52</v>
      </c>
      <c r="F71" s="533">
        <v>60.47</v>
      </c>
      <c r="G71" s="533">
        <v>60.43</v>
      </c>
      <c r="H71" s="533">
        <v>60.38</v>
      </c>
      <c r="I71" s="533">
        <v>60.34</v>
      </c>
      <c r="J71" s="533">
        <v>60.3</v>
      </c>
      <c r="K71" s="533">
        <v>60.26</v>
      </c>
      <c r="L71" s="533">
        <v>60.22</v>
      </c>
      <c r="M71" s="533">
        <v>60.18</v>
      </c>
      <c r="N71" s="533">
        <v>60.14</v>
      </c>
      <c r="O71" s="533">
        <v>59.95</v>
      </c>
      <c r="P71" s="533" t="s">
        <v>556</v>
      </c>
      <c r="Q71" s="533" t="s">
        <v>556</v>
      </c>
      <c r="R71" s="533" t="s">
        <v>556</v>
      </c>
      <c r="S71" s="533" t="s">
        <v>556</v>
      </c>
      <c r="T71" s="534" t="s">
        <v>556</v>
      </c>
      <c r="U71" s="534" t="s">
        <v>556</v>
      </c>
      <c r="V71" s="531"/>
      <c r="W71" s="532">
        <v>82</v>
      </c>
      <c r="X71" s="533">
        <v>61</v>
      </c>
      <c r="Y71" s="533">
        <v>60.95</v>
      </c>
      <c r="Z71" s="533">
        <v>60.91</v>
      </c>
      <c r="AA71" s="533">
        <v>60.87</v>
      </c>
      <c r="AB71" s="533">
        <v>60.83</v>
      </c>
      <c r="AC71" s="533">
        <v>60.79</v>
      </c>
      <c r="AD71" s="533">
        <v>60.76</v>
      </c>
      <c r="AE71" s="533">
        <v>60.72</v>
      </c>
      <c r="AF71" s="533">
        <v>60.68</v>
      </c>
      <c r="AG71" s="533">
        <v>60.65</v>
      </c>
      <c r="AH71" s="533">
        <v>60.61</v>
      </c>
      <c r="AI71" s="533">
        <v>60.58</v>
      </c>
      <c r="AJ71" s="533">
        <v>60.41</v>
      </c>
      <c r="AK71" s="533" t="s">
        <v>556</v>
      </c>
      <c r="AL71" s="533" t="s">
        <v>556</v>
      </c>
      <c r="AM71" s="533" t="s">
        <v>556</v>
      </c>
      <c r="AN71" s="533" t="s">
        <v>556</v>
      </c>
      <c r="AO71" s="534" t="s">
        <v>556</v>
      </c>
      <c r="AP71" s="534" t="s">
        <v>556</v>
      </c>
      <c r="AQ71" s="531"/>
      <c r="AR71" s="532">
        <v>82</v>
      </c>
      <c r="AS71" s="533">
        <v>62.42</v>
      </c>
      <c r="AT71" s="533">
        <v>62.39</v>
      </c>
      <c r="AU71" s="533">
        <v>62.36</v>
      </c>
      <c r="AV71" s="533">
        <v>62.34</v>
      </c>
      <c r="AW71" s="533">
        <v>62.31</v>
      </c>
      <c r="AX71" s="533">
        <v>62.29</v>
      </c>
      <c r="AY71" s="533">
        <v>62.26</v>
      </c>
      <c r="AZ71" s="533">
        <v>62.24</v>
      </c>
      <c r="BA71" s="533">
        <v>62.21</v>
      </c>
      <c r="BB71" s="533">
        <v>62.19</v>
      </c>
      <c r="BC71" s="533">
        <v>62.16</v>
      </c>
      <c r="BD71" s="533">
        <v>62.14</v>
      </c>
      <c r="BE71" s="533">
        <v>62.02</v>
      </c>
      <c r="BF71" s="533" t="s">
        <v>556</v>
      </c>
      <c r="BG71" s="533" t="s">
        <v>556</v>
      </c>
      <c r="BH71" s="533" t="s">
        <v>556</v>
      </c>
      <c r="BI71" s="533" t="s">
        <v>556</v>
      </c>
      <c r="BJ71" s="538" t="s">
        <v>556</v>
      </c>
      <c r="BK71" s="538" t="s">
        <v>556</v>
      </c>
    </row>
    <row r="72" spans="2:63" x14ac:dyDescent="0.25">
      <c r="B72" s="532">
        <v>83</v>
      </c>
      <c r="C72" s="533">
        <v>60.52</v>
      </c>
      <c r="D72" s="533">
        <v>60.46</v>
      </c>
      <c r="E72" s="533">
        <v>60.41</v>
      </c>
      <c r="F72" s="533">
        <v>60.37</v>
      </c>
      <c r="G72" s="533">
        <v>60.32</v>
      </c>
      <c r="H72" s="533">
        <v>60.27</v>
      </c>
      <c r="I72" s="533">
        <v>60.23</v>
      </c>
      <c r="J72" s="533">
        <v>60.18</v>
      </c>
      <c r="K72" s="533">
        <v>60.14</v>
      </c>
      <c r="L72" s="533">
        <v>60.09</v>
      </c>
      <c r="M72" s="533">
        <v>60.05</v>
      </c>
      <c r="N72" s="533">
        <v>60.01</v>
      </c>
      <c r="O72" s="533">
        <v>59.8</v>
      </c>
      <c r="P72" s="533" t="s">
        <v>556</v>
      </c>
      <c r="Q72" s="533" t="s">
        <v>556</v>
      </c>
      <c r="R72" s="533" t="s">
        <v>556</v>
      </c>
      <c r="S72" s="533" t="s">
        <v>556</v>
      </c>
      <c r="T72" s="534" t="s">
        <v>556</v>
      </c>
      <c r="U72" s="534" t="s">
        <v>556</v>
      </c>
      <c r="V72" s="531"/>
      <c r="W72" s="532">
        <v>83</v>
      </c>
      <c r="X72" s="533">
        <v>60.91</v>
      </c>
      <c r="Y72" s="533">
        <v>60.87</v>
      </c>
      <c r="Z72" s="533">
        <v>60.82</v>
      </c>
      <c r="AA72" s="533">
        <v>60.78</v>
      </c>
      <c r="AB72" s="533">
        <v>60.74</v>
      </c>
      <c r="AC72" s="533">
        <v>60.7</v>
      </c>
      <c r="AD72" s="533">
        <v>60.66</v>
      </c>
      <c r="AE72" s="533">
        <v>60.62</v>
      </c>
      <c r="AF72" s="533">
        <v>60.58</v>
      </c>
      <c r="AG72" s="533">
        <v>60.54</v>
      </c>
      <c r="AH72" s="533">
        <v>60.5</v>
      </c>
      <c r="AI72" s="533">
        <v>60.47</v>
      </c>
      <c r="AJ72" s="533">
        <v>60.28</v>
      </c>
      <c r="AK72" s="533" t="s">
        <v>556</v>
      </c>
      <c r="AL72" s="533" t="s">
        <v>556</v>
      </c>
      <c r="AM72" s="533" t="s">
        <v>556</v>
      </c>
      <c r="AN72" s="533" t="s">
        <v>556</v>
      </c>
      <c r="AO72" s="534" t="s">
        <v>556</v>
      </c>
      <c r="AP72" s="534" t="s">
        <v>556</v>
      </c>
      <c r="AQ72" s="531"/>
      <c r="AR72" s="532">
        <v>83</v>
      </c>
      <c r="AS72" s="533">
        <v>62.36</v>
      </c>
      <c r="AT72" s="533">
        <v>62.33</v>
      </c>
      <c r="AU72" s="533">
        <v>62.31</v>
      </c>
      <c r="AV72" s="533">
        <v>62.28</v>
      </c>
      <c r="AW72" s="533">
        <v>62.25</v>
      </c>
      <c r="AX72" s="533">
        <v>62.22</v>
      </c>
      <c r="AY72" s="533">
        <v>62.2</v>
      </c>
      <c r="AZ72" s="533">
        <v>62.17</v>
      </c>
      <c r="BA72" s="533">
        <v>62.14</v>
      </c>
      <c r="BB72" s="533">
        <v>62.12</v>
      </c>
      <c r="BC72" s="533">
        <v>62.09</v>
      </c>
      <c r="BD72" s="533">
        <v>62.06</v>
      </c>
      <c r="BE72" s="533">
        <v>61.92</v>
      </c>
      <c r="BF72" s="533" t="s">
        <v>556</v>
      </c>
      <c r="BG72" s="533" t="s">
        <v>556</v>
      </c>
      <c r="BH72" s="533" t="s">
        <v>556</v>
      </c>
      <c r="BI72" s="533" t="s">
        <v>556</v>
      </c>
      <c r="BJ72" s="538" t="s">
        <v>556</v>
      </c>
      <c r="BK72" s="538" t="s">
        <v>556</v>
      </c>
    </row>
    <row r="73" spans="2:63" x14ac:dyDescent="0.25">
      <c r="B73" s="532">
        <v>84</v>
      </c>
      <c r="C73" s="533">
        <v>60.41</v>
      </c>
      <c r="D73" s="533">
        <v>60.36</v>
      </c>
      <c r="E73" s="533">
        <v>60.31</v>
      </c>
      <c r="F73" s="533">
        <v>60.25</v>
      </c>
      <c r="G73" s="533">
        <v>60.2</v>
      </c>
      <c r="H73" s="533">
        <v>60.15</v>
      </c>
      <c r="I73" s="533">
        <v>60.11</v>
      </c>
      <c r="J73" s="533">
        <v>60.06</v>
      </c>
      <c r="K73" s="533">
        <v>60.01</v>
      </c>
      <c r="L73" s="533">
        <v>59.96</v>
      </c>
      <c r="M73" s="533">
        <v>59.92</v>
      </c>
      <c r="N73" s="533">
        <v>59.87</v>
      </c>
      <c r="O73" s="533">
        <v>59.64</v>
      </c>
      <c r="P73" s="533" t="s">
        <v>556</v>
      </c>
      <c r="Q73" s="533" t="s">
        <v>556</v>
      </c>
      <c r="R73" s="533" t="s">
        <v>556</v>
      </c>
      <c r="S73" s="533" t="s">
        <v>556</v>
      </c>
      <c r="T73" s="534" t="s">
        <v>556</v>
      </c>
      <c r="U73" s="534" t="s">
        <v>556</v>
      </c>
      <c r="V73" s="531"/>
      <c r="W73" s="532">
        <v>84</v>
      </c>
      <c r="X73" s="533">
        <v>60.82</v>
      </c>
      <c r="Y73" s="533">
        <v>60.77</v>
      </c>
      <c r="Z73" s="533">
        <v>60.73</v>
      </c>
      <c r="AA73" s="533">
        <v>60.68</v>
      </c>
      <c r="AB73" s="533">
        <v>60.64</v>
      </c>
      <c r="AC73" s="533">
        <v>60.59</v>
      </c>
      <c r="AD73" s="533">
        <v>60.55</v>
      </c>
      <c r="AE73" s="533">
        <v>60.51</v>
      </c>
      <c r="AF73" s="533">
        <v>60.47</v>
      </c>
      <c r="AG73" s="533">
        <v>60.43</v>
      </c>
      <c r="AH73" s="533">
        <v>60.39</v>
      </c>
      <c r="AI73" s="533">
        <v>60.34</v>
      </c>
      <c r="AJ73" s="533">
        <v>60.14</v>
      </c>
      <c r="AK73" s="533" t="s">
        <v>556</v>
      </c>
      <c r="AL73" s="533" t="s">
        <v>556</v>
      </c>
      <c r="AM73" s="533" t="s">
        <v>556</v>
      </c>
      <c r="AN73" s="533" t="s">
        <v>556</v>
      </c>
      <c r="AO73" s="534" t="s">
        <v>556</v>
      </c>
      <c r="AP73" s="534" t="s">
        <v>556</v>
      </c>
      <c r="AQ73" s="531"/>
      <c r="AR73" s="532">
        <v>84</v>
      </c>
      <c r="AS73" s="533">
        <v>62.31</v>
      </c>
      <c r="AT73" s="533">
        <v>62.28</v>
      </c>
      <c r="AU73" s="533">
        <v>62.25</v>
      </c>
      <c r="AV73" s="533">
        <v>62.22</v>
      </c>
      <c r="AW73" s="533">
        <v>62.19</v>
      </c>
      <c r="AX73" s="533">
        <v>62.16</v>
      </c>
      <c r="AY73" s="533">
        <v>62.13</v>
      </c>
      <c r="AZ73" s="533">
        <v>62.1</v>
      </c>
      <c r="BA73" s="533">
        <v>62.07</v>
      </c>
      <c r="BB73" s="533">
        <v>62.04</v>
      </c>
      <c r="BC73" s="533">
        <v>62.01</v>
      </c>
      <c r="BD73" s="533">
        <v>61.98</v>
      </c>
      <c r="BE73" s="533">
        <v>61.82</v>
      </c>
      <c r="BF73" s="533" t="s">
        <v>556</v>
      </c>
      <c r="BG73" s="533" t="s">
        <v>556</v>
      </c>
      <c r="BH73" s="533" t="s">
        <v>556</v>
      </c>
      <c r="BI73" s="533" t="s">
        <v>556</v>
      </c>
      <c r="BJ73" s="538" t="s">
        <v>556</v>
      </c>
      <c r="BK73" s="538" t="s">
        <v>556</v>
      </c>
    </row>
    <row r="74" spans="2:63" x14ac:dyDescent="0.25">
      <c r="B74" s="532">
        <v>85</v>
      </c>
      <c r="C74" s="533">
        <v>60.31</v>
      </c>
      <c r="D74" s="533">
        <v>60.25</v>
      </c>
      <c r="E74" s="533">
        <v>60.19</v>
      </c>
      <c r="F74" s="533">
        <v>60.14</v>
      </c>
      <c r="G74" s="533">
        <v>60.08</v>
      </c>
      <c r="H74" s="533">
        <v>60.03</v>
      </c>
      <c r="I74" s="533">
        <v>59.98</v>
      </c>
      <c r="J74" s="533">
        <v>59.93</v>
      </c>
      <c r="K74" s="533">
        <v>59.88</v>
      </c>
      <c r="L74" s="533">
        <v>59.83</v>
      </c>
      <c r="M74" s="533">
        <v>59.78</v>
      </c>
      <c r="N74" s="533">
        <v>59.73</v>
      </c>
      <c r="O74" s="533" t="s">
        <v>556</v>
      </c>
      <c r="P74" s="533" t="s">
        <v>556</v>
      </c>
      <c r="Q74" s="533" t="s">
        <v>556</v>
      </c>
      <c r="R74" s="533" t="s">
        <v>556</v>
      </c>
      <c r="S74" s="533" t="s">
        <v>556</v>
      </c>
      <c r="T74" s="534" t="s">
        <v>556</v>
      </c>
      <c r="U74" s="534" t="s">
        <v>556</v>
      </c>
      <c r="V74" s="531"/>
      <c r="W74" s="532">
        <v>85</v>
      </c>
      <c r="X74" s="533">
        <v>60.73</v>
      </c>
      <c r="Y74" s="533">
        <v>60.68</v>
      </c>
      <c r="Z74" s="533">
        <v>60.63</v>
      </c>
      <c r="AA74" s="533">
        <v>60.58</v>
      </c>
      <c r="AB74" s="533">
        <v>60.53</v>
      </c>
      <c r="AC74" s="533">
        <v>60.48</v>
      </c>
      <c r="AD74" s="533">
        <v>60.44</v>
      </c>
      <c r="AE74" s="533">
        <v>60.39</v>
      </c>
      <c r="AF74" s="533">
        <v>60.35</v>
      </c>
      <c r="AG74" s="533">
        <v>60.3</v>
      </c>
      <c r="AH74" s="533">
        <v>60.26</v>
      </c>
      <c r="AI74" s="533">
        <v>60.21</v>
      </c>
      <c r="AJ74" s="533" t="s">
        <v>556</v>
      </c>
      <c r="AK74" s="533" t="s">
        <v>556</v>
      </c>
      <c r="AL74" s="533" t="s">
        <v>556</v>
      </c>
      <c r="AM74" s="533" t="s">
        <v>556</v>
      </c>
      <c r="AN74" s="533" t="s">
        <v>556</v>
      </c>
      <c r="AO74" s="534" t="s">
        <v>556</v>
      </c>
      <c r="AP74" s="534" t="s">
        <v>556</v>
      </c>
      <c r="AQ74" s="531"/>
      <c r="AR74" s="532">
        <v>85</v>
      </c>
      <c r="AS74" s="533">
        <v>62.24</v>
      </c>
      <c r="AT74" s="533">
        <v>62.21</v>
      </c>
      <c r="AU74" s="533">
        <v>62.18</v>
      </c>
      <c r="AV74" s="533">
        <v>62.15</v>
      </c>
      <c r="AW74" s="533">
        <v>62.12</v>
      </c>
      <c r="AX74" s="533">
        <v>62.08</v>
      </c>
      <c r="AY74" s="533">
        <v>62.05</v>
      </c>
      <c r="AZ74" s="533">
        <v>62.02</v>
      </c>
      <c r="BA74" s="533">
        <v>61.99</v>
      </c>
      <c r="BB74" s="533">
        <v>61.96</v>
      </c>
      <c r="BC74" s="533">
        <v>61.93</v>
      </c>
      <c r="BD74" s="533">
        <v>61.89</v>
      </c>
      <c r="BE74" s="533" t="s">
        <v>556</v>
      </c>
      <c r="BF74" s="533" t="s">
        <v>556</v>
      </c>
      <c r="BG74" s="533" t="s">
        <v>556</v>
      </c>
      <c r="BH74" s="533" t="s">
        <v>556</v>
      </c>
      <c r="BI74" s="533" t="s">
        <v>556</v>
      </c>
      <c r="BJ74" s="538" t="s">
        <v>556</v>
      </c>
      <c r="BK74" s="538" t="s">
        <v>556</v>
      </c>
    </row>
    <row r="75" spans="2:63" x14ac:dyDescent="0.25">
      <c r="B75" s="532">
        <v>86</v>
      </c>
      <c r="C75" s="533">
        <v>60.19</v>
      </c>
      <c r="D75" s="533">
        <v>60.13</v>
      </c>
      <c r="E75" s="533">
        <v>60.07</v>
      </c>
      <c r="F75" s="533">
        <v>60.01</v>
      </c>
      <c r="G75" s="533">
        <v>59.95</v>
      </c>
      <c r="H75" s="533">
        <v>59.9</v>
      </c>
      <c r="I75" s="533">
        <v>59.84</v>
      </c>
      <c r="J75" s="533">
        <v>59.79</v>
      </c>
      <c r="K75" s="533">
        <v>59.73</v>
      </c>
      <c r="L75" s="533">
        <v>59.68</v>
      </c>
      <c r="M75" s="533">
        <v>59.62</v>
      </c>
      <c r="N75" s="533">
        <v>59.57</v>
      </c>
      <c r="O75" s="533" t="s">
        <v>556</v>
      </c>
      <c r="P75" s="533" t="s">
        <v>556</v>
      </c>
      <c r="Q75" s="533" t="s">
        <v>556</v>
      </c>
      <c r="R75" s="533" t="s">
        <v>556</v>
      </c>
      <c r="S75" s="533" t="s">
        <v>556</v>
      </c>
      <c r="T75" s="534" t="s">
        <v>556</v>
      </c>
      <c r="U75" s="534" t="s">
        <v>556</v>
      </c>
      <c r="V75" s="531"/>
      <c r="W75" s="532">
        <v>86</v>
      </c>
      <c r="X75" s="533">
        <v>60.63</v>
      </c>
      <c r="Y75" s="533">
        <v>60.57</v>
      </c>
      <c r="Z75" s="533">
        <v>60.52</v>
      </c>
      <c r="AA75" s="533">
        <v>60.47</v>
      </c>
      <c r="AB75" s="533">
        <v>60.42</v>
      </c>
      <c r="AC75" s="533">
        <v>60.37</v>
      </c>
      <c r="AD75" s="533">
        <v>60.32</v>
      </c>
      <c r="AE75" s="533">
        <v>60.27</v>
      </c>
      <c r="AF75" s="533">
        <v>60.22</v>
      </c>
      <c r="AG75" s="533">
        <v>60.17</v>
      </c>
      <c r="AH75" s="533">
        <v>60.12</v>
      </c>
      <c r="AI75" s="533">
        <v>60.07</v>
      </c>
      <c r="AJ75" s="533" t="s">
        <v>556</v>
      </c>
      <c r="AK75" s="533" t="s">
        <v>556</v>
      </c>
      <c r="AL75" s="533" t="s">
        <v>556</v>
      </c>
      <c r="AM75" s="533" t="s">
        <v>556</v>
      </c>
      <c r="AN75" s="533" t="s">
        <v>556</v>
      </c>
      <c r="AO75" s="534" t="s">
        <v>556</v>
      </c>
      <c r="AP75" s="534" t="s">
        <v>556</v>
      </c>
      <c r="AQ75" s="531"/>
      <c r="AR75" s="532">
        <v>86</v>
      </c>
      <c r="AS75" s="533">
        <v>62.18</v>
      </c>
      <c r="AT75" s="533">
        <v>62.14</v>
      </c>
      <c r="AU75" s="533">
        <v>62.11</v>
      </c>
      <c r="AV75" s="533">
        <v>62.07</v>
      </c>
      <c r="AW75" s="533">
        <v>62.04</v>
      </c>
      <c r="AX75" s="533">
        <v>62.01</v>
      </c>
      <c r="AY75" s="533">
        <v>61.97</v>
      </c>
      <c r="AZ75" s="533">
        <v>61.94</v>
      </c>
      <c r="BA75" s="533">
        <v>61.9</v>
      </c>
      <c r="BB75" s="533">
        <v>61.87</v>
      </c>
      <c r="BC75" s="533">
        <v>61.83</v>
      </c>
      <c r="BD75" s="533">
        <v>61.79</v>
      </c>
      <c r="BE75" s="533" t="s">
        <v>556</v>
      </c>
      <c r="BF75" s="533" t="s">
        <v>556</v>
      </c>
      <c r="BG75" s="533" t="s">
        <v>556</v>
      </c>
      <c r="BH75" s="533" t="s">
        <v>556</v>
      </c>
      <c r="BI75" s="533" t="s">
        <v>556</v>
      </c>
      <c r="BJ75" s="538" t="s">
        <v>556</v>
      </c>
      <c r="BK75" s="538" t="s">
        <v>556</v>
      </c>
    </row>
    <row r="76" spans="2:63" x14ac:dyDescent="0.25">
      <c r="B76" s="532">
        <v>87</v>
      </c>
      <c r="C76" s="533">
        <v>60.07</v>
      </c>
      <c r="D76" s="533">
        <v>60</v>
      </c>
      <c r="E76" s="533">
        <v>59.94</v>
      </c>
      <c r="F76" s="533">
        <v>59.88</v>
      </c>
      <c r="G76" s="533">
        <v>59.82</v>
      </c>
      <c r="H76" s="533">
        <v>59.76</v>
      </c>
      <c r="I76" s="533">
        <v>59.7</v>
      </c>
      <c r="J76" s="533">
        <v>59.64</v>
      </c>
      <c r="K76" s="533">
        <v>59.58</v>
      </c>
      <c r="L76" s="533">
        <v>59.52</v>
      </c>
      <c r="M76" s="533">
        <v>59.46</v>
      </c>
      <c r="N76" s="533">
        <v>59.4</v>
      </c>
      <c r="O76" s="533" t="s">
        <v>556</v>
      </c>
      <c r="P76" s="533" t="s">
        <v>556</v>
      </c>
      <c r="Q76" s="533" t="s">
        <v>556</v>
      </c>
      <c r="R76" s="533" t="s">
        <v>556</v>
      </c>
      <c r="S76" s="533" t="s">
        <v>556</v>
      </c>
      <c r="T76" s="534" t="s">
        <v>556</v>
      </c>
      <c r="U76" s="534" t="s">
        <v>556</v>
      </c>
      <c r="V76" s="531"/>
      <c r="W76" s="532">
        <v>87</v>
      </c>
      <c r="X76" s="533">
        <v>60.52</v>
      </c>
      <c r="Y76" s="533">
        <v>60.46</v>
      </c>
      <c r="Z76" s="533">
        <v>60.41</v>
      </c>
      <c r="AA76" s="533">
        <v>60.35</v>
      </c>
      <c r="AB76" s="533">
        <v>60.3</v>
      </c>
      <c r="AC76" s="533">
        <v>60.24</v>
      </c>
      <c r="AD76" s="533">
        <v>60.19</v>
      </c>
      <c r="AE76" s="533">
        <v>60.14</v>
      </c>
      <c r="AF76" s="533">
        <v>60.08</v>
      </c>
      <c r="AG76" s="533">
        <v>60.03</v>
      </c>
      <c r="AH76" s="533">
        <v>59.98</v>
      </c>
      <c r="AI76" s="533">
        <v>59.92</v>
      </c>
      <c r="AJ76" s="533" t="s">
        <v>556</v>
      </c>
      <c r="AK76" s="533" t="s">
        <v>556</v>
      </c>
      <c r="AL76" s="533" t="s">
        <v>556</v>
      </c>
      <c r="AM76" s="533" t="s">
        <v>556</v>
      </c>
      <c r="AN76" s="533" t="s">
        <v>556</v>
      </c>
      <c r="AO76" s="534" t="s">
        <v>556</v>
      </c>
      <c r="AP76" s="534" t="s">
        <v>556</v>
      </c>
      <c r="AQ76" s="531"/>
      <c r="AR76" s="532">
        <v>87</v>
      </c>
      <c r="AS76" s="533">
        <v>62.11</v>
      </c>
      <c r="AT76" s="533">
        <v>62.07</v>
      </c>
      <c r="AU76" s="533">
        <v>62.03</v>
      </c>
      <c r="AV76" s="533">
        <v>62</v>
      </c>
      <c r="AW76" s="533">
        <v>61.96</v>
      </c>
      <c r="AX76" s="533">
        <v>61.92</v>
      </c>
      <c r="AY76" s="533">
        <v>61.89</v>
      </c>
      <c r="AZ76" s="533">
        <v>61.85</v>
      </c>
      <c r="BA76" s="533">
        <v>61.81</v>
      </c>
      <c r="BB76" s="533">
        <v>61.77</v>
      </c>
      <c r="BC76" s="533">
        <v>61.73</v>
      </c>
      <c r="BD76" s="533">
        <v>61.69</v>
      </c>
      <c r="BE76" s="533" t="s">
        <v>556</v>
      </c>
      <c r="BF76" s="533" t="s">
        <v>556</v>
      </c>
      <c r="BG76" s="533" t="s">
        <v>556</v>
      </c>
      <c r="BH76" s="533" t="s">
        <v>556</v>
      </c>
      <c r="BI76" s="533" t="s">
        <v>556</v>
      </c>
      <c r="BJ76" s="538" t="s">
        <v>556</v>
      </c>
      <c r="BK76" s="538" t="s">
        <v>556</v>
      </c>
    </row>
    <row r="77" spans="2:63" x14ac:dyDescent="0.25">
      <c r="B77" s="532">
        <v>88</v>
      </c>
      <c r="C77" s="533">
        <v>59.94</v>
      </c>
      <c r="D77" s="533">
        <v>59.87</v>
      </c>
      <c r="E77" s="533">
        <v>59.8</v>
      </c>
      <c r="F77" s="533">
        <v>59.74</v>
      </c>
      <c r="G77" s="533">
        <v>59.67</v>
      </c>
      <c r="H77" s="533">
        <v>59.61</v>
      </c>
      <c r="I77" s="533">
        <v>59.54</v>
      </c>
      <c r="J77" s="533">
        <v>59.48</v>
      </c>
      <c r="K77" s="533">
        <v>59.41</v>
      </c>
      <c r="L77" s="533">
        <v>59.35</v>
      </c>
      <c r="M77" s="533">
        <v>59.28</v>
      </c>
      <c r="N77" s="533">
        <v>59.21</v>
      </c>
      <c r="O77" s="533" t="s">
        <v>556</v>
      </c>
      <c r="P77" s="533" t="s">
        <v>556</v>
      </c>
      <c r="Q77" s="533" t="s">
        <v>556</v>
      </c>
      <c r="R77" s="533" t="s">
        <v>556</v>
      </c>
      <c r="S77" s="533" t="s">
        <v>556</v>
      </c>
      <c r="T77" s="534" t="s">
        <v>556</v>
      </c>
      <c r="U77" s="534" t="s">
        <v>556</v>
      </c>
      <c r="V77" s="531"/>
      <c r="W77" s="532">
        <v>88</v>
      </c>
      <c r="X77" s="533">
        <v>60.4</v>
      </c>
      <c r="Y77" s="533">
        <v>60.34</v>
      </c>
      <c r="Z77" s="533">
        <v>60.28</v>
      </c>
      <c r="AA77" s="533">
        <v>60.23</v>
      </c>
      <c r="AB77" s="533">
        <v>60.17</v>
      </c>
      <c r="AC77" s="533">
        <v>60.11</v>
      </c>
      <c r="AD77" s="533">
        <v>60.05</v>
      </c>
      <c r="AE77" s="533">
        <v>59.99</v>
      </c>
      <c r="AF77" s="533">
        <v>59.94</v>
      </c>
      <c r="AG77" s="533">
        <v>59.88</v>
      </c>
      <c r="AH77" s="533">
        <v>59.82</v>
      </c>
      <c r="AI77" s="533">
        <v>59.76</v>
      </c>
      <c r="AJ77" s="533" t="s">
        <v>556</v>
      </c>
      <c r="AK77" s="533" t="s">
        <v>556</v>
      </c>
      <c r="AL77" s="533" t="s">
        <v>556</v>
      </c>
      <c r="AM77" s="533" t="s">
        <v>556</v>
      </c>
      <c r="AN77" s="533" t="s">
        <v>556</v>
      </c>
      <c r="AO77" s="534" t="s">
        <v>556</v>
      </c>
      <c r="AP77" s="534" t="s">
        <v>556</v>
      </c>
      <c r="AQ77" s="531"/>
      <c r="AR77" s="532">
        <v>88</v>
      </c>
      <c r="AS77" s="533">
        <v>62.03</v>
      </c>
      <c r="AT77" s="533">
        <v>61.99</v>
      </c>
      <c r="AU77" s="533">
        <v>61.95</v>
      </c>
      <c r="AV77" s="533">
        <v>61.91</v>
      </c>
      <c r="AW77" s="533">
        <v>61.87</v>
      </c>
      <c r="AX77" s="533">
        <v>61.83</v>
      </c>
      <c r="AY77" s="533">
        <v>61.79</v>
      </c>
      <c r="AZ77" s="533">
        <v>61.75</v>
      </c>
      <c r="BA77" s="533">
        <v>61.71</v>
      </c>
      <c r="BB77" s="533">
        <v>61.66</v>
      </c>
      <c r="BC77" s="533">
        <v>61.62</v>
      </c>
      <c r="BD77" s="533">
        <v>61.57</v>
      </c>
      <c r="BE77" s="533" t="s">
        <v>556</v>
      </c>
      <c r="BF77" s="533" t="s">
        <v>556</v>
      </c>
      <c r="BG77" s="533" t="s">
        <v>556</v>
      </c>
      <c r="BH77" s="533" t="s">
        <v>556</v>
      </c>
      <c r="BI77" s="533" t="s">
        <v>556</v>
      </c>
      <c r="BJ77" s="538" t="s">
        <v>556</v>
      </c>
      <c r="BK77" s="538" t="s">
        <v>556</v>
      </c>
    </row>
    <row r="78" spans="2:63" x14ac:dyDescent="0.25">
      <c r="B78" s="532">
        <v>89</v>
      </c>
      <c r="C78" s="533">
        <v>59.8</v>
      </c>
      <c r="D78" s="533">
        <v>59.73</v>
      </c>
      <c r="E78" s="533">
        <v>59.66</v>
      </c>
      <c r="F78" s="533">
        <v>59.59</v>
      </c>
      <c r="G78" s="533">
        <v>59.52</v>
      </c>
      <c r="H78" s="533">
        <v>59.45</v>
      </c>
      <c r="I78" s="533">
        <v>59.38</v>
      </c>
      <c r="J78" s="533">
        <v>59.31</v>
      </c>
      <c r="K78" s="533">
        <v>59.24</v>
      </c>
      <c r="L78" s="533">
        <v>59.16</v>
      </c>
      <c r="M78" s="533">
        <v>59.09</v>
      </c>
      <c r="N78" s="533">
        <v>59.01</v>
      </c>
      <c r="O78" s="533" t="s">
        <v>556</v>
      </c>
      <c r="P78" s="533" t="s">
        <v>556</v>
      </c>
      <c r="Q78" s="533" t="s">
        <v>556</v>
      </c>
      <c r="R78" s="533" t="s">
        <v>556</v>
      </c>
      <c r="S78" s="533" t="s">
        <v>556</v>
      </c>
      <c r="T78" s="534" t="s">
        <v>556</v>
      </c>
      <c r="U78" s="534" t="s">
        <v>556</v>
      </c>
      <c r="V78" s="531"/>
      <c r="W78" s="532">
        <v>89</v>
      </c>
      <c r="X78" s="533">
        <v>60.28</v>
      </c>
      <c r="Y78" s="533">
        <v>60.22</v>
      </c>
      <c r="Z78" s="533">
        <v>60.15</v>
      </c>
      <c r="AA78" s="533">
        <v>60.09</v>
      </c>
      <c r="AB78" s="533">
        <v>60.03</v>
      </c>
      <c r="AC78" s="533">
        <v>59.97</v>
      </c>
      <c r="AD78" s="533">
        <v>59.9</v>
      </c>
      <c r="AE78" s="533">
        <v>59.84</v>
      </c>
      <c r="AF78" s="533">
        <v>59.78</v>
      </c>
      <c r="AG78" s="533">
        <v>59.71</v>
      </c>
      <c r="AH78" s="533">
        <v>59.65</v>
      </c>
      <c r="AI78" s="533">
        <v>59.57</v>
      </c>
      <c r="AJ78" s="533" t="s">
        <v>556</v>
      </c>
      <c r="AK78" s="533" t="s">
        <v>556</v>
      </c>
      <c r="AL78" s="533" t="s">
        <v>556</v>
      </c>
      <c r="AM78" s="533" t="s">
        <v>556</v>
      </c>
      <c r="AN78" s="533" t="s">
        <v>556</v>
      </c>
      <c r="AO78" s="534" t="s">
        <v>556</v>
      </c>
      <c r="AP78" s="534" t="s">
        <v>556</v>
      </c>
      <c r="AQ78" s="531"/>
      <c r="AR78" s="532">
        <v>89</v>
      </c>
      <c r="AS78" s="533">
        <v>61.95</v>
      </c>
      <c r="AT78" s="533">
        <v>61.91</v>
      </c>
      <c r="AU78" s="533">
        <v>61.86</v>
      </c>
      <c r="AV78" s="533">
        <v>61.82</v>
      </c>
      <c r="AW78" s="533">
        <v>61.78</v>
      </c>
      <c r="AX78" s="533">
        <v>61.73</v>
      </c>
      <c r="AY78" s="533">
        <v>61.69</v>
      </c>
      <c r="AZ78" s="533">
        <v>61.64</v>
      </c>
      <c r="BA78" s="533">
        <v>61.6</v>
      </c>
      <c r="BB78" s="533">
        <v>61.55</v>
      </c>
      <c r="BC78" s="533">
        <v>61.49</v>
      </c>
      <c r="BD78" s="533">
        <v>61.44</v>
      </c>
      <c r="BE78" s="533" t="s">
        <v>556</v>
      </c>
      <c r="BF78" s="533" t="s">
        <v>556</v>
      </c>
      <c r="BG78" s="533" t="s">
        <v>556</v>
      </c>
      <c r="BH78" s="533" t="s">
        <v>556</v>
      </c>
      <c r="BI78" s="533" t="s">
        <v>556</v>
      </c>
      <c r="BJ78" s="538" t="s">
        <v>556</v>
      </c>
      <c r="BK78" s="538" t="s">
        <v>556</v>
      </c>
    </row>
    <row r="79" spans="2:63" x14ac:dyDescent="0.25">
      <c r="B79" s="532">
        <v>90</v>
      </c>
      <c r="C79" s="533">
        <v>59.66</v>
      </c>
      <c r="D79" s="533">
        <v>59.58</v>
      </c>
      <c r="E79" s="533">
        <v>59.5</v>
      </c>
      <c r="F79" s="533">
        <v>59.43</v>
      </c>
      <c r="G79" s="533">
        <v>59.35</v>
      </c>
      <c r="H79" s="533">
        <v>59.27</v>
      </c>
      <c r="I79" s="533">
        <v>59.2</v>
      </c>
      <c r="J79" s="533">
        <v>59.12</v>
      </c>
      <c r="K79" s="533">
        <v>59.04</v>
      </c>
      <c r="L79" s="533">
        <v>58.96</v>
      </c>
      <c r="M79" s="533">
        <v>58.87</v>
      </c>
      <c r="N79" s="533" t="s">
        <v>556</v>
      </c>
      <c r="O79" s="533" t="s">
        <v>556</v>
      </c>
      <c r="P79" s="533" t="s">
        <v>556</v>
      </c>
      <c r="Q79" s="533" t="s">
        <v>556</v>
      </c>
      <c r="R79" s="533" t="s">
        <v>556</v>
      </c>
      <c r="S79" s="533" t="s">
        <v>556</v>
      </c>
      <c r="T79" s="534" t="s">
        <v>556</v>
      </c>
      <c r="U79" s="534" t="s">
        <v>556</v>
      </c>
      <c r="V79" s="531"/>
      <c r="W79" s="532">
        <v>90</v>
      </c>
      <c r="X79" s="533">
        <v>60.15</v>
      </c>
      <c r="Y79" s="533">
        <v>60.08</v>
      </c>
      <c r="Z79" s="533">
        <v>60.02</v>
      </c>
      <c r="AA79" s="533">
        <v>59.95</v>
      </c>
      <c r="AB79" s="533">
        <v>59.88</v>
      </c>
      <c r="AC79" s="533">
        <v>59.81</v>
      </c>
      <c r="AD79" s="533">
        <v>59.75</v>
      </c>
      <c r="AE79" s="533">
        <v>59.68</v>
      </c>
      <c r="AF79" s="533">
        <v>59.61</v>
      </c>
      <c r="AG79" s="533">
        <v>59.53</v>
      </c>
      <c r="AH79" s="533">
        <v>59.45</v>
      </c>
      <c r="AI79" s="533" t="s">
        <v>556</v>
      </c>
      <c r="AJ79" s="533" t="s">
        <v>556</v>
      </c>
      <c r="AK79" s="533" t="s">
        <v>556</v>
      </c>
      <c r="AL79" s="533" t="s">
        <v>556</v>
      </c>
      <c r="AM79" s="533" t="s">
        <v>556</v>
      </c>
      <c r="AN79" s="533" t="s">
        <v>556</v>
      </c>
      <c r="AO79" s="534" t="s">
        <v>556</v>
      </c>
      <c r="AP79" s="534" t="s">
        <v>556</v>
      </c>
      <c r="AQ79" s="531"/>
      <c r="AR79" s="532">
        <v>90</v>
      </c>
      <c r="AS79" s="533">
        <v>61.86</v>
      </c>
      <c r="AT79" s="533">
        <v>61.82</v>
      </c>
      <c r="AU79" s="533">
        <v>61.77</v>
      </c>
      <c r="AV79" s="533">
        <v>61.72</v>
      </c>
      <c r="AW79" s="533">
        <v>61.68</v>
      </c>
      <c r="AX79" s="533">
        <v>61.63</v>
      </c>
      <c r="AY79" s="533">
        <v>61.58</v>
      </c>
      <c r="AZ79" s="533">
        <v>61.53</v>
      </c>
      <c r="BA79" s="533">
        <v>61.47</v>
      </c>
      <c r="BB79" s="533">
        <v>61.42</v>
      </c>
      <c r="BC79" s="533">
        <v>61.35</v>
      </c>
      <c r="BD79" s="533" t="s">
        <v>556</v>
      </c>
      <c r="BE79" s="533" t="s">
        <v>556</v>
      </c>
      <c r="BF79" s="533" t="s">
        <v>556</v>
      </c>
      <c r="BG79" s="533" t="s">
        <v>556</v>
      </c>
      <c r="BH79" s="533" t="s">
        <v>556</v>
      </c>
      <c r="BI79" s="533" t="s">
        <v>556</v>
      </c>
      <c r="BJ79" s="538" t="s">
        <v>556</v>
      </c>
      <c r="BK79" s="538" t="s">
        <v>556</v>
      </c>
    </row>
    <row r="80" spans="2:63" x14ac:dyDescent="0.25">
      <c r="B80" s="532">
        <v>91</v>
      </c>
      <c r="C80" s="533">
        <v>59.5</v>
      </c>
      <c r="D80" s="533">
        <v>59.42</v>
      </c>
      <c r="E80" s="533">
        <v>59.34</v>
      </c>
      <c r="F80" s="533">
        <v>59.25</v>
      </c>
      <c r="G80" s="533">
        <v>59.17</v>
      </c>
      <c r="H80" s="533">
        <v>59.09</v>
      </c>
      <c r="I80" s="533">
        <v>59.01</v>
      </c>
      <c r="J80" s="533">
        <v>58.92</v>
      </c>
      <c r="K80" s="533">
        <v>58.83</v>
      </c>
      <c r="L80" s="533">
        <v>58.74</v>
      </c>
      <c r="M80" s="533" t="s">
        <v>556</v>
      </c>
      <c r="N80" s="533" t="s">
        <v>556</v>
      </c>
      <c r="O80" s="533" t="s">
        <v>556</v>
      </c>
      <c r="P80" s="533" t="s">
        <v>556</v>
      </c>
      <c r="Q80" s="533" t="s">
        <v>556</v>
      </c>
      <c r="R80" s="533" t="s">
        <v>556</v>
      </c>
      <c r="S80" s="533" t="s">
        <v>556</v>
      </c>
      <c r="T80" s="534" t="s">
        <v>556</v>
      </c>
      <c r="U80" s="534" t="s">
        <v>556</v>
      </c>
      <c r="V80" s="531"/>
      <c r="W80" s="532">
        <v>91</v>
      </c>
      <c r="X80" s="533">
        <v>60.01</v>
      </c>
      <c r="Y80" s="533">
        <v>59.94</v>
      </c>
      <c r="Z80" s="533">
        <v>59.87</v>
      </c>
      <c r="AA80" s="533">
        <v>59.8</v>
      </c>
      <c r="AB80" s="533">
        <v>59.72</v>
      </c>
      <c r="AC80" s="533">
        <v>59.65</v>
      </c>
      <c r="AD80" s="533">
        <v>59.57</v>
      </c>
      <c r="AE80" s="533">
        <v>59.5</v>
      </c>
      <c r="AF80" s="533">
        <v>59.42</v>
      </c>
      <c r="AG80" s="533">
        <v>59.33</v>
      </c>
      <c r="AH80" s="533" t="s">
        <v>556</v>
      </c>
      <c r="AI80" s="533" t="s">
        <v>556</v>
      </c>
      <c r="AJ80" s="533" t="s">
        <v>556</v>
      </c>
      <c r="AK80" s="533" t="s">
        <v>556</v>
      </c>
      <c r="AL80" s="533" t="s">
        <v>556</v>
      </c>
      <c r="AM80" s="533" t="s">
        <v>556</v>
      </c>
      <c r="AN80" s="533" t="s">
        <v>556</v>
      </c>
      <c r="AO80" s="534" t="s">
        <v>556</v>
      </c>
      <c r="AP80" s="534" t="s">
        <v>556</v>
      </c>
      <c r="AQ80" s="531"/>
      <c r="AR80" s="532">
        <v>91</v>
      </c>
      <c r="AS80" s="533">
        <v>61.77</v>
      </c>
      <c r="AT80" s="533">
        <v>61.72</v>
      </c>
      <c r="AU80" s="533">
        <v>61.67</v>
      </c>
      <c r="AV80" s="533">
        <v>61.62</v>
      </c>
      <c r="AW80" s="533">
        <v>61.56</v>
      </c>
      <c r="AX80" s="533">
        <v>61.51</v>
      </c>
      <c r="AY80" s="533">
        <v>61.46</v>
      </c>
      <c r="AZ80" s="533">
        <v>61.4</v>
      </c>
      <c r="BA80" s="533">
        <v>61.34</v>
      </c>
      <c r="BB80" s="533">
        <v>61.27</v>
      </c>
      <c r="BC80" s="533" t="s">
        <v>556</v>
      </c>
      <c r="BD80" s="533" t="s">
        <v>556</v>
      </c>
      <c r="BE80" s="533" t="s">
        <v>556</v>
      </c>
      <c r="BF80" s="533" t="s">
        <v>556</v>
      </c>
      <c r="BG80" s="533" t="s">
        <v>556</v>
      </c>
      <c r="BH80" s="533" t="s">
        <v>556</v>
      </c>
      <c r="BI80" s="533" t="s">
        <v>556</v>
      </c>
      <c r="BJ80" s="538" t="s">
        <v>556</v>
      </c>
      <c r="BK80" s="538" t="s">
        <v>556</v>
      </c>
    </row>
    <row r="81" spans="2:63" x14ac:dyDescent="0.25">
      <c r="B81" s="532">
        <v>92</v>
      </c>
      <c r="C81" s="533">
        <v>59.33</v>
      </c>
      <c r="D81" s="533">
        <v>59.24</v>
      </c>
      <c r="E81" s="533">
        <v>59.16</v>
      </c>
      <c r="F81" s="533">
        <v>59.07</v>
      </c>
      <c r="G81" s="533">
        <v>58.98</v>
      </c>
      <c r="H81" s="533">
        <v>58.89</v>
      </c>
      <c r="I81" s="533">
        <v>58.8</v>
      </c>
      <c r="J81" s="533">
        <v>58.7</v>
      </c>
      <c r="K81" s="533">
        <v>58.6</v>
      </c>
      <c r="L81" s="533" t="s">
        <v>556</v>
      </c>
      <c r="M81" s="533" t="s">
        <v>556</v>
      </c>
      <c r="N81" s="533" t="s">
        <v>556</v>
      </c>
      <c r="O81" s="533" t="s">
        <v>556</v>
      </c>
      <c r="P81" s="533" t="s">
        <v>556</v>
      </c>
      <c r="Q81" s="533" t="s">
        <v>556</v>
      </c>
      <c r="R81" s="533" t="s">
        <v>556</v>
      </c>
      <c r="S81" s="533" t="s">
        <v>556</v>
      </c>
      <c r="T81" s="534" t="s">
        <v>556</v>
      </c>
      <c r="U81" s="534" t="s">
        <v>556</v>
      </c>
      <c r="V81" s="531"/>
      <c r="W81" s="532">
        <v>92</v>
      </c>
      <c r="X81" s="533">
        <v>59.87</v>
      </c>
      <c r="Y81" s="533">
        <v>59.79</v>
      </c>
      <c r="Z81" s="533">
        <v>59.71</v>
      </c>
      <c r="AA81" s="533">
        <v>59.63</v>
      </c>
      <c r="AB81" s="533">
        <v>59.55</v>
      </c>
      <c r="AC81" s="533">
        <v>59.47</v>
      </c>
      <c r="AD81" s="533">
        <v>59.39</v>
      </c>
      <c r="AE81" s="533">
        <v>59.3</v>
      </c>
      <c r="AF81" s="533">
        <v>59.21</v>
      </c>
      <c r="AG81" s="533" t="s">
        <v>556</v>
      </c>
      <c r="AH81" s="533" t="s">
        <v>556</v>
      </c>
      <c r="AI81" s="533" t="s">
        <v>556</v>
      </c>
      <c r="AJ81" s="533" t="s">
        <v>556</v>
      </c>
      <c r="AK81" s="533" t="s">
        <v>556</v>
      </c>
      <c r="AL81" s="533" t="s">
        <v>556</v>
      </c>
      <c r="AM81" s="533" t="s">
        <v>556</v>
      </c>
      <c r="AN81" s="533" t="s">
        <v>556</v>
      </c>
      <c r="AO81" s="534" t="s">
        <v>556</v>
      </c>
      <c r="AP81" s="534" t="s">
        <v>556</v>
      </c>
      <c r="AQ81" s="531"/>
      <c r="AR81" s="532">
        <v>92</v>
      </c>
      <c r="AS81" s="533">
        <v>61.66</v>
      </c>
      <c r="AT81" s="533">
        <v>61.61</v>
      </c>
      <c r="AU81" s="533">
        <v>61.56</v>
      </c>
      <c r="AV81" s="533">
        <v>61.5</v>
      </c>
      <c r="AW81" s="533">
        <v>61.44</v>
      </c>
      <c r="AX81" s="533">
        <v>61.38</v>
      </c>
      <c r="AY81" s="533">
        <v>61.32</v>
      </c>
      <c r="AZ81" s="533">
        <v>61.25</v>
      </c>
      <c r="BA81" s="533">
        <v>61.18</v>
      </c>
      <c r="BB81" s="533" t="s">
        <v>556</v>
      </c>
      <c r="BC81" s="533" t="s">
        <v>556</v>
      </c>
      <c r="BD81" s="533" t="s">
        <v>556</v>
      </c>
      <c r="BE81" s="533" t="s">
        <v>556</v>
      </c>
      <c r="BF81" s="533" t="s">
        <v>556</v>
      </c>
      <c r="BG81" s="533" t="s">
        <v>556</v>
      </c>
      <c r="BH81" s="533" t="s">
        <v>556</v>
      </c>
      <c r="BI81" s="533" t="s">
        <v>556</v>
      </c>
      <c r="BJ81" s="538" t="s">
        <v>556</v>
      </c>
      <c r="BK81" s="538" t="s">
        <v>556</v>
      </c>
    </row>
    <row r="82" spans="2:63" x14ac:dyDescent="0.25">
      <c r="B82" s="532">
        <v>93</v>
      </c>
      <c r="C82" s="533">
        <v>59.15</v>
      </c>
      <c r="D82" s="533">
        <v>59.06</v>
      </c>
      <c r="E82" s="533">
        <v>58.96</v>
      </c>
      <c r="F82" s="533">
        <v>58.87</v>
      </c>
      <c r="G82" s="533">
        <v>58.77</v>
      </c>
      <c r="H82" s="533">
        <v>58.67</v>
      </c>
      <c r="I82" s="533">
        <v>58.57</v>
      </c>
      <c r="J82" s="533">
        <v>58.46</v>
      </c>
      <c r="K82" s="533" t="s">
        <v>556</v>
      </c>
      <c r="L82" s="533" t="s">
        <v>556</v>
      </c>
      <c r="M82" s="533" t="s">
        <v>556</v>
      </c>
      <c r="N82" s="533" t="s">
        <v>556</v>
      </c>
      <c r="O82" s="533" t="s">
        <v>556</v>
      </c>
      <c r="P82" s="533" t="s">
        <v>556</v>
      </c>
      <c r="Q82" s="533" t="s">
        <v>556</v>
      </c>
      <c r="R82" s="533" t="s">
        <v>556</v>
      </c>
      <c r="S82" s="533" t="s">
        <v>556</v>
      </c>
      <c r="T82" s="534" t="s">
        <v>556</v>
      </c>
      <c r="U82" s="534" t="s">
        <v>556</v>
      </c>
      <c r="V82" s="531"/>
      <c r="W82" s="532">
        <v>93</v>
      </c>
      <c r="X82" s="533">
        <v>59.71</v>
      </c>
      <c r="Y82" s="533">
        <v>59.62</v>
      </c>
      <c r="Z82" s="533">
        <v>59.54</v>
      </c>
      <c r="AA82" s="533">
        <v>59.45</v>
      </c>
      <c r="AB82" s="533">
        <v>59.36</v>
      </c>
      <c r="AC82" s="533">
        <v>59.27</v>
      </c>
      <c r="AD82" s="533">
        <v>59.18</v>
      </c>
      <c r="AE82" s="533">
        <v>59.08</v>
      </c>
      <c r="AF82" s="533" t="s">
        <v>556</v>
      </c>
      <c r="AG82" s="533" t="s">
        <v>556</v>
      </c>
      <c r="AH82" s="533" t="s">
        <v>556</v>
      </c>
      <c r="AI82" s="533" t="s">
        <v>556</v>
      </c>
      <c r="AJ82" s="533" t="s">
        <v>556</v>
      </c>
      <c r="AK82" s="533" t="s">
        <v>556</v>
      </c>
      <c r="AL82" s="533" t="s">
        <v>556</v>
      </c>
      <c r="AM82" s="533" t="s">
        <v>556</v>
      </c>
      <c r="AN82" s="533" t="s">
        <v>556</v>
      </c>
      <c r="AO82" s="534" t="s">
        <v>556</v>
      </c>
      <c r="AP82" s="534" t="s">
        <v>556</v>
      </c>
      <c r="AQ82" s="531"/>
      <c r="AR82" s="532">
        <v>93</v>
      </c>
      <c r="AS82" s="533">
        <v>61.55</v>
      </c>
      <c r="AT82" s="533">
        <v>61.49</v>
      </c>
      <c r="AU82" s="533">
        <v>61.43</v>
      </c>
      <c r="AV82" s="533">
        <v>61.37</v>
      </c>
      <c r="AW82" s="533">
        <v>61.31</v>
      </c>
      <c r="AX82" s="533">
        <v>61.24</v>
      </c>
      <c r="AY82" s="533">
        <v>61.17</v>
      </c>
      <c r="AZ82" s="533">
        <v>61.09</v>
      </c>
      <c r="BA82" s="533" t="s">
        <v>556</v>
      </c>
      <c r="BB82" s="533" t="s">
        <v>556</v>
      </c>
      <c r="BC82" s="533" t="s">
        <v>556</v>
      </c>
      <c r="BD82" s="533" t="s">
        <v>556</v>
      </c>
      <c r="BE82" s="533" t="s">
        <v>556</v>
      </c>
      <c r="BF82" s="533" t="s">
        <v>556</v>
      </c>
      <c r="BG82" s="533" t="s">
        <v>556</v>
      </c>
      <c r="BH82" s="533" t="s">
        <v>556</v>
      </c>
      <c r="BI82" s="533" t="s">
        <v>556</v>
      </c>
      <c r="BJ82" s="538" t="s">
        <v>556</v>
      </c>
      <c r="BK82" s="538" t="s">
        <v>556</v>
      </c>
    </row>
    <row r="83" spans="2:63" x14ac:dyDescent="0.25">
      <c r="B83" s="532">
        <v>94</v>
      </c>
      <c r="C83" s="533">
        <v>58.96</v>
      </c>
      <c r="D83" s="533">
        <v>58.86</v>
      </c>
      <c r="E83" s="533">
        <v>58.75</v>
      </c>
      <c r="F83" s="533">
        <v>58.65</v>
      </c>
      <c r="G83" s="533">
        <v>58.54</v>
      </c>
      <c r="H83" s="533">
        <v>58.43</v>
      </c>
      <c r="I83" s="533">
        <v>58.31</v>
      </c>
      <c r="J83" s="533" t="s">
        <v>556</v>
      </c>
      <c r="K83" s="533" t="s">
        <v>556</v>
      </c>
      <c r="L83" s="533" t="s">
        <v>556</v>
      </c>
      <c r="M83" s="533" t="s">
        <v>556</v>
      </c>
      <c r="N83" s="533" t="s">
        <v>556</v>
      </c>
      <c r="O83" s="533" t="s">
        <v>556</v>
      </c>
      <c r="P83" s="533" t="s">
        <v>556</v>
      </c>
      <c r="Q83" s="533" t="s">
        <v>556</v>
      </c>
      <c r="R83" s="533" t="s">
        <v>556</v>
      </c>
      <c r="S83" s="533" t="s">
        <v>556</v>
      </c>
      <c r="T83" s="534" t="s">
        <v>556</v>
      </c>
      <c r="U83" s="534" t="s">
        <v>556</v>
      </c>
      <c r="V83" s="531"/>
      <c r="W83" s="532">
        <v>94</v>
      </c>
      <c r="X83" s="533">
        <v>59.53</v>
      </c>
      <c r="Y83" s="533">
        <v>59.44</v>
      </c>
      <c r="Z83" s="533">
        <v>59.35</v>
      </c>
      <c r="AA83" s="533">
        <v>59.26</v>
      </c>
      <c r="AB83" s="533">
        <v>59.16</v>
      </c>
      <c r="AC83" s="533">
        <v>59.06</v>
      </c>
      <c r="AD83" s="533">
        <v>58.95</v>
      </c>
      <c r="AE83" s="533" t="s">
        <v>556</v>
      </c>
      <c r="AF83" s="533" t="s">
        <v>556</v>
      </c>
      <c r="AG83" s="533" t="s">
        <v>556</v>
      </c>
      <c r="AH83" s="533" t="s">
        <v>556</v>
      </c>
      <c r="AI83" s="533" t="s">
        <v>556</v>
      </c>
      <c r="AJ83" s="533" t="s">
        <v>556</v>
      </c>
      <c r="AK83" s="533" t="s">
        <v>556</v>
      </c>
      <c r="AL83" s="533" t="s">
        <v>556</v>
      </c>
      <c r="AM83" s="533" t="s">
        <v>556</v>
      </c>
      <c r="AN83" s="533" t="s">
        <v>556</v>
      </c>
      <c r="AO83" s="534" t="s">
        <v>556</v>
      </c>
      <c r="AP83" s="534" t="s">
        <v>556</v>
      </c>
      <c r="AQ83" s="531"/>
      <c r="AR83" s="532">
        <v>94</v>
      </c>
      <c r="AS83" s="533">
        <v>61.43</v>
      </c>
      <c r="AT83" s="533">
        <v>61.37</v>
      </c>
      <c r="AU83" s="533">
        <v>61.3</v>
      </c>
      <c r="AV83" s="533">
        <v>61.23</v>
      </c>
      <c r="AW83" s="533">
        <v>61.16</v>
      </c>
      <c r="AX83" s="533">
        <v>61.08</v>
      </c>
      <c r="AY83" s="533">
        <v>61</v>
      </c>
      <c r="AZ83" s="533" t="s">
        <v>556</v>
      </c>
      <c r="BA83" s="533" t="s">
        <v>556</v>
      </c>
      <c r="BB83" s="533" t="s">
        <v>556</v>
      </c>
      <c r="BC83" s="533" t="s">
        <v>556</v>
      </c>
      <c r="BD83" s="533" t="s">
        <v>556</v>
      </c>
      <c r="BE83" s="533" t="s">
        <v>556</v>
      </c>
      <c r="BF83" s="533" t="s">
        <v>556</v>
      </c>
      <c r="BG83" s="533" t="s">
        <v>556</v>
      </c>
      <c r="BH83" s="533" t="s">
        <v>556</v>
      </c>
      <c r="BI83" s="533" t="s">
        <v>556</v>
      </c>
      <c r="BJ83" s="538" t="s">
        <v>556</v>
      </c>
      <c r="BK83" s="538" t="s">
        <v>556</v>
      </c>
    </row>
    <row r="84" spans="2:63" x14ac:dyDescent="0.25">
      <c r="B84" s="532">
        <v>95</v>
      </c>
      <c r="C84" s="533">
        <v>58.75</v>
      </c>
      <c r="D84" s="533">
        <v>58.64</v>
      </c>
      <c r="E84" s="533">
        <v>58.53</v>
      </c>
      <c r="F84" s="533">
        <v>58.41</v>
      </c>
      <c r="G84" s="533">
        <v>58.29</v>
      </c>
      <c r="H84" s="533">
        <v>58.16</v>
      </c>
      <c r="I84" s="533" t="s">
        <v>556</v>
      </c>
      <c r="J84" s="533" t="s">
        <v>556</v>
      </c>
      <c r="K84" s="533" t="s">
        <v>556</v>
      </c>
      <c r="L84" s="533" t="s">
        <v>556</v>
      </c>
      <c r="M84" s="533" t="s">
        <v>556</v>
      </c>
      <c r="N84" s="533" t="s">
        <v>556</v>
      </c>
      <c r="O84" s="533" t="s">
        <v>556</v>
      </c>
      <c r="P84" s="533" t="s">
        <v>556</v>
      </c>
      <c r="Q84" s="533" t="s">
        <v>556</v>
      </c>
      <c r="R84" s="533" t="s">
        <v>556</v>
      </c>
      <c r="S84" s="533" t="s">
        <v>556</v>
      </c>
      <c r="T84" s="534" t="s">
        <v>556</v>
      </c>
      <c r="U84" s="534" t="s">
        <v>556</v>
      </c>
      <c r="V84" s="531"/>
      <c r="W84" s="532">
        <v>95</v>
      </c>
      <c r="X84" s="533">
        <v>59.35</v>
      </c>
      <c r="Y84" s="533">
        <v>59.25</v>
      </c>
      <c r="Z84" s="533">
        <v>59.15</v>
      </c>
      <c r="AA84" s="533">
        <v>59.04</v>
      </c>
      <c r="AB84" s="533">
        <v>58.93</v>
      </c>
      <c r="AC84" s="533">
        <v>58.82</v>
      </c>
      <c r="AD84" s="533" t="s">
        <v>556</v>
      </c>
      <c r="AE84" s="533" t="s">
        <v>556</v>
      </c>
      <c r="AF84" s="533" t="s">
        <v>556</v>
      </c>
      <c r="AG84" s="533" t="s">
        <v>556</v>
      </c>
      <c r="AH84" s="533" t="s">
        <v>556</v>
      </c>
      <c r="AI84" s="533" t="s">
        <v>556</v>
      </c>
      <c r="AJ84" s="533" t="s">
        <v>556</v>
      </c>
      <c r="AK84" s="533" t="s">
        <v>556</v>
      </c>
      <c r="AL84" s="533" t="s">
        <v>556</v>
      </c>
      <c r="AM84" s="533" t="s">
        <v>556</v>
      </c>
      <c r="AN84" s="533" t="s">
        <v>556</v>
      </c>
      <c r="AO84" s="534" t="s">
        <v>556</v>
      </c>
      <c r="AP84" s="534" t="s">
        <v>556</v>
      </c>
      <c r="AQ84" s="531"/>
      <c r="AR84" s="532">
        <v>95</v>
      </c>
      <c r="AS84" s="533">
        <v>61.29</v>
      </c>
      <c r="AT84" s="533">
        <v>61.22</v>
      </c>
      <c r="AU84" s="533">
        <v>61.15</v>
      </c>
      <c r="AV84" s="533">
        <v>61.07</v>
      </c>
      <c r="AW84" s="533">
        <v>60.99</v>
      </c>
      <c r="AX84" s="533">
        <v>60.9</v>
      </c>
      <c r="AY84" s="533" t="s">
        <v>556</v>
      </c>
      <c r="AZ84" s="533" t="s">
        <v>556</v>
      </c>
      <c r="BA84" s="533" t="s">
        <v>556</v>
      </c>
      <c r="BB84" s="533" t="s">
        <v>556</v>
      </c>
      <c r="BC84" s="533" t="s">
        <v>556</v>
      </c>
      <c r="BD84" s="533" t="s">
        <v>556</v>
      </c>
      <c r="BE84" s="533" t="s">
        <v>556</v>
      </c>
      <c r="BF84" s="533" t="s">
        <v>556</v>
      </c>
      <c r="BG84" s="533" t="s">
        <v>556</v>
      </c>
      <c r="BH84" s="533" t="s">
        <v>556</v>
      </c>
      <c r="BI84" s="533" t="s">
        <v>556</v>
      </c>
      <c r="BJ84" s="538" t="s">
        <v>556</v>
      </c>
      <c r="BK84" s="538" t="s">
        <v>556</v>
      </c>
    </row>
    <row r="85" spans="2:63" x14ac:dyDescent="0.25">
      <c r="B85" s="532">
        <v>96</v>
      </c>
      <c r="C85" s="533">
        <v>58.52</v>
      </c>
      <c r="D85" s="533">
        <v>58.4</v>
      </c>
      <c r="E85" s="533">
        <v>58.28</v>
      </c>
      <c r="F85" s="533">
        <v>58.15</v>
      </c>
      <c r="G85" s="533">
        <v>58.01</v>
      </c>
      <c r="H85" s="533" t="s">
        <v>556</v>
      </c>
      <c r="I85" s="533" t="s">
        <v>556</v>
      </c>
      <c r="J85" s="533" t="s">
        <v>556</v>
      </c>
      <c r="K85" s="533" t="s">
        <v>556</v>
      </c>
      <c r="L85" s="533" t="s">
        <v>556</v>
      </c>
      <c r="M85" s="533" t="s">
        <v>556</v>
      </c>
      <c r="N85" s="533" t="s">
        <v>556</v>
      </c>
      <c r="O85" s="533" t="s">
        <v>556</v>
      </c>
      <c r="P85" s="533" t="s">
        <v>556</v>
      </c>
      <c r="Q85" s="533" t="s">
        <v>556</v>
      </c>
      <c r="R85" s="533" t="s">
        <v>556</v>
      </c>
      <c r="S85" s="533" t="s">
        <v>556</v>
      </c>
      <c r="T85" s="534" t="s">
        <v>556</v>
      </c>
      <c r="U85" s="534" t="s">
        <v>556</v>
      </c>
      <c r="V85" s="531"/>
      <c r="W85" s="532">
        <v>96</v>
      </c>
      <c r="X85" s="533">
        <v>59.14</v>
      </c>
      <c r="Y85" s="533">
        <v>59.03</v>
      </c>
      <c r="Z85" s="533">
        <v>58.92</v>
      </c>
      <c r="AA85" s="533">
        <v>58.8</v>
      </c>
      <c r="AB85" s="533">
        <v>58.68</v>
      </c>
      <c r="AC85" s="533" t="s">
        <v>556</v>
      </c>
      <c r="AD85" s="533" t="s">
        <v>556</v>
      </c>
      <c r="AE85" s="533" t="s">
        <v>556</v>
      </c>
      <c r="AF85" s="533" t="s">
        <v>556</v>
      </c>
      <c r="AG85" s="533" t="s">
        <v>556</v>
      </c>
      <c r="AH85" s="533" t="s">
        <v>556</v>
      </c>
      <c r="AI85" s="533" t="s">
        <v>556</v>
      </c>
      <c r="AJ85" s="533" t="s">
        <v>556</v>
      </c>
      <c r="AK85" s="533" t="s">
        <v>556</v>
      </c>
      <c r="AL85" s="533" t="s">
        <v>556</v>
      </c>
      <c r="AM85" s="533" t="s">
        <v>556</v>
      </c>
      <c r="AN85" s="533" t="s">
        <v>556</v>
      </c>
      <c r="AO85" s="534" t="s">
        <v>556</v>
      </c>
      <c r="AP85" s="534" t="s">
        <v>556</v>
      </c>
      <c r="AQ85" s="531"/>
      <c r="AR85" s="532">
        <v>96</v>
      </c>
      <c r="AS85" s="533">
        <v>61.14</v>
      </c>
      <c r="AT85" s="533">
        <v>61.07</v>
      </c>
      <c r="AU85" s="533">
        <v>60.98</v>
      </c>
      <c r="AV85" s="533">
        <v>60.9</v>
      </c>
      <c r="AW85" s="533">
        <v>60.8</v>
      </c>
      <c r="AX85" s="533" t="s">
        <v>556</v>
      </c>
      <c r="AY85" s="533" t="s">
        <v>556</v>
      </c>
      <c r="AZ85" s="533" t="s">
        <v>556</v>
      </c>
      <c r="BA85" s="533" t="s">
        <v>556</v>
      </c>
      <c r="BB85" s="533" t="s">
        <v>556</v>
      </c>
      <c r="BC85" s="533" t="s">
        <v>556</v>
      </c>
      <c r="BD85" s="533" t="s">
        <v>556</v>
      </c>
      <c r="BE85" s="533" t="s">
        <v>556</v>
      </c>
      <c r="BF85" s="533" t="s">
        <v>556</v>
      </c>
      <c r="BG85" s="533" t="s">
        <v>556</v>
      </c>
      <c r="BH85" s="533" t="s">
        <v>556</v>
      </c>
      <c r="BI85" s="533" t="s">
        <v>556</v>
      </c>
      <c r="BJ85" s="538" t="s">
        <v>556</v>
      </c>
      <c r="BK85" s="538" t="s">
        <v>556</v>
      </c>
    </row>
    <row r="86" spans="2:63" x14ac:dyDescent="0.25">
      <c r="B86" s="532">
        <v>97</v>
      </c>
      <c r="C86" s="533">
        <v>58.27</v>
      </c>
      <c r="D86" s="533">
        <v>58.14</v>
      </c>
      <c r="E86" s="533">
        <v>58</v>
      </c>
      <c r="F86" s="533">
        <v>57.85</v>
      </c>
      <c r="G86" s="533" t="s">
        <v>556</v>
      </c>
      <c r="H86" s="533" t="s">
        <v>556</v>
      </c>
      <c r="I86" s="533" t="s">
        <v>556</v>
      </c>
      <c r="J86" s="533" t="s">
        <v>556</v>
      </c>
      <c r="K86" s="533" t="s">
        <v>556</v>
      </c>
      <c r="L86" s="533" t="s">
        <v>556</v>
      </c>
      <c r="M86" s="533" t="s">
        <v>556</v>
      </c>
      <c r="N86" s="533" t="s">
        <v>556</v>
      </c>
      <c r="O86" s="533" t="s">
        <v>556</v>
      </c>
      <c r="P86" s="533" t="s">
        <v>556</v>
      </c>
      <c r="Q86" s="533" t="s">
        <v>556</v>
      </c>
      <c r="R86" s="533" t="s">
        <v>556</v>
      </c>
      <c r="S86" s="533" t="s">
        <v>556</v>
      </c>
      <c r="T86" s="534" t="s">
        <v>556</v>
      </c>
      <c r="U86" s="534" t="s">
        <v>556</v>
      </c>
      <c r="V86" s="531"/>
      <c r="W86" s="532">
        <v>97</v>
      </c>
      <c r="X86" s="533">
        <v>58.91</v>
      </c>
      <c r="Y86" s="533">
        <v>58.79</v>
      </c>
      <c r="Z86" s="533">
        <v>58.67</v>
      </c>
      <c r="AA86" s="533">
        <v>58.53</v>
      </c>
      <c r="AB86" s="533" t="s">
        <v>556</v>
      </c>
      <c r="AC86" s="533" t="s">
        <v>556</v>
      </c>
      <c r="AD86" s="533" t="s">
        <v>556</v>
      </c>
      <c r="AE86" s="533" t="s">
        <v>556</v>
      </c>
      <c r="AF86" s="533" t="s">
        <v>556</v>
      </c>
      <c r="AG86" s="533" t="s">
        <v>556</v>
      </c>
      <c r="AH86" s="533" t="s">
        <v>556</v>
      </c>
      <c r="AI86" s="533" t="s">
        <v>556</v>
      </c>
      <c r="AJ86" s="533" t="s">
        <v>556</v>
      </c>
      <c r="AK86" s="533" t="s">
        <v>556</v>
      </c>
      <c r="AL86" s="533" t="s">
        <v>556</v>
      </c>
      <c r="AM86" s="533" t="s">
        <v>556</v>
      </c>
      <c r="AN86" s="533" t="s">
        <v>556</v>
      </c>
      <c r="AO86" s="534" t="s">
        <v>556</v>
      </c>
      <c r="AP86" s="534" t="s">
        <v>556</v>
      </c>
      <c r="AQ86" s="531"/>
      <c r="AR86" s="532">
        <v>97</v>
      </c>
      <c r="AS86" s="533">
        <v>60.98</v>
      </c>
      <c r="AT86" s="533">
        <v>60.89</v>
      </c>
      <c r="AU86" s="533">
        <v>60.8</v>
      </c>
      <c r="AV86" s="533">
        <v>60.69</v>
      </c>
      <c r="AW86" s="533" t="s">
        <v>556</v>
      </c>
      <c r="AX86" s="533" t="s">
        <v>556</v>
      </c>
      <c r="AY86" s="533" t="s">
        <v>556</v>
      </c>
      <c r="AZ86" s="533" t="s">
        <v>556</v>
      </c>
      <c r="BA86" s="533" t="s">
        <v>556</v>
      </c>
      <c r="BB86" s="533" t="s">
        <v>556</v>
      </c>
      <c r="BC86" s="533" t="s">
        <v>556</v>
      </c>
      <c r="BD86" s="533" t="s">
        <v>556</v>
      </c>
      <c r="BE86" s="533" t="s">
        <v>556</v>
      </c>
      <c r="BF86" s="533" t="s">
        <v>556</v>
      </c>
      <c r="BG86" s="533" t="s">
        <v>556</v>
      </c>
      <c r="BH86" s="533" t="s">
        <v>556</v>
      </c>
      <c r="BI86" s="533" t="s">
        <v>556</v>
      </c>
      <c r="BJ86" s="538" t="s">
        <v>556</v>
      </c>
      <c r="BK86" s="538" t="s">
        <v>556</v>
      </c>
    </row>
    <row r="87" spans="2:63" x14ac:dyDescent="0.25">
      <c r="B87" s="532">
        <v>98</v>
      </c>
      <c r="C87" s="533">
        <v>57.99</v>
      </c>
      <c r="D87" s="533">
        <v>57.84</v>
      </c>
      <c r="E87" s="533">
        <v>57.68</v>
      </c>
      <c r="F87" s="533" t="s">
        <v>556</v>
      </c>
      <c r="G87" s="533" t="s">
        <v>556</v>
      </c>
      <c r="H87" s="533" t="s">
        <v>556</v>
      </c>
      <c r="I87" s="533" t="s">
        <v>556</v>
      </c>
      <c r="J87" s="533" t="s">
        <v>556</v>
      </c>
      <c r="K87" s="533" t="s">
        <v>556</v>
      </c>
      <c r="L87" s="533" t="s">
        <v>556</v>
      </c>
      <c r="M87" s="533" t="s">
        <v>556</v>
      </c>
      <c r="N87" s="533" t="s">
        <v>556</v>
      </c>
      <c r="O87" s="533" t="s">
        <v>556</v>
      </c>
      <c r="P87" s="533" t="s">
        <v>556</v>
      </c>
      <c r="Q87" s="533" t="s">
        <v>556</v>
      </c>
      <c r="R87" s="533" t="s">
        <v>556</v>
      </c>
      <c r="S87" s="533" t="s">
        <v>556</v>
      </c>
      <c r="T87" s="534" t="s">
        <v>556</v>
      </c>
      <c r="U87" s="534" t="s">
        <v>556</v>
      </c>
      <c r="V87" s="531"/>
      <c r="W87" s="532">
        <v>98</v>
      </c>
      <c r="X87" s="533">
        <v>58.66</v>
      </c>
      <c r="Y87" s="533">
        <v>58.52</v>
      </c>
      <c r="Z87" s="533">
        <v>58.38</v>
      </c>
      <c r="AA87" s="533" t="s">
        <v>556</v>
      </c>
      <c r="AB87" s="533" t="s">
        <v>556</v>
      </c>
      <c r="AC87" s="533" t="s">
        <v>556</v>
      </c>
      <c r="AD87" s="533" t="s">
        <v>556</v>
      </c>
      <c r="AE87" s="533" t="s">
        <v>556</v>
      </c>
      <c r="AF87" s="533" t="s">
        <v>556</v>
      </c>
      <c r="AG87" s="533" t="s">
        <v>556</v>
      </c>
      <c r="AH87" s="533" t="s">
        <v>556</v>
      </c>
      <c r="AI87" s="533" t="s">
        <v>556</v>
      </c>
      <c r="AJ87" s="533" t="s">
        <v>556</v>
      </c>
      <c r="AK87" s="533" t="s">
        <v>556</v>
      </c>
      <c r="AL87" s="533" t="s">
        <v>556</v>
      </c>
      <c r="AM87" s="533" t="s">
        <v>556</v>
      </c>
      <c r="AN87" s="533" t="s">
        <v>556</v>
      </c>
      <c r="AO87" s="534" t="s">
        <v>556</v>
      </c>
      <c r="AP87" s="534" t="s">
        <v>556</v>
      </c>
      <c r="AQ87" s="531"/>
      <c r="AR87" s="532">
        <v>98</v>
      </c>
      <c r="AS87" s="533">
        <v>60.78</v>
      </c>
      <c r="AT87" s="533">
        <v>60.69</v>
      </c>
      <c r="AU87" s="533">
        <v>60.58</v>
      </c>
      <c r="AV87" s="533" t="s">
        <v>556</v>
      </c>
      <c r="AW87" s="533" t="s">
        <v>556</v>
      </c>
      <c r="AX87" s="533" t="s">
        <v>556</v>
      </c>
      <c r="AY87" s="533" t="s">
        <v>556</v>
      </c>
      <c r="AZ87" s="533" t="s">
        <v>556</v>
      </c>
      <c r="BA87" s="533" t="s">
        <v>556</v>
      </c>
      <c r="BB87" s="533" t="s">
        <v>556</v>
      </c>
      <c r="BC87" s="533" t="s">
        <v>556</v>
      </c>
      <c r="BD87" s="533" t="s">
        <v>556</v>
      </c>
      <c r="BE87" s="533" t="s">
        <v>556</v>
      </c>
      <c r="BF87" s="533" t="s">
        <v>556</v>
      </c>
      <c r="BG87" s="533" t="s">
        <v>556</v>
      </c>
      <c r="BH87" s="533" t="s">
        <v>556</v>
      </c>
      <c r="BI87" s="533" t="s">
        <v>556</v>
      </c>
      <c r="BJ87" s="538" t="s">
        <v>556</v>
      </c>
      <c r="BK87" s="538" t="s">
        <v>556</v>
      </c>
    </row>
    <row r="88" spans="2:63" x14ac:dyDescent="0.25">
      <c r="B88" s="532">
        <v>99</v>
      </c>
      <c r="C88" s="533">
        <v>57.67</v>
      </c>
      <c r="D88" s="533">
        <v>57.5</v>
      </c>
      <c r="E88" s="533" t="s">
        <v>556</v>
      </c>
      <c r="F88" s="533" t="s">
        <v>556</v>
      </c>
      <c r="G88" s="533" t="s">
        <v>556</v>
      </c>
      <c r="H88" s="533" t="s">
        <v>556</v>
      </c>
      <c r="I88" s="533" t="s">
        <v>556</v>
      </c>
      <c r="J88" s="533" t="s">
        <v>556</v>
      </c>
      <c r="K88" s="533" t="s">
        <v>556</v>
      </c>
      <c r="L88" s="533" t="s">
        <v>556</v>
      </c>
      <c r="M88" s="533" t="s">
        <v>556</v>
      </c>
      <c r="N88" s="533" t="s">
        <v>556</v>
      </c>
      <c r="O88" s="533" t="s">
        <v>556</v>
      </c>
      <c r="P88" s="533" t="s">
        <v>556</v>
      </c>
      <c r="Q88" s="533" t="s">
        <v>556</v>
      </c>
      <c r="R88" s="533" t="s">
        <v>556</v>
      </c>
      <c r="S88" s="533" t="s">
        <v>556</v>
      </c>
      <c r="T88" s="534" t="s">
        <v>556</v>
      </c>
      <c r="U88" s="534" t="s">
        <v>556</v>
      </c>
      <c r="V88" s="531"/>
      <c r="W88" s="532">
        <v>99</v>
      </c>
      <c r="X88" s="533">
        <v>58.37</v>
      </c>
      <c r="Y88" s="533">
        <v>58.21</v>
      </c>
      <c r="Z88" s="533" t="s">
        <v>556</v>
      </c>
      <c r="AA88" s="533" t="s">
        <v>556</v>
      </c>
      <c r="AB88" s="533" t="s">
        <v>556</v>
      </c>
      <c r="AC88" s="533" t="s">
        <v>556</v>
      </c>
      <c r="AD88" s="533" t="s">
        <v>556</v>
      </c>
      <c r="AE88" s="533" t="s">
        <v>556</v>
      </c>
      <c r="AF88" s="533" t="s">
        <v>556</v>
      </c>
      <c r="AG88" s="533" t="s">
        <v>556</v>
      </c>
      <c r="AH88" s="533" t="s">
        <v>556</v>
      </c>
      <c r="AI88" s="533" t="s">
        <v>556</v>
      </c>
      <c r="AJ88" s="533" t="s">
        <v>556</v>
      </c>
      <c r="AK88" s="533" t="s">
        <v>556</v>
      </c>
      <c r="AL88" s="533" t="s">
        <v>556</v>
      </c>
      <c r="AM88" s="533" t="s">
        <v>556</v>
      </c>
      <c r="AN88" s="533" t="s">
        <v>556</v>
      </c>
      <c r="AO88" s="534" t="s">
        <v>556</v>
      </c>
      <c r="AP88" s="534" t="s">
        <v>556</v>
      </c>
      <c r="AQ88" s="531"/>
      <c r="AR88" s="532">
        <v>99</v>
      </c>
      <c r="AS88" s="533">
        <v>60.56</v>
      </c>
      <c r="AT88" s="533">
        <v>60.45</v>
      </c>
      <c r="AU88" s="533" t="s">
        <v>556</v>
      </c>
      <c r="AV88" s="533" t="s">
        <v>556</v>
      </c>
      <c r="AW88" s="533" t="s">
        <v>556</v>
      </c>
      <c r="AX88" s="533" t="s">
        <v>556</v>
      </c>
      <c r="AY88" s="533" t="s">
        <v>556</v>
      </c>
      <c r="AZ88" s="533" t="s">
        <v>556</v>
      </c>
      <c r="BA88" s="533" t="s">
        <v>556</v>
      </c>
      <c r="BB88" s="533" t="s">
        <v>556</v>
      </c>
      <c r="BC88" s="533" t="s">
        <v>556</v>
      </c>
      <c r="BD88" s="533" t="s">
        <v>556</v>
      </c>
      <c r="BE88" s="533" t="s">
        <v>556</v>
      </c>
      <c r="BF88" s="533" t="s">
        <v>556</v>
      </c>
      <c r="BG88" s="533" t="s">
        <v>556</v>
      </c>
      <c r="BH88" s="533" t="s">
        <v>556</v>
      </c>
      <c r="BI88" s="533" t="s">
        <v>556</v>
      </c>
      <c r="BJ88" s="538" t="s">
        <v>556</v>
      </c>
      <c r="BK88" s="538" t="s">
        <v>556</v>
      </c>
    </row>
    <row r="89" spans="2:63" x14ac:dyDescent="0.25">
      <c r="B89" s="532">
        <v>100</v>
      </c>
      <c r="C89" s="533">
        <v>57.3</v>
      </c>
      <c r="D89" s="533" t="s">
        <v>556</v>
      </c>
      <c r="E89" s="533" t="s">
        <v>556</v>
      </c>
      <c r="F89" s="533" t="s">
        <v>556</v>
      </c>
      <c r="G89" s="533" t="s">
        <v>556</v>
      </c>
      <c r="H89" s="533" t="s">
        <v>556</v>
      </c>
      <c r="I89" s="533" t="s">
        <v>556</v>
      </c>
      <c r="J89" s="533" t="s">
        <v>556</v>
      </c>
      <c r="K89" s="533" t="s">
        <v>556</v>
      </c>
      <c r="L89" s="533" t="s">
        <v>556</v>
      </c>
      <c r="M89" s="533" t="s">
        <v>556</v>
      </c>
      <c r="N89" s="533" t="s">
        <v>556</v>
      </c>
      <c r="O89" s="533" t="s">
        <v>556</v>
      </c>
      <c r="P89" s="533" t="s">
        <v>556</v>
      </c>
      <c r="Q89" s="533" t="s">
        <v>556</v>
      </c>
      <c r="R89" s="533" t="s">
        <v>556</v>
      </c>
      <c r="S89" s="533" t="s">
        <v>556</v>
      </c>
      <c r="T89" s="534" t="s">
        <v>556</v>
      </c>
      <c r="U89" s="534" t="s">
        <v>556</v>
      </c>
      <c r="V89" s="531"/>
      <c r="W89" s="532">
        <v>100</v>
      </c>
      <c r="X89" s="533">
        <v>58.03</v>
      </c>
      <c r="Y89" s="533" t="s">
        <v>556</v>
      </c>
      <c r="Z89" s="533" t="s">
        <v>556</v>
      </c>
      <c r="AA89" s="533" t="s">
        <v>556</v>
      </c>
      <c r="AB89" s="533" t="s">
        <v>556</v>
      </c>
      <c r="AC89" s="533" t="s">
        <v>556</v>
      </c>
      <c r="AD89" s="533" t="s">
        <v>556</v>
      </c>
      <c r="AE89" s="533" t="s">
        <v>556</v>
      </c>
      <c r="AF89" s="533" t="s">
        <v>556</v>
      </c>
      <c r="AG89" s="533" t="s">
        <v>556</v>
      </c>
      <c r="AH89" s="533" t="s">
        <v>556</v>
      </c>
      <c r="AI89" s="533" t="s">
        <v>556</v>
      </c>
      <c r="AJ89" s="533" t="s">
        <v>556</v>
      </c>
      <c r="AK89" s="533" t="s">
        <v>556</v>
      </c>
      <c r="AL89" s="533" t="s">
        <v>556</v>
      </c>
      <c r="AM89" s="533" t="s">
        <v>556</v>
      </c>
      <c r="AN89" s="533" t="s">
        <v>556</v>
      </c>
      <c r="AO89" s="534" t="s">
        <v>556</v>
      </c>
      <c r="AP89" s="534" t="s">
        <v>556</v>
      </c>
      <c r="AQ89" s="531"/>
      <c r="AR89" s="532">
        <v>100</v>
      </c>
      <c r="AS89" s="533">
        <v>60.3</v>
      </c>
      <c r="AT89" s="533" t="s">
        <v>556</v>
      </c>
      <c r="AU89" s="533" t="s">
        <v>556</v>
      </c>
      <c r="AV89" s="533" t="s">
        <v>556</v>
      </c>
      <c r="AW89" s="533" t="s">
        <v>556</v>
      </c>
      <c r="AX89" s="533" t="s">
        <v>556</v>
      </c>
      <c r="AY89" s="533" t="s">
        <v>556</v>
      </c>
      <c r="AZ89" s="533" t="s">
        <v>556</v>
      </c>
      <c r="BA89" s="533" t="s">
        <v>556</v>
      </c>
      <c r="BB89" s="533" t="s">
        <v>556</v>
      </c>
      <c r="BC89" s="533" t="s">
        <v>556</v>
      </c>
      <c r="BD89" s="533" t="s">
        <v>556</v>
      </c>
      <c r="BE89" s="533" t="s">
        <v>556</v>
      </c>
      <c r="BF89" s="533" t="s">
        <v>556</v>
      </c>
      <c r="BG89" s="533" t="s">
        <v>556</v>
      </c>
      <c r="BH89" s="533" t="s">
        <v>556</v>
      </c>
      <c r="BI89" s="533" t="s">
        <v>556</v>
      </c>
      <c r="BJ89" s="538" t="s">
        <v>556</v>
      </c>
      <c r="BK89" s="538" t="s">
        <v>556</v>
      </c>
    </row>
  </sheetData>
  <mergeCells count="6">
    <mergeCell ref="C3:U3"/>
    <mergeCell ref="X3:AP3"/>
    <mergeCell ref="AS3:BK3"/>
    <mergeCell ref="C5:U5"/>
    <mergeCell ref="X5:AP5"/>
    <mergeCell ref="AS5:BK5"/>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5" tint="0.39997558519241921"/>
  </sheetPr>
  <dimension ref="B1:K105"/>
  <sheetViews>
    <sheetView topLeftCell="A4" workbookViewId="0">
      <selection activeCell="B5" sqref="B5:E105"/>
    </sheetView>
  </sheetViews>
  <sheetFormatPr defaultColWidth="9.140625" defaultRowHeight="12.75" x14ac:dyDescent="0.2"/>
  <cols>
    <col min="1" max="1" width="9.140625" style="426"/>
    <col min="2" max="2" width="8.85546875" style="426" customWidth="1"/>
    <col min="3" max="3" width="13" style="426" customWidth="1"/>
    <col min="4" max="4" width="12.5703125" style="426" customWidth="1"/>
    <col min="5" max="5" width="9.85546875" style="426" customWidth="1"/>
    <col min="6" max="6" width="3.140625" style="426" customWidth="1"/>
    <col min="7" max="7" width="8.85546875" style="426" customWidth="1"/>
    <col min="8" max="8" width="11.42578125" style="426" customWidth="1"/>
    <col min="9" max="9" width="13.85546875" style="426" customWidth="1"/>
    <col min="10" max="10" width="14.42578125" style="426" customWidth="1"/>
    <col min="11" max="16384" width="9.140625" style="426"/>
  </cols>
  <sheetData>
    <row r="1" spans="2:10" x14ac:dyDescent="0.2">
      <c r="B1" s="425" t="s">
        <v>438</v>
      </c>
      <c r="C1" s="425"/>
      <c r="D1" s="425"/>
      <c r="J1" s="437" t="s">
        <v>151</v>
      </c>
    </row>
    <row r="2" spans="2:10" x14ac:dyDescent="0.2">
      <c r="B2" s="483">
        <f>SUM(C5:E105)</f>
        <v>17695.649999999998</v>
      </c>
      <c r="C2" s="426">
        <v>17551.726707530688</v>
      </c>
      <c r="D2" s="433">
        <f>C2-B2</f>
        <v>-143.92329246930967</v>
      </c>
    </row>
    <row r="3" spans="2:10" x14ac:dyDescent="0.2">
      <c r="B3" s="753" t="s">
        <v>178</v>
      </c>
      <c r="C3" s="754"/>
      <c r="D3" s="754"/>
      <c r="E3" s="754"/>
      <c r="F3" s="755"/>
      <c r="G3" s="755"/>
      <c r="H3" s="755"/>
      <c r="I3" s="755"/>
      <c r="J3" s="755"/>
    </row>
    <row r="4" spans="2:10" ht="25.5" x14ac:dyDescent="0.2">
      <c r="B4" s="109" t="s">
        <v>1</v>
      </c>
      <c r="C4" s="109" t="s">
        <v>153</v>
      </c>
      <c r="D4" s="110" t="s">
        <v>154</v>
      </c>
      <c r="E4" s="110" t="s">
        <v>155</v>
      </c>
      <c r="F4" s="429"/>
      <c r="G4" s="109"/>
      <c r="H4" s="109"/>
      <c r="I4" s="110"/>
      <c r="J4" s="110"/>
    </row>
    <row r="5" spans="2:10" x14ac:dyDescent="0.2">
      <c r="B5" s="113">
        <v>0</v>
      </c>
      <c r="C5" s="417">
        <v>55.25</v>
      </c>
      <c r="D5" s="417">
        <v>55.43</v>
      </c>
      <c r="E5" s="417">
        <v>55.86</v>
      </c>
    </row>
    <row r="6" spans="2:10" x14ac:dyDescent="0.2">
      <c r="B6" s="113">
        <v>1</v>
      </c>
      <c r="C6" s="417">
        <v>55.3</v>
      </c>
      <c r="D6" s="417">
        <v>55.49</v>
      </c>
      <c r="E6" s="417">
        <v>55.91</v>
      </c>
    </row>
    <row r="7" spans="2:10" x14ac:dyDescent="0.2">
      <c r="B7" s="113">
        <v>2</v>
      </c>
      <c r="C7" s="417">
        <v>55.35</v>
      </c>
      <c r="D7" s="417">
        <v>55.54</v>
      </c>
      <c r="E7" s="417">
        <v>55.97</v>
      </c>
    </row>
    <row r="8" spans="2:10" x14ac:dyDescent="0.2">
      <c r="B8" s="113">
        <v>3</v>
      </c>
      <c r="C8" s="417">
        <v>55.41</v>
      </c>
      <c r="D8" s="417">
        <v>55.6</v>
      </c>
      <c r="E8" s="417">
        <v>56.03</v>
      </c>
    </row>
    <row r="9" spans="2:10" x14ac:dyDescent="0.2">
      <c r="B9" s="113">
        <v>4</v>
      </c>
      <c r="C9" s="417">
        <v>55.47</v>
      </c>
      <c r="D9" s="417">
        <v>55.66</v>
      </c>
      <c r="E9" s="417">
        <v>56.09</v>
      </c>
    </row>
    <row r="10" spans="2:10" x14ac:dyDescent="0.2">
      <c r="B10" s="113">
        <v>5</v>
      </c>
      <c r="C10" s="417">
        <v>55.54</v>
      </c>
      <c r="D10" s="417">
        <v>55.73</v>
      </c>
      <c r="E10" s="417">
        <v>56.16</v>
      </c>
    </row>
    <row r="11" spans="2:10" x14ac:dyDescent="0.2">
      <c r="B11" s="113">
        <v>6</v>
      </c>
      <c r="C11" s="417">
        <v>55.6</v>
      </c>
      <c r="D11" s="417">
        <v>55.79</v>
      </c>
      <c r="E11" s="417">
        <v>56.22</v>
      </c>
    </row>
    <row r="12" spans="2:10" x14ac:dyDescent="0.2">
      <c r="B12" s="113">
        <v>7</v>
      </c>
      <c r="C12" s="417">
        <v>55.67</v>
      </c>
      <c r="D12" s="417">
        <v>55.86</v>
      </c>
      <c r="E12" s="417">
        <v>56.29</v>
      </c>
    </row>
    <row r="13" spans="2:10" x14ac:dyDescent="0.2">
      <c r="B13" s="113">
        <v>8</v>
      </c>
      <c r="C13" s="417">
        <v>55.75</v>
      </c>
      <c r="D13" s="417">
        <v>55.94</v>
      </c>
      <c r="E13" s="417">
        <v>56.37</v>
      </c>
    </row>
    <row r="14" spans="2:10" x14ac:dyDescent="0.2">
      <c r="B14" s="113">
        <v>9</v>
      </c>
      <c r="C14" s="417">
        <v>55.82</v>
      </c>
      <c r="D14" s="417">
        <v>56.01</v>
      </c>
      <c r="E14" s="417">
        <v>56.45</v>
      </c>
    </row>
    <row r="15" spans="2:10" x14ac:dyDescent="0.2">
      <c r="B15" s="113">
        <v>10</v>
      </c>
      <c r="C15" s="417">
        <v>55.9</v>
      </c>
      <c r="D15" s="417">
        <v>56.1</v>
      </c>
      <c r="E15" s="417">
        <v>56.53</v>
      </c>
    </row>
    <row r="16" spans="2:10" x14ac:dyDescent="0.2">
      <c r="B16" s="113">
        <v>11</v>
      </c>
      <c r="C16" s="417">
        <v>55.99</v>
      </c>
      <c r="D16" s="417">
        <v>56.18</v>
      </c>
      <c r="E16" s="417">
        <v>56.62</v>
      </c>
    </row>
    <row r="17" spans="2:5" x14ac:dyDescent="0.2">
      <c r="B17" s="113">
        <v>12</v>
      </c>
      <c r="C17" s="417">
        <v>56.08</v>
      </c>
      <c r="D17" s="417">
        <v>56.27</v>
      </c>
      <c r="E17" s="417">
        <v>56.71</v>
      </c>
    </row>
    <row r="18" spans="2:5" x14ac:dyDescent="0.2">
      <c r="B18" s="113">
        <v>13</v>
      </c>
      <c r="C18" s="417">
        <v>56.17</v>
      </c>
      <c r="D18" s="417">
        <v>56.36</v>
      </c>
      <c r="E18" s="417">
        <v>56.8</v>
      </c>
    </row>
    <row r="19" spans="2:5" x14ac:dyDescent="0.2">
      <c r="B19" s="113">
        <v>14</v>
      </c>
      <c r="C19" s="417">
        <v>56.27</v>
      </c>
      <c r="D19" s="417">
        <v>56.46</v>
      </c>
      <c r="E19" s="417">
        <v>56.9</v>
      </c>
    </row>
    <row r="20" spans="2:5" x14ac:dyDescent="0.2">
      <c r="B20" s="113">
        <v>15</v>
      </c>
      <c r="C20" s="417">
        <v>56.37</v>
      </c>
      <c r="D20" s="417">
        <v>56.57</v>
      </c>
      <c r="E20" s="417">
        <v>57.01</v>
      </c>
    </row>
    <row r="21" spans="2:5" x14ac:dyDescent="0.2">
      <c r="B21" s="113">
        <v>16</v>
      </c>
      <c r="C21" s="417">
        <v>56.48</v>
      </c>
      <c r="D21" s="417">
        <v>56.68</v>
      </c>
      <c r="E21" s="417">
        <v>57.12</v>
      </c>
    </row>
    <row r="22" spans="2:5" x14ac:dyDescent="0.2">
      <c r="B22" s="113">
        <v>17</v>
      </c>
      <c r="C22" s="417">
        <v>56.6</v>
      </c>
      <c r="D22" s="417">
        <v>56.79</v>
      </c>
      <c r="E22" s="417">
        <v>57.24</v>
      </c>
    </row>
    <row r="23" spans="2:5" x14ac:dyDescent="0.2">
      <c r="B23" s="113">
        <v>18</v>
      </c>
      <c r="C23" s="417">
        <v>56.72</v>
      </c>
      <c r="D23" s="417">
        <v>56.91</v>
      </c>
      <c r="E23" s="417">
        <v>57.36</v>
      </c>
    </row>
    <row r="24" spans="2:5" x14ac:dyDescent="0.2">
      <c r="B24" s="113">
        <v>19</v>
      </c>
      <c r="C24" s="417">
        <v>56.85</v>
      </c>
      <c r="D24" s="417">
        <v>57.04</v>
      </c>
      <c r="E24" s="417">
        <v>57.49</v>
      </c>
    </row>
    <row r="25" spans="2:5" x14ac:dyDescent="0.2">
      <c r="B25" s="113">
        <v>20</v>
      </c>
      <c r="C25" s="417">
        <v>56.98</v>
      </c>
      <c r="D25" s="417">
        <v>57.18</v>
      </c>
      <c r="E25" s="417">
        <v>57.63</v>
      </c>
    </row>
    <row r="26" spans="2:5" x14ac:dyDescent="0.2">
      <c r="B26" s="113">
        <v>21</v>
      </c>
      <c r="C26" s="417">
        <v>57.12</v>
      </c>
      <c r="D26" s="417">
        <v>57.32</v>
      </c>
      <c r="E26" s="417">
        <v>57.77</v>
      </c>
    </row>
    <row r="27" spans="2:5" x14ac:dyDescent="0.2">
      <c r="B27" s="113">
        <v>22</v>
      </c>
      <c r="C27" s="417">
        <v>57.27</v>
      </c>
      <c r="D27" s="417">
        <v>57.47</v>
      </c>
      <c r="E27" s="417">
        <v>57.92</v>
      </c>
    </row>
    <row r="28" spans="2:5" x14ac:dyDescent="0.2">
      <c r="B28" s="113">
        <v>23</v>
      </c>
      <c r="C28" s="417">
        <v>57.42</v>
      </c>
      <c r="D28" s="417">
        <v>57.62</v>
      </c>
      <c r="E28" s="417">
        <v>58.08</v>
      </c>
    </row>
    <row r="29" spans="2:5" x14ac:dyDescent="0.2">
      <c r="B29" s="113">
        <v>24</v>
      </c>
      <c r="C29" s="417">
        <v>57.58</v>
      </c>
      <c r="D29" s="417">
        <v>57.78</v>
      </c>
      <c r="E29" s="417">
        <v>58.24</v>
      </c>
    </row>
    <row r="30" spans="2:5" x14ac:dyDescent="0.2">
      <c r="B30" s="113">
        <v>25</v>
      </c>
      <c r="C30" s="417">
        <v>57.75</v>
      </c>
      <c r="D30" s="417">
        <v>57.95</v>
      </c>
      <c r="E30" s="417">
        <v>58.42</v>
      </c>
    </row>
    <row r="31" spans="2:5" x14ac:dyDescent="0.2">
      <c r="B31" s="113">
        <v>26</v>
      </c>
      <c r="C31" s="417">
        <v>57.93</v>
      </c>
      <c r="D31" s="417">
        <v>58.13</v>
      </c>
      <c r="E31" s="417">
        <v>58.6</v>
      </c>
    </row>
    <row r="32" spans="2:5" x14ac:dyDescent="0.2">
      <c r="B32" s="113">
        <v>27</v>
      </c>
      <c r="C32" s="417">
        <v>58.12</v>
      </c>
      <c r="D32" s="417">
        <v>58.32</v>
      </c>
      <c r="E32" s="417">
        <v>58.79</v>
      </c>
    </row>
    <row r="33" spans="2:5" x14ac:dyDescent="0.2">
      <c r="B33" s="113">
        <v>28</v>
      </c>
      <c r="C33" s="417">
        <v>58.32</v>
      </c>
      <c r="D33" s="417">
        <v>58.52</v>
      </c>
      <c r="E33" s="417">
        <v>58.99</v>
      </c>
    </row>
    <row r="34" spans="2:5" x14ac:dyDescent="0.2">
      <c r="B34" s="113">
        <v>29</v>
      </c>
      <c r="C34" s="417">
        <v>58.52</v>
      </c>
      <c r="D34" s="417">
        <v>58.73</v>
      </c>
      <c r="E34" s="417">
        <v>59.2</v>
      </c>
    </row>
    <row r="35" spans="2:5" x14ac:dyDescent="0.2">
      <c r="B35" s="113">
        <v>30</v>
      </c>
      <c r="C35" s="417">
        <v>58.74</v>
      </c>
      <c r="D35" s="417">
        <v>58.95</v>
      </c>
      <c r="E35" s="417">
        <v>59.43</v>
      </c>
    </row>
    <row r="36" spans="2:5" x14ac:dyDescent="0.2">
      <c r="B36" s="113">
        <v>31</v>
      </c>
      <c r="C36" s="417">
        <v>58.98</v>
      </c>
      <c r="D36" s="417">
        <v>59.19</v>
      </c>
      <c r="E36" s="417">
        <v>59.67</v>
      </c>
    </row>
    <row r="37" spans="2:5" x14ac:dyDescent="0.2">
      <c r="B37" s="113">
        <v>32</v>
      </c>
      <c r="C37" s="417">
        <v>59.23</v>
      </c>
      <c r="D37" s="417">
        <v>59.44</v>
      </c>
      <c r="E37" s="417">
        <v>59.92</v>
      </c>
    </row>
    <row r="38" spans="2:5" x14ac:dyDescent="0.2">
      <c r="B38" s="113">
        <v>33</v>
      </c>
      <c r="C38" s="417">
        <v>59.38</v>
      </c>
      <c r="D38" s="417">
        <v>59.6</v>
      </c>
      <c r="E38" s="417">
        <v>60.19</v>
      </c>
    </row>
    <row r="39" spans="2:5" x14ac:dyDescent="0.2">
      <c r="B39" s="113">
        <v>34</v>
      </c>
      <c r="C39" s="417">
        <v>59.41</v>
      </c>
      <c r="D39" s="417">
        <v>59.63</v>
      </c>
      <c r="E39" s="417">
        <v>60.48</v>
      </c>
    </row>
    <row r="40" spans="2:5" x14ac:dyDescent="0.2">
      <c r="B40" s="113">
        <v>35</v>
      </c>
      <c r="C40" s="417">
        <v>59.44</v>
      </c>
      <c r="D40" s="417">
        <v>59.66</v>
      </c>
      <c r="E40" s="417">
        <v>60.57</v>
      </c>
    </row>
    <row r="41" spans="2:5" x14ac:dyDescent="0.2">
      <c r="B41" s="113">
        <v>36</v>
      </c>
      <c r="C41" s="417">
        <v>59.47</v>
      </c>
      <c r="D41" s="417">
        <v>59.69</v>
      </c>
      <c r="E41" s="417">
        <v>60.6</v>
      </c>
    </row>
    <row r="42" spans="2:5" x14ac:dyDescent="0.2">
      <c r="B42" s="113">
        <v>37</v>
      </c>
      <c r="C42" s="417">
        <v>59.5</v>
      </c>
      <c r="D42" s="417">
        <v>59.72</v>
      </c>
      <c r="E42" s="417">
        <v>60.64</v>
      </c>
    </row>
    <row r="43" spans="2:5" x14ac:dyDescent="0.2">
      <c r="B43" s="113">
        <v>38</v>
      </c>
      <c r="C43" s="417">
        <v>59.53</v>
      </c>
      <c r="D43" s="417">
        <v>59.75</v>
      </c>
      <c r="E43" s="417">
        <v>60.67</v>
      </c>
    </row>
    <row r="44" spans="2:5" x14ac:dyDescent="0.2">
      <c r="B44" s="113">
        <v>39</v>
      </c>
      <c r="C44" s="417">
        <v>59.55</v>
      </c>
      <c r="D44" s="417">
        <v>59.78</v>
      </c>
      <c r="E44" s="417">
        <v>60.7</v>
      </c>
    </row>
    <row r="45" spans="2:5" x14ac:dyDescent="0.2">
      <c r="B45" s="113">
        <v>40</v>
      </c>
      <c r="C45" s="417">
        <v>59.58</v>
      </c>
      <c r="D45" s="417">
        <v>59.81</v>
      </c>
      <c r="E45" s="417">
        <v>60.73</v>
      </c>
    </row>
    <row r="46" spans="2:5" x14ac:dyDescent="0.2">
      <c r="B46" s="113">
        <v>41</v>
      </c>
      <c r="C46" s="417">
        <v>59.6</v>
      </c>
      <c r="D46" s="417">
        <v>59.83</v>
      </c>
      <c r="E46" s="417">
        <v>60.76</v>
      </c>
    </row>
    <row r="47" spans="2:5" x14ac:dyDescent="0.2">
      <c r="B47" s="113">
        <v>42</v>
      </c>
      <c r="C47" s="417">
        <v>59.62</v>
      </c>
      <c r="D47" s="417">
        <v>59.85</v>
      </c>
      <c r="E47" s="417">
        <v>60.79</v>
      </c>
    </row>
    <row r="48" spans="2:5" x14ac:dyDescent="0.2">
      <c r="B48" s="113">
        <v>43</v>
      </c>
      <c r="C48" s="417">
        <v>59.64</v>
      </c>
      <c r="D48" s="417">
        <v>59.87</v>
      </c>
      <c r="E48" s="417">
        <v>60.82</v>
      </c>
    </row>
    <row r="49" spans="2:11" x14ac:dyDescent="0.2">
      <c r="B49" s="113">
        <v>44</v>
      </c>
      <c r="C49" s="417">
        <v>59.65</v>
      </c>
      <c r="D49" s="417">
        <v>59.89</v>
      </c>
      <c r="E49" s="417">
        <v>60.84</v>
      </c>
    </row>
    <row r="50" spans="2:11" x14ac:dyDescent="0.2">
      <c r="B50" s="113">
        <v>45</v>
      </c>
      <c r="C50" s="417">
        <v>59.66</v>
      </c>
      <c r="D50" s="417">
        <v>59.9</v>
      </c>
      <c r="E50" s="417">
        <v>60.86</v>
      </c>
    </row>
    <row r="51" spans="2:11" x14ac:dyDescent="0.2">
      <c r="B51" s="113">
        <v>46</v>
      </c>
      <c r="C51" s="417">
        <v>59.58</v>
      </c>
      <c r="D51" s="417">
        <v>59.82</v>
      </c>
      <c r="E51" s="417">
        <v>60.78</v>
      </c>
    </row>
    <row r="52" spans="2:11" x14ac:dyDescent="0.2">
      <c r="B52" s="113">
        <v>47</v>
      </c>
      <c r="C52" s="417">
        <v>59.48</v>
      </c>
      <c r="D52" s="417">
        <v>59.72</v>
      </c>
      <c r="E52" s="417">
        <v>60.69</v>
      </c>
    </row>
    <row r="53" spans="2:11" x14ac:dyDescent="0.2">
      <c r="B53" s="113">
        <v>48</v>
      </c>
      <c r="C53" s="417">
        <v>59.38</v>
      </c>
      <c r="D53" s="417">
        <v>59.62</v>
      </c>
      <c r="E53" s="417">
        <v>60.59</v>
      </c>
    </row>
    <row r="54" spans="2:11" x14ac:dyDescent="0.2">
      <c r="B54" s="113">
        <v>49</v>
      </c>
      <c r="C54" s="417">
        <v>59.26</v>
      </c>
      <c r="D54" s="417">
        <v>59.5</v>
      </c>
      <c r="E54" s="417">
        <v>60.49</v>
      </c>
    </row>
    <row r="55" spans="2:11" x14ac:dyDescent="0.2">
      <c r="B55" s="113">
        <v>50</v>
      </c>
      <c r="C55" s="417">
        <v>59.13</v>
      </c>
      <c r="D55" s="417">
        <v>59.38</v>
      </c>
      <c r="E55" s="417">
        <v>60.36</v>
      </c>
      <c r="H55" s="429"/>
      <c r="I55" s="440"/>
      <c r="J55" s="441"/>
      <c r="K55" s="436"/>
    </row>
    <row r="56" spans="2:11" x14ac:dyDescent="0.2">
      <c r="B56" s="113">
        <v>51</v>
      </c>
      <c r="C56" s="439">
        <v>58.99</v>
      </c>
      <c r="D56" s="439">
        <v>59.23</v>
      </c>
      <c r="E56" s="439">
        <v>60.23</v>
      </c>
      <c r="J56" s="436"/>
    </row>
    <row r="57" spans="2:11" x14ac:dyDescent="0.2">
      <c r="B57" s="113">
        <v>52</v>
      </c>
      <c r="C57" s="439">
        <v>58.83</v>
      </c>
      <c r="D57" s="439">
        <v>59.08</v>
      </c>
      <c r="E57" s="439">
        <v>60.08</v>
      </c>
    </row>
    <row r="58" spans="2:11" x14ac:dyDescent="0.2">
      <c r="B58" s="113">
        <v>53</v>
      </c>
      <c r="C58" s="439">
        <v>58.65</v>
      </c>
      <c r="D58" s="439">
        <v>58.91</v>
      </c>
      <c r="E58" s="439">
        <v>59.92</v>
      </c>
    </row>
    <row r="59" spans="2:11" x14ac:dyDescent="0.2">
      <c r="B59" s="113">
        <v>54</v>
      </c>
      <c r="C59" s="439">
        <v>58.46</v>
      </c>
      <c r="D59" s="439">
        <v>58.72</v>
      </c>
      <c r="E59" s="439">
        <v>59.73</v>
      </c>
    </row>
    <row r="60" spans="2:11" x14ac:dyDescent="0.2">
      <c r="B60" s="113">
        <v>55</v>
      </c>
      <c r="C60" s="439">
        <v>58.25</v>
      </c>
      <c r="D60" s="439">
        <v>58.51</v>
      </c>
      <c r="E60" s="439">
        <v>59.54</v>
      </c>
    </row>
    <row r="61" spans="2:11" x14ac:dyDescent="0.2">
      <c r="B61" s="113">
        <v>56</v>
      </c>
      <c r="C61" s="439">
        <v>58.02</v>
      </c>
      <c r="D61" s="439">
        <v>58.28</v>
      </c>
      <c r="E61" s="439">
        <v>59.32</v>
      </c>
    </row>
    <row r="62" spans="2:11" x14ac:dyDescent="0.2">
      <c r="B62" s="113">
        <v>57</v>
      </c>
      <c r="C62" s="439">
        <v>57.77</v>
      </c>
      <c r="D62" s="439">
        <v>58.04</v>
      </c>
      <c r="E62" s="439">
        <v>59.08</v>
      </c>
    </row>
    <row r="63" spans="2:11" x14ac:dyDescent="0.2">
      <c r="B63" s="113">
        <v>58</v>
      </c>
      <c r="C63" s="439">
        <v>57.5</v>
      </c>
      <c r="D63" s="439">
        <v>57.76</v>
      </c>
      <c r="E63" s="439">
        <v>58.81</v>
      </c>
    </row>
    <row r="64" spans="2:11" x14ac:dyDescent="0.2">
      <c r="B64" s="113">
        <v>59</v>
      </c>
      <c r="C64" s="439">
        <v>57.19</v>
      </c>
      <c r="D64" s="439">
        <v>57.46</v>
      </c>
      <c r="E64" s="439">
        <v>58.52</v>
      </c>
    </row>
    <row r="65" spans="2:5" x14ac:dyDescent="0.2">
      <c r="B65" s="113">
        <v>60</v>
      </c>
      <c r="C65" s="439">
        <v>56.86</v>
      </c>
      <c r="D65" s="439">
        <v>57.13</v>
      </c>
      <c r="E65" s="439">
        <v>58.2</v>
      </c>
    </row>
    <row r="66" spans="2:5" x14ac:dyDescent="0.2">
      <c r="B66" s="113">
        <v>61</v>
      </c>
      <c r="C66" s="439">
        <v>57.14</v>
      </c>
      <c r="D66" s="439">
        <v>57.42</v>
      </c>
      <c r="E66" s="439">
        <v>58.5</v>
      </c>
    </row>
    <row r="67" spans="2:5" x14ac:dyDescent="0.2">
      <c r="B67" s="113">
        <v>62</v>
      </c>
      <c r="C67" s="439">
        <v>57.42</v>
      </c>
      <c r="D67" s="439">
        <v>57.7</v>
      </c>
      <c r="E67" s="439">
        <v>58.8</v>
      </c>
    </row>
    <row r="68" spans="2:5" x14ac:dyDescent="0.2">
      <c r="B68" s="113">
        <v>63</v>
      </c>
      <c r="C68" s="439">
        <v>57.68</v>
      </c>
      <c r="D68" s="439">
        <v>57.97</v>
      </c>
      <c r="E68" s="439">
        <v>59.08</v>
      </c>
    </row>
    <row r="69" spans="2:5" x14ac:dyDescent="0.2">
      <c r="B69" s="113">
        <v>64</v>
      </c>
      <c r="C69" s="439">
        <v>57.92</v>
      </c>
      <c r="D69" s="439">
        <v>58.22</v>
      </c>
      <c r="E69" s="439">
        <v>59.35</v>
      </c>
    </row>
    <row r="70" spans="2:5" x14ac:dyDescent="0.2">
      <c r="B70" s="113">
        <v>65</v>
      </c>
      <c r="C70" s="439">
        <v>58.16</v>
      </c>
      <c r="D70" s="439">
        <v>58.46</v>
      </c>
      <c r="E70" s="439">
        <v>59.61</v>
      </c>
    </row>
    <row r="71" spans="2:5" x14ac:dyDescent="0.2">
      <c r="B71" s="113">
        <v>66</v>
      </c>
      <c r="C71" s="439">
        <v>58.37</v>
      </c>
      <c r="D71" s="439">
        <v>58.68</v>
      </c>
      <c r="E71" s="439">
        <v>59.86</v>
      </c>
    </row>
    <row r="72" spans="2:5" x14ac:dyDescent="0.2">
      <c r="B72" s="113">
        <v>67</v>
      </c>
      <c r="C72" s="439">
        <v>58.57</v>
      </c>
      <c r="D72" s="439">
        <v>58.89</v>
      </c>
      <c r="E72" s="439">
        <v>60.09</v>
      </c>
    </row>
    <row r="73" spans="2:5" x14ac:dyDescent="0.2">
      <c r="B73" s="113">
        <v>68</v>
      </c>
      <c r="C73" s="439">
        <v>58.75</v>
      </c>
      <c r="D73" s="439">
        <v>59.08</v>
      </c>
      <c r="E73" s="439">
        <v>60.3</v>
      </c>
    </row>
    <row r="74" spans="2:5" x14ac:dyDescent="0.2">
      <c r="B74" s="113">
        <v>69</v>
      </c>
      <c r="C74" s="439">
        <v>58.92</v>
      </c>
      <c r="D74" s="439">
        <v>59.25</v>
      </c>
      <c r="E74" s="439">
        <v>60.5</v>
      </c>
    </row>
    <row r="75" spans="2:5" x14ac:dyDescent="0.2">
      <c r="B75" s="113">
        <v>70</v>
      </c>
      <c r="C75" s="439">
        <v>59.06</v>
      </c>
      <c r="D75" s="439">
        <v>59.41</v>
      </c>
      <c r="E75" s="439">
        <v>60.68</v>
      </c>
    </row>
    <row r="76" spans="2:5" x14ac:dyDescent="0.2">
      <c r="B76" s="113">
        <v>71</v>
      </c>
      <c r="C76" s="439">
        <v>59.19</v>
      </c>
      <c r="D76" s="439">
        <v>59.54</v>
      </c>
      <c r="E76" s="439">
        <v>60.84</v>
      </c>
    </row>
    <row r="77" spans="2:5" x14ac:dyDescent="0.2">
      <c r="B77" s="113">
        <v>72</v>
      </c>
      <c r="C77" s="439">
        <v>59.29</v>
      </c>
      <c r="D77" s="439">
        <v>59.66</v>
      </c>
      <c r="E77" s="439">
        <v>60.99</v>
      </c>
    </row>
    <row r="78" spans="2:5" x14ac:dyDescent="0.2">
      <c r="B78" s="113">
        <v>73</v>
      </c>
      <c r="C78" s="439">
        <v>59.38</v>
      </c>
      <c r="D78" s="439">
        <v>59.76</v>
      </c>
      <c r="E78" s="439">
        <v>61.11</v>
      </c>
    </row>
    <row r="79" spans="2:5" x14ac:dyDescent="0.2">
      <c r="B79" s="113">
        <v>74</v>
      </c>
      <c r="C79" s="439">
        <v>59.44</v>
      </c>
      <c r="D79" s="439">
        <v>59.83</v>
      </c>
      <c r="E79" s="439">
        <v>61.22</v>
      </c>
    </row>
    <row r="80" spans="2:5" x14ac:dyDescent="0.2">
      <c r="B80" s="113">
        <v>75</v>
      </c>
      <c r="C80" s="439">
        <v>59.48</v>
      </c>
      <c r="D80" s="439">
        <v>59.89</v>
      </c>
      <c r="E80" s="439">
        <v>61.31</v>
      </c>
    </row>
    <row r="81" spans="2:5" x14ac:dyDescent="0.2">
      <c r="B81" s="113">
        <v>76</v>
      </c>
      <c r="C81" s="439">
        <v>59.51</v>
      </c>
      <c r="D81" s="439">
        <v>59.93</v>
      </c>
      <c r="E81" s="439">
        <v>61.39</v>
      </c>
    </row>
    <row r="82" spans="2:5" x14ac:dyDescent="0.2">
      <c r="B82" s="113">
        <v>77</v>
      </c>
      <c r="C82" s="439">
        <v>59.52</v>
      </c>
      <c r="D82" s="439">
        <v>59.95</v>
      </c>
      <c r="E82" s="439">
        <v>61.45</v>
      </c>
    </row>
    <row r="83" spans="2:5" x14ac:dyDescent="0.2">
      <c r="B83" s="113">
        <v>78</v>
      </c>
      <c r="C83" s="439">
        <v>59.5</v>
      </c>
      <c r="D83" s="439">
        <v>59.95</v>
      </c>
      <c r="E83" s="439">
        <v>61.49</v>
      </c>
    </row>
    <row r="84" spans="2:5" x14ac:dyDescent="0.2">
      <c r="B84" s="113">
        <v>79</v>
      </c>
      <c r="C84" s="439">
        <v>59.47</v>
      </c>
      <c r="D84" s="439">
        <v>59.94</v>
      </c>
      <c r="E84" s="439">
        <v>61.51</v>
      </c>
    </row>
    <row r="85" spans="2:5" x14ac:dyDescent="0.2">
      <c r="B85" s="113">
        <v>80</v>
      </c>
      <c r="C85" s="439">
        <v>59.33</v>
      </c>
      <c r="D85" s="439">
        <v>59.82</v>
      </c>
      <c r="E85" s="439">
        <v>61.43</v>
      </c>
    </row>
    <row r="86" spans="2:5" x14ac:dyDescent="0.2">
      <c r="B86" s="113">
        <v>81</v>
      </c>
      <c r="C86" s="439">
        <v>59.18</v>
      </c>
      <c r="D86" s="439">
        <v>59.68</v>
      </c>
      <c r="E86" s="439">
        <v>61.34</v>
      </c>
    </row>
    <row r="87" spans="2:5" x14ac:dyDescent="0.2">
      <c r="B87" s="113">
        <v>82</v>
      </c>
      <c r="C87" s="439">
        <v>59.01</v>
      </c>
      <c r="D87" s="439">
        <v>59.53</v>
      </c>
      <c r="E87" s="439">
        <v>61.24</v>
      </c>
    </row>
    <row r="88" spans="2:5" x14ac:dyDescent="0.2">
      <c r="B88" s="113">
        <v>83</v>
      </c>
      <c r="C88" s="439">
        <v>58.84</v>
      </c>
      <c r="D88" s="439">
        <v>59.38</v>
      </c>
      <c r="E88" s="439">
        <v>61.14</v>
      </c>
    </row>
    <row r="89" spans="2:5" x14ac:dyDescent="0.2">
      <c r="B89" s="113">
        <v>84</v>
      </c>
      <c r="C89" s="439">
        <v>58.65</v>
      </c>
      <c r="D89" s="439">
        <v>59.22</v>
      </c>
      <c r="E89" s="439">
        <v>61.02</v>
      </c>
    </row>
    <row r="90" spans="2:5" x14ac:dyDescent="0.2">
      <c r="B90" s="113">
        <v>85</v>
      </c>
      <c r="C90" s="439">
        <v>58.46</v>
      </c>
      <c r="D90" s="439">
        <v>59.04</v>
      </c>
      <c r="E90" s="439">
        <v>60.9</v>
      </c>
    </row>
    <row r="91" spans="2:5" x14ac:dyDescent="0.2">
      <c r="B91" s="113">
        <v>86</v>
      </c>
      <c r="C91" s="439">
        <v>58.25</v>
      </c>
      <c r="D91" s="439">
        <v>58.86</v>
      </c>
      <c r="E91" s="439">
        <v>60.78</v>
      </c>
    </row>
    <row r="92" spans="2:5" x14ac:dyDescent="0.2">
      <c r="B92" s="113">
        <v>87</v>
      </c>
      <c r="C92" s="439">
        <v>58.03</v>
      </c>
      <c r="D92" s="439">
        <v>58.66</v>
      </c>
      <c r="E92" s="439">
        <v>60.64</v>
      </c>
    </row>
    <row r="93" spans="2:5" x14ac:dyDescent="0.2">
      <c r="B93" s="113">
        <v>88</v>
      </c>
      <c r="C93" s="439">
        <v>57.8</v>
      </c>
      <c r="D93" s="439">
        <v>58.46</v>
      </c>
      <c r="E93" s="439">
        <v>60.5</v>
      </c>
    </row>
    <row r="94" spans="2:5" x14ac:dyDescent="0.2">
      <c r="B94" s="113">
        <v>89</v>
      </c>
      <c r="C94" s="439">
        <v>57.56</v>
      </c>
      <c r="D94" s="439">
        <v>58.24</v>
      </c>
      <c r="E94" s="439">
        <v>60.34</v>
      </c>
    </row>
    <row r="95" spans="2:5" x14ac:dyDescent="0.2">
      <c r="B95" s="113">
        <v>90</v>
      </c>
      <c r="C95" s="439">
        <v>57.3</v>
      </c>
      <c r="D95" s="439">
        <v>58</v>
      </c>
      <c r="E95" s="439">
        <v>60.18</v>
      </c>
    </row>
    <row r="96" spans="2:5" x14ac:dyDescent="0.2">
      <c r="B96" s="113">
        <v>91</v>
      </c>
      <c r="C96" s="439">
        <v>57.02</v>
      </c>
      <c r="D96" s="439">
        <v>57.75</v>
      </c>
      <c r="E96" s="439">
        <v>60</v>
      </c>
    </row>
    <row r="97" spans="2:5" x14ac:dyDescent="0.2">
      <c r="B97" s="113">
        <v>92</v>
      </c>
      <c r="C97" s="439">
        <v>56.73</v>
      </c>
      <c r="D97" s="439">
        <v>57.49</v>
      </c>
      <c r="E97" s="439">
        <v>59.81</v>
      </c>
    </row>
    <row r="98" spans="2:5" x14ac:dyDescent="0.2">
      <c r="B98" s="113">
        <v>93</v>
      </c>
      <c r="C98" s="439">
        <v>56.41</v>
      </c>
      <c r="D98" s="439">
        <v>57.21</v>
      </c>
      <c r="E98" s="439">
        <v>59.61</v>
      </c>
    </row>
    <row r="99" spans="2:5" x14ac:dyDescent="0.2">
      <c r="B99" s="113">
        <v>94</v>
      </c>
      <c r="C99" s="439">
        <v>56.08</v>
      </c>
      <c r="D99" s="439">
        <v>56.91</v>
      </c>
      <c r="E99" s="439">
        <v>59.4</v>
      </c>
    </row>
    <row r="100" spans="2:5" x14ac:dyDescent="0.2">
      <c r="B100" s="113">
        <v>95</v>
      </c>
      <c r="C100" s="439">
        <v>55.72</v>
      </c>
      <c r="D100" s="439">
        <v>56.59</v>
      </c>
      <c r="E100" s="439">
        <v>59.16</v>
      </c>
    </row>
    <row r="101" spans="2:5" x14ac:dyDescent="0.2">
      <c r="B101" s="113">
        <v>96</v>
      </c>
      <c r="C101" s="439">
        <v>55.34</v>
      </c>
      <c r="D101" s="439">
        <v>56.24</v>
      </c>
      <c r="E101" s="439">
        <v>58.91</v>
      </c>
    </row>
    <row r="102" spans="2:5" x14ac:dyDescent="0.2">
      <c r="B102" s="113">
        <v>97</v>
      </c>
      <c r="C102" s="439">
        <v>54.93</v>
      </c>
      <c r="D102" s="439">
        <v>55.86</v>
      </c>
      <c r="E102" s="439">
        <v>58.64</v>
      </c>
    </row>
    <row r="103" spans="2:5" x14ac:dyDescent="0.2">
      <c r="B103" s="113">
        <v>98</v>
      </c>
      <c r="C103" s="439">
        <v>54.48</v>
      </c>
      <c r="D103" s="439">
        <v>55.45</v>
      </c>
      <c r="E103" s="439">
        <v>58.34</v>
      </c>
    </row>
    <row r="104" spans="2:5" x14ac:dyDescent="0.2">
      <c r="B104" s="113">
        <v>99</v>
      </c>
      <c r="C104" s="439">
        <v>53.98</v>
      </c>
      <c r="D104" s="439">
        <v>55</v>
      </c>
      <c r="E104" s="439">
        <v>58</v>
      </c>
    </row>
    <row r="105" spans="2:5" x14ac:dyDescent="0.2">
      <c r="B105" s="113">
        <v>100</v>
      </c>
      <c r="C105" s="439">
        <v>53.43</v>
      </c>
      <c r="D105" s="439">
        <v>54.49</v>
      </c>
      <c r="E105" s="439">
        <v>57.62</v>
      </c>
    </row>
  </sheetData>
  <mergeCells count="1">
    <mergeCell ref="B3:J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B1:K105"/>
  <sheetViews>
    <sheetView workbookViewId="0">
      <selection activeCell="B5" sqref="B5:E105"/>
    </sheetView>
  </sheetViews>
  <sheetFormatPr defaultColWidth="9.140625" defaultRowHeight="12.75" x14ac:dyDescent="0.2"/>
  <cols>
    <col min="1" max="1" width="9.140625" style="426"/>
    <col min="2" max="2" width="10.5703125" style="426" customWidth="1"/>
    <col min="3" max="3" width="13" style="426" customWidth="1"/>
    <col min="4" max="4" width="12.5703125" style="426" customWidth="1"/>
    <col min="5" max="5" width="10" style="426" customWidth="1"/>
    <col min="6" max="6" width="3.140625" style="426" customWidth="1"/>
    <col min="7" max="7" width="8.85546875" style="426" customWidth="1"/>
    <col min="8" max="8" width="12.5703125" style="426" customWidth="1"/>
    <col min="9" max="9" width="13.85546875" style="426" customWidth="1"/>
    <col min="10" max="10" width="14.42578125" style="426" customWidth="1"/>
    <col min="11" max="16384" width="9.140625" style="426"/>
  </cols>
  <sheetData>
    <row r="1" spans="2:10" x14ac:dyDescent="0.2">
      <c r="B1" s="425"/>
      <c r="C1" s="425"/>
      <c r="D1" s="425"/>
      <c r="J1" s="437" t="s">
        <v>151</v>
      </c>
    </row>
    <row r="2" spans="2:10" x14ac:dyDescent="0.2">
      <c r="B2" s="483">
        <f>SUM(C5:E105)</f>
        <v>17347.929999999997</v>
      </c>
      <c r="C2" s="426">
        <v>17203.822421293207</v>
      </c>
      <c r="D2" s="433">
        <f>C2-B2</f>
        <v>-144.10757870678935</v>
      </c>
    </row>
    <row r="3" spans="2:10" x14ac:dyDescent="0.2">
      <c r="B3" s="753" t="s">
        <v>179</v>
      </c>
      <c r="C3" s="754"/>
      <c r="D3" s="754"/>
      <c r="E3" s="754"/>
      <c r="F3" s="755"/>
      <c r="G3" s="755"/>
      <c r="H3" s="755"/>
      <c r="I3" s="755"/>
      <c r="J3" s="755"/>
    </row>
    <row r="4" spans="2:10" ht="25.5" x14ac:dyDescent="0.2">
      <c r="B4" s="109" t="s">
        <v>1</v>
      </c>
      <c r="C4" s="109" t="s">
        <v>153</v>
      </c>
      <c r="D4" s="110" t="s">
        <v>154</v>
      </c>
      <c r="E4" s="110" t="s">
        <v>155</v>
      </c>
      <c r="F4" s="429"/>
      <c r="G4" s="109"/>
      <c r="H4" s="109"/>
      <c r="I4" s="110"/>
      <c r="J4" s="110"/>
    </row>
    <row r="5" spans="2:10" x14ac:dyDescent="0.2">
      <c r="B5" s="113">
        <v>0</v>
      </c>
      <c r="C5" s="320">
        <v>54.75</v>
      </c>
      <c r="D5" s="320">
        <v>54.93</v>
      </c>
      <c r="E5" s="320">
        <v>55.36</v>
      </c>
    </row>
    <row r="6" spans="2:10" x14ac:dyDescent="0.2">
      <c r="B6" s="113">
        <v>1</v>
      </c>
      <c r="C6" s="320">
        <v>54.8</v>
      </c>
      <c r="D6" s="320">
        <v>54.99</v>
      </c>
      <c r="E6" s="320">
        <v>55.41</v>
      </c>
    </row>
    <row r="7" spans="2:10" x14ac:dyDescent="0.2">
      <c r="B7" s="113">
        <v>2</v>
      </c>
      <c r="C7" s="320">
        <v>54.85</v>
      </c>
      <c r="D7" s="320">
        <v>55.04</v>
      </c>
      <c r="E7" s="320">
        <v>55.47</v>
      </c>
    </row>
    <row r="8" spans="2:10" x14ac:dyDescent="0.2">
      <c r="B8" s="113">
        <v>3</v>
      </c>
      <c r="C8" s="320">
        <v>54.91</v>
      </c>
      <c r="D8" s="320">
        <v>55.1</v>
      </c>
      <c r="E8" s="320">
        <v>55.53</v>
      </c>
    </row>
    <row r="9" spans="2:10" x14ac:dyDescent="0.2">
      <c r="B9" s="113">
        <v>4</v>
      </c>
      <c r="C9" s="320">
        <v>54.97</v>
      </c>
      <c r="D9" s="320">
        <v>55.16</v>
      </c>
      <c r="E9" s="320">
        <v>55.59</v>
      </c>
    </row>
    <row r="10" spans="2:10" x14ac:dyDescent="0.2">
      <c r="B10" s="113">
        <v>5</v>
      </c>
      <c r="C10" s="320">
        <v>55.04</v>
      </c>
      <c r="D10" s="320">
        <v>55.23</v>
      </c>
      <c r="E10" s="320">
        <v>55.66</v>
      </c>
    </row>
    <row r="11" spans="2:10" x14ac:dyDescent="0.2">
      <c r="B11" s="113">
        <v>6</v>
      </c>
      <c r="C11" s="320">
        <v>55.1</v>
      </c>
      <c r="D11" s="320">
        <v>55.29</v>
      </c>
      <c r="E11" s="320">
        <v>55.72</v>
      </c>
    </row>
    <row r="12" spans="2:10" x14ac:dyDescent="0.2">
      <c r="B12" s="113">
        <v>7</v>
      </c>
      <c r="C12" s="320">
        <v>55.17</v>
      </c>
      <c r="D12" s="320">
        <v>55.36</v>
      </c>
      <c r="E12" s="320">
        <v>55.79</v>
      </c>
    </row>
    <row r="13" spans="2:10" x14ac:dyDescent="0.2">
      <c r="B13" s="113">
        <v>8</v>
      </c>
      <c r="C13" s="320">
        <v>55.25</v>
      </c>
      <c r="D13" s="320">
        <v>55.44</v>
      </c>
      <c r="E13" s="320">
        <v>55.87</v>
      </c>
    </row>
    <row r="14" spans="2:10" x14ac:dyDescent="0.2">
      <c r="B14" s="113">
        <v>9</v>
      </c>
      <c r="C14" s="320">
        <v>55.32</v>
      </c>
      <c r="D14" s="320">
        <v>55.51</v>
      </c>
      <c r="E14" s="320">
        <v>55.95</v>
      </c>
    </row>
    <row r="15" spans="2:10" x14ac:dyDescent="0.2">
      <c r="B15" s="113">
        <v>10</v>
      </c>
      <c r="C15" s="320">
        <v>55.4</v>
      </c>
      <c r="D15" s="320">
        <v>55.6</v>
      </c>
      <c r="E15" s="320">
        <v>56.03</v>
      </c>
    </row>
    <row r="16" spans="2:10" x14ac:dyDescent="0.2">
      <c r="B16" s="113">
        <v>11</v>
      </c>
      <c r="C16" s="320">
        <v>55.49</v>
      </c>
      <c r="D16" s="320">
        <v>55.68</v>
      </c>
      <c r="E16" s="320">
        <v>56.12</v>
      </c>
    </row>
    <row r="17" spans="2:5" x14ac:dyDescent="0.2">
      <c r="B17" s="113">
        <v>12</v>
      </c>
      <c r="C17" s="320">
        <v>55.58</v>
      </c>
      <c r="D17" s="320">
        <v>55.77</v>
      </c>
      <c r="E17" s="320">
        <v>56.21</v>
      </c>
    </row>
    <row r="18" spans="2:5" x14ac:dyDescent="0.2">
      <c r="B18" s="113">
        <v>13</v>
      </c>
      <c r="C18" s="320">
        <v>55.67</v>
      </c>
      <c r="D18" s="320">
        <v>55.86</v>
      </c>
      <c r="E18" s="320">
        <v>56.3</v>
      </c>
    </row>
    <row r="19" spans="2:5" x14ac:dyDescent="0.2">
      <c r="B19" s="113">
        <v>14</v>
      </c>
      <c r="C19" s="320">
        <v>55.77</v>
      </c>
      <c r="D19" s="320">
        <v>55.96</v>
      </c>
      <c r="E19" s="320">
        <v>56.4</v>
      </c>
    </row>
    <row r="20" spans="2:5" x14ac:dyDescent="0.2">
      <c r="B20" s="113">
        <v>15</v>
      </c>
      <c r="C20" s="320">
        <v>55.87</v>
      </c>
      <c r="D20" s="320">
        <v>56.07</v>
      </c>
      <c r="E20" s="320">
        <v>56.51</v>
      </c>
    </row>
    <row r="21" spans="2:5" x14ac:dyDescent="0.2">
      <c r="B21" s="113">
        <v>16</v>
      </c>
      <c r="C21" s="320">
        <v>55.98</v>
      </c>
      <c r="D21" s="320">
        <v>56.18</v>
      </c>
      <c r="E21" s="320">
        <v>56.62</v>
      </c>
    </row>
    <row r="22" spans="2:5" x14ac:dyDescent="0.2">
      <c r="B22" s="113">
        <v>17</v>
      </c>
      <c r="C22" s="320">
        <v>56.1</v>
      </c>
      <c r="D22" s="320">
        <v>56.29</v>
      </c>
      <c r="E22" s="320">
        <v>56.74</v>
      </c>
    </row>
    <row r="23" spans="2:5" x14ac:dyDescent="0.2">
      <c r="B23" s="113">
        <v>18</v>
      </c>
      <c r="C23" s="320">
        <v>56.22</v>
      </c>
      <c r="D23" s="320">
        <v>56.41</v>
      </c>
      <c r="E23" s="320">
        <v>56.86</v>
      </c>
    </row>
    <row r="24" spans="2:5" x14ac:dyDescent="0.2">
      <c r="B24" s="113">
        <v>19</v>
      </c>
      <c r="C24" s="320">
        <v>56.35</v>
      </c>
      <c r="D24" s="320">
        <v>56.54</v>
      </c>
      <c r="E24" s="320">
        <v>56.99</v>
      </c>
    </row>
    <row r="25" spans="2:5" x14ac:dyDescent="0.2">
      <c r="B25" s="113">
        <v>20</v>
      </c>
      <c r="C25" s="320">
        <v>56.48</v>
      </c>
      <c r="D25" s="320">
        <v>56.68</v>
      </c>
      <c r="E25" s="320">
        <v>57.13</v>
      </c>
    </row>
    <row r="26" spans="2:5" x14ac:dyDescent="0.2">
      <c r="B26" s="113">
        <v>21</v>
      </c>
      <c r="C26" s="320">
        <v>56.62</v>
      </c>
      <c r="D26" s="320">
        <v>56.82</v>
      </c>
      <c r="E26" s="320">
        <v>57.27</v>
      </c>
    </row>
    <row r="27" spans="2:5" x14ac:dyDescent="0.2">
      <c r="B27" s="113">
        <v>22</v>
      </c>
      <c r="C27" s="320">
        <v>56.77</v>
      </c>
      <c r="D27" s="320">
        <v>56.97</v>
      </c>
      <c r="E27" s="320">
        <v>57.42</v>
      </c>
    </row>
    <row r="28" spans="2:5" x14ac:dyDescent="0.2">
      <c r="B28" s="113">
        <v>23</v>
      </c>
      <c r="C28" s="320">
        <v>56.92</v>
      </c>
      <c r="D28" s="320">
        <v>57.12</v>
      </c>
      <c r="E28" s="320">
        <v>57.58</v>
      </c>
    </row>
    <row r="29" spans="2:5" x14ac:dyDescent="0.2">
      <c r="B29" s="113">
        <v>24</v>
      </c>
      <c r="C29" s="320">
        <v>57.08</v>
      </c>
      <c r="D29" s="320">
        <v>57.28</v>
      </c>
      <c r="E29" s="320">
        <v>57.74</v>
      </c>
    </row>
    <row r="30" spans="2:5" x14ac:dyDescent="0.2">
      <c r="B30" s="113">
        <v>25</v>
      </c>
      <c r="C30" s="320">
        <v>57.25</v>
      </c>
      <c r="D30" s="320">
        <v>57.45</v>
      </c>
      <c r="E30" s="320">
        <v>57.92</v>
      </c>
    </row>
    <row r="31" spans="2:5" x14ac:dyDescent="0.2">
      <c r="B31" s="113">
        <v>26</v>
      </c>
      <c r="C31" s="320">
        <v>57.43</v>
      </c>
      <c r="D31" s="320">
        <v>57.63</v>
      </c>
      <c r="E31" s="320">
        <v>58.1</v>
      </c>
    </row>
    <row r="32" spans="2:5" x14ac:dyDescent="0.2">
      <c r="B32" s="113">
        <v>27</v>
      </c>
      <c r="C32" s="320">
        <v>57.62</v>
      </c>
      <c r="D32" s="320">
        <v>57.82</v>
      </c>
      <c r="E32" s="320">
        <v>58.29</v>
      </c>
    </row>
    <row r="33" spans="2:5" x14ac:dyDescent="0.2">
      <c r="B33" s="113">
        <v>28</v>
      </c>
      <c r="C33" s="320">
        <v>57.82</v>
      </c>
      <c r="D33" s="320">
        <v>58.02</v>
      </c>
      <c r="E33" s="320">
        <v>58.49</v>
      </c>
    </row>
    <row r="34" spans="2:5" x14ac:dyDescent="0.2">
      <c r="B34" s="113">
        <v>29</v>
      </c>
      <c r="C34" s="320">
        <v>58.02</v>
      </c>
      <c r="D34" s="320">
        <v>58.23</v>
      </c>
      <c r="E34" s="320">
        <v>58.7</v>
      </c>
    </row>
    <row r="35" spans="2:5" x14ac:dyDescent="0.2">
      <c r="B35" s="113">
        <v>30</v>
      </c>
      <c r="C35" s="320">
        <v>58.24</v>
      </c>
      <c r="D35" s="320">
        <v>58.45</v>
      </c>
      <c r="E35" s="320">
        <v>58.93</v>
      </c>
    </row>
    <row r="36" spans="2:5" x14ac:dyDescent="0.2">
      <c r="B36" s="113">
        <v>31</v>
      </c>
      <c r="C36" s="320">
        <v>58.48</v>
      </c>
      <c r="D36" s="320">
        <v>58.69</v>
      </c>
      <c r="E36" s="320">
        <v>59.17</v>
      </c>
    </row>
    <row r="37" spans="2:5" x14ac:dyDescent="0.2">
      <c r="B37" s="113">
        <v>32</v>
      </c>
      <c r="C37" s="320">
        <v>58.7</v>
      </c>
      <c r="D37" s="320">
        <v>58.91</v>
      </c>
      <c r="E37" s="320">
        <v>59.42</v>
      </c>
    </row>
    <row r="38" spans="2:5" x14ac:dyDescent="0.2">
      <c r="B38" s="113">
        <v>33</v>
      </c>
      <c r="C38" s="320">
        <v>58.68</v>
      </c>
      <c r="D38" s="320">
        <v>58.9</v>
      </c>
      <c r="E38" s="320">
        <v>59.69</v>
      </c>
    </row>
    <row r="39" spans="2:5" x14ac:dyDescent="0.2">
      <c r="B39" s="113">
        <v>34</v>
      </c>
      <c r="C39" s="320">
        <v>58.65</v>
      </c>
      <c r="D39" s="320">
        <v>58.87</v>
      </c>
      <c r="E39" s="320">
        <v>59.77</v>
      </c>
    </row>
    <row r="40" spans="2:5" x14ac:dyDescent="0.2">
      <c r="B40" s="113">
        <v>35</v>
      </c>
      <c r="C40" s="320">
        <v>58.62</v>
      </c>
      <c r="D40" s="320">
        <v>58.84</v>
      </c>
      <c r="E40" s="320">
        <v>59.74</v>
      </c>
    </row>
    <row r="41" spans="2:5" x14ac:dyDescent="0.2">
      <c r="B41" s="113">
        <v>36</v>
      </c>
      <c r="C41" s="320">
        <v>58.57</v>
      </c>
      <c r="D41" s="320">
        <v>58.79</v>
      </c>
      <c r="E41" s="320">
        <v>59.7</v>
      </c>
    </row>
    <row r="42" spans="2:5" x14ac:dyDescent="0.2">
      <c r="B42" s="113">
        <v>37</v>
      </c>
      <c r="C42" s="320">
        <v>58.51</v>
      </c>
      <c r="D42" s="320">
        <v>58.73</v>
      </c>
      <c r="E42" s="320">
        <v>59.64</v>
      </c>
    </row>
    <row r="43" spans="2:5" x14ac:dyDescent="0.2">
      <c r="B43" s="113">
        <v>38</v>
      </c>
      <c r="C43" s="320">
        <v>58.44</v>
      </c>
      <c r="D43" s="320">
        <v>58.66</v>
      </c>
      <c r="E43" s="320">
        <v>59.57</v>
      </c>
    </row>
    <row r="44" spans="2:5" x14ac:dyDescent="0.2">
      <c r="B44" s="113">
        <v>39</v>
      </c>
      <c r="C44" s="320">
        <v>58.35</v>
      </c>
      <c r="D44" s="320">
        <v>58.58</v>
      </c>
      <c r="E44" s="320">
        <v>59.49</v>
      </c>
    </row>
    <row r="45" spans="2:5" x14ac:dyDescent="0.2">
      <c r="B45" s="113">
        <v>40</v>
      </c>
      <c r="C45" s="320">
        <v>58.25</v>
      </c>
      <c r="D45" s="320">
        <v>58.47</v>
      </c>
      <c r="E45" s="320">
        <v>59.39</v>
      </c>
    </row>
    <row r="46" spans="2:5" x14ac:dyDescent="0.2">
      <c r="B46" s="113">
        <v>41</v>
      </c>
      <c r="C46" s="320">
        <v>58.13</v>
      </c>
      <c r="D46" s="320">
        <v>58.36</v>
      </c>
      <c r="E46" s="320">
        <v>59.28</v>
      </c>
    </row>
    <row r="47" spans="2:5" x14ac:dyDescent="0.2">
      <c r="B47" s="113">
        <v>42</v>
      </c>
      <c r="C47" s="320">
        <v>57.99</v>
      </c>
      <c r="D47" s="320">
        <v>58.22</v>
      </c>
      <c r="E47" s="320">
        <v>59.14</v>
      </c>
    </row>
    <row r="48" spans="2:5" x14ac:dyDescent="0.2">
      <c r="B48" s="113">
        <v>43</v>
      </c>
      <c r="C48" s="320">
        <v>57.83</v>
      </c>
      <c r="D48" s="320">
        <v>58.06</v>
      </c>
      <c r="E48" s="320">
        <v>58.99</v>
      </c>
    </row>
    <row r="49" spans="2:11" x14ac:dyDescent="0.2">
      <c r="B49" s="113">
        <v>44</v>
      </c>
      <c r="C49" s="320">
        <v>57.65</v>
      </c>
      <c r="D49" s="320">
        <v>57.88</v>
      </c>
      <c r="E49" s="320">
        <v>58.82</v>
      </c>
    </row>
    <row r="50" spans="2:11" x14ac:dyDescent="0.2">
      <c r="B50" s="113">
        <v>45</v>
      </c>
      <c r="C50" s="320">
        <v>57.45</v>
      </c>
      <c r="D50" s="320">
        <v>57.68</v>
      </c>
      <c r="E50" s="320">
        <v>58.62</v>
      </c>
    </row>
    <row r="51" spans="2:11" x14ac:dyDescent="0.2">
      <c r="B51" s="113">
        <v>46</v>
      </c>
      <c r="C51" s="320">
        <v>57.22</v>
      </c>
      <c r="D51" s="320">
        <v>57.46</v>
      </c>
      <c r="E51" s="320">
        <v>58.4</v>
      </c>
    </row>
    <row r="52" spans="2:11" x14ac:dyDescent="0.2">
      <c r="B52" s="113">
        <v>47</v>
      </c>
      <c r="C52" s="320">
        <v>56.97</v>
      </c>
      <c r="D52" s="320">
        <v>57.2</v>
      </c>
      <c r="E52" s="320">
        <v>58.15</v>
      </c>
    </row>
    <row r="53" spans="2:11" x14ac:dyDescent="0.2">
      <c r="B53" s="113">
        <v>48</v>
      </c>
      <c r="C53" s="320">
        <v>56.69</v>
      </c>
      <c r="D53" s="320">
        <v>56.92</v>
      </c>
      <c r="E53" s="320">
        <v>57.88</v>
      </c>
    </row>
    <row r="54" spans="2:11" x14ac:dyDescent="0.2">
      <c r="B54" s="113">
        <v>49</v>
      </c>
      <c r="C54" s="320">
        <v>56.38</v>
      </c>
      <c r="D54" s="320">
        <v>56.61</v>
      </c>
      <c r="E54" s="320">
        <v>57.57</v>
      </c>
    </row>
    <row r="55" spans="2:11" x14ac:dyDescent="0.2">
      <c r="B55" s="113">
        <v>50</v>
      </c>
      <c r="C55" s="320">
        <v>56.03</v>
      </c>
      <c r="D55" s="320">
        <v>56.27</v>
      </c>
      <c r="E55" s="320">
        <v>57.23</v>
      </c>
      <c r="H55" s="429"/>
      <c r="I55" s="440"/>
      <c r="J55" s="441"/>
      <c r="K55" s="436"/>
    </row>
    <row r="56" spans="2:11" x14ac:dyDescent="0.2">
      <c r="B56" s="113">
        <v>51</v>
      </c>
      <c r="C56" s="320">
        <v>55.65</v>
      </c>
      <c r="D56" s="320">
        <v>55.89</v>
      </c>
      <c r="E56" s="320">
        <v>56.86</v>
      </c>
      <c r="J56" s="436"/>
    </row>
    <row r="57" spans="2:11" x14ac:dyDescent="0.2">
      <c r="B57" s="113">
        <v>52</v>
      </c>
      <c r="C57" s="320">
        <v>55.24</v>
      </c>
      <c r="D57" s="320">
        <v>55.48</v>
      </c>
      <c r="E57" s="320">
        <v>56.45</v>
      </c>
    </row>
    <row r="58" spans="2:11" x14ac:dyDescent="0.2">
      <c r="B58" s="113">
        <v>53</v>
      </c>
      <c r="C58" s="320">
        <v>54.79</v>
      </c>
      <c r="D58" s="320">
        <v>55.03</v>
      </c>
      <c r="E58" s="320">
        <v>56.01</v>
      </c>
    </row>
    <row r="59" spans="2:11" x14ac:dyDescent="0.2">
      <c r="B59" s="113">
        <v>54</v>
      </c>
      <c r="C59" s="320">
        <v>54.29</v>
      </c>
      <c r="D59" s="320">
        <v>54.54</v>
      </c>
      <c r="E59" s="320">
        <v>55.52</v>
      </c>
    </row>
    <row r="60" spans="2:11" x14ac:dyDescent="0.2">
      <c r="B60" s="113">
        <v>55</v>
      </c>
      <c r="C60" s="320">
        <v>53.75</v>
      </c>
      <c r="D60" s="320">
        <v>54</v>
      </c>
      <c r="E60" s="320">
        <v>54.99</v>
      </c>
    </row>
    <row r="61" spans="2:11" x14ac:dyDescent="0.2">
      <c r="B61" s="113">
        <v>56</v>
      </c>
      <c r="C61" s="320">
        <v>54.05</v>
      </c>
      <c r="D61" s="320">
        <v>54.3</v>
      </c>
      <c r="E61" s="320">
        <v>55.3</v>
      </c>
    </row>
    <row r="62" spans="2:11" x14ac:dyDescent="0.2">
      <c r="B62" s="113">
        <v>57</v>
      </c>
      <c r="C62" s="320">
        <v>54.34</v>
      </c>
      <c r="D62" s="320">
        <v>54.6</v>
      </c>
      <c r="E62" s="320">
        <v>55.61</v>
      </c>
    </row>
    <row r="63" spans="2:11" x14ac:dyDescent="0.2">
      <c r="B63" s="113">
        <v>58</v>
      </c>
      <c r="C63" s="320">
        <v>54.64</v>
      </c>
      <c r="D63" s="320">
        <v>54.9</v>
      </c>
      <c r="E63" s="320">
        <v>55.92</v>
      </c>
    </row>
    <row r="64" spans="2:11" x14ac:dyDescent="0.2">
      <c r="B64" s="113">
        <v>59</v>
      </c>
      <c r="C64" s="320">
        <v>54.94</v>
      </c>
      <c r="D64" s="320">
        <v>55.2</v>
      </c>
      <c r="E64" s="320">
        <v>56.24</v>
      </c>
    </row>
    <row r="65" spans="2:5" x14ac:dyDescent="0.2">
      <c r="B65" s="113">
        <v>60</v>
      </c>
      <c r="C65" s="320">
        <v>55.23</v>
      </c>
      <c r="D65" s="320">
        <v>55.5</v>
      </c>
      <c r="E65" s="320">
        <v>56.56</v>
      </c>
    </row>
    <row r="66" spans="2:5" x14ac:dyDescent="0.2">
      <c r="B66" s="113">
        <v>61</v>
      </c>
      <c r="C66" s="320">
        <v>55.53</v>
      </c>
      <c r="D66" s="320">
        <v>55.8</v>
      </c>
      <c r="E66" s="320">
        <v>56.87</v>
      </c>
    </row>
    <row r="67" spans="2:5" x14ac:dyDescent="0.2">
      <c r="B67" s="113">
        <v>62</v>
      </c>
      <c r="C67" s="320">
        <v>55.82</v>
      </c>
      <c r="D67" s="320">
        <v>56.1</v>
      </c>
      <c r="E67" s="320">
        <v>57.18</v>
      </c>
    </row>
    <row r="68" spans="2:5" x14ac:dyDescent="0.2">
      <c r="B68" s="113">
        <v>63</v>
      </c>
      <c r="C68" s="320">
        <v>56.1</v>
      </c>
      <c r="D68" s="320">
        <v>56.38</v>
      </c>
      <c r="E68" s="320">
        <v>57.49</v>
      </c>
    </row>
    <row r="69" spans="2:5" x14ac:dyDescent="0.2">
      <c r="B69" s="113">
        <v>64</v>
      </c>
      <c r="C69" s="320">
        <v>56.37</v>
      </c>
      <c r="D69" s="320">
        <v>56.66</v>
      </c>
      <c r="E69" s="320">
        <v>57.78</v>
      </c>
    </row>
    <row r="70" spans="2:5" x14ac:dyDescent="0.2">
      <c r="B70" s="113">
        <v>65</v>
      </c>
      <c r="C70" s="320">
        <v>56.63</v>
      </c>
      <c r="D70" s="320">
        <v>56.93</v>
      </c>
      <c r="E70" s="320">
        <v>58.07</v>
      </c>
    </row>
    <row r="71" spans="2:5" x14ac:dyDescent="0.2">
      <c r="B71" s="113">
        <v>66</v>
      </c>
      <c r="C71" s="320">
        <v>56.88</v>
      </c>
      <c r="D71" s="320">
        <v>57.19</v>
      </c>
      <c r="E71" s="320">
        <v>58.35</v>
      </c>
    </row>
    <row r="72" spans="2:5" x14ac:dyDescent="0.2">
      <c r="B72" s="113">
        <v>67</v>
      </c>
      <c r="C72" s="320">
        <v>57.12</v>
      </c>
      <c r="D72" s="320">
        <v>57.43</v>
      </c>
      <c r="E72" s="320">
        <v>58.62</v>
      </c>
    </row>
    <row r="73" spans="2:5" x14ac:dyDescent="0.2">
      <c r="B73" s="113">
        <v>68</v>
      </c>
      <c r="C73" s="320">
        <v>57.34</v>
      </c>
      <c r="D73" s="320">
        <v>57.66</v>
      </c>
      <c r="E73" s="320">
        <v>58.87</v>
      </c>
    </row>
    <row r="74" spans="2:5" x14ac:dyDescent="0.2">
      <c r="B74" s="113">
        <v>69</v>
      </c>
      <c r="C74" s="320">
        <v>57.55</v>
      </c>
      <c r="D74" s="320">
        <v>57.88</v>
      </c>
      <c r="E74" s="320">
        <v>59.11</v>
      </c>
    </row>
    <row r="75" spans="2:5" x14ac:dyDescent="0.2">
      <c r="B75" s="113">
        <v>70</v>
      </c>
      <c r="C75" s="320">
        <v>57.74</v>
      </c>
      <c r="D75" s="320">
        <v>58.08</v>
      </c>
      <c r="E75" s="320">
        <v>59.34</v>
      </c>
    </row>
    <row r="76" spans="2:5" x14ac:dyDescent="0.2">
      <c r="B76" s="113">
        <v>71</v>
      </c>
      <c r="C76" s="320">
        <v>57.91</v>
      </c>
      <c r="D76" s="320">
        <v>58.27</v>
      </c>
      <c r="E76" s="320">
        <v>59.56</v>
      </c>
    </row>
    <row r="77" spans="2:5" x14ac:dyDescent="0.2">
      <c r="B77" s="113">
        <v>72</v>
      </c>
      <c r="C77" s="320">
        <v>58.07</v>
      </c>
      <c r="D77" s="320">
        <v>58.44</v>
      </c>
      <c r="E77" s="320">
        <v>59.75</v>
      </c>
    </row>
    <row r="78" spans="2:5" x14ac:dyDescent="0.2">
      <c r="B78" s="113">
        <v>73</v>
      </c>
      <c r="C78" s="320">
        <v>58.21</v>
      </c>
      <c r="D78" s="320">
        <v>58.59</v>
      </c>
      <c r="E78" s="320">
        <v>59.94</v>
      </c>
    </row>
    <row r="79" spans="2:5" x14ac:dyDescent="0.2">
      <c r="B79" s="113">
        <v>74</v>
      </c>
      <c r="C79" s="320">
        <v>58.33</v>
      </c>
      <c r="D79" s="320">
        <v>58.72</v>
      </c>
      <c r="E79" s="320">
        <v>60.1</v>
      </c>
    </row>
    <row r="80" spans="2:5" x14ac:dyDescent="0.2">
      <c r="B80" s="113">
        <v>75</v>
      </c>
      <c r="C80" s="320">
        <v>58.44</v>
      </c>
      <c r="D80" s="320">
        <v>58.84</v>
      </c>
      <c r="E80" s="320">
        <v>60.25</v>
      </c>
    </row>
    <row r="81" spans="2:5" x14ac:dyDescent="0.2">
      <c r="B81" s="113">
        <v>76</v>
      </c>
      <c r="C81" s="320">
        <v>58.52</v>
      </c>
      <c r="D81" s="320">
        <v>58.94</v>
      </c>
      <c r="E81" s="320">
        <v>60.39</v>
      </c>
    </row>
    <row r="82" spans="2:5" x14ac:dyDescent="0.2">
      <c r="B82" s="113">
        <v>77</v>
      </c>
      <c r="C82" s="320">
        <v>58.59</v>
      </c>
      <c r="D82" s="320">
        <v>59.02</v>
      </c>
      <c r="E82" s="320">
        <v>60.51</v>
      </c>
    </row>
    <row r="83" spans="2:5" x14ac:dyDescent="0.2">
      <c r="B83" s="113">
        <v>78</v>
      </c>
      <c r="C83" s="320">
        <v>58.63</v>
      </c>
      <c r="D83" s="320">
        <v>59.08</v>
      </c>
      <c r="E83" s="320">
        <v>60.61</v>
      </c>
    </row>
    <row r="84" spans="2:5" x14ac:dyDescent="0.2">
      <c r="B84" s="113">
        <v>79</v>
      </c>
      <c r="C84" s="320">
        <v>58.66</v>
      </c>
      <c r="D84" s="320">
        <v>59.12</v>
      </c>
      <c r="E84" s="320">
        <v>60.69</v>
      </c>
    </row>
    <row r="85" spans="2:5" x14ac:dyDescent="0.2">
      <c r="B85" s="113">
        <v>80</v>
      </c>
      <c r="C85" s="320">
        <v>58.66</v>
      </c>
      <c r="D85" s="320">
        <v>59.14</v>
      </c>
      <c r="E85" s="320">
        <v>60.76</v>
      </c>
    </row>
    <row r="86" spans="2:5" x14ac:dyDescent="0.2">
      <c r="B86" s="113">
        <v>81</v>
      </c>
      <c r="C86" s="320">
        <v>58.65</v>
      </c>
      <c r="D86" s="320">
        <v>59.15</v>
      </c>
      <c r="E86" s="320">
        <v>60.8</v>
      </c>
    </row>
    <row r="87" spans="2:5" x14ac:dyDescent="0.2">
      <c r="B87" s="113">
        <v>82</v>
      </c>
      <c r="C87" s="320">
        <v>58.51</v>
      </c>
      <c r="D87" s="320">
        <v>59.03</v>
      </c>
      <c r="E87" s="320">
        <v>60.74</v>
      </c>
    </row>
    <row r="88" spans="2:5" x14ac:dyDescent="0.2">
      <c r="B88" s="113">
        <v>83</v>
      </c>
      <c r="C88" s="320">
        <v>58.34</v>
      </c>
      <c r="D88" s="320">
        <v>58.88</v>
      </c>
      <c r="E88" s="320">
        <v>60.64</v>
      </c>
    </row>
    <row r="89" spans="2:5" x14ac:dyDescent="0.2">
      <c r="B89" s="113">
        <v>84</v>
      </c>
      <c r="C89" s="320">
        <v>58.15</v>
      </c>
      <c r="D89" s="320">
        <v>58.72</v>
      </c>
      <c r="E89" s="320">
        <v>60.52</v>
      </c>
    </row>
    <row r="90" spans="2:5" x14ac:dyDescent="0.2">
      <c r="B90" s="113">
        <v>85</v>
      </c>
      <c r="C90" s="320">
        <v>57.96</v>
      </c>
      <c r="D90" s="320">
        <v>58.54</v>
      </c>
      <c r="E90" s="320">
        <v>60.4</v>
      </c>
    </row>
    <row r="91" spans="2:5" x14ac:dyDescent="0.2">
      <c r="B91" s="113">
        <v>86</v>
      </c>
      <c r="C91" s="320">
        <v>57.75</v>
      </c>
      <c r="D91" s="320">
        <v>58.36</v>
      </c>
      <c r="E91" s="320">
        <v>60.28</v>
      </c>
    </row>
    <row r="92" spans="2:5" x14ac:dyDescent="0.2">
      <c r="B92" s="113">
        <v>87</v>
      </c>
      <c r="C92" s="320">
        <v>57.53</v>
      </c>
      <c r="D92" s="320">
        <v>58.16</v>
      </c>
      <c r="E92" s="320">
        <v>60.14</v>
      </c>
    </row>
    <row r="93" spans="2:5" x14ac:dyDescent="0.2">
      <c r="B93" s="113">
        <v>88</v>
      </c>
      <c r="C93" s="320">
        <v>57.3</v>
      </c>
      <c r="D93" s="320">
        <v>57.96</v>
      </c>
      <c r="E93" s="320">
        <v>60</v>
      </c>
    </row>
    <row r="94" spans="2:5" x14ac:dyDescent="0.2">
      <c r="B94" s="113">
        <v>89</v>
      </c>
      <c r="C94" s="320">
        <v>57.06</v>
      </c>
      <c r="D94" s="320">
        <v>57.74</v>
      </c>
      <c r="E94" s="320">
        <v>59.84</v>
      </c>
    </row>
    <row r="95" spans="2:5" x14ac:dyDescent="0.2">
      <c r="B95" s="113">
        <v>90</v>
      </c>
      <c r="C95" s="320">
        <v>56.8</v>
      </c>
      <c r="D95" s="320">
        <v>57.5</v>
      </c>
      <c r="E95" s="320">
        <v>59.68</v>
      </c>
    </row>
    <row r="96" spans="2:5" x14ac:dyDescent="0.2">
      <c r="B96" s="113">
        <v>91</v>
      </c>
      <c r="C96" s="320">
        <v>56.52</v>
      </c>
      <c r="D96" s="320">
        <v>57.25</v>
      </c>
      <c r="E96" s="320">
        <v>59.5</v>
      </c>
    </row>
    <row r="97" spans="2:5" x14ac:dyDescent="0.2">
      <c r="B97" s="113">
        <v>92</v>
      </c>
      <c r="C97" s="320">
        <v>56.23</v>
      </c>
      <c r="D97" s="320">
        <v>56.99</v>
      </c>
      <c r="E97" s="320">
        <v>59.31</v>
      </c>
    </row>
    <row r="98" spans="2:5" x14ac:dyDescent="0.2">
      <c r="B98" s="113">
        <v>93</v>
      </c>
      <c r="C98" s="320">
        <v>55.91</v>
      </c>
      <c r="D98" s="320">
        <v>56.71</v>
      </c>
      <c r="E98" s="320">
        <v>59.11</v>
      </c>
    </row>
    <row r="99" spans="2:5" x14ac:dyDescent="0.2">
      <c r="B99" s="113">
        <v>94</v>
      </c>
      <c r="C99" s="320">
        <v>55.58</v>
      </c>
      <c r="D99" s="320">
        <v>56.41</v>
      </c>
      <c r="E99" s="320">
        <v>58.9</v>
      </c>
    </row>
    <row r="100" spans="2:5" x14ac:dyDescent="0.2">
      <c r="B100" s="113">
        <v>95</v>
      </c>
      <c r="C100" s="320">
        <v>55.22</v>
      </c>
      <c r="D100" s="320">
        <v>56.09</v>
      </c>
      <c r="E100" s="320">
        <v>58.66</v>
      </c>
    </row>
    <row r="101" spans="2:5" x14ac:dyDescent="0.2">
      <c r="B101" s="113">
        <v>96</v>
      </c>
      <c r="C101" s="320">
        <v>54.84</v>
      </c>
      <c r="D101" s="320">
        <v>55.74</v>
      </c>
      <c r="E101" s="320">
        <v>58.41</v>
      </c>
    </row>
    <row r="102" spans="2:5" x14ac:dyDescent="0.2">
      <c r="B102" s="113">
        <v>97</v>
      </c>
      <c r="C102" s="320">
        <v>54.43</v>
      </c>
      <c r="D102" s="320">
        <v>55.36</v>
      </c>
      <c r="E102" s="320">
        <v>58.14</v>
      </c>
    </row>
    <row r="103" spans="2:5" x14ac:dyDescent="0.2">
      <c r="B103" s="113">
        <v>98</v>
      </c>
      <c r="C103" s="320">
        <v>53.98</v>
      </c>
      <c r="D103" s="320">
        <v>54.95</v>
      </c>
      <c r="E103" s="320">
        <v>57.84</v>
      </c>
    </row>
    <row r="104" spans="2:5" x14ac:dyDescent="0.2">
      <c r="B104" s="113">
        <v>99</v>
      </c>
      <c r="C104" s="320">
        <v>53.48</v>
      </c>
      <c r="D104" s="320">
        <v>54.5</v>
      </c>
      <c r="E104" s="320">
        <v>57.5</v>
      </c>
    </row>
    <row r="105" spans="2:5" x14ac:dyDescent="0.2">
      <c r="B105" s="113">
        <v>100</v>
      </c>
      <c r="C105" s="320">
        <v>52.93</v>
      </c>
      <c r="D105" s="320">
        <v>53.99</v>
      </c>
      <c r="E105" s="320">
        <v>57.12</v>
      </c>
    </row>
  </sheetData>
  <mergeCells count="1">
    <mergeCell ref="B3:J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3:L87"/>
  <sheetViews>
    <sheetView topLeftCell="B1" zoomScale="74" zoomScaleNormal="55" workbookViewId="0">
      <selection activeCell="J27" sqref="J27"/>
    </sheetView>
  </sheetViews>
  <sheetFormatPr defaultColWidth="9.140625" defaultRowHeight="15.75" x14ac:dyDescent="0.2"/>
  <cols>
    <col min="1" max="1" width="10.85546875" style="23" hidden="1" customWidth="1"/>
    <col min="2" max="2" width="42" style="23" customWidth="1"/>
    <col min="3" max="3" width="40.140625" style="23" customWidth="1"/>
    <col min="4" max="4" width="61.85546875" style="23" customWidth="1"/>
    <col min="5" max="6" width="22.85546875" style="23" customWidth="1"/>
    <col min="7" max="7" width="26.140625" style="23" customWidth="1"/>
    <col min="8" max="8" width="18.42578125" style="23" customWidth="1"/>
    <col min="9" max="9" width="16.42578125" style="23" bestFit="1" customWidth="1"/>
    <col min="10" max="10" width="19.42578125" style="23" customWidth="1"/>
    <col min="11" max="11" width="14.140625" style="23" customWidth="1"/>
    <col min="12" max="12" width="9.140625" style="23" customWidth="1"/>
    <col min="13" max="16384" width="9.140625" style="23"/>
  </cols>
  <sheetData>
    <row r="3" spans="2:8" x14ac:dyDescent="0.2">
      <c r="C3" s="36" t="s">
        <v>12</v>
      </c>
      <c r="E3" s="33"/>
    </row>
    <row r="4" spans="2:8" x14ac:dyDescent="0.25">
      <c r="B4" s="28"/>
      <c r="C4" s="118" t="s">
        <v>538</v>
      </c>
      <c r="D4" s="31"/>
      <c r="E4" s="33" t="s">
        <v>40</v>
      </c>
      <c r="G4" s="22"/>
    </row>
    <row r="5" spans="2:8" x14ac:dyDescent="0.25">
      <c r="B5" s="28"/>
      <c r="C5" s="37" t="s">
        <v>0</v>
      </c>
      <c r="E5" s="33" t="s">
        <v>39</v>
      </c>
      <c r="G5" s="22"/>
    </row>
    <row r="6" spans="2:8" x14ac:dyDescent="0.25">
      <c r="B6" s="615" t="s">
        <v>450</v>
      </c>
      <c r="C6" s="616"/>
      <c r="D6" s="39" t="s">
        <v>76</v>
      </c>
      <c r="E6" s="31" t="s">
        <v>539</v>
      </c>
      <c r="G6" s="22"/>
    </row>
    <row r="7" spans="2:8" x14ac:dyDescent="0.25">
      <c r="B7" s="613" t="s">
        <v>101</v>
      </c>
      <c r="C7" s="614"/>
      <c r="D7" s="292" t="str">
        <f>'Annuity Calculator'!D9</f>
        <v>Group</v>
      </c>
      <c r="E7" s="293"/>
      <c r="G7" s="22"/>
    </row>
    <row r="8" spans="2:8" x14ac:dyDescent="0.25">
      <c r="B8" s="613" t="s">
        <v>130</v>
      </c>
      <c r="C8" s="614"/>
      <c r="D8" s="39" t="s">
        <v>38</v>
      </c>
      <c r="E8" s="169"/>
      <c r="G8" s="22"/>
    </row>
    <row r="9" spans="2:8" x14ac:dyDescent="0.25">
      <c r="B9" s="613" t="s">
        <v>4</v>
      </c>
      <c r="C9" s="614"/>
      <c r="D9" s="40">
        <f>Age</f>
        <v>60</v>
      </c>
      <c r="F9" s="22"/>
      <c r="G9" s="22"/>
    </row>
    <row r="10" spans="2:8" ht="31.5" x14ac:dyDescent="0.2">
      <c r="B10" s="617" t="s">
        <v>119</v>
      </c>
      <c r="C10" s="617"/>
      <c r="D10" s="77" t="str">
        <f>AnnuityOption</f>
        <v>Life annuity with Return of Purchase Price (ROP) on death of annuitant</v>
      </c>
      <c r="F10" s="22"/>
      <c r="G10" s="22"/>
    </row>
    <row r="11" spans="2:8" x14ac:dyDescent="0.25">
      <c r="B11" s="613" t="s">
        <v>68</v>
      </c>
      <c r="C11" s="614"/>
      <c r="D11" s="39">
        <f>AnnuityMode</f>
        <v>12</v>
      </c>
      <c r="E11" s="23" t="str">
        <f>VLOOKUP(D11,'[1]OLDValid Data'!$A$92:$B$95,2,0)</f>
        <v>Monthly</v>
      </c>
      <c r="F11" s="22"/>
      <c r="G11" s="22"/>
    </row>
    <row r="12" spans="2:8" x14ac:dyDescent="0.25">
      <c r="B12" s="613" t="s">
        <v>542</v>
      </c>
      <c r="C12" s="614"/>
      <c r="D12" s="39">
        <f>PurchasePrice</f>
        <v>5000000</v>
      </c>
      <c r="E12" s="294">
        <f>D12</f>
        <v>5000000</v>
      </c>
      <c r="H12" s="135"/>
    </row>
    <row r="13" spans="2:8" ht="16.5" thickBot="1" x14ac:dyDescent="0.25">
      <c r="B13" s="617" t="s">
        <v>407</v>
      </c>
      <c r="C13" s="617"/>
      <c r="D13" s="39" t="str">
        <f>E13</f>
        <v>Y</v>
      </c>
      <c r="E13" s="259" t="str">
        <f>IF('Valid Data-SP'!R12&gt;0,"Y","N")</f>
        <v>Y</v>
      </c>
    </row>
    <row r="14" spans="2:8" x14ac:dyDescent="0.2">
      <c r="B14" s="618" t="str">
        <f>IF(Channel_2="NPS","Second Life Annuitant alive / Available","Joint Life")</f>
        <v>Joint Life</v>
      </c>
      <c r="C14" s="618"/>
      <c r="D14" s="39" t="s">
        <v>543</v>
      </c>
      <c r="F14" s="619" t="s">
        <v>544</v>
      </c>
      <c r="G14" s="620"/>
      <c r="H14" s="35">
        <f>1.8%*$E$12</f>
        <v>90000.000000000015</v>
      </c>
    </row>
    <row r="15" spans="2:8" ht="16.5" thickBot="1" x14ac:dyDescent="0.25">
      <c r="B15" s="617" t="s">
        <v>129</v>
      </c>
      <c r="C15" s="617"/>
      <c r="D15" s="39">
        <f>'All Options'!E21</f>
        <v>55</v>
      </c>
      <c r="F15" s="621" t="s">
        <v>545</v>
      </c>
      <c r="G15" s="622"/>
      <c r="H15" s="32">
        <f>$E$12+H14</f>
        <v>5090000</v>
      </c>
    </row>
    <row r="16" spans="2:8" x14ac:dyDescent="0.2">
      <c r="D16" s="135"/>
    </row>
    <row r="17" spans="2:11" x14ac:dyDescent="0.2">
      <c r="D17" s="119">
        <f>D12/1.018</f>
        <v>4911591.3555992143</v>
      </c>
    </row>
    <row r="18" spans="2:11" x14ac:dyDescent="0.2">
      <c r="E18" s="34"/>
      <c r="F18" s="119"/>
    </row>
    <row r="19" spans="2:11" ht="31.5" x14ac:dyDescent="0.2">
      <c r="B19" s="295" t="s">
        <v>13</v>
      </c>
      <c r="C19" s="41" t="s">
        <v>13</v>
      </c>
      <c r="D19" s="42" t="s">
        <v>3</v>
      </c>
      <c r="E19" s="42" t="s">
        <v>546</v>
      </c>
      <c r="F19" s="42" t="s">
        <v>547</v>
      </c>
      <c r="G19" s="136"/>
      <c r="H19" s="30"/>
    </row>
    <row r="20" spans="2:11" x14ac:dyDescent="0.2">
      <c r="B20" s="296" t="s">
        <v>5</v>
      </c>
      <c r="C20" s="38" t="s">
        <v>92</v>
      </c>
      <c r="D20" s="297">
        <f>(ROUND(VLOOKUP($D$9,'SP - Option A'!$B$4:$G$45,VLOOKUP($E$12,'Working-SP'!$E$10:$G$15,3,TRUE)+1,FALSE),2)*(IF($E$13="Y",$E$12*(1+'Valid Data-SP'!$R$12),$E$12))/1000)*(AND(Annuity_Type="Immediate",Premium_Type="Single Premium"))</f>
        <v>361681</v>
      </c>
      <c r="E20" s="298">
        <f>D20*VLOOKUP(AnnuityMode_2,'Valid Data-SP'!$N$3:$O$6,2,FALSE)</f>
        <v>29115.320500000002</v>
      </c>
      <c r="F20" s="298">
        <f>E20*AnnuityMode_2</f>
        <v>349383.84600000002</v>
      </c>
      <c r="G20" s="136"/>
      <c r="H20" s="30"/>
    </row>
    <row r="21" spans="2:11" x14ac:dyDescent="0.2">
      <c r="B21" s="296" t="s">
        <v>6</v>
      </c>
      <c r="C21" s="38" t="s">
        <v>541</v>
      </c>
      <c r="D21" s="297">
        <f ca="1">(ROUND(VLOOKUP(MIN(Age_2,$D$15),INDIRECT('Working-SP'!$F$23),VLOOKUP(ABS(Age_2-$D$15),'Working-SP'!$B$10:$C$26,2,TRUE),FALSE),2)*(IF($E$13="Y",$E$12*(1+'Valid Data-SP'!$R$12),$D$12))/1000)*($D$14="Y")*(AND($D$15&gt;39,$D$15&lt;81,Annuity_Type="Immediate",Premium_Type="Single Premium"))</f>
        <v>359863</v>
      </c>
      <c r="E21" s="298">
        <f ca="1">D21*VLOOKUP(AnnuityMode_2,'Valid Data-SP'!$N$3:$O$6,2,FALSE)</f>
        <v>28968.9715</v>
      </c>
      <c r="F21" s="298">
        <f ca="1">E21*AnnuityMode_2</f>
        <v>347627.658</v>
      </c>
    </row>
    <row r="22" spans="2:11" x14ac:dyDescent="0.2">
      <c r="B22" s="299"/>
      <c r="C22" s="24"/>
      <c r="D22" s="300"/>
      <c r="E22" s="135"/>
    </row>
    <row r="23" spans="2:11" x14ac:dyDescent="0.2">
      <c r="B23" s="299"/>
      <c r="C23" s="24"/>
      <c r="D23" s="297">
        <f>(ROUND(VLOOKUP($D$9,'SP - Option A'!$B$4:$G$45,VLOOKUP('Annuity Calculator'!G19,'Working-SP'!$E$10:$G$15,3,TRUE)+1,FALSE),2)*(IF($E$13="Y",'Annuity Calculator'!G19*(1+'Valid Data-SP'!$R$12),$E$12))/1000)*(AND(Annuity_Type="Immediate",Premium_Type="Single Premium"))</f>
        <v>355285.8546168959</v>
      </c>
      <c r="E23" s="298">
        <f>D23*VLOOKUP(AnnuityMode_2,'Valid Data-SP'!$N$3:$O$6,2,FALSE)</f>
        <v>28600.511296660119</v>
      </c>
      <c r="F23" s="298">
        <f>E23*AnnuityMode_2</f>
        <v>343206.13555992144</v>
      </c>
      <c r="G23" s="23">
        <v>161967.09233791748</v>
      </c>
    </row>
    <row r="24" spans="2:11" x14ac:dyDescent="0.2">
      <c r="B24" s="299"/>
      <c r="C24" s="24"/>
      <c r="D24" s="297">
        <f ca="1">(ROUND(VLOOKUP(MIN(Age_2,$D$15),INDIRECT('Working-SP'!$F$24),VLOOKUP(ABS(Age_2-$D$15),'Working-SP'!$B$10:$C$26,2,TRUE),FALSE),2)*(IF($E$13="Y",'Annuity Calculator'!G19*(1+'Valid Data-SP'!$R$12),'Annuity Calculator'!G19))/1000)*($D$14="Y")*(AND($D$15&gt;39,$D$15&lt;81,Annuity_Type="Immediate",Premium_Type="Single Premium"))</f>
        <v>353500</v>
      </c>
      <c r="E24" s="298">
        <f ca="1">D24*VLOOKUP(AnnuityMode_2,'Valid Data-SP'!$N$3:$O$6,2,FALSE)</f>
        <v>28456.75</v>
      </c>
      <c r="F24" s="298">
        <f ca="1">E24*AnnuityMode_2</f>
        <v>341481</v>
      </c>
      <c r="G24" s="117"/>
      <c r="K24" s="136"/>
    </row>
    <row r="25" spans="2:11" x14ac:dyDescent="0.2">
      <c r="B25" s="301"/>
      <c r="C25" s="24"/>
      <c r="D25" s="300"/>
      <c r="F25" s="33"/>
      <c r="G25" s="33"/>
      <c r="H25" s="33"/>
      <c r="K25" s="136"/>
    </row>
    <row r="26" spans="2:11" x14ac:dyDescent="0.2">
      <c r="B26" s="301"/>
      <c r="C26" s="24"/>
      <c r="D26" s="300"/>
      <c r="F26" s="302"/>
      <c r="G26" s="33"/>
      <c r="H26" s="33"/>
      <c r="K26" s="136"/>
    </row>
    <row r="27" spans="2:11" x14ac:dyDescent="0.2">
      <c r="B27" s="301"/>
      <c r="C27" s="24"/>
      <c r="D27" s="300"/>
      <c r="F27" s="302"/>
      <c r="G27" s="33"/>
      <c r="H27" s="33"/>
      <c r="K27" s="136"/>
    </row>
    <row r="28" spans="2:11" x14ac:dyDescent="0.2">
      <c r="B28" s="303"/>
      <c r="F28" s="169"/>
      <c r="G28" s="33"/>
      <c r="H28" s="33"/>
      <c r="K28" s="136"/>
    </row>
    <row r="29" spans="2:11" x14ac:dyDescent="0.2">
      <c r="B29" s="303"/>
      <c r="F29" s="169"/>
      <c r="G29" s="33"/>
      <c r="H29" s="33"/>
      <c r="K29" s="136"/>
    </row>
    <row r="30" spans="2:11" x14ac:dyDescent="0.2">
      <c r="B30" s="303"/>
      <c r="F30" s="169"/>
      <c r="G30" s="33"/>
      <c r="H30" s="33"/>
      <c r="K30" s="136"/>
    </row>
    <row r="31" spans="2:11" x14ac:dyDescent="0.2">
      <c r="B31" s="303"/>
      <c r="F31" s="169"/>
      <c r="G31" s="33"/>
      <c r="H31" s="33"/>
      <c r="K31" s="136"/>
    </row>
    <row r="32" spans="2:11" x14ac:dyDescent="0.2">
      <c r="B32" s="303"/>
      <c r="F32" s="293"/>
      <c r="G32" s="290"/>
      <c r="H32" s="33"/>
      <c r="K32" s="136"/>
    </row>
    <row r="33" spans="2:11" x14ac:dyDescent="0.2">
      <c r="B33" s="303"/>
      <c r="F33" s="169"/>
      <c r="G33" s="33"/>
      <c r="H33" s="33"/>
      <c r="K33" s="136"/>
    </row>
    <row r="34" spans="2:11" x14ac:dyDescent="0.2">
      <c r="B34" s="303"/>
      <c r="C34" s="24"/>
      <c r="F34" s="293"/>
      <c r="G34" s="33"/>
      <c r="H34" s="33"/>
      <c r="I34" s="171"/>
      <c r="K34" s="136"/>
    </row>
    <row r="35" spans="2:11" x14ac:dyDescent="0.2">
      <c r="C35" s="301"/>
      <c r="D35" s="304"/>
      <c r="E35" s="305"/>
      <c r="F35" s="33"/>
      <c r="G35" s="33"/>
      <c r="H35" s="33"/>
      <c r="K35" s="136"/>
    </row>
    <row r="36" spans="2:11" x14ac:dyDescent="0.2">
      <c r="C36" s="301"/>
      <c r="D36" s="304"/>
      <c r="E36" s="305"/>
      <c r="F36" s="33"/>
      <c r="G36" s="33"/>
      <c r="H36" s="33"/>
      <c r="I36" s="135"/>
      <c r="K36" s="136"/>
    </row>
    <row r="37" spans="2:11" x14ac:dyDescent="0.2">
      <c r="C37" s="301"/>
      <c r="D37" s="304"/>
      <c r="E37" s="305"/>
      <c r="K37" s="136"/>
    </row>
    <row r="38" spans="2:11" x14ac:dyDescent="0.2">
      <c r="E38" s="119"/>
      <c r="F38" s="119"/>
      <c r="K38" s="136"/>
    </row>
    <row r="39" spans="2:11" x14ac:dyDescent="0.2">
      <c r="F39" s="119"/>
      <c r="K39" s="136"/>
    </row>
    <row r="40" spans="2:11" x14ac:dyDescent="0.2">
      <c r="E40" s="135"/>
      <c r="K40" s="136"/>
    </row>
    <row r="41" spans="2:11" x14ac:dyDescent="0.2">
      <c r="K41" s="136"/>
    </row>
    <row r="42" spans="2:11" x14ac:dyDescent="0.2">
      <c r="K42" s="136"/>
    </row>
    <row r="43" spans="2:11" x14ac:dyDescent="0.2">
      <c r="K43" s="136"/>
    </row>
    <row r="44" spans="2:11" x14ac:dyDescent="0.2">
      <c r="K44" s="136"/>
    </row>
    <row r="45" spans="2:11" x14ac:dyDescent="0.2">
      <c r="K45" s="136"/>
    </row>
    <row r="55" spans="10:11" x14ac:dyDescent="0.25">
      <c r="J55" s="29"/>
      <c r="K55" s="29"/>
    </row>
    <row r="56" spans="10:11" x14ac:dyDescent="0.25">
      <c r="J56" s="25"/>
      <c r="K56" s="25"/>
    </row>
    <row r="57" spans="10:11" x14ac:dyDescent="0.25">
      <c r="J57" s="29"/>
      <c r="K57" s="29"/>
    </row>
    <row r="58" spans="10:11" x14ac:dyDescent="0.25">
      <c r="J58" s="29"/>
      <c r="K58" s="29"/>
    </row>
    <row r="59" spans="10:11" x14ac:dyDescent="0.25">
      <c r="J59" s="29"/>
      <c r="K59" s="29"/>
    </row>
    <row r="60" spans="10:11" x14ac:dyDescent="0.25">
      <c r="J60" s="25"/>
      <c r="K60" s="25"/>
    </row>
    <row r="61" spans="10:11" x14ac:dyDescent="0.25">
      <c r="J61" s="25"/>
      <c r="K61" s="25"/>
    </row>
    <row r="62" spans="10:11" x14ac:dyDescent="0.25">
      <c r="J62" s="25"/>
      <c r="K62" s="25"/>
    </row>
    <row r="63" spans="10:11" x14ac:dyDescent="0.25">
      <c r="J63" s="25"/>
      <c r="K63" s="25"/>
    </row>
    <row r="64" spans="10:11" x14ac:dyDescent="0.25">
      <c r="J64" s="26"/>
      <c r="K64" s="26"/>
    </row>
    <row r="65" spans="3:12" x14ac:dyDescent="0.25">
      <c r="J65" s="26"/>
      <c r="K65" s="26"/>
    </row>
    <row r="66" spans="3:12" x14ac:dyDescent="0.25">
      <c r="J66" s="26"/>
      <c r="K66" s="26"/>
    </row>
    <row r="67" spans="3:12" x14ac:dyDescent="0.25">
      <c r="J67" s="26"/>
      <c r="K67" s="26"/>
    </row>
    <row r="68" spans="3:12" x14ac:dyDescent="0.25">
      <c r="J68" s="26"/>
      <c r="K68" s="26"/>
    </row>
    <row r="69" spans="3:12" x14ac:dyDescent="0.25">
      <c r="J69" s="26"/>
      <c r="K69" s="26"/>
    </row>
    <row r="70" spans="3:12" x14ac:dyDescent="0.25">
      <c r="J70" s="26"/>
      <c r="K70" s="26"/>
    </row>
    <row r="71" spans="3:12" x14ac:dyDescent="0.25">
      <c r="J71" s="26"/>
      <c r="K71" s="26"/>
      <c r="L71" s="24"/>
    </row>
    <row r="72" spans="3:12" x14ac:dyDescent="0.25">
      <c r="J72" s="26"/>
      <c r="K72" s="26"/>
      <c r="L72" s="24"/>
    </row>
    <row r="73" spans="3:12" x14ac:dyDescent="0.25">
      <c r="J73" s="27"/>
      <c r="K73" s="27"/>
      <c r="L73" s="24"/>
    </row>
    <row r="74" spans="3:12" x14ac:dyDescent="0.25">
      <c r="J74" s="27"/>
      <c r="K74" s="27"/>
      <c r="L74" s="24"/>
    </row>
    <row r="75" spans="3:12" x14ac:dyDescent="0.2">
      <c r="C75" s="24"/>
      <c r="D75" s="24"/>
      <c r="E75" s="24"/>
      <c r="F75" s="24"/>
      <c r="G75" s="24"/>
      <c r="H75" s="24"/>
      <c r="I75" s="24"/>
      <c r="J75" s="24"/>
      <c r="K75" s="24"/>
      <c r="L75" s="24"/>
    </row>
    <row r="76" spans="3:12" x14ac:dyDescent="0.2">
      <c r="C76" s="24"/>
      <c r="D76" s="24"/>
      <c r="E76" s="24"/>
      <c r="F76" s="24"/>
      <c r="G76" s="24"/>
      <c r="H76" s="24"/>
      <c r="I76" s="24"/>
      <c r="J76" s="24"/>
      <c r="K76" s="24"/>
      <c r="L76" s="24"/>
    </row>
    <row r="77" spans="3:12" x14ac:dyDescent="0.2">
      <c r="C77" s="24"/>
      <c r="D77" s="24"/>
      <c r="E77" s="24"/>
      <c r="F77" s="24"/>
      <c r="G77" s="24"/>
      <c r="H77" s="24"/>
      <c r="I77" s="24"/>
      <c r="J77" s="24"/>
      <c r="K77" s="24"/>
      <c r="L77" s="24"/>
    </row>
    <row r="78" spans="3:12" x14ac:dyDescent="0.2">
      <c r="C78" s="24"/>
      <c r="D78" s="24"/>
      <c r="E78" s="24"/>
      <c r="F78" s="24"/>
      <c r="G78" s="24"/>
      <c r="H78" s="24"/>
      <c r="I78" s="24"/>
      <c r="J78" s="24"/>
      <c r="K78" s="24"/>
      <c r="L78" s="24"/>
    </row>
    <row r="79" spans="3:12" x14ac:dyDescent="0.2">
      <c r="C79" s="24"/>
      <c r="D79" s="24"/>
      <c r="E79" s="24"/>
      <c r="F79" s="24"/>
      <c r="G79" s="24"/>
      <c r="H79" s="24"/>
      <c r="I79" s="24"/>
      <c r="J79" s="24"/>
      <c r="K79" s="24"/>
      <c r="L79" s="24"/>
    </row>
    <row r="80" spans="3:12" x14ac:dyDescent="0.2">
      <c r="C80" s="24"/>
      <c r="D80" s="24"/>
      <c r="E80" s="24"/>
      <c r="F80" s="24"/>
      <c r="G80" s="24"/>
      <c r="H80" s="24"/>
      <c r="I80" s="24"/>
      <c r="J80" s="24"/>
      <c r="K80" s="24"/>
      <c r="L80" s="24"/>
    </row>
    <row r="81" spans="3:12" x14ac:dyDescent="0.2">
      <c r="C81" s="24"/>
      <c r="D81" s="24"/>
      <c r="E81" s="24"/>
      <c r="F81" s="24"/>
      <c r="G81" s="24"/>
      <c r="H81" s="24"/>
      <c r="I81" s="24"/>
      <c r="J81" s="24"/>
      <c r="K81" s="24"/>
      <c r="L81" s="24"/>
    </row>
    <row r="82" spans="3:12" x14ac:dyDescent="0.2">
      <c r="C82" s="24"/>
      <c r="D82" s="24"/>
      <c r="E82" s="24"/>
      <c r="I82" s="24"/>
      <c r="J82" s="24"/>
      <c r="K82" s="24"/>
      <c r="L82" s="24"/>
    </row>
    <row r="83" spans="3:12" x14ac:dyDescent="0.2">
      <c r="C83" s="24"/>
      <c r="E83" s="24"/>
      <c r="I83" s="24"/>
      <c r="J83" s="24"/>
      <c r="K83" s="24"/>
      <c r="L83" s="24"/>
    </row>
    <row r="84" spans="3:12" x14ac:dyDescent="0.2">
      <c r="C84" s="24"/>
      <c r="E84" s="24"/>
      <c r="I84" s="24"/>
      <c r="J84" s="24"/>
      <c r="K84" s="24"/>
      <c r="L84" s="24"/>
    </row>
    <row r="85" spans="3:12" x14ac:dyDescent="0.2">
      <c r="C85" s="24"/>
      <c r="E85" s="24"/>
      <c r="I85" s="24"/>
      <c r="J85" s="24"/>
      <c r="K85" s="24"/>
      <c r="L85" s="24"/>
    </row>
    <row r="86" spans="3:12" x14ac:dyDescent="0.2">
      <c r="J86" s="24"/>
      <c r="K86" s="24"/>
      <c r="L86" s="24"/>
    </row>
    <row r="87" spans="3:12" x14ac:dyDescent="0.2">
      <c r="J87" s="24"/>
      <c r="K87" s="24"/>
      <c r="L87" s="24"/>
    </row>
  </sheetData>
  <mergeCells count="12">
    <mergeCell ref="B12:C12"/>
    <mergeCell ref="B13:C13"/>
    <mergeCell ref="B14:C14"/>
    <mergeCell ref="F14:G14"/>
    <mergeCell ref="B15:C15"/>
    <mergeCell ref="F15:G15"/>
    <mergeCell ref="B11:C11"/>
    <mergeCell ref="B6:C6"/>
    <mergeCell ref="B7:C7"/>
    <mergeCell ref="B8:C8"/>
    <mergeCell ref="B9:C9"/>
    <mergeCell ref="B10:C10"/>
  </mergeCells>
  <conditionalFormatting sqref="B7:D7">
    <cfRule type="expression" dxfId="1" priority="3">
      <formula>#REF!="GSM"</formula>
    </cfRule>
  </conditionalFormatting>
  <dataValidations count="2">
    <dataValidation type="whole" allowBlank="1" showInputMessage="1" showErrorMessage="1" sqref="D15">
      <formula1>40</formula1>
      <formula2>80</formula2>
    </dataValidation>
    <dataValidation type="whole" allowBlank="1" showInputMessage="1" showErrorMessage="1" sqref="D9">
      <formula1>40</formula1>
      <formula2>IF(Channel_2="POS",70,80)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1:V17"/>
  <sheetViews>
    <sheetView topLeftCell="F1" zoomScale="93" workbookViewId="0">
      <selection activeCell="E10" sqref="E10"/>
    </sheetView>
  </sheetViews>
  <sheetFormatPr defaultRowHeight="12.75" x14ac:dyDescent="0.2"/>
  <cols>
    <col min="17" max="17" width="17" bestFit="1" customWidth="1"/>
    <col min="21" max="21" width="14.140625" bestFit="1" customWidth="1"/>
  </cols>
  <sheetData>
    <row r="1" spans="3:22" x14ac:dyDescent="0.2">
      <c r="Q1" s="30" t="s">
        <v>557</v>
      </c>
      <c r="U1" s="30" t="s">
        <v>598</v>
      </c>
    </row>
    <row r="2" spans="3:22" x14ac:dyDescent="0.2">
      <c r="D2" s="30" t="s">
        <v>13</v>
      </c>
      <c r="N2" s="30" t="s">
        <v>558</v>
      </c>
      <c r="O2" s="30" t="s">
        <v>559</v>
      </c>
      <c r="Q2" s="64" t="s">
        <v>446</v>
      </c>
      <c r="R2" s="64" t="s">
        <v>407</v>
      </c>
      <c r="U2" s="64" t="s">
        <v>446</v>
      </c>
      <c r="V2" s="64" t="s">
        <v>407</v>
      </c>
    </row>
    <row r="3" spans="3:22" x14ac:dyDescent="0.2">
      <c r="C3" s="183" t="s">
        <v>5</v>
      </c>
      <c r="D3" s="309" t="str">
        <f>IF([1]INPUT!D14="N","Life annuity with Return of Purchase Price (ROP) on death of annuitant","")</f>
        <v>Life annuity with Return of Purchase Price (ROP) on death of annuitant</v>
      </c>
      <c r="N3">
        <v>1</v>
      </c>
      <c r="O3">
        <v>1</v>
      </c>
      <c r="Q3" s="64" t="s">
        <v>103</v>
      </c>
      <c r="R3" s="310">
        <v>0</v>
      </c>
      <c r="U3" s="64" t="s">
        <v>103</v>
      </c>
      <c r="V3" s="311">
        <v>0.01</v>
      </c>
    </row>
    <row r="4" spans="3:22" x14ac:dyDescent="0.2">
      <c r="C4" s="183" t="s">
        <v>6</v>
      </c>
      <c r="D4" s="183" t="str">
        <f>IF(AND([1]INPUT!D14="Y",Channel&lt;&gt;"POS"),"Joint Life Last Survivor with 100% of annuity to spouse &amp; with Return of Purchase Price on death of Last Survivor","")</f>
        <v/>
      </c>
      <c r="N4">
        <v>2</v>
      </c>
      <c r="O4">
        <v>0.49099999999999999</v>
      </c>
      <c r="Q4" s="64" t="s">
        <v>540</v>
      </c>
      <c r="R4" s="311">
        <v>0.01</v>
      </c>
      <c r="U4" s="64" t="s">
        <v>540</v>
      </c>
      <c r="V4" s="311">
        <v>0.01</v>
      </c>
    </row>
    <row r="5" spans="3:22" x14ac:dyDescent="0.2">
      <c r="C5" s="183"/>
      <c r="D5" s="309"/>
      <c r="N5">
        <v>4</v>
      </c>
      <c r="O5">
        <v>0.24299999999999999</v>
      </c>
      <c r="Q5" s="64" t="s">
        <v>104</v>
      </c>
      <c r="R5" s="311">
        <v>0</v>
      </c>
      <c r="U5" s="64" t="s">
        <v>104</v>
      </c>
      <c r="V5" s="311">
        <v>0.01</v>
      </c>
    </row>
    <row r="6" spans="3:22" x14ac:dyDescent="0.2">
      <c r="N6">
        <v>12</v>
      </c>
      <c r="O6">
        <v>8.0500000000000002E-2</v>
      </c>
      <c r="Q6" s="64" t="s">
        <v>390</v>
      </c>
      <c r="R6" s="311">
        <v>0</v>
      </c>
      <c r="U6" s="64" t="s">
        <v>390</v>
      </c>
      <c r="V6" s="311">
        <v>0.01</v>
      </c>
    </row>
    <row r="7" spans="3:22" x14ac:dyDescent="0.2">
      <c r="Q7" s="64" t="s">
        <v>403</v>
      </c>
      <c r="R7" s="310">
        <v>1.4999999999999999E-2</v>
      </c>
      <c r="U7" s="64"/>
      <c r="V7" s="310"/>
    </row>
    <row r="8" spans="3:22" x14ac:dyDescent="0.2">
      <c r="C8" t="s">
        <v>102</v>
      </c>
      <c r="D8" s="30"/>
      <c r="G8" s="30"/>
      <c r="Q8" s="64" t="s">
        <v>405</v>
      </c>
      <c r="R8" s="311">
        <v>0.02</v>
      </c>
      <c r="U8" s="64" t="s">
        <v>405</v>
      </c>
      <c r="V8" s="311">
        <v>0.01</v>
      </c>
    </row>
    <row r="9" spans="3:22" x14ac:dyDescent="0.2">
      <c r="C9" s="64" t="s">
        <v>103</v>
      </c>
      <c r="D9" s="172"/>
      <c r="G9" s="30"/>
      <c r="Q9" s="64" t="s">
        <v>560</v>
      </c>
      <c r="R9" s="312">
        <v>0.01</v>
      </c>
      <c r="U9" s="64" t="s">
        <v>560</v>
      </c>
      <c r="V9" s="311">
        <v>0.01</v>
      </c>
    </row>
    <row r="10" spans="3:22" x14ac:dyDescent="0.2">
      <c r="C10" s="64" t="s">
        <v>540</v>
      </c>
      <c r="G10" s="30"/>
    </row>
    <row r="11" spans="3:22" x14ac:dyDescent="0.2">
      <c r="C11" s="64" t="s">
        <v>104</v>
      </c>
      <c r="G11" s="30"/>
      <c r="R11" s="222" t="e">
        <f>VLOOKUP(Channel,Q3:R9,2,FALSE)</f>
        <v>#N/A</v>
      </c>
      <c r="V11" s="313">
        <v>0.01</v>
      </c>
    </row>
    <row r="12" spans="3:22" x14ac:dyDescent="0.2">
      <c r="C12" s="64" t="s">
        <v>390</v>
      </c>
      <c r="G12" s="30"/>
      <c r="Q12" t="s">
        <v>561</v>
      </c>
      <c r="R12" s="222">
        <f>IF(Channel_2="Group",V11,R11)</f>
        <v>0.01</v>
      </c>
    </row>
    <row r="13" spans="3:22" x14ac:dyDescent="0.2">
      <c r="C13" s="64" t="str">
        <f>IF([1]INPUT!D6="N","NPS"," ")</f>
        <v xml:space="preserve"> </v>
      </c>
      <c r="G13" s="30"/>
      <c r="H13" s="172"/>
    </row>
    <row r="14" spans="3:22" x14ac:dyDescent="0.2">
      <c r="C14" s="64" t="s">
        <v>405</v>
      </c>
    </row>
    <row r="15" spans="3:22" x14ac:dyDescent="0.2">
      <c r="C15" s="64" t="s">
        <v>560</v>
      </c>
    </row>
    <row r="16" spans="3:22" ht="13.5" x14ac:dyDescent="0.2">
      <c r="C16" s="314"/>
    </row>
    <row r="17" spans="3:3" ht="15" x14ac:dyDescent="0.2">
      <c r="C17" s="31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XEN36"/>
  <sheetViews>
    <sheetView workbookViewId="0">
      <selection activeCell="C27" sqref="C27:D27"/>
    </sheetView>
  </sheetViews>
  <sheetFormatPr defaultColWidth="9.140625" defaultRowHeight="15" x14ac:dyDescent="0.3"/>
  <cols>
    <col min="1" max="2" width="9.140625" style="1"/>
    <col min="3" max="3" width="15.5703125" style="1" customWidth="1"/>
    <col min="4" max="4" width="11.140625" style="1" bestFit="1" customWidth="1"/>
    <col min="5" max="5" width="15.140625" style="1" customWidth="1"/>
    <col min="6" max="6" width="14" style="1" customWidth="1"/>
    <col min="7" max="8" width="9.140625" style="1"/>
    <col min="9" max="9" width="16.42578125" style="1" bestFit="1" customWidth="1"/>
    <col min="10" max="10" width="9.140625" style="1"/>
    <col min="11" max="11" width="16.85546875" style="1" bestFit="1" customWidth="1"/>
    <col min="12" max="12" width="12.140625" style="1" bestFit="1" customWidth="1"/>
    <col min="13" max="14" width="9.140625" style="1"/>
    <col min="15" max="16" width="13.85546875" style="1" bestFit="1" customWidth="1"/>
    <col min="17" max="18" width="9.140625" style="1"/>
    <col min="19" max="19" width="15" style="1" bestFit="1" customWidth="1"/>
    <col min="20" max="16384" width="9.140625" style="1"/>
  </cols>
  <sheetData>
    <row r="1" spans="2:9 16353:16368" ht="15.75" thickBot="1" x14ac:dyDescent="0.35"/>
    <row r="2" spans="2:9 16353:16368" ht="15.75" thickBot="1" x14ac:dyDescent="0.35">
      <c r="B2" s="629" t="s">
        <v>79</v>
      </c>
      <c r="C2" s="630"/>
      <c r="D2" s="630"/>
      <c r="E2" s="630"/>
      <c r="F2" s="631"/>
    </row>
    <row r="3" spans="2:9 16353:16368" ht="39.75" x14ac:dyDescent="0.3">
      <c r="E3" s="109" t="s">
        <v>327</v>
      </c>
      <c r="F3" s="110" t="s">
        <v>328</v>
      </c>
      <c r="G3" s="110" t="s">
        <v>549</v>
      </c>
      <c r="H3" s="110" t="s">
        <v>550</v>
      </c>
      <c r="I3" s="306" t="s">
        <v>155</v>
      </c>
    </row>
    <row r="5" spans="2:9 16353:16368" ht="15.75" thickBot="1" x14ac:dyDescent="0.35">
      <c r="E5" s="109"/>
      <c r="F5" s="110"/>
      <c r="G5" s="110"/>
    </row>
    <row r="6" spans="2:9 16353:16368" ht="15.75" thickBot="1" x14ac:dyDescent="0.35">
      <c r="B6" s="623" t="s">
        <v>30</v>
      </c>
      <c r="C6" s="624"/>
      <c r="XDY6" s="1" t="s">
        <v>238</v>
      </c>
      <c r="XEB6" s="1" t="s">
        <v>239</v>
      </c>
      <c r="XEE6" s="1" t="s">
        <v>237</v>
      </c>
      <c r="XEI6" s="1" t="s">
        <v>251</v>
      </c>
      <c r="XEM6" s="1" t="s">
        <v>253</v>
      </c>
    </row>
    <row r="7" spans="2:9 16353:16368" ht="15.75" thickBot="1" x14ac:dyDescent="0.35">
      <c r="B7" s="627"/>
      <c r="C7" s="628"/>
      <c r="E7" s="623" t="s">
        <v>31</v>
      </c>
      <c r="F7" s="624"/>
      <c r="XDY7" s="623" t="s">
        <v>200</v>
      </c>
      <c r="XDZ7" s="624"/>
      <c r="XEB7" s="623" t="s">
        <v>200</v>
      </c>
      <c r="XEC7" s="624"/>
      <c r="XEE7" s="623" t="s">
        <v>235</v>
      </c>
      <c r="XEF7" s="624"/>
      <c r="XEI7" s="623" t="s">
        <v>235</v>
      </c>
      <c r="XEJ7" s="624"/>
      <c r="XEM7" s="623" t="s">
        <v>235</v>
      </c>
      <c r="XEN7" s="624"/>
    </row>
    <row r="8" spans="2:9 16353:16368" ht="15.75" thickBot="1" x14ac:dyDescent="0.35">
      <c r="E8" s="627"/>
      <c r="F8" s="628"/>
      <c r="XDY8" s="625"/>
      <c r="XDZ8" s="626"/>
      <c r="XEB8" s="625"/>
      <c r="XEC8" s="626"/>
      <c r="XEE8" s="625"/>
      <c r="XEF8" s="626"/>
      <c r="XEI8" s="625"/>
      <c r="XEJ8" s="626"/>
      <c r="XEM8" s="625"/>
      <c r="XEN8" s="626"/>
    </row>
    <row r="9" spans="2:9 16353:16368" ht="15.75" thickBot="1" x14ac:dyDescent="0.35">
      <c r="B9" s="9" t="s">
        <v>22</v>
      </c>
      <c r="C9" s="291" t="s">
        <v>23</v>
      </c>
      <c r="D9" s="19"/>
      <c r="E9" s="9" t="s">
        <v>24</v>
      </c>
      <c r="F9" s="291" t="s">
        <v>25</v>
      </c>
      <c r="XDY9" s="627"/>
      <c r="XDZ9" s="628"/>
      <c r="XEB9" s="627"/>
      <c r="XEC9" s="628"/>
      <c r="XEE9" s="627"/>
      <c r="XEF9" s="628"/>
      <c r="XEI9" s="627"/>
      <c r="XEJ9" s="628"/>
      <c r="XEM9" s="627"/>
      <c r="XEN9" s="628"/>
    </row>
    <row r="10" spans="2:9 16353:16368" ht="15.75" thickBot="1" x14ac:dyDescent="0.35">
      <c r="B10" s="2">
        <v>0</v>
      </c>
      <c r="C10" s="3">
        <v>2</v>
      </c>
      <c r="D10" s="20"/>
      <c r="E10" s="106">
        <v>25000</v>
      </c>
      <c r="F10" s="12">
        <v>5</v>
      </c>
      <c r="G10" s="1">
        <v>1</v>
      </c>
      <c r="XDY10" s="15" t="s">
        <v>201</v>
      </c>
      <c r="XDZ10" s="16" t="s">
        <v>25</v>
      </c>
      <c r="XEA10" s="1" t="s">
        <v>252</v>
      </c>
      <c r="XEB10" s="15" t="s">
        <v>201</v>
      </c>
      <c r="XEC10" s="16" t="s">
        <v>25</v>
      </c>
      <c r="XED10" s="1" t="s">
        <v>252</v>
      </c>
      <c r="XEE10" s="15" t="s">
        <v>236</v>
      </c>
      <c r="XEF10" s="16" t="s">
        <v>25</v>
      </c>
      <c r="XEG10" s="1" t="s">
        <v>252</v>
      </c>
      <c r="XEI10" s="15" t="s">
        <v>236</v>
      </c>
      <c r="XEJ10" s="16" t="s">
        <v>25</v>
      </c>
      <c r="XEK10" s="1" t="s">
        <v>252</v>
      </c>
      <c r="XEM10" s="15" t="s">
        <v>236</v>
      </c>
      <c r="XEN10" s="16" t="s">
        <v>25</v>
      </c>
    </row>
    <row r="11" spans="2:9 16353:16368" x14ac:dyDescent="0.3">
      <c r="B11" s="4">
        <v>1</v>
      </c>
      <c r="C11" s="5">
        <v>3</v>
      </c>
      <c r="D11" s="20"/>
      <c r="E11" s="10">
        <v>200000</v>
      </c>
      <c r="F11" s="13">
        <v>6</v>
      </c>
      <c r="G11" s="1">
        <v>2</v>
      </c>
      <c r="XDY11" s="17">
        <v>1</v>
      </c>
      <c r="XDZ11" s="18" t="str">
        <f>"DP1_"&amp;"OptA_"&amp;"SP"</f>
        <v>DP1_OptA_SP</v>
      </c>
      <c r="XEA11" s="139" t="e">
        <f>"DP"&amp;DP_1&amp;"_OptA_"&amp;"SP"</f>
        <v>#REF!</v>
      </c>
      <c r="XEB11" s="17">
        <v>1</v>
      </c>
      <c r="XEC11" s="18" t="str">
        <f>"DP1_"&amp;"OptB_"&amp;"SP"</f>
        <v>DP1_OptB_SP</v>
      </c>
      <c r="XED11" s="1" t="e">
        <f>"DP"&amp;DP_1&amp;"_OptB_"&amp;"SP"</f>
        <v>#REF!</v>
      </c>
      <c r="XEE11" s="17">
        <v>1</v>
      </c>
      <c r="XEF11" s="18" t="str">
        <f>"DP1_"&amp;"OptF_"&amp;VLOOKUP([1]INPUT!$D$12,[1]Working!$E$9:$F$15,2,TRUE)</f>
        <v>DP1_OptF_5</v>
      </c>
      <c r="XEG11" s="139" t="e">
        <f>"DP"&amp;DP_1&amp;"_OptF_"&amp;VLOOKUP([1]INPUT!$D$12,[1]Working!$E$9:$F$15,2,TRUE)</f>
        <v>#REF!</v>
      </c>
      <c r="XEI11" s="17">
        <v>1</v>
      </c>
      <c r="XEJ11" s="18" t="str">
        <f>"DP1_"&amp;"OptG_"&amp;"SP"</f>
        <v>DP1_OptG_SP</v>
      </c>
      <c r="XEK11" s="139" t="e">
        <f>"DP"&amp;DP_1&amp;"_OptG_"&amp;"SP"</f>
        <v>#REF!</v>
      </c>
      <c r="XEM11" s="17">
        <v>1</v>
      </c>
      <c r="XEN11" s="18" t="str">
        <f>"DP1_"&amp;"OptH_"&amp;"SP"</f>
        <v>DP1_OptH_SP</v>
      </c>
    </row>
    <row r="12" spans="2:9 16353:16368" x14ac:dyDescent="0.3">
      <c r="B12" s="4">
        <v>2</v>
      </c>
      <c r="C12" s="5">
        <v>4</v>
      </c>
      <c r="D12" s="20"/>
      <c r="E12" s="10">
        <v>500000</v>
      </c>
      <c r="F12" s="13">
        <v>7</v>
      </c>
      <c r="G12" s="1">
        <v>3</v>
      </c>
      <c r="XDY12" s="4">
        <v>2</v>
      </c>
      <c r="XDZ12" s="18" t="str">
        <f>"DP2_"&amp;"OptA_"&amp;"SP"</f>
        <v>DP2_OptA_SP</v>
      </c>
      <c r="XEB12" s="4">
        <v>2</v>
      </c>
      <c r="XEC12" s="18" t="str">
        <f>"DP2_"&amp;"OptB_"&amp;"SP"</f>
        <v>DP2_OptB_SP</v>
      </c>
      <c r="XEE12" s="4">
        <v>2</v>
      </c>
      <c r="XEF12" s="18" t="str">
        <f>"DP2_"&amp;"OptF_"&amp;VLOOKUP([1]INPUT!$D$12,[1]Working!$E$9:$F$15,2,TRUE)</f>
        <v>DP2_OptF_5</v>
      </c>
      <c r="XEI12" s="4">
        <v>2</v>
      </c>
      <c r="XEJ12" s="18" t="str">
        <f>"DP2_"&amp;"OptG_"&amp;"SP"</f>
        <v>DP2_OptG_SP</v>
      </c>
      <c r="XEM12" s="4">
        <v>2</v>
      </c>
      <c r="XEN12" s="18" t="str">
        <f>"DP2_"&amp;"OptH_"&amp;"SP"</f>
        <v>DP2_OptH_SP</v>
      </c>
    </row>
    <row r="13" spans="2:9 16353:16368" x14ac:dyDescent="0.3">
      <c r="B13" s="4">
        <v>3</v>
      </c>
      <c r="C13" s="5">
        <v>5</v>
      </c>
      <c r="D13" s="20"/>
      <c r="E13" s="10">
        <v>1000000</v>
      </c>
      <c r="F13" s="13">
        <v>8</v>
      </c>
      <c r="G13" s="1">
        <v>4</v>
      </c>
      <c r="XDY13" s="17">
        <v>3</v>
      </c>
      <c r="XDZ13" s="18" t="str">
        <f>"DP3_"&amp;"OptA_"&amp;"SP"</f>
        <v>DP3_OptA_SP</v>
      </c>
      <c r="XEB13" s="17">
        <v>3</v>
      </c>
      <c r="XEC13" s="18" t="str">
        <f>"DP3_"&amp;"OptB_"&amp;"SP"</f>
        <v>DP3_OptB_SP</v>
      </c>
      <c r="XEE13" s="17">
        <v>3</v>
      </c>
      <c r="XEF13" s="18" t="str">
        <f>"DP3_"&amp;"OptF_"&amp;VLOOKUP([1]INPUT!$D$12,[1]Working!$E$9:$F$15,2,TRUE)</f>
        <v>DP3_OptF_5</v>
      </c>
      <c r="XEI13" s="17">
        <v>3</v>
      </c>
      <c r="XEJ13" s="18" t="str">
        <f>"DP3_"&amp;"OptG_"&amp;"SP"</f>
        <v>DP3_OptG_SP</v>
      </c>
      <c r="XEM13" s="17">
        <v>3</v>
      </c>
      <c r="XEN13" s="18" t="str">
        <f>"DP3_"&amp;"OptH_"&amp;"SP"</f>
        <v>DP3_OptH_SP</v>
      </c>
    </row>
    <row r="14" spans="2:9 16353:16368" ht="15.75" thickBot="1" x14ac:dyDescent="0.35">
      <c r="B14" s="4">
        <v>4</v>
      </c>
      <c r="C14" s="5">
        <v>6</v>
      </c>
      <c r="D14" s="20"/>
      <c r="E14" s="10">
        <v>2500000</v>
      </c>
      <c r="F14" s="13">
        <v>9</v>
      </c>
      <c r="G14" s="1">
        <v>5</v>
      </c>
      <c r="XDY14" s="4">
        <v>4</v>
      </c>
      <c r="XDZ14" s="18" t="str">
        <f>"DP4_"&amp;"OptA_"&amp;"SP"</f>
        <v>DP4_OptA_SP</v>
      </c>
      <c r="XEB14" s="4">
        <v>4</v>
      </c>
      <c r="XEC14" s="18" t="str">
        <f>"DP4_"&amp;"OptB_"&amp;"SP"</f>
        <v>DP4_OptB_SP</v>
      </c>
      <c r="XEE14" s="4">
        <v>4</v>
      </c>
      <c r="XEF14" s="18" t="str">
        <f>"DP4_"&amp;"OptF_"&amp;VLOOKUP([1]INPUT!$D$12,[1]Working!$E$9:$F$15,2,TRUE)</f>
        <v>DP4_OptF_5</v>
      </c>
      <c r="XEI14" s="4">
        <v>4</v>
      </c>
      <c r="XEJ14" s="18" t="str">
        <f>"DP4_"&amp;"OptG_"&amp;"SP"</f>
        <v>DP4_OptG_SP</v>
      </c>
      <c r="XEM14" s="4">
        <v>4</v>
      </c>
      <c r="XEN14" s="18" t="str">
        <f>"DP4_"&amp;"OptG_"&amp;"SP"</f>
        <v>DP4_OptG_SP</v>
      </c>
    </row>
    <row r="15" spans="2:9 16353:16368" ht="15.75" thickBot="1" x14ac:dyDescent="0.35">
      <c r="B15" s="4">
        <v>5</v>
      </c>
      <c r="C15" s="3">
        <v>7</v>
      </c>
      <c r="D15" s="20"/>
      <c r="E15" s="11"/>
      <c r="F15" s="14"/>
      <c r="XDY15" s="17">
        <v>5</v>
      </c>
      <c r="XDZ15" s="18" t="str">
        <f>"DP5_"&amp;"OptA_"&amp;"SP"</f>
        <v>DP5_OptA_SP</v>
      </c>
      <c r="XEB15" s="17">
        <v>5</v>
      </c>
      <c r="XEC15" s="18" t="str">
        <f>"DP5_"&amp;"OptB_"&amp;"SP"</f>
        <v>DP5_OptB_SP</v>
      </c>
      <c r="XEE15" s="17">
        <v>5</v>
      </c>
      <c r="XEF15" s="18" t="str">
        <f>"DP5_"&amp;"OptF_"&amp;VLOOKUP([1]INPUT!$D$12,[1]Working!$E$9:$F$15,2,TRUE)</f>
        <v>DP5_OptF_5</v>
      </c>
      <c r="XEI15" s="17">
        <v>5</v>
      </c>
      <c r="XEJ15" s="18" t="str">
        <f>"DP5_"&amp;"OptG_"&amp;"SP"</f>
        <v>DP5_OptG_SP</v>
      </c>
      <c r="XEM15" s="17">
        <v>5</v>
      </c>
      <c r="XEN15" s="18" t="str">
        <f>"DP5_"&amp;"OptH_"&amp;"SP"</f>
        <v>DP5_OptH_SP</v>
      </c>
    </row>
    <row r="16" spans="2:9 16353:16368" ht="15" customHeight="1" x14ac:dyDescent="0.3">
      <c r="B16" s="4">
        <v>6</v>
      </c>
      <c r="C16" s="5">
        <v>8</v>
      </c>
      <c r="D16" s="19"/>
      <c r="XDY16" s="4">
        <v>6</v>
      </c>
      <c r="XDZ16" s="18" t="str">
        <f>"DP6_"&amp;"OptA_"&amp;"SP"</f>
        <v>DP6_OptA_SP</v>
      </c>
      <c r="XEB16" s="4">
        <v>6</v>
      </c>
      <c r="XEC16" s="18" t="str">
        <f>"DP6_"&amp;"OptB_"&amp;"SP"</f>
        <v>DP6_OptB_SP</v>
      </c>
      <c r="XEE16" s="4">
        <v>6</v>
      </c>
      <c r="XEF16" s="18" t="str">
        <f>"DP6_"&amp;"OptF_"&amp;VLOOKUP([1]INPUT!$D$12,[1]Working!$E$9:$F$15,2,TRUE)</f>
        <v>DP6_OptF_5</v>
      </c>
      <c r="XEI16" s="4">
        <v>6</v>
      </c>
      <c r="XEJ16" s="18" t="str">
        <f>"DP6_"&amp;"OptG_"&amp;"SP"</f>
        <v>DP6_OptG_SP</v>
      </c>
      <c r="XEM16" s="4">
        <v>6</v>
      </c>
      <c r="XEN16" s="18" t="str">
        <f>"DP6_"&amp;"OptH_"&amp;"SP"</f>
        <v>DP6_OptH_SP</v>
      </c>
    </row>
    <row r="17" spans="2:6 16353:16368" x14ac:dyDescent="0.3">
      <c r="B17" s="4">
        <v>7</v>
      </c>
      <c r="C17" s="5">
        <v>9</v>
      </c>
      <c r="D17" s="21"/>
      <c r="XDY17" s="17">
        <v>7</v>
      </c>
      <c r="XDZ17" s="18" t="str">
        <f>"DP7_"&amp;"OptA_"&amp;"SP"</f>
        <v>DP7_OptA_SP</v>
      </c>
      <c r="XEB17" s="17">
        <v>7</v>
      </c>
      <c r="XEC17" s="18" t="str">
        <f>"DP7_"&amp;"OptB_"&amp;"SP"</f>
        <v>DP7_OptB_SP</v>
      </c>
      <c r="XEE17" s="17">
        <v>7</v>
      </c>
      <c r="XEF17" s="18" t="str">
        <f>"DP7_"&amp;"OptF_"&amp;VLOOKUP([1]INPUT!$D$12,[1]Working!$E$9:$F$15,2,TRUE)</f>
        <v>DP7_OptF_5</v>
      </c>
      <c r="XEI17" s="17">
        <v>7</v>
      </c>
      <c r="XEJ17" s="18" t="str">
        <f>"DP7_"&amp;"OptG_"&amp;"SP"</f>
        <v>DP7_OptG_SP</v>
      </c>
      <c r="XEM17" s="17">
        <v>7</v>
      </c>
      <c r="XEN17" s="18" t="str">
        <f>"DP7_"&amp;"OptH_"&amp;"SP"</f>
        <v>DP7_OptH_SP</v>
      </c>
    </row>
    <row r="18" spans="2:6 16353:16368" ht="15.75" thickBot="1" x14ac:dyDescent="0.35">
      <c r="B18" s="4">
        <v>8</v>
      </c>
      <c r="C18" s="5">
        <v>10</v>
      </c>
      <c r="D18" s="19"/>
      <c r="XDY18" s="4">
        <v>8</v>
      </c>
      <c r="XDZ18" s="18" t="str">
        <f>"DP8_"&amp;"OptA_"&amp;"SP"</f>
        <v>DP8_OptA_SP</v>
      </c>
      <c r="XEB18" s="4">
        <v>8</v>
      </c>
      <c r="XEC18" s="18" t="str">
        <f>"DP8_"&amp;"OptB_"&amp;"SP"</f>
        <v>DP8_OptB_SP</v>
      </c>
      <c r="XEE18" s="4">
        <v>8</v>
      </c>
      <c r="XEF18" s="18" t="str">
        <f>"DP8_"&amp;"OptF_"&amp;VLOOKUP([1]INPUT!$D$12,[1]Working!$E$9:$F$15,2,TRUE)</f>
        <v>DP8_OptF_5</v>
      </c>
      <c r="XEI18" s="4">
        <v>8</v>
      </c>
      <c r="XEJ18" s="18" t="str">
        <f>"DP8_"&amp;"OptG_"&amp;"SP"</f>
        <v>DP8_OptG_SP</v>
      </c>
      <c r="XEM18" s="4">
        <v>8</v>
      </c>
      <c r="XEN18" s="18" t="str">
        <f>"DP8_"&amp;"OptH_"&amp;"SP"</f>
        <v>DP8_OptH_SP</v>
      </c>
    </row>
    <row r="19" spans="2:6 16353:16368" ht="15.75" thickBot="1" x14ac:dyDescent="0.35">
      <c r="B19" s="4">
        <v>9</v>
      </c>
      <c r="C19" s="5">
        <v>11</v>
      </c>
      <c r="D19" s="19"/>
      <c r="E19" s="623" t="s">
        <v>32</v>
      </c>
      <c r="F19" s="624"/>
      <c r="XDY19" s="17">
        <v>9</v>
      </c>
      <c r="XDZ19" s="18" t="str">
        <f>"DP9_"&amp;"OptA_"&amp;"SP"</f>
        <v>DP9_OptA_SP</v>
      </c>
      <c r="XEB19" s="17">
        <v>9</v>
      </c>
      <c r="XEC19" s="18" t="str">
        <f>"DP9_"&amp;"OptB_"&amp;"SP"</f>
        <v>DP9_OptB_SP</v>
      </c>
      <c r="XEE19" s="17">
        <v>9</v>
      </c>
      <c r="XEF19" s="18" t="str">
        <f>"DP9_"&amp;"OptF_"&amp;VLOOKUP([1]INPUT!$D$12,[1]Working!$E$9:$F$15,2,TRUE)</f>
        <v>DP9_OptF_5</v>
      </c>
      <c r="XEI19" s="17">
        <v>9</v>
      </c>
      <c r="XEJ19" s="18" t="str">
        <f>"DP9_"&amp;"OptG_"&amp;"SP"</f>
        <v>DP9_OptG_SP</v>
      </c>
      <c r="XEM19" s="17">
        <v>9</v>
      </c>
      <c r="XEN19" s="18" t="str">
        <f>"DP9_"&amp;"OptH_"&amp;"SP"</f>
        <v>DP9_OptH_SP</v>
      </c>
    </row>
    <row r="20" spans="2:6 16353:16368" ht="15" customHeight="1" x14ac:dyDescent="0.3">
      <c r="B20" s="4">
        <v>10</v>
      </c>
      <c r="C20" s="3">
        <v>12</v>
      </c>
      <c r="D20" s="19"/>
      <c r="E20" s="625"/>
      <c r="F20" s="626"/>
      <c r="XDY20" s="4">
        <v>10</v>
      </c>
      <c r="XDZ20" s="18" t="str">
        <f>"DP10_"&amp;"OptA_"&amp;"SP"</f>
        <v>DP10_OptA_SP</v>
      </c>
      <c r="XEB20" s="4">
        <v>10</v>
      </c>
      <c r="XEC20" s="18" t="str">
        <f>"DP10_"&amp;"OptB_"&amp;"SP"</f>
        <v>DP10_OptB_SP</v>
      </c>
      <c r="XEE20" s="4">
        <v>10</v>
      </c>
      <c r="XEF20" s="18" t="str">
        <f>"DP10_"&amp;"OptF_"&amp;VLOOKUP([1]INPUT!$D$12,[1]Working!$E$9:$F$15,2,TRUE)</f>
        <v>DP10_OptF_5</v>
      </c>
      <c r="XEI20" s="4">
        <v>10</v>
      </c>
      <c r="XEJ20" s="18" t="str">
        <f>"DP10_"&amp;"OptG_"&amp;"SP"</f>
        <v>DP10_OptG_SP</v>
      </c>
      <c r="XEM20" s="4">
        <v>10</v>
      </c>
      <c r="XEN20" s="18" t="str">
        <f>"DP10_"&amp;"OptH_"&amp;"SP"</f>
        <v>DP10_OptH_SP</v>
      </c>
    </row>
    <row r="21" spans="2:6 16353:16368" ht="15.75" thickBot="1" x14ac:dyDescent="0.35">
      <c r="B21" s="4">
        <v>11</v>
      </c>
      <c r="C21" s="5">
        <v>13</v>
      </c>
      <c r="D21" s="19"/>
      <c r="E21" s="627"/>
      <c r="F21" s="628"/>
    </row>
    <row r="22" spans="2:6 16353:16368" ht="15.75" thickBot="1" x14ac:dyDescent="0.35">
      <c r="B22" s="4">
        <v>16</v>
      </c>
      <c r="C22" s="5">
        <v>14</v>
      </c>
      <c r="D22" s="19"/>
      <c r="E22" s="15" t="s">
        <v>29</v>
      </c>
      <c r="F22" s="16" t="s">
        <v>25</v>
      </c>
    </row>
    <row r="23" spans="2:6 16353:16368" x14ac:dyDescent="0.3">
      <c r="B23" s="4">
        <v>21</v>
      </c>
      <c r="C23" s="5">
        <v>15</v>
      </c>
      <c r="E23" s="316" t="s">
        <v>27</v>
      </c>
      <c r="F23" s="317" t="str">
        <f>"JLLROC_"&amp;VLOOKUP('SP-input'!$D$12,'Working-SP'!$E$9:$F$15,2,TRUE)</f>
        <v>JLLROC_9</v>
      </c>
    </row>
    <row r="24" spans="2:6 16353:16368" ht="15.75" thickBot="1" x14ac:dyDescent="0.35">
      <c r="B24" s="4">
        <v>26</v>
      </c>
      <c r="C24" s="5">
        <v>16</v>
      </c>
      <c r="E24" s="318"/>
      <c r="F24" s="317" t="str">
        <f>"JLLROC_"&amp;VLOOKUP('SP-input'!$D$17,'Working-SP'!$E$9:$F$15,2,TRUE)</f>
        <v>JLLROC_9</v>
      </c>
    </row>
    <row r="25" spans="2:6 16353:16368" x14ac:dyDescent="0.3">
      <c r="B25" s="4">
        <v>31</v>
      </c>
      <c r="C25" s="3">
        <v>17</v>
      </c>
      <c r="E25" s="318"/>
      <c r="F25" s="318"/>
    </row>
    <row r="26" spans="2:6 16353:16368" x14ac:dyDescent="0.3">
      <c r="B26" s="4">
        <v>36</v>
      </c>
      <c r="C26" s="5">
        <v>18</v>
      </c>
      <c r="E26" s="318"/>
      <c r="F26" s="318"/>
    </row>
    <row r="27" spans="2:6 16353:16368" ht="15.75" thickBot="1" x14ac:dyDescent="0.35">
      <c r="B27" s="6"/>
      <c r="C27" s="7"/>
      <c r="E27" s="318"/>
      <c r="F27" s="318"/>
    </row>
    <row r="28" spans="2:6 16353:16368" x14ac:dyDescent="0.3">
      <c r="B28" s="4"/>
      <c r="C28" s="3"/>
    </row>
    <row r="29" spans="2:6 16353:16368" x14ac:dyDescent="0.3">
      <c r="B29" s="4"/>
      <c r="C29" s="5"/>
    </row>
    <row r="30" spans="2:6 16353:16368" ht="15.75" thickBot="1" x14ac:dyDescent="0.35">
      <c r="B30" s="6"/>
      <c r="C30" s="7"/>
    </row>
    <row r="31" spans="2:6 16353:16368" x14ac:dyDescent="0.3">
      <c r="B31" s="4"/>
      <c r="C31" s="3"/>
    </row>
    <row r="32" spans="2:6 16353:16368" x14ac:dyDescent="0.3">
      <c r="B32" s="4"/>
      <c r="C32" s="5"/>
    </row>
    <row r="33" spans="2:3" ht="15.75" thickBot="1" x14ac:dyDescent="0.35">
      <c r="B33" s="6"/>
      <c r="C33" s="7"/>
    </row>
    <row r="34" spans="2:3" x14ac:dyDescent="0.3">
      <c r="B34" s="4"/>
      <c r="C34" s="3"/>
    </row>
    <row r="35" spans="2:3" x14ac:dyDescent="0.3">
      <c r="B35" s="4"/>
      <c r="C35" s="5"/>
    </row>
    <row r="36" spans="2:3" ht="15.75" thickBot="1" x14ac:dyDescent="0.35">
      <c r="B36" s="6"/>
      <c r="C36" s="7"/>
    </row>
  </sheetData>
  <mergeCells count="9">
    <mergeCell ref="XEI7:XEJ9"/>
    <mergeCell ref="XEM7:XEN9"/>
    <mergeCell ref="E19:F21"/>
    <mergeCell ref="B2:F2"/>
    <mergeCell ref="B6:C7"/>
    <mergeCell ref="E7:F8"/>
    <mergeCell ref="XDY7:XDZ9"/>
    <mergeCell ref="XEB7:XEC9"/>
    <mergeCell ref="XEE7:XEF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heetViews>
  <sheetFormatPr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U193"/>
  <sheetViews>
    <sheetView topLeftCell="AI18" zoomScaleNormal="100" zoomScaleSheetLayoutView="85" workbookViewId="0">
      <selection activeCell="C10" sqref="C10"/>
    </sheetView>
  </sheetViews>
  <sheetFormatPr defaultColWidth="9.140625" defaultRowHeight="12.75" x14ac:dyDescent="0.2"/>
  <cols>
    <col min="1" max="1" width="11.42578125" style="43" customWidth="1"/>
    <col min="2" max="2" width="12.85546875" style="43" customWidth="1"/>
    <col min="3" max="3" width="16" style="43" customWidth="1"/>
    <col min="4" max="4" width="15.42578125" style="43" customWidth="1"/>
    <col min="5" max="5" width="15.85546875" style="43" customWidth="1"/>
    <col min="6" max="6" width="14" style="43" customWidth="1"/>
    <col min="7" max="7" width="15.42578125" style="43" customWidth="1"/>
    <col min="8" max="8" width="17" style="43" customWidth="1"/>
    <col min="9" max="9" width="23.85546875" style="43" customWidth="1"/>
    <col min="10" max="10" width="17" style="43" customWidth="1"/>
    <col min="11" max="11" width="9.140625" style="43"/>
    <col min="12" max="12" width="17.85546875" style="43" hidden="1" customWidth="1"/>
    <col min="13" max="17" width="9.140625" style="43" hidden="1" customWidth="1"/>
    <col min="18" max="20" width="9.140625" style="43" customWidth="1"/>
    <col min="21" max="21" width="13.140625" style="43" customWidth="1"/>
    <col min="22" max="26" width="9.140625" style="43" customWidth="1"/>
    <col min="27" max="27" width="8.42578125" style="43" customWidth="1"/>
    <col min="28" max="36" width="9.140625" style="43" customWidth="1"/>
    <col min="37" max="49" width="9.140625" style="43" hidden="1" customWidth="1"/>
    <col min="50" max="59" width="9.140625" style="43" customWidth="1"/>
    <col min="60" max="60" width="17" style="43" bestFit="1" customWidth="1"/>
    <col min="61" max="67" width="9.140625" style="43" customWidth="1"/>
    <col min="68" max="68" width="17" style="43" bestFit="1" customWidth="1"/>
    <col min="69" max="69" width="21.85546875" style="43" bestFit="1" customWidth="1"/>
    <col min="70" max="78" width="9.140625" style="43" customWidth="1"/>
    <col min="79" max="85" width="9.140625" style="43" hidden="1" customWidth="1"/>
    <col min="86" max="96" width="0" style="43" hidden="1" customWidth="1"/>
    <col min="97" max="97" width="11" style="43" hidden="1" customWidth="1"/>
    <col min="98" max="104" width="0" style="43" hidden="1" customWidth="1"/>
    <col min="105" max="127" width="9.140625" style="43"/>
    <col min="128" max="16384" width="9.140625" style="203"/>
  </cols>
  <sheetData>
    <row r="1" spans="1:55" s="43" customFormat="1" ht="75" customHeight="1" thickBot="1" x14ac:dyDescent="0.25">
      <c r="A1" s="632"/>
      <c r="B1" s="632"/>
      <c r="C1" s="632"/>
      <c r="D1" s="632"/>
      <c r="E1" s="632"/>
      <c r="F1" s="632"/>
      <c r="G1" s="632"/>
      <c r="H1" s="632"/>
      <c r="I1" s="632"/>
    </row>
    <row r="2" spans="1:55" s="43" customFormat="1" x14ac:dyDescent="0.2">
      <c r="A2" s="659" t="s">
        <v>126</v>
      </c>
      <c r="B2" s="660"/>
      <c r="C2" s="661"/>
      <c r="D2" s="712" t="str">
        <f>'All Options'!E8</f>
        <v>Senna</v>
      </c>
      <c r="E2" s="713"/>
      <c r="F2" s="665" t="s">
        <v>46</v>
      </c>
      <c r="G2" s="666"/>
      <c r="H2" s="653"/>
      <c r="I2" s="654"/>
    </row>
    <row r="3" spans="1:55" s="43" customFormat="1" x14ac:dyDescent="0.2">
      <c r="A3" s="662" t="s">
        <v>41</v>
      </c>
      <c r="B3" s="663"/>
      <c r="C3" s="664"/>
      <c r="D3" s="264">
        <f>'All Options'!E14</f>
        <v>60</v>
      </c>
      <c r="E3" s="265" t="s">
        <v>44</v>
      </c>
      <c r="F3" s="655" t="s">
        <v>47</v>
      </c>
      <c r="G3" s="656"/>
      <c r="H3" s="657" t="s">
        <v>479</v>
      </c>
      <c r="I3" s="658"/>
    </row>
    <row r="4" spans="1:55" s="43" customFormat="1" x14ac:dyDescent="0.2">
      <c r="A4" s="662" t="s">
        <v>127</v>
      </c>
      <c r="B4" s="663"/>
      <c r="C4" s="664"/>
      <c r="D4" s="266">
        <f>IF(AND('All Options'!E21&gt;0,'All Options'!E20="Y"),'All Options'!E21,"NA")</f>
        <v>55</v>
      </c>
      <c r="E4" s="265"/>
      <c r="F4" s="655" t="s">
        <v>48</v>
      </c>
      <c r="G4" s="656"/>
      <c r="H4" s="657" t="s">
        <v>454</v>
      </c>
      <c r="I4" s="658"/>
    </row>
    <row r="5" spans="1:55" s="43" customFormat="1" x14ac:dyDescent="0.2">
      <c r="A5" s="662" t="s">
        <v>41</v>
      </c>
      <c r="B5" s="663"/>
      <c r="C5" s="664"/>
      <c r="D5" s="267">
        <f>IF('All Options'!E20="Y",'All Options'!E21,"NA")</f>
        <v>55</v>
      </c>
      <c r="E5" s="265" t="s">
        <v>44</v>
      </c>
      <c r="F5" s="655" t="s">
        <v>49</v>
      </c>
      <c r="G5" s="656"/>
      <c r="H5" s="690" t="s">
        <v>124</v>
      </c>
      <c r="I5" s="691"/>
    </row>
    <row r="6" spans="1:55" s="43" customFormat="1" ht="13.5" thickBot="1" x14ac:dyDescent="0.25">
      <c r="A6" s="662" t="s">
        <v>42</v>
      </c>
      <c r="B6" s="663"/>
      <c r="C6" s="664"/>
      <c r="D6" s="264">
        <f>'All Options'!E12</f>
        <v>1</v>
      </c>
      <c r="E6" s="265" t="s">
        <v>75</v>
      </c>
      <c r="F6" s="707" t="s">
        <v>50</v>
      </c>
      <c r="G6" s="708"/>
      <c r="H6" s="709">
        <v>1.7999999999999999E-2</v>
      </c>
      <c r="I6" s="710"/>
    </row>
    <row r="7" spans="1:55" s="43" customFormat="1" x14ac:dyDescent="0.2">
      <c r="A7" s="662" t="s">
        <v>43</v>
      </c>
      <c r="B7" s="663"/>
      <c r="C7" s="664"/>
      <c r="D7" s="268">
        <f>D20</f>
        <v>5000000</v>
      </c>
      <c r="E7" s="265" t="s">
        <v>45</v>
      </c>
      <c r="G7" s="711"/>
      <c r="H7" s="711"/>
      <c r="I7" s="262"/>
      <c r="J7" s="263"/>
    </row>
    <row r="8" spans="1:55" s="43" customFormat="1" ht="13.5" thickBot="1" x14ac:dyDescent="0.25">
      <c r="A8" s="697" t="s">
        <v>128</v>
      </c>
      <c r="B8" s="698"/>
      <c r="C8" s="699"/>
      <c r="D8" s="714" t="str">
        <f>'All Options'!S83</f>
        <v>Monthly</v>
      </c>
      <c r="E8" s="715"/>
      <c r="F8" s="44"/>
      <c r="G8" s="49"/>
      <c r="H8" s="49"/>
      <c r="I8" s="50"/>
      <c r="J8" s="51"/>
    </row>
    <row r="9" spans="1:55" s="43" customFormat="1" x14ac:dyDescent="0.2">
      <c r="D9" s="82"/>
      <c r="E9" s="46"/>
      <c r="F9" s="44"/>
      <c r="G9" s="44"/>
      <c r="H9" s="44"/>
      <c r="I9" s="44"/>
      <c r="J9" s="44"/>
    </row>
    <row r="10" spans="1:55" s="43" customFormat="1" x14ac:dyDescent="0.2"/>
    <row r="11" spans="1:55" s="43" customFormat="1" x14ac:dyDescent="0.2">
      <c r="A11" s="43" t="s">
        <v>131</v>
      </c>
      <c r="BB11" s="43" t="s">
        <v>413</v>
      </c>
    </row>
    <row r="12" spans="1:55" s="43" customFormat="1" ht="13.5" thickBot="1" x14ac:dyDescent="0.25">
      <c r="AY12" s="43" t="s">
        <v>412</v>
      </c>
      <c r="BB12" s="184"/>
      <c r="BC12" s="175" t="s">
        <v>414</v>
      </c>
    </row>
    <row r="13" spans="1:55" s="43" customFormat="1" ht="13.5" thickBot="1" x14ac:dyDescent="0.25">
      <c r="A13" s="700" t="s">
        <v>51</v>
      </c>
      <c r="B13" s="701"/>
      <c r="C13" s="701"/>
      <c r="D13" s="701"/>
      <c r="E13" s="701"/>
      <c r="F13" s="701"/>
      <c r="G13" s="701"/>
      <c r="H13" s="701"/>
      <c r="I13" s="702"/>
      <c r="AY13" s="43" t="s">
        <v>411</v>
      </c>
      <c r="BB13" s="183"/>
      <c r="BC13" s="175" t="s">
        <v>415</v>
      </c>
    </row>
    <row r="14" spans="1:55" s="43" customFormat="1" ht="13.5" thickBot="1" x14ac:dyDescent="0.25">
      <c r="A14" s="692" t="s">
        <v>125</v>
      </c>
      <c r="B14" s="693"/>
      <c r="C14" s="694"/>
      <c r="D14" s="695" t="str">
        <f>Select</f>
        <v>Immediate Annuity</v>
      </c>
      <c r="E14" s="696"/>
      <c r="F14" s="687" t="s">
        <v>451</v>
      </c>
      <c r="G14" s="688"/>
      <c r="H14" s="689"/>
      <c r="I14" s="83" t="str">
        <f>IF(D14="Deferred Annuity",DP,"NA")</f>
        <v>NA</v>
      </c>
      <c r="BB14" s="175"/>
      <c r="BC14" s="175" t="s">
        <v>416</v>
      </c>
    </row>
    <row r="15" spans="1:55" s="43" customFormat="1" ht="53.25" customHeight="1" thickBot="1" x14ac:dyDescent="0.25">
      <c r="A15" s="692" t="s">
        <v>67</v>
      </c>
      <c r="B15" s="693"/>
      <c r="C15" s="694"/>
      <c r="D15" s="695" t="str">
        <f>'All Options'!E15</f>
        <v>Life annuity with Return of Purchase Price (ROP) on death of annuitant</v>
      </c>
      <c r="E15" s="696"/>
      <c r="F15" s="687" t="s">
        <v>74</v>
      </c>
      <c r="G15" s="688"/>
      <c r="H15" s="689"/>
      <c r="I15" s="58" t="s">
        <v>73</v>
      </c>
    </row>
    <row r="16" spans="1:55" s="43" customFormat="1" ht="27" customHeight="1" thickBot="1" x14ac:dyDescent="0.25">
      <c r="A16" s="703" t="s">
        <v>145</v>
      </c>
      <c r="B16" s="704"/>
      <c r="C16" s="704"/>
      <c r="D16" s="705" t="str">
        <f>IF('All Options'!E5="Y","Yes","NA")</f>
        <v>NA</v>
      </c>
      <c r="E16" s="706"/>
    </row>
    <row r="17" spans="1:151" s="43" customFormat="1" ht="13.5" thickBot="1" x14ac:dyDescent="0.25">
      <c r="AB17" s="674">
        <f>'All Options'!S84</f>
        <v>5000000</v>
      </c>
      <c r="AC17" s="675"/>
      <c r="BF17" s="121" t="s">
        <v>401</v>
      </c>
      <c r="CJ17" s="145"/>
      <c r="CK17" s="145"/>
    </row>
    <row r="18" spans="1:151" s="43" customFormat="1" ht="15.75" thickBot="1" x14ac:dyDescent="0.3">
      <c r="A18" s="682" t="s">
        <v>452</v>
      </c>
      <c r="B18" s="683"/>
      <c r="C18" s="683"/>
      <c r="D18" s="683"/>
      <c r="E18" s="684"/>
      <c r="I18" s="102"/>
      <c r="AZ18" s="145"/>
      <c r="BA18" s="145"/>
      <c r="BQ18" s="145"/>
      <c r="CA18" s="43" t="s">
        <v>435</v>
      </c>
      <c r="CB18" s="43" t="s">
        <v>435</v>
      </c>
      <c r="CC18" s="43" t="s">
        <v>435</v>
      </c>
      <c r="CD18" s="43" t="s">
        <v>435</v>
      </c>
      <c r="CE18" s="43" t="s">
        <v>435</v>
      </c>
      <c r="CF18" s="43" t="s">
        <v>435</v>
      </c>
      <c r="CG18" s="43" t="s">
        <v>435</v>
      </c>
      <c r="CH18" s="43" t="s">
        <v>435</v>
      </c>
      <c r="CI18" s="43" t="s">
        <v>435</v>
      </c>
      <c r="CJ18" s="43" t="s">
        <v>435</v>
      </c>
      <c r="CK18" s="43" t="s">
        <v>435</v>
      </c>
      <c r="CL18" s="43" t="s">
        <v>435</v>
      </c>
      <c r="CM18" s="43" t="s">
        <v>435</v>
      </c>
      <c r="CN18" s="43" t="s">
        <v>435</v>
      </c>
      <c r="CO18" s="43" t="s">
        <v>435</v>
      </c>
      <c r="CP18" s="43" t="s">
        <v>435</v>
      </c>
      <c r="CQ18" s="43" t="s">
        <v>435</v>
      </c>
      <c r="CR18" s="43" t="s">
        <v>435</v>
      </c>
      <c r="CS18" s="43" t="s">
        <v>435</v>
      </c>
      <c r="CT18" s="43" t="s">
        <v>435</v>
      </c>
      <c r="CU18" s="43" t="s">
        <v>435</v>
      </c>
      <c r="CV18" s="43" t="s">
        <v>435</v>
      </c>
      <c r="CW18" s="43" t="s">
        <v>435</v>
      </c>
      <c r="CX18" s="43" t="s">
        <v>435</v>
      </c>
      <c r="CY18" s="43" t="s">
        <v>435</v>
      </c>
      <c r="CZ18" s="43" t="s">
        <v>435</v>
      </c>
    </row>
    <row r="19" spans="1:151" s="43" customFormat="1" ht="13.5" thickBot="1" x14ac:dyDescent="0.25">
      <c r="A19" s="45"/>
      <c r="B19" s="46"/>
      <c r="C19" s="46"/>
      <c r="D19" s="685" t="s">
        <v>453</v>
      </c>
      <c r="E19" s="686"/>
      <c r="AC19" s="43" t="e">
        <f>VLOOKUP(1,$A$27:$AB$27,28,FALSE)</f>
        <v>#N/A</v>
      </c>
      <c r="AF19" s="145"/>
      <c r="AZ19" s="145"/>
      <c r="BA19" s="145"/>
      <c r="BD19" s="145" t="s">
        <v>366</v>
      </c>
      <c r="BE19" s="145"/>
      <c r="BO19" s="43" t="s">
        <v>406</v>
      </c>
      <c r="BT19" s="161" t="s">
        <v>380</v>
      </c>
      <c r="BU19" s="160"/>
      <c r="BX19" s="160"/>
      <c r="BY19" s="160"/>
      <c r="BZ19" s="160"/>
      <c r="CA19" s="161" t="s">
        <v>382</v>
      </c>
      <c r="CC19" s="160"/>
      <c r="CE19" s="160"/>
      <c r="CI19" s="43" t="s">
        <v>372</v>
      </c>
      <c r="CJ19" s="160"/>
      <c r="CK19" s="160"/>
      <c r="CL19" s="160"/>
      <c r="CM19" s="160"/>
      <c r="CW19" s="43" t="s">
        <v>372</v>
      </c>
    </row>
    <row r="20" spans="1:151" ht="13.5" thickBot="1" x14ac:dyDescent="0.25">
      <c r="A20" s="651" t="s">
        <v>139</v>
      </c>
      <c r="B20" s="652"/>
      <c r="C20" s="652"/>
      <c r="D20" s="676">
        <f>IF(AND(Select="Deferred Annuity", PremiumType="Regular Premium"),'All Options'!E18,'All Options'!S84)</f>
        <v>5000000</v>
      </c>
      <c r="E20" s="677"/>
      <c r="AB20" s="175"/>
      <c r="AC20" s="175" t="s">
        <v>360</v>
      </c>
      <c r="AD20" s="175" t="s">
        <v>360</v>
      </c>
      <c r="AE20" s="175" t="s">
        <v>360</v>
      </c>
      <c r="AF20" s="175" t="s">
        <v>360</v>
      </c>
      <c r="AG20" s="175" t="s">
        <v>360</v>
      </c>
      <c r="AY20" s="175" t="s">
        <v>417</v>
      </c>
      <c r="AZ20" s="184" t="s">
        <v>363</v>
      </c>
      <c r="BA20" s="183" t="s">
        <v>363</v>
      </c>
      <c r="BB20" s="184" t="s">
        <v>363</v>
      </c>
      <c r="BC20" s="183" t="s">
        <v>363</v>
      </c>
      <c r="BD20" s="183" t="s">
        <v>363</v>
      </c>
      <c r="BE20" s="183" t="s">
        <v>363</v>
      </c>
      <c r="BF20" s="183" t="s">
        <v>363</v>
      </c>
      <c r="BG20" s="175" t="s">
        <v>363</v>
      </c>
      <c r="BH20" s="183" t="s">
        <v>363</v>
      </c>
      <c r="BI20" s="175" t="s">
        <v>363</v>
      </c>
      <c r="BJ20" s="175" t="s">
        <v>363</v>
      </c>
      <c r="BK20" s="175" t="s">
        <v>363</v>
      </c>
      <c r="BL20" s="175" t="s">
        <v>363</v>
      </c>
      <c r="BM20" s="175" t="s">
        <v>363</v>
      </c>
      <c r="BN20" s="175" t="s">
        <v>363</v>
      </c>
      <c r="BO20" s="183" t="s">
        <v>363</v>
      </c>
      <c r="BP20" s="183" t="s">
        <v>363</v>
      </c>
      <c r="BQ20" s="183" t="s">
        <v>363</v>
      </c>
      <c r="BS20" s="175"/>
      <c r="BT20" s="175" t="s">
        <v>374</v>
      </c>
      <c r="BU20" s="175" t="s">
        <v>374</v>
      </c>
      <c r="BV20" s="185" t="s">
        <v>374</v>
      </c>
      <c r="BW20" s="185" t="s">
        <v>374</v>
      </c>
      <c r="BX20" s="185" t="s">
        <v>374</v>
      </c>
      <c r="BY20" s="185" t="s">
        <v>374</v>
      </c>
      <c r="BZ20" s="185" t="s">
        <v>374</v>
      </c>
      <c r="CA20" s="175" t="s">
        <v>368</v>
      </c>
      <c r="CB20" s="175" t="s">
        <v>368</v>
      </c>
      <c r="CC20" s="175" t="s">
        <v>368</v>
      </c>
      <c r="CD20" s="175" t="s">
        <v>368</v>
      </c>
      <c r="CE20" s="175" t="s">
        <v>368</v>
      </c>
      <c r="CF20" s="175" t="s">
        <v>368</v>
      </c>
      <c r="CG20" s="175" t="s">
        <v>368</v>
      </c>
      <c r="CH20" s="175" t="s">
        <v>368</v>
      </c>
      <c r="CI20" s="175" t="s">
        <v>368</v>
      </c>
      <c r="CJ20" s="175" t="s">
        <v>368</v>
      </c>
      <c r="CK20" s="175" t="s">
        <v>368</v>
      </c>
      <c r="CL20" s="175" t="s">
        <v>368</v>
      </c>
      <c r="CM20" s="175" t="s">
        <v>368</v>
      </c>
      <c r="CN20" s="175" t="s">
        <v>368</v>
      </c>
      <c r="CO20" s="175" t="s">
        <v>368</v>
      </c>
      <c r="CP20" s="175" t="s">
        <v>368</v>
      </c>
      <c r="CQ20" s="175" t="s">
        <v>368</v>
      </c>
      <c r="CR20" s="175" t="s">
        <v>368</v>
      </c>
      <c r="CS20" s="175" t="s">
        <v>368</v>
      </c>
      <c r="CT20" s="175" t="s">
        <v>368</v>
      </c>
      <c r="CU20" s="175" t="s">
        <v>368</v>
      </c>
      <c r="CV20" s="175" t="s">
        <v>368</v>
      </c>
      <c r="CW20" s="175" t="s">
        <v>368</v>
      </c>
      <c r="CX20" s="175" t="s">
        <v>368</v>
      </c>
      <c r="CY20" s="175" t="s">
        <v>368</v>
      </c>
      <c r="CZ20" s="175" t="s">
        <v>368</v>
      </c>
      <c r="DE20" s="203"/>
    </row>
    <row r="21" spans="1:151" ht="13.5" thickBot="1" x14ac:dyDescent="0.25">
      <c r="A21" s="79" t="s">
        <v>140</v>
      </c>
      <c r="B21" s="80"/>
      <c r="C21" s="80"/>
      <c r="D21" s="676">
        <f>D20*1.018</f>
        <v>5090000</v>
      </c>
      <c r="E21" s="677"/>
      <c r="AB21" s="175"/>
      <c r="AC21" s="175" t="b">
        <f>AND(OR(Select="Immediate Annuity",AND(Select="Deferred Annuity",PremiumType="Single Premium")),AnnuityOption=Output!AC25)</f>
        <v>0</v>
      </c>
      <c r="AD21" s="175" t="b">
        <f>AND(OR(Select="Immediate Annuity",AND(Select="Deferred Annuity",PremiumType="Single Premium")),AnnuityOption=Output!AD25)</f>
        <v>0</v>
      </c>
      <c r="AE21" s="175" t="b">
        <f>AND(OR(Select="Immediate Annuity",AND(Select="Deferred Annuity",PremiumType="Single Premium")),AnnuityOption=Output!AE25)</f>
        <v>0</v>
      </c>
      <c r="AF21" s="175" t="b">
        <f>AND(OR(Select="Immediate Annuity",AND(Select="Deferred Annuity",PremiumType="Single Premium")),AnnuityOption=Output!AF25)</f>
        <v>0</v>
      </c>
      <c r="AG21" s="175" t="b">
        <f>AND(OR(Select="Immediate Annuity",AND(Select="Deferred Annuity",PremiumType="Single Premium")),AnnuityOption=Output!AG25)</f>
        <v>0</v>
      </c>
      <c r="AY21" s="175" t="s">
        <v>364</v>
      </c>
      <c r="AZ21" s="175" t="b">
        <f>AND(Select="Deferred Annuity",AnnuityOption=AZ25,PremiumType="Regular Premium")</f>
        <v>0</v>
      </c>
      <c r="BA21" s="175" t="b">
        <f>AND(Select="Deferred Annuity",AnnuityOption=BA25,PremiumType="Regular Premium")</f>
        <v>0</v>
      </c>
      <c r="BB21" s="175" t="b">
        <f>AND(Select="Deferred Annuity",AnnuityOption=BB25,PremiumType="Single Premium")</f>
        <v>0</v>
      </c>
      <c r="BC21" s="175" t="b">
        <f>AND(Select="Deferred Annuity",AnnuityOption=BC25,PremiumType="Single Premium")</f>
        <v>0</v>
      </c>
      <c r="BD21" s="175" t="b">
        <f>AND(Select="Deferred Annuity",AnnuityOption=BD25,PremiumType="Single Premium",'All Options'!$E$20="Y")</f>
        <v>0</v>
      </c>
      <c r="BE21" s="175" t="b">
        <f>AND(Select="Deferred Annuity",AnnuityOption=BE25,PremiumType="Single Premium")</f>
        <v>0</v>
      </c>
      <c r="BF21" s="175" t="b">
        <f>AND(Select="Deferred Annuity",AnnuityOption=BF25,PremiumType="Single Premium")</f>
        <v>0</v>
      </c>
      <c r="BG21" s="175" t="b">
        <f t="shared" ref="BG21:BQ21" si="0">AND(Select="Immediate Annuity",AnnuityOption=BG25)</f>
        <v>0</v>
      </c>
      <c r="BH21" s="241" t="b">
        <f>OR(AND(Select="Immediate Annuity",AnnuityOption=BH25),AND(Channel="NPS",'All Options'!E20="N",AnnuityOption="Family Pension"))</f>
        <v>1</v>
      </c>
      <c r="BI21" s="175" t="b">
        <f t="shared" si="0"/>
        <v>0</v>
      </c>
      <c r="BJ21" s="175" t="b">
        <f t="shared" si="0"/>
        <v>0</v>
      </c>
      <c r="BK21" s="175" t="b">
        <f t="shared" si="0"/>
        <v>0</v>
      </c>
      <c r="BL21" s="175" t="b">
        <f t="shared" si="0"/>
        <v>0</v>
      </c>
      <c r="BM21" s="175" t="b">
        <f>AND(Select="Immediate Annuity",AnnuityOption=BM25,'All Options'!$E$20="Y")</f>
        <v>0</v>
      </c>
      <c r="BN21" s="175" t="b">
        <f>AND(Select="Immediate Annuity",AnnuityOption=BN25,'All Options'!$E$20="Y")</f>
        <v>0</v>
      </c>
      <c r="BO21" s="241" t="b">
        <f>OR(AND(Select="Immediate Annuity",AnnuityOption=BO25,'All Options'!$E$20="Y"),AND(Channel="NPS",'All Options'!E20="Y",AnnuityOption="Family Pension"))</f>
        <v>0</v>
      </c>
      <c r="BP21" s="175" t="b">
        <f t="shared" si="0"/>
        <v>0</v>
      </c>
      <c r="BQ21" s="175" t="b">
        <f t="shared" si="0"/>
        <v>0</v>
      </c>
      <c r="BS21" s="175"/>
      <c r="BT21" s="175" t="b">
        <f>AND(Select="Deferred Annuity",AnnuityOption=BT25,PremiumType="Regular Premium")</f>
        <v>0</v>
      </c>
      <c r="BU21" s="175" t="b">
        <f>AND(Select="Deferred Annuity",AnnuityOption=BU25,PremiumType="Regular Premium")</f>
        <v>0</v>
      </c>
      <c r="BV21" s="175" t="b">
        <f>AND(Select="Deferred Annuity",AnnuityOption=BV25,PremiumType="Single Premium")</f>
        <v>0</v>
      </c>
      <c r="BW21" s="175" t="b">
        <f>AND(Select="Deferred Annuity",AnnuityOption=BW25,PremiumType="Single Premium")</f>
        <v>0</v>
      </c>
      <c r="BX21" s="175" t="b">
        <f>AND(Select="Deferred Annuity",AnnuityOption=BX25,PremiumType="Single Premium",'All Options'!$E$20="Y")</f>
        <v>0</v>
      </c>
      <c r="BY21" s="175" t="b">
        <f>AND(Select="Deferred Annuity",AnnuityOption=BY25,PremiumType="Single Premium")</f>
        <v>0</v>
      </c>
      <c r="BZ21" s="175" t="b">
        <f>AND(Select="Deferred Annuity",AnnuityOption=BZ25,PremiumType="Single Premium")</f>
        <v>0</v>
      </c>
      <c r="CA21" s="175" t="b">
        <f>AND(Select="Deferred Annuity",AnnuityOption=CA25,PremiumType="Regular Premium")</f>
        <v>0</v>
      </c>
      <c r="CB21" s="175" t="b">
        <f>AND(Select="Deferred Annuity",AnnuityOption=CB25,PremiumType="Regular Premium")</f>
        <v>0</v>
      </c>
      <c r="CC21" s="175" t="b">
        <f>AND(Select="Deferred Annuity",AnnuityOption=CC25,PremiumType="Regular Premium")</f>
        <v>0</v>
      </c>
      <c r="CD21" s="175" t="b">
        <f>AND(Select="Deferred Annuity",AnnuityOption=CD25,PremiumType="Regular Premium")</f>
        <v>0</v>
      </c>
      <c r="CE21" s="175" t="b">
        <f>AND(Select="Deferred Annuity",AnnuityOption=CE25,PremiumType="Single Premium")</f>
        <v>0</v>
      </c>
      <c r="CF21" s="175" t="b">
        <f>AND(Select="Deferred Annuity",AnnuityOption=CF25,PremiumType="Single Premium")</f>
        <v>0</v>
      </c>
      <c r="CG21" s="175" t="b">
        <f>AND(Select="Deferred Annuity",AnnuityOption=CG25,PremiumType="Single Premium")</f>
        <v>0</v>
      </c>
      <c r="CH21" s="175" t="b">
        <f>AND(Select="Deferred Annuity",AnnuityOption=CH25,PremiumType="Single Premium",'All Options'!$E$20="Y")</f>
        <v>0</v>
      </c>
      <c r="CI21" s="175" t="b">
        <f>AND(Select="Deferred Annuity",AnnuityOption=CI25,PremiumType="Single Premium")</f>
        <v>0</v>
      </c>
      <c r="CJ21" s="175" t="b">
        <f>AND(Select="Deferred Annuity",AnnuityOption=CJ25,PremiumType="Single Premium")</f>
        <v>0</v>
      </c>
      <c r="CK21" s="175" t="b">
        <f>AND(Select="Deferred Annuity",AnnuityOption=CK25,PremiumType="Single Premium")</f>
        <v>0</v>
      </c>
      <c r="CL21" s="175" t="b">
        <f>AND(Select="Deferred Annuity",AnnuityOption=CL25,PremiumType="Single Premium")</f>
        <v>0</v>
      </c>
      <c r="CM21" s="175" t="b">
        <f>AND(Select="Deferred Annuity",AnnuityOption=CM25,PremiumType="Single Premium")</f>
        <v>0</v>
      </c>
      <c r="CN21" s="175" t="b">
        <f t="shared" ref="CN21:CS21" si="1">AND(Select="Immediate Annuity",AnnuityOption=CN25)</f>
        <v>0</v>
      </c>
      <c r="CO21" s="241" t="b">
        <f>OR(AND(Select="Immediate Annuity",AnnuityOption=CO25),AND(Channel="NPS",'All Options'!E20="N"))</f>
        <v>1</v>
      </c>
      <c r="CP21" s="175" t="b">
        <f t="shared" si="1"/>
        <v>0</v>
      </c>
      <c r="CQ21" s="175" t="b">
        <f t="shared" si="1"/>
        <v>0</v>
      </c>
      <c r="CR21" s="175" t="b">
        <f t="shared" si="1"/>
        <v>0</v>
      </c>
      <c r="CS21" s="175" t="b">
        <f t="shared" si="1"/>
        <v>0</v>
      </c>
      <c r="CT21" s="175" t="b">
        <f>AND(Select="Immediate Annuity",AnnuityOption=CT25,'All Options'!$E$20="Y")</f>
        <v>0</v>
      </c>
      <c r="CU21" s="175" t="b">
        <f>AND(Select="Immediate Annuity",AnnuityOption=CU25,'All Options'!$E$20="Y")</f>
        <v>0</v>
      </c>
      <c r="CV21" s="241" t="b">
        <f>OR(AND(Select="Immediate Annuity",AnnuityOption=CV25,'All Options'!$E$20="Y"),AND(Channel="NPS",'All Options'!E20="Y"))</f>
        <v>0</v>
      </c>
      <c r="CW21" s="175" t="b">
        <f>AND(Select="Immediate Annuity",AnnuityOption=CW25)</f>
        <v>0</v>
      </c>
      <c r="CX21" s="175" t="b">
        <f>AND(Select="Immediate Annuity",AnnuityOption=CX25)</f>
        <v>0</v>
      </c>
      <c r="CY21" s="175" t="b">
        <f>AND(Select="Immediate Annuity",AnnuityOption=CY25)</f>
        <v>0</v>
      </c>
      <c r="CZ21" s="175" t="b">
        <f>AND(Select="Immediate Annuity",AnnuityOption=CZ25)</f>
        <v>0</v>
      </c>
      <c r="DD21" s="43" t="s">
        <v>525</v>
      </c>
      <c r="DE21" s="203" t="s">
        <v>524</v>
      </c>
      <c r="DF21" s="203" t="s">
        <v>524</v>
      </c>
      <c r="DG21" s="203" t="s">
        <v>524</v>
      </c>
      <c r="DH21" s="203" t="s">
        <v>524</v>
      </c>
      <c r="DI21" s="43" t="s">
        <v>522</v>
      </c>
      <c r="DJ21" s="43" t="s">
        <v>523</v>
      </c>
    </row>
    <row r="22" spans="1:151" x14ac:dyDescent="0.2">
      <c r="AB22" s="175"/>
      <c r="AC22" s="175" t="s">
        <v>251</v>
      </c>
      <c r="AD22" s="175" t="s">
        <v>251</v>
      </c>
      <c r="AE22" s="175" t="s">
        <v>251</v>
      </c>
      <c r="AF22" s="175" t="s">
        <v>253</v>
      </c>
      <c r="AG22" s="175" t="s">
        <v>253</v>
      </c>
      <c r="AY22" s="175"/>
      <c r="AZ22" s="175" t="s">
        <v>255</v>
      </c>
      <c r="BA22" s="175" t="s">
        <v>239</v>
      </c>
      <c r="BB22" s="175" t="s">
        <v>255</v>
      </c>
      <c r="BC22" s="175" t="s">
        <v>239</v>
      </c>
      <c r="BD22" s="175" t="s">
        <v>237</v>
      </c>
      <c r="BE22" s="175" t="s">
        <v>251</v>
      </c>
      <c r="BF22" s="175" t="s">
        <v>253</v>
      </c>
      <c r="BG22" s="175" t="s">
        <v>255</v>
      </c>
      <c r="BH22" s="175" t="s">
        <v>239</v>
      </c>
      <c r="BI22" s="175" t="s">
        <v>356</v>
      </c>
      <c r="BJ22" s="175" t="s">
        <v>356</v>
      </c>
      <c r="BK22" s="175" t="s">
        <v>356</v>
      </c>
      <c r="BL22" s="175" t="s">
        <v>356</v>
      </c>
      <c r="BM22" s="175" t="s">
        <v>357</v>
      </c>
      <c r="BN22" s="175" t="s">
        <v>358</v>
      </c>
      <c r="BO22" s="175" t="s">
        <v>237</v>
      </c>
      <c r="BP22" s="175" t="s">
        <v>251</v>
      </c>
      <c r="BQ22" s="175" t="s">
        <v>253</v>
      </c>
      <c r="BS22" s="175" t="s">
        <v>385</v>
      </c>
      <c r="BT22" s="175" t="s">
        <v>255</v>
      </c>
      <c r="BU22" s="175" t="s">
        <v>239</v>
      </c>
      <c r="BV22" s="175" t="s">
        <v>255</v>
      </c>
      <c r="BW22" s="175" t="s">
        <v>239</v>
      </c>
      <c r="BX22" s="175" t="s">
        <v>237</v>
      </c>
      <c r="BY22" s="175" t="s">
        <v>251</v>
      </c>
      <c r="BZ22" s="175" t="s">
        <v>253</v>
      </c>
      <c r="CA22" s="175" t="s">
        <v>255</v>
      </c>
      <c r="CB22" s="175" t="s">
        <v>255</v>
      </c>
      <c r="CC22" s="175" t="s">
        <v>239</v>
      </c>
      <c r="CD22" s="175" t="s">
        <v>239</v>
      </c>
      <c r="CE22" s="175" t="s">
        <v>255</v>
      </c>
      <c r="CF22" s="175" t="s">
        <v>255</v>
      </c>
      <c r="CG22" s="175" t="s">
        <v>239</v>
      </c>
      <c r="CH22" s="175" t="s">
        <v>237</v>
      </c>
      <c r="CI22" s="175" t="s">
        <v>251</v>
      </c>
      <c r="CJ22" s="175" t="s">
        <v>253</v>
      </c>
      <c r="CK22" s="175" t="s">
        <v>253</v>
      </c>
      <c r="CL22" s="175" t="s">
        <v>253</v>
      </c>
      <c r="CM22" s="175" t="s">
        <v>251</v>
      </c>
      <c r="CN22" s="175" t="s">
        <v>255</v>
      </c>
      <c r="CO22" s="175" t="s">
        <v>239</v>
      </c>
      <c r="CP22" s="175" t="s">
        <v>356</v>
      </c>
      <c r="CQ22" s="175" t="s">
        <v>356</v>
      </c>
      <c r="CR22" s="175" t="s">
        <v>356</v>
      </c>
      <c r="CS22" s="175" t="s">
        <v>356</v>
      </c>
      <c r="CT22" s="175" t="s">
        <v>357</v>
      </c>
      <c r="CU22" s="175" t="s">
        <v>358</v>
      </c>
      <c r="CV22" s="175" t="s">
        <v>237</v>
      </c>
      <c r="CW22" s="175" t="s">
        <v>251</v>
      </c>
      <c r="CX22" s="175" t="s">
        <v>253</v>
      </c>
      <c r="CY22" s="175" t="s">
        <v>253</v>
      </c>
      <c r="CZ22" s="175" t="s">
        <v>253</v>
      </c>
      <c r="DD22" s="43" t="s">
        <v>93</v>
      </c>
      <c r="DE22" s="203" t="s">
        <v>33</v>
      </c>
      <c r="DF22" s="43" t="s">
        <v>34</v>
      </c>
      <c r="DG22" s="43" t="s">
        <v>35</v>
      </c>
      <c r="DH22" s="43" t="s">
        <v>36</v>
      </c>
      <c r="DI22" s="43" t="s">
        <v>94</v>
      </c>
      <c r="DJ22" s="43" t="s">
        <v>11</v>
      </c>
      <c r="DU22" s="175" t="s">
        <v>385</v>
      </c>
    </row>
    <row r="23" spans="1:151" ht="13.5" customHeight="1" thickBot="1" x14ac:dyDescent="0.25">
      <c r="AB23" s="175"/>
      <c r="AC23" s="177" t="s">
        <v>355</v>
      </c>
      <c r="AD23" s="177" t="s">
        <v>355</v>
      </c>
      <c r="AE23" s="177" t="s">
        <v>355</v>
      </c>
      <c r="AF23" s="177" t="s">
        <v>355</v>
      </c>
      <c r="AG23" s="177" t="s">
        <v>355</v>
      </c>
      <c r="AY23" s="175" t="s">
        <v>353</v>
      </c>
      <c r="AZ23" s="179" t="s">
        <v>354</v>
      </c>
      <c r="BA23" s="179" t="s">
        <v>354</v>
      </c>
      <c r="BB23" s="180" t="s">
        <v>354</v>
      </c>
      <c r="BC23" s="180" t="s">
        <v>354</v>
      </c>
      <c r="BD23" s="180" t="s">
        <v>354</v>
      </c>
      <c r="BE23" s="180" t="s">
        <v>354</v>
      </c>
      <c r="BF23" s="180" t="s">
        <v>354</v>
      </c>
      <c r="BG23" s="177" t="s">
        <v>355</v>
      </c>
      <c r="BH23" s="177" t="s">
        <v>355</v>
      </c>
      <c r="BI23" s="177" t="s">
        <v>355</v>
      </c>
      <c r="BJ23" s="177" t="s">
        <v>355</v>
      </c>
      <c r="BK23" s="177" t="s">
        <v>355</v>
      </c>
      <c r="BL23" s="177" t="s">
        <v>355</v>
      </c>
      <c r="BM23" s="177" t="s">
        <v>355</v>
      </c>
      <c r="BN23" s="177" t="s">
        <v>355</v>
      </c>
      <c r="BO23" s="177" t="s">
        <v>355</v>
      </c>
      <c r="BP23" s="177" t="s">
        <v>355</v>
      </c>
      <c r="BQ23" s="177" t="s">
        <v>355</v>
      </c>
      <c r="BS23" s="179" t="s">
        <v>354</v>
      </c>
      <c r="BT23" s="179" t="s">
        <v>354</v>
      </c>
      <c r="BU23" s="179" t="s">
        <v>354</v>
      </c>
      <c r="BV23" s="180" t="s">
        <v>354</v>
      </c>
      <c r="BW23" s="180" t="s">
        <v>354</v>
      </c>
      <c r="BX23" s="180" t="s">
        <v>354</v>
      </c>
      <c r="BY23" s="180" t="s">
        <v>354</v>
      </c>
      <c r="BZ23" s="180" t="s">
        <v>354</v>
      </c>
      <c r="CA23" s="179" t="s">
        <v>354</v>
      </c>
      <c r="CB23" s="179" t="s">
        <v>354</v>
      </c>
      <c r="CC23" s="179" t="s">
        <v>354</v>
      </c>
      <c r="CD23" s="179" t="s">
        <v>354</v>
      </c>
      <c r="CE23" s="180" t="s">
        <v>354</v>
      </c>
      <c r="CF23" s="180" t="s">
        <v>354</v>
      </c>
      <c r="CG23" s="180" t="s">
        <v>354</v>
      </c>
      <c r="CH23" s="180" t="s">
        <v>354</v>
      </c>
      <c r="CI23" s="180" t="s">
        <v>354</v>
      </c>
      <c r="CJ23" s="180" t="s">
        <v>354</v>
      </c>
      <c r="CK23" s="180" t="s">
        <v>354</v>
      </c>
      <c r="CL23" s="180" t="s">
        <v>354</v>
      </c>
      <c r="CM23" s="180" t="s">
        <v>354</v>
      </c>
      <c r="CN23" s="177" t="s">
        <v>355</v>
      </c>
      <c r="CO23" s="177" t="s">
        <v>355</v>
      </c>
      <c r="CP23" s="177" t="s">
        <v>355</v>
      </c>
      <c r="CQ23" s="177" t="s">
        <v>355</v>
      </c>
      <c r="CR23" s="177" t="s">
        <v>355</v>
      </c>
      <c r="CS23" s="177" t="s">
        <v>355</v>
      </c>
      <c r="CT23" s="177" t="s">
        <v>355</v>
      </c>
      <c r="CU23" s="177" t="s">
        <v>355</v>
      </c>
      <c r="CV23" s="177" t="s">
        <v>355</v>
      </c>
      <c r="CW23" s="177" t="s">
        <v>355</v>
      </c>
      <c r="CX23" s="177" t="s">
        <v>355</v>
      </c>
      <c r="CY23" s="177" t="s">
        <v>355</v>
      </c>
      <c r="CZ23" s="177" t="s">
        <v>355</v>
      </c>
      <c r="DE23" s="203" t="b">
        <f>OR(AnnuityOption=DE22,AnnuityOption=DF22,AnnuityOption=DG22,AnnuityOption=DH22,AnnuityOption=DI22,AnnuityOption=DJ22,AND(Select="Immediate Annuity",AnnuityOption=DD22))</f>
        <v>0</v>
      </c>
      <c r="DF23" s="281" t="b">
        <f>OR(AnnuityOption=DD22,AnnuityOption=DE22,AnnuityOption=DF22,AnnuityOption=DG22,AnnuityOption=DH22,AnnuityOption=DI22,AnnuityOption=DJ22)</f>
        <v>0</v>
      </c>
      <c r="DG23" s="281"/>
      <c r="DH23" s="281"/>
      <c r="DI23" s="281"/>
      <c r="DJ23"/>
      <c r="DK23" s="281"/>
      <c r="DL23" s="281"/>
      <c r="DM23" s="281"/>
      <c r="DN23" s="281"/>
      <c r="DO23" s="44"/>
      <c r="DU23" s="179" t="s">
        <v>354</v>
      </c>
    </row>
    <row r="24" spans="1:151" ht="14.25" thickBot="1" x14ac:dyDescent="0.3">
      <c r="C24" s="81"/>
      <c r="D24" s="667" t="s">
        <v>60</v>
      </c>
      <c r="E24" s="668"/>
      <c r="F24" s="668"/>
      <c r="G24" s="668"/>
      <c r="H24" s="667" t="s">
        <v>61</v>
      </c>
      <c r="I24" s="681"/>
      <c r="O24" s="669"/>
      <c r="P24" s="669"/>
      <c r="AB24" s="175"/>
      <c r="AC24" s="177" t="s">
        <v>203</v>
      </c>
      <c r="AD24" s="177" t="s">
        <v>203</v>
      </c>
      <c r="AE24" s="177" t="s">
        <v>203</v>
      </c>
      <c r="AF24" s="177" t="s">
        <v>203</v>
      </c>
      <c r="AG24" s="177" t="s">
        <v>203</v>
      </c>
      <c r="AY24" s="175" t="s">
        <v>111</v>
      </c>
      <c r="AZ24" s="179" t="s">
        <v>204</v>
      </c>
      <c r="BA24" s="179" t="s">
        <v>204</v>
      </c>
      <c r="BB24" s="180" t="s">
        <v>203</v>
      </c>
      <c r="BC24" s="180" t="s">
        <v>203</v>
      </c>
      <c r="BD24" s="180" t="s">
        <v>203</v>
      </c>
      <c r="BE24" s="180" t="s">
        <v>203</v>
      </c>
      <c r="BF24" s="180" t="s">
        <v>203</v>
      </c>
      <c r="BG24" s="177" t="s">
        <v>203</v>
      </c>
      <c r="BH24" s="177" t="s">
        <v>203</v>
      </c>
      <c r="BI24" s="177" t="s">
        <v>203</v>
      </c>
      <c r="BJ24" s="177" t="s">
        <v>203</v>
      </c>
      <c r="BK24" s="177" t="s">
        <v>203</v>
      </c>
      <c r="BL24" s="177" t="s">
        <v>203</v>
      </c>
      <c r="BM24" s="177" t="s">
        <v>203</v>
      </c>
      <c r="BN24" s="177" t="s">
        <v>203</v>
      </c>
      <c r="BO24" s="177" t="s">
        <v>203</v>
      </c>
      <c r="BP24" s="177" t="s">
        <v>203</v>
      </c>
      <c r="BQ24" s="177" t="s">
        <v>203</v>
      </c>
      <c r="BS24" s="179" t="s">
        <v>204</v>
      </c>
      <c r="BT24" s="179" t="s">
        <v>204</v>
      </c>
      <c r="BU24" s="179" t="s">
        <v>204</v>
      </c>
      <c r="BV24" s="180" t="s">
        <v>203</v>
      </c>
      <c r="BW24" s="180" t="s">
        <v>203</v>
      </c>
      <c r="BX24" s="180" t="s">
        <v>203</v>
      </c>
      <c r="BY24" s="180" t="s">
        <v>203</v>
      </c>
      <c r="BZ24" s="180" t="s">
        <v>203</v>
      </c>
      <c r="CA24" s="179" t="s">
        <v>204</v>
      </c>
      <c r="CB24" s="179" t="s">
        <v>204</v>
      </c>
      <c r="CC24" s="179" t="s">
        <v>204</v>
      </c>
      <c r="CD24" s="179" t="s">
        <v>204</v>
      </c>
      <c r="CE24" s="180" t="s">
        <v>203</v>
      </c>
      <c r="CF24" s="180" t="s">
        <v>203</v>
      </c>
      <c r="CG24" s="180" t="s">
        <v>203</v>
      </c>
      <c r="CH24" s="180" t="s">
        <v>203</v>
      </c>
      <c r="CI24" s="180" t="s">
        <v>203</v>
      </c>
      <c r="CJ24" s="180" t="s">
        <v>203</v>
      </c>
      <c r="CK24" s="180" t="s">
        <v>203</v>
      </c>
      <c r="CL24" s="180" t="s">
        <v>203</v>
      </c>
      <c r="CM24" s="180" t="s">
        <v>203</v>
      </c>
      <c r="CN24" s="177" t="s">
        <v>203</v>
      </c>
      <c r="CO24" s="177" t="s">
        <v>203</v>
      </c>
      <c r="CP24" s="177" t="s">
        <v>203</v>
      </c>
      <c r="CQ24" s="177" t="s">
        <v>203</v>
      </c>
      <c r="CR24" s="177" t="s">
        <v>203</v>
      </c>
      <c r="CS24" s="177" t="s">
        <v>203</v>
      </c>
      <c r="CT24" s="177" t="s">
        <v>203</v>
      </c>
      <c r="CU24" s="177" t="s">
        <v>203</v>
      </c>
      <c r="CV24" s="177" t="s">
        <v>203</v>
      </c>
      <c r="CW24" s="177" t="s">
        <v>203</v>
      </c>
      <c r="CX24" s="177" t="s">
        <v>203</v>
      </c>
      <c r="CY24" s="177" t="s">
        <v>203</v>
      </c>
      <c r="CZ24" s="177" t="s">
        <v>203</v>
      </c>
      <c r="DE24" s="203" t="s">
        <v>513</v>
      </c>
      <c r="DF24" s="43" t="s">
        <v>514</v>
      </c>
      <c r="DG24" s="43" t="s">
        <v>515</v>
      </c>
      <c r="DI24" s="43" t="s">
        <v>512</v>
      </c>
      <c r="DU24" s="179" t="s">
        <v>204</v>
      </c>
    </row>
    <row r="25" spans="1:151" ht="62.25" customHeight="1" thickBot="1" x14ac:dyDescent="0.3">
      <c r="A25" s="84" t="s">
        <v>62</v>
      </c>
      <c r="B25" s="672" t="s">
        <v>146</v>
      </c>
      <c r="C25" s="673"/>
      <c r="D25" s="84" t="s">
        <v>147</v>
      </c>
      <c r="E25" s="84" t="s">
        <v>63</v>
      </c>
      <c r="F25" s="85" t="str">
        <f>"Death Benefit"&amp;IF(D15=S14,"**","")</f>
        <v>Death Benefit</v>
      </c>
      <c r="G25" s="86" t="s">
        <v>64</v>
      </c>
      <c r="H25" s="84" t="s">
        <v>65</v>
      </c>
      <c r="I25" s="87" t="s">
        <v>66</v>
      </c>
      <c r="K25" s="175" t="s">
        <v>1</v>
      </c>
      <c r="L25" s="176"/>
      <c r="M25" s="175"/>
      <c r="N25" s="175"/>
      <c r="O25" s="175"/>
      <c r="P25" s="175"/>
      <c r="Q25" s="175"/>
      <c r="R25" s="175" t="s">
        <v>410</v>
      </c>
      <c r="AB25" s="175" t="s">
        <v>400</v>
      </c>
      <c r="AC25" s="178" t="s">
        <v>95</v>
      </c>
      <c r="AD25" s="178" t="s">
        <v>95</v>
      </c>
      <c r="AE25" s="178" t="s">
        <v>95</v>
      </c>
      <c r="AF25" s="178" t="s">
        <v>97</v>
      </c>
      <c r="AG25" s="178" t="s">
        <v>97</v>
      </c>
      <c r="AY25" s="181"/>
      <c r="AZ25" s="181" t="s">
        <v>93</v>
      </c>
      <c r="BA25" s="181" t="s">
        <v>92</v>
      </c>
      <c r="BB25" s="181" t="s">
        <v>93</v>
      </c>
      <c r="BC25" s="181" t="s">
        <v>92</v>
      </c>
      <c r="BD25" s="181" t="s">
        <v>365</v>
      </c>
      <c r="BE25" s="181" t="s">
        <v>95</v>
      </c>
      <c r="BF25" s="181" t="s">
        <v>97</v>
      </c>
      <c r="BG25" s="178" t="s">
        <v>93</v>
      </c>
      <c r="BH25" s="178" t="s">
        <v>92</v>
      </c>
      <c r="BI25" s="178" t="s">
        <v>33</v>
      </c>
      <c r="BJ25" s="178" t="s">
        <v>34</v>
      </c>
      <c r="BK25" s="178" t="s">
        <v>35</v>
      </c>
      <c r="BL25" s="178" t="s">
        <v>36</v>
      </c>
      <c r="BM25" s="178" t="s">
        <v>94</v>
      </c>
      <c r="BN25" s="178" t="s">
        <v>11</v>
      </c>
      <c r="BO25" s="178" t="s">
        <v>365</v>
      </c>
      <c r="BP25" s="178" t="s">
        <v>95</v>
      </c>
      <c r="BQ25" s="178" t="s">
        <v>97</v>
      </c>
      <c r="BS25" s="181" t="s">
        <v>93</v>
      </c>
      <c r="BT25" s="181" t="s">
        <v>93</v>
      </c>
      <c r="BU25" s="181" t="s">
        <v>92</v>
      </c>
      <c r="BV25" s="181" t="s">
        <v>93</v>
      </c>
      <c r="BW25" s="181" t="s">
        <v>92</v>
      </c>
      <c r="BX25" s="181" t="s">
        <v>365</v>
      </c>
      <c r="BY25" s="181" t="s">
        <v>95</v>
      </c>
      <c r="BZ25" s="181" t="s">
        <v>97</v>
      </c>
      <c r="CA25" s="181" t="s">
        <v>93</v>
      </c>
      <c r="CB25" s="181" t="s">
        <v>93</v>
      </c>
      <c r="CC25" s="181" t="s">
        <v>92</v>
      </c>
      <c r="CD25" s="181" t="s">
        <v>92</v>
      </c>
      <c r="CE25" s="181" t="s">
        <v>93</v>
      </c>
      <c r="CF25" s="181" t="s">
        <v>93</v>
      </c>
      <c r="CG25" s="181" t="s">
        <v>92</v>
      </c>
      <c r="CH25" s="181" t="s">
        <v>365</v>
      </c>
      <c r="CI25" s="232" t="s">
        <v>435</v>
      </c>
      <c r="CJ25" s="181" t="s">
        <v>97</v>
      </c>
      <c r="CK25" s="181" t="s">
        <v>97</v>
      </c>
      <c r="CL25" s="181" t="s">
        <v>97</v>
      </c>
      <c r="CM25" s="181" t="s">
        <v>95</v>
      </c>
      <c r="CN25" s="178" t="s">
        <v>93</v>
      </c>
      <c r="CO25" s="178" t="s">
        <v>92</v>
      </c>
      <c r="CP25" s="178" t="s">
        <v>33</v>
      </c>
      <c r="CQ25" s="178" t="s">
        <v>34</v>
      </c>
      <c r="CR25" s="178" t="s">
        <v>35</v>
      </c>
      <c r="CS25" s="178" t="s">
        <v>36</v>
      </c>
      <c r="CT25" s="178" t="s">
        <v>94</v>
      </c>
      <c r="CU25" s="178" t="s">
        <v>11</v>
      </c>
      <c r="CV25" s="178" t="s">
        <v>365</v>
      </c>
      <c r="CW25" s="178" t="s">
        <v>95</v>
      </c>
      <c r="CX25" s="178" t="s">
        <v>97</v>
      </c>
      <c r="CY25" s="178" t="s">
        <v>97</v>
      </c>
      <c r="CZ25" s="178" t="s">
        <v>97</v>
      </c>
      <c r="DE25" s="280" t="s">
        <v>509</v>
      </c>
      <c r="DF25" s="145"/>
      <c r="DM25" s="43" t="s">
        <v>516</v>
      </c>
      <c r="DN25" s="43" t="s">
        <v>517</v>
      </c>
      <c r="DO25" s="43" t="s">
        <v>518</v>
      </c>
      <c r="DP25" s="43" t="b">
        <f>AnnuityOption="Life Annuity"</f>
        <v>0</v>
      </c>
      <c r="DQ25" s="43" t="b">
        <f>$D$15="Life annuity with Return of Purchase Price (ROP) on death or survival"</f>
        <v>0</v>
      </c>
      <c r="DR25" s="43" t="b">
        <f>$D$15="Life annuity with Return of Purchase Price (ROP) on death or in annual installments on survival"</f>
        <v>0</v>
      </c>
      <c r="DU25" s="181" t="s">
        <v>93</v>
      </c>
      <c r="DX25" s="283"/>
      <c r="DY25" s="283"/>
      <c r="DZ25" s="283"/>
      <c r="EA25" s="283"/>
      <c r="EB25" s="283"/>
      <c r="EC25" s="283"/>
      <c r="ED25" s="284"/>
      <c r="EE25" s="283"/>
      <c r="EF25" s="283"/>
      <c r="EG25" s="283"/>
      <c r="EH25" s="283"/>
      <c r="EI25" s="283"/>
      <c r="EJ25" s="283"/>
      <c r="EK25" s="283"/>
      <c r="EL25" s="283"/>
      <c r="EM25" s="283"/>
      <c r="EN25" s="283"/>
      <c r="EO25" s="283"/>
      <c r="EP25" s="283"/>
      <c r="EQ25" s="283"/>
      <c r="ER25" s="283"/>
      <c r="ES25" s="283"/>
      <c r="ET25" s="283"/>
      <c r="EU25" s="283"/>
    </row>
    <row r="26" spans="1:151" ht="14.25" customHeight="1" x14ac:dyDescent="0.2">
      <c r="A26" s="98"/>
      <c r="B26" s="716"/>
      <c r="C26" s="717"/>
      <c r="D26" s="98"/>
      <c r="E26" s="98"/>
      <c r="F26" s="100"/>
      <c r="G26" s="99"/>
      <c r="H26" s="98"/>
      <c r="I26" s="99"/>
      <c r="K26" s="175"/>
      <c r="L26" s="175"/>
      <c r="M26" s="175"/>
      <c r="N26" s="175"/>
      <c r="O26" s="175"/>
      <c r="P26" s="175"/>
      <c r="Q26" s="175"/>
      <c r="R26" s="175"/>
      <c r="AB26" s="175"/>
      <c r="AC26" s="175"/>
      <c r="AD26" s="175"/>
      <c r="AE26" s="175"/>
      <c r="AF26" s="175"/>
      <c r="AG26" s="175"/>
      <c r="AY26" s="175"/>
      <c r="AZ26" s="175"/>
      <c r="BA26" s="175"/>
      <c r="BB26" s="175"/>
      <c r="BC26" s="175"/>
      <c r="BD26" s="175"/>
      <c r="BE26" s="175"/>
      <c r="BF26" s="175"/>
      <c r="BG26" s="175"/>
      <c r="BH26" s="175"/>
      <c r="BI26" s="175"/>
      <c r="BJ26" s="175"/>
      <c r="BK26" s="175"/>
      <c r="BL26" s="175"/>
      <c r="BM26" s="175"/>
      <c r="BN26" s="175"/>
      <c r="BO26" s="175"/>
      <c r="BP26" s="175"/>
      <c r="BQ26" s="175"/>
      <c r="BS26" s="175"/>
      <c r="BT26" s="175"/>
      <c r="BU26" s="175"/>
      <c r="BV26" s="175"/>
      <c r="BW26" s="175"/>
      <c r="BX26" s="175"/>
      <c r="BY26" s="175"/>
      <c r="BZ26" s="175"/>
      <c r="CA26" s="175"/>
      <c r="CB26" s="175"/>
      <c r="CC26" s="175"/>
      <c r="CD26" s="175"/>
      <c r="CE26" s="66"/>
      <c r="CF26" s="175"/>
      <c r="CG26" s="66"/>
      <c r="CH26" s="175"/>
      <c r="CI26" s="66"/>
      <c r="CJ26" s="175" t="s">
        <v>383</v>
      </c>
      <c r="CK26" s="175" t="s">
        <v>384</v>
      </c>
      <c r="CL26" s="175" t="s">
        <v>373</v>
      </c>
      <c r="CM26" s="175"/>
      <c r="CN26" s="175"/>
      <c r="CO26" s="175"/>
      <c r="CP26" s="175"/>
      <c r="CQ26" s="175"/>
      <c r="CR26" s="175"/>
      <c r="CS26" s="175"/>
      <c r="CT26" s="175"/>
      <c r="CU26" s="175"/>
      <c r="CV26" s="175"/>
      <c r="CW26" s="175"/>
      <c r="CX26" s="175" t="s">
        <v>369</v>
      </c>
      <c r="CY26" s="175" t="s">
        <v>370</v>
      </c>
      <c r="CZ26" s="175" t="s">
        <v>373</v>
      </c>
      <c r="DE26" s="43" t="s">
        <v>506</v>
      </c>
      <c r="DF26" s="43" t="s">
        <v>507</v>
      </c>
      <c r="DG26" s="43" t="s">
        <v>508</v>
      </c>
      <c r="DH26" s="282" t="s">
        <v>368</v>
      </c>
      <c r="DI26" s="43" t="s">
        <v>526</v>
      </c>
      <c r="DJ26" s="43" t="s">
        <v>527</v>
      </c>
      <c r="DM26" s="287" t="b">
        <f>OR(LEFT(D15,1)="J",AND(AnnuityOption="Family Pension",'All Options'!$E$20="Y"))</f>
        <v>0</v>
      </c>
      <c r="DN26" s="43" t="b">
        <f>AND(D15="Life annuity with Return of Purchase Price (ROP) on death or survival",Age&gt;60)</f>
        <v>0</v>
      </c>
      <c r="DO26" s="43" t="b">
        <f>AND(D15="Life annuity with Return of Purchase Price (ROP) on death or in annual installments on survival",Age&gt;55)</f>
        <v>0</v>
      </c>
      <c r="DP26" s="43" t="s">
        <v>521</v>
      </c>
      <c r="DQ26" s="43" t="s">
        <v>519</v>
      </c>
      <c r="DR26" s="43" t="s">
        <v>520</v>
      </c>
      <c r="DU26" s="175"/>
    </row>
    <row r="27" spans="1:151" x14ac:dyDescent="0.2">
      <c r="A27" s="76">
        <v>1</v>
      </c>
      <c r="B27" s="670">
        <f>IF(PremiumType="Regular Premium",'All Options'!$E$18*'All Options'!$E$22*(AND(Output!A27&lt;=PPT,A27&gt;=1)),'All Options'!$E$18*(A27=1))</f>
        <v>5000000</v>
      </c>
      <c r="C27" s="671"/>
      <c r="D27" s="103" t="e">
        <f>((VLOOKUP(CONCATENATE($D$14,$D$15),'All Options'!$AB$36:$AC$47,4,0)*VLOOKUP('All Options'!$E$22,'Valid Data-GPG'!$B$130:$F$134,MATCH('All Options'!$E$17,'Valid Data-GPG'!$B$130:$F$130,0),0)*'All Options'!$E$17)*IF(Select="Deferred Annuity",A27&gt;DP,1)+AE27+AF27*AG27*$AG$21)*(A27&gt;0)</f>
        <v>#N/A</v>
      </c>
      <c r="E27" s="103">
        <v>0</v>
      </c>
      <c r="F27" s="103" t="e">
        <f>SUM(AZ27:BQ27)*(A27&gt;0)</f>
        <v>#N/A</v>
      </c>
      <c r="G27" s="103">
        <f t="shared" ref="G27:G58" si="2">IF(Select="Immediate Annuity",0,IF(AND(Select="Deferred Annuity",PremiumType="Regular Premium"),SUM(BT27:BU27),SUM(BV27:BZ27)))</f>
        <v>0</v>
      </c>
      <c r="H27" s="285">
        <f>IFERROR(DH27,0)</f>
        <v>4287938.0136327343</v>
      </c>
      <c r="I27" s="103">
        <f>MAX(G27,H27)</f>
        <v>4287938.0136327343</v>
      </c>
      <c r="J27" s="101"/>
      <c r="K27" s="175">
        <f>Age</f>
        <v>60</v>
      </c>
      <c r="L27" s="175"/>
      <c r="M27" s="175"/>
      <c r="N27" s="175"/>
      <c r="O27" s="175"/>
      <c r="P27" s="175"/>
      <c r="Q27" s="175"/>
      <c r="R27" s="175">
        <f>IF(AND(AG27,AF27&gt;0),CZ26+1,0)</f>
        <v>0</v>
      </c>
      <c r="U27" s="143">
        <f>-B27</f>
        <v>-5000000</v>
      </c>
      <c r="AB27" s="175" t="e">
        <f>(VLOOKUP(CONCATENATE($D$14,$D$15),'All Options'!$AB$36:$AC$47,4,0)*VLOOKUP('All Options'!$E$22,'Valid Data-GPG'!$B$130:$F$134,MATCH('All Options'!$E$17,'Valid Data-GPG'!$B$130:$F$130,0),0)*'All Options'!$E$17)*IF(Select="Deferred Annuity",A27&gt;DP,1)*(A27&gt;0)</f>
        <v>#N/A</v>
      </c>
      <c r="AC27" s="175">
        <f t="shared" ref="AC27:AC58" si="3">$AB$17*MIN(A27&gt;25,K27&gt;=85)*($AE$21)</f>
        <v>0</v>
      </c>
      <c r="AD27" s="175">
        <f>SUM($AC$26:AC27)</f>
        <v>0</v>
      </c>
      <c r="AE27" s="175">
        <f t="shared" ref="AE27:AE58" si="4">IF(AD27=$AB$17,AD27,0)</f>
        <v>0</v>
      </c>
      <c r="AF27" s="175">
        <f t="shared" ref="AF27:AF58" si="5">5%*$AB$17*(MIN(A27&gt;15,K27&gt;=70))</f>
        <v>0</v>
      </c>
      <c r="AG27" s="175" t="b">
        <f>(SUM($AF$26:AF27)&lt;=$AB$17)</f>
        <v>1</v>
      </c>
      <c r="AY27" s="175"/>
      <c r="AZ27" s="66">
        <f>((MAX((SUM($B$26:C27)+(VLOOKUP($AZ$25,'All Options'!$AB$36:$AC$46,2,0)*VLOOKUP('All Options'!$E$22,'Valid Data-GPG'!$B$130:$F$134,MATCH('All Options'!$E$17,'Valid Data-GPG'!$B$130:$F$130,0),0)*'All Options'!$E$17)*(IF(A27&lt;=DP,A27,0))),105%*SUM($B$26:C27)))*(AND(A27&lt;&gt;0,Output!A27&lt;=DP))+(0)*(A27&gt;DP))*$AZ$21</f>
        <v>0</v>
      </c>
      <c r="BA27" s="175" t="e">
        <f>((MAX((SUM($B$26:C27)+(VLOOKUP($BA$25,'All Options'!$AB$36:$AC$46,2,0)*VLOOKUP('All Options'!$E$22,'Valid Data-GPG'!$B$130:$F$134,MATCH('All Options'!$E$17,'Valid Data-GPG'!$B$130:$F$130,0),0)*'All Options'!$E$17)*(IF(A27&lt;=DP,A27,0))),105%*SUM($B$26:C27)))*(Output!A27&lt;=DP)
+MAX((SUM($B$26:C27)+(VLOOKUP($BA$25,'All Options'!$AB$36:$AC$46,2,0)*VLOOKUP('All Options'!$E$22,'Valid Data-GPG'!$B$130:$F$134,MATCH('All Options'!$E$17,'Valid Data-GPG'!$B$130:$F$130,0),0)*'All Options'!$E$17)*DP-D27*(A27-DP)),SUM($B$26:C27))*(A27&gt;DP))*$BA$21</f>
        <v>#N/A</v>
      </c>
      <c r="BB27" s="175">
        <f>((MAX(($AB$17+(VLOOKUP($BB$25,'All Options'!$AB$36:$AC$46,2,0)*VLOOKUP('All Options'!$E$22,'Valid Data-GPG'!$B$130:$F$134,MATCH('All Options'!$E$17,'Valid Data-GPG'!$B$130:$F$130,0),0)*'All Options'!$E$17)*(IF(A27&lt;=DP,A27,0))),105%*$AB$17))*(Output!A27&lt;=DP)+(0)*(A27&gt;DP))*$BB$21</f>
        <v>0</v>
      </c>
      <c r="BC27" s="175" t="e">
        <f>((MAX(($AB$17+(VLOOKUP($BC$25,'All Options'!$AB$36:$AC$46,2,0)*VLOOKUP('All Options'!$E$22,'Valid Data-GPG'!$B$130:$F$134,MATCH('All Options'!$E$17,'Valid Data-GPG'!$B$130:$F$130,0),0)*'All Options'!$E$17)*(IF(A27&lt;=DP,A27,0))),105%*$AB$17))*(Output!A27&lt;=DP)+
MAX(($AB$17+(VLOOKUP($BC$25,'All Options'!$AB$36:$AC$46,2,0)*VLOOKUP('All Options'!$E$22,'Valid Data-GPG'!$B$130:$F$134,MATCH('All Options'!$E$17,'Valid Data-GPG'!$B$130:$F$130,0),0)*'All Options'!$E$17)*DP-D27*(A27-DP)),$AB$17)*(A27&gt;DP))*$BC$21</f>
        <v>#N/A</v>
      </c>
      <c r="BD27" s="175">
        <f ca="1">IFERROR((MAX(($AB$17+(VLOOKUP($BD$25,'All Options'!$AB$36:$AC$46,2,0)*VLOOKUP('All Options'!$E$22,'Valid Data-GPG'!$B$130:$F$134,MATCH('All Options'!$E$17,'Valid Data-GPG'!$B$130:$F$130,0),0)*'All Options'!$E$17)*(IF(A27&lt;=DP,A27,0))),105%*$AB$17))*(Output!A27&lt;=DP)
+MAX(($AB$17+(VLOOKUP($BD$25,'All Options'!$AB$36:$AC$46,2,0)*VLOOKUP('All Options'!$E$22,'Valid Data-GPG'!$B$130:$F$134,MATCH('All Options'!$E$17,'Valid Data-GPG'!$B$130:$F$130,0),0)*'All Options'!$E$17)*DP-D27*(A27-DP)),$AB$17)*(A27&gt;DP),0)*$BD$21</f>
        <v>0</v>
      </c>
      <c r="BE27" s="66">
        <f>IFERROR((MAX(($AB$17+(VLOOKUP($BE$25,'All Options'!$AB$36:$AC$46,2,0)*VLOOKUP('All Options'!$E$22,'Valid Data-GPG'!$B$130:$F$134,MATCH('All Options'!$E$17,'Valid Data-GPG'!$B$130:$F$130,0),0)*'All Options'!$E$17)*(IF(A27&lt;=DP,A27,0))),105%*$AB$17))*(Output!A27&lt;=DP)
+(MAX($AB$17+(VLOOKUP($BE$25,'All Options'!$AB$36:$AC$46,2,0)*VLOOKUP('All Options'!$E$22,'Valid Data-GPG'!$B$130:$F$134,MATCH('All Options'!$E$17,'Valid Data-GPG'!$B$130:$F$130,0),0)*'All Options'!$E$17)*DP-AB27*(A27-DP),$AB$17)*(MAX(A27&lt;=25,K27&lt;85)))*(A27&gt;DP),0)*$BE$21</f>
        <v>0</v>
      </c>
      <c r="BF27" s="175">
        <f>IFERROR((MAX(($AB$17+(VLOOKUP($BF$25,'All Options'!$AB$36:$AC$46,2,0)*VLOOKUP('All Options'!$E$22,'Valid Data-GPG'!$B$130:$F$134,MATCH('All Options'!$E$17,'Valid Data-GPG'!$B$130:$F$130,0),0)*'All Options'!$E$17)*(IF(A27&lt;=DP,A27,0))),105%*$AB$17))*(Output!A27&lt;=DP)
+(MAX($AB$17+(VLOOKUP($BF$25,'All Options'!$AB$36:$AC$46,2,0)*VLOOKUP('All Options'!$E$22,'Valid Data-GPG'!$B$130:$F$134,MATCH('All Options'!$E$17,'Valid Data-GPG'!$B$130:$F$130,0),0)*'All Options'!$E$17)*DP-AB27*(A27-DP),$AB$17)-SUM($AF$26:AF27)*AG27)*(A27&gt;DP)*AG27,0)*$BF$21</f>
        <v>0</v>
      </c>
      <c r="BG27" s="175">
        <f>0*$BG$21</f>
        <v>0</v>
      </c>
      <c r="BH27" s="182">
        <f t="shared" ref="BH27:BH58" si="6">$AB$17*$BH$21</f>
        <v>5000000</v>
      </c>
      <c r="BI27" s="175">
        <f>0*$BI$21</f>
        <v>0</v>
      </c>
      <c r="BJ27" s="175">
        <f>0*$BJ$21</f>
        <v>0</v>
      </c>
      <c r="BK27" s="175">
        <f>0*$BK$21</f>
        <v>0</v>
      </c>
      <c r="BL27" s="175">
        <f>0*$BL$21</f>
        <v>0</v>
      </c>
      <c r="BM27" s="175">
        <f>0*$BM$21</f>
        <v>0</v>
      </c>
      <c r="BN27" s="175">
        <f>0*$BN$21</f>
        <v>0</v>
      </c>
      <c r="BO27" s="182">
        <f t="shared" ref="BO27:BO58" si="7">$AB$17*$BO$21</f>
        <v>0</v>
      </c>
      <c r="BP27" s="182">
        <f t="shared" ref="BP27:BP58" si="8">$B$27*(MAX(A27&lt;=25,K27&lt;85))*$BP$21</f>
        <v>0</v>
      </c>
      <c r="BQ27" s="182">
        <f>MAX($AB$17-SUM($AF$26:AF27),0)*$BQ$21</f>
        <v>0</v>
      </c>
      <c r="BS27" s="175">
        <f t="shared" ref="BS27:BS58" si="9">(MIN(A27,PPT)/PPT)*(A27&gt;=2)</f>
        <v>0</v>
      </c>
      <c r="BT27" s="175">
        <f>IFERROR(IF(A27&lt;=1,0,VLOOKUP(DP,'Valid Data-GPG'!$A$116:$J$122,MATCH(Output!A27,'Valid Data-GPG'!$A$116:$J$116,0),FALSE)*SUM($B$26:C27))*(A27&lt;=DP),0)*$BT$21</f>
        <v>0</v>
      </c>
      <c r="BU27" s="175">
        <f>IFERROR(IF(A27&lt;=1,0,VLOOKUP(DP,'Valid Data-GPG'!$A$116:$J$122,MATCH(Output!A27,'Valid Data-GPG'!$A$116:$J$116,0),FALSE)*SUM($B$26:C27))*(A27&lt;=DP),0)*$BU$21</f>
        <v>0</v>
      </c>
      <c r="BV27" s="241">
        <f t="shared" ref="BV27:BV58" si="10">((75%*$AB$17)*(IF(DP&lt;=3,A27&lt;=DP,A27&lt;=3))+(90%*$AB$17)*(AND(A27&gt;3,A27&lt;=DP)))*$BV$21</f>
        <v>0</v>
      </c>
      <c r="BW27" s="175">
        <f t="shared" ref="BW27:BW67" si="11">((75%*$AB$17)*(A27&lt;=3)+(90%*$AB$17)*(AND(A27&gt;3,A27&lt;=DP)))*$BW$21</f>
        <v>0</v>
      </c>
      <c r="BX27" s="175">
        <f t="shared" ref="BX27:BX67" si="12">((75%*$AB$17)*(A27&lt;=3)+(90%*$AB$17)*(AND(A27&gt;3,A27&lt;=DP)))*$BX$21</f>
        <v>0</v>
      </c>
      <c r="BY27" s="175">
        <f t="shared" ref="BY27:BY67" si="13">((75%*$AB$17)*(A27&lt;=3)+(90%*$AB$17)*(AND(A27&gt;3,A27&lt;=DP)))*$BY$21</f>
        <v>0</v>
      </c>
      <c r="BZ27" s="175">
        <f t="shared" ref="BZ27:BZ67" si="14">((75%*$AB$17)*(A27&lt;=3)+(90%*$AB$17)*(AND(A27&gt;3,A27&lt;=DP)))*$BZ$21</f>
        <v>0</v>
      </c>
      <c r="CA27" s="175">
        <f>(INDEX('SV calc_ignore'!$J$10:$J$1341,12*Output!A27-0))*BS27</f>
        <v>0</v>
      </c>
      <c r="CB27" s="175">
        <f>CA27*(AND(A27&gt;1,A27&lt;=DP))*($CA$21)</f>
        <v>0</v>
      </c>
      <c r="CC27" s="175">
        <f>(INDEX('SV calc_ignore'!$J$10:$J$1341,12*Output!A27-0))*BS27</f>
        <v>0</v>
      </c>
      <c r="CD27" s="175">
        <f>CC27*$CD$21</f>
        <v>0</v>
      </c>
      <c r="CE27" s="66">
        <f>(INDEX('SV calc_ignore'!$J$10:$J$1341,12*Output!A27-0))*($CE$21)</f>
        <v>0</v>
      </c>
      <c r="CF27" s="175">
        <f>CE27*(AND(A27&gt;1,A27&lt;=DP))</f>
        <v>0</v>
      </c>
      <c r="CG27" s="175">
        <f>(INDEX('SV calc_ignore'!$J$10:$J$1341,12*Output!A27-0))*($CG$21)*(A27&gt;1)</f>
        <v>0</v>
      </c>
      <c r="CH27" s="175">
        <f>(INDEX('SV calc_ignore'!$J$10:$J$1341,12*Output!A27-0))*($CH$21)*(A27&gt;1)</f>
        <v>0</v>
      </c>
      <c r="CI27" s="175"/>
      <c r="CJ27" s="66">
        <f>(INDEX('SV calc_ignore'!$J$10:$J$1341,12*Output!A27-0))*($CJ$21)*(A27&gt;1)</f>
        <v>0</v>
      </c>
      <c r="CK27" s="66">
        <f>(INDEX('SV calc_ignore'!$Q$10:$Q$1341,12*Output!A27-0))*(AND(A27&gt;1,R27&lt;20))*($CK$21)</f>
        <v>0</v>
      </c>
      <c r="CL27" s="66">
        <f>CK27+CJ27</f>
        <v>0</v>
      </c>
      <c r="CM27" s="175">
        <f>((INDEX('SV calc_ignore'!$J$10:$J$1341,12*Output!A27-0))+(INDEX('SV calc_ignore'!$O$10:$O$1341,12*Output!A27-0))*(A27&lt;'SV calc_ignore'!$Q$5))*(A27&gt;1)*($CM$21)</f>
        <v>0</v>
      </c>
      <c r="CN27" s="175">
        <v>0</v>
      </c>
      <c r="CO27" s="175">
        <f>(INDEX('SV calc_ignore'!$J$10:$J$1341,12*Output!A27-0))*(A27&gt;1)*($CO$21)</f>
        <v>0</v>
      </c>
      <c r="CP27" s="175">
        <v>0</v>
      </c>
      <c r="CQ27" s="175">
        <v>0</v>
      </c>
      <c r="CR27" s="175">
        <v>0</v>
      </c>
      <c r="CS27" s="175">
        <v>0</v>
      </c>
      <c r="CT27" s="175">
        <v>0</v>
      </c>
      <c r="CU27" s="175">
        <v>0</v>
      </c>
      <c r="CV27" s="175">
        <f>(INDEX('SV calc_ignore'!$J$10:$J$1341,12*Output!A27-0))*(A27&gt;1)*($CV$21)</f>
        <v>0</v>
      </c>
      <c r="CW27" s="66">
        <f>((INDEX('SV calc_ignore'!$J$10:$J$1341,12*Output!A27-0))+(INDEX('SV calc_ignore'!$O$10:$O$1351,12*Output!A27-0))*(A27&lt;'SV calc_ignore'!$Q$5))*(A27&gt;1)*($CW$21)</f>
        <v>0</v>
      </c>
      <c r="CX27" s="175">
        <f>(INDEX('SV calc_ignore'!$J$10:$J$1341,12*Output!A27-0))*(A27&gt;1)*($CX$21)</f>
        <v>0</v>
      </c>
      <c r="CY27" s="175">
        <f>(INDEX('SV calc_ignore'!$Q$10:$Q$1341,12*Output!A27-0))*(AND(A27&gt;1,R27&lt;20))*($CY$21)</f>
        <v>0</v>
      </c>
      <c r="CZ27" s="175">
        <f>CX27+CY27</f>
        <v>0</v>
      </c>
      <c r="DB27" s="145"/>
      <c r="DE27" s="43">
        <f>IF($DE$23,0,VLOOKUP(IF(A27&lt;=DP,DJ27,DI27),SSV!$B$6:$C$116,2,FALSE)*VLOOKUP(AnnuityOption,'All Options'!$AB$36:$AC$47,2,FALSE)*VLOOKUP('All Options'!$E$22,'Valid Data-GPG'!$B$130:$F$134,MATCH('All Options'!$E$17,'Valid Data-GPG'!$B$130:$F$130,0),0)*'All Options'!$E$17)*(IF(AND(Select="Deferred Annuity",AnnuityOption="Life Annuity"),A27&lt;=DP,1))</f>
        <v>3229085.5136327343</v>
      </c>
      <c r="DF27" s="43">
        <f>IF($DF$23,0,IF($DQ$25,DQ27,IF($DR$25,DR27,VLOOKUP(IF(A27&lt;=DP,DJ27,DI27),SSV!$G$6:$H$116,2,FALSE)*SUM($B$27:B27))))</f>
        <v>1058852.5</v>
      </c>
      <c r="DG27" s="43" t="e">
        <f>IF(A27&lt;=DP,VLOOKUP(DP-A26,SSV!$T$6:$U$15,2,FALSE),1)</f>
        <v>#N/A</v>
      </c>
      <c r="DH27" s="282">
        <f t="shared" ref="DH27:DH58" si="15">(IF(A27&lt;=DP,(INDEX($DE$27:$DE$67,DP)+INDEX($DF$27:$DF$67,DP))*IF(Select="Immediate Annuity",1,DG27),DE27+DF27))*(IF(PremiumType="Regular Premium",DU27,1))*(IF(PremiumType="Single Premium",A27&gt;0,A27&gt;=2))</f>
        <v>4287938.0136327343</v>
      </c>
      <c r="DI27" s="43">
        <f>IF($DM$26,MIN(Age,'All Options'!$E$21)+A26,IF($DN$26,(Age+A26)-Age+60,IF($DO$26,(Age+A26)-Age+55,Age+A26)))</f>
        <v>60</v>
      </c>
      <c r="DJ27" s="279">
        <f>IF($DM$26,MIN(Age+A27,'All Options'!$E$21+A27),IF($DN$26,(Age+A27)-(Age+$A$27)+60,IF($DO$26,(Age+A27)-(Age+$A$27)+55,Age+A27)))</f>
        <v>61</v>
      </c>
      <c r="DK27" s="279"/>
      <c r="DL27" s="279"/>
      <c r="DP27" s="43">
        <f>0*$DP$25</f>
        <v>0</v>
      </c>
      <c r="DQ27" s="43">
        <f>IFERROR(VLOOKUP(IF(A27&lt;=DP,DJ27,DI27),SSV!$K$6:$L$91,2,FALSE)*SUM($B$27:B27),0)*($DQ$25)</f>
        <v>0</v>
      </c>
      <c r="DR27" s="43">
        <f>IFERROR(VLOOKUP(IF(A27&lt;=DP,DJ27,DI27),SSV!$O$6:$P$95,2,FALSE)*SUM($B$27:B27),0)*($DR$25)</f>
        <v>0</v>
      </c>
      <c r="DU27" s="175">
        <f t="shared" ref="DU27:DU58" si="16">(MIN(A27,PPT)/PPT)*(A27&gt;=2)</f>
        <v>0</v>
      </c>
    </row>
    <row r="28" spans="1:151" x14ac:dyDescent="0.2">
      <c r="A28" s="76">
        <f t="shared" ref="A28:A59" si="17">(A27+1)*(K28&lt;=110)</f>
        <v>2</v>
      </c>
      <c r="B28" s="670">
        <f>IF(PremiumType="Regular Premium",'All Options'!$E$18*'All Options'!$E$22*(AND(Output!A28&lt;=PPT,A28&gt;=1)),'All Options'!$E$18*(A28=1))</f>
        <v>0</v>
      </c>
      <c r="C28" s="671"/>
      <c r="D28" s="103" t="e">
        <f>((VLOOKUP(CONCATENATE($D$14,$D$15),'All Options'!$AB$36:$AC$47,4,0)*VLOOKUP('All Options'!$E$22,'Valid Data-GPG'!$B$130:$F$134,MATCH('All Options'!$E$17,'Valid Data-GPG'!$B$130:$F$130,0),0)*'All Options'!$E$17)*IF(Select="Deferred Annuity",A28&gt;DP,1)+AE28+AF28*AG28*$AG$21)*(A28&gt;0)</f>
        <v>#N/A</v>
      </c>
      <c r="E28" s="103">
        <v>0</v>
      </c>
      <c r="F28" s="103" t="e">
        <f t="shared" ref="F28:F91" si="18">SUM(AZ28:BQ28)*(A28&gt;0)</f>
        <v>#N/A</v>
      </c>
      <c r="G28" s="103">
        <f>IF(Select="Immediate Annuity",0,IF(AND(Select="Deferred Annuity",PremiumType="Regular Premium"),SUM(BT28:BU28),SUM(BV28:BZ28)))</f>
        <v>0</v>
      </c>
      <c r="H28" s="285">
        <f t="shared" ref="H28:H91" si="19">IFERROR(DH28,0)</f>
        <v>4295924.2930193879</v>
      </c>
      <c r="I28" s="103">
        <f t="shared" ref="I28:I91" si="20">MAX(G28,H28)</f>
        <v>4295924.2930193879</v>
      </c>
      <c r="J28" s="101"/>
      <c r="K28" s="175">
        <f t="shared" ref="K28:K59" si="21">IF(K27="","",IF(K27+1&gt;110,"",K27+1))</f>
        <v>61</v>
      </c>
      <c r="L28" s="175"/>
      <c r="M28" s="175"/>
      <c r="N28" s="175"/>
      <c r="O28" s="175"/>
      <c r="P28" s="175"/>
      <c r="Q28" s="175"/>
      <c r="R28" s="175">
        <f t="shared" ref="R28:R59" si="22">IF(AND(AG28,AF28&gt;0),R27+1,0)</f>
        <v>0</v>
      </c>
      <c r="U28" s="162" t="e">
        <f>D27</f>
        <v>#N/A</v>
      </c>
      <c r="AB28" s="175" t="e">
        <f>(VLOOKUP(CONCATENATE($D$14,$D$15),'All Options'!$AB$36:$AC$47,4,0)*VLOOKUP('All Options'!$E$22,'Valid Data-GPG'!$B$130:$F$134,MATCH('All Options'!$E$17,'Valid Data-GPG'!$B$130:$F$130,0),0)*'All Options'!$E$17)*IF(Select="Deferred Annuity",A28&gt;DP,1)*(A28&gt;0)</f>
        <v>#N/A</v>
      </c>
      <c r="AC28" s="175">
        <f t="shared" si="3"/>
        <v>0</v>
      </c>
      <c r="AD28" s="175">
        <f>SUM($AC$26:AC28)</f>
        <v>0</v>
      </c>
      <c r="AE28" s="175">
        <f t="shared" si="4"/>
        <v>0</v>
      </c>
      <c r="AF28" s="175">
        <f t="shared" si="5"/>
        <v>0</v>
      </c>
      <c r="AG28" s="175" t="b">
        <f>(SUM($AF$26:AF28)&lt;=$AB$17)</f>
        <v>1</v>
      </c>
      <c r="AY28" s="175"/>
      <c r="AZ28" s="66">
        <f>((MAX((SUM($B$26:C28)+(VLOOKUP($AZ$25,'All Options'!$AB$36:$AC$46,2,0)*VLOOKUP('All Options'!$E$22,'Valid Data-GPG'!$B$130:$F$134,MATCH('All Options'!$E$17,'Valid Data-GPG'!$B$130:$F$130,0),0)*'All Options'!$E$17)*(IF(A28&lt;=DP,A28,0))),105%*SUM($B$26:C28)))*(AND(A28&lt;&gt;0,Output!A28&lt;=DP))+(0)*(A28&gt;DP))*$AZ$21</f>
        <v>0</v>
      </c>
      <c r="BA28" s="175" t="e">
        <f>((MAX((SUM($B$26:C28)+(VLOOKUP($BA$25,'All Options'!$AB$36:$AC$46,2,0)*VLOOKUP('All Options'!$E$22,'Valid Data-GPG'!$B$130:$F$134,MATCH('All Options'!$E$17,'Valid Data-GPG'!$B$130:$F$130,0),0)*'All Options'!$E$17)*(IF(A28&lt;=DP,A28,0))),105%*SUM($B$26:C28)))*(Output!A28&lt;=DP)
+MAX((SUM($B$26:C28)+(VLOOKUP($BA$25,'All Options'!$AB$36:$AC$46,2,0)*VLOOKUP('All Options'!$E$22,'Valid Data-GPG'!$B$130:$F$134,MATCH('All Options'!$E$17,'Valid Data-GPG'!$B$130:$F$130,0),0)*'All Options'!$E$17)*DP-D28*(A28-DP)),SUM($B$26:C28))*(A28&gt;DP))*$BA$21</f>
        <v>#N/A</v>
      </c>
      <c r="BB28" s="175">
        <f>((MAX(($AB$17+(VLOOKUP($BB$25,'All Options'!$AB$36:$AC$46,2,0)*VLOOKUP('All Options'!$E$22,'Valid Data-GPG'!$B$130:$F$134,MATCH('All Options'!$E$17,'Valid Data-GPG'!$B$130:$F$130,0),0)*'All Options'!$E$17)*(IF(A28&lt;=DP,A28,0))),105%*$AB$17))*(Output!A28&lt;=DP)+(0)*(A28&gt;DP))*$BB$21</f>
        <v>0</v>
      </c>
      <c r="BC28" s="175" t="e">
        <f>((MAX(($AB$17+(VLOOKUP($BC$25,'All Options'!$AB$36:$AC$46,2,0)*VLOOKUP('All Options'!$E$22,'Valid Data-GPG'!$B$130:$F$134,MATCH('All Options'!$E$17,'Valid Data-GPG'!$B$130:$F$130,0),0)*'All Options'!$E$17)*(IF(A28&lt;=DP,A28,0))),105%*$AB$17))*(Output!A28&lt;=DP)+
MAX(($AB$17+(VLOOKUP($BC$25,'All Options'!$AB$36:$AC$46,2,0)*VLOOKUP('All Options'!$E$22,'Valid Data-GPG'!$B$130:$F$134,MATCH('All Options'!$E$17,'Valid Data-GPG'!$B$130:$F$130,0),0)*'All Options'!$E$17)*DP-D28*(A28-DP)),$AB$17)*(A28&gt;DP))*$BC$21</f>
        <v>#N/A</v>
      </c>
      <c r="BD28" s="175">
        <f ca="1">IFERROR((MAX(($AB$17+(VLOOKUP($BD$25,'All Options'!$AB$36:$AC$46,2,0)*VLOOKUP('All Options'!$E$22,'Valid Data-GPG'!$B$130:$F$134,MATCH('All Options'!$E$17,'Valid Data-GPG'!$B$130:$F$130,0),0)*'All Options'!$E$17)*(IF(A28&lt;=DP,A28,0))),105%*$AB$17))*(Output!A28&lt;=DP)
+MAX(($AB$17+(VLOOKUP($BD$25,'All Options'!$AB$36:$AC$46,2,0)*VLOOKUP('All Options'!$E$22,'Valid Data-GPG'!$B$130:$F$134,MATCH('All Options'!$E$17,'Valid Data-GPG'!$B$130:$F$130,0),0)*'All Options'!$E$17)*DP-D28*(A28-DP)),$AB$17)*(A28&gt;DP),0)*$BD$21</f>
        <v>0</v>
      </c>
      <c r="BE28" s="66">
        <f>IFERROR((MAX(($AB$17+(VLOOKUP($BE$25,'All Options'!$AB$36:$AC$46,2,0)*VLOOKUP('All Options'!$E$22,'Valid Data-GPG'!$B$130:$F$134,MATCH('All Options'!$E$17,'Valid Data-GPG'!$B$130:$F$130,0),0)*'All Options'!$E$17)*(IF(A28&lt;=DP,A28,0))),105%*$AB$17))*(Output!A28&lt;=DP)
+(MAX($AB$17+(VLOOKUP($BE$25,'All Options'!$AB$36:$AC$46,2,0)*VLOOKUP('All Options'!$E$22,'Valid Data-GPG'!$B$130:$F$134,MATCH('All Options'!$E$17,'Valid Data-GPG'!$B$130:$F$130,0),0)*'All Options'!$E$17)*DP-AB28*(A28-DP),$AB$17)*(MAX(A28&lt;=25,K28&lt;85)))*(A28&gt;DP),0)*$BE$21</f>
        <v>0</v>
      </c>
      <c r="BF28" s="175">
        <f>IFERROR((MAX(($AB$17+(VLOOKUP($BF$25,'All Options'!$AB$36:$AC$46,2,0)*VLOOKUP('All Options'!$E$22,'Valid Data-GPG'!$B$130:$F$134,MATCH('All Options'!$E$17,'Valid Data-GPG'!$B$130:$F$130,0),0)*'All Options'!$E$17)*(IF(A28&lt;=DP,A28,0))),105%*$AB$17))*(Output!A28&lt;=DP)
+(MAX($AB$17+(VLOOKUP($BF$25,'All Options'!$AB$36:$AC$46,2,0)*VLOOKUP('All Options'!$E$22,'Valid Data-GPG'!$B$130:$F$134,MATCH('All Options'!$E$17,'Valid Data-GPG'!$B$130:$F$130,0),0)*'All Options'!$E$17)*DP-AB28*(A28-DP),$AB$17)-SUM($AF$26:AF28)*AG28)*(A28&gt;DP)*AG28,0)*$BF$21</f>
        <v>0</v>
      </c>
      <c r="BG28" s="175">
        <f t="shared" ref="BG28:BG91" si="23">0*$BG$21</f>
        <v>0</v>
      </c>
      <c r="BH28" s="182">
        <f t="shared" si="6"/>
        <v>5000000</v>
      </c>
      <c r="BI28" s="175">
        <f t="shared" ref="BI28:BI91" si="24">0*$BI$21</f>
        <v>0</v>
      </c>
      <c r="BJ28" s="175">
        <f t="shared" ref="BJ28:BJ91" si="25">0*$BJ$21</f>
        <v>0</v>
      </c>
      <c r="BK28" s="175">
        <f t="shared" ref="BK28:BK91" si="26">0*$BK$21</f>
        <v>0</v>
      </c>
      <c r="BL28" s="175">
        <f t="shared" ref="BL28:BL91" si="27">0*$BL$21</f>
        <v>0</v>
      </c>
      <c r="BM28" s="175">
        <f t="shared" ref="BM28:BM91" si="28">0*$BM$21</f>
        <v>0</v>
      </c>
      <c r="BN28" s="175">
        <f t="shared" ref="BN28:BN91" si="29">0*$BN$21</f>
        <v>0</v>
      </c>
      <c r="BO28" s="182">
        <f t="shared" si="7"/>
        <v>0</v>
      </c>
      <c r="BP28" s="182">
        <f t="shared" si="8"/>
        <v>0</v>
      </c>
      <c r="BQ28" s="182">
        <f>MAX($AB$17-SUM($AF$26:AF28),0)*$BQ$21</f>
        <v>0</v>
      </c>
      <c r="BS28" s="175">
        <f t="shared" si="9"/>
        <v>1</v>
      </c>
      <c r="BT28" s="175">
        <f>IFERROR(IF(A28&lt;=1,0,VLOOKUP(DP,'Valid Data-GPG'!$A$116:$J$122,MATCH(Output!A28,'Valid Data-GPG'!$A$116:$J$116,0),FALSE)*SUM($B$26:C28))*(A28&lt;=DP),0)*$BT$21</f>
        <v>0</v>
      </c>
      <c r="BU28" s="175">
        <f>IFERROR(IF(A28&lt;=1,0,VLOOKUP(DP,'Valid Data-GPG'!$A$116:$J$122,MATCH(Output!A28,'Valid Data-GPG'!$A$116:$J$116,0),FALSE)*SUM($B$26:C28))*(A28&lt;=DP),0)*$BU$21</f>
        <v>0</v>
      </c>
      <c r="BV28" s="175">
        <f t="shared" si="10"/>
        <v>0</v>
      </c>
      <c r="BW28" s="175">
        <f t="shared" si="11"/>
        <v>0</v>
      </c>
      <c r="BX28" s="175">
        <f t="shared" si="12"/>
        <v>0</v>
      </c>
      <c r="BY28" s="175">
        <f t="shared" si="13"/>
        <v>0</v>
      </c>
      <c r="BZ28" s="175">
        <f t="shared" si="14"/>
        <v>0</v>
      </c>
      <c r="CA28" s="175">
        <f>(INDEX('SV calc_ignore'!$J$10:$J$1341,12*Output!A28-0))*BS28</f>
        <v>0</v>
      </c>
      <c r="CB28" s="175">
        <f t="shared" ref="CB28:CB91" si="30">CA28*(AND(A28&gt;1,A28&lt;=DP))*($CA$21)</f>
        <v>0</v>
      </c>
      <c r="CC28" s="175">
        <f>(INDEX('SV calc_ignore'!$J$10:$J$1341,12*Output!A28-0))*BS28</f>
        <v>0</v>
      </c>
      <c r="CD28" s="175">
        <f t="shared" ref="CD28:CD91" si="31">CC28*$CD$21</f>
        <v>0</v>
      </c>
      <c r="CE28" s="66">
        <f>(INDEX('SV calc_ignore'!$J$10:$J$1341,12*Output!A28-0))*($CE$21)</f>
        <v>0</v>
      </c>
      <c r="CF28" s="175">
        <f t="shared" ref="CF28:CF91" si="32">CE28*(AND(A28&gt;1,A28&lt;=DP))</f>
        <v>0</v>
      </c>
      <c r="CG28" s="175">
        <f>(INDEX('SV calc_ignore'!$J$10:$J$1341,12*Output!A28-0))*($CG$21)*(A28&gt;1)</f>
        <v>0</v>
      </c>
      <c r="CH28" s="175">
        <f>(INDEX('SV calc_ignore'!$J$10:$J$1341,12*Output!A28-0))*($CH$21)*(A28&gt;1)</f>
        <v>0</v>
      </c>
      <c r="CI28" s="175"/>
      <c r="CJ28" s="66">
        <f>(INDEX('SV calc_ignore'!$J$10:$J$1341,12*Output!A28-0))*($CJ$21)*(A28&gt;1)</f>
        <v>0</v>
      </c>
      <c r="CK28" s="66">
        <f>(INDEX('SV calc_ignore'!$Q$10:$Q$1341,12*Output!A28-0))*(AND(A28&gt;1,R28&lt;20))*($CK$21)</f>
        <v>0</v>
      </c>
      <c r="CL28" s="66">
        <f t="shared" ref="CL28:CL91" si="33">CK28+CJ28</f>
        <v>0</v>
      </c>
      <c r="CM28" s="175">
        <f>((INDEX('SV calc_ignore'!$J$10:$J$1341,12*Output!A28-0))+(INDEX('SV calc_ignore'!$O$10:$O$1341,12*Output!A28-0))*(A28&lt;'SV calc_ignore'!$Q$5))*(A28&gt;1)*($CM$21)</f>
        <v>0</v>
      </c>
      <c r="CN28" s="175">
        <v>0</v>
      </c>
      <c r="CO28" s="175">
        <f>(INDEX('SV calc_ignore'!$J$10:$J$1341,12*Output!A28-0))*(A28&gt;1)*($CO$21)</f>
        <v>0</v>
      </c>
      <c r="CP28" s="175">
        <v>0</v>
      </c>
      <c r="CQ28" s="175">
        <v>0</v>
      </c>
      <c r="CR28" s="175">
        <v>0</v>
      </c>
      <c r="CS28" s="175">
        <v>0</v>
      </c>
      <c r="CT28" s="175">
        <v>0</v>
      </c>
      <c r="CU28" s="175">
        <v>0</v>
      </c>
      <c r="CV28" s="175">
        <f>(INDEX('SV calc_ignore'!$J$10:$J$1341,12*Output!A28-0))*(A28&gt;1)*($CV$21)</f>
        <v>0</v>
      </c>
      <c r="CW28" s="66">
        <f>((INDEX('SV calc_ignore'!$J$10:$J$1341,12*Output!A28-0))+(INDEX('SV calc_ignore'!$O$10:$O$1351,12*Output!A28-0))*(A28&lt;'SV calc_ignore'!$Q$5))*(A28&gt;1)*($CW$21)</f>
        <v>0</v>
      </c>
      <c r="CX28" s="175">
        <f>(INDEX('SV calc_ignore'!$J$10:$J$1341,12*Output!A28-0))*(A28&gt;1)*($CX$21)</f>
        <v>0</v>
      </c>
      <c r="CY28" s="175">
        <f>(INDEX('SV calc_ignore'!$Q$10:$Q$1341,12*Output!A28-0))*(AND(A28&gt;1,R28&lt;20))*($CY$21)</f>
        <v>0</v>
      </c>
      <c r="CZ28" s="175">
        <f t="shared" ref="CZ28:CZ91" si="34">CX28+CY28</f>
        <v>0</v>
      </c>
      <c r="DB28" s="145"/>
      <c r="DE28" s="43">
        <f>IF($DE$23,0,VLOOKUP(IF(A28&lt;=DP,DJ28,DI28),SSV!$B$6:$C$116,2,FALSE)*VLOOKUP(AnnuityOption,'All Options'!$AB$36:$AC$47,2,FALSE)*VLOOKUP('All Options'!$E$22,'Valid Data-GPG'!$B$130:$F$134,MATCH('All Options'!$E$17,'Valid Data-GPG'!$B$130:$F$130,0),0)*'All Options'!$E$17)*(IF(AND(Select="Deferred Annuity",AnnuityOption="Life Annuity"),A28&lt;=DP,1))</f>
        <v>3180606.7930193879</v>
      </c>
      <c r="DF28" s="43">
        <f>IF($DF$23,0,IF($DQ$25,DQ28,IF($DR$25,DR28,VLOOKUP(IF(A28&lt;=DP,DJ28,DI28),SSV!$G$6:$H$116,2,FALSE)*SUM($B$27:B28))))</f>
        <v>1115317.5</v>
      </c>
      <c r="DG28" s="43" t="e">
        <f>IF(A28&lt;=DP,VLOOKUP(DP-A27,SSV!$T$6:$U$15,2,FALSE),1)</f>
        <v>#N/A</v>
      </c>
      <c r="DH28" s="282">
        <f t="shared" si="15"/>
        <v>4295924.2930193879</v>
      </c>
      <c r="DI28" s="43">
        <f>IF($DM$26,MIN(Age,'All Options'!$E$21)+A27,IF($DN$26,(Age+A27)-Age+60,IF($DO$26,(Age+A27)-Age+55,Age+A27)))</f>
        <v>61</v>
      </c>
      <c r="DJ28" s="279">
        <f>IF($DM$26,MIN(Age+A28,'All Options'!$E$21+A28),IF($DN$26,(Age+A28)-(Age+$A$27)+60,IF($DO$26,(Age+A28)-(Age+$A$27)+55,Age+A28)))</f>
        <v>62</v>
      </c>
      <c r="DK28" s="279"/>
      <c r="DL28" s="279"/>
      <c r="DP28" s="43">
        <f t="shared" ref="DP28:DP91" si="35">0*$DP$25</f>
        <v>0</v>
      </c>
      <c r="DQ28" s="43">
        <f>IFERROR(VLOOKUP(IF(A28&lt;=DP,DJ28,DI28),SSV!$K$6:$L$91,2,FALSE)*SUM($B$27:B28),0)*($DQ$25)</f>
        <v>0</v>
      </c>
      <c r="DR28" s="43">
        <f>IFERROR(VLOOKUP(IF(A28&lt;=DP,DJ28,DI28),SSV!$O$6:$P$95,2,FALSE)*SUM($B$27:B28),0)*($DR$25)</f>
        <v>0</v>
      </c>
      <c r="DU28" s="175">
        <f t="shared" si="16"/>
        <v>1</v>
      </c>
    </row>
    <row r="29" spans="1:151" x14ac:dyDescent="0.2">
      <c r="A29" s="146">
        <f t="shared" si="17"/>
        <v>3</v>
      </c>
      <c r="B29" s="670">
        <f>IF(PremiumType="Regular Premium",'All Options'!$E$18*'All Options'!$E$22*(AND(Output!A29&lt;=PPT,A29&gt;=1)),'All Options'!$E$18*(A29=1))</f>
        <v>0</v>
      </c>
      <c r="C29" s="671"/>
      <c r="D29" s="103" t="e">
        <f>((VLOOKUP(CONCATENATE($D$14,$D$15),'All Options'!$AB$36:$AC$47,4,0)*VLOOKUP('All Options'!$E$22,'Valid Data-GPG'!$B$130:$F$134,MATCH('All Options'!$E$17,'Valid Data-GPG'!$B$130:$F$130,0),0)*'All Options'!$E$17)*IF(Select="Deferred Annuity",A29&gt;DP,1)+AE29+AF29*AG29*$AG$21)*(A29&gt;0)</f>
        <v>#N/A</v>
      </c>
      <c r="E29" s="103">
        <v>0</v>
      </c>
      <c r="F29" s="103" t="e">
        <f t="shared" si="18"/>
        <v>#N/A</v>
      </c>
      <c r="G29" s="103">
        <f t="shared" si="2"/>
        <v>0</v>
      </c>
      <c r="H29" s="285">
        <f t="shared" si="19"/>
        <v>4304567.8578348085</v>
      </c>
      <c r="I29" s="103">
        <f t="shared" si="20"/>
        <v>4304567.8578348085</v>
      </c>
      <c r="J29" s="101"/>
      <c r="K29" s="175">
        <f t="shared" si="21"/>
        <v>62</v>
      </c>
      <c r="L29" s="175"/>
      <c r="M29" s="175"/>
      <c r="N29" s="175"/>
      <c r="O29" s="175"/>
      <c r="P29" s="175"/>
      <c r="Q29" s="175"/>
      <c r="R29" s="175">
        <f t="shared" si="22"/>
        <v>0</v>
      </c>
      <c r="U29" s="162" t="e">
        <f t="shared" ref="U29:U41" si="36">D28</f>
        <v>#N/A</v>
      </c>
      <c r="AB29" s="175" t="e">
        <f>(VLOOKUP(CONCATENATE($D$14,$D$15),'All Options'!$AB$36:$AC$47,4,0)*VLOOKUP('All Options'!$E$22,'Valid Data-GPG'!$B$130:$F$134,MATCH('All Options'!$E$17,'Valid Data-GPG'!$B$130:$F$130,0),0)*'All Options'!$E$17)*IF(Select="Deferred Annuity",A29&gt;DP,1)*(A29&gt;0)</f>
        <v>#N/A</v>
      </c>
      <c r="AC29" s="175">
        <f t="shared" si="3"/>
        <v>0</v>
      </c>
      <c r="AD29" s="175">
        <f>SUM($AC$26:AC29)</f>
        <v>0</v>
      </c>
      <c r="AE29" s="175">
        <f t="shared" si="4"/>
        <v>0</v>
      </c>
      <c r="AF29" s="175">
        <f t="shared" si="5"/>
        <v>0</v>
      </c>
      <c r="AG29" s="175" t="b">
        <f>(SUM($AF$26:AF29)&lt;=$AB$17)</f>
        <v>1</v>
      </c>
      <c r="AY29" s="175"/>
      <c r="AZ29" s="66">
        <f>((MAX((SUM($B$26:C29)+(VLOOKUP($AZ$25,'All Options'!$AB$36:$AC$46,2,0)*VLOOKUP('All Options'!$E$22,'Valid Data-GPG'!$B$130:$F$134,MATCH('All Options'!$E$17,'Valid Data-GPG'!$B$130:$F$130,0),0)*'All Options'!$E$17)*(IF(A29&lt;=DP,A29,0))),105%*SUM($B$26:C29)))*(AND(A29&lt;&gt;0,Output!A29&lt;=DP))+(0)*(A29&gt;DP))*$AZ$21</f>
        <v>0</v>
      </c>
      <c r="BA29" s="175" t="e">
        <f>((MAX((SUM($B$26:C29)+(VLOOKUP($BA$25,'All Options'!$AB$36:$AC$46,2,0)*VLOOKUP('All Options'!$E$22,'Valid Data-GPG'!$B$130:$F$134,MATCH('All Options'!$E$17,'Valid Data-GPG'!$B$130:$F$130,0),0)*'All Options'!$E$17)*(IF(A29&lt;=DP,A29,0))),105%*SUM($B$26:C29)))*(Output!A29&lt;=DP)
+MAX((SUM($B$26:C29)+(VLOOKUP($BA$25,'All Options'!$AB$36:$AC$46,2,0)*VLOOKUP('All Options'!$E$22,'Valid Data-GPG'!$B$130:$F$134,MATCH('All Options'!$E$17,'Valid Data-GPG'!$B$130:$F$130,0),0)*'All Options'!$E$17)*DP-D29*(A29-DP)),SUM($B$26:C29))*(A29&gt;DP))*$BA$21</f>
        <v>#N/A</v>
      </c>
      <c r="BB29" s="175">
        <f>((MAX(($AB$17+(VLOOKUP($BB$25,'All Options'!$AB$36:$AC$46,2,0)*VLOOKUP('All Options'!$E$22,'Valid Data-GPG'!$B$130:$F$134,MATCH('All Options'!$E$17,'Valid Data-GPG'!$B$130:$F$130,0),0)*'All Options'!$E$17)*(IF(A29&lt;=DP,A29,0))),105%*$AB$17))*(Output!A29&lt;=DP)+(0)*(A29&gt;DP))*$BB$21</f>
        <v>0</v>
      </c>
      <c r="BC29" s="175" t="e">
        <f>((MAX(($AB$17+(VLOOKUP($BC$25,'All Options'!$AB$36:$AC$46,2,0)*VLOOKUP('All Options'!$E$22,'Valid Data-GPG'!$B$130:$F$134,MATCH('All Options'!$E$17,'Valid Data-GPG'!$B$130:$F$130,0),0)*'All Options'!$E$17)*(IF(A29&lt;=DP,A29,0))),105%*$AB$17))*(Output!A29&lt;=DP)+
MAX(($AB$17+(VLOOKUP($BC$25,'All Options'!$AB$36:$AC$46,2,0)*VLOOKUP('All Options'!$E$22,'Valid Data-GPG'!$B$130:$F$134,MATCH('All Options'!$E$17,'Valid Data-GPG'!$B$130:$F$130,0),0)*'All Options'!$E$17)*DP-D29*(A29-DP)),$AB$17)*(A29&gt;DP))*$BC$21</f>
        <v>#N/A</v>
      </c>
      <c r="BD29" s="175">
        <f ca="1">IFERROR((MAX(($AB$17+(VLOOKUP($BD$25,'All Options'!$AB$36:$AC$46,2,0)*VLOOKUP('All Options'!$E$22,'Valid Data-GPG'!$B$130:$F$134,MATCH('All Options'!$E$17,'Valid Data-GPG'!$B$130:$F$130,0),0)*'All Options'!$E$17)*(IF(A29&lt;=DP,A29,0))),105%*$AB$17))*(Output!A29&lt;=DP)
+MAX(($AB$17+(VLOOKUP($BD$25,'All Options'!$AB$36:$AC$46,2,0)*VLOOKUP('All Options'!$E$22,'Valid Data-GPG'!$B$130:$F$134,MATCH('All Options'!$E$17,'Valid Data-GPG'!$B$130:$F$130,0),0)*'All Options'!$E$17)*DP-D29*(A29-DP)),$AB$17)*(A29&gt;DP),0)*$BD$21</f>
        <v>0</v>
      </c>
      <c r="BE29" s="66">
        <f>IFERROR((MAX(($AB$17+(VLOOKUP($BE$25,'All Options'!$AB$36:$AC$46,2,0)*VLOOKUP('All Options'!$E$22,'Valid Data-GPG'!$B$130:$F$134,MATCH('All Options'!$E$17,'Valid Data-GPG'!$B$130:$F$130,0),0)*'All Options'!$E$17)*(IF(A29&lt;=DP,A29,0))),105%*$AB$17))*(Output!A29&lt;=DP)
+(MAX($AB$17+(VLOOKUP($BE$25,'All Options'!$AB$36:$AC$46,2,0)*VLOOKUP('All Options'!$E$22,'Valid Data-GPG'!$B$130:$F$134,MATCH('All Options'!$E$17,'Valid Data-GPG'!$B$130:$F$130,0),0)*'All Options'!$E$17)*DP-AB29*(A29-DP),$AB$17)*(MAX(A29&lt;=25,K29&lt;85)))*(A29&gt;DP),0)*$BE$21</f>
        <v>0</v>
      </c>
      <c r="BF29" s="175">
        <f>IFERROR((MAX(($AB$17+(VLOOKUP($BF$25,'All Options'!$AB$36:$AC$46,2,0)*VLOOKUP('All Options'!$E$22,'Valid Data-GPG'!$B$130:$F$134,MATCH('All Options'!$E$17,'Valid Data-GPG'!$B$130:$F$130,0),0)*'All Options'!$E$17)*(IF(A29&lt;=DP,A29,0))),105%*$AB$17))*(Output!A29&lt;=DP)
+(MAX($AB$17+(VLOOKUP($BF$25,'All Options'!$AB$36:$AC$46,2,0)*VLOOKUP('All Options'!$E$22,'Valid Data-GPG'!$B$130:$F$134,MATCH('All Options'!$E$17,'Valid Data-GPG'!$B$130:$F$130,0),0)*'All Options'!$E$17)*DP-AB29*(A29-DP),$AB$17)-SUM($AF$26:AF29)*AG29)*(A29&gt;DP)*AG29,0)*$BF$21</f>
        <v>0</v>
      </c>
      <c r="BG29" s="175">
        <f t="shared" si="23"/>
        <v>0</v>
      </c>
      <c r="BH29" s="182">
        <f t="shared" si="6"/>
        <v>5000000</v>
      </c>
      <c r="BI29" s="175">
        <f t="shared" si="24"/>
        <v>0</v>
      </c>
      <c r="BJ29" s="175">
        <f t="shared" si="25"/>
        <v>0</v>
      </c>
      <c r="BK29" s="175">
        <f t="shared" si="26"/>
        <v>0</v>
      </c>
      <c r="BL29" s="175">
        <f t="shared" si="27"/>
        <v>0</v>
      </c>
      <c r="BM29" s="175">
        <f t="shared" si="28"/>
        <v>0</v>
      </c>
      <c r="BN29" s="175">
        <f t="shared" si="29"/>
        <v>0</v>
      </c>
      <c r="BO29" s="182">
        <f t="shared" si="7"/>
        <v>0</v>
      </c>
      <c r="BP29" s="182">
        <f t="shared" si="8"/>
        <v>0</v>
      </c>
      <c r="BQ29" s="182">
        <f>MAX($AB$17-SUM($AF$26:AF29),0)*$BQ$21</f>
        <v>0</v>
      </c>
      <c r="BS29" s="175">
        <f t="shared" si="9"/>
        <v>1</v>
      </c>
      <c r="BT29" s="175">
        <f>IFERROR(IF(A29&lt;=1,0,VLOOKUP(DP,'Valid Data-GPG'!$A$116:$J$122,MATCH(Output!A29,'Valid Data-GPG'!$A$116:$J$116,0),FALSE)*SUM($B$26:C29))*(A29&lt;=DP),0)*$BT$21</f>
        <v>0</v>
      </c>
      <c r="BU29" s="175">
        <f>IFERROR(IF(A29&lt;=1,0,VLOOKUP(DP,'Valid Data-GPG'!$A$116:$J$122,MATCH(Output!A29,'Valid Data-GPG'!$A$116:$J$116,0),FALSE)*SUM($B$26:C29))*(A29&lt;=DP),0)*$BU$21</f>
        <v>0</v>
      </c>
      <c r="BV29" s="175">
        <f t="shared" si="10"/>
        <v>0</v>
      </c>
      <c r="BW29" s="175">
        <f t="shared" si="11"/>
        <v>0</v>
      </c>
      <c r="BX29" s="175">
        <f t="shared" si="12"/>
        <v>0</v>
      </c>
      <c r="BY29" s="175">
        <f t="shared" si="13"/>
        <v>0</v>
      </c>
      <c r="BZ29" s="175">
        <f t="shared" si="14"/>
        <v>0</v>
      </c>
      <c r="CA29" s="175">
        <f>(INDEX('SV calc_ignore'!$J$10:$J$1341,12*Output!A29-0))*BS29</f>
        <v>0</v>
      </c>
      <c r="CB29" s="175">
        <f t="shared" si="30"/>
        <v>0</v>
      </c>
      <c r="CC29" s="175">
        <f>(INDEX('SV calc_ignore'!$J$10:$J$1341,12*Output!A29-0))*BS29</f>
        <v>0</v>
      </c>
      <c r="CD29" s="175">
        <f t="shared" si="31"/>
        <v>0</v>
      </c>
      <c r="CE29" s="66">
        <f>(INDEX('SV calc_ignore'!$J$10:$J$1341,12*Output!A29-0))*($CE$21)</f>
        <v>0</v>
      </c>
      <c r="CF29" s="175">
        <f t="shared" si="32"/>
        <v>0</v>
      </c>
      <c r="CG29" s="175">
        <f>(INDEX('SV calc_ignore'!$J$10:$J$1341,12*Output!A29-0))*($CG$21)*(A29&gt;1)</f>
        <v>0</v>
      </c>
      <c r="CH29" s="175">
        <f>(INDEX('SV calc_ignore'!$J$10:$J$1341,12*Output!A29-0))*($CH$21)*(A29&gt;1)</f>
        <v>0</v>
      </c>
      <c r="CI29" s="175"/>
      <c r="CJ29" s="66">
        <f>(INDEX('SV calc_ignore'!$J$10:$J$1341,12*Output!A29-0))*($CJ$21)*(A29&gt;1)</f>
        <v>0</v>
      </c>
      <c r="CK29" s="66">
        <f>(INDEX('SV calc_ignore'!$Q$10:$Q$1341,12*Output!A29-0))*(AND(A29&gt;1,R29&lt;20))*($CK$21)</f>
        <v>0</v>
      </c>
      <c r="CL29" s="66">
        <f t="shared" si="33"/>
        <v>0</v>
      </c>
      <c r="CM29" s="175">
        <f>((INDEX('SV calc_ignore'!$J$10:$J$1341,12*Output!A29-0))+(INDEX('SV calc_ignore'!$O$10:$O$1341,12*Output!A29-0))*(A29&lt;'SV calc_ignore'!$Q$5))*(A29&gt;1)*($CM$21)</f>
        <v>0</v>
      </c>
      <c r="CN29" s="175">
        <v>0</v>
      </c>
      <c r="CO29" s="175">
        <f>(INDEX('SV calc_ignore'!$J$10:$J$1341,12*Output!A29-0))*(A29&gt;1)*($CO$21)</f>
        <v>0</v>
      </c>
      <c r="CP29" s="175">
        <v>0</v>
      </c>
      <c r="CQ29" s="175">
        <v>0</v>
      </c>
      <c r="CR29" s="175">
        <v>0</v>
      </c>
      <c r="CS29" s="175">
        <v>0</v>
      </c>
      <c r="CT29" s="175">
        <v>0</v>
      </c>
      <c r="CU29" s="175">
        <v>0</v>
      </c>
      <c r="CV29" s="175">
        <f>(INDEX('SV calc_ignore'!$J$10:$J$1341,12*Output!A29-0))*(A29&gt;1)*($CV$21)</f>
        <v>0</v>
      </c>
      <c r="CW29" s="66">
        <f>((INDEX('SV calc_ignore'!$J$10:$J$1341,12*Output!A29-0))+(INDEX('SV calc_ignore'!$O$10:$O$1351,12*Output!A29-0))*(A29&lt;'SV calc_ignore'!$Q$5))*(A29&gt;1)*($CW$21)</f>
        <v>0</v>
      </c>
      <c r="CX29" s="175">
        <f>(INDEX('SV calc_ignore'!$J$10:$J$1341,12*Output!A29-0))*(A29&gt;1)*($CX$21)</f>
        <v>0</v>
      </c>
      <c r="CY29" s="175">
        <f>(INDEX('SV calc_ignore'!$Q$10:$Q$1341,12*Output!A29-0))*(AND(A29&gt;1,R29&lt;20))*($CY$21)</f>
        <v>0</v>
      </c>
      <c r="CZ29" s="175">
        <f t="shared" si="34"/>
        <v>0</v>
      </c>
      <c r="DB29" s="145"/>
      <c r="DE29" s="43">
        <f>IF($DE$23,0,VLOOKUP(IF(A29&lt;=DP,DJ29,DI29),SSV!$B$6:$C$116,2,FALSE)*VLOOKUP(AnnuityOption,'All Options'!$AB$36:$AC$47,2,FALSE)*VLOOKUP('All Options'!$E$22,'Valid Data-GPG'!$B$130:$F$134,MATCH('All Options'!$E$17,'Valid Data-GPG'!$B$130:$F$130,0),0)*'All Options'!$E$17)*(IF(AND(Select="Deferred Annuity",AnnuityOption="Life Annuity"),A29&lt;=DP,1))</f>
        <v>3128118.8578348085</v>
      </c>
      <c r="DF29" s="43">
        <f>IF($DF$23,0,IF($DQ$25,DQ29,IF($DR$25,DR29,VLOOKUP(IF(A29&lt;=DP,DJ29,DI29),SSV!$G$6:$H$116,2,FALSE)*SUM($B$27:B29))))</f>
        <v>1176449</v>
      </c>
      <c r="DG29" s="43" t="e">
        <f>IF(A29&lt;=DP,VLOOKUP(DP-A28,SSV!$T$6:$U$15,2,FALSE),1)</f>
        <v>#N/A</v>
      </c>
      <c r="DH29" s="282">
        <f t="shared" si="15"/>
        <v>4304567.8578348085</v>
      </c>
      <c r="DI29" s="43">
        <f>IF($DM$26,MIN(Age,'All Options'!$E$21)+A28,IF($DN$26,(Age+A28)-Age+60,IF($DO$26,(Age+A28)-Age+55,Age+A28)))</f>
        <v>62</v>
      </c>
      <c r="DJ29" s="279">
        <f>IF($DM$26,MIN(Age+A29,'All Options'!$E$21+A29),IF($DN$26,(Age+A29)-(Age+$A$27)+60,IF($DO$26,(Age+A29)-(Age+$A$27)+55,Age+A29)))</f>
        <v>63</v>
      </c>
      <c r="DK29" s="279"/>
      <c r="DL29" s="279"/>
      <c r="DP29" s="43">
        <f t="shared" si="35"/>
        <v>0</v>
      </c>
      <c r="DQ29" s="43">
        <f>IFERROR(VLOOKUP(IF(A29&lt;=DP,DJ29,DI29),SSV!$K$6:$L$91,2,FALSE)*SUM($B$27:B29),0)*($DQ$25)</f>
        <v>0</v>
      </c>
      <c r="DR29" s="43">
        <f>IFERROR(VLOOKUP(IF(A29&lt;=DP,DJ29,DI29),SSV!$O$6:$P$95,2,FALSE)*SUM($B$27:B29),0)*($DR$25)</f>
        <v>0</v>
      </c>
      <c r="DU29" s="175">
        <f t="shared" si="16"/>
        <v>1</v>
      </c>
    </row>
    <row r="30" spans="1:151" x14ac:dyDescent="0.2">
      <c r="A30" s="146">
        <f t="shared" si="17"/>
        <v>4</v>
      </c>
      <c r="B30" s="670">
        <f>IF(PremiumType="Regular Premium",'All Options'!$E$18*'All Options'!$E$22*(AND(Output!A30&lt;=PPT,A30&gt;=1)),'All Options'!$E$18*(A30=1))</f>
        <v>0</v>
      </c>
      <c r="C30" s="671"/>
      <c r="D30" s="103" t="e">
        <f>((VLOOKUP(CONCATENATE($D$14,$D$15),'All Options'!$AB$36:$AC$47,4,0)*VLOOKUP('All Options'!$E$22,'Valid Data-GPG'!$B$130:$F$134,MATCH('All Options'!$E$17,'Valid Data-GPG'!$B$130:$F$130,0),0)*'All Options'!$E$17)*IF(Select="Deferred Annuity",A30&gt;DP,1)+AE30+AF30*AG30*$AG$21)*(A30&gt;0)</f>
        <v>#N/A</v>
      </c>
      <c r="E30" s="103">
        <v>0</v>
      </c>
      <c r="F30" s="103" t="e">
        <f t="shared" si="18"/>
        <v>#N/A</v>
      </c>
      <c r="G30" s="103">
        <f t="shared" si="2"/>
        <v>0</v>
      </c>
      <c r="H30" s="285">
        <f t="shared" si="19"/>
        <v>4313798.5503236521</v>
      </c>
      <c r="I30" s="103">
        <f t="shared" si="20"/>
        <v>4313798.5503236521</v>
      </c>
      <c r="J30" s="101"/>
      <c r="K30" s="175">
        <f t="shared" si="21"/>
        <v>63</v>
      </c>
      <c r="L30" s="175"/>
      <c r="M30" s="175"/>
      <c r="N30" s="175"/>
      <c r="O30" s="175"/>
      <c r="P30" s="175"/>
      <c r="Q30" s="175"/>
      <c r="R30" s="175">
        <f t="shared" si="22"/>
        <v>0</v>
      </c>
      <c r="U30" s="162" t="e">
        <f t="shared" si="36"/>
        <v>#N/A</v>
      </c>
      <c r="AB30" s="175" t="e">
        <f>(VLOOKUP(CONCATENATE($D$14,$D$15),'All Options'!$AB$36:$AC$47,4,0)*VLOOKUP('All Options'!$E$22,'Valid Data-GPG'!$B$130:$F$134,MATCH('All Options'!$E$17,'Valid Data-GPG'!$B$130:$F$130,0),0)*'All Options'!$E$17)*IF(Select="Deferred Annuity",A30&gt;DP,1)*(A30&gt;0)</f>
        <v>#N/A</v>
      </c>
      <c r="AC30" s="175">
        <f t="shared" si="3"/>
        <v>0</v>
      </c>
      <c r="AD30" s="175">
        <f>SUM($AC$26:AC30)</f>
        <v>0</v>
      </c>
      <c r="AE30" s="175">
        <f t="shared" si="4"/>
        <v>0</v>
      </c>
      <c r="AF30" s="175">
        <f t="shared" si="5"/>
        <v>0</v>
      </c>
      <c r="AG30" s="175" t="b">
        <f>(SUM($AF$26:AF30)&lt;=$AB$17)</f>
        <v>1</v>
      </c>
      <c r="AY30" s="175"/>
      <c r="AZ30" s="66">
        <f>((MAX((SUM($B$26:C30)+(VLOOKUP($AZ$25,'All Options'!$AB$36:$AC$46,2,0)*VLOOKUP('All Options'!$E$22,'Valid Data-GPG'!$B$130:$F$134,MATCH('All Options'!$E$17,'Valid Data-GPG'!$B$130:$F$130,0),0)*'All Options'!$E$17)*(IF(A30&lt;=DP,A30,0))),105%*SUM($B$26:C30)))*(AND(A30&lt;&gt;0,Output!A30&lt;=DP))+(0)*(A30&gt;DP))*$AZ$21</f>
        <v>0</v>
      </c>
      <c r="BA30" s="175" t="e">
        <f>((MAX((SUM($B$26:C30)+(VLOOKUP($BA$25,'All Options'!$AB$36:$AC$46,2,0)*VLOOKUP('All Options'!$E$22,'Valid Data-GPG'!$B$130:$F$134,MATCH('All Options'!$E$17,'Valid Data-GPG'!$B$130:$F$130,0),0)*'All Options'!$E$17)*(IF(A30&lt;=DP,A30,0))),105%*SUM($B$26:C30)))*(Output!A30&lt;=DP)
+MAX((SUM($B$26:C30)+(VLOOKUP($BA$25,'All Options'!$AB$36:$AC$46,2,0)*VLOOKUP('All Options'!$E$22,'Valid Data-GPG'!$B$130:$F$134,MATCH('All Options'!$E$17,'Valid Data-GPG'!$B$130:$F$130,0),0)*'All Options'!$E$17)*DP-D30*(A30-DP)),SUM($B$26:C30))*(A30&gt;DP))*$BA$21</f>
        <v>#N/A</v>
      </c>
      <c r="BB30" s="175">
        <f>((MAX(($AB$17+(VLOOKUP($BB$25,'All Options'!$AB$36:$AC$46,2,0)*VLOOKUP('All Options'!$E$22,'Valid Data-GPG'!$B$130:$F$134,MATCH('All Options'!$E$17,'Valid Data-GPG'!$B$130:$F$130,0),0)*'All Options'!$E$17)*(IF(A30&lt;=DP,A30,0))),105%*$AB$17))*(Output!A30&lt;=DP)+(0)*(A30&gt;DP))*$BB$21</f>
        <v>0</v>
      </c>
      <c r="BC30" s="175" t="e">
        <f>((MAX(($AB$17+(VLOOKUP($BC$25,'All Options'!$AB$36:$AC$46,2,0)*VLOOKUP('All Options'!$E$22,'Valid Data-GPG'!$B$130:$F$134,MATCH('All Options'!$E$17,'Valid Data-GPG'!$B$130:$F$130,0),0)*'All Options'!$E$17)*(IF(A30&lt;=DP,A30,0))),105%*$AB$17))*(Output!A30&lt;=DP)+
MAX(($AB$17+(VLOOKUP($BC$25,'All Options'!$AB$36:$AC$46,2,0)*VLOOKUP('All Options'!$E$22,'Valid Data-GPG'!$B$130:$F$134,MATCH('All Options'!$E$17,'Valid Data-GPG'!$B$130:$F$130,0),0)*'All Options'!$E$17)*DP-D30*(A30-DP)),$AB$17)*(A30&gt;DP))*$BC$21</f>
        <v>#N/A</v>
      </c>
      <c r="BD30" s="175">
        <f ca="1">IFERROR((MAX(($AB$17+(VLOOKUP($BD$25,'All Options'!$AB$36:$AC$46,2,0)*VLOOKUP('All Options'!$E$22,'Valid Data-GPG'!$B$130:$F$134,MATCH('All Options'!$E$17,'Valid Data-GPG'!$B$130:$F$130,0),0)*'All Options'!$E$17)*(IF(A30&lt;=DP,A30,0))),105%*$AB$17))*(Output!A30&lt;=DP)
+MAX(($AB$17+(VLOOKUP($BD$25,'All Options'!$AB$36:$AC$46,2,0)*VLOOKUP('All Options'!$E$22,'Valid Data-GPG'!$B$130:$F$134,MATCH('All Options'!$E$17,'Valid Data-GPG'!$B$130:$F$130,0),0)*'All Options'!$E$17)*DP-D30*(A30-DP)),$AB$17)*(A30&gt;DP),0)*$BD$21</f>
        <v>0</v>
      </c>
      <c r="BE30" s="66">
        <f>IFERROR((MAX(($AB$17+(VLOOKUP($BE$25,'All Options'!$AB$36:$AC$46,2,0)*VLOOKUP('All Options'!$E$22,'Valid Data-GPG'!$B$130:$F$134,MATCH('All Options'!$E$17,'Valid Data-GPG'!$B$130:$F$130,0),0)*'All Options'!$E$17)*(IF(A30&lt;=DP,A30,0))),105%*$AB$17))*(Output!A30&lt;=DP)
+(MAX($AB$17+(VLOOKUP($BE$25,'All Options'!$AB$36:$AC$46,2,0)*VLOOKUP('All Options'!$E$22,'Valid Data-GPG'!$B$130:$F$134,MATCH('All Options'!$E$17,'Valid Data-GPG'!$B$130:$F$130,0),0)*'All Options'!$E$17)*DP-AB30*(A30-DP),$AB$17)*(MAX(A30&lt;=25,K30&lt;85)))*(A30&gt;DP),0)*$BE$21</f>
        <v>0</v>
      </c>
      <c r="BF30" s="175">
        <f>IFERROR((MAX(($AB$17+(VLOOKUP($BF$25,'All Options'!$AB$36:$AC$46,2,0)*VLOOKUP('All Options'!$E$22,'Valid Data-GPG'!$B$130:$F$134,MATCH('All Options'!$E$17,'Valid Data-GPG'!$B$130:$F$130,0),0)*'All Options'!$E$17)*(IF(A30&lt;=DP,A30,0))),105%*$AB$17))*(Output!A30&lt;=DP)
+(MAX($AB$17+(VLOOKUP($BF$25,'All Options'!$AB$36:$AC$46,2,0)*VLOOKUP('All Options'!$E$22,'Valid Data-GPG'!$B$130:$F$134,MATCH('All Options'!$E$17,'Valid Data-GPG'!$B$130:$F$130,0),0)*'All Options'!$E$17)*DP-AB30*(A30-DP),$AB$17)-SUM($AF$26:AF30)*AG30)*(A30&gt;DP)*AG30,0)*$BF$21</f>
        <v>0</v>
      </c>
      <c r="BG30" s="175">
        <f t="shared" si="23"/>
        <v>0</v>
      </c>
      <c r="BH30" s="182">
        <f t="shared" si="6"/>
        <v>5000000</v>
      </c>
      <c r="BI30" s="175">
        <f t="shared" si="24"/>
        <v>0</v>
      </c>
      <c r="BJ30" s="175">
        <f t="shared" si="25"/>
        <v>0</v>
      </c>
      <c r="BK30" s="175">
        <f t="shared" si="26"/>
        <v>0</v>
      </c>
      <c r="BL30" s="175">
        <f t="shared" si="27"/>
        <v>0</v>
      </c>
      <c r="BM30" s="175">
        <f t="shared" si="28"/>
        <v>0</v>
      </c>
      <c r="BN30" s="175">
        <f t="shared" si="29"/>
        <v>0</v>
      </c>
      <c r="BO30" s="182">
        <f t="shared" si="7"/>
        <v>0</v>
      </c>
      <c r="BP30" s="182">
        <f t="shared" si="8"/>
        <v>0</v>
      </c>
      <c r="BQ30" s="182">
        <f>MAX($AB$17-SUM($AF$26:AF30),0)*$BQ$21</f>
        <v>0</v>
      </c>
      <c r="BS30" s="175">
        <f t="shared" si="9"/>
        <v>1</v>
      </c>
      <c r="BT30" s="175">
        <f>IFERROR(IF(A30&lt;=1,0,VLOOKUP(DP,'Valid Data-GPG'!$A$116:$J$122,MATCH(Output!A30,'Valid Data-GPG'!$A$116:$J$116,0),FALSE)*SUM($B$26:C30))*(A30&lt;=DP),0)*$BT$21</f>
        <v>0</v>
      </c>
      <c r="BU30" s="175">
        <f>IFERROR(IF(A30&lt;=1,0,VLOOKUP(DP,'Valid Data-GPG'!$A$116:$J$122,MATCH(Output!A30,'Valid Data-GPG'!$A$116:$J$116,0),FALSE)*SUM($B$26:C30))*(A30&lt;=DP),0)*$BU$21</f>
        <v>0</v>
      </c>
      <c r="BV30" s="175">
        <f t="shared" si="10"/>
        <v>0</v>
      </c>
      <c r="BW30" s="175">
        <f t="shared" si="11"/>
        <v>0</v>
      </c>
      <c r="BX30" s="175">
        <f t="shared" si="12"/>
        <v>0</v>
      </c>
      <c r="BY30" s="175">
        <f t="shared" si="13"/>
        <v>0</v>
      </c>
      <c r="BZ30" s="175">
        <f t="shared" si="14"/>
        <v>0</v>
      </c>
      <c r="CA30" s="175">
        <f>(INDEX('SV calc_ignore'!$J$10:$J$1341,12*Output!A30-0))*BS30</f>
        <v>0</v>
      </c>
      <c r="CB30" s="175">
        <f t="shared" si="30"/>
        <v>0</v>
      </c>
      <c r="CC30" s="175">
        <f>(INDEX('SV calc_ignore'!$J$10:$J$1341,12*Output!A30-0))*BS30</f>
        <v>0</v>
      </c>
      <c r="CD30" s="175">
        <f t="shared" si="31"/>
        <v>0</v>
      </c>
      <c r="CE30" s="66">
        <f>(INDEX('SV calc_ignore'!$J$10:$J$1341,12*Output!A30-0))*($CE$21)</f>
        <v>0</v>
      </c>
      <c r="CF30" s="175">
        <f t="shared" si="32"/>
        <v>0</v>
      </c>
      <c r="CG30" s="175">
        <f>(INDEX('SV calc_ignore'!$J$10:$J$1341,12*Output!A30-0))*($CG$21)*(A30&gt;1)</f>
        <v>0</v>
      </c>
      <c r="CH30" s="175">
        <f>(INDEX('SV calc_ignore'!$J$10:$J$1341,12*Output!A30-0))*($CH$21)*(A30&gt;1)</f>
        <v>0</v>
      </c>
      <c r="CI30" s="175"/>
      <c r="CJ30" s="66">
        <f>(INDEX('SV calc_ignore'!$J$10:$J$1341,12*Output!A30-0))*($CJ$21)*(A30&gt;1)</f>
        <v>0</v>
      </c>
      <c r="CK30" s="66">
        <f>(INDEX('SV calc_ignore'!$Q$10:$Q$1341,12*Output!A30-0))*(AND(A30&gt;1,R30&lt;20))*($CK$21)</f>
        <v>0</v>
      </c>
      <c r="CL30" s="66">
        <f t="shared" si="33"/>
        <v>0</v>
      </c>
      <c r="CM30" s="175">
        <f>((INDEX('SV calc_ignore'!$J$10:$J$1341,12*Output!A30-0))+(INDEX('SV calc_ignore'!$O$10:$O$1341,12*Output!A30-0))*(A30&lt;'SV calc_ignore'!$Q$5))*(A30&gt;1)*($CM$21)</f>
        <v>0</v>
      </c>
      <c r="CN30" s="175">
        <v>0</v>
      </c>
      <c r="CO30" s="175">
        <f>(INDEX('SV calc_ignore'!$J$10:$J$1341,12*Output!A30-0))*(A30&gt;1)*($CO$21)</f>
        <v>0</v>
      </c>
      <c r="CP30" s="175">
        <v>0</v>
      </c>
      <c r="CQ30" s="175">
        <v>0</v>
      </c>
      <c r="CR30" s="175">
        <v>0</v>
      </c>
      <c r="CS30" s="175">
        <v>0</v>
      </c>
      <c r="CT30" s="175">
        <v>0</v>
      </c>
      <c r="CU30" s="175">
        <v>0</v>
      </c>
      <c r="CV30" s="175">
        <f>(INDEX('SV calc_ignore'!$J$10:$J$1341,12*Output!A30-0))*(A30&gt;1)*($CV$21)</f>
        <v>0</v>
      </c>
      <c r="CW30" s="66">
        <f>((INDEX('SV calc_ignore'!$J$10:$J$1341,12*Output!A30-0))+(INDEX('SV calc_ignore'!$O$10:$O$1351,12*Output!A30-0))*(A30&lt;'SV calc_ignore'!$Q$5))*(A30&gt;1)*($CW$21)</f>
        <v>0</v>
      </c>
      <c r="CX30" s="175">
        <f>(INDEX('SV calc_ignore'!$J$10:$J$1341,12*Output!A30-0))*(A30&gt;1)*($CX$21)</f>
        <v>0</v>
      </c>
      <c r="CY30" s="175">
        <f>(INDEX('SV calc_ignore'!$Q$10:$Q$1341,12*Output!A30-0))*(AND(A30&gt;1,R30&lt;20))*($CY$21)</f>
        <v>0</v>
      </c>
      <c r="CZ30" s="175">
        <f t="shared" si="34"/>
        <v>0</v>
      </c>
      <c r="DE30" s="43">
        <f>IF($DE$23,0,VLOOKUP(IF(A30&lt;=DP,DJ30,DI30),SSV!$B$6:$C$116,2,FALSE)*VLOOKUP(AnnuityOption,'All Options'!$AB$36:$AC$47,2,FALSE)*VLOOKUP('All Options'!$E$22,'Valid Data-GPG'!$B$130:$F$134,MATCH('All Options'!$E$17,'Valid Data-GPG'!$B$130:$F$130,0),0)*'All Options'!$E$17)*(IF(AND(Select="Deferred Annuity",AnnuityOption="Life Annuity"),A30&lt;=DP,1))</f>
        <v>3072048.5503236526</v>
      </c>
      <c r="DF30" s="43">
        <f>IF($DF$23,0,IF($DQ$25,DQ30,IF($DR$25,DR30,VLOOKUP(IF(A30&lt;=DP,DJ30,DI30),SSV!$G$6:$H$116,2,FALSE)*SUM($B$27:B30))))</f>
        <v>1241750</v>
      </c>
      <c r="DG30" s="43" t="e">
        <f>IF(A30&lt;=DP,VLOOKUP(DP-A29,SSV!$T$6:$U$15,2,FALSE),1)</f>
        <v>#N/A</v>
      </c>
      <c r="DH30" s="282">
        <f t="shared" si="15"/>
        <v>4313798.5503236521</v>
      </c>
      <c r="DI30" s="43">
        <f>IF($DM$26,MIN(Age,'All Options'!$E$21)+A29,IF($DN$26,(Age+A29)-Age+60,IF($DO$26,(Age+A29)-Age+55,Age+A29)))</f>
        <v>63</v>
      </c>
      <c r="DJ30" s="279">
        <f>IF($DM$26,MIN(Age+A30,'All Options'!$E$21+A30),IF($DN$26,(Age+A30)-(Age+$A$27)+60,IF($DO$26,(Age+A30)-(Age+$A$27)+55,Age+A30)))</f>
        <v>64</v>
      </c>
      <c r="DK30" s="279"/>
      <c r="DL30" s="279"/>
      <c r="DP30" s="43">
        <f t="shared" si="35"/>
        <v>0</v>
      </c>
      <c r="DQ30" s="43">
        <f>IFERROR(VLOOKUP(IF(A30&lt;=DP,DJ30,DI30),SSV!$K$6:$L$91,2,FALSE)*SUM($B$27:B30),0)*($DQ$25)</f>
        <v>0</v>
      </c>
      <c r="DR30" s="43">
        <f>IFERROR(VLOOKUP(IF(A30&lt;=DP,DJ30,DI30),SSV!$O$6:$P$95,2,FALSE)*SUM($B$27:B30),0)*($DR$25)</f>
        <v>0</v>
      </c>
      <c r="DU30" s="175">
        <f t="shared" si="16"/>
        <v>1</v>
      </c>
    </row>
    <row r="31" spans="1:151" x14ac:dyDescent="0.2">
      <c r="A31" s="146">
        <f t="shared" si="17"/>
        <v>5</v>
      </c>
      <c r="B31" s="670">
        <f>IF(PremiumType="Regular Premium",'All Options'!$E$18*'All Options'!$E$22*(AND(Output!A31&lt;=PPT,A31&gt;=1)),'All Options'!$E$18*(A31=1))</f>
        <v>0</v>
      </c>
      <c r="C31" s="671"/>
      <c r="D31" s="103" t="e">
        <f>((VLOOKUP(CONCATENATE($D$14,$D$15),'All Options'!$AB$36:$AC$47,4,0)*VLOOKUP('All Options'!$E$22,'Valid Data-GPG'!$B$130:$F$134,MATCH('All Options'!$E$17,'Valid Data-GPG'!$B$130:$F$130,0),0)*'All Options'!$E$17)*IF(Select="Deferred Annuity",A31&gt;DP,1)+AE31+AF31*AG31*$AG$21)*(A31&gt;0)</f>
        <v>#N/A</v>
      </c>
      <c r="E31" s="103">
        <v>0</v>
      </c>
      <c r="F31" s="103" t="e">
        <f t="shared" si="18"/>
        <v>#N/A</v>
      </c>
      <c r="G31" s="103">
        <f t="shared" si="2"/>
        <v>0</v>
      </c>
      <c r="H31" s="285">
        <f t="shared" si="19"/>
        <v>4323548.179252658</v>
      </c>
      <c r="I31" s="103">
        <f t="shared" si="20"/>
        <v>4323548.179252658</v>
      </c>
      <c r="J31" s="286"/>
      <c r="K31" s="175">
        <f t="shared" si="21"/>
        <v>64</v>
      </c>
      <c r="L31" s="175"/>
      <c r="M31" s="175"/>
      <c r="N31" s="175"/>
      <c r="O31" s="175"/>
      <c r="P31" s="175"/>
      <c r="Q31" s="175"/>
      <c r="R31" s="175">
        <f t="shared" si="22"/>
        <v>0</v>
      </c>
      <c r="U31" s="162" t="e">
        <f t="shared" si="36"/>
        <v>#N/A</v>
      </c>
      <c r="AB31" s="175" t="e">
        <f>(VLOOKUP(CONCATENATE($D$14,$D$15),'All Options'!$AB$36:$AC$47,4,0)*VLOOKUP('All Options'!$E$22,'Valid Data-GPG'!$B$130:$F$134,MATCH('All Options'!$E$17,'Valid Data-GPG'!$B$130:$F$130,0),0)*'All Options'!$E$17)*IF(Select="Deferred Annuity",A31&gt;DP,1)*(A31&gt;0)</f>
        <v>#N/A</v>
      </c>
      <c r="AC31" s="175">
        <f t="shared" si="3"/>
        <v>0</v>
      </c>
      <c r="AD31" s="175">
        <f>SUM($AC$26:AC31)</f>
        <v>0</v>
      </c>
      <c r="AE31" s="175">
        <f t="shared" si="4"/>
        <v>0</v>
      </c>
      <c r="AF31" s="175">
        <f t="shared" si="5"/>
        <v>0</v>
      </c>
      <c r="AG31" s="175" t="b">
        <f>(SUM($AF$26:AF31)&lt;=$AB$17)</f>
        <v>1</v>
      </c>
      <c r="AY31" s="175"/>
      <c r="AZ31" s="66">
        <f>((MAX((SUM($B$26:C31)+(VLOOKUP($AZ$25,'All Options'!$AB$36:$AC$46,2,0)*VLOOKUP('All Options'!$E$22,'Valid Data-GPG'!$B$130:$F$134,MATCH('All Options'!$E$17,'Valid Data-GPG'!$B$130:$F$130,0),0)*'All Options'!$E$17)*(IF(A31&lt;=DP,A31,0))),105%*SUM($B$26:C31)))*(AND(A31&lt;&gt;0,Output!A31&lt;=DP))+(0)*(A31&gt;DP))*$AZ$21</f>
        <v>0</v>
      </c>
      <c r="BA31" s="175" t="e">
        <f>((MAX((SUM($B$26:C31)+(VLOOKUP($BA$25,'All Options'!$AB$36:$AC$46,2,0)*VLOOKUP('All Options'!$E$22,'Valid Data-GPG'!$B$130:$F$134,MATCH('All Options'!$E$17,'Valid Data-GPG'!$B$130:$F$130,0),0)*'All Options'!$E$17)*(IF(A31&lt;=DP,A31,0))),105%*SUM($B$26:C31)))*(Output!A31&lt;=DP)
+MAX((SUM($B$26:C31)+(VLOOKUP($BA$25,'All Options'!$AB$36:$AC$46,2,0)*VLOOKUP('All Options'!$E$22,'Valid Data-GPG'!$B$130:$F$134,MATCH('All Options'!$E$17,'Valid Data-GPG'!$B$130:$F$130,0),0)*'All Options'!$E$17)*DP-D31*(A31-DP)),SUM($B$26:C31))*(A31&gt;DP))*$BA$21</f>
        <v>#N/A</v>
      </c>
      <c r="BB31" s="175">
        <f>((MAX(($AB$17+(VLOOKUP($BB$25,'All Options'!$AB$36:$AC$46,2,0)*VLOOKUP('All Options'!$E$22,'Valid Data-GPG'!$B$130:$F$134,MATCH('All Options'!$E$17,'Valid Data-GPG'!$B$130:$F$130,0),0)*'All Options'!$E$17)*(IF(A31&lt;=DP,A31,0))),105%*$AB$17))*(Output!A31&lt;=DP)+(0)*(A31&gt;DP))*$BB$21</f>
        <v>0</v>
      </c>
      <c r="BC31" s="175" t="e">
        <f>((MAX(($AB$17+(VLOOKUP($BC$25,'All Options'!$AB$36:$AC$46,2,0)*VLOOKUP('All Options'!$E$22,'Valid Data-GPG'!$B$130:$F$134,MATCH('All Options'!$E$17,'Valid Data-GPG'!$B$130:$F$130,0),0)*'All Options'!$E$17)*(IF(A31&lt;=DP,A31,0))),105%*$AB$17))*(Output!A31&lt;=DP)+
MAX(($AB$17+(VLOOKUP($BC$25,'All Options'!$AB$36:$AC$46,2,0)*VLOOKUP('All Options'!$E$22,'Valid Data-GPG'!$B$130:$F$134,MATCH('All Options'!$E$17,'Valid Data-GPG'!$B$130:$F$130,0),0)*'All Options'!$E$17)*DP-D31*(A31-DP)),$AB$17)*(A31&gt;DP))*$BC$21</f>
        <v>#N/A</v>
      </c>
      <c r="BD31" s="175">
        <f ca="1">IFERROR((MAX(($AB$17+(VLOOKUP($BD$25,'All Options'!$AB$36:$AC$46,2,0)*VLOOKUP('All Options'!$E$22,'Valid Data-GPG'!$B$130:$F$134,MATCH('All Options'!$E$17,'Valid Data-GPG'!$B$130:$F$130,0),0)*'All Options'!$E$17)*(IF(A31&lt;=DP,A31,0))),105%*$AB$17))*(Output!A31&lt;=DP)
+MAX(($AB$17+(VLOOKUP($BD$25,'All Options'!$AB$36:$AC$46,2,0)*VLOOKUP('All Options'!$E$22,'Valid Data-GPG'!$B$130:$F$134,MATCH('All Options'!$E$17,'Valid Data-GPG'!$B$130:$F$130,0),0)*'All Options'!$E$17)*DP-D31*(A31-DP)),$AB$17)*(A31&gt;DP),0)*$BD$21</f>
        <v>0</v>
      </c>
      <c r="BE31" s="66">
        <f>IFERROR((MAX(($AB$17+(VLOOKUP($BE$25,'All Options'!$AB$36:$AC$46,2,0)*VLOOKUP('All Options'!$E$22,'Valid Data-GPG'!$B$130:$F$134,MATCH('All Options'!$E$17,'Valid Data-GPG'!$B$130:$F$130,0),0)*'All Options'!$E$17)*(IF(A31&lt;=DP,A31,0))),105%*$AB$17))*(Output!A31&lt;=DP)
+(MAX($AB$17+(VLOOKUP($BE$25,'All Options'!$AB$36:$AC$46,2,0)*VLOOKUP('All Options'!$E$22,'Valid Data-GPG'!$B$130:$F$134,MATCH('All Options'!$E$17,'Valid Data-GPG'!$B$130:$F$130,0),0)*'All Options'!$E$17)*DP-AB31*(A31-DP),$AB$17)*(MAX(A31&lt;=25,K31&lt;85)))*(A31&gt;DP),0)*$BE$21</f>
        <v>0</v>
      </c>
      <c r="BF31" s="175">
        <f>IFERROR((MAX(($AB$17+(VLOOKUP($BF$25,'All Options'!$AB$36:$AC$46,2,0)*VLOOKUP('All Options'!$E$22,'Valid Data-GPG'!$B$130:$F$134,MATCH('All Options'!$E$17,'Valid Data-GPG'!$B$130:$F$130,0),0)*'All Options'!$E$17)*(IF(A31&lt;=DP,A31,0))),105%*$AB$17))*(Output!A31&lt;=DP)
+(MAX($AB$17+(VLOOKUP($BF$25,'All Options'!$AB$36:$AC$46,2,0)*VLOOKUP('All Options'!$E$22,'Valid Data-GPG'!$B$130:$F$134,MATCH('All Options'!$E$17,'Valid Data-GPG'!$B$130:$F$130,0),0)*'All Options'!$E$17)*DP-AB31*(A31-DP),$AB$17)-SUM($AF$26:AF31)*AG31)*(A31&gt;DP)*AG31,0)*$BF$21</f>
        <v>0</v>
      </c>
      <c r="BG31" s="175">
        <f t="shared" si="23"/>
        <v>0</v>
      </c>
      <c r="BH31" s="182">
        <f t="shared" si="6"/>
        <v>5000000</v>
      </c>
      <c r="BI31" s="175">
        <f t="shared" si="24"/>
        <v>0</v>
      </c>
      <c r="BJ31" s="175">
        <f t="shared" si="25"/>
        <v>0</v>
      </c>
      <c r="BK31" s="175">
        <f t="shared" si="26"/>
        <v>0</v>
      </c>
      <c r="BL31" s="175">
        <f t="shared" si="27"/>
        <v>0</v>
      </c>
      <c r="BM31" s="175">
        <f t="shared" si="28"/>
        <v>0</v>
      </c>
      <c r="BN31" s="175">
        <f t="shared" si="29"/>
        <v>0</v>
      </c>
      <c r="BO31" s="182">
        <f t="shared" si="7"/>
        <v>0</v>
      </c>
      <c r="BP31" s="182">
        <f t="shared" si="8"/>
        <v>0</v>
      </c>
      <c r="BQ31" s="182">
        <f>MAX($AB$17-SUM($AF$26:AF31),0)*$BQ$21</f>
        <v>0</v>
      </c>
      <c r="BS31" s="175">
        <f t="shared" si="9"/>
        <v>1</v>
      </c>
      <c r="BT31" s="175">
        <f>IFERROR(IF(A31&lt;=1,0,VLOOKUP(DP,'Valid Data-GPG'!$A$116:$J$122,MATCH(Output!A31,'Valid Data-GPG'!$A$116:$J$116,0),FALSE)*SUM($B$26:C31))*(A31&lt;=DP),0)*$BT$21</f>
        <v>0</v>
      </c>
      <c r="BU31" s="175">
        <f>IFERROR(IF(A31&lt;=1,0,VLOOKUP(DP,'Valid Data-GPG'!$A$116:$J$122,MATCH(Output!A31,'Valid Data-GPG'!$A$116:$J$116,0),FALSE)*SUM($B$26:C31))*(A31&lt;=DP),0)*$BU$21</f>
        <v>0</v>
      </c>
      <c r="BV31" s="175">
        <f t="shared" si="10"/>
        <v>0</v>
      </c>
      <c r="BW31" s="175">
        <f t="shared" si="11"/>
        <v>0</v>
      </c>
      <c r="BX31" s="175">
        <f t="shared" si="12"/>
        <v>0</v>
      </c>
      <c r="BY31" s="175">
        <f t="shared" si="13"/>
        <v>0</v>
      </c>
      <c r="BZ31" s="175">
        <f t="shared" si="14"/>
        <v>0</v>
      </c>
      <c r="CA31" s="175">
        <f>(INDEX('SV calc_ignore'!$J$10:$J$1341,12*Output!A31-0))*BS31</f>
        <v>0</v>
      </c>
      <c r="CB31" s="175">
        <f t="shared" si="30"/>
        <v>0</v>
      </c>
      <c r="CC31" s="175">
        <f>(INDEX('SV calc_ignore'!$J$10:$J$1341,12*Output!A31-0))*BS31</f>
        <v>0</v>
      </c>
      <c r="CD31" s="175">
        <f t="shared" si="31"/>
        <v>0</v>
      </c>
      <c r="CE31" s="66">
        <f>(INDEX('SV calc_ignore'!$J$10:$J$1341,12*Output!A31-0))*($CE$21)</f>
        <v>0</v>
      </c>
      <c r="CF31" s="175">
        <f t="shared" si="32"/>
        <v>0</v>
      </c>
      <c r="CG31" s="175">
        <f>(INDEX('SV calc_ignore'!$J$10:$J$1341,12*Output!A31-0))*($CG$21)*(A31&gt;1)</f>
        <v>0</v>
      </c>
      <c r="CH31" s="175">
        <f>(INDEX('SV calc_ignore'!$J$10:$J$1341,12*Output!A31-0))*($CH$21)*(A31&gt;1)</f>
        <v>0</v>
      </c>
      <c r="CI31" s="175"/>
      <c r="CJ31" s="66">
        <f>(INDEX('SV calc_ignore'!$J$10:$J$1341,12*Output!A31-0))*($CJ$21)*(A31&gt;1)</f>
        <v>0</v>
      </c>
      <c r="CK31" s="66">
        <f>(INDEX('SV calc_ignore'!$Q$10:$Q$1341,12*Output!A31-0))*(AND(A31&gt;1,R31&lt;20))*($CK$21)</f>
        <v>0</v>
      </c>
      <c r="CL31" s="66">
        <f t="shared" si="33"/>
        <v>0</v>
      </c>
      <c r="CM31" s="175">
        <f>((INDEX('SV calc_ignore'!$J$10:$J$1341,12*Output!A31-0))+(INDEX('SV calc_ignore'!$O$10:$O$1341,12*Output!A31-0))*(A31&lt;'SV calc_ignore'!$Q$5))*(A31&gt;1)*($CM$21)</f>
        <v>0</v>
      </c>
      <c r="CN31" s="175">
        <v>0</v>
      </c>
      <c r="CO31" s="175">
        <f>(INDEX('SV calc_ignore'!$J$10:$J$1341,12*Output!A31-0))*(A31&gt;1)*($CO$21)</f>
        <v>0</v>
      </c>
      <c r="CP31" s="175">
        <v>0</v>
      </c>
      <c r="CQ31" s="175">
        <v>0</v>
      </c>
      <c r="CR31" s="175">
        <v>0</v>
      </c>
      <c r="CS31" s="175">
        <v>0</v>
      </c>
      <c r="CT31" s="175">
        <v>0</v>
      </c>
      <c r="CU31" s="175">
        <v>0</v>
      </c>
      <c r="CV31" s="175">
        <f>(INDEX('SV calc_ignore'!$J$10:$J$1341,12*Output!A31-0))*(A31&gt;1)*($CV$21)</f>
        <v>0</v>
      </c>
      <c r="CW31" s="66">
        <f>((INDEX('SV calc_ignore'!$J$10:$J$1341,12*Output!A31-0))+(INDEX('SV calc_ignore'!$O$10:$O$1351,12*Output!A31-0))*(A31&lt;'SV calc_ignore'!$Q$5))*(A31&gt;1)*($CW$21)</f>
        <v>0</v>
      </c>
      <c r="CX31" s="175">
        <f>(INDEX('SV calc_ignore'!$J$10:$J$1341,12*Output!A31-0))*(A31&gt;1)*($CX$21)</f>
        <v>0</v>
      </c>
      <c r="CY31" s="175">
        <f>(INDEX('SV calc_ignore'!$Q$10:$Q$1341,12*Output!A31-0))*(AND(A31&gt;1,R31&lt;20))*($CY$21)</f>
        <v>0</v>
      </c>
      <c r="CZ31" s="175">
        <f t="shared" si="34"/>
        <v>0</v>
      </c>
      <c r="DE31" s="43">
        <f>IF($DE$23,0,VLOOKUP(IF(A31&lt;=DP,DJ31,DI31),SSV!$B$6:$C$116,2,FALSE)*VLOOKUP(AnnuityOption,'All Options'!$AB$36:$AC$47,2,FALSE)*VLOOKUP('All Options'!$E$22,'Valid Data-GPG'!$B$130:$F$134,MATCH('All Options'!$E$17,'Valid Data-GPG'!$B$130:$F$130,0),0)*'All Options'!$E$17)*(IF(AND(Select="Deferred Annuity",AnnuityOption="Life Annuity"),A31&lt;=DP,1))</f>
        <v>3012816.179252658</v>
      </c>
      <c r="DF31" s="43">
        <f>IF($DF$23,0,IF($DQ$25,DQ31,IF($DR$25,DR31,VLOOKUP(IF(A31&lt;=DP,DJ31,DI31),SSV!$G$6:$H$116,2,FALSE)*SUM($B$27:B31))))</f>
        <v>1310732</v>
      </c>
      <c r="DG31" s="43" t="e">
        <f>IF(A31&lt;=DP,VLOOKUP(DP-A30,SSV!$T$6:$U$15,2,FALSE),1)</f>
        <v>#N/A</v>
      </c>
      <c r="DH31" s="282">
        <f t="shared" si="15"/>
        <v>4323548.179252658</v>
      </c>
      <c r="DI31" s="43">
        <f>IF($DM$26,MIN(Age,'All Options'!$E$21)+A30,IF($DN$26,(Age+A30)-Age+60,IF($DO$26,(Age+A30)-Age+55,Age+A30)))</f>
        <v>64</v>
      </c>
      <c r="DJ31" s="279">
        <f>IF($DM$26,MIN(Age+A31,'All Options'!$E$21+A31),IF($DN$26,(Age+A31)-(Age+$A$27)+60,IF($DO$26,(Age+A31)-(Age+$A$27)+55,Age+A31)))</f>
        <v>65</v>
      </c>
      <c r="DK31" s="279"/>
      <c r="DL31" s="279"/>
      <c r="DP31" s="43">
        <f t="shared" si="35"/>
        <v>0</v>
      </c>
      <c r="DQ31" s="43">
        <f>IFERROR(VLOOKUP(IF(A31&lt;=DP,DJ31,DI31),SSV!$K$6:$L$91,2,FALSE)*SUM($B$27:B31),0)*($DQ$25)</f>
        <v>0</v>
      </c>
      <c r="DR31" s="43">
        <f>IFERROR(VLOOKUP(IF(A31&lt;=DP,DJ31,DI31),SSV!$O$6:$P$95,2,FALSE)*SUM($B$27:B31),0)*($DR$25)</f>
        <v>0</v>
      </c>
      <c r="DU31" s="175">
        <f t="shared" si="16"/>
        <v>1</v>
      </c>
    </row>
    <row r="32" spans="1:151" ht="12.75" customHeight="1" x14ac:dyDescent="0.2">
      <c r="A32" s="146">
        <f t="shared" si="17"/>
        <v>6</v>
      </c>
      <c r="B32" s="670">
        <f>IF(PremiumType="Regular Premium",'All Options'!$E$18*'All Options'!$E$22*(AND(Output!A32&lt;=PPT,A32&gt;=1)),'All Options'!$E$18*(A32=1))</f>
        <v>0</v>
      </c>
      <c r="C32" s="671"/>
      <c r="D32" s="103" t="e">
        <f>((VLOOKUP(CONCATENATE($D$14,$D$15),'All Options'!$AB$36:$AC$47,4,0)*VLOOKUP('All Options'!$E$22,'Valid Data-GPG'!$B$130:$F$134,MATCH('All Options'!$E$17,'Valid Data-GPG'!$B$130:$F$130,0),0)*'All Options'!$E$17)*IF(Select="Deferred Annuity",A32&gt;DP,1)+AE32+AF32*AG32*$AG$21)*(A32&gt;0)</f>
        <v>#N/A</v>
      </c>
      <c r="E32" s="103">
        <v>0</v>
      </c>
      <c r="F32" s="103" t="e">
        <f t="shared" si="18"/>
        <v>#N/A</v>
      </c>
      <c r="G32" s="103">
        <f t="shared" si="2"/>
        <v>0</v>
      </c>
      <c r="H32" s="285">
        <f t="shared" si="19"/>
        <v>4333748.8452187199</v>
      </c>
      <c r="I32" s="103">
        <f t="shared" si="20"/>
        <v>4333748.8452187199</v>
      </c>
      <c r="J32" s="101"/>
      <c r="K32" s="175">
        <f t="shared" si="21"/>
        <v>65</v>
      </c>
      <c r="L32" s="175"/>
      <c r="M32" s="175"/>
      <c r="N32" s="175"/>
      <c r="O32" s="175"/>
      <c r="P32" s="175"/>
      <c r="Q32" s="175"/>
      <c r="R32" s="175">
        <f t="shared" si="22"/>
        <v>0</v>
      </c>
      <c r="U32" s="162" t="e">
        <f t="shared" si="36"/>
        <v>#N/A</v>
      </c>
      <c r="AB32" s="175" t="e">
        <f>(VLOOKUP(CONCATENATE($D$14,$D$15),'All Options'!$AB$36:$AC$47,4,0)*VLOOKUP('All Options'!$E$22,'Valid Data-GPG'!$B$130:$F$134,MATCH('All Options'!$E$17,'Valid Data-GPG'!$B$130:$F$130,0),0)*'All Options'!$E$17)*IF(Select="Deferred Annuity",A32&gt;DP,1)*(A32&gt;0)</f>
        <v>#N/A</v>
      </c>
      <c r="AC32" s="175">
        <f t="shared" si="3"/>
        <v>0</v>
      </c>
      <c r="AD32" s="175">
        <f>SUM($AC$26:AC32)</f>
        <v>0</v>
      </c>
      <c r="AE32" s="175">
        <f t="shared" si="4"/>
        <v>0</v>
      </c>
      <c r="AF32" s="175">
        <f t="shared" si="5"/>
        <v>0</v>
      </c>
      <c r="AG32" s="175" t="b">
        <f>(SUM($AF$26:AF32)&lt;=$AB$17)</f>
        <v>1</v>
      </c>
      <c r="AY32" s="175"/>
      <c r="AZ32" s="66">
        <f>((MAX((SUM($B$26:C32)+(VLOOKUP($AZ$25,'All Options'!$AB$36:$AC$46,2,0)*VLOOKUP('All Options'!$E$22,'Valid Data-GPG'!$B$130:$F$134,MATCH('All Options'!$E$17,'Valid Data-GPG'!$B$130:$F$130,0),0)*'All Options'!$E$17)*(IF(A32&lt;=DP,A32,0))),105%*SUM($B$26:C32)))*(AND(A32&lt;&gt;0,Output!A32&lt;=DP))+(0)*(A32&gt;DP))*$AZ$21</f>
        <v>0</v>
      </c>
      <c r="BA32" s="175" t="e">
        <f>((MAX((SUM($B$26:C32)+(VLOOKUP($BA$25,'All Options'!$AB$36:$AC$46,2,0)*VLOOKUP('All Options'!$E$22,'Valid Data-GPG'!$B$130:$F$134,MATCH('All Options'!$E$17,'Valid Data-GPG'!$B$130:$F$130,0),0)*'All Options'!$E$17)*(IF(A32&lt;=DP,A32,0))),105%*SUM($B$26:C32)))*(Output!A32&lt;=DP)
+MAX((SUM($B$26:C32)+(VLOOKUP($BA$25,'All Options'!$AB$36:$AC$46,2,0)*VLOOKUP('All Options'!$E$22,'Valid Data-GPG'!$B$130:$F$134,MATCH('All Options'!$E$17,'Valid Data-GPG'!$B$130:$F$130,0),0)*'All Options'!$E$17)*DP-D32*(A32-DP)),SUM($B$26:C32))*(A32&gt;DP))*$BA$21</f>
        <v>#N/A</v>
      </c>
      <c r="BB32" s="175">
        <f>((MAX(($AB$17+(VLOOKUP($BB$25,'All Options'!$AB$36:$AC$46,2,0)*VLOOKUP('All Options'!$E$22,'Valid Data-GPG'!$B$130:$F$134,MATCH('All Options'!$E$17,'Valid Data-GPG'!$B$130:$F$130,0),0)*'All Options'!$E$17)*(IF(A32&lt;=DP,A32,0))),105%*$AB$17))*(Output!A32&lt;=DP)+(0)*(A32&gt;DP))*$BB$21</f>
        <v>0</v>
      </c>
      <c r="BC32" s="175" t="e">
        <f>((MAX(($AB$17+(VLOOKUP($BC$25,'All Options'!$AB$36:$AC$46,2,0)*VLOOKUP('All Options'!$E$22,'Valid Data-GPG'!$B$130:$F$134,MATCH('All Options'!$E$17,'Valid Data-GPG'!$B$130:$F$130,0),0)*'All Options'!$E$17)*(IF(A32&lt;=DP,A32,0))),105%*$AB$17))*(Output!A32&lt;=DP)+
MAX(($AB$17+(VLOOKUP($BC$25,'All Options'!$AB$36:$AC$46,2,0)*VLOOKUP('All Options'!$E$22,'Valid Data-GPG'!$B$130:$F$134,MATCH('All Options'!$E$17,'Valid Data-GPG'!$B$130:$F$130,0),0)*'All Options'!$E$17)*DP-D32*(A32-DP)),$AB$17)*(A32&gt;DP))*$BC$21</f>
        <v>#N/A</v>
      </c>
      <c r="BD32" s="175">
        <f ca="1">IFERROR((MAX(($AB$17+(VLOOKUP($BD$25,'All Options'!$AB$36:$AC$46,2,0)*VLOOKUP('All Options'!$E$22,'Valid Data-GPG'!$B$130:$F$134,MATCH('All Options'!$E$17,'Valid Data-GPG'!$B$130:$F$130,0),0)*'All Options'!$E$17)*(IF(A32&lt;=DP,A32,0))),105%*$AB$17))*(Output!A32&lt;=DP)
+MAX(($AB$17+(VLOOKUP($BD$25,'All Options'!$AB$36:$AC$46,2,0)*VLOOKUP('All Options'!$E$22,'Valid Data-GPG'!$B$130:$F$134,MATCH('All Options'!$E$17,'Valid Data-GPG'!$B$130:$F$130,0),0)*'All Options'!$E$17)*DP-D32*(A32-DP)),$AB$17)*(A32&gt;DP),0)*$BD$21</f>
        <v>0</v>
      </c>
      <c r="BE32" s="66">
        <f>IFERROR((MAX(($AB$17+(VLOOKUP($BE$25,'All Options'!$AB$36:$AC$46,2,0)*VLOOKUP('All Options'!$E$22,'Valid Data-GPG'!$B$130:$F$134,MATCH('All Options'!$E$17,'Valid Data-GPG'!$B$130:$F$130,0),0)*'All Options'!$E$17)*(IF(A32&lt;=DP,A32,0))),105%*$AB$17))*(Output!A32&lt;=DP)
+(MAX($AB$17+(VLOOKUP($BE$25,'All Options'!$AB$36:$AC$46,2,0)*VLOOKUP('All Options'!$E$22,'Valid Data-GPG'!$B$130:$F$134,MATCH('All Options'!$E$17,'Valid Data-GPG'!$B$130:$F$130,0),0)*'All Options'!$E$17)*DP-AB32*(A32-DP),$AB$17)*(MAX(A32&lt;=25,K32&lt;85)))*(A32&gt;DP),0)*$BE$21</f>
        <v>0</v>
      </c>
      <c r="BF32" s="175">
        <f>IFERROR((MAX(($AB$17+(VLOOKUP($BF$25,'All Options'!$AB$36:$AC$46,2,0)*VLOOKUP('All Options'!$E$22,'Valid Data-GPG'!$B$130:$F$134,MATCH('All Options'!$E$17,'Valid Data-GPG'!$B$130:$F$130,0),0)*'All Options'!$E$17)*(IF(A32&lt;=DP,A32,0))),105%*$AB$17))*(Output!A32&lt;=DP)
+(MAX($AB$17+(VLOOKUP($BF$25,'All Options'!$AB$36:$AC$46,2,0)*VLOOKUP('All Options'!$E$22,'Valid Data-GPG'!$B$130:$F$134,MATCH('All Options'!$E$17,'Valid Data-GPG'!$B$130:$F$130,0),0)*'All Options'!$E$17)*DP-AB32*(A32-DP),$AB$17)-SUM($AF$26:AF32)*AG32)*(A32&gt;DP)*AG32,0)*$BF$21</f>
        <v>0</v>
      </c>
      <c r="BG32" s="175">
        <f t="shared" si="23"/>
        <v>0</v>
      </c>
      <c r="BH32" s="182">
        <f t="shared" si="6"/>
        <v>5000000</v>
      </c>
      <c r="BI32" s="175">
        <f t="shared" si="24"/>
        <v>0</v>
      </c>
      <c r="BJ32" s="175">
        <f t="shared" si="25"/>
        <v>0</v>
      </c>
      <c r="BK32" s="175">
        <f t="shared" si="26"/>
        <v>0</v>
      </c>
      <c r="BL32" s="175">
        <f t="shared" si="27"/>
        <v>0</v>
      </c>
      <c r="BM32" s="175">
        <f t="shared" si="28"/>
        <v>0</v>
      </c>
      <c r="BN32" s="175">
        <f t="shared" si="29"/>
        <v>0</v>
      </c>
      <c r="BO32" s="182">
        <f t="shared" si="7"/>
        <v>0</v>
      </c>
      <c r="BP32" s="182">
        <f t="shared" si="8"/>
        <v>0</v>
      </c>
      <c r="BQ32" s="182">
        <f>MAX($AB$17-SUM($AF$26:AF32),0)*$BQ$21</f>
        <v>0</v>
      </c>
      <c r="BS32" s="175">
        <f t="shared" si="9"/>
        <v>1</v>
      </c>
      <c r="BT32" s="175">
        <f>IFERROR(IF(A32&lt;=1,0,VLOOKUP(DP,'Valid Data-GPG'!$A$116:$J$122,MATCH(Output!A32,'Valid Data-GPG'!$A$116:$J$116,0),FALSE)*SUM($B$26:C32))*(A32&lt;=DP),0)*$BT$21</f>
        <v>0</v>
      </c>
      <c r="BU32" s="175">
        <f>IFERROR(IF(A32&lt;=1,0,VLOOKUP(DP,'Valid Data-GPG'!$A$116:$J$122,MATCH(Output!A32,'Valid Data-GPG'!$A$116:$J$116,0),FALSE)*SUM($B$26:C32))*(A32&lt;=DP),0)*$BU$21</f>
        <v>0</v>
      </c>
      <c r="BV32" s="175">
        <f t="shared" si="10"/>
        <v>0</v>
      </c>
      <c r="BW32" s="175">
        <f t="shared" si="11"/>
        <v>0</v>
      </c>
      <c r="BX32" s="175">
        <f t="shared" si="12"/>
        <v>0</v>
      </c>
      <c r="BY32" s="175">
        <f t="shared" si="13"/>
        <v>0</v>
      </c>
      <c r="BZ32" s="175">
        <f t="shared" si="14"/>
        <v>0</v>
      </c>
      <c r="CA32" s="175">
        <f>(INDEX('SV calc_ignore'!$J$10:$J$1341,12*Output!A32-0))*BS32</f>
        <v>0</v>
      </c>
      <c r="CB32" s="175">
        <f t="shared" si="30"/>
        <v>0</v>
      </c>
      <c r="CC32" s="175">
        <f>(INDEX('SV calc_ignore'!$J$10:$J$1341,12*Output!A32-0))*BS32</f>
        <v>0</v>
      </c>
      <c r="CD32" s="175">
        <f t="shared" si="31"/>
        <v>0</v>
      </c>
      <c r="CE32" s="66">
        <f>(INDEX('SV calc_ignore'!$J$10:$J$1341,12*Output!A32-0))*($CE$21)</f>
        <v>0</v>
      </c>
      <c r="CF32" s="175">
        <f t="shared" si="32"/>
        <v>0</v>
      </c>
      <c r="CG32" s="175">
        <f>(INDEX('SV calc_ignore'!$J$10:$J$1341,12*Output!A32-0))*($CG$21)*(A32&gt;1)</f>
        <v>0</v>
      </c>
      <c r="CH32" s="175">
        <f>(INDEX('SV calc_ignore'!$J$10:$J$1341,12*Output!A32-0))*($CH$21)*(A32&gt;1)</f>
        <v>0</v>
      </c>
      <c r="CI32" s="175"/>
      <c r="CJ32" s="66">
        <f>(INDEX('SV calc_ignore'!$J$10:$J$1341,12*Output!A32-0))*($CJ$21)*(A32&gt;1)</f>
        <v>0</v>
      </c>
      <c r="CK32" s="66">
        <f>(INDEX('SV calc_ignore'!$Q$10:$Q$1341,12*Output!A32-0))*(AND(A32&gt;1,R32&lt;20))*($CK$21)</f>
        <v>0</v>
      </c>
      <c r="CL32" s="66">
        <f t="shared" si="33"/>
        <v>0</v>
      </c>
      <c r="CM32" s="175">
        <f>((INDEX('SV calc_ignore'!$J$10:$J$1341,12*Output!A32-0))+(INDEX('SV calc_ignore'!$O$10:$O$1341,12*Output!A32-0))*(A32&lt;'SV calc_ignore'!$Q$5))*(A32&gt;1)*($CM$21)</f>
        <v>0</v>
      </c>
      <c r="CN32" s="175">
        <v>0</v>
      </c>
      <c r="CO32" s="175">
        <f>(INDEX('SV calc_ignore'!$J$10:$J$1341,12*Output!A32-0))*(A32&gt;1)*($CO$21)</f>
        <v>0</v>
      </c>
      <c r="CP32" s="175">
        <v>0</v>
      </c>
      <c r="CQ32" s="175">
        <v>0</v>
      </c>
      <c r="CR32" s="175">
        <v>0</v>
      </c>
      <c r="CS32" s="175">
        <v>0</v>
      </c>
      <c r="CT32" s="175">
        <v>0</v>
      </c>
      <c r="CU32" s="175">
        <v>0</v>
      </c>
      <c r="CV32" s="175">
        <f>(INDEX('SV calc_ignore'!$J$10:$J$1341,12*Output!A32-0))*(A32&gt;1)*($CV$21)</f>
        <v>0</v>
      </c>
      <c r="CW32" s="66">
        <f>((INDEX('SV calc_ignore'!$J$10:$J$1341,12*Output!A32-0))+(INDEX('SV calc_ignore'!$O$10:$O$1351,12*Output!A32-0))*(A32&lt;'SV calc_ignore'!$Q$5))*(A32&gt;1)*($CW$21)</f>
        <v>0</v>
      </c>
      <c r="CX32" s="175">
        <f>(INDEX('SV calc_ignore'!$J$10:$J$1341,12*Output!A32-0))*(A32&gt;1)*($CX$21)</f>
        <v>0</v>
      </c>
      <c r="CY32" s="175">
        <f>(INDEX('SV calc_ignore'!$Q$10:$Q$1341,12*Output!A32-0))*(AND(A32&gt;1,R32&lt;20))*($CY$21)</f>
        <v>0</v>
      </c>
      <c r="CZ32" s="175">
        <f t="shared" si="34"/>
        <v>0</v>
      </c>
      <c r="DE32" s="43">
        <f>IF($DE$23,0,VLOOKUP(IF(A32&lt;=DP,DJ32,DI32),SSV!$B$6:$C$116,2,FALSE)*VLOOKUP(AnnuityOption,'All Options'!$AB$36:$AC$47,2,FALSE)*VLOOKUP('All Options'!$E$22,'Valid Data-GPG'!$B$130:$F$134,MATCH('All Options'!$E$17,'Valid Data-GPG'!$B$130:$F$130,0),0)*'All Options'!$E$17)*(IF(AND(Select="Deferred Annuity",AnnuityOption="Life Annuity"),A32&lt;=DP,1))</f>
        <v>2950835.3452187194</v>
      </c>
      <c r="DF32" s="43">
        <f>IF($DF$23,0,IF($DQ$25,DQ32,IF($DR$25,DR32,VLOOKUP(IF(A32&lt;=DP,DJ32,DI32),SSV!$G$6:$H$116,2,FALSE)*SUM($B$27:B32))))</f>
        <v>1382913.5</v>
      </c>
      <c r="DG32" s="43" t="e">
        <f>IF(A32&lt;=DP,VLOOKUP(DP-A31,SSV!$T$6:$U$15,2,FALSE),1)</f>
        <v>#N/A</v>
      </c>
      <c r="DH32" s="282">
        <f t="shared" si="15"/>
        <v>4333748.8452187199</v>
      </c>
      <c r="DI32" s="43">
        <f>IF($DM$26,MIN(Age,'All Options'!$E$21)+A31,IF($DN$26,(Age+A31)-Age+60,IF($DO$26,(Age+A31)-Age+55,Age+A31)))</f>
        <v>65</v>
      </c>
      <c r="DJ32" s="279">
        <f>IF($DM$26,MIN(Age+A32,'All Options'!$E$21+A32),IF($DN$26,(Age+A32)-(Age+$A$27)+60,IF($DO$26,(Age+A32)-(Age+$A$27)+55,Age+A32)))</f>
        <v>66</v>
      </c>
      <c r="DK32" s="279"/>
      <c r="DL32" s="279"/>
      <c r="DP32" s="43">
        <f t="shared" si="35"/>
        <v>0</v>
      </c>
      <c r="DQ32" s="43">
        <f>IFERROR(VLOOKUP(IF(A32&lt;=DP,DJ32,DI32),SSV!$K$6:$L$91,2,FALSE)*SUM($B$27:B32),0)*($DQ$25)</f>
        <v>0</v>
      </c>
      <c r="DR32" s="43">
        <f>IFERROR(VLOOKUP(IF(A32&lt;=DP,DJ32,DI32),SSV!$O$6:$P$95,2,FALSE)*SUM($B$27:B32),0)*($DR$25)</f>
        <v>0</v>
      </c>
      <c r="DU32" s="175">
        <f t="shared" si="16"/>
        <v>1</v>
      </c>
    </row>
    <row r="33" spans="1:125" x14ac:dyDescent="0.2">
      <c r="A33" s="146">
        <f t="shared" si="17"/>
        <v>7</v>
      </c>
      <c r="B33" s="670">
        <f>IF(PremiumType="Regular Premium",'All Options'!$E$18*'All Options'!$E$22*(AND(Output!A33&lt;=PPT,A33&gt;=1)),'All Options'!$E$18*(A33=1))</f>
        <v>0</v>
      </c>
      <c r="C33" s="671"/>
      <c r="D33" s="103" t="e">
        <f>((VLOOKUP(CONCATENATE($D$14,$D$15),'All Options'!$AB$36:$AC$47,4,0)*VLOOKUP('All Options'!$E$22,'Valid Data-GPG'!$B$130:$F$134,MATCH('All Options'!$E$17,'Valid Data-GPG'!$B$130:$F$130,0),0)*'All Options'!$E$17)*IF(Select="Deferred Annuity",A33&gt;DP,1)+AE33+AF33*AG33*$AG$21)*(A33&gt;0)</f>
        <v>#N/A</v>
      </c>
      <c r="E33" s="103">
        <v>0</v>
      </c>
      <c r="F33" s="103" t="e">
        <f t="shared" si="18"/>
        <v>#N/A</v>
      </c>
      <c r="G33" s="103">
        <f t="shared" si="2"/>
        <v>0</v>
      </c>
      <c r="H33" s="285">
        <f t="shared" si="19"/>
        <v>4344335.7867921237</v>
      </c>
      <c r="I33" s="103">
        <f t="shared" si="20"/>
        <v>4344335.7867921237</v>
      </c>
      <c r="J33" s="101"/>
      <c r="K33" s="175">
        <f t="shared" si="21"/>
        <v>66</v>
      </c>
      <c r="L33" s="175"/>
      <c r="M33" s="175"/>
      <c r="N33" s="175"/>
      <c r="O33" s="175"/>
      <c r="P33" s="175"/>
      <c r="Q33" s="175"/>
      <c r="R33" s="175">
        <f t="shared" si="22"/>
        <v>0</v>
      </c>
      <c r="U33" s="162" t="e">
        <f t="shared" si="36"/>
        <v>#N/A</v>
      </c>
      <c r="AB33" s="175" t="e">
        <f>(VLOOKUP(CONCATENATE($D$14,$D$15),'All Options'!$AB$36:$AC$47,4,0)*VLOOKUP('All Options'!$E$22,'Valid Data-GPG'!$B$130:$F$134,MATCH('All Options'!$E$17,'Valid Data-GPG'!$B$130:$F$130,0),0)*'All Options'!$E$17)*IF(Select="Deferred Annuity",A33&gt;DP,1)*(A33&gt;0)</f>
        <v>#N/A</v>
      </c>
      <c r="AC33" s="175">
        <f t="shared" si="3"/>
        <v>0</v>
      </c>
      <c r="AD33" s="175">
        <f>SUM($AC$26:AC33)</f>
        <v>0</v>
      </c>
      <c r="AE33" s="175">
        <f t="shared" si="4"/>
        <v>0</v>
      </c>
      <c r="AF33" s="175">
        <f t="shared" si="5"/>
        <v>0</v>
      </c>
      <c r="AG33" s="175" t="b">
        <f>(SUM($AF$26:AF33)&lt;=$AB$17)</f>
        <v>1</v>
      </c>
      <c r="AY33" s="175"/>
      <c r="AZ33" s="66">
        <f>((MAX((SUM($B$26:C33)+(VLOOKUP($AZ$25,'All Options'!$AB$36:$AC$46,2,0)*VLOOKUP('All Options'!$E$22,'Valid Data-GPG'!$B$130:$F$134,MATCH('All Options'!$E$17,'Valid Data-GPG'!$B$130:$F$130,0),0)*'All Options'!$E$17)*(IF(A33&lt;=DP,A33,0))),105%*SUM($B$26:C33)))*(AND(A33&lt;&gt;0,Output!A33&lt;=DP))+(0)*(A33&gt;DP))*$AZ$21</f>
        <v>0</v>
      </c>
      <c r="BA33" s="175" t="e">
        <f>((MAX((SUM($B$26:C33)+(VLOOKUP($BA$25,'All Options'!$AB$36:$AC$46,2,0)*VLOOKUP('All Options'!$E$22,'Valid Data-GPG'!$B$130:$F$134,MATCH('All Options'!$E$17,'Valid Data-GPG'!$B$130:$F$130,0),0)*'All Options'!$E$17)*(IF(A33&lt;=DP,A33,0))),105%*SUM($B$26:C33)))*(Output!A33&lt;=DP)
+MAX((SUM($B$26:C33)+(VLOOKUP($BA$25,'All Options'!$AB$36:$AC$46,2,0)*VLOOKUP('All Options'!$E$22,'Valid Data-GPG'!$B$130:$F$134,MATCH('All Options'!$E$17,'Valid Data-GPG'!$B$130:$F$130,0),0)*'All Options'!$E$17)*DP-D33*(A33-DP)),SUM($B$26:C33))*(A33&gt;DP))*$BA$21</f>
        <v>#N/A</v>
      </c>
      <c r="BB33" s="175">
        <f>((MAX(($AB$17+(VLOOKUP($BB$25,'All Options'!$AB$36:$AC$46,2,0)*VLOOKUP('All Options'!$E$22,'Valid Data-GPG'!$B$130:$F$134,MATCH('All Options'!$E$17,'Valid Data-GPG'!$B$130:$F$130,0),0)*'All Options'!$E$17)*(IF(A33&lt;=DP,A33,0))),105%*$AB$17))*(Output!A33&lt;=DP)+(0)*(A33&gt;DP))*$BB$21</f>
        <v>0</v>
      </c>
      <c r="BC33" s="175" t="e">
        <f>((MAX(($AB$17+(VLOOKUP($BC$25,'All Options'!$AB$36:$AC$46,2,0)*VLOOKUP('All Options'!$E$22,'Valid Data-GPG'!$B$130:$F$134,MATCH('All Options'!$E$17,'Valid Data-GPG'!$B$130:$F$130,0),0)*'All Options'!$E$17)*(IF(A33&lt;=DP,A33,0))),105%*$AB$17))*(Output!A33&lt;=DP)+
MAX(($AB$17+(VLOOKUP($BC$25,'All Options'!$AB$36:$AC$46,2,0)*VLOOKUP('All Options'!$E$22,'Valid Data-GPG'!$B$130:$F$134,MATCH('All Options'!$E$17,'Valid Data-GPG'!$B$130:$F$130,0),0)*'All Options'!$E$17)*DP-D33*(A33-DP)),$AB$17)*(A33&gt;DP))*$BC$21</f>
        <v>#N/A</v>
      </c>
      <c r="BD33" s="175">
        <f ca="1">IFERROR((MAX(($AB$17+(VLOOKUP($BD$25,'All Options'!$AB$36:$AC$46,2,0)*VLOOKUP('All Options'!$E$22,'Valid Data-GPG'!$B$130:$F$134,MATCH('All Options'!$E$17,'Valid Data-GPG'!$B$130:$F$130,0),0)*'All Options'!$E$17)*(IF(A33&lt;=DP,A33,0))),105%*$AB$17))*(Output!A33&lt;=DP)
+MAX(($AB$17+(VLOOKUP($BD$25,'All Options'!$AB$36:$AC$46,2,0)*VLOOKUP('All Options'!$E$22,'Valid Data-GPG'!$B$130:$F$134,MATCH('All Options'!$E$17,'Valid Data-GPG'!$B$130:$F$130,0),0)*'All Options'!$E$17)*DP-D33*(A33-DP)),$AB$17)*(A33&gt;DP),0)*$BD$21</f>
        <v>0</v>
      </c>
      <c r="BE33" s="66">
        <f>IFERROR((MAX(($AB$17+(VLOOKUP($BE$25,'All Options'!$AB$36:$AC$46,2,0)*VLOOKUP('All Options'!$E$22,'Valid Data-GPG'!$B$130:$F$134,MATCH('All Options'!$E$17,'Valid Data-GPG'!$B$130:$F$130,0),0)*'All Options'!$E$17)*(IF(A33&lt;=DP,A33,0))),105%*$AB$17))*(Output!A33&lt;=DP)
+(MAX($AB$17+(VLOOKUP($BE$25,'All Options'!$AB$36:$AC$46,2,0)*VLOOKUP('All Options'!$E$22,'Valid Data-GPG'!$B$130:$F$134,MATCH('All Options'!$E$17,'Valid Data-GPG'!$B$130:$F$130,0),0)*'All Options'!$E$17)*DP-AB33*(A33-DP),$AB$17)*(MAX(A33&lt;=25,K33&lt;85)))*(A33&gt;DP),0)*$BE$21</f>
        <v>0</v>
      </c>
      <c r="BF33" s="175">
        <f>IFERROR((MAX(($AB$17+(VLOOKUP($BF$25,'All Options'!$AB$36:$AC$46,2,0)*VLOOKUP('All Options'!$E$22,'Valid Data-GPG'!$B$130:$F$134,MATCH('All Options'!$E$17,'Valid Data-GPG'!$B$130:$F$130,0),0)*'All Options'!$E$17)*(IF(A33&lt;=DP,A33,0))),105%*$AB$17))*(Output!A33&lt;=DP)
+(MAX($AB$17+(VLOOKUP($BF$25,'All Options'!$AB$36:$AC$46,2,0)*VLOOKUP('All Options'!$E$22,'Valid Data-GPG'!$B$130:$F$134,MATCH('All Options'!$E$17,'Valid Data-GPG'!$B$130:$F$130,0),0)*'All Options'!$E$17)*DP-AB33*(A33-DP),$AB$17)-SUM($AF$26:AF33)*AG33)*(A33&gt;DP)*AG33,0)*$BF$21</f>
        <v>0</v>
      </c>
      <c r="BG33" s="175">
        <f t="shared" si="23"/>
        <v>0</v>
      </c>
      <c r="BH33" s="182">
        <f t="shared" si="6"/>
        <v>5000000</v>
      </c>
      <c r="BI33" s="175">
        <f t="shared" si="24"/>
        <v>0</v>
      </c>
      <c r="BJ33" s="175">
        <f t="shared" si="25"/>
        <v>0</v>
      </c>
      <c r="BK33" s="175">
        <f t="shared" si="26"/>
        <v>0</v>
      </c>
      <c r="BL33" s="175">
        <f t="shared" si="27"/>
        <v>0</v>
      </c>
      <c r="BM33" s="175">
        <f t="shared" si="28"/>
        <v>0</v>
      </c>
      <c r="BN33" s="175">
        <f t="shared" si="29"/>
        <v>0</v>
      </c>
      <c r="BO33" s="182">
        <f t="shared" si="7"/>
        <v>0</v>
      </c>
      <c r="BP33" s="182">
        <f t="shared" si="8"/>
        <v>0</v>
      </c>
      <c r="BQ33" s="182">
        <f>MAX($AB$17-SUM($AF$26:AF33),0)*$BQ$21</f>
        <v>0</v>
      </c>
      <c r="BS33" s="175">
        <f t="shared" si="9"/>
        <v>1</v>
      </c>
      <c r="BT33" s="175">
        <f>IFERROR(IF(A33&lt;=1,0,VLOOKUP(DP,'Valid Data-GPG'!$A$116:$J$122,MATCH(Output!A33,'Valid Data-GPG'!$A$116:$J$116,0),FALSE)*SUM($B$26:C33))*(A33&lt;=DP),0)*$BT$21</f>
        <v>0</v>
      </c>
      <c r="BU33" s="175">
        <f>IFERROR(IF(A33&lt;=1,0,VLOOKUP(DP,'Valid Data-GPG'!$A$116:$J$122,MATCH(Output!A33,'Valid Data-GPG'!$A$116:$J$116,0),FALSE)*SUM($B$26:C33))*(A33&lt;=DP),0)*$BU$21</f>
        <v>0</v>
      </c>
      <c r="BV33" s="175">
        <f t="shared" si="10"/>
        <v>0</v>
      </c>
      <c r="BW33" s="175">
        <f t="shared" si="11"/>
        <v>0</v>
      </c>
      <c r="BX33" s="175">
        <f t="shared" si="12"/>
        <v>0</v>
      </c>
      <c r="BY33" s="175">
        <f t="shared" si="13"/>
        <v>0</v>
      </c>
      <c r="BZ33" s="175">
        <f t="shared" si="14"/>
        <v>0</v>
      </c>
      <c r="CA33" s="175">
        <f>(INDEX('SV calc_ignore'!$J$10:$J$1341,12*Output!A33-0))*BS33</f>
        <v>0</v>
      </c>
      <c r="CB33" s="175">
        <f t="shared" si="30"/>
        <v>0</v>
      </c>
      <c r="CC33" s="175">
        <f>(INDEX('SV calc_ignore'!$J$10:$J$1341,12*Output!A33-0))*BS33</f>
        <v>0</v>
      </c>
      <c r="CD33" s="175">
        <f t="shared" si="31"/>
        <v>0</v>
      </c>
      <c r="CE33" s="66">
        <f>(INDEX('SV calc_ignore'!$J$10:$J$1341,12*Output!A33-0))*($CE$21)</f>
        <v>0</v>
      </c>
      <c r="CF33" s="175">
        <f t="shared" si="32"/>
        <v>0</v>
      </c>
      <c r="CG33" s="175">
        <f>(INDEX('SV calc_ignore'!$J$10:$J$1341,12*Output!A33-0))*($CG$21)*(A33&gt;1)</f>
        <v>0</v>
      </c>
      <c r="CH33" s="175">
        <f>(INDEX('SV calc_ignore'!$J$10:$J$1341,12*Output!A33-0))*($CH$21)*(A33&gt;1)</f>
        <v>0</v>
      </c>
      <c r="CI33" s="175"/>
      <c r="CJ33" s="66">
        <f>(INDEX('SV calc_ignore'!$J$10:$J$1341,12*Output!A33-0))*($CJ$21)*(A33&gt;1)</f>
        <v>0</v>
      </c>
      <c r="CK33" s="66">
        <f>(INDEX('SV calc_ignore'!$Q$10:$Q$1341,12*Output!A33-0))*(AND(A33&gt;1,R33&lt;20))*($CK$21)</f>
        <v>0</v>
      </c>
      <c r="CL33" s="66">
        <f t="shared" si="33"/>
        <v>0</v>
      </c>
      <c r="CM33" s="175">
        <f>((INDEX('SV calc_ignore'!$J$10:$J$1341,12*Output!A33-0))+(INDEX('SV calc_ignore'!$O$10:$O$1341,12*Output!A33-0))*(A33&lt;'SV calc_ignore'!$Q$5))*(A33&gt;1)*($CM$21)</f>
        <v>0</v>
      </c>
      <c r="CN33" s="175">
        <v>0</v>
      </c>
      <c r="CO33" s="175">
        <f>(INDEX('SV calc_ignore'!$J$10:$J$1341,12*Output!A33-0))*(A33&gt;1)*($CO$21)</f>
        <v>0</v>
      </c>
      <c r="CP33" s="175">
        <v>0</v>
      </c>
      <c r="CQ33" s="175">
        <v>0</v>
      </c>
      <c r="CR33" s="175">
        <v>0</v>
      </c>
      <c r="CS33" s="175">
        <v>0</v>
      </c>
      <c r="CT33" s="175">
        <v>0</v>
      </c>
      <c r="CU33" s="175">
        <v>0</v>
      </c>
      <c r="CV33" s="175">
        <f>(INDEX('SV calc_ignore'!$J$10:$J$1341,12*Output!A33-0))*(A33&gt;1)*($CV$21)</f>
        <v>0</v>
      </c>
      <c r="CW33" s="66">
        <f>((INDEX('SV calc_ignore'!$J$10:$J$1341,12*Output!A33-0))+(INDEX('SV calc_ignore'!$O$10:$O$1351,12*Output!A33-0))*(A33&lt;'SV calc_ignore'!$Q$5))*(A33&gt;1)*($CW$21)</f>
        <v>0</v>
      </c>
      <c r="CX33" s="175">
        <f>(INDEX('SV calc_ignore'!$J$10:$J$1341,12*Output!A33-0))*(A33&gt;1)*($CX$21)</f>
        <v>0</v>
      </c>
      <c r="CY33" s="175">
        <f>(INDEX('SV calc_ignore'!$Q$10:$Q$1341,12*Output!A33-0))*(AND(A33&gt;1,R33&lt;20))*($CY$21)</f>
        <v>0</v>
      </c>
      <c r="CZ33" s="175">
        <f t="shared" si="34"/>
        <v>0</v>
      </c>
      <c r="DE33" s="43">
        <f>IF($DE$23,0,VLOOKUP(IF(A33&lt;=DP,DJ33,DI33),SSV!$B$6:$C$116,2,FALSE)*VLOOKUP(AnnuityOption,'All Options'!$AB$36:$AC$47,2,FALSE)*VLOOKUP('All Options'!$E$22,'Valid Data-GPG'!$B$130:$F$134,MATCH('All Options'!$E$17,'Valid Data-GPG'!$B$130:$F$130,0),0)*'All Options'!$E$17)*(IF(AND(Select="Deferred Annuity",AnnuityOption="Life Annuity"),A33&lt;=DP,1))</f>
        <v>2886503.7867921237</v>
      </c>
      <c r="DF33" s="43">
        <f>IF($DF$23,0,IF($DQ$25,DQ33,IF($DR$25,DR33,VLOOKUP(IF(A33&lt;=DP,DJ33,DI33),SSV!$G$6:$H$116,2,FALSE)*SUM($B$27:B33))))</f>
        <v>1457832</v>
      </c>
      <c r="DG33" s="43" t="e">
        <f>IF(A33&lt;=DP,VLOOKUP(DP-A32,SSV!$T$6:$U$15,2,FALSE),1)</f>
        <v>#N/A</v>
      </c>
      <c r="DH33" s="282">
        <f t="shared" si="15"/>
        <v>4344335.7867921237</v>
      </c>
      <c r="DI33" s="43">
        <f>IF($DM$26,MIN(Age,'All Options'!$E$21)+A32,IF($DN$26,(Age+A32)-Age+60,IF($DO$26,(Age+A32)-Age+55,Age+A32)))</f>
        <v>66</v>
      </c>
      <c r="DJ33" s="279">
        <f>IF($DM$26,MIN(Age+A33,'All Options'!$E$21+A33),IF($DN$26,(Age+A33)-(Age+$A$27)+60,IF($DO$26,(Age+A33)-(Age+$A$27)+55,Age+A33)))</f>
        <v>67</v>
      </c>
      <c r="DK33" s="279"/>
      <c r="DL33" s="279"/>
      <c r="DP33" s="43">
        <f t="shared" si="35"/>
        <v>0</v>
      </c>
      <c r="DQ33" s="43">
        <f>IFERROR(VLOOKUP(IF(A33&lt;=DP,DJ33,DI33),SSV!$K$6:$L$91,2,FALSE)*SUM($B$27:B33),0)*($DQ$25)</f>
        <v>0</v>
      </c>
      <c r="DR33" s="43">
        <f>IFERROR(VLOOKUP(IF(A33&lt;=DP,DJ33,DI33),SSV!$O$6:$P$95,2,FALSE)*SUM($B$27:B33),0)*($DR$25)</f>
        <v>0</v>
      </c>
      <c r="DU33" s="175">
        <f t="shared" si="16"/>
        <v>1</v>
      </c>
    </row>
    <row r="34" spans="1:125" x14ac:dyDescent="0.2">
      <c r="A34" s="146">
        <f t="shared" si="17"/>
        <v>8</v>
      </c>
      <c r="B34" s="670">
        <f>IF(PremiumType="Regular Premium",'All Options'!$E$18*'All Options'!$E$22*(AND(Output!A34&lt;=PPT,A34&gt;=1)),'All Options'!$E$18*(A34=1))</f>
        <v>0</v>
      </c>
      <c r="C34" s="671"/>
      <c r="D34" s="103" t="e">
        <f>((VLOOKUP(CONCATENATE($D$14,$D$15),'All Options'!$AB$36:$AC$47,4,0)*VLOOKUP('All Options'!$E$22,'Valid Data-GPG'!$B$130:$F$134,MATCH('All Options'!$E$17,'Valid Data-GPG'!$B$130:$F$130,0),0)*'All Options'!$E$17)*IF(Select="Deferred Annuity",A34&gt;DP,1)+AE34+AF34*AG34*$AG$21)*(A34&gt;0)</f>
        <v>#N/A</v>
      </c>
      <c r="E34" s="103">
        <v>0</v>
      </c>
      <c r="F34" s="103" t="e">
        <f t="shared" si="18"/>
        <v>#N/A</v>
      </c>
      <c r="G34" s="103">
        <f t="shared" si="2"/>
        <v>0</v>
      </c>
      <c r="H34" s="285">
        <f t="shared" si="19"/>
        <v>4355244.8441176992</v>
      </c>
      <c r="I34" s="103">
        <f t="shared" si="20"/>
        <v>4355244.8441176992</v>
      </c>
      <c r="J34" s="101"/>
      <c r="K34" s="175">
        <f t="shared" si="21"/>
        <v>67</v>
      </c>
      <c r="L34" s="175"/>
      <c r="M34" s="175"/>
      <c r="N34" s="175"/>
      <c r="O34" s="175"/>
      <c r="P34" s="175"/>
      <c r="Q34" s="175"/>
      <c r="R34" s="175">
        <f t="shared" si="22"/>
        <v>0</v>
      </c>
      <c r="U34" s="162" t="e">
        <f t="shared" si="36"/>
        <v>#N/A</v>
      </c>
      <c r="AB34" s="175" t="e">
        <f>(VLOOKUP(CONCATENATE($D$14,$D$15),'All Options'!$AB$36:$AC$47,4,0)*VLOOKUP('All Options'!$E$22,'Valid Data-GPG'!$B$130:$F$134,MATCH('All Options'!$E$17,'Valid Data-GPG'!$B$130:$F$130,0),0)*'All Options'!$E$17)*IF(Select="Deferred Annuity",A34&gt;DP,1)*(A34&gt;0)</f>
        <v>#N/A</v>
      </c>
      <c r="AC34" s="175">
        <f t="shared" si="3"/>
        <v>0</v>
      </c>
      <c r="AD34" s="175">
        <f>SUM($AC$26:AC34)</f>
        <v>0</v>
      </c>
      <c r="AE34" s="175">
        <f t="shared" si="4"/>
        <v>0</v>
      </c>
      <c r="AF34" s="175">
        <f t="shared" si="5"/>
        <v>0</v>
      </c>
      <c r="AG34" s="175" t="b">
        <f>(SUM($AF$26:AF34)&lt;=$AB$17)</f>
        <v>1</v>
      </c>
      <c r="AY34" s="175"/>
      <c r="AZ34" s="66">
        <f>((MAX((SUM($B$26:C34)+(VLOOKUP($AZ$25,'All Options'!$AB$36:$AC$46,2,0)*VLOOKUP('All Options'!$E$22,'Valid Data-GPG'!$B$130:$F$134,MATCH('All Options'!$E$17,'Valid Data-GPG'!$B$130:$F$130,0),0)*'All Options'!$E$17)*(IF(A34&lt;=DP,A34,0))),105%*SUM($B$26:C34)))*(AND(A34&lt;&gt;0,Output!A34&lt;=DP))+(0)*(A34&gt;DP))*$AZ$21</f>
        <v>0</v>
      </c>
      <c r="BA34" s="175" t="e">
        <f>((MAX((SUM($B$26:C34)+(VLOOKUP($BA$25,'All Options'!$AB$36:$AC$46,2,0)*VLOOKUP('All Options'!$E$22,'Valid Data-GPG'!$B$130:$F$134,MATCH('All Options'!$E$17,'Valid Data-GPG'!$B$130:$F$130,0),0)*'All Options'!$E$17)*(IF(A34&lt;=DP,A34,0))),105%*SUM($B$26:C34)))*(Output!A34&lt;=DP)
+MAX((SUM($B$26:C34)+(VLOOKUP($BA$25,'All Options'!$AB$36:$AC$46,2,0)*VLOOKUP('All Options'!$E$22,'Valid Data-GPG'!$B$130:$F$134,MATCH('All Options'!$E$17,'Valid Data-GPG'!$B$130:$F$130,0),0)*'All Options'!$E$17)*DP-D34*(A34-DP)),SUM($B$26:C34))*(A34&gt;DP))*$BA$21</f>
        <v>#N/A</v>
      </c>
      <c r="BB34" s="175">
        <f>((MAX(($AB$17+(VLOOKUP($BB$25,'All Options'!$AB$36:$AC$46,2,0)*VLOOKUP('All Options'!$E$22,'Valid Data-GPG'!$B$130:$F$134,MATCH('All Options'!$E$17,'Valid Data-GPG'!$B$130:$F$130,0),0)*'All Options'!$E$17)*(IF(A34&lt;=DP,A34,0))),105%*$AB$17))*(Output!A34&lt;=DP)+(0)*(A34&gt;DP))*$BB$21</f>
        <v>0</v>
      </c>
      <c r="BC34" s="175" t="e">
        <f>((MAX(($AB$17+(VLOOKUP($BC$25,'All Options'!$AB$36:$AC$46,2,0)*VLOOKUP('All Options'!$E$22,'Valid Data-GPG'!$B$130:$F$134,MATCH('All Options'!$E$17,'Valid Data-GPG'!$B$130:$F$130,0),0)*'All Options'!$E$17)*(IF(A34&lt;=DP,A34,0))),105%*$AB$17))*(Output!A34&lt;=DP)+
MAX(($AB$17+(VLOOKUP($BC$25,'All Options'!$AB$36:$AC$46,2,0)*VLOOKUP('All Options'!$E$22,'Valid Data-GPG'!$B$130:$F$134,MATCH('All Options'!$E$17,'Valid Data-GPG'!$B$130:$F$130,0),0)*'All Options'!$E$17)*DP-D34*(A34-DP)),$AB$17)*(A34&gt;DP))*$BC$21</f>
        <v>#N/A</v>
      </c>
      <c r="BD34" s="175">
        <f ca="1">IFERROR((MAX(($AB$17+(VLOOKUP($BD$25,'All Options'!$AB$36:$AC$46,2,0)*VLOOKUP('All Options'!$E$22,'Valid Data-GPG'!$B$130:$F$134,MATCH('All Options'!$E$17,'Valid Data-GPG'!$B$130:$F$130,0),0)*'All Options'!$E$17)*(IF(A34&lt;=DP,A34,0))),105%*$AB$17))*(Output!A34&lt;=DP)
+MAX(($AB$17+(VLOOKUP($BD$25,'All Options'!$AB$36:$AC$46,2,0)*VLOOKUP('All Options'!$E$22,'Valid Data-GPG'!$B$130:$F$134,MATCH('All Options'!$E$17,'Valid Data-GPG'!$B$130:$F$130,0),0)*'All Options'!$E$17)*DP-D34*(A34-DP)),$AB$17)*(A34&gt;DP),0)*$BD$21</f>
        <v>0</v>
      </c>
      <c r="BE34" s="66">
        <f>IFERROR((MAX(($AB$17+(VLOOKUP($BE$25,'All Options'!$AB$36:$AC$46,2,0)*VLOOKUP('All Options'!$E$22,'Valid Data-GPG'!$B$130:$F$134,MATCH('All Options'!$E$17,'Valid Data-GPG'!$B$130:$F$130,0),0)*'All Options'!$E$17)*(IF(A34&lt;=DP,A34,0))),105%*$AB$17))*(Output!A34&lt;=DP)
+(MAX($AB$17+(VLOOKUP($BE$25,'All Options'!$AB$36:$AC$46,2,0)*VLOOKUP('All Options'!$E$22,'Valid Data-GPG'!$B$130:$F$134,MATCH('All Options'!$E$17,'Valid Data-GPG'!$B$130:$F$130,0),0)*'All Options'!$E$17)*DP-AB34*(A34-DP),$AB$17)*(MAX(A34&lt;=25,K34&lt;85)))*(A34&gt;DP),0)*$BE$21</f>
        <v>0</v>
      </c>
      <c r="BF34" s="175">
        <f>IFERROR((MAX(($AB$17+(VLOOKUP($BF$25,'All Options'!$AB$36:$AC$46,2,0)*VLOOKUP('All Options'!$E$22,'Valid Data-GPG'!$B$130:$F$134,MATCH('All Options'!$E$17,'Valid Data-GPG'!$B$130:$F$130,0),0)*'All Options'!$E$17)*(IF(A34&lt;=DP,A34,0))),105%*$AB$17))*(Output!A34&lt;=DP)
+(MAX($AB$17+(VLOOKUP($BF$25,'All Options'!$AB$36:$AC$46,2,0)*VLOOKUP('All Options'!$E$22,'Valid Data-GPG'!$B$130:$F$134,MATCH('All Options'!$E$17,'Valid Data-GPG'!$B$130:$F$130,0),0)*'All Options'!$E$17)*DP-AB34*(A34-DP),$AB$17)-SUM($AF$26:AF34)*AG34)*(A34&gt;DP)*AG34,0)*$BF$21</f>
        <v>0</v>
      </c>
      <c r="BG34" s="175">
        <f t="shared" si="23"/>
        <v>0</v>
      </c>
      <c r="BH34" s="182">
        <f t="shared" si="6"/>
        <v>5000000</v>
      </c>
      <c r="BI34" s="175">
        <f t="shared" si="24"/>
        <v>0</v>
      </c>
      <c r="BJ34" s="175">
        <f t="shared" si="25"/>
        <v>0</v>
      </c>
      <c r="BK34" s="175">
        <f t="shared" si="26"/>
        <v>0</v>
      </c>
      <c r="BL34" s="175">
        <f t="shared" si="27"/>
        <v>0</v>
      </c>
      <c r="BM34" s="175">
        <f t="shared" si="28"/>
        <v>0</v>
      </c>
      <c r="BN34" s="175">
        <f t="shared" si="29"/>
        <v>0</v>
      </c>
      <c r="BO34" s="182">
        <f t="shared" si="7"/>
        <v>0</v>
      </c>
      <c r="BP34" s="182">
        <f t="shared" si="8"/>
        <v>0</v>
      </c>
      <c r="BQ34" s="182">
        <f>MAX($AB$17-SUM($AF$26:AF34),0)*$BQ$21</f>
        <v>0</v>
      </c>
      <c r="BS34" s="175">
        <f t="shared" si="9"/>
        <v>1</v>
      </c>
      <c r="BT34" s="175">
        <f>IFERROR(IF(A34&lt;=1,0,VLOOKUP(DP,'Valid Data-GPG'!$A$116:$J$122,MATCH(Output!A34,'Valid Data-GPG'!$A$116:$J$116,0),FALSE)*SUM($B$26:C34))*(A34&lt;=DP),0)*$BT$21</f>
        <v>0</v>
      </c>
      <c r="BU34" s="175">
        <f>IFERROR(IF(A34&lt;=1,0,VLOOKUP(DP,'Valid Data-GPG'!$A$116:$J$122,MATCH(Output!A34,'Valid Data-GPG'!$A$116:$J$116,0),FALSE)*SUM($B$26:C34))*(A34&lt;=DP),0)*$BU$21</f>
        <v>0</v>
      </c>
      <c r="BV34" s="175">
        <f t="shared" si="10"/>
        <v>0</v>
      </c>
      <c r="BW34" s="175">
        <f t="shared" si="11"/>
        <v>0</v>
      </c>
      <c r="BX34" s="175">
        <f t="shared" si="12"/>
        <v>0</v>
      </c>
      <c r="BY34" s="175">
        <f t="shared" si="13"/>
        <v>0</v>
      </c>
      <c r="BZ34" s="175">
        <f t="shared" si="14"/>
        <v>0</v>
      </c>
      <c r="CA34" s="175">
        <f>(INDEX('SV calc_ignore'!$J$10:$J$1341,12*Output!A34-0))*BS34</f>
        <v>0</v>
      </c>
      <c r="CB34" s="175">
        <f t="shared" si="30"/>
        <v>0</v>
      </c>
      <c r="CC34" s="175">
        <f>(INDEX('SV calc_ignore'!$J$10:$J$1341,12*Output!A34-0))*BS34</f>
        <v>0</v>
      </c>
      <c r="CD34" s="175">
        <f t="shared" si="31"/>
        <v>0</v>
      </c>
      <c r="CE34" s="66">
        <f>(INDEX('SV calc_ignore'!$J$10:$J$1341,12*Output!A34-0))*($CE$21)</f>
        <v>0</v>
      </c>
      <c r="CF34" s="175">
        <f t="shared" si="32"/>
        <v>0</v>
      </c>
      <c r="CG34" s="175">
        <f>(INDEX('SV calc_ignore'!$J$10:$J$1341,12*Output!A34-0))*($CG$21)*(A34&gt;1)</f>
        <v>0</v>
      </c>
      <c r="CH34" s="175">
        <f>(INDEX('SV calc_ignore'!$J$10:$J$1341,12*Output!A34-0))*($CH$21)*(A34&gt;1)</f>
        <v>0</v>
      </c>
      <c r="CI34" s="175"/>
      <c r="CJ34" s="66">
        <f>(INDEX('SV calc_ignore'!$J$10:$J$1341,12*Output!A34-0))*($CJ$21)*(A34&gt;1)</f>
        <v>0</v>
      </c>
      <c r="CK34" s="66">
        <f>(INDEX('SV calc_ignore'!$Q$10:$Q$1341,12*Output!A34-0))*(AND(A34&gt;1,R34&lt;20))*($CK$21)</f>
        <v>0</v>
      </c>
      <c r="CL34" s="66">
        <f t="shared" si="33"/>
        <v>0</v>
      </c>
      <c r="CM34" s="175">
        <f>((INDEX('SV calc_ignore'!$J$10:$J$1341,12*Output!A34-0))+(INDEX('SV calc_ignore'!$O$10:$O$1341,12*Output!A34-0))*(A34&lt;'SV calc_ignore'!$Q$5))*(A34&gt;1)*($CM$21)</f>
        <v>0</v>
      </c>
      <c r="CN34" s="175">
        <v>0</v>
      </c>
      <c r="CO34" s="175">
        <f>(INDEX('SV calc_ignore'!$J$10:$J$1341,12*Output!A34-0))*(A34&gt;1)*($CO$21)</f>
        <v>0</v>
      </c>
      <c r="CP34" s="175">
        <v>0</v>
      </c>
      <c r="CQ34" s="175">
        <v>0</v>
      </c>
      <c r="CR34" s="175">
        <v>0</v>
      </c>
      <c r="CS34" s="175">
        <v>0</v>
      </c>
      <c r="CT34" s="175">
        <v>0</v>
      </c>
      <c r="CU34" s="175">
        <v>0</v>
      </c>
      <c r="CV34" s="175">
        <f>(INDEX('SV calc_ignore'!$J$10:$J$1341,12*Output!A34-0))*(A34&gt;1)*($CV$21)</f>
        <v>0</v>
      </c>
      <c r="CW34" s="66">
        <f>((INDEX('SV calc_ignore'!$J$10:$J$1341,12*Output!A34-0))+(INDEX('SV calc_ignore'!$O$10:$O$1351,12*Output!A34-0))*(A34&lt;'SV calc_ignore'!$Q$5))*(A34&gt;1)*($CW$21)</f>
        <v>0</v>
      </c>
      <c r="CX34" s="175">
        <f>(INDEX('SV calc_ignore'!$J$10:$J$1341,12*Output!A34-0))*(A34&gt;1)*($CX$21)</f>
        <v>0</v>
      </c>
      <c r="CY34" s="175">
        <f>(INDEX('SV calc_ignore'!$Q$10:$Q$1341,12*Output!A34-0))*(AND(A34&gt;1,R34&lt;20))*($CY$21)</f>
        <v>0</v>
      </c>
      <c r="CZ34" s="175">
        <f t="shared" si="34"/>
        <v>0</v>
      </c>
      <c r="DE34" s="43">
        <f>IF($DE$23,0,VLOOKUP(IF(A34&lt;=DP,DJ34,DI34),SSV!$B$6:$C$116,2,FALSE)*VLOOKUP(AnnuityOption,'All Options'!$AB$36:$AC$47,2,FALSE)*VLOOKUP('All Options'!$E$22,'Valid Data-GPG'!$B$130:$F$134,MATCH('All Options'!$E$17,'Valid Data-GPG'!$B$130:$F$130,0),0)*'All Options'!$E$17)*(IF(AND(Select="Deferred Annuity",AnnuityOption="Life Annuity"),A34&lt;=DP,1))</f>
        <v>2820209.8441176992</v>
      </c>
      <c r="DF34" s="43">
        <f>IF($DF$23,0,IF($DQ$25,DQ34,IF($DR$25,DR34,VLOOKUP(IF(A34&lt;=DP,DJ34,DI34),SSV!$G$6:$H$116,2,FALSE)*SUM($B$27:B34))))</f>
        <v>1535034.9999999998</v>
      </c>
      <c r="DG34" s="43" t="e">
        <f>IF(A34&lt;=DP,VLOOKUP(DP-A33,SSV!$T$6:$U$15,2,FALSE),1)</f>
        <v>#N/A</v>
      </c>
      <c r="DH34" s="282">
        <f t="shared" si="15"/>
        <v>4355244.8441176992</v>
      </c>
      <c r="DI34" s="43">
        <f>IF($DM$26,MIN(Age,'All Options'!$E$21)+A33,IF($DN$26,(Age+A33)-Age+60,IF($DO$26,(Age+A33)-Age+55,Age+A33)))</f>
        <v>67</v>
      </c>
      <c r="DJ34" s="279">
        <f>IF($DM$26,MIN(Age+A34,'All Options'!$E$21+A34),IF($DN$26,(Age+A34)-(Age+$A$27)+60,IF($DO$26,(Age+A34)-(Age+$A$27)+55,Age+A34)))</f>
        <v>68</v>
      </c>
      <c r="DK34" s="279"/>
      <c r="DL34" s="279"/>
      <c r="DP34" s="43">
        <f t="shared" si="35"/>
        <v>0</v>
      </c>
      <c r="DQ34" s="43">
        <f>IFERROR(VLOOKUP(IF(A34&lt;=DP,DJ34,DI34),SSV!$K$6:$L$91,2,FALSE)*SUM($B$27:B34),0)*($DQ$25)</f>
        <v>0</v>
      </c>
      <c r="DR34" s="43">
        <f>IFERROR(VLOOKUP(IF(A34&lt;=DP,DJ34,DI34),SSV!$O$6:$P$95,2,FALSE)*SUM($B$27:B34),0)*($DR$25)</f>
        <v>0</v>
      </c>
      <c r="DU34" s="175">
        <f t="shared" si="16"/>
        <v>1</v>
      </c>
    </row>
    <row r="35" spans="1:125" x14ac:dyDescent="0.2">
      <c r="A35" s="146">
        <f t="shared" si="17"/>
        <v>9</v>
      </c>
      <c r="B35" s="670">
        <f>IF(PremiumType="Regular Premium",'All Options'!$E$18*'All Options'!$E$22*(AND(Output!A35&lt;=PPT,A35&gt;=1)),'All Options'!$E$18*(A35=1))</f>
        <v>0</v>
      </c>
      <c r="C35" s="671"/>
      <c r="D35" s="103" t="e">
        <f>((VLOOKUP(CONCATENATE($D$14,$D$15),'All Options'!$AB$36:$AC$47,4,0)*VLOOKUP('All Options'!$E$22,'Valid Data-GPG'!$B$130:$F$134,MATCH('All Options'!$E$17,'Valid Data-GPG'!$B$130:$F$130,0),0)*'All Options'!$E$17)*IF(Select="Deferred Annuity",A35&gt;DP,1)+AE35+AF35*AG35*$AG$21)*(A35&gt;0)</f>
        <v>#N/A</v>
      </c>
      <c r="E35" s="103">
        <v>0</v>
      </c>
      <c r="F35" s="103" t="e">
        <f t="shared" si="18"/>
        <v>#N/A</v>
      </c>
      <c r="G35" s="103">
        <f t="shared" si="2"/>
        <v>0</v>
      </c>
      <c r="H35" s="285">
        <f t="shared" si="19"/>
        <v>4366416.7654185938</v>
      </c>
      <c r="I35" s="103">
        <f t="shared" si="20"/>
        <v>4366416.7654185938</v>
      </c>
      <c r="J35" s="101"/>
      <c r="K35" s="175">
        <f t="shared" si="21"/>
        <v>68</v>
      </c>
      <c r="L35" s="175"/>
      <c r="M35" s="175"/>
      <c r="N35" s="175"/>
      <c r="O35" s="175"/>
      <c r="P35" s="175"/>
      <c r="Q35" s="175"/>
      <c r="R35" s="175">
        <f t="shared" si="22"/>
        <v>0</v>
      </c>
      <c r="U35" s="162" t="e">
        <f t="shared" si="36"/>
        <v>#N/A</v>
      </c>
      <c r="AB35" s="175" t="e">
        <f>(VLOOKUP(CONCATENATE($D$14,$D$15),'All Options'!$AB$36:$AC$47,4,0)*VLOOKUP('All Options'!$E$22,'Valid Data-GPG'!$B$130:$F$134,MATCH('All Options'!$E$17,'Valid Data-GPG'!$B$130:$F$130,0),0)*'All Options'!$E$17)*IF(Select="Deferred Annuity",A35&gt;DP,1)*(A35&gt;0)</f>
        <v>#N/A</v>
      </c>
      <c r="AC35" s="175">
        <f t="shared" si="3"/>
        <v>0</v>
      </c>
      <c r="AD35" s="175">
        <f>SUM($AC$26:AC35)</f>
        <v>0</v>
      </c>
      <c r="AE35" s="175">
        <f t="shared" si="4"/>
        <v>0</v>
      </c>
      <c r="AF35" s="175">
        <f t="shared" si="5"/>
        <v>0</v>
      </c>
      <c r="AG35" s="175" t="b">
        <f>(SUM($AF$26:AF35)&lt;=$AB$17)</f>
        <v>1</v>
      </c>
      <c r="AY35" s="175"/>
      <c r="AZ35" s="66">
        <f>((MAX((SUM($B$26:C35)+(VLOOKUP($AZ$25,'All Options'!$AB$36:$AC$46,2,0)*VLOOKUP('All Options'!$E$22,'Valid Data-GPG'!$B$130:$F$134,MATCH('All Options'!$E$17,'Valid Data-GPG'!$B$130:$F$130,0),0)*'All Options'!$E$17)*(IF(A35&lt;=DP,A35,0))),105%*SUM($B$26:C35)))*(AND(A35&lt;&gt;0,Output!A35&lt;=DP))+(0)*(A35&gt;DP))*$AZ$21</f>
        <v>0</v>
      </c>
      <c r="BA35" s="175" t="e">
        <f>((MAX((SUM($B$26:C35)+(VLOOKUP($BA$25,'All Options'!$AB$36:$AC$46,2,0)*VLOOKUP('All Options'!$E$22,'Valid Data-GPG'!$B$130:$F$134,MATCH('All Options'!$E$17,'Valid Data-GPG'!$B$130:$F$130,0),0)*'All Options'!$E$17)*(IF(A35&lt;=DP,A35,0))),105%*SUM($B$26:C35)))*(Output!A35&lt;=DP)
+MAX((SUM($B$26:C35)+(VLOOKUP($BA$25,'All Options'!$AB$36:$AC$46,2,0)*VLOOKUP('All Options'!$E$22,'Valid Data-GPG'!$B$130:$F$134,MATCH('All Options'!$E$17,'Valid Data-GPG'!$B$130:$F$130,0),0)*'All Options'!$E$17)*DP-D35*(A35-DP)),SUM($B$26:C35))*(A35&gt;DP))*$BA$21</f>
        <v>#N/A</v>
      </c>
      <c r="BB35" s="175">
        <f>((MAX(($AB$17+(VLOOKUP($BB$25,'All Options'!$AB$36:$AC$46,2,0)*VLOOKUP('All Options'!$E$22,'Valid Data-GPG'!$B$130:$F$134,MATCH('All Options'!$E$17,'Valid Data-GPG'!$B$130:$F$130,0),0)*'All Options'!$E$17)*(IF(A35&lt;=DP,A35,0))),105%*$AB$17))*(Output!A35&lt;=DP)+(0)*(A35&gt;DP))*$BB$21</f>
        <v>0</v>
      </c>
      <c r="BC35" s="175" t="e">
        <f>((MAX(($AB$17+(VLOOKUP($BC$25,'All Options'!$AB$36:$AC$46,2,0)*VLOOKUP('All Options'!$E$22,'Valid Data-GPG'!$B$130:$F$134,MATCH('All Options'!$E$17,'Valid Data-GPG'!$B$130:$F$130,0),0)*'All Options'!$E$17)*(IF(A35&lt;=DP,A35,0))),105%*$AB$17))*(Output!A35&lt;=DP)+
MAX(($AB$17+(VLOOKUP($BC$25,'All Options'!$AB$36:$AC$46,2,0)*VLOOKUP('All Options'!$E$22,'Valid Data-GPG'!$B$130:$F$134,MATCH('All Options'!$E$17,'Valid Data-GPG'!$B$130:$F$130,0),0)*'All Options'!$E$17)*DP-D35*(A35-DP)),$AB$17)*(A35&gt;DP))*$BC$21</f>
        <v>#N/A</v>
      </c>
      <c r="BD35" s="175">
        <f ca="1">IFERROR((MAX(($AB$17+(VLOOKUP($BD$25,'All Options'!$AB$36:$AC$46,2,0)*VLOOKUP('All Options'!$E$22,'Valid Data-GPG'!$B$130:$F$134,MATCH('All Options'!$E$17,'Valid Data-GPG'!$B$130:$F$130,0),0)*'All Options'!$E$17)*(IF(A35&lt;=DP,A35,0))),105%*$AB$17))*(Output!A35&lt;=DP)
+MAX(($AB$17+(VLOOKUP($BD$25,'All Options'!$AB$36:$AC$46,2,0)*VLOOKUP('All Options'!$E$22,'Valid Data-GPG'!$B$130:$F$134,MATCH('All Options'!$E$17,'Valid Data-GPG'!$B$130:$F$130,0),0)*'All Options'!$E$17)*DP-D35*(A35-DP)),$AB$17)*(A35&gt;DP),0)*$BD$21</f>
        <v>0</v>
      </c>
      <c r="BE35" s="66">
        <f>IFERROR((MAX(($AB$17+(VLOOKUP($BE$25,'All Options'!$AB$36:$AC$46,2,0)*VLOOKUP('All Options'!$E$22,'Valid Data-GPG'!$B$130:$F$134,MATCH('All Options'!$E$17,'Valid Data-GPG'!$B$130:$F$130,0),0)*'All Options'!$E$17)*(IF(A35&lt;=DP,A35,0))),105%*$AB$17))*(Output!A35&lt;=DP)
+(MAX($AB$17+(VLOOKUP($BE$25,'All Options'!$AB$36:$AC$46,2,0)*VLOOKUP('All Options'!$E$22,'Valid Data-GPG'!$B$130:$F$134,MATCH('All Options'!$E$17,'Valid Data-GPG'!$B$130:$F$130,0),0)*'All Options'!$E$17)*DP-AB35*(A35-DP),$AB$17)*(MAX(A35&lt;=25,K35&lt;85)))*(A35&gt;DP),0)*$BE$21</f>
        <v>0</v>
      </c>
      <c r="BF35" s="175">
        <f>IFERROR((MAX(($AB$17+(VLOOKUP($BF$25,'All Options'!$AB$36:$AC$46,2,0)*VLOOKUP('All Options'!$E$22,'Valid Data-GPG'!$B$130:$F$134,MATCH('All Options'!$E$17,'Valid Data-GPG'!$B$130:$F$130,0),0)*'All Options'!$E$17)*(IF(A35&lt;=DP,A35,0))),105%*$AB$17))*(Output!A35&lt;=DP)
+(MAX($AB$17+(VLOOKUP($BF$25,'All Options'!$AB$36:$AC$46,2,0)*VLOOKUP('All Options'!$E$22,'Valid Data-GPG'!$B$130:$F$134,MATCH('All Options'!$E$17,'Valid Data-GPG'!$B$130:$F$130,0),0)*'All Options'!$E$17)*DP-AB35*(A35-DP),$AB$17)-SUM($AF$26:AF35)*AG35)*(A35&gt;DP)*AG35,0)*$BF$21</f>
        <v>0</v>
      </c>
      <c r="BG35" s="175">
        <f t="shared" si="23"/>
        <v>0</v>
      </c>
      <c r="BH35" s="182">
        <f t="shared" si="6"/>
        <v>5000000</v>
      </c>
      <c r="BI35" s="175">
        <f t="shared" si="24"/>
        <v>0</v>
      </c>
      <c r="BJ35" s="175">
        <f t="shared" si="25"/>
        <v>0</v>
      </c>
      <c r="BK35" s="175">
        <f t="shared" si="26"/>
        <v>0</v>
      </c>
      <c r="BL35" s="175">
        <f t="shared" si="27"/>
        <v>0</v>
      </c>
      <c r="BM35" s="175">
        <f t="shared" si="28"/>
        <v>0</v>
      </c>
      <c r="BN35" s="175">
        <f t="shared" si="29"/>
        <v>0</v>
      </c>
      <c r="BO35" s="182">
        <f t="shared" si="7"/>
        <v>0</v>
      </c>
      <c r="BP35" s="182">
        <f t="shared" si="8"/>
        <v>0</v>
      </c>
      <c r="BQ35" s="182">
        <f>MAX($AB$17-SUM($AF$26:AF35),0)*$BQ$21</f>
        <v>0</v>
      </c>
      <c r="BS35" s="175">
        <f t="shared" si="9"/>
        <v>1</v>
      </c>
      <c r="BT35" s="175">
        <f>IFERROR(IF(A35&lt;=1,0,VLOOKUP(DP,'Valid Data-GPG'!$A$116:$J$122,MATCH(Output!A35,'Valid Data-GPG'!$A$116:$J$116,0),FALSE)*SUM($B$26:C35))*(A35&lt;=DP),0)*$BT$21</f>
        <v>0</v>
      </c>
      <c r="BU35" s="175">
        <f>IFERROR(IF(A35&lt;=1,0,VLOOKUP(DP,'Valid Data-GPG'!$A$116:$J$122,MATCH(Output!A35,'Valid Data-GPG'!$A$116:$J$116,0),FALSE)*SUM($B$26:C35))*(A35&lt;=DP),0)*$BU$21</f>
        <v>0</v>
      </c>
      <c r="BV35" s="175">
        <f t="shared" si="10"/>
        <v>0</v>
      </c>
      <c r="BW35" s="175">
        <f t="shared" si="11"/>
        <v>0</v>
      </c>
      <c r="BX35" s="175">
        <f t="shared" si="12"/>
        <v>0</v>
      </c>
      <c r="BY35" s="175">
        <f t="shared" si="13"/>
        <v>0</v>
      </c>
      <c r="BZ35" s="175">
        <f t="shared" si="14"/>
        <v>0</v>
      </c>
      <c r="CA35" s="175">
        <f>(INDEX('SV calc_ignore'!$J$10:$J$1341,12*Output!A35-0))*BS35</f>
        <v>0</v>
      </c>
      <c r="CB35" s="175">
        <f t="shared" si="30"/>
        <v>0</v>
      </c>
      <c r="CC35" s="175">
        <f>(INDEX('SV calc_ignore'!$J$10:$J$1341,12*Output!A35-0))*BS35</f>
        <v>0</v>
      </c>
      <c r="CD35" s="175">
        <f t="shared" si="31"/>
        <v>0</v>
      </c>
      <c r="CE35" s="66">
        <f>(INDEX('SV calc_ignore'!$J$10:$J$1341,12*Output!A35-0))*($CE$21)</f>
        <v>0</v>
      </c>
      <c r="CF35" s="175">
        <f t="shared" si="32"/>
        <v>0</v>
      </c>
      <c r="CG35" s="175">
        <f>(INDEX('SV calc_ignore'!$J$10:$J$1341,12*Output!A35-0))*($CG$21)*(A35&gt;1)</f>
        <v>0</v>
      </c>
      <c r="CH35" s="175">
        <f>(INDEX('SV calc_ignore'!$J$10:$J$1341,12*Output!A35-0))*($CH$21)*(A35&gt;1)</f>
        <v>0</v>
      </c>
      <c r="CI35" s="175"/>
      <c r="CJ35" s="66">
        <f>(INDEX('SV calc_ignore'!$J$10:$J$1341,12*Output!A35-0))*($CJ$21)*(A35&gt;1)</f>
        <v>0</v>
      </c>
      <c r="CK35" s="66">
        <f>(INDEX('SV calc_ignore'!$Q$10:$Q$1341,12*Output!A35-0))*(AND(A35&gt;1,R35&lt;20))*($CK$21)</f>
        <v>0</v>
      </c>
      <c r="CL35" s="66">
        <f t="shared" si="33"/>
        <v>0</v>
      </c>
      <c r="CM35" s="175">
        <f>((INDEX('SV calc_ignore'!$J$10:$J$1341,12*Output!A35-0))+(INDEX('SV calc_ignore'!$O$10:$O$1341,12*Output!A35-0))*(A35&lt;'SV calc_ignore'!$Q$5))*(A35&gt;1)*($CM$21)</f>
        <v>0</v>
      </c>
      <c r="CN35" s="175">
        <v>0</v>
      </c>
      <c r="CO35" s="175">
        <f>(INDEX('SV calc_ignore'!$J$10:$J$1341,12*Output!A35-0))*(A35&gt;1)*($CO$21)</f>
        <v>0</v>
      </c>
      <c r="CP35" s="175">
        <v>0</v>
      </c>
      <c r="CQ35" s="175">
        <v>0</v>
      </c>
      <c r="CR35" s="175">
        <v>0</v>
      </c>
      <c r="CS35" s="175">
        <v>0</v>
      </c>
      <c r="CT35" s="175">
        <v>0</v>
      </c>
      <c r="CU35" s="175">
        <v>0</v>
      </c>
      <c r="CV35" s="175">
        <f>(INDEX('SV calc_ignore'!$J$10:$J$1341,12*Output!A35-0))*(A35&gt;1)*($CV$21)</f>
        <v>0</v>
      </c>
      <c r="CW35" s="66">
        <f>((INDEX('SV calc_ignore'!$J$10:$J$1341,12*Output!A35-0))+(INDEX('SV calc_ignore'!$O$10:$O$1351,12*Output!A35-0))*(A35&lt;'SV calc_ignore'!$Q$5))*(A35&gt;1)*($CW$21)</f>
        <v>0</v>
      </c>
      <c r="CX35" s="175">
        <f>(INDEX('SV calc_ignore'!$J$10:$J$1341,12*Output!A35-0))*(A35&gt;1)*($CX$21)</f>
        <v>0</v>
      </c>
      <c r="CY35" s="175">
        <f>(INDEX('SV calc_ignore'!$Q$10:$Q$1341,12*Output!A35-0))*(AND(A35&gt;1,R35&lt;20))*($CY$21)</f>
        <v>0</v>
      </c>
      <c r="CZ35" s="175">
        <f t="shared" si="34"/>
        <v>0</v>
      </c>
      <c r="DE35" s="43">
        <f>IF($DE$23,0,VLOOKUP(IF(A35&lt;=DP,DJ35,DI35),SSV!$B$6:$C$116,2,FALSE)*VLOOKUP(AnnuityOption,'All Options'!$AB$36:$AC$47,2,FALSE)*VLOOKUP('All Options'!$E$22,'Valid Data-GPG'!$B$130:$F$134,MATCH('All Options'!$E$17,'Valid Data-GPG'!$B$130:$F$130,0),0)*'All Options'!$E$17)*(IF(AND(Select="Deferred Annuity",AnnuityOption="Life Annuity"),A35&lt;=DP,1))</f>
        <v>2752320.2654185942</v>
      </c>
      <c r="DF35" s="43">
        <f>IF($DF$23,0,IF($DQ$25,DQ35,IF($DR$25,DR35,VLOOKUP(IF(A35&lt;=DP,DJ35,DI35),SSV!$G$6:$H$116,2,FALSE)*SUM($B$27:B35))))</f>
        <v>1614096.4999999998</v>
      </c>
      <c r="DG35" s="43" t="e">
        <f>IF(A35&lt;=DP,VLOOKUP(DP-A34,SSV!$T$6:$U$15,2,FALSE),1)</f>
        <v>#N/A</v>
      </c>
      <c r="DH35" s="282">
        <f t="shared" si="15"/>
        <v>4366416.7654185938</v>
      </c>
      <c r="DI35" s="43">
        <f>IF($DM$26,MIN(Age,'All Options'!$E$21)+A34,IF($DN$26,(Age+A34)-Age+60,IF($DO$26,(Age+A34)-Age+55,Age+A34)))</f>
        <v>68</v>
      </c>
      <c r="DJ35" s="279">
        <f>IF($DM$26,MIN(Age+A35,'All Options'!$E$21+A35),IF($DN$26,(Age+A35)-(Age+$A$27)+60,IF($DO$26,(Age+A35)-(Age+$A$27)+55,Age+A35)))</f>
        <v>69</v>
      </c>
      <c r="DK35" s="279"/>
      <c r="DL35" s="279"/>
      <c r="DP35" s="43">
        <f t="shared" si="35"/>
        <v>0</v>
      </c>
      <c r="DQ35" s="43">
        <f>IFERROR(VLOOKUP(IF(A35&lt;=DP,DJ35,DI35),SSV!$K$6:$L$91,2,FALSE)*SUM($B$27:B35),0)*($DQ$25)</f>
        <v>0</v>
      </c>
      <c r="DR35" s="43">
        <f>IFERROR(VLOOKUP(IF(A35&lt;=DP,DJ35,DI35),SSV!$O$6:$P$95,2,FALSE)*SUM($B$27:B35),0)*($DR$25)</f>
        <v>0</v>
      </c>
      <c r="DU35" s="175">
        <f t="shared" si="16"/>
        <v>1</v>
      </c>
    </row>
    <row r="36" spans="1:125" x14ac:dyDescent="0.2">
      <c r="A36" s="146">
        <f t="shared" si="17"/>
        <v>10</v>
      </c>
      <c r="B36" s="670">
        <f>IF(PremiumType="Regular Premium",'All Options'!$E$18*'All Options'!$E$22*(AND(Output!A36&lt;=PPT,A36&gt;=1)),'All Options'!$E$18*(A36=1))</f>
        <v>0</v>
      </c>
      <c r="C36" s="671"/>
      <c r="D36" s="103" t="e">
        <f>((VLOOKUP(CONCATENATE($D$14,$D$15),'All Options'!$AB$36:$AC$47,4,0)*VLOOKUP('All Options'!$E$22,'Valid Data-GPG'!$B$130:$F$134,MATCH('All Options'!$E$17,'Valid Data-GPG'!$B$130:$F$130,0),0)*'All Options'!$E$17)*IF(Select="Deferred Annuity",A36&gt;DP,1)+AE36+AF36*AG36*$AG$21)*(A36&gt;0)</f>
        <v>#N/A</v>
      </c>
      <c r="E36" s="103">
        <v>0</v>
      </c>
      <c r="F36" s="103" t="e">
        <f t="shared" si="18"/>
        <v>#N/A</v>
      </c>
      <c r="G36" s="103">
        <f t="shared" si="2"/>
        <v>0</v>
      </c>
      <c r="H36" s="285">
        <f t="shared" si="19"/>
        <v>4377795.3032993451</v>
      </c>
      <c r="I36" s="103">
        <f t="shared" si="20"/>
        <v>4377795.3032993451</v>
      </c>
      <c r="J36" s="101"/>
      <c r="K36" s="175">
        <f t="shared" si="21"/>
        <v>69</v>
      </c>
      <c r="L36" s="175"/>
      <c r="M36" s="175"/>
      <c r="N36" s="175"/>
      <c r="O36" s="175"/>
      <c r="P36" s="175"/>
      <c r="Q36" s="175"/>
      <c r="R36" s="175">
        <f t="shared" si="22"/>
        <v>0</v>
      </c>
      <c r="U36" s="162" t="e">
        <f t="shared" si="36"/>
        <v>#N/A</v>
      </c>
      <c r="AB36" s="175" t="e">
        <f>(VLOOKUP(CONCATENATE($D$14,$D$15),'All Options'!$AB$36:$AC$47,4,0)*VLOOKUP('All Options'!$E$22,'Valid Data-GPG'!$B$130:$F$134,MATCH('All Options'!$E$17,'Valid Data-GPG'!$B$130:$F$130,0),0)*'All Options'!$E$17)*IF(Select="Deferred Annuity",A36&gt;DP,1)*(A36&gt;0)</f>
        <v>#N/A</v>
      </c>
      <c r="AC36" s="175">
        <f t="shared" si="3"/>
        <v>0</v>
      </c>
      <c r="AD36" s="175">
        <f>SUM($AC$26:AC36)</f>
        <v>0</v>
      </c>
      <c r="AE36" s="175">
        <f t="shared" si="4"/>
        <v>0</v>
      </c>
      <c r="AF36" s="175">
        <f t="shared" si="5"/>
        <v>0</v>
      </c>
      <c r="AG36" s="175" t="b">
        <f>(SUM($AF$26:AF36)&lt;=$AB$17)</f>
        <v>1</v>
      </c>
      <c r="AY36" s="175"/>
      <c r="AZ36" s="66">
        <f>((MAX((SUM($B$26:C36)+(VLOOKUP($AZ$25,'All Options'!$AB$36:$AC$46,2,0)*VLOOKUP('All Options'!$E$22,'Valid Data-GPG'!$B$130:$F$134,MATCH('All Options'!$E$17,'Valid Data-GPG'!$B$130:$F$130,0),0)*'All Options'!$E$17)*(IF(A36&lt;=DP,A36,0))),105%*SUM($B$26:C36)))*(AND(A36&lt;&gt;0,Output!A36&lt;=DP))+(0)*(A36&gt;DP))*$AZ$21</f>
        <v>0</v>
      </c>
      <c r="BA36" s="175" t="e">
        <f>((MAX((SUM($B$26:C36)+(VLOOKUP($BA$25,'All Options'!$AB$36:$AC$46,2,0)*VLOOKUP('All Options'!$E$22,'Valid Data-GPG'!$B$130:$F$134,MATCH('All Options'!$E$17,'Valid Data-GPG'!$B$130:$F$130,0),0)*'All Options'!$E$17)*(IF(A36&lt;=DP,A36,0))),105%*SUM($B$26:C36)))*(Output!A36&lt;=DP)
+MAX((SUM($B$26:C36)+(VLOOKUP($BA$25,'All Options'!$AB$36:$AC$46,2,0)*VLOOKUP('All Options'!$E$22,'Valid Data-GPG'!$B$130:$F$134,MATCH('All Options'!$E$17,'Valid Data-GPG'!$B$130:$F$130,0),0)*'All Options'!$E$17)*DP-D36*(A36-DP)),SUM($B$26:C36))*(A36&gt;DP))*$BA$21</f>
        <v>#N/A</v>
      </c>
      <c r="BB36" s="175">
        <f>((MAX(($AB$17+(VLOOKUP($BB$25,'All Options'!$AB$36:$AC$46,2,0)*VLOOKUP('All Options'!$E$22,'Valid Data-GPG'!$B$130:$F$134,MATCH('All Options'!$E$17,'Valid Data-GPG'!$B$130:$F$130,0),0)*'All Options'!$E$17)*(IF(A36&lt;=DP,A36,0))),105%*$AB$17))*(Output!A36&lt;=DP)+(0)*(A36&gt;DP))*$BB$21</f>
        <v>0</v>
      </c>
      <c r="BC36" s="175" t="e">
        <f>((MAX(($AB$17+(VLOOKUP($BC$25,'All Options'!$AB$36:$AC$46,2,0)*VLOOKUP('All Options'!$E$22,'Valid Data-GPG'!$B$130:$F$134,MATCH('All Options'!$E$17,'Valid Data-GPG'!$B$130:$F$130,0),0)*'All Options'!$E$17)*(IF(A36&lt;=DP,A36,0))),105%*$AB$17))*(Output!A36&lt;=DP)+
MAX(($AB$17+(VLOOKUP($BC$25,'All Options'!$AB$36:$AC$46,2,0)*VLOOKUP('All Options'!$E$22,'Valid Data-GPG'!$B$130:$F$134,MATCH('All Options'!$E$17,'Valid Data-GPG'!$B$130:$F$130,0),0)*'All Options'!$E$17)*DP-D36*(A36-DP)),$AB$17)*(A36&gt;DP))*$BC$21</f>
        <v>#N/A</v>
      </c>
      <c r="BD36" s="175">
        <f ca="1">IFERROR((MAX(($AB$17+(VLOOKUP($BD$25,'All Options'!$AB$36:$AC$46,2,0)*VLOOKUP('All Options'!$E$22,'Valid Data-GPG'!$B$130:$F$134,MATCH('All Options'!$E$17,'Valid Data-GPG'!$B$130:$F$130,0),0)*'All Options'!$E$17)*(IF(A36&lt;=DP,A36,0))),105%*$AB$17))*(Output!A36&lt;=DP)
+MAX(($AB$17+(VLOOKUP($BD$25,'All Options'!$AB$36:$AC$46,2,0)*VLOOKUP('All Options'!$E$22,'Valid Data-GPG'!$B$130:$F$134,MATCH('All Options'!$E$17,'Valid Data-GPG'!$B$130:$F$130,0),0)*'All Options'!$E$17)*DP-D36*(A36-DP)),$AB$17)*(A36&gt;DP),0)*$BD$21</f>
        <v>0</v>
      </c>
      <c r="BE36" s="66">
        <f>IFERROR((MAX(($AB$17+(VLOOKUP($BE$25,'All Options'!$AB$36:$AC$46,2,0)*VLOOKUP('All Options'!$E$22,'Valid Data-GPG'!$B$130:$F$134,MATCH('All Options'!$E$17,'Valid Data-GPG'!$B$130:$F$130,0),0)*'All Options'!$E$17)*(IF(A36&lt;=DP,A36,0))),105%*$AB$17))*(Output!A36&lt;=DP)
+(MAX($AB$17+(VLOOKUP($BE$25,'All Options'!$AB$36:$AC$46,2,0)*VLOOKUP('All Options'!$E$22,'Valid Data-GPG'!$B$130:$F$134,MATCH('All Options'!$E$17,'Valid Data-GPG'!$B$130:$F$130,0),0)*'All Options'!$E$17)*DP-AB36*(A36-DP),$AB$17)*(MAX(A36&lt;=25,K36&lt;85)))*(A36&gt;DP),0)*$BE$21</f>
        <v>0</v>
      </c>
      <c r="BF36" s="175">
        <f>IFERROR((MAX(($AB$17+(VLOOKUP($BF$25,'All Options'!$AB$36:$AC$46,2,0)*VLOOKUP('All Options'!$E$22,'Valid Data-GPG'!$B$130:$F$134,MATCH('All Options'!$E$17,'Valid Data-GPG'!$B$130:$F$130,0),0)*'All Options'!$E$17)*(IF(A36&lt;=DP,A36,0))),105%*$AB$17))*(Output!A36&lt;=DP)
+(MAX($AB$17+(VLOOKUP($BF$25,'All Options'!$AB$36:$AC$46,2,0)*VLOOKUP('All Options'!$E$22,'Valid Data-GPG'!$B$130:$F$134,MATCH('All Options'!$E$17,'Valid Data-GPG'!$B$130:$F$130,0),0)*'All Options'!$E$17)*DP-AB36*(A36-DP),$AB$17)-SUM($AF$26:AF36)*AG36)*(A36&gt;DP)*AG36,0)*$BF$21</f>
        <v>0</v>
      </c>
      <c r="BG36" s="175">
        <f t="shared" si="23"/>
        <v>0</v>
      </c>
      <c r="BH36" s="182">
        <f t="shared" si="6"/>
        <v>5000000</v>
      </c>
      <c r="BI36" s="175">
        <f t="shared" si="24"/>
        <v>0</v>
      </c>
      <c r="BJ36" s="175">
        <f t="shared" si="25"/>
        <v>0</v>
      </c>
      <c r="BK36" s="175">
        <f t="shared" si="26"/>
        <v>0</v>
      </c>
      <c r="BL36" s="175">
        <f t="shared" si="27"/>
        <v>0</v>
      </c>
      <c r="BM36" s="175">
        <f t="shared" si="28"/>
        <v>0</v>
      </c>
      <c r="BN36" s="175">
        <f t="shared" si="29"/>
        <v>0</v>
      </c>
      <c r="BO36" s="182">
        <f t="shared" si="7"/>
        <v>0</v>
      </c>
      <c r="BP36" s="182">
        <f t="shared" si="8"/>
        <v>0</v>
      </c>
      <c r="BQ36" s="182">
        <f>MAX($AB$17-SUM($AF$26:AF36),0)*$BQ$21</f>
        <v>0</v>
      </c>
      <c r="BS36" s="175">
        <f t="shared" si="9"/>
        <v>1</v>
      </c>
      <c r="BT36" s="175">
        <f>IFERROR(IF(A36&lt;=1,0,VLOOKUP(DP,'Valid Data-GPG'!$A$116:$J$122,MATCH(Output!A36,'Valid Data-GPG'!$A$116:$J$116,0),FALSE)*SUM($B$26:C36))*(A36&lt;=DP),0)*$BT$21</f>
        <v>0</v>
      </c>
      <c r="BU36" s="175">
        <f>IFERROR(IF(A36&lt;=1,0,VLOOKUP(DP,'Valid Data-GPG'!$A$116:$J$122,MATCH(Output!A36,'Valid Data-GPG'!$A$116:$J$116,0),FALSE)*SUM($B$26:C36))*(A36&lt;=DP),0)*$BU$21</f>
        <v>0</v>
      </c>
      <c r="BV36" s="175">
        <f t="shared" si="10"/>
        <v>0</v>
      </c>
      <c r="BW36" s="175">
        <f t="shared" si="11"/>
        <v>0</v>
      </c>
      <c r="BX36" s="175">
        <f t="shared" si="12"/>
        <v>0</v>
      </c>
      <c r="BY36" s="175">
        <f t="shared" si="13"/>
        <v>0</v>
      </c>
      <c r="BZ36" s="175">
        <f t="shared" si="14"/>
        <v>0</v>
      </c>
      <c r="CA36" s="175">
        <f>(INDEX('SV calc_ignore'!$J$10:$J$1341,12*Output!A36-0))*BS36</f>
        <v>0</v>
      </c>
      <c r="CB36" s="175">
        <f t="shared" si="30"/>
        <v>0</v>
      </c>
      <c r="CC36" s="175">
        <f>(INDEX('SV calc_ignore'!$J$10:$J$1341,12*Output!A36-0))*BS36</f>
        <v>0</v>
      </c>
      <c r="CD36" s="175">
        <f t="shared" si="31"/>
        <v>0</v>
      </c>
      <c r="CE36" s="66">
        <f>(INDEX('SV calc_ignore'!$J$10:$J$1341,12*Output!A36-0))*($CE$21)</f>
        <v>0</v>
      </c>
      <c r="CF36" s="175">
        <f t="shared" si="32"/>
        <v>0</v>
      </c>
      <c r="CG36" s="175">
        <f>(INDEX('SV calc_ignore'!$J$10:$J$1341,12*Output!A36-0))*($CG$21)*(A36&gt;1)</f>
        <v>0</v>
      </c>
      <c r="CH36" s="175">
        <f>(INDEX('SV calc_ignore'!$J$10:$J$1341,12*Output!A36-0))*($CH$21)*(A36&gt;1)</f>
        <v>0</v>
      </c>
      <c r="CI36" s="175"/>
      <c r="CJ36" s="66">
        <f>(INDEX('SV calc_ignore'!$J$10:$J$1341,12*Output!A36-0))*($CJ$21)*(A36&gt;1)</f>
        <v>0</v>
      </c>
      <c r="CK36" s="66">
        <f>(INDEX('SV calc_ignore'!$Q$10:$Q$1341,12*Output!A36-0))*(AND(A36&gt;1,R36&lt;20))*($CK$21)</f>
        <v>0</v>
      </c>
      <c r="CL36" s="66">
        <f t="shared" si="33"/>
        <v>0</v>
      </c>
      <c r="CM36" s="175">
        <f>((INDEX('SV calc_ignore'!$J$10:$J$1341,12*Output!A36-0))+(INDEX('SV calc_ignore'!$O$10:$O$1341,12*Output!A36-0))*(A36&lt;'SV calc_ignore'!$Q$5))*(A36&gt;1)*($CM$21)</f>
        <v>0</v>
      </c>
      <c r="CN36" s="175">
        <v>0</v>
      </c>
      <c r="CO36" s="175">
        <f>(INDEX('SV calc_ignore'!$J$10:$J$1341,12*Output!A36-0))*(A36&gt;1)*($CO$21)</f>
        <v>0</v>
      </c>
      <c r="CP36" s="175">
        <v>0</v>
      </c>
      <c r="CQ36" s="175">
        <v>0</v>
      </c>
      <c r="CR36" s="175">
        <v>0</v>
      </c>
      <c r="CS36" s="175">
        <v>0</v>
      </c>
      <c r="CT36" s="175">
        <v>0</v>
      </c>
      <c r="CU36" s="175">
        <v>0</v>
      </c>
      <c r="CV36" s="175">
        <f>(INDEX('SV calc_ignore'!$J$10:$J$1341,12*Output!A36-0))*(A36&gt;1)*($CV$21)</f>
        <v>0</v>
      </c>
      <c r="CW36" s="66">
        <f>((INDEX('SV calc_ignore'!$J$10:$J$1341,12*Output!A36-0))+(INDEX('SV calc_ignore'!$O$10:$O$1351,12*Output!A36-0))*(A36&lt;'SV calc_ignore'!$Q$5))*(A36&gt;1)*($CW$21)</f>
        <v>0</v>
      </c>
      <c r="CX36" s="175">
        <f>(INDEX('SV calc_ignore'!$J$10:$J$1341,12*Output!A36-0))*(A36&gt;1)*($CX$21)</f>
        <v>0</v>
      </c>
      <c r="CY36" s="175">
        <f>(INDEX('SV calc_ignore'!$Q$10:$Q$1341,12*Output!A36-0))*(AND(A36&gt;1,R36&lt;20))*($CY$21)</f>
        <v>0</v>
      </c>
      <c r="CZ36" s="175">
        <f t="shared" si="34"/>
        <v>0</v>
      </c>
      <c r="DE36" s="43">
        <f>IF($DE$23,0,VLOOKUP(IF(A36&lt;=DP,DJ36,DI36),SSV!$B$6:$C$116,2,FALSE)*VLOOKUP(AnnuityOption,'All Options'!$AB$36:$AC$47,2,FALSE)*VLOOKUP('All Options'!$E$22,'Valid Data-GPG'!$B$130:$F$134,MATCH('All Options'!$E$17,'Valid Data-GPG'!$B$130:$F$130,0),0)*'All Options'!$E$17)*(IF(AND(Select="Deferred Annuity",AnnuityOption="Life Annuity"),A36&lt;=DP,1))</f>
        <v>2683182.3032993455</v>
      </c>
      <c r="DF36" s="43">
        <f>IF($DF$23,0,IF($DQ$25,DQ36,IF($DR$25,DR36,VLOOKUP(IF(A36&lt;=DP,DJ36,DI36),SSV!$G$6:$H$116,2,FALSE)*SUM($B$27:B36))))</f>
        <v>1694613</v>
      </c>
      <c r="DG36" s="43" t="e">
        <f>IF(A36&lt;=DP,VLOOKUP(DP-A35,SSV!$T$6:$U$15,2,FALSE),1)</f>
        <v>#N/A</v>
      </c>
      <c r="DH36" s="282">
        <f t="shared" si="15"/>
        <v>4377795.3032993451</v>
      </c>
      <c r="DI36" s="43">
        <f>IF($DM$26,MIN(Age,'All Options'!$E$21)+A35,IF($DN$26,(Age+A35)-Age+60,IF($DO$26,(Age+A35)-Age+55,Age+A35)))</f>
        <v>69</v>
      </c>
      <c r="DJ36" s="279">
        <f>IF($DM$26,MIN(Age+A36,'All Options'!$E$21+A36),IF($DN$26,(Age+A36)-(Age+$A$27)+60,IF($DO$26,(Age+A36)-(Age+$A$27)+55,Age+A36)))</f>
        <v>70</v>
      </c>
      <c r="DK36" s="279"/>
      <c r="DL36" s="279"/>
      <c r="DP36" s="43">
        <f t="shared" si="35"/>
        <v>0</v>
      </c>
      <c r="DQ36" s="43">
        <f>IFERROR(VLOOKUP(IF(A36&lt;=DP,DJ36,DI36),SSV!$K$6:$L$91,2,FALSE)*SUM($B$27:B36),0)*($DQ$25)</f>
        <v>0</v>
      </c>
      <c r="DR36" s="43">
        <f>IFERROR(VLOOKUP(IF(A36&lt;=DP,DJ36,DI36),SSV!$O$6:$P$95,2,FALSE)*SUM($B$27:B36),0)*($DR$25)</f>
        <v>0</v>
      </c>
      <c r="DU36" s="175">
        <f t="shared" si="16"/>
        <v>1</v>
      </c>
    </row>
    <row r="37" spans="1:125" x14ac:dyDescent="0.2">
      <c r="A37" s="146">
        <f t="shared" si="17"/>
        <v>11</v>
      </c>
      <c r="B37" s="670">
        <f>IF(PremiumType="Regular Premium",'All Options'!$E$18*'All Options'!$E$22*(AND(Output!A37&lt;=PPT,A37&gt;=1)),'All Options'!$E$18*(A37=1))</f>
        <v>0</v>
      </c>
      <c r="C37" s="671"/>
      <c r="D37" s="103" t="e">
        <f>((VLOOKUP(CONCATENATE($D$14,$D$15),'All Options'!$AB$36:$AC$47,4,0)*VLOOKUP('All Options'!$E$22,'Valid Data-GPG'!$B$130:$F$134,MATCH('All Options'!$E$17,'Valid Data-GPG'!$B$130:$F$130,0),0)*'All Options'!$E$17)*IF(Select="Deferred Annuity",A37&gt;DP,1)+AE37+AF37*AG37*$AG$21)*(A37&gt;0)</f>
        <v>#N/A</v>
      </c>
      <c r="E37" s="103">
        <v>0</v>
      </c>
      <c r="F37" s="103" t="e">
        <f t="shared" si="18"/>
        <v>#N/A</v>
      </c>
      <c r="G37" s="103">
        <f t="shared" si="2"/>
        <v>0</v>
      </c>
      <c r="H37" s="285">
        <f t="shared" si="19"/>
        <v>4389326.14251858</v>
      </c>
      <c r="I37" s="103">
        <f t="shared" si="20"/>
        <v>4389326.14251858</v>
      </c>
      <c r="J37" s="101"/>
      <c r="K37" s="175">
        <f t="shared" si="21"/>
        <v>70</v>
      </c>
      <c r="L37" s="175"/>
      <c r="M37" s="175"/>
      <c r="N37" s="175"/>
      <c r="O37" s="175"/>
      <c r="P37" s="175"/>
      <c r="Q37" s="175"/>
      <c r="R37" s="175">
        <f t="shared" si="22"/>
        <v>0</v>
      </c>
      <c r="S37" s="162"/>
      <c r="U37" s="162" t="e">
        <f t="shared" si="36"/>
        <v>#N/A</v>
      </c>
      <c r="AB37" s="175" t="e">
        <f>(VLOOKUP(CONCATENATE($D$14,$D$15),'All Options'!$AB$36:$AC$47,4,0)*VLOOKUP('All Options'!$E$22,'Valid Data-GPG'!$B$130:$F$134,MATCH('All Options'!$E$17,'Valid Data-GPG'!$B$130:$F$130,0),0)*'All Options'!$E$17)*IF(Select="Deferred Annuity",A37&gt;DP,1)*(A37&gt;0)</f>
        <v>#N/A</v>
      </c>
      <c r="AC37" s="175">
        <f t="shared" si="3"/>
        <v>0</v>
      </c>
      <c r="AD37" s="175">
        <f>SUM($AC$26:AC37)</f>
        <v>0</v>
      </c>
      <c r="AE37" s="175">
        <f t="shared" si="4"/>
        <v>0</v>
      </c>
      <c r="AF37" s="175">
        <f t="shared" si="5"/>
        <v>0</v>
      </c>
      <c r="AG37" s="175" t="b">
        <f>(SUM($AF$26:AF37)&lt;=$AB$17)</f>
        <v>1</v>
      </c>
      <c r="AY37" s="175"/>
      <c r="AZ37" s="66">
        <f>((MAX((SUM($B$26:C37)+(VLOOKUP($AZ$25,'All Options'!$AB$36:$AC$46,2,0)*VLOOKUP('All Options'!$E$22,'Valid Data-GPG'!$B$130:$F$134,MATCH('All Options'!$E$17,'Valid Data-GPG'!$B$130:$F$130,0),0)*'All Options'!$E$17)*(IF(A37&lt;=DP,A37,0))),105%*SUM($B$26:C37)))*(AND(A37&lt;&gt;0,Output!A37&lt;=DP))+(0)*(A37&gt;DP))*$AZ$21</f>
        <v>0</v>
      </c>
      <c r="BA37" s="175" t="e">
        <f>((MAX((SUM($B$26:C37)+(VLOOKUP($BA$25,'All Options'!$AB$36:$AC$46,2,0)*VLOOKUP('All Options'!$E$22,'Valid Data-GPG'!$B$130:$F$134,MATCH('All Options'!$E$17,'Valid Data-GPG'!$B$130:$F$130,0),0)*'All Options'!$E$17)*(IF(A37&lt;=DP,A37,0))),105%*SUM($B$26:C37)))*(Output!A37&lt;=DP)
+MAX((SUM($B$26:C37)+(VLOOKUP($BA$25,'All Options'!$AB$36:$AC$46,2,0)*VLOOKUP('All Options'!$E$22,'Valid Data-GPG'!$B$130:$F$134,MATCH('All Options'!$E$17,'Valid Data-GPG'!$B$130:$F$130,0),0)*'All Options'!$E$17)*DP-D37*(A37-DP)),SUM($B$26:C37))*(A37&gt;DP))*$BA$21</f>
        <v>#N/A</v>
      </c>
      <c r="BB37" s="175">
        <f>((MAX(($AB$17+(VLOOKUP($BB$25,'All Options'!$AB$36:$AC$46,2,0)*VLOOKUP('All Options'!$E$22,'Valid Data-GPG'!$B$130:$F$134,MATCH('All Options'!$E$17,'Valid Data-GPG'!$B$130:$F$130,0),0)*'All Options'!$E$17)*(IF(A37&lt;=DP,A37,0))),105%*$AB$17))*(Output!A37&lt;=DP)+(0)*(A37&gt;DP))*$BB$21</f>
        <v>0</v>
      </c>
      <c r="BC37" s="175" t="e">
        <f>((MAX(($AB$17+(VLOOKUP($BC$25,'All Options'!$AB$36:$AC$46,2,0)*VLOOKUP('All Options'!$E$22,'Valid Data-GPG'!$B$130:$F$134,MATCH('All Options'!$E$17,'Valid Data-GPG'!$B$130:$F$130,0),0)*'All Options'!$E$17)*(IF(A37&lt;=DP,A37,0))),105%*$AB$17))*(Output!A37&lt;=DP)+
MAX(($AB$17+(VLOOKUP($BC$25,'All Options'!$AB$36:$AC$46,2,0)*VLOOKUP('All Options'!$E$22,'Valid Data-GPG'!$B$130:$F$134,MATCH('All Options'!$E$17,'Valid Data-GPG'!$B$130:$F$130,0),0)*'All Options'!$E$17)*DP-D37*(A37-DP)),$AB$17)*(A37&gt;DP))*$BC$21</f>
        <v>#N/A</v>
      </c>
      <c r="BD37" s="175">
        <f ca="1">IFERROR((MAX(($AB$17+(VLOOKUP($BD$25,'All Options'!$AB$36:$AC$46,2,0)*VLOOKUP('All Options'!$E$22,'Valid Data-GPG'!$B$130:$F$134,MATCH('All Options'!$E$17,'Valid Data-GPG'!$B$130:$F$130,0),0)*'All Options'!$E$17)*(IF(A37&lt;=DP,A37,0))),105%*$AB$17))*(Output!A37&lt;=DP)
+MAX(($AB$17+(VLOOKUP($BD$25,'All Options'!$AB$36:$AC$46,2,0)*VLOOKUP('All Options'!$E$22,'Valid Data-GPG'!$B$130:$F$134,MATCH('All Options'!$E$17,'Valid Data-GPG'!$B$130:$F$130,0),0)*'All Options'!$E$17)*DP-D37*(A37-DP)),$AB$17)*(A37&gt;DP),0)*$BD$21</f>
        <v>0</v>
      </c>
      <c r="BE37" s="66">
        <f>IFERROR((MAX(($AB$17+(VLOOKUP($BE$25,'All Options'!$AB$36:$AC$46,2,0)*VLOOKUP('All Options'!$E$22,'Valid Data-GPG'!$B$130:$F$134,MATCH('All Options'!$E$17,'Valid Data-GPG'!$B$130:$F$130,0),0)*'All Options'!$E$17)*(IF(A37&lt;=DP,A37,0))),105%*$AB$17))*(Output!A37&lt;=DP)
+(MAX($AB$17+(VLOOKUP($BE$25,'All Options'!$AB$36:$AC$46,2,0)*VLOOKUP('All Options'!$E$22,'Valid Data-GPG'!$B$130:$F$134,MATCH('All Options'!$E$17,'Valid Data-GPG'!$B$130:$F$130,0),0)*'All Options'!$E$17)*DP-AB37*(A37-DP),$AB$17)*(MAX(A37&lt;=25,K37&lt;85)))*(A37&gt;DP),0)*$BE$21</f>
        <v>0</v>
      </c>
      <c r="BF37" s="175">
        <f>IFERROR((MAX(($AB$17+(VLOOKUP($BF$25,'All Options'!$AB$36:$AC$46,2,0)*VLOOKUP('All Options'!$E$22,'Valid Data-GPG'!$B$130:$F$134,MATCH('All Options'!$E$17,'Valid Data-GPG'!$B$130:$F$130,0),0)*'All Options'!$E$17)*(IF(A37&lt;=DP,A37,0))),105%*$AB$17))*(Output!A37&lt;=DP)
+(MAX($AB$17+(VLOOKUP($BF$25,'All Options'!$AB$36:$AC$46,2,0)*VLOOKUP('All Options'!$E$22,'Valid Data-GPG'!$B$130:$F$134,MATCH('All Options'!$E$17,'Valid Data-GPG'!$B$130:$F$130,0),0)*'All Options'!$E$17)*DP-AB37*(A37-DP),$AB$17)-SUM($AF$26:AF37)*AG37)*(A37&gt;DP)*AG37,0)*$BF$21</f>
        <v>0</v>
      </c>
      <c r="BG37" s="175">
        <f t="shared" si="23"/>
        <v>0</v>
      </c>
      <c r="BH37" s="182">
        <f t="shared" si="6"/>
        <v>5000000</v>
      </c>
      <c r="BI37" s="175">
        <f t="shared" si="24"/>
        <v>0</v>
      </c>
      <c r="BJ37" s="175">
        <f t="shared" si="25"/>
        <v>0</v>
      </c>
      <c r="BK37" s="175">
        <f t="shared" si="26"/>
        <v>0</v>
      </c>
      <c r="BL37" s="175">
        <f t="shared" si="27"/>
        <v>0</v>
      </c>
      <c r="BM37" s="175">
        <f t="shared" si="28"/>
        <v>0</v>
      </c>
      <c r="BN37" s="175">
        <f t="shared" si="29"/>
        <v>0</v>
      </c>
      <c r="BO37" s="182">
        <f t="shared" si="7"/>
        <v>0</v>
      </c>
      <c r="BP37" s="182">
        <f t="shared" si="8"/>
        <v>0</v>
      </c>
      <c r="BQ37" s="182">
        <f>MAX($AB$17-SUM($AF$26:AF37),0)*$BQ$21</f>
        <v>0</v>
      </c>
      <c r="BS37" s="175">
        <f t="shared" si="9"/>
        <v>1</v>
      </c>
      <c r="BT37" s="175">
        <f>IFERROR(IF(A37&lt;=1,0,VLOOKUP(DP,'Valid Data-GPG'!$A$116:$J$122,MATCH(Output!A37,'Valid Data-GPG'!$A$116:$J$116,0),FALSE)*SUM($B$26:C37))*(A37&lt;=DP),0)*$BT$21</f>
        <v>0</v>
      </c>
      <c r="BU37" s="175">
        <f>IFERROR(IF(A37&lt;=1,0,VLOOKUP(DP,'Valid Data-GPG'!$A$116:$J$122,MATCH(Output!A37,'Valid Data-GPG'!$A$116:$J$116,0),FALSE)*SUM($B$26:C37))*(A37&lt;=DP),0)*$BU$21</f>
        <v>0</v>
      </c>
      <c r="BV37" s="175">
        <f t="shared" si="10"/>
        <v>0</v>
      </c>
      <c r="BW37" s="175">
        <f t="shared" si="11"/>
        <v>0</v>
      </c>
      <c r="BX37" s="175">
        <f t="shared" si="12"/>
        <v>0</v>
      </c>
      <c r="BY37" s="175">
        <f t="shared" si="13"/>
        <v>0</v>
      </c>
      <c r="BZ37" s="175">
        <f t="shared" si="14"/>
        <v>0</v>
      </c>
      <c r="CA37" s="175">
        <f>(INDEX('SV calc_ignore'!$J$10:$J$1341,12*Output!A37-0))*BS37</f>
        <v>0</v>
      </c>
      <c r="CB37" s="175">
        <f t="shared" si="30"/>
        <v>0</v>
      </c>
      <c r="CC37" s="175">
        <f>(INDEX('SV calc_ignore'!$J$10:$J$1341,12*Output!A37-0))*BS37</f>
        <v>0</v>
      </c>
      <c r="CD37" s="175">
        <f t="shared" si="31"/>
        <v>0</v>
      </c>
      <c r="CE37" s="66">
        <f>(INDEX('SV calc_ignore'!$J$10:$J$1341,12*Output!A37-0))*($CE$21)</f>
        <v>0</v>
      </c>
      <c r="CF37" s="175">
        <f t="shared" si="32"/>
        <v>0</v>
      </c>
      <c r="CG37" s="175">
        <f>(INDEX('SV calc_ignore'!$J$10:$J$1341,12*Output!A37-0))*($CG$21)*(A37&gt;1)</f>
        <v>0</v>
      </c>
      <c r="CH37" s="175">
        <f>(INDEX('SV calc_ignore'!$J$10:$J$1341,12*Output!A37-0))*($CH$21)*(A37&gt;1)</f>
        <v>0</v>
      </c>
      <c r="CI37" s="175"/>
      <c r="CJ37" s="66">
        <f>(INDEX('SV calc_ignore'!$J$10:$J$1341,12*Output!A37-0))*($CJ$21)*(A37&gt;1)</f>
        <v>0</v>
      </c>
      <c r="CK37" s="66">
        <f>(INDEX('SV calc_ignore'!$Q$10:$Q$1341,12*Output!A37-0))*(AND(A37&gt;1,R37&lt;20))*($CK$21)</f>
        <v>0</v>
      </c>
      <c r="CL37" s="66">
        <f t="shared" si="33"/>
        <v>0</v>
      </c>
      <c r="CM37" s="175">
        <f>((INDEX('SV calc_ignore'!$J$10:$J$1341,12*Output!A37-0))+(INDEX('SV calc_ignore'!$O$10:$O$1341,12*Output!A37-0))*(A37&lt;'SV calc_ignore'!$Q$5))*(A37&gt;1)*($CM$21)</f>
        <v>0</v>
      </c>
      <c r="CN37" s="175">
        <v>0</v>
      </c>
      <c r="CO37" s="175">
        <f>(INDEX('SV calc_ignore'!$J$10:$J$1341,12*Output!A37-0))*(A37&gt;1)*($CO$21)</f>
        <v>0</v>
      </c>
      <c r="CP37" s="175">
        <v>0</v>
      </c>
      <c r="CQ37" s="175">
        <v>0</v>
      </c>
      <c r="CR37" s="175">
        <v>0</v>
      </c>
      <c r="CS37" s="175">
        <v>0</v>
      </c>
      <c r="CT37" s="175">
        <v>0</v>
      </c>
      <c r="CU37" s="175">
        <v>0</v>
      </c>
      <c r="CV37" s="175">
        <f>(INDEX('SV calc_ignore'!$J$10:$J$1341,12*Output!A37-0))*(A37&gt;1)*($CV$21)</f>
        <v>0</v>
      </c>
      <c r="CW37" s="66">
        <f>((INDEX('SV calc_ignore'!$J$10:$J$1341,12*Output!A37-0))+(INDEX('SV calc_ignore'!$O$10:$O$1351,12*Output!A37-0))*(A37&lt;'SV calc_ignore'!$Q$5))*(A37&gt;1)*($CW$21)</f>
        <v>0</v>
      </c>
      <c r="CX37" s="175">
        <f>(INDEX('SV calc_ignore'!$J$10:$J$1341,12*Output!A37-0))*(A37&gt;1)*($CX$21)</f>
        <v>0</v>
      </c>
      <c r="CY37" s="175">
        <f>(INDEX('SV calc_ignore'!$Q$10:$Q$1341,12*Output!A37-0))*(AND(A37&gt;1,R37&lt;20))*($CY$21)</f>
        <v>0</v>
      </c>
      <c r="CZ37" s="175">
        <f t="shared" si="34"/>
        <v>0</v>
      </c>
      <c r="DE37" s="43">
        <f>IF($DE$23,0,VLOOKUP(IF(A37&lt;=DP,DJ37,DI37),SSV!$B$6:$C$116,2,FALSE)*VLOOKUP(AnnuityOption,'All Options'!$AB$36:$AC$47,2,FALSE)*VLOOKUP('All Options'!$E$22,'Valid Data-GPG'!$B$130:$F$134,MATCH('All Options'!$E$17,'Valid Data-GPG'!$B$130:$F$130,0),0)*'All Options'!$E$17)*(IF(AND(Select="Deferred Annuity",AnnuityOption="Life Annuity"),A37&lt;=DP,1))</f>
        <v>2613122.14251858</v>
      </c>
      <c r="DF37" s="43">
        <f>IF($DF$23,0,IF($DQ$25,DQ37,IF($DR$25,DR37,VLOOKUP(IF(A37&lt;=DP,DJ37,DI37),SSV!$G$6:$H$116,2,FALSE)*SUM($B$27:B37))))</f>
        <v>1776204</v>
      </c>
      <c r="DG37" s="43" t="e">
        <f>IF(A37&lt;=DP,VLOOKUP(DP-A36,SSV!$T$6:$U$15,2,FALSE),1)</f>
        <v>#N/A</v>
      </c>
      <c r="DH37" s="282">
        <f t="shared" si="15"/>
        <v>4389326.14251858</v>
      </c>
      <c r="DI37" s="43">
        <f>IF($DM$26,MIN(Age,'All Options'!$E$21)+A36,IF($DN$26,(Age+A36)-Age+60,IF($DO$26,(Age+A36)-Age+55,Age+A36)))</f>
        <v>70</v>
      </c>
      <c r="DJ37" s="279">
        <f>IF($DM$26,MIN(Age+A37,'All Options'!$E$21+A37),IF($DN$26,(Age+A37)-(Age+$A$27)+60,IF($DO$26,(Age+A37)-(Age+$A$27)+55,Age+A37)))</f>
        <v>71</v>
      </c>
      <c r="DK37" s="279"/>
      <c r="DL37" s="279"/>
      <c r="DP37" s="43">
        <f t="shared" si="35"/>
        <v>0</v>
      </c>
      <c r="DQ37" s="43">
        <f>IFERROR(VLOOKUP(IF(A37&lt;=DP,DJ37,DI37),SSV!$K$6:$L$91,2,FALSE)*SUM($B$27:B37),0)*($DQ$25)</f>
        <v>0</v>
      </c>
      <c r="DR37" s="43">
        <f>IFERROR(VLOOKUP(IF(A37&lt;=DP,DJ37,DI37),SSV!$O$6:$P$95,2,FALSE)*SUM($B$27:B37),0)*($DR$25)</f>
        <v>0</v>
      </c>
      <c r="DU37" s="175">
        <f t="shared" si="16"/>
        <v>1</v>
      </c>
    </row>
    <row r="38" spans="1:125" ht="12.75" customHeight="1" x14ac:dyDescent="0.2">
      <c r="A38" s="146">
        <f t="shared" si="17"/>
        <v>12</v>
      </c>
      <c r="B38" s="670">
        <f>IF(PremiumType="Regular Premium",'All Options'!$E$18*'All Options'!$E$22*(AND(Output!A38&lt;=PPT,A38&gt;=1)),'All Options'!$E$18*(A38=1))</f>
        <v>0</v>
      </c>
      <c r="C38" s="671"/>
      <c r="D38" s="103" t="e">
        <f>((VLOOKUP(CONCATENATE($D$14,$D$15),'All Options'!$AB$36:$AC$47,4,0)*VLOOKUP('All Options'!$E$22,'Valid Data-GPG'!$B$130:$F$134,MATCH('All Options'!$E$17,'Valid Data-GPG'!$B$130:$F$130,0),0)*'All Options'!$E$17)*IF(Select="Deferred Annuity",A38&gt;DP,1)+AE38+AF38*AG38*$AG$21)*(A38&gt;0)</f>
        <v>#N/A</v>
      </c>
      <c r="E38" s="103">
        <v>0</v>
      </c>
      <c r="F38" s="103" t="e">
        <f t="shared" si="18"/>
        <v>#N/A</v>
      </c>
      <c r="G38" s="103">
        <f t="shared" si="2"/>
        <v>0</v>
      </c>
      <c r="H38" s="285">
        <f t="shared" si="19"/>
        <v>4400960.5964061636</v>
      </c>
      <c r="I38" s="103">
        <f t="shared" si="20"/>
        <v>4400960.5964061636</v>
      </c>
      <c r="J38" s="101"/>
      <c r="K38" s="175">
        <f t="shared" si="21"/>
        <v>71</v>
      </c>
      <c r="L38" s="175"/>
      <c r="M38" s="175"/>
      <c r="N38" s="175"/>
      <c r="O38" s="175"/>
      <c r="P38" s="175"/>
      <c r="Q38" s="175"/>
      <c r="R38" s="175">
        <f t="shared" si="22"/>
        <v>0</v>
      </c>
      <c r="U38" s="162" t="e">
        <f t="shared" si="36"/>
        <v>#N/A</v>
      </c>
      <c r="AB38" s="175" t="e">
        <f>(VLOOKUP(CONCATENATE($D$14,$D$15),'All Options'!$AB$36:$AC$47,4,0)*VLOOKUP('All Options'!$E$22,'Valid Data-GPG'!$B$130:$F$134,MATCH('All Options'!$E$17,'Valid Data-GPG'!$B$130:$F$130,0),0)*'All Options'!$E$17)*IF(Select="Deferred Annuity",A38&gt;DP,1)*(A38&gt;0)</f>
        <v>#N/A</v>
      </c>
      <c r="AC38" s="175">
        <f t="shared" si="3"/>
        <v>0</v>
      </c>
      <c r="AD38" s="175">
        <f>SUM($AC$26:AC38)</f>
        <v>0</v>
      </c>
      <c r="AE38" s="175">
        <f t="shared" si="4"/>
        <v>0</v>
      </c>
      <c r="AF38" s="175">
        <f t="shared" si="5"/>
        <v>0</v>
      </c>
      <c r="AG38" s="175" t="b">
        <f>(SUM($AF$26:AF38)&lt;=$AB$17)</f>
        <v>1</v>
      </c>
      <c r="AY38" s="175"/>
      <c r="AZ38" s="66">
        <f>((MAX((SUM($B$26:C38)+(VLOOKUP($AZ$25,'All Options'!$AB$36:$AC$46,2,0)*VLOOKUP('All Options'!$E$22,'Valid Data-GPG'!$B$130:$F$134,MATCH('All Options'!$E$17,'Valid Data-GPG'!$B$130:$F$130,0),0)*'All Options'!$E$17)*(IF(A38&lt;=DP,A38,0))),105%*SUM($B$26:C38)))*(AND(A38&lt;&gt;0,Output!A38&lt;=DP))+(0)*(A38&gt;DP))*$AZ$21</f>
        <v>0</v>
      </c>
      <c r="BA38" s="175" t="e">
        <f>((MAX((SUM($B$26:C38)+(VLOOKUP($BA$25,'All Options'!$AB$36:$AC$46,2,0)*VLOOKUP('All Options'!$E$22,'Valid Data-GPG'!$B$130:$F$134,MATCH('All Options'!$E$17,'Valid Data-GPG'!$B$130:$F$130,0),0)*'All Options'!$E$17)*(IF(A38&lt;=DP,A38,0))),105%*SUM($B$26:C38)))*(Output!A38&lt;=DP)
+MAX((SUM($B$26:C38)+(VLOOKUP($BA$25,'All Options'!$AB$36:$AC$46,2,0)*VLOOKUP('All Options'!$E$22,'Valid Data-GPG'!$B$130:$F$134,MATCH('All Options'!$E$17,'Valid Data-GPG'!$B$130:$F$130,0),0)*'All Options'!$E$17)*DP-D38*(A38-DP)),SUM($B$26:C38))*(A38&gt;DP))*$BA$21</f>
        <v>#N/A</v>
      </c>
      <c r="BB38" s="175">
        <f>((MAX(($AB$17+(VLOOKUP($BB$25,'All Options'!$AB$36:$AC$46,2,0)*VLOOKUP('All Options'!$E$22,'Valid Data-GPG'!$B$130:$F$134,MATCH('All Options'!$E$17,'Valid Data-GPG'!$B$130:$F$130,0),0)*'All Options'!$E$17)*(IF(A38&lt;=DP,A38,0))),105%*$AB$17))*(Output!A38&lt;=DP)+(0)*(A38&gt;DP))*$BB$21</f>
        <v>0</v>
      </c>
      <c r="BC38" s="175" t="e">
        <f>((MAX(($AB$17+(VLOOKUP($BC$25,'All Options'!$AB$36:$AC$46,2,0)*VLOOKUP('All Options'!$E$22,'Valid Data-GPG'!$B$130:$F$134,MATCH('All Options'!$E$17,'Valid Data-GPG'!$B$130:$F$130,0),0)*'All Options'!$E$17)*(IF(A38&lt;=DP,A38,0))),105%*$AB$17))*(Output!A38&lt;=DP)+
MAX(($AB$17+(VLOOKUP($BC$25,'All Options'!$AB$36:$AC$46,2,0)*VLOOKUP('All Options'!$E$22,'Valid Data-GPG'!$B$130:$F$134,MATCH('All Options'!$E$17,'Valid Data-GPG'!$B$130:$F$130,0),0)*'All Options'!$E$17)*DP-D38*(A38-DP)),$AB$17)*(A38&gt;DP))*$BC$21</f>
        <v>#N/A</v>
      </c>
      <c r="BD38" s="175">
        <f ca="1">IFERROR((MAX(($AB$17+(VLOOKUP($BD$25,'All Options'!$AB$36:$AC$46,2,0)*VLOOKUP('All Options'!$E$22,'Valid Data-GPG'!$B$130:$F$134,MATCH('All Options'!$E$17,'Valid Data-GPG'!$B$130:$F$130,0),0)*'All Options'!$E$17)*(IF(A38&lt;=DP,A38,0))),105%*$AB$17))*(Output!A38&lt;=DP)
+MAX(($AB$17+(VLOOKUP($BD$25,'All Options'!$AB$36:$AC$46,2,0)*VLOOKUP('All Options'!$E$22,'Valid Data-GPG'!$B$130:$F$134,MATCH('All Options'!$E$17,'Valid Data-GPG'!$B$130:$F$130,0),0)*'All Options'!$E$17)*DP-D38*(A38-DP)),$AB$17)*(A38&gt;DP),0)*$BD$21</f>
        <v>0</v>
      </c>
      <c r="BE38" s="66">
        <f>IFERROR((MAX(($AB$17+(VLOOKUP($BE$25,'All Options'!$AB$36:$AC$46,2,0)*VLOOKUP('All Options'!$E$22,'Valid Data-GPG'!$B$130:$F$134,MATCH('All Options'!$E$17,'Valid Data-GPG'!$B$130:$F$130,0),0)*'All Options'!$E$17)*(IF(A38&lt;=DP,A38,0))),105%*$AB$17))*(Output!A38&lt;=DP)
+(MAX($AB$17+(VLOOKUP($BE$25,'All Options'!$AB$36:$AC$46,2,0)*VLOOKUP('All Options'!$E$22,'Valid Data-GPG'!$B$130:$F$134,MATCH('All Options'!$E$17,'Valid Data-GPG'!$B$130:$F$130,0),0)*'All Options'!$E$17)*DP-AB38*(A38-DP),$AB$17)*(MAX(A38&lt;=25,K38&lt;85)))*(A38&gt;DP),0)*$BE$21</f>
        <v>0</v>
      </c>
      <c r="BF38" s="175">
        <f>IFERROR((MAX(($AB$17+(VLOOKUP($BF$25,'All Options'!$AB$36:$AC$46,2,0)*VLOOKUP('All Options'!$E$22,'Valid Data-GPG'!$B$130:$F$134,MATCH('All Options'!$E$17,'Valid Data-GPG'!$B$130:$F$130,0),0)*'All Options'!$E$17)*(IF(A38&lt;=DP,A38,0))),105%*$AB$17))*(Output!A38&lt;=DP)
+(MAX($AB$17+(VLOOKUP($BF$25,'All Options'!$AB$36:$AC$46,2,0)*VLOOKUP('All Options'!$E$22,'Valid Data-GPG'!$B$130:$F$134,MATCH('All Options'!$E$17,'Valid Data-GPG'!$B$130:$F$130,0),0)*'All Options'!$E$17)*DP-AB38*(A38-DP),$AB$17)-SUM($AF$26:AF38)*AG38)*(A38&gt;DP)*AG38,0)*$BF$21</f>
        <v>0</v>
      </c>
      <c r="BG38" s="175">
        <f t="shared" si="23"/>
        <v>0</v>
      </c>
      <c r="BH38" s="182">
        <f t="shared" si="6"/>
        <v>5000000</v>
      </c>
      <c r="BI38" s="175">
        <f t="shared" si="24"/>
        <v>0</v>
      </c>
      <c r="BJ38" s="175">
        <f t="shared" si="25"/>
        <v>0</v>
      </c>
      <c r="BK38" s="175">
        <f t="shared" si="26"/>
        <v>0</v>
      </c>
      <c r="BL38" s="175">
        <f t="shared" si="27"/>
        <v>0</v>
      </c>
      <c r="BM38" s="175">
        <f t="shared" si="28"/>
        <v>0</v>
      </c>
      <c r="BN38" s="175">
        <f t="shared" si="29"/>
        <v>0</v>
      </c>
      <c r="BO38" s="182">
        <f t="shared" si="7"/>
        <v>0</v>
      </c>
      <c r="BP38" s="182">
        <f t="shared" si="8"/>
        <v>0</v>
      </c>
      <c r="BQ38" s="182">
        <f>MAX($AB$17-SUM($AF$26:AF38),0)*$BQ$21</f>
        <v>0</v>
      </c>
      <c r="BS38" s="175">
        <f t="shared" si="9"/>
        <v>1</v>
      </c>
      <c r="BT38" s="175">
        <f>IFERROR(IF(A38&lt;=1,0,VLOOKUP(DP,'Valid Data-GPG'!$A$116:$J$122,MATCH(Output!A38,'Valid Data-GPG'!$A$116:$J$116,0),FALSE)*SUM($B$26:C38))*(A38&lt;=DP),0)*$BT$21</f>
        <v>0</v>
      </c>
      <c r="BU38" s="175">
        <f>IFERROR(IF(A38&lt;=1,0,VLOOKUP(DP,'Valid Data-GPG'!$A$116:$J$122,MATCH(Output!A38,'Valid Data-GPG'!$A$116:$J$116,0),FALSE)*SUM($B$26:C38))*(A38&lt;=DP),0)*$BU$21</f>
        <v>0</v>
      </c>
      <c r="BV38" s="175">
        <f t="shared" si="10"/>
        <v>0</v>
      </c>
      <c r="BW38" s="175">
        <f t="shared" si="11"/>
        <v>0</v>
      </c>
      <c r="BX38" s="175">
        <f t="shared" si="12"/>
        <v>0</v>
      </c>
      <c r="BY38" s="175">
        <f t="shared" si="13"/>
        <v>0</v>
      </c>
      <c r="BZ38" s="175">
        <f t="shared" si="14"/>
        <v>0</v>
      </c>
      <c r="CA38" s="175">
        <f>(INDEX('SV calc_ignore'!$J$10:$J$1341,12*Output!A38-0))*BS38</f>
        <v>0</v>
      </c>
      <c r="CB38" s="175">
        <f t="shared" si="30"/>
        <v>0</v>
      </c>
      <c r="CC38" s="175">
        <f>(INDEX('SV calc_ignore'!$J$10:$J$1341,12*Output!A38-0))*BS38</f>
        <v>0</v>
      </c>
      <c r="CD38" s="175">
        <f t="shared" si="31"/>
        <v>0</v>
      </c>
      <c r="CE38" s="66">
        <f>(INDEX('SV calc_ignore'!$J$10:$J$1341,12*Output!A38-0))*($CE$21)</f>
        <v>0</v>
      </c>
      <c r="CF38" s="175">
        <f t="shared" si="32"/>
        <v>0</v>
      </c>
      <c r="CG38" s="175">
        <f>(INDEX('SV calc_ignore'!$J$10:$J$1341,12*Output!A38-0))*($CG$21)*(A38&gt;1)</f>
        <v>0</v>
      </c>
      <c r="CH38" s="175">
        <f>(INDEX('SV calc_ignore'!$J$10:$J$1341,12*Output!A38-0))*($CH$21)*(A38&gt;1)</f>
        <v>0</v>
      </c>
      <c r="CI38" s="175"/>
      <c r="CJ38" s="66">
        <f>(INDEX('SV calc_ignore'!$J$10:$J$1341,12*Output!A38-0))*($CJ$21)*(A38&gt;1)</f>
        <v>0</v>
      </c>
      <c r="CK38" s="66">
        <f>(INDEX('SV calc_ignore'!$Q$10:$Q$1341,12*Output!A38-0))*(AND(A38&gt;1,R38&lt;20))*($CK$21)</f>
        <v>0</v>
      </c>
      <c r="CL38" s="66">
        <f t="shared" si="33"/>
        <v>0</v>
      </c>
      <c r="CM38" s="175">
        <f>((INDEX('SV calc_ignore'!$J$10:$J$1341,12*Output!A38-0))+(INDEX('SV calc_ignore'!$O$10:$O$1341,12*Output!A38-0))*(A38&lt;'SV calc_ignore'!$Q$5))*(A38&gt;1)*($CM$21)</f>
        <v>0</v>
      </c>
      <c r="CN38" s="175">
        <v>0</v>
      </c>
      <c r="CO38" s="175">
        <f>(INDEX('SV calc_ignore'!$J$10:$J$1341,12*Output!A38-0))*(A38&gt;1)*($CO$21)</f>
        <v>0</v>
      </c>
      <c r="CP38" s="175">
        <v>0</v>
      </c>
      <c r="CQ38" s="175">
        <v>0</v>
      </c>
      <c r="CR38" s="175">
        <v>0</v>
      </c>
      <c r="CS38" s="175">
        <v>0</v>
      </c>
      <c r="CT38" s="175">
        <v>0</v>
      </c>
      <c r="CU38" s="175">
        <v>0</v>
      </c>
      <c r="CV38" s="175">
        <f>(INDEX('SV calc_ignore'!$J$10:$J$1341,12*Output!A38-0))*(A38&gt;1)*($CV$21)</f>
        <v>0</v>
      </c>
      <c r="CW38" s="66">
        <f>((INDEX('SV calc_ignore'!$J$10:$J$1341,12*Output!A38-0))+(INDEX('SV calc_ignore'!$O$10:$O$1351,12*Output!A38-0))*(A38&lt;'SV calc_ignore'!$Q$5))*(A38&gt;1)*($CW$21)</f>
        <v>0</v>
      </c>
      <c r="CX38" s="175">
        <f>(INDEX('SV calc_ignore'!$J$10:$J$1341,12*Output!A38-0))*(A38&gt;1)*($CX$21)</f>
        <v>0</v>
      </c>
      <c r="CY38" s="175">
        <f>(INDEX('SV calc_ignore'!$Q$10:$Q$1341,12*Output!A38-0))*(AND(A38&gt;1,R38&lt;20))*($CY$21)</f>
        <v>0</v>
      </c>
      <c r="CZ38" s="175">
        <f t="shared" si="34"/>
        <v>0</v>
      </c>
      <c r="DE38" s="43">
        <f>IF($DE$23,0,VLOOKUP(IF(A38&lt;=DP,DJ38,DI38),SSV!$B$6:$C$116,2,FALSE)*VLOOKUP(AnnuityOption,'All Options'!$AB$36:$AC$47,2,FALSE)*VLOOKUP('All Options'!$E$22,'Valid Data-GPG'!$B$130:$F$134,MATCH('All Options'!$E$17,'Valid Data-GPG'!$B$130:$F$130,0),0)*'All Options'!$E$17)*(IF(AND(Select="Deferred Annuity",AnnuityOption="Life Annuity"),A38&lt;=DP,1))</f>
        <v>2542444.0964061636</v>
      </c>
      <c r="DF38" s="43">
        <f>IF($DF$23,0,IF($DQ$25,DQ38,IF($DR$25,DR38,VLOOKUP(IF(A38&lt;=DP,DJ38,DI38),SSV!$G$6:$H$116,2,FALSE)*SUM($B$27:B38))))</f>
        <v>1858516.5</v>
      </c>
      <c r="DG38" s="43" t="e">
        <f>IF(A38&lt;=DP,VLOOKUP(DP-A37,SSV!$T$6:$U$15,2,FALSE),1)</f>
        <v>#N/A</v>
      </c>
      <c r="DH38" s="282">
        <f t="shared" si="15"/>
        <v>4400960.5964061636</v>
      </c>
      <c r="DI38" s="43">
        <f>IF($DM$26,MIN(Age,'All Options'!$E$21)+A37,IF($DN$26,(Age+A37)-Age+60,IF($DO$26,(Age+A37)-Age+55,Age+A37)))</f>
        <v>71</v>
      </c>
      <c r="DJ38" s="279">
        <f>IF($DM$26,MIN(Age+A38,'All Options'!$E$21+A38),IF($DN$26,(Age+A38)-(Age+$A$27)+60,IF($DO$26,(Age+A38)-(Age+$A$27)+55,Age+A38)))</f>
        <v>72</v>
      </c>
      <c r="DK38" s="279"/>
      <c r="DL38" s="279"/>
      <c r="DP38" s="43">
        <f t="shared" si="35"/>
        <v>0</v>
      </c>
      <c r="DQ38" s="43">
        <f>IFERROR(VLOOKUP(IF(A38&lt;=DP,DJ38,DI38),SSV!$K$6:$L$91,2,FALSE)*SUM($B$27:B38),0)*($DQ$25)</f>
        <v>0</v>
      </c>
      <c r="DR38" s="43">
        <f>IFERROR(VLOOKUP(IF(A38&lt;=DP,DJ38,DI38),SSV!$O$6:$P$95,2,FALSE)*SUM($B$27:B38),0)*($DR$25)</f>
        <v>0</v>
      </c>
      <c r="DU38" s="175">
        <f t="shared" si="16"/>
        <v>1</v>
      </c>
    </row>
    <row r="39" spans="1:125" ht="12.75" customHeight="1" x14ac:dyDescent="0.2">
      <c r="A39" s="146">
        <f t="shared" si="17"/>
        <v>13</v>
      </c>
      <c r="B39" s="670">
        <f>IF(PremiumType="Regular Premium",'All Options'!$E$18*'All Options'!$E$22*(AND(Output!A39&lt;=PPT,A39&gt;=1)),'All Options'!$E$18*(A39=1))</f>
        <v>0</v>
      </c>
      <c r="C39" s="671"/>
      <c r="D39" s="103" t="e">
        <f>((VLOOKUP(CONCATENATE($D$14,$D$15),'All Options'!$AB$36:$AC$47,4,0)*VLOOKUP('All Options'!$E$22,'Valid Data-GPG'!$B$130:$F$134,MATCH('All Options'!$E$17,'Valid Data-GPG'!$B$130:$F$130,0),0)*'All Options'!$E$17)*IF(Select="Deferred Annuity",A39&gt;DP,1)+AE39+AF39*AG39*$AG$21)*(A39&gt;0)</f>
        <v>#N/A</v>
      </c>
      <c r="E39" s="103">
        <v>0</v>
      </c>
      <c r="F39" s="103" t="e">
        <f t="shared" si="18"/>
        <v>#N/A</v>
      </c>
      <c r="G39" s="103">
        <f t="shared" si="2"/>
        <v>0</v>
      </c>
      <c r="H39" s="285">
        <f t="shared" si="19"/>
        <v>4412652.2598298946</v>
      </c>
      <c r="I39" s="103">
        <f t="shared" si="20"/>
        <v>4412652.2598298946</v>
      </c>
      <c r="J39" s="101"/>
      <c r="K39" s="175">
        <f t="shared" si="21"/>
        <v>72</v>
      </c>
      <c r="L39" s="175"/>
      <c r="M39" s="175"/>
      <c r="N39" s="175"/>
      <c r="O39" s="175"/>
      <c r="P39" s="175"/>
      <c r="Q39" s="175"/>
      <c r="R39" s="175">
        <f t="shared" si="22"/>
        <v>0</v>
      </c>
      <c r="U39" s="162" t="e">
        <f t="shared" si="36"/>
        <v>#N/A</v>
      </c>
      <c r="AB39" s="175" t="e">
        <f>(VLOOKUP(CONCATENATE($D$14,$D$15),'All Options'!$AB$36:$AC$47,4,0)*VLOOKUP('All Options'!$E$22,'Valid Data-GPG'!$B$130:$F$134,MATCH('All Options'!$E$17,'Valid Data-GPG'!$B$130:$F$130,0),0)*'All Options'!$E$17)*IF(Select="Deferred Annuity",A39&gt;DP,1)*(A39&gt;0)</f>
        <v>#N/A</v>
      </c>
      <c r="AC39" s="175">
        <f t="shared" si="3"/>
        <v>0</v>
      </c>
      <c r="AD39" s="175">
        <f>SUM($AC$26:AC39)</f>
        <v>0</v>
      </c>
      <c r="AE39" s="175">
        <f t="shared" si="4"/>
        <v>0</v>
      </c>
      <c r="AF39" s="175">
        <f t="shared" si="5"/>
        <v>0</v>
      </c>
      <c r="AG39" s="175" t="b">
        <f>(SUM($AF$26:AF39)&lt;=$AB$17)</f>
        <v>1</v>
      </c>
      <c r="AY39" s="175"/>
      <c r="AZ39" s="66">
        <f>((MAX((SUM($B$26:C39)+(VLOOKUP($AZ$25,'All Options'!$AB$36:$AC$46,2,0)*VLOOKUP('All Options'!$E$22,'Valid Data-GPG'!$B$130:$F$134,MATCH('All Options'!$E$17,'Valid Data-GPG'!$B$130:$F$130,0),0)*'All Options'!$E$17)*(IF(A39&lt;=DP,A39,0))),105%*SUM($B$26:C39)))*(AND(A39&lt;&gt;0,Output!A39&lt;=DP))+(0)*(A39&gt;DP))*$AZ$21</f>
        <v>0</v>
      </c>
      <c r="BA39" s="175" t="e">
        <f>((MAX((SUM($B$26:C39)+(VLOOKUP($BA$25,'All Options'!$AB$36:$AC$46,2,0)*VLOOKUP('All Options'!$E$22,'Valid Data-GPG'!$B$130:$F$134,MATCH('All Options'!$E$17,'Valid Data-GPG'!$B$130:$F$130,0),0)*'All Options'!$E$17)*(IF(A39&lt;=DP,A39,0))),105%*SUM($B$26:C39)))*(Output!A39&lt;=DP)
+MAX((SUM($B$26:C39)+(VLOOKUP($BA$25,'All Options'!$AB$36:$AC$46,2,0)*VLOOKUP('All Options'!$E$22,'Valid Data-GPG'!$B$130:$F$134,MATCH('All Options'!$E$17,'Valid Data-GPG'!$B$130:$F$130,0),0)*'All Options'!$E$17)*DP-D39*(A39-DP)),SUM($B$26:C39))*(A39&gt;DP))*$BA$21</f>
        <v>#N/A</v>
      </c>
      <c r="BB39" s="175">
        <f>((MAX(($AB$17+(VLOOKUP($BB$25,'All Options'!$AB$36:$AC$46,2,0)*VLOOKUP('All Options'!$E$22,'Valid Data-GPG'!$B$130:$F$134,MATCH('All Options'!$E$17,'Valid Data-GPG'!$B$130:$F$130,0),0)*'All Options'!$E$17)*(IF(A39&lt;=DP,A39,0))),105%*$AB$17))*(Output!A39&lt;=DP)+(0)*(A39&gt;DP))*$BB$21</f>
        <v>0</v>
      </c>
      <c r="BC39" s="175" t="e">
        <f>((MAX(($AB$17+(VLOOKUP($BC$25,'All Options'!$AB$36:$AC$46,2,0)*VLOOKUP('All Options'!$E$22,'Valid Data-GPG'!$B$130:$F$134,MATCH('All Options'!$E$17,'Valid Data-GPG'!$B$130:$F$130,0),0)*'All Options'!$E$17)*(IF(A39&lt;=DP,A39,0))),105%*$AB$17))*(Output!A39&lt;=DP)+
MAX(($AB$17+(VLOOKUP($BC$25,'All Options'!$AB$36:$AC$46,2,0)*VLOOKUP('All Options'!$E$22,'Valid Data-GPG'!$B$130:$F$134,MATCH('All Options'!$E$17,'Valid Data-GPG'!$B$130:$F$130,0),0)*'All Options'!$E$17)*DP-D39*(A39-DP)),$AB$17)*(A39&gt;DP))*$BC$21</f>
        <v>#N/A</v>
      </c>
      <c r="BD39" s="175">
        <f ca="1">IFERROR((MAX(($AB$17+(VLOOKUP($BD$25,'All Options'!$AB$36:$AC$46,2,0)*VLOOKUP('All Options'!$E$22,'Valid Data-GPG'!$B$130:$F$134,MATCH('All Options'!$E$17,'Valid Data-GPG'!$B$130:$F$130,0),0)*'All Options'!$E$17)*(IF(A39&lt;=DP,A39,0))),105%*$AB$17))*(Output!A39&lt;=DP)
+MAX(($AB$17+(VLOOKUP($BD$25,'All Options'!$AB$36:$AC$46,2,0)*VLOOKUP('All Options'!$E$22,'Valid Data-GPG'!$B$130:$F$134,MATCH('All Options'!$E$17,'Valid Data-GPG'!$B$130:$F$130,0),0)*'All Options'!$E$17)*DP-D39*(A39-DP)),$AB$17)*(A39&gt;DP),0)*$BD$21</f>
        <v>0</v>
      </c>
      <c r="BE39" s="66">
        <f>IFERROR((MAX(($AB$17+(VLOOKUP($BE$25,'All Options'!$AB$36:$AC$46,2,0)*VLOOKUP('All Options'!$E$22,'Valid Data-GPG'!$B$130:$F$134,MATCH('All Options'!$E$17,'Valid Data-GPG'!$B$130:$F$130,0),0)*'All Options'!$E$17)*(IF(A39&lt;=DP,A39,0))),105%*$AB$17))*(Output!A39&lt;=DP)
+(MAX($AB$17+(VLOOKUP($BE$25,'All Options'!$AB$36:$AC$46,2,0)*VLOOKUP('All Options'!$E$22,'Valid Data-GPG'!$B$130:$F$134,MATCH('All Options'!$E$17,'Valid Data-GPG'!$B$130:$F$130,0),0)*'All Options'!$E$17)*DP-AB39*(A39-DP),$AB$17)*(MAX(A39&lt;=25,K39&lt;85)))*(A39&gt;DP),0)*$BE$21</f>
        <v>0</v>
      </c>
      <c r="BF39" s="175">
        <f>IFERROR((MAX(($AB$17+(VLOOKUP($BF$25,'All Options'!$AB$36:$AC$46,2,0)*VLOOKUP('All Options'!$E$22,'Valid Data-GPG'!$B$130:$F$134,MATCH('All Options'!$E$17,'Valid Data-GPG'!$B$130:$F$130,0),0)*'All Options'!$E$17)*(IF(A39&lt;=DP,A39,0))),105%*$AB$17))*(Output!A39&lt;=DP)
+(MAX($AB$17+(VLOOKUP($BF$25,'All Options'!$AB$36:$AC$46,2,0)*VLOOKUP('All Options'!$E$22,'Valid Data-GPG'!$B$130:$F$134,MATCH('All Options'!$E$17,'Valid Data-GPG'!$B$130:$F$130,0),0)*'All Options'!$E$17)*DP-AB39*(A39-DP),$AB$17)-SUM($AF$26:AF39)*AG39)*(A39&gt;DP)*AG39,0)*$BF$21</f>
        <v>0</v>
      </c>
      <c r="BG39" s="175">
        <f t="shared" si="23"/>
        <v>0</v>
      </c>
      <c r="BH39" s="182">
        <f t="shared" si="6"/>
        <v>5000000</v>
      </c>
      <c r="BI39" s="175">
        <f t="shared" si="24"/>
        <v>0</v>
      </c>
      <c r="BJ39" s="175">
        <f t="shared" si="25"/>
        <v>0</v>
      </c>
      <c r="BK39" s="175">
        <f t="shared" si="26"/>
        <v>0</v>
      </c>
      <c r="BL39" s="175">
        <f t="shared" si="27"/>
        <v>0</v>
      </c>
      <c r="BM39" s="175">
        <f t="shared" si="28"/>
        <v>0</v>
      </c>
      <c r="BN39" s="175">
        <f t="shared" si="29"/>
        <v>0</v>
      </c>
      <c r="BO39" s="182">
        <f t="shared" si="7"/>
        <v>0</v>
      </c>
      <c r="BP39" s="182">
        <f t="shared" si="8"/>
        <v>0</v>
      </c>
      <c r="BQ39" s="182">
        <f>MAX($AB$17-SUM($AF$26:AF39),0)*$BQ$21</f>
        <v>0</v>
      </c>
      <c r="BS39" s="175">
        <f t="shared" si="9"/>
        <v>1</v>
      </c>
      <c r="BT39" s="175">
        <f>IFERROR(IF(A39&lt;=1,0,VLOOKUP(DP,'Valid Data-GPG'!$A$116:$J$122,MATCH(Output!A39,'Valid Data-GPG'!$A$116:$J$116,0),FALSE)*SUM($B$26:C39))*(A39&lt;=DP),0)*$BT$21</f>
        <v>0</v>
      </c>
      <c r="BU39" s="175">
        <f>IFERROR(IF(A39&lt;=1,0,VLOOKUP(DP,'Valid Data-GPG'!$A$116:$J$122,MATCH(Output!A39,'Valid Data-GPG'!$A$116:$J$116,0),FALSE)*SUM($B$26:C39))*(A39&lt;=DP),0)*$BU$21</f>
        <v>0</v>
      </c>
      <c r="BV39" s="175">
        <f t="shared" si="10"/>
        <v>0</v>
      </c>
      <c r="BW39" s="175">
        <f t="shared" si="11"/>
        <v>0</v>
      </c>
      <c r="BX39" s="175">
        <f t="shared" si="12"/>
        <v>0</v>
      </c>
      <c r="BY39" s="175">
        <f t="shared" si="13"/>
        <v>0</v>
      </c>
      <c r="BZ39" s="175">
        <f t="shared" si="14"/>
        <v>0</v>
      </c>
      <c r="CA39" s="175">
        <f>(INDEX('SV calc_ignore'!$J$10:$J$1341,12*Output!A39-0))*BS39</f>
        <v>0</v>
      </c>
      <c r="CB39" s="175">
        <f t="shared" si="30"/>
        <v>0</v>
      </c>
      <c r="CC39" s="175">
        <f>(INDEX('SV calc_ignore'!$J$10:$J$1341,12*Output!A39-0))*BS39</f>
        <v>0</v>
      </c>
      <c r="CD39" s="175">
        <f t="shared" si="31"/>
        <v>0</v>
      </c>
      <c r="CE39" s="66">
        <f>(INDEX('SV calc_ignore'!$J$10:$J$1341,12*Output!A39-0))*($CE$21)</f>
        <v>0</v>
      </c>
      <c r="CF39" s="175">
        <f t="shared" si="32"/>
        <v>0</v>
      </c>
      <c r="CG39" s="175">
        <f>(INDEX('SV calc_ignore'!$J$10:$J$1341,12*Output!A39-0))*($CG$21)*(A39&gt;1)</f>
        <v>0</v>
      </c>
      <c r="CH39" s="175">
        <f>(INDEX('SV calc_ignore'!$J$10:$J$1341,12*Output!A39-0))*($CH$21)*(A39&gt;1)</f>
        <v>0</v>
      </c>
      <c r="CI39" s="175"/>
      <c r="CJ39" s="66">
        <f>(INDEX('SV calc_ignore'!$J$10:$J$1341,12*Output!A39-0))*($CJ$21)*(A39&gt;1)</f>
        <v>0</v>
      </c>
      <c r="CK39" s="66">
        <f>(INDEX('SV calc_ignore'!$Q$10:$Q$1341,12*Output!A39-0))*(AND(A39&gt;1,R39&lt;20))*($CK$21)</f>
        <v>0</v>
      </c>
      <c r="CL39" s="66">
        <f t="shared" si="33"/>
        <v>0</v>
      </c>
      <c r="CM39" s="175">
        <f>((INDEX('SV calc_ignore'!$J$10:$J$1341,12*Output!A39-0))+(INDEX('SV calc_ignore'!$O$10:$O$1341,12*Output!A39-0))*(A39&lt;'SV calc_ignore'!$Q$5))*(A39&gt;1)*($CM$21)</f>
        <v>0</v>
      </c>
      <c r="CN39" s="175">
        <v>0</v>
      </c>
      <c r="CO39" s="175">
        <f>(INDEX('SV calc_ignore'!$J$10:$J$1341,12*Output!A39-0))*(A39&gt;1)*($CO$21)</f>
        <v>0</v>
      </c>
      <c r="CP39" s="175">
        <v>0</v>
      </c>
      <c r="CQ39" s="175">
        <v>0</v>
      </c>
      <c r="CR39" s="175">
        <v>0</v>
      </c>
      <c r="CS39" s="175">
        <v>0</v>
      </c>
      <c r="CT39" s="175">
        <v>0</v>
      </c>
      <c r="CU39" s="175">
        <v>0</v>
      </c>
      <c r="CV39" s="175">
        <f>(INDEX('SV calc_ignore'!$J$10:$J$1341,12*Output!A39-0))*(A39&gt;1)*($CV$21)</f>
        <v>0</v>
      </c>
      <c r="CW39" s="66">
        <f>((INDEX('SV calc_ignore'!$J$10:$J$1341,12*Output!A39-0))+(INDEX('SV calc_ignore'!$O$10:$O$1351,12*Output!A39-0))*(A39&lt;'SV calc_ignore'!$Q$5))*(A39&gt;1)*($CW$21)</f>
        <v>0</v>
      </c>
      <c r="CX39" s="175">
        <f>(INDEX('SV calc_ignore'!$J$10:$J$1341,12*Output!A39-0))*(A39&gt;1)*($CX$21)</f>
        <v>0</v>
      </c>
      <c r="CY39" s="175">
        <f>(INDEX('SV calc_ignore'!$Q$10:$Q$1341,12*Output!A39-0))*(AND(A39&gt;1,R39&lt;20))*($CY$21)</f>
        <v>0</v>
      </c>
      <c r="CZ39" s="175">
        <f t="shared" si="34"/>
        <v>0</v>
      </c>
      <c r="DE39" s="43">
        <f>IF($DE$23,0,VLOOKUP(IF(A39&lt;=DP,DJ39,DI39),SSV!$B$6:$C$116,2,FALSE)*VLOOKUP(AnnuityOption,'All Options'!$AB$36:$AC$47,2,FALSE)*VLOOKUP('All Options'!$E$22,'Valid Data-GPG'!$B$130:$F$134,MATCH('All Options'!$E$17,'Valid Data-GPG'!$B$130:$F$130,0),0)*'All Options'!$E$17)*(IF(AND(Select="Deferred Annuity",AnnuityOption="Life Annuity"),A39&lt;=DP,1))</f>
        <v>2471431.7598298946</v>
      </c>
      <c r="DF39" s="43">
        <f>IF($DF$23,0,IF($DQ$25,DQ39,IF($DR$25,DR39,VLOOKUP(IF(A39&lt;=DP,DJ39,DI39),SSV!$G$6:$H$116,2,FALSE)*SUM($B$27:B39))))</f>
        <v>1941220.5</v>
      </c>
      <c r="DG39" s="43" t="e">
        <f>IF(A39&lt;=DP,VLOOKUP(DP-A38,SSV!$T$6:$U$15,2,FALSE),1)</f>
        <v>#N/A</v>
      </c>
      <c r="DH39" s="282">
        <f t="shared" si="15"/>
        <v>4412652.2598298946</v>
      </c>
      <c r="DI39" s="43">
        <f>IF($DM$26,MIN(Age,'All Options'!$E$21)+A38,IF($DN$26,(Age+A38)-Age+60,IF($DO$26,(Age+A38)-Age+55,Age+A38)))</f>
        <v>72</v>
      </c>
      <c r="DJ39" s="279">
        <f>IF($DM$26,MIN(Age+A39,'All Options'!$E$21+A39),IF($DN$26,(Age+A39)-(Age+$A$27)+60,IF($DO$26,(Age+A39)-(Age+$A$27)+55,Age+A39)))</f>
        <v>73</v>
      </c>
      <c r="DK39" s="279"/>
      <c r="DL39" s="279"/>
      <c r="DP39" s="43">
        <f t="shared" si="35"/>
        <v>0</v>
      </c>
      <c r="DQ39" s="43">
        <f>IFERROR(VLOOKUP(IF(A39&lt;=DP,DJ39,DI39),SSV!$K$6:$L$91,2,FALSE)*SUM($B$27:B39),0)*($DQ$25)</f>
        <v>0</v>
      </c>
      <c r="DR39" s="43">
        <f>IFERROR(VLOOKUP(IF(A39&lt;=DP,DJ39,DI39),SSV!$O$6:$P$95,2,FALSE)*SUM($B$27:B39),0)*($DR$25)</f>
        <v>0</v>
      </c>
      <c r="DU39" s="175">
        <f t="shared" si="16"/>
        <v>1</v>
      </c>
    </row>
    <row r="40" spans="1:125" ht="12.75" customHeight="1" x14ac:dyDescent="0.2">
      <c r="A40" s="146">
        <f t="shared" si="17"/>
        <v>14</v>
      </c>
      <c r="B40" s="670">
        <f>IF(PremiumType="Regular Premium",'All Options'!$E$18*'All Options'!$E$22*(AND(Output!A40&lt;=PPT,A40&gt;=1)),'All Options'!$E$18*(A40=1))</f>
        <v>0</v>
      </c>
      <c r="C40" s="671"/>
      <c r="D40" s="103" t="e">
        <f>((VLOOKUP(CONCATENATE($D$14,$D$15),'All Options'!$AB$36:$AC$47,4,0)*VLOOKUP('All Options'!$E$22,'Valid Data-GPG'!$B$130:$F$134,MATCH('All Options'!$E$17,'Valid Data-GPG'!$B$130:$F$130,0),0)*'All Options'!$E$17)*IF(Select="Deferred Annuity",A40&gt;DP,1)+AE40+AF40*AG40*$AG$21)*(A40&gt;0)</f>
        <v>#N/A</v>
      </c>
      <c r="E40" s="103">
        <v>0</v>
      </c>
      <c r="F40" s="103" t="e">
        <f t="shared" si="18"/>
        <v>#N/A</v>
      </c>
      <c r="G40" s="103">
        <f t="shared" si="2"/>
        <v>0</v>
      </c>
      <c r="H40" s="285">
        <f t="shared" si="19"/>
        <v>4424358.1683237348</v>
      </c>
      <c r="I40" s="103">
        <f t="shared" si="20"/>
        <v>4424358.1683237348</v>
      </c>
      <c r="J40" s="101"/>
      <c r="K40" s="175">
        <f t="shared" si="21"/>
        <v>73</v>
      </c>
      <c r="L40" s="175"/>
      <c r="M40" s="175"/>
      <c r="N40" s="175"/>
      <c r="O40" s="175"/>
      <c r="P40" s="175"/>
      <c r="Q40" s="175"/>
      <c r="R40" s="175">
        <f t="shared" si="22"/>
        <v>0</v>
      </c>
      <c r="U40" s="162" t="e">
        <f t="shared" si="36"/>
        <v>#N/A</v>
      </c>
      <c r="AB40" s="175" t="e">
        <f>(VLOOKUP(CONCATENATE($D$14,$D$15),'All Options'!$AB$36:$AC$47,4,0)*VLOOKUP('All Options'!$E$22,'Valid Data-GPG'!$B$130:$F$134,MATCH('All Options'!$E$17,'Valid Data-GPG'!$B$130:$F$130,0),0)*'All Options'!$E$17)*IF(Select="Deferred Annuity",A40&gt;DP,1)*(A40&gt;0)</f>
        <v>#N/A</v>
      </c>
      <c r="AC40" s="175">
        <f t="shared" si="3"/>
        <v>0</v>
      </c>
      <c r="AD40" s="175">
        <f>SUM($AC$26:AC40)</f>
        <v>0</v>
      </c>
      <c r="AE40" s="175">
        <f t="shared" si="4"/>
        <v>0</v>
      </c>
      <c r="AF40" s="175">
        <f t="shared" si="5"/>
        <v>0</v>
      </c>
      <c r="AG40" s="175" t="b">
        <f>(SUM($AF$26:AF40)&lt;=$AB$17)</f>
        <v>1</v>
      </c>
      <c r="AY40" s="175"/>
      <c r="AZ40" s="66">
        <f>((MAX((SUM($B$26:C40)+(VLOOKUP($AZ$25,'All Options'!$AB$36:$AC$46,2,0)*VLOOKUP('All Options'!$E$22,'Valid Data-GPG'!$B$130:$F$134,MATCH('All Options'!$E$17,'Valid Data-GPG'!$B$130:$F$130,0),0)*'All Options'!$E$17)*(IF(A40&lt;=DP,A40,0))),105%*SUM($B$26:C40)))*(AND(A40&lt;&gt;0,Output!A40&lt;=DP))+(0)*(A40&gt;DP))*$AZ$21</f>
        <v>0</v>
      </c>
      <c r="BA40" s="175" t="e">
        <f>((MAX((SUM($B$26:C40)+(VLOOKUP($BA$25,'All Options'!$AB$36:$AC$46,2,0)*VLOOKUP('All Options'!$E$22,'Valid Data-GPG'!$B$130:$F$134,MATCH('All Options'!$E$17,'Valid Data-GPG'!$B$130:$F$130,0),0)*'All Options'!$E$17)*(IF(A40&lt;=DP,A40,0))),105%*SUM($B$26:C40)))*(Output!A40&lt;=DP)
+MAX((SUM($B$26:C40)+(VLOOKUP($BA$25,'All Options'!$AB$36:$AC$46,2,0)*VLOOKUP('All Options'!$E$22,'Valid Data-GPG'!$B$130:$F$134,MATCH('All Options'!$E$17,'Valid Data-GPG'!$B$130:$F$130,0),0)*'All Options'!$E$17)*DP-D40*(A40-DP)),SUM($B$26:C40))*(A40&gt;DP))*$BA$21</f>
        <v>#N/A</v>
      </c>
      <c r="BB40" s="175">
        <f>((MAX(($AB$17+(VLOOKUP($BB$25,'All Options'!$AB$36:$AC$46,2,0)*VLOOKUP('All Options'!$E$22,'Valid Data-GPG'!$B$130:$F$134,MATCH('All Options'!$E$17,'Valid Data-GPG'!$B$130:$F$130,0),0)*'All Options'!$E$17)*(IF(A40&lt;=DP,A40,0))),105%*$AB$17))*(Output!A40&lt;=DP)+(0)*(A40&gt;DP))*$BB$21</f>
        <v>0</v>
      </c>
      <c r="BC40" s="175" t="e">
        <f>((MAX(($AB$17+(VLOOKUP($BC$25,'All Options'!$AB$36:$AC$46,2,0)*VLOOKUP('All Options'!$E$22,'Valid Data-GPG'!$B$130:$F$134,MATCH('All Options'!$E$17,'Valid Data-GPG'!$B$130:$F$130,0),0)*'All Options'!$E$17)*(IF(A40&lt;=DP,A40,0))),105%*$AB$17))*(Output!A40&lt;=DP)+
MAX(($AB$17+(VLOOKUP($BC$25,'All Options'!$AB$36:$AC$46,2,0)*VLOOKUP('All Options'!$E$22,'Valid Data-GPG'!$B$130:$F$134,MATCH('All Options'!$E$17,'Valid Data-GPG'!$B$130:$F$130,0),0)*'All Options'!$E$17)*DP-D40*(A40-DP)),$AB$17)*(A40&gt;DP))*$BC$21</f>
        <v>#N/A</v>
      </c>
      <c r="BD40" s="175">
        <f ca="1">IFERROR((MAX(($AB$17+(VLOOKUP($BD$25,'All Options'!$AB$36:$AC$46,2,0)*VLOOKUP('All Options'!$E$22,'Valid Data-GPG'!$B$130:$F$134,MATCH('All Options'!$E$17,'Valid Data-GPG'!$B$130:$F$130,0),0)*'All Options'!$E$17)*(IF(A40&lt;=DP,A40,0))),105%*$AB$17))*(Output!A40&lt;=DP)
+MAX(($AB$17+(VLOOKUP($BD$25,'All Options'!$AB$36:$AC$46,2,0)*VLOOKUP('All Options'!$E$22,'Valid Data-GPG'!$B$130:$F$134,MATCH('All Options'!$E$17,'Valid Data-GPG'!$B$130:$F$130,0),0)*'All Options'!$E$17)*DP-D40*(A40-DP)),$AB$17)*(A40&gt;DP),0)*$BD$21</f>
        <v>0</v>
      </c>
      <c r="BE40" s="66">
        <f>IFERROR((MAX(($AB$17+(VLOOKUP($BE$25,'All Options'!$AB$36:$AC$46,2,0)*VLOOKUP('All Options'!$E$22,'Valid Data-GPG'!$B$130:$F$134,MATCH('All Options'!$E$17,'Valid Data-GPG'!$B$130:$F$130,0),0)*'All Options'!$E$17)*(IF(A40&lt;=DP,A40,0))),105%*$AB$17))*(Output!A40&lt;=DP)
+(MAX($AB$17+(VLOOKUP($BE$25,'All Options'!$AB$36:$AC$46,2,0)*VLOOKUP('All Options'!$E$22,'Valid Data-GPG'!$B$130:$F$134,MATCH('All Options'!$E$17,'Valid Data-GPG'!$B$130:$F$130,0),0)*'All Options'!$E$17)*DP-AB40*(A40-DP),$AB$17)*(MAX(A40&lt;=25,K40&lt;85)))*(A40&gt;DP),0)*$BE$21</f>
        <v>0</v>
      </c>
      <c r="BF40" s="175">
        <f>IFERROR((MAX(($AB$17+(VLOOKUP($BF$25,'All Options'!$AB$36:$AC$46,2,0)*VLOOKUP('All Options'!$E$22,'Valid Data-GPG'!$B$130:$F$134,MATCH('All Options'!$E$17,'Valid Data-GPG'!$B$130:$F$130,0),0)*'All Options'!$E$17)*(IF(A40&lt;=DP,A40,0))),105%*$AB$17))*(Output!A40&lt;=DP)
+(MAX($AB$17+(VLOOKUP($BF$25,'All Options'!$AB$36:$AC$46,2,0)*VLOOKUP('All Options'!$E$22,'Valid Data-GPG'!$B$130:$F$134,MATCH('All Options'!$E$17,'Valid Data-GPG'!$B$130:$F$130,0),0)*'All Options'!$E$17)*DP-AB40*(A40-DP),$AB$17)-SUM($AF$26:AF40)*AG40)*(A40&gt;DP)*AG40,0)*$BF$21</f>
        <v>0</v>
      </c>
      <c r="BG40" s="175">
        <f t="shared" si="23"/>
        <v>0</v>
      </c>
      <c r="BH40" s="182">
        <f t="shared" si="6"/>
        <v>5000000</v>
      </c>
      <c r="BI40" s="175">
        <f t="shared" si="24"/>
        <v>0</v>
      </c>
      <c r="BJ40" s="175">
        <f t="shared" si="25"/>
        <v>0</v>
      </c>
      <c r="BK40" s="175">
        <f t="shared" si="26"/>
        <v>0</v>
      </c>
      <c r="BL40" s="175">
        <f t="shared" si="27"/>
        <v>0</v>
      </c>
      <c r="BM40" s="175">
        <f t="shared" si="28"/>
        <v>0</v>
      </c>
      <c r="BN40" s="175">
        <f t="shared" si="29"/>
        <v>0</v>
      </c>
      <c r="BO40" s="182">
        <f t="shared" si="7"/>
        <v>0</v>
      </c>
      <c r="BP40" s="182">
        <f t="shared" si="8"/>
        <v>0</v>
      </c>
      <c r="BQ40" s="182">
        <f>MAX($AB$17-SUM($AF$26:AF40),0)*$BQ$21</f>
        <v>0</v>
      </c>
      <c r="BS40" s="175">
        <f t="shared" si="9"/>
        <v>1</v>
      </c>
      <c r="BT40" s="175">
        <f>IFERROR(IF(A40&lt;=1,0,VLOOKUP(DP,'Valid Data-GPG'!$A$116:$J$122,MATCH(Output!A40,'Valid Data-GPG'!$A$116:$J$116,0),FALSE)*SUM($B$26:C40))*(A40&lt;=DP),0)*$BT$21</f>
        <v>0</v>
      </c>
      <c r="BU40" s="175">
        <f>IFERROR(IF(A40&lt;=1,0,VLOOKUP(DP,'Valid Data-GPG'!$A$116:$J$122,MATCH(Output!A40,'Valid Data-GPG'!$A$116:$J$116,0),FALSE)*SUM($B$26:C40))*(A40&lt;=DP),0)*$BU$21</f>
        <v>0</v>
      </c>
      <c r="BV40" s="175">
        <f t="shared" si="10"/>
        <v>0</v>
      </c>
      <c r="BW40" s="175">
        <f t="shared" si="11"/>
        <v>0</v>
      </c>
      <c r="BX40" s="175">
        <f t="shared" si="12"/>
        <v>0</v>
      </c>
      <c r="BY40" s="175">
        <f t="shared" si="13"/>
        <v>0</v>
      </c>
      <c r="BZ40" s="175">
        <f t="shared" si="14"/>
        <v>0</v>
      </c>
      <c r="CA40" s="175">
        <f>(INDEX('SV calc_ignore'!$J$10:$J$1341,12*Output!A40-0))*BS40</f>
        <v>0</v>
      </c>
      <c r="CB40" s="175">
        <f t="shared" si="30"/>
        <v>0</v>
      </c>
      <c r="CC40" s="175">
        <f>(INDEX('SV calc_ignore'!$J$10:$J$1341,12*Output!A40-0))*BS40</f>
        <v>0</v>
      </c>
      <c r="CD40" s="175">
        <f t="shared" si="31"/>
        <v>0</v>
      </c>
      <c r="CE40" s="66">
        <f>(INDEX('SV calc_ignore'!$J$10:$J$1341,12*Output!A40-0))*($CE$21)</f>
        <v>0</v>
      </c>
      <c r="CF40" s="175">
        <f t="shared" si="32"/>
        <v>0</v>
      </c>
      <c r="CG40" s="175">
        <f>(INDEX('SV calc_ignore'!$J$10:$J$1341,12*Output!A40-0))*($CG$21)*(A40&gt;1)</f>
        <v>0</v>
      </c>
      <c r="CH40" s="175">
        <f>(INDEX('SV calc_ignore'!$J$10:$J$1341,12*Output!A40-0))*($CH$21)*(A40&gt;1)</f>
        <v>0</v>
      </c>
      <c r="CI40" s="175"/>
      <c r="CJ40" s="66">
        <f>(INDEX('SV calc_ignore'!$J$10:$J$1341,12*Output!A40-0))*($CJ$21)*(A40&gt;1)</f>
        <v>0</v>
      </c>
      <c r="CK40" s="66">
        <f>(INDEX('SV calc_ignore'!$Q$10:$Q$1341,12*Output!A40-0))*(AND(A40&gt;1,R40&lt;20))*($CK$21)</f>
        <v>0</v>
      </c>
      <c r="CL40" s="66">
        <f t="shared" si="33"/>
        <v>0</v>
      </c>
      <c r="CM40" s="175">
        <f>((INDEX('SV calc_ignore'!$J$10:$J$1341,12*Output!A40-0))+(INDEX('SV calc_ignore'!$O$10:$O$1341,12*Output!A40-0))*(A40&lt;'SV calc_ignore'!$Q$5))*(A40&gt;1)*($CM$21)</f>
        <v>0</v>
      </c>
      <c r="CN40" s="175">
        <v>0</v>
      </c>
      <c r="CO40" s="175">
        <f>(INDEX('SV calc_ignore'!$J$10:$J$1341,12*Output!A40-0))*(A40&gt;1)*($CO$21)</f>
        <v>0</v>
      </c>
      <c r="CP40" s="175">
        <v>0</v>
      </c>
      <c r="CQ40" s="175">
        <v>0</v>
      </c>
      <c r="CR40" s="175">
        <v>0</v>
      </c>
      <c r="CS40" s="175">
        <v>0</v>
      </c>
      <c r="CT40" s="175">
        <v>0</v>
      </c>
      <c r="CU40" s="175">
        <v>0</v>
      </c>
      <c r="CV40" s="175">
        <f>(INDEX('SV calc_ignore'!$J$10:$J$1341,12*Output!A40-0))*(A40&gt;1)*($CV$21)</f>
        <v>0</v>
      </c>
      <c r="CW40" s="66">
        <f>((INDEX('SV calc_ignore'!$J$10:$J$1341,12*Output!A40-0))+(INDEX('SV calc_ignore'!$O$10:$O$1351,12*Output!A40-0))*(A40&lt;'SV calc_ignore'!$Q$5))*(A40&gt;1)*($CW$21)</f>
        <v>0</v>
      </c>
      <c r="CX40" s="175">
        <f>(INDEX('SV calc_ignore'!$J$10:$J$1341,12*Output!A40-0))*(A40&gt;1)*($CX$21)</f>
        <v>0</v>
      </c>
      <c r="CY40" s="175">
        <f>(INDEX('SV calc_ignore'!$Q$10:$Q$1341,12*Output!A40-0))*(AND(A40&gt;1,R40&lt;20))*($CY$21)</f>
        <v>0</v>
      </c>
      <c r="CZ40" s="175">
        <f t="shared" si="34"/>
        <v>0</v>
      </c>
      <c r="DE40" s="43">
        <f>IF($DE$23,0,VLOOKUP(IF(A40&lt;=DP,DJ40,DI40),SSV!$B$6:$C$116,2,FALSE)*VLOOKUP(AnnuityOption,'All Options'!$AB$36:$AC$47,2,FALSE)*VLOOKUP('All Options'!$E$22,'Valid Data-GPG'!$B$130:$F$134,MATCH('All Options'!$E$17,'Valid Data-GPG'!$B$130:$F$130,0),0)*'All Options'!$E$17)*(IF(AND(Select="Deferred Annuity",AnnuityOption="Life Annuity"),A40&lt;=DP,1))</f>
        <v>2400345.6683237348</v>
      </c>
      <c r="DF40" s="43">
        <f>IF($DF$23,0,IF($DQ$25,DQ40,IF($DR$25,DR40,VLOOKUP(IF(A40&lt;=DP,DJ40,DI40),SSV!$G$6:$H$116,2,FALSE)*SUM($B$27:B40))))</f>
        <v>2024012.5</v>
      </c>
      <c r="DG40" s="43" t="e">
        <f>IF(A40&lt;=DP,VLOOKUP(DP-A39,SSV!$T$6:$U$15,2,FALSE),1)</f>
        <v>#N/A</v>
      </c>
      <c r="DH40" s="282">
        <f t="shared" si="15"/>
        <v>4424358.1683237348</v>
      </c>
      <c r="DI40" s="43">
        <f>IF($DM$26,MIN(Age,'All Options'!$E$21)+A39,IF($DN$26,(Age+A39)-Age+60,IF($DO$26,(Age+A39)-Age+55,Age+A39)))</f>
        <v>73</v>
      </c>
      <c r="DJ40" s="279">
        <f>IF($DM$26,MIN(Age+A40,'All Options'!$E$21+A40),IF($DN$26,(Age+A40)-(Age+$A$27)+60,IF($DO$26,(Age+A40)-(Age+$A$27)+55,Age+A40)))</f>
        <v>74</v>
      </c>
      <c r="DK40" s="279"/>
      <c r="DL40" s="279"/>
      <c r="DP40" s="43">
        <f t="shared" si="35"/>
        <v>0</v>
      </c>
      <c r="DQ40" s="43">
        <f>IFERROR(VLOOKUP(IF(A40&lt;=DP,DJ40,DI40),SSV!$K$6:$L$91,2,FALSE)*SUM($B$27:B40),0)*($DQ$25)</f>
        <v>0</v>
      </c>
      <c r="DR40" s="43">
        <f>IFERROR(VLOOKUP(IF(A40&lt;=DP,DJ40,DI40),SSV!$O$6:$P$95,2,FALSE)*SUM($B$27:B40),0)*($DR$25)</f>
        <v>0</v>
      </c>
      <c r="DU40" s="175">
        <f t="shared" si="16"/>
        <v>1</v>
      </c>
    </row>
    <row r="41" spans="1:125" x14ac:dyDescent="0.2">
      <c r="A41" s="146">
        <f t="shared" si="17"/>
        <v>15</v>
      </c>
      <c r="B41" s="670">
        <f>IF(PremiumType="Regular Premium",'All Options'!$E$18*'All Options'!$E$22*(AND(Output!A41&lt;=PPT,A41&gt;=1)),'All Options'!$E$18*(A41=1))</f>
        <v>0</v>
      </c>
      <c r="C41" s="671"/>
      <c r="D41" s="103" t="e">
        <f>((VLOOKUP(CONCATENATE($D$14,$D$15),'All Options'!$AB$36:$AC$47,4,0)*VLOOKUP('All Options'!$E$22,'Valid Data-GPG'!$B$130:$F$134,MATCH('All Options'!$E$17,'Valid Data-GPG'!$B$130:$F$130,0),0)*'All Options'!$E$17)*IF(Select="Deferred Annuity",A41&gt;DP,1)+AE41+AF41*AG41*$AG$21)*(A41&gt;0)</f>
        <v>#N/A</v>
      </c>
      <c r="E41" s="103">
        <v>0</v>
      </c>
      <c r="F41" s="103" t="e">
        <f t="shared" si="18"/>
        <v>#N/A</v>
      </c>
      <c r="G41" s="103">
        <f t="shared" si="2"/>
        <v>0</v>
      </c>
      <c r="H41" s="285">
        <f t="shared" si="19"/>
        <v>4436040.9704291951</v>
      </c>
      <c r="I41" s="103">
        <f t="shared" si="20"/>
        <v>4436040.9704291951</v>
      </c>
      <c r="J41" s="101"/>
      <c r="K41" s="175">
        <f t="shared" si="21"/>
        <v>74</v>
      </c>
      <c r="L41" s="175"/>
      <c r="M41" s="175"/>
      <c r="N41" s="175"/>
      <c r="O41" s="175"/>
      <c r="P41" s="175"/>
      <c r="Q41" s="175"/>
      <c r="R41" s="175">
        <f t="shared" si="22"/>
        <v>0</v>
      </c>
      <c r="U41" s="162" t="e">
        <f t="shared" si="36"/>
        <v>#N/A</v>
      </c>
      <c r="AB41" s="175" t="e">
        <f>(VLOOKUP(CONCATENATE($D$14,$D$15),'All Options'!$AB$36:$AC$47,4,0)*VLOOKUP('All Options'!$E$22,'Valid Data-GPG'!$B$130:$F$134,MATCH('All Options'!$E$17,'Valid Data-GPG'!$B$130:$F$130,0),0)*'All Options'!$E$17)*IF(Select="Deferred Annuity",A41&gt;DP,1)*(A41&gt;0)</f>
        <v>#N/A</v>
      </c>
      <c r="AC41" s="175">
        <f t="shared" si="3"/>
        <v>0</v>
      </c>
      <c r="AD41" s="175">
        <f>SUM($AC$26:AC41)</f>
        <v>0</v>
      </c>
      <c r="AE41" s="175">
        <f t="shared" si="4"/>
        <v>0</v>
      </c>
      <c r="AF41" s="175">
        <f t="shared" si="5"/>
        <v>0</v>
      </c>
      <c r="AG41" s="175" t="b">
        <f>(SUM($AF$26:AF41)&lt;=$AB$17)</f>
        <v>1</v>
      </c>
      <c r="AY41" s="175"/>
      <c r="AZ41" s="66">
        <f>((MAX((SUM($B$26:C41)+(VLOOKUP($AZ$25,'All Options'!$AB$36:$AC$46,2,0)*VLOOKUP('All Options'!$E$22,'Valid Data-GPG'!$B$130:$F$134,MATCH('All Options'!$E$17,'Valid Data-GPG'!$B$130:$F$130,0),0)*'All Options'!$E$17)*(IF(A41&lt;=DP,A41,0))),105%*SUM($B$26:C41)))*(AND(A41&lt;&gt;0,Output!A41&lt;=DP))+(0)*(A41&gt;DP))*$AZ$21</f>
        <v>0</v>
      </c>
      <c r="BA41" s="175" t="e">
        <f>((MAX((SUM($B$26:C41)+(VLOOKUP($BA$25,'All Options'!$AB$36:$AC$46,2,0)*VLOOKUP('All Options'!$E$22,'Valid Data-GPG'!$B$130:$F$134,MATCH('All Options'!$E$17,'Valid Data-GPG'!$B$130:$F$130,0),0)*'All Options'!$E$17)*(IF(A41&lt;=DP,A41,0))),105%*SUM($B$26:C41)))*(Output!A41&lt;=DP)
+MAX((SUM($B$26:C41)+(VLOOKUP($BA$25,'All Options'!$AB$36:$AC$46,2,0)*VLOOKUP('All Options'!$E$22,'Valid Data-GPG'!$B$130:$F$134,MATCH('All Options'!$E$17,'Valid Data-GPG'!$B$130:$F$130,0),0)*'All Options'!$E$17)*DP-D41*(A41-DP)),SUM($B$26:C41))*(A41&gt;DP))*$BA$21</f>
        <v>#N/A</v>
      </c>
      <c r="BB41" s="175">
        <f>((MAX(($AB$17+(VLOOKUP($BB$25,'All Options'!$AB$36:$AC$46,2,0)*VLOOKUP('All Options'!$E$22,'Valid Data-GPG'!$B$130:$F$134,MATCH('All Options'!$E$17,'Valid Data-GPG'!$B$130:$F$130,0),0)*'All Options'!$E$17)*(IF(A41&lt;=DP,A41,0))),105%*$AB$17))*(Output!A41&lt;=DP)+(0)*(A41&gt;DP))*$BB$21</f>
        <v>0</v>
      </c>
      <c r="BC41" s="175" t="e">
        <f>((MAX(($AB$17+(VLOOKUP($BC$25,'All Options'!$AB$36:$AC$46,2,0)*VLOOKUP('All Options'!$E$22,'Valid Data-GPG'!$B$130:$F$134,MATCH('All Options'!$E$17,'Valid Data-GPG'!$B$130:$F$130,0),0)*'All Options'!$E$17)*(IF(A41&lt;=DP,A41,0))),105%*$AB$17))*(Output!A41&lt;=DP)+
MAX(($AB$17+(VLOOKUP($BC$25,'All Options'!$AB$36:$AC$46,2,0)*VLOOKUP('All Options'!$E$22,'Valid Data-GPG'!$B$130:$F$134,MATCH('All Options'!$E$17,'Valid Data-GPG'!$B$130:$F$130,0),0)*'All Options'!$E$17)*DP-D41*(A41-DP)),$AB$17)*(A41&gt;DP))*$BC$21</f>
        <v>#N/A</v>
      </c>
      <c r="BD41" s="175">
        <f ca="1">IFERROR((MAX(($AB$17+(VLOOKUP($BD$25,'All Options'!$AB$36:$AC$46,2,0)*VLOOKUP('All Options'!$E$22,'Valid Data-GPG'!$B$130:$F$134,MATCH('All Options'!$E$17,'Valid Data-GPG'!$B$130:$F$130,0),0)*'All Options'!$E$17)*(IF(A41&lt;=DP,A41,0))),105%*$AB$17))*(Output!A41&lt;=DP)
+MAX(($AB$17+(VLOOKUP($BD$25,'All Options'!$AB$36:$AC$46,2,0)*VLOOKUP('All Options'!$E$22,'Valid Data-GPG'!$B$130:$F$134,MATCH('All Options'!$E$17,'Valid Data-GPG'!$B$130:$F$130,0),0)*'All Options'!$E$17)*DP-D41*(A41-DP)),$AB$17)*(A41&gt;DP),0)*$BD$21</f>
        <v>0</v>
      </c>
      <c r="BE41" s="66">
        <f>IFERROR((MAX(($AB$17+(VLOOKUP($BE$25,'All Options'!$AB$36:$AC$46,2,0)*VLOOKUP('All Options'!$E$22,'Valid Data-GPG'!$B$130:$F$134,MATCH('All Options'!$E$17,'Valid Data-GPG'!$B$130:$F$130,0),0)*'All Options'!$E$17)*(IF(A41&lt;=DP,A41,0))),105%*$AB$17))*(Output!A41&lt;=DP)
+(MAX($AB$17+(VLOOKUP($BE$25,'All Options'!$AB$36:$AC$46,2,0)*VLOOKUP('All Options'!$E$22,'Valid Data-GPG'!$B$130:$F$134,MATCH('All Options'!$E$17,'Valid Data-GPG'!$B$130:$F$130,0),0)*'All Options'!$E$17)*DP-AB41*(A41-DP),$AB$17)*(MAX(A41&lt;=25,K41&lt;85)))*(A41&gt;DP),0)*$BE$21</f>
        <v>0</v>
      </c>
      <c r="BF41" s="175">
        <f>IFERROR((MAX(($AB$17+(VLOOKUP($BF$25,'All Options'!$AB$36:$AC$46,2,0)*VLOOKUP('All Options'!$E$22,'Valid Data-GPG'!$B$130:$F$134,MATCH('All Options'!$E$17,'Valid Data-GPG'!$B$130:$F$130,0),0)*'All Options'!$E$17)*(IF(A41&lt;=DP,A41,0))),105%*$AB$17))*(Output!A41&lt;=DP)
+(MAX($AB$17+(VLOOKUP($BF$25,'All Options'!$AB$36:$AC$46,2,0)*VLOOKUP('All Options'!$E$22,'Valid Data-GPG'!$B$130:$F$134,MATCH('All Options'!$E$17,'Valid Data-GPG'!$B$130:$F$130,0),0)*'All Options'!$E$17)*DP-AB41*(A41-DP),$AB$17)-SUM($AF$26:AF41)*AG41)*(A41&gt;DP)*AG41,0)*$BF$21</f>
        <v>0</v>
      </c>
      <c r="BG41" s="175">
        <f t="shared" si="23"/>
        <v>0</v>
      </c>
      <c r="BH41" s="182">
        <f t="shared" si="6"/>
        <v>5000000</v>
      </c>
      <c r="BI41" s="175">
        <f t="shared" si="24"/>
        <v>0</v>
      </c>
      <c r="BJ41" s="175">
        <f t="shared" si="25"/>
        <v>0</v>
      </c>
      <c r="BK41" s="175">
        <f t="shared" si="26"/>
        <v>0</v>
      </c>
      <c r="BL41" s="175">
        <f t="shared" si="27"/>
        <v>0</v>
      </c>
      <c r="BM41" s="175">
        <f t="shared" si="28"/>
        <v>0</v>
      </c>
      <c r="BN41" s="175">
        <f t="shared" si="29"/>
        <v>0</v>
      </c>
      <c r="BO41" s="182">
        <f t="shared" si="7"/>
        <v>0</v>
      </c>
      <c r="BP41" s="182">
        <f t="shared" si="8"/>
        <v>0</v>
      </c>
      <c r="BQ41" s="182">
        <f>MAX($AB$17-SUM($AF$26:AF41),0)*$BQ$21</f>
        <v>0</v>
      </c>
      <c r="BS41" s="175">
        <f t="shared" si="9"/>
        <v>1</v>
      </c>
      <c r="BT41" s="175">
        <f>IFERROR(IF(A41&lt;=1,0,VLOOKUP(DP,'Valid Data-GPG'!$A$116:$J$122,MATCH(Output!A41,'Valid Data-GPG'!$A$116:$J$116,0),FALSE)*SUM($B$26:C41))*(A41&lt;=DP),0)*$BT$21</f>
        <v>0</v>
      </c>
      <c r="BU41" s="175">
        <f>IFERROR(IF(A41&lt;=1,0,VLOOKUP(DP,'Valid Data-GPG'!$A$116:$J$122,MATCH(Output!A41,'Valid Data-GPG'!$A$116:$J$116,0),FALSE)*SUM($B$26:C41))*(A41&lt;=DP),0)*$BU$21</f>
        <v>0</v>
      </c>
      <c r="BV41" s="175">
        <f t="shared" si="10"/>
        <v>0</v>
      </c>
      <c r="BW41" s="175">
        <f t="shared" si="11"/>
        <v>0</v>
      </c>
      <c r="BX41" s="175">
        <f t="shared" si="12"/>
        <v>0</v>
      </c>
      <c r="BY41" s="175">
        <f t="shared" si="13"/>
        <v>0</v>
      </c>
      <c r="BZ41" s="175">
        <f t="shared" si="14"/>
        <v>0</v>
      </c>
      <c r="CA41" s="175">
        <f>(INDEX('SV calc_ignore'!$J$10:$J$1341,12*Output!A41-0))*BS41</f>
        <v>0</v>
      </c>
      <c r="CB41" s="175">
        <f t="shared" si="30"/>
        <v>0</v>
      </c>
      <c r="CC41" s="175">
        <f>(INDEX('SV calc_ignore'!$J$10:$J$1341,12*Output!A41-0))*BS41</f>
        <v>0</v>
      </c>
      <c r="CD41" s="175">
        <f t="shared" si="31"/>
        <v>0</v>
      </c>
      <c r="CE41" s="66">
        <f>(INDEX('SV calc_ignore'!$J$10:$J$1341,12*Output!A41-0))*($CE$21)</f>
        <v>0</v>
      </c>
      <c r="CF41" s="175">
        <f t="shared" si="32"/>
        <v>0</v>
      </c>
      <c r="CG41" s="175">
        <f>(INDEX('SV calc_ignore'!$J$10:$J$1341,12*Output!A41-0))*($CG$21)*(A41&gt;1)</f>
        <v>0</v>
      </c>
      <c r="CH41" s="175">
        <f>(INDEX('SV calc_ignore'!$J$10:$J$1341,12*Output!A41-0))*($CH$21)*(A41&gt;1)</f>
        <v>0</v>
      </c>
      <c r="CI41" s="175"/>
      <c r="CJ41" s="66">
        <f>(INDEX('SV calc_ignore'!$J$10:$J$1341,12*Output!A41-0))*($CJ$21)*(A41&gt;1)</f>
        <v>0</v>
      </c>
      <c r="CK41" s="66">
        <f>(INDEX('SV calc_ignore'!$Q$10:$Q$1341,12*Output!A41-0))*(AND(A41&gt;1,R41&lt;20))*($CK$21)</f>
        <v>0</v>
      </c>
      <c r="CL41" s="66">
        <f t="shared" si="33"/>
        <v>0</v>
      </c>
      <c r="CM41" s="175">
        <f>((INDEX('SV calc_ignore'!$J$10:$J$1341,12*Output!A41-0))+(INDEX('SV calc_ignore'!$O$10:$O$1341,12*Output!A41-0))*(A41&lt;'SV calc_ignore'!$Q$5))*(A41&gt;1)*($CM$21)</f>
        <v>0</v>
      </c>
      <c r="CN41" s="175">
        <v>0</v>
      </c>
      <c r="CO41" s="175">
        <f>(INDEX('SV calc_ignore'!$J$10:$J$1341,12*Output!A41-0))*(A41&gt;1)*($CO$21)</f>
        <v>0</v>
      </c>
      <c r="CP41" s="175">
        <v>0</v>
      </c>
      <c r="CQ41" s="175">
        <v>0</v>
      </c>
      <c r="CR41" s="175">
        <v>0</v>
      </c>
      <c r="CS41" s="175">
        <v>0</v>
      </c>
      <c r="CT41" s="175">
        <v>0</v>
      </c>
      <c r="CU41" s="175">
        <v>0</v>
      </c>
      <c r="CV41" s="175">
        <f>(INDEX('SV calc_ignore'!$J$10:$J$1341,12*Output!A41-0))*(A41&gt;1)*($CV$21)</f>
        <v>0</v>
      </c>
      <c r="CW41" s="66">
        <f>((INDEX('SV calc_ignore'!$J$10:$J$1341,12*Output!A41-0))+(INDEX('SV calc_ignore'!$O$10:$O$1351,12*Output!A41-0))*(A41&lt;'SV calc_ignore'!$Q$5))*(A41&gt;1)*($CW$21)</f>
        <v>0</v>
      </c>
      <c r="CX41" s="175">
        <f>(INDEX('SV calc_ignore'!$J$10:$J$1341,12*Output!A41-0))*(A41&gt;1)*($CX$21)</f>
        <v>0</v>
      </c>
      <c r="CY41" s="175">
        <f>(INDEX('SV calc_ignore'!$Q$10:$Q$1341,12*Output!A41-0))*(AND(A41&gt;1,R41&lt;20))*($CY$21)</f>
        <v>0</v>
      </c>
      <c r="CZ41" s="175">
        <f t="shared" si="34"/>
        <v>0</v>
      </c>
      <c r="DE41" s="43">
        <f>IF($DE$23,0,VLOOKUP(IF(A41&lt;=DP,DJ41,DI41),SSV!$B$6:$C$116,2,FALSE)*VLOOKUP(AnnuityOption,'All Options'!$AB$36:$AC$47,2,FALSE)*VLOOKUP('All Options'!$E$22,'Valid Data-GPG'!$B$130:$F$134,MATCH('All Options'!$E$17,'Valid Data-GPG'!$B$130:$F$130,0),0)*'All Options'!$E$17)*(IF(AND(Select="Deferred Annuity",AnnuityOption="Life Annuity"),A41&lt;=DP,1))</f>
        <v>2329421.9704291951</v>
      </c>
      <c r="DF41" s="43">
        <f>IF($DF$23,0,IF($DQ$25,DQ41,IF($DR$25,DR41,VLOOKUP(IF(A41&lt;=DP,DJ41,DI41),SSV!$G$6:$H$116,2,FALSE)*SUM($B$27:B41))))</f>
        <v>2106619</v>
      </c>
      <c r="DG41" s="43" t="e">
        <f>IF(A41&lt;=DP,VLOOKUP(DP-A40,SSV!$T$6:$U$15,2,FALSE),1)</f>
        <v>#N/A</v>
      </c>
      <c r="DH41" s="282">
        <f t="shared" si="15"/>
        <v>4436040.9704291951</v>
      </c>
      <c r="DI41" s="43">
        <f>IF($DM$26,MIN(Age,'All Options'!$E$21)+A40,IF($DN$26,(Age+A40)-Age+60,IF($DO$26,(Age+A40)-Age+55,Age+A40)))</f>
        <v>74</v>
      </c>
      <c r="DJ41" s="279">
        <f>IF($DM$26,MIN(Age+A41,'All Options'!$E$21+A41),IF($DN$26,(Age+A41)-(Age+$A$27)+60,IF($DO$26,(Age+A41)-(Age+$A$27)+55,Age+A41)))</f>
        <v>75</v>
      </c>
      <c r="DK41" s="279"/>
      <c r="DL41" s="279"/>
      <c r="DP41" s="43">
        <f t="shared" si="35"/>
        <v>0</v>
      </c>
      <c r="DQ41" s="43">
        <f>IFERROR(VLOOKUP(IF(A41&lt;=DP,DJ41,DI41),SSV!$K$6:$L$91,2,FALSE)*SUM($B$27:B41),0)*($DQ$25)</f>
        <v>0</v>
      </c>
      <c r="DR41" s="43">
        <f>IFERROR(VLOOKUP(IF(A41&lt;=DP,DJ41,DI41),SSV!$O$6:$P$95,2,FALSE)*SUM($B$27:B41),0)*($DR$25)</f>
        <v>0</v>
      </c>
      <c r="DU41" s="175">
        <f t="shared" si="16"/>
        <v>1</v>
      </c>
    </row>
    <row r="42" spans="1:125" ht="12.75" customHeight="1" x14ac:dyDescent="0.2">
      <c r="A42" s="146">
        <f t="shared" si="17"/>
        <v>16</v>
      </c>
      <c r="B42" s="670">
        <f>IF(PremiumType="Regular Premium",'All Options'!$E$18*'All Options'!$E$22*(AND(Output!A42&lt;=PPT,A42&gt;=1)),'All Options'!$E$18*(A42=1))</f>
        <v>0</v>
      </c>
      <c r="C42" s="671"/>
      <c r="D42" s="103" t="e">
        <f>((VLOOKUP(CONCATENATE($D$14,$D$15),'All Options'!$AB$36:$AC$47,4,0)*VLOOKUP('All Options'!$E$22,'Valid Data-GPG'!$B$130:$F$134,MATCH('All Options'!$E$17,'Valid Data-GPG'!$B$130:$F$130,0),0)*'All Options'!$E$17)*IF(Select="Deferred Annuity",A42&gt;DP,1)+AE42+AF42*AG42*$AG$21)*(A42&gt;0)</f>
        <v>#N/A</v>
      </c>
      <c r="E42" s="103">
        <v>0</v>
      </c>
      <c r="F42" s="103" t="e">
        <f t="shared" si="18"/>
        <v>#N/A</v>
      </c>
      <c r="G42" s="103">
        <f t="shared" si="2"/>
        <v>0</v>
      </c>
      <c r="H42" s="285">
        <f t="shared" si="19"/>
        <v>4447664.9191832598</v>
      </c>
      <c r="I42" s="103">
        <f t="shared" si="20"/>
        <v>4447664.9191832598</v>
      </c>
      <c r="J42" s="101"/>
      <c r="K42" s="175">
        <f t="shared" si="21"/>
        <v>75</v>
      </c>
      <c r="L42" s="175"/>
      <c r="M42" s="175"/>
      <c r="N42" s="175"/>
      <c r="O42" s="175"/>
      <c r="P42" s="175"/>
      <c r="Q42" s="175"/>
      <c r="R42" s="175">
        <f t="shared" si="22"/>
        <v>1</v>
      </c>
      <c r="U42" s="162" t="e">
        <f>D41+H41</f>
        <v>#N/A</v>
      </c>
      <c r="AB42" s="175" t="e">
        <f>(VLOOKUP(CONCATENATE($D$14,$D$15),'All Options'!$AB$36:$AC$47,4,0)*VLOOKUP('All Options'!$E$22,'Valid Data-GPG'!$B$130:$F$134,MATCH('All Options'!$E$17,'Valid Data-GPG'!$B$130:$F$130,0),0)*'All Options'!$E$17)*IF(Select="Deferred Annuity",A42&gt;DP,1)*(A42&gt;0)</f>
        <v>#N/A</v>
      </c>
      <c r="AC42" s="175">
        <f t="shared" si="3"/>
        <v>0</v>
      </c>
      <c r="AD42" s="175">
        <f>SUM($AC$26:AC42)</f>
        <v>0</v>
      </c>
      <c r="AE42" s="175">
        <f t="shared" si="4"/>
        <v>0</v>
      </c>
      <c r="AF42" s="175">
        <f t="shared" si="5"/>
        <v>250000</v>
      </c>
      <c r="AG42" s="175" t="b">
        <f>(SUM($AF$26:AF42)&lt;=$AB$17)</f>
        <v>1</v>
      </c>
      <c r="AH42" s="143"/>
      <c r="AY42" s="175"/>
      <c r="AZ42" s="66">
        <f>((MAX((SUM($B$26:C42)+(VLOOKUP($AZ$25,'All Options'!$AB$36:$AC$46,2,0)*VLOOKUP('All Options'!$E$22,'Valid Data-GPG'!$B$130:$F$134,MATCH('All Options'!$E$17,'Valid Data-GPG'!$B$130:$F$130,0),0)*'All Options'!$E$17)*(IF(A42&lt;=DP,A42,0))),105%*SUM($B$26:C42)))*(AND(A42&lt;&gt;0,Output!A42&lt;=DP))+(0)*(A42&gt;DP))*$AZ$21</f>
        <v>0</v>
      </c>
      <c r="BA42" s="175" t="e">
        <f>((MAX((SUM($B$26:C42)+(VLOOKUP($BA$25,'All Options'!$AB$36:$AC$46,2,0)*VLOOKUP('All Options'!$E$22,'Valid Data-GPG'!$B$130:$F$134,MATCH('All Options'!$E$17,'Valid Data-GPG'!$B$130:$F$130,0),0)*'All Options'!$E$17)*(IF(A42&lt;=DP,A42,0))),105%*SUM($B$26:C42)))*(Output!A42&lt;=DP)
+MAX((SUM($B$26:C42)+(VLOOKUP($BA$25,'All Options'!$AB$36:$AC$46,2,0)*VLOOKUP('All Options'!$E$22,'Valid Data-GPG'!$B$130:$F$134,MATCH('All Options'!$E$17,'Valid Data-GPG'!$B$130:$F$130,0),0)*'All Options'!$E$17)*DP-D42*(A42-DP)),SUM($B$26:C42))*(A42&gt;DP))*$BA$21</f>
        <v>#N/A</v>
      </c>
      <c r="BB42" s="175">
        <f>((MAX(($AB$17+(VLOOKUP($BB$25,'All Options'!$AB$36:$AC$46,2,0)*VLOOKUP('All Options'!$E$22,'Valid Data-GPG'!$B$130:$F$134,MATCH('All Options'!$E$17,'Valid Data-GPG'!$B$130:$F$130,0),0)*'All Options'!$E$17)*(IF(A42&lt;=DP,A42,0))),105%*$AB$17))*(Output!A42&lt;=DP)+(0)*(A42&gt;DP))*$BB$21</f>
        <v>0</v>
      </c>
      <c r="BC42" s="175" t="e">
        <f>((MAX(($AB$17+(VLOOKUP($BC$25,'All Options'!$AB$36:$AC$46,2,0)*VLOOKUP('All Options'!$E$22,'Valid Data-GPG'!$B$130:$F$134,MATCH('All Options'!$E$17,'Valid Data-GPG'!$B$130:$F$130,0),0)*'All Options'!$E$17)*(IF(A42&lt;=DP,A42,0))),105%*$AB$17))*(Output!A42&lt;=DP)+
MAX(($AB$17+(VLOOKUP($BC$25,'All Options'!$AB$36:$AC$46,2,0)*VLOOKUP('All Options'!$E$22,'Valid Data-GPG'!$B$130:$F$134,MATCH('All Options'!$E$17,'Valid Data-GPG'!$B$130:$F$130,0),0)*'All Options'!$E$17)*DP-D42*(A42-DP)),$AB$17)*(A42&gt;DP))*$BC$21</f>
        <v>#N/A</v>
      </c>
      <c r="BD42" s="175">
        <f ca="1">IFERROR((MAX(($AB$17+(VLOOKUP($BD$25,'All Options'!$AB$36:$AC$46,2,0)*VLOOKUP('All Options'!$E$22,'Valid Data-GPG'!$B$130:$F$134,MATCH('All Options'!$E$17,'Valid Data-GPG'!$B$130:$F$130,0),0)*'All Options'!$E$17)*(IF(A42&lt;=DP,A42,0))),105%*$AB$17))*(Output!A42&lt;=DP)
+MAX(($AB$17+(VLOOKUP($BD$25,'All Options'!$AB$36:$AC$46,2,0)*VLOOKUP('All Options'!$E$22,'Valid Data-GPG'!$B$130:$F$134,MATCH('All Options'!$E$17,'Valid Data-GPG'!$B$130:$F$130,0),0)*'All Options'!$E$17)*DP-D42*(A42-DP)),$AB$17)*(A42&gt;DP),0)*$BD$21</f>
        <v>0</v>
      </c>
      <c r="BE42" s="66">
        <f>IFERROR((MAX(($AB$17+(VLOOKUP($BE$25,'All Options'!$AB$36:$AC$46,2,0)*VLOOKUP('All Options'!$E$22,'Valid Data-GPG'!$B$130:$F$134,MATCH('All Options'!$E$17,'Valid Data-GPG'!$B$130:$F$130,0),0)*'All Options'!$E$17)*(IF(A42&lt;=DP,A42,0))),105%*$AB$17))*(Output!A42&lt;=DP)
+(MAX($AB$17+(VLOOKUP($BE$25,'All Options'!$AB$36:$AC$46,2,0)*VLOOKUP('All Options'!$E$22,'Valid Data-GPG'!$B$130:$F$134,MATCH('All Options'!$E$17,'Valid Data-GPG'!$B$130:$F$130,0),0)*'All Options'!$E$17)*DP-AB42*(A42-DP),$AB$17)*(MAX(A42&lt;=25,K42&lt;85)))*(A42&gt;DP),0)*$BE$21</f>
        <v>0</v>
      </c>
      <c r="BF42" s="175">
        <f>IFERROR((MAX(($AB$17+(VLOOKUP($BF$25,'All Options'!$AB$36:$AC$46,2,0)*VLOOKUP('All Options'!$E$22,'Valid Data-GPG'!$B$130:$F$134,MATCH('All Options'!$E$17,'Valid Data-GPG'!$B$130:$F$130,0),0)*'All Options'!$E$17)*(IF(A42&lt;=DP,A42,0))),105%*$AB$17))*(Output!A42&lt;=DP)
+(MAX($AB$17+(VLOOKUP($BF$25,'All Options'!$AB$36:$AC$46,2,0)*VLOOKUP('All Options'!$E$22,'Valid Data-GPG'!$B$130:$F$134,MATCH('All Options'!$E$17,'Valid Data-GPG'!$B$130:$F$130,0),0)*'All Options'!$E$17)*DP-AB42*(A42-DP),$AB$17)-SUM($AF$26:AF42)*AG42)*(A42&gt;DP)*AG42,0)*$BF$21</f>
        <v>0</v>
      </c>
      <c r="BG42" s="175">
        <f t="shared" si="23"/>
        <v>0</v>
      </c>
      <c r="BH42" s="182">
        <f t="shared" si="6"/>
        <v>5000000</v>
      </c>
      <c r="BI42" s="175">
        <f t="shared" si="24"/>
        <v>0</v>
      </c>
      <c r="BJ42" s="175">
        <f t="shared" si="25"/>
        <v>0</v>
      </c>
      <c r="BK42" s="175">
        <f t="shared" si="26"/>
        <v>0</v>
      </c>
      <c r="BL42" s="175">
        <f t="shared" si="27"/>
        <v>0</v>
      </c>
      <c r="BM42" s="175">
        <f t="shared" si="28"/>
        <v>0</v>
      </c>
      <c r="BN42" s="175">
        <f t="shared" si="29"/>
        <v>0</v>
      </c>
      <c r="BO42" s="182">
        <f t="shared" si="7"/>
        <v>0</v>
      </c>
      <c r="BP42" s="182">
        <f t="shared" si="8"/>
        <v>0</v>
      </c>
      <c r="BQ42" s="182">
        <f>MAX($AB$17-SUM($AF$26:AF42),0)*$BQ$21</f>
        <v>0</v>
      </c>
      <c r="BS42" s="175">
        <f t="shared" si="9"/>
        <v>1</v>
      </c>
      <c r="BT42" s="175">
        <f>IFERROR(IF(A42&lt;=1,0,VLOOKUP(DP,'Valid Data-GPG'!$A$116:$J$122,MATCH(Output!A42,'Valid Data-GPG'!$A$116:$J$116,0),FALSE)*SUM($B$26:C42))*(A42&lt;=DP),0)*$BT$21</f>
        <v>0</v>
      </c>
      <c r="BU42" s="175">
        <f>IFERROR(IF(A42&lt;=1,0,VLOOKUP(DP,'Valid Data-GPG'!$A$116:$J$122,MATCH(Output!A42,'Valid Data-GPG'!$A$116:$J$116,0),FALSE)*SUM($B$26:C42))*(A42&lt;=DP),0)*$BU$21</f>
        <v>0</v>
      </c>
      <c r="BV42" s="175">
        <f t="shared" si="10"/>
        <v>0</v>
      </c>
      <c r="BW42" s="175">
        <f t="shared" si="11"/>
        <v>0</v>
      </c>
      <c r="BX42" s="175">
        <f t="shared" si="12"/>
        <v>0</v>
      </c>
      <c r="BY42" s="175">
        <f t="shared" si="13"/>
        <v>0</v>
      </c>
      <c r="BZ42" s="175">
        <f t="shared" si="14"/>
        <v>0</v>
      </c>
      <c r="CA42" s="175">
        <f>(INDEX('SV calc_ignore'!$J$10:$J$1341,12*Output!A42-0))*BS42</f>
        <v>0</v>
      </c>
      <c r="CB42" s="175">
        <f t="shared" si="30"/>
        <v>0</v>
      </c>
      <c r="CC42" s="175">
        <f>(INDEX('SV calc_ignore'!$J$10:$J$1341,12*Output!A42-0))*BS42</f>
        <v>0</v>
      </c>
      <c r="CD42" s="175">
        <f t="shared" si="31"/>
        <v>0</v>
      </c>
      <c r="CE42" s="66">
        <f>(INDEX('SV calc_ignore'!$J$10:$J$1341,12*Output!A42-0))*($CE$21)</f>
        <v>0</v>
      </c>
      <c r="CF42" s="175">
        <f t="shared" si="32"/>
        <v>0</v>
      </c>
      <c r="CG42" s="175">
        <f>(INDEX('SV calc_ignore'!$J$10:$J$1341,12*Output!A42-0))*($CG$21)*(A42&gt;1)</f>
        <v>0</v>
      </c>
      <c r="CH42" s="175">
        <f>(INDEX('SV calc_ignore'!$J$10:$J$1341,12*Output!A42-0))*($CH$21)*(A42&gt;1)</f>
        <v>0</v>
      </c>
      <c r="CI42" s="175"/>
      <c r="CJ42" s="66">
        <f>(INDEX('SV calc_ignore'!$J$10:$J$1341,12*Output!A42-0))*($CJ$21)*(A42&gt;1)</f>
        <v>0</v>
      </c>
      <c r="CK42" s="66">
        <f>(INDEX('SV calc_ignore'!$Q$10:$Q$1341,12*Output!A42-0))*(AND(A42&gt;1,R42&lt;20))*($CK$21)</f>
        <v>0</v>
      </c>
      <c r="CL42" s="66">
        <f t="shared" si="33"/>
        <v>0</v>
      </c>
      <c r="CM42" s="175">
        <f>((INDEX('SV calc_ignore'!$J$10:$J$1341,12*Output!A42-0))+(INDEX('SV calc_ignore'!$O$10:$O$1341,12*Output!A42-0))*(A42&lt;'SV calc_ignore'!$Q$5))*(A42&gt;1)*($CM$21)</f>
        <v>0</v>
      </c>
      <c r="CN42" s="175">
        <v>0</v>
      </c>
      <c r="CO42" s="175">
        <f>(INDEX('SV calc_ignore'!$J$10:$J$1341,12*Output!A42-0))*(A42&gt;1)*($CO$21)</f>
        <v>0</v>
      </c>
      <c r="CP42" s="175">
        <v>0</v>
      </c>
      <c r="CQ42" s="175">
        <v>0</v>
      </c>
      <c r="CR42" s="175">
        <v>0</v>
      </c>
      <c r="CS42" s="175">
        <v>0</v>
      </c>
      <c r="CT42" s="175">
        <v>0</v>
      </c>
      <c r="CU42" s="175">
        <v>0</v>
      </c>
      <c r="CV42" s="175">
        <f>(INDEX('SV calc_ignore'!$J$10:$J$1341,12*Output!A42-0))*(A42&gt;1)*($CV$21)</f>
        <v>0</v>
      </c>
      <c r="CW42" s="66">
        <f>((INDEX('SV calc_ignore'!$J$10:$J$1341,12*Output!A42-0))+(INDEX('SV calc_ignore'!$O$10:$O$1351,12*Output!A42-0))*(A42&lt;'SV calc_ignore'!$Q$5))*(A42&gt;1)*($CW$21)</f>
        <v>0</v>
      </c>
      <c r="CX42" s="175">
        <f>(INDEX('SV calc_ignore'!$J$10:$J$1341,12*Output!A42-0))*(A42&gt;1)*($CX$21)</f>
        <v>0</v>
      </c>
      <c r="CY42" s="175">
        <f>(INDEX('SV calc_ignore'!$Q$10:$Q$1341,12*Output!A42-0))*(AND(A42&gt;1,R42&lt;20))*($CY$21)</f>
        <v>0</v>
      </c>
      <c r="CZ42" s="175">
        <f t="shared" si="34"/>
        <v>0</v>
      </c>
      <c r="DE42" s="43">
        <f>IF($DE$23,0,VLOOKUP(IF(A42&lt;=DP,DJ42,DI42),SSV!$B$6:$C$116,2,FALSE)*VLOOKUP(AnnuityOption,'All Options'!$AB$36:$AC$47,2,FALSE)*VLOOKUP('All Options'!$E$22,'Valid Data-GPG'!$B$130:$F$134,MATCH('All Options'!$E$17,'Valid Data-GPG'!$B$130:$F$130,0),0)*'All Options'!$E$17)*(IF(AND(Select="Deferred Annuity",AnnuityOption="Life Annuity"),A42&lt;=DP,1))</f>
        <v>2258874.4191832598</v>
      </c>
      <c r="DF42" s="43">
        <f>IF($DF$23,0,IF($DQ$25,DQ42,IF($DR$25,DR42,VLOOKUP(IF(A42&lt;=DP,DJ42,DI42),SSV!$G$6:$H$116,2,FALSE)*SUM($B$27:B42))))</f>
        <v>2188790.5</v>
      </c>
      <c r="DG42" s="43" t="e">
        <f>IF(A42&lt;=DP,VLOOKUP(DP-A41,SSV!$T$6:$U$15,2,FALSE),1)</f>
        <v>#N/A</v>
      </c>
      <c r="DH42" s="282">
        <f t="shared" si="15"/>
        <v>4447664.9191832598</v>
      </c>
      <c r="DI42" s="43">
        <f>IF($DM$26,MIN(Age,'All Options'!$E$21)+A41,IF($DN$26,(Age+A41)-Age+60,IF($DO$26,(Age+A41)-Age+55,Age+A41)))</f>
        <v>75</v>
      </c>
      <c r="DJ42" s="279">
        <f>IF($DM$26,MIN(Age+A42,'All Options'!$E$21+A42),IF($DN$26,(Age+A42)-(Age+$A$27)+60,IF($DO$26,(Age+A42)-(Age+$A$27)+55,Age+A42)))</f>
        <v>76</v>
      </c>
      <c r="DK42" s="279"/>
      <c r="DL42" s="279"/>
      <c r="DP42" s="43">
        <f t="shared" si="35"/>
        <v>0</v>
      </c>
      <c r="DQ42" s="43">
        <f>IFERROR(VLOOKUP(IF(A42&lt;=DP,DJ42,DI42),SSV!$K$6:$L$91,2,FALSE)*SUM($B$27:B42),0)*($DQ$25)</f>
        <v>0</v>
      </c>
      <c r="DR42" s="43">
        <f>IFERROR(VLOOKUP(IF(A42&lt;=DP,DJ42,DI42),SSV!$O$6:$P$95,2,FALSE)*SUM($B$27:B42),0)*($DR$25)</f>
        <v>0</v>
      </c>
      <c r="DU42" s="175">
        <f t="shared" si="16"/>
        <v>1</v>
      </c>
    </row>
    <row r="43" spans="1:125" ht="12.75" customHeight="1" x14ac:dyDescent="0.2">
      <c r="A43" s="146">
        <f t="shared" si="17"/>
        <v>17</v>
      </c>
      <c r="B43" s="670">
        <f>IF(PremiumType="Regular Premium",'All Options'!$E$18*'All Options'!$E$22*(AND(Output!A43&lt;=PPT,A43&gt;=1)),'All Options'!$E$18*(A43=1))</f>
        <v>0</v>
      </c>
      <c r="C43" s="671"/>
      <c r="D43" s="103" t="e">
        <f>((VLOOKUP(CONCATENATE($D$14,$D$15),'All Options'!$AB$36:$AC$47,4,0)*VLOOKUP('All Options'!$E$22,'Valid Data-GPG'!$B$130:$F$134,MATCH('All Options'!$E$17,'Valid Data-GPG'!$B$130:$F$130,0),0)*'All Options'!$E$17)*IF(Select="Deferred Annuity",A43&gt;DP,1)+AE43+AF43*AG43*$AG$21)*(A43&gt;0)</f>
        <v>#N/A</v>
      </c>
      <c r="E43" s="103">
        <v>0</v>
      </c>
      <c r="F43" s="103" t="e">
        <f t="shared" si="18"/>
        <v>#N/A</v>
      </c>
      <c r="G43" s="103">
        <f t="shared" si="2"/>
        <v>0</v>
      </c>
      <c r="H43" s="285">
        <f t="shared" si="19"/>
        <v>4459199.8961941516</v>
      </c>
      <c r="I43" s="103">
        <f t="shared" si="20"/>
        <v>4459199.8961941516</v>
      </c>
      <c r="J43" s="101"/>
      <c r="K43" s="175">
        <f t="shared" si="21"/>
        <v>76</v>
      </c>
      <c r="L43" s="175"/>
      <c r="M43" s="175"/>
      <c r="N43" s="175"/>
      <c r="O43" s="175"/>
      <c r="P43" s="175"/>
      <c r="Q43" s="175"/>
      <c r="R43" s="175">
        <f t="shared" si="22"/>
        <v>2</v>
      </c>
      <c r="U43" s="238" t="e">
        <f>IRR(U27:U42)</f>
        <v>#VALUE!</v>
      </c>
      <c r="AB43" s="175" t="e">
        <f>(VLOOKUP(CONCATENATE($D$14,$D$15),'All Options'!$AB$36:$AC$47,4,0)*VLOOKUP('All Options'!$E$22,'Valid Data-GPG'!$B$130:$F$134,MATCH('All Options'!$E$17,'Valid Data-GPG'!$B$130:$F$130,0),0)*'All Options'!$E$17)*IF(Select="Deferred Annuity",A43&gt;DP,1)*(A43&gt;0)</f>
        <v>#N/A</v>
      </c>
      <c r="AC43" s="175">
        <f t="shared" si="3"/>
        <v>0</v>
      </c>
      <c r="AD43" s="175">
        <f>SUM($AC$26:AC43)</f>
        <v>0</v>
      </c>
      <c r="AE43" s="175">
        <f t="shared" si="4"/>
        <v>0</v>
      </c>
      <c r="AF43" s="175">
        <f t="shared" si="5"/>
        <v>250000</v>
      </c>
      <c r="AG43" s="175" t="b">
        <f>(SUM($AF$26:AF43)&lt;=$AB$17)</f>
        <v>1</v>
      </c>
      <c r="AH43" s="143"/>
      <c r="AY43" s="175"/>
      <c r="AZ43" s="66">
        <f>((MAX((SUM($B$26:C43)+(VLOOKUP($AZ$25,'All Options'!$AB$36:$AC$46,2,0)*VLOOKUP('All Options'!$E$22,'Valid Data-GPG'!$B$130:$F$134,MATCH('All Options'!$E$17,'Valid Data-GPG'!$B$130:$F$130,0),0)*'All Options'!$E$17)*(IF(A43&lt;=DP,A43,0))),105%*SUM($B$26:C43)))*(AND(A43&lt;&gt;0,Output!A43&lt;=DP))+(0)*(A43&gt;DP))*$AZ$21</f>
        <v>0</v>
      </c>
      <c r="BA43" s="175" t="e">
        <f>((MAX((SUM($B$26:C43)+(VLOOKUP($BA$25,'All Options'!$AB$36:$AC$46,2,0)*VLOOKUP('All Options'!$E$22,'Valid Data-GPG'!$B$130:$F$134,MATCH('All Options'!$E$17,'Valid Data-GPG'!$B$130:$F$130,0),0)*'All Options'!$E$17)*(IF(A43&lt;=DP,A43,0))),105%*SUM($B$26:C43)))*(Output!A43&lt;=DP)
+MAX((SUM($B$26:C43)+(VLOOKUP($BA$25,'All Options'!$AB$36:$AC$46,2,0)*VLOOKUP('All Options'!$E$22,'Valid Data-GPG'!$B$130:$F$134,MATCH('All Options'!$E$17,'Valid Data-GPG'!$B$130:$F$130,0),0)*'All Options'!$E$17)*DP-D43*(A43-DP)),SUM($B$26:C43))*(A43&gt;DP))*$BA$21</f>
        <v>#N/A</v>
      </c>
      <c r="BB43" s="175">
        <f>((MAX(($AB$17+(VLOOKUP($BB$25,'All Options'!$AB$36:$AC$46,2,0)*VLOOKUP('All Options'!$E$22,'Valid Data-GPG'!$B$130:$F$134,MATCH('All Options'!$E$17,'Valid Data-GPG'!$B$130:$F$130,0),0)*'All Options'!$E$17)*(IF(A43&lt;=DP,A43,0))),105%*$AB$17))*(Output!A43&lt;=DP)+(0)*(A43&gt;DP))*$BB$21</f>
        <v>0</v>
      </c>
      <c r="BC43" s="175" t="e">
        <f>((MAX(($AB$17+(VLOOKUP($BC$25,'All Options'!$AB$36:$AC$46,2,0)*VLOOKUP('All Options'!$E$22,'Valid Data-GPG'!$B$130:$F$134,MATCH('All Options'!$E$17,'Valid Data-GPG'!$B$130:$F$130,0),0)*'All Options'!$E$17)*(IF(A43&lt;=DP,A43,0))),105%*$AB$17))*(Output!A43&lt;=DP)+
MAX(($AB$17+(VLOOKUP($BC$25,'All Options'!$AB$36:$AC$46,2,0)*VLOOKUP('All Options'!$E$22,'Valid Data-GPG'!$B$130:$F$134,MATCH('All Options'!$E$17,'Valid Data-GPG'!$B$130:$F$130,0),0)*'All Options'!$E$17)*DP-D43*(A43-DP)),$AB$17)*(A43&gt;DP))*$BC$21</f>
        <v>#N/A</v>
      </c>
      <c r="BD43" s="175">
        <f ca="1">IFERROR((MAX(($AB$17+(VLOOKUP($BD$25,'All Options'!$AB$36:$AC$46,2,0)*VLOOKUP('All Options'!$E$22,'Valid Data-GPG'!$B$130:$F$134,MATCH('All Options'!$E$17,'Valid Data-GPG'!$B$130:$F$130,0),0)*'All Options'!$E$17)*(IF(A43&lt;=DP,A43,0))),105%*$AB$17))*(Output!A43&lt;=DP)
+MAX(($AB$17+(VLOOKUP($BD$25,'All Options'!$AB$36:$AC$46,2,0)*VLOOKUP('All Options'!$E$22,'Valid Data-GPG'!$B$130:$F$134,MATCH('All Options'!$E$17,'Valid Data-GPG'!$B$130:$F$130,0),0)*'All Options'!$E$17)*DP-D43*(A43-DP)),$AB$17)*(A43&gt;DP),0)*$BD$21</f>
        <v>0</v>
      </c>
      <c r="BE43" s="66">
        <f>IFERROR((MAX(($AB$17+(VLOOKUP($BE$25,'All Options'!$AB$36:$AC$46,2,0)*VLOOKUP('All Options'!$E$22,'Valid Data-GPG'!$B$130:$F$134,MATCH('All Options'!$E$17,'Valid Data-GPG'!$B$130:$F$130,0),0)*'All Options'!$E$17)*(IF(A43&lt;=DP,A43,0))),105%*$AB$17))*(Output!A43&lt;=DP)
+(MAX($AB$17+(VLOOKUP($BE$25,'All Options'!$AB$36:$AC$46,2,0)*VLOOKUP('All Options'!$E$22,'Valid Data-GPG'!$B$130:$F$134,MATCH('All Options'!$E$17,'Valid Data-GPG'!$B$130:$F$130,0),0)*'All Options'!$E$17)*DP-AB43*(A43-DP),$AB$17)*(MAX(A43&lt;=25,K43&lt;85)))*(A43&gt;DP),0)*$BE$21</f>
        <v>0</v>
      </c>
      <c r="BF43" s="175">
        <f>IFERROR((MAX(($AB$17+(VLOOKUP($BF$25,'All Options'!$AB$36:$AC$46,2,0)*VLOOKUP('All Options'!$E$22,'Valid Data-GPG'!$B$130:$F$134,MATCH('All Options'!$E$17,'Valid Data-GPG'!$B$130:$F$130,0),0)*'All Options'!$E$17)*(IF(A43&lt;=DP,A43,0))),105%*$AB$17))*(Output!A43&lt;=DP)
+(MAX($AB$17+(VLOOKUP($BF$25,'All Options'!$AB$36:$AC$46,2,0)*VLOOKUP('All Options'!$E$22,'Valid Data-GPG'!$B$130:$F$134,MATCH('All Options'!$E$17,'Valid Data-GPG'!$B$130:$F$130,0),0)*'All Options'!$E$17)*DP-AB43*(A43-DP),$AB$17)-SUM($AF$26:AF43)*AG43)*(A43&gt;DP)*AG43,0)*$BF$21</f>
        <v>0</v>
      </c>
      <c r="BG43" s="175">
        <f t="shared" si="23"/>
        <v>0</v>
      </c>
      <c r="BH43" s="182">
        <f t="shared" si="6"/>
        <v>5000000</v>
      </c>
      <c r="BI43" s="175">
        <f t="shared" si="24"/>
        <v>0</v>
      </c>
      <c r="BJ43" s="175">
        <f t="shared" si="25"/>
        <v>0</v>
      </c>
      <c r="BK43" s="175">
        <f t="shared" si="26"/>
        <v>0</v>
      </c>
      <c r="BL43" s="175">
        <f t="shared" si="27"/>
        <v>0</v>
      </c>
      <c r="BM43" s="175">
        <f t="shared" si="28"/>
        <v>0</v>
      </c>
      <c r="BN43" s="175">
        <f t="shared" si="29"/>
        <v>0</v>
      </c>
      <c r="BO43" s="182">
        <f t="shared" si="7"/>
        <v>0</v>
      </c>
      <c r="BP43" s="182">
        <f t="shared" si="8"/>
        <v>0</v>
      </c>
      <c r="BQ43" s="182">
        <f>MAX($AB$17-SUM($AF$26:AF43),0)*$BQ$21</f>
        <v>0</v>
      </c>
      <c r="BS43" s="175">
        <f t="shared" si="9"/>
        <v>1</v>
      </c>
      <c r="BT43" s="175">
        <f>IFERROR(IF(A43&lt;=1,0,VLOOKUP(DP,'Valid Data-GPG'!$A$116:$J$122,MATCH(Output!A43,'Valid Data-GPG'!$A$116:$J$116,0),FALSE)*SUM($B$26:C43))*(A43&lt;=DP),0)*$BT$21</f>
        <v>0</v>
      </c>
      <c r="BU43" s="175">
        <f>IFERROR(IF(A43&lt;=1,0,VLOOKUP(DP,'Valid Data-GPG'!$A$116:$J$122,MATCH(Output!A43,'Valid Data-GPG'!$A$116:$J$116,0),FALSE)*SUM($B$26:C43))*(A43&lt;=DP),0)*$BU$21</f>
        <v>0</v>
      </c>
      <c r="BV43" s="175">
        <f t="shared" si="10"/>
        <v>0</v>
      </c>
      <c r="BW43" s="175">
        <f t="shared" si="11"/>
        <v>0</v>
      </c>
      <c r="BX43" s="175">
        <f t="shared" si="12"/>
        <v>0</v>
      </c>
      <c r="BY43" s="175">
        <f t="shared" si="13"/>
        <v>0</v>
      </c>
      <c r="BZ43" s="175">
        <f t="shared" si="14"/>
        <v>0</v>
      </c>
      <c r="CA43" s="175">
        <f>(INDEX('SV calc_ignore'!$J$10:$J$1341,12*Output!A43-0))*BS43</f>
        <v>0</v>
      </c>
      <c r="CB43" s="175">
        <f t="shared" si="30"/>
        <v>0</v>
      </c>
      <c r="CC43" s="175">
        <f>(INDEX('SV calc_ignore'!$J$10:$J$1341,12*Output!A43-0))*BS43</f>
        <v>0</v>
      </c>
      <c r="CD43" s="175">
        <f t="shared" si="31"/>
        <v>0</v>
      </c>
      <c r="CE43" s="66">
        <f>(INDEX('SV calc_ignore'!$J$10:$J$1341,12*Output!A43-0))*($CE$21)</f>
        <v>0</v>
      </c>
      <c r="CF43" s="175">
        <f t="shared" si="32"/>
        <v>0</v>
      </c>
      <c r="CG43" s="175">
        <f>(INDEX('SV calc_ignore'!$J$10:$J$1341,12*Output!A43-0))*($CG$21)*(A43&gt;1)</f>
        <v>0</v>
      </c>
      <c r="CH43" s="175">
        <f>(INDEX('SV calc_ignore'!$J$10:$J$1341,12*Output!A43-0))*($CH$21)*(A43&gt;1)</f>
        <v>0</v>
      </c>
      <c r="CI43" s="175"/>
      <c r="CJ43" s="66">
        <f>(INDEX('SV calc_ignore'!$J$10:$J$1341,12*Output!A43-0))*($CJ$21)*(A43&gt;1)</f>
        <v>0</v>
      </c>
      <c r="CK43" s="66">
        <f>(INDEX('SV calc_ignore'!$Q$10:$Q$1341,12*Output!A43-0))*(AND(A43&gt;1,R43&lt;20))*($CK$21)</f>
        <v>0</v>
      </c>
      <c r="CL43" s="66">
        <f t="shared" si="33"/>
        <v>0</v>
      </c>
      <c r="CM43" s="175">
        <f>((INDEX('SV calc_ignore'!$J$10:$J$1341,12*Output!A43-0))+(INDEX('SV calc_ignore'!$O$10:$O$1341,12*Output!A43-0))*(A43&lt;'SV calc_ignore'!$Q$5))*(A43&gt;1)*($CM$21)</f>
        <v>0</v>
      </c>
      <c r="CN43" s="175">
        <v>0</v>
      </c>
      <c r="CO43" s="175">
        <f>(INDEX('SV calc_ignore'!$J$10:$J$1341,12*Output!A43-0))*(A43&gt;1)*($CO$21)</f>
        <v>0</v>
      </c>
      <c r="CP43" s="175">
        <v>0</v>
      </c>
      <c r="CQ43" s="175">
        <v>0</v>
      </c>
      <c r="CR43" s="175">
        <v>0</v>
      </c>
      <c r="CS43" s="175">
        <v>0</v>
      </c>
      <c r="CT43" s="175">
        <v>0</v>
      </c>
      <c r="CU43" s="175">
        <v>0</v>
      </c>
      <c r="CV43" s="175">
        <f>(INDEX('SV calc_ignore'!$J$10:$J$1341,12*Output!A43-0))*(A43&gt;1)*($CV$21)</f>
        <v>0</v>
      </c>
      <c r="CW43" s="66">
        <f>((INDEX('SV calc_ignore'!$J$10:$J$1341,12*Output!A43-0))+(INDEX('SV calc_ignore'!$O$10:$O$1351,12*Output!A43-0))*(A43&lt;'SV calc_ignore'!$Q$5))*(A43&gt;1)*($CW$21)</f>
        <v>0</v>
      </c>
      <c r="CX43" s="175">
        <f>(INDEX('SV calc_ignore'!$J$10:$J$1341,12*Output!A43-0))*(A43&gt;1)*($CX$21)</f>
        <v>0</v>
      </c>
      <c r="CY43" s="175">
        <f>(INDEX('SV calc_ignore'!$Q$10:$Q$1341,12*Output!A43-0))*(AND(A43&gt;1,R43&lt;20))*($CY$21)</f>
        <v>0</v>
      </c>
      <c r="CZ43" s="175">
        <f t="shared" si="34"/>
        <v>0</v>
      </c>
      <c r="DE43" s="43">
        <f>IF($DE$23,0,VLOOKUP(IF(A43&lt;=DP,DJ43,DI43),SSV!$B$6:$C$116,2,FALSE)*VLOOKUP(AnnuityOption,'All Options'!$AB$36:$AC$47,2,FALSE)*VLOOKUP('All Options'!$E$22,'Valid Data-GPG'!$B$130:$F$134,MATCH('All Options'!$E$17,'Valid Data-GPG'!$B$130:$F$130,0),0)*'All Options'!$E$17)*(IF(AND(Select="Deferred Annuity",AnnuityOption="Life Annuity"),A43&lt;=DP,1))</f>
        <v>2188894.8961941516</v>
      </c>
      <c r="DF43" s="43">
        <f>IF($DF$23,0,IF($DQ$25,DQ43,IF($DR$25,DR43,VLOOKUP(IF(A43&lt;=DP,DJ43,DI43),SSV!$G$6:$H$116,2,FALSE)*SUM($B$27:B43))))</f>
        <v>2270305</v>
      </c>
      <c r="DG43" s="43" t="e">
        <f>IF(A43&lt;=DP,VLOOKUP(DP-A42,SSV!$T$6:$U$15,2,FALSE),1)</f>
        <v>#N/A</v>
      </c>
      <c r="DH43" s="282">
        <f t="shared" si="15"/>
        <v>4459199.8961941516</v>
      </c>
      <c r="DI43" s="43">
        <f>IF($DM$26,MIN(Age,'All Options'!$E$21)+A42,IF($DN$26,(Age+A42)-Age+60,IF($DO$26,(Age+A42)-Age+55,Age+A42)))</f>
        <v>76</v>
      </c>
      <c r="DJ43" s="279">
        <f>IF($DM$26,MIN(Age+A43,'All Options'!$E$21+A43),IF($DN$26,(Age+A43)-(Age+$A$27)+60,IF($DO$26,(Age+A43)-(Age+$A$27)+55,Age+A43)))</f>
        <v>77</v>
      </c>
      <c r="DK43" s="279"/>
      <c r="DL43" s="279"/>
      <c r="DP43" s="43">
        <f t="shared" si="35"/>
        <v>0</v>
      </c>
      <c r="DQ43" s="43">
        <f>IFERROR(VLOOKUP(IF(A43&lt;=DP,DJ43,DI43),SSV!$K$6:$L$91,2,FALSE)*SUM($B$27:B43),0)*($DQ$25)</f>
        <v>0</v>
      </c>
      <c r="DR43" s="43">
        <f>IFERROR(VLOOKUP(IF(A43&lt;=DP,DJ43,DI43),SSV!$O$6:$P$95,2,FALSE)*SUM($B$27:B43),0)*($DR$25)</f>
        <v>0</v>
      </c>
      <c r="DU43" s="175">
        <f t="shared" si="16"/>
        <v>1</v>
      </c>
    </row>
    <row r="44" spans="1:125" ht="12.75" customHeight="1" x14ac:dyDescent="0.2">
      <c r="A44" s="146">
        <f t="shared" si="17"/>
        <v>18</v>
      </c>
      <c r="B44" s="670">
        <f>IF(PremiumType="Regular Premium",'All Options'!$E$18*'All Options'!$E$22*(AND(Output!A44&lt;=PPT,A44&gt;=1)),'All Options'!$E$18*(A44=1))</f>
        <v>0</v>
      </c>
      <c r="C44" s="671"/>
      <c r="D44" s="103" t="e">
        <f>((VLOOKUP(CONCATENATE($D$14,$D$15),'All Options'!$AB$36:$AC$47,4,0)*VLOOKUP('All Options'!$E$22,'Valid Data-GPG'!$B$130:$F$134,MATCH('All Options'!$E$17,'Valid Data-GPG'!$B$130:$F$130,0),0)*'All Options'!$E$17)*IF(Select="Deferred Annuity",A44&gt;DP,1)+AE44+AF44*AG44*$AG$21)*(A44&gt;0)</f>
        <v>#N/A</v>
      </c>
      <c r="E44" s="103">
        <v>0</v>
      </c>
      <c r="F44" s="103" t="e">
        <f t="shared" si="18"/>
        <v>#N/A</v>
      </c>
      <c r="G44" s="103">
        <f t="shared" si="2"/>
        <v>0</v>
      </c>
      <c r="H44" s="285">
        <f t="shared" si="19"/>
        <v>4470617.3223898709</v>
      </c>
      <c r="I44" s="103">
        <f t="shared" si="20"/>
        <v>4470617.3223898709</v>
      </c>
      <c r="J44" s="101"/>
      <c r="K44" s="175">
        <f t="shared" si="21"/>
        <v>77</v>
      </c>
      <c r="L44" s="175"/>
      <c r="M44" s="175"/>
      <c r="N44" s="175"/>
      <c r="O44" s="175"/>
      <c r="P44" s="175"/>
      <c r="Q44" s="175"/>
      <c r="R44" s="175">
        <f t="shared" si="22"/>
        <v>3</v>
      </c>
      <c r="U44" s="162"/>
      <c r="AB44" s="175" t="e">
        <f>(VLOOKUP(CONCATENATE($D$14,$D$15),'All Options'!$AB$36:$AC$47,4,0)*VLOOKUP('All Options'!$E$22,'Valid Data-GPG'!$B$130:$F$134,MATCH('All Options'!$E$17,'Valid Data-GPG'!$B$130:$F$130,0),0)*'All Options'!$E$17)*IF(Select="Deferred Annuity",A44&gt;DP,1)*(A44&gt;0)</f>
        <v>#N/A</v>
      </c>
      <c r="AC44" s="175">
        <f t="shared" si="3"/>
        <v>0</v>
      </c>
      <c r="AD44" s="175">
        <f>SUM($AC$26:AC44)</f>
        <v>0</v>
      </c>
      <c r="AE44" s="175">
        <f t="shared" si="4"/>
        <v>0</v>
      </c>
      <c r="AF44" s="175">
        <f t="shared" si="5"/>
        <v>250000</v>
      </c>
      <c r="AG44" s="175" t="b">
        <f>(SUM($AF$26:AF44)&lt;=$AB$17)</f>
        <v>1</v>
      </c>
      <c r="AH44" s="143"/>
      <c r="AY44" s="175"/>
      <c r="AZ44" s="66">
        <f>((MAX((SUM($B$26:C44)+(VLOOKUP($AZ$25,'All Options'!$AB$36:$AC$46,2,0)*VLOOKUP('All Options'!$E$22,'Valid Data-GPG'!$B$130:$F$134,MATCH('All Options'!$E$17,'Valid Data-GPG'!$B$130:$F$130,0),0)*'All Options'!$E$17)*(IF(A44&lt;=DP,A44,0))),105%*SUM($B$26:C44)))*(AND(A44&lt;&gt;0,Output!A44&lt;=DP))+(0)*(A44&gt;DP))*$AZ$21</f>
        <v>0</v>
      </c>
      <c r="BA44" s="175" t="e">
        <f>((MAX((SUM($B$26:C44)+(VLOOKUP($BA$25,'All Options'!$AB$36:$AC$46,2,0)*VLOOKUP('All Options'!$E$22,'Valid Data-GPG'!$B$130:$F$134,MATCH('All Options'!$E$17,'Valid Data-GPG'!$B$130:$F$130,0),0)*'All Options'!$E$17)*(IF(A44&lt;=DP,A44,0))),105%*SUM($B$26:C44)))*(Output!A44&lt;=DP)
+MAX((SUM($B$26:C44)+(VLOOKUP($BA$25,'All Options'!$AB$36:$AC$46,2,0)*VLOOKUP('All Options'!$E$22,'Valid Data-GPG'!$B$130:$F$134,MATCH('All Options'!$E$17,'Valid Data-GPG'!$B$130:$F$130,0),0)*'All Options'!$E$17)*DP-D44*(A44-DP)),SUM($B$26:C44))*(A44&gt;DP))*$BA$21</f>
        <v>#N/A</v>
      </c>
      <c r="BB44" s="175">
        <f>((MAX(($AB$17+(VLOOKUP($BB$25,'All Options'!$AB$36:$AC$46,2,0)*VLOOKUP('All Options'!$E$22,'Valid Data-GPG'!$B$130:$F$134,MATCH('All Options'!$E$17,'Valid Data-GPG'!$B$130:$F$130,0),0)*'All Options'!$E$17)*(IF(A44&lt;=DP,A44,0))),105%*$AB$17))*(Output!A44&lt;=DP)+(0)*(A44&gt;DP))*$BB$21</f>
        <v>0</v>
      </c>
      <c r="BC44" s="175" t="e">
        <f>((MAX(($AB$17+(VLOOKUP($BC$25,'All Options'!$AB$36:$AC$46,2,0)*VLOOKUP('All Options'!$E$22,'Valid Data-GPG'!$B$130:$F$134,MATCH('All Options'!$E$17,'Valid Data-GPG'!$B$130:$F$130,0),0)*'All Options'!$E$17)*(IF(A44&lt;=DP,A44,0))),105%*$AB$17))*(Output!A44&lt;=DP)+
MAX(($AB$17+(VLOOKUP($BC$25,'All Options'!$AB$36:$AC$46,2,0)*VLOOKUP('All Options'!$E$22,'Valid Data-GPG'!$B$130:$F$134,MATCH('All Options'!$E$17,'Valid Data-GPG'!$B$130:$F$130,0),0)*'All Options'!$E$17)*DP-D44*(A44-DP)),$AB$17)*(A44&gt;DP))*$BC$21</f>
        <v>#N/A</v>
      </c>
      <c r="BD44" s="175">
        <f ca="1">IFERROR((MAX(($AB$17+(VLOOKUP($BD$25,'All Options'!$AB$36:$AC$46,2,0)*VLOOKUP('All Options'!$E$22,'Valid Data-GPG'!$B$130:$F$134,MATCH('All Options'!$E$17,'Valid Data-GPG'!$B$130:$F$130,0),0)*'All Options'!$E$17)*(IF(A44&lt;=DP,A44,0))),105%*$AB$17))*(Output!A44&lt;=DP)
+MAX(($AB$17+(VLOOKUP($BD$25,'All Options'!$AB$36:$AC$46,2,0)*VLOOKUP('All Options'!$E$22,'Valid Data-GPG'!$B$130:$F$134,MATCH('All Options'!$E$17,'Valid Data-GPG'!$B$130:$F$130,0),0)*'All Options'!$E$17)*DP-D44*(A44-DP)),$AB$17)*(A44&gt;DP),0)*$BD$21</f>
        <v>0</v>
      </c>
      <c r="BE44" s="66">
        <f>IFERROR((MAX(($AB$17+(VLOOKUP($BE$25,'All Options'!$AB$36:$AC$46,2,0)*VLOOKUP('All Options'!$E$22,'Valid Data-GPG'!$B$130:$F$134,MATCH('All Options'!$E$17,'Valid Data-GPG'!$B$130:$F$130,0),0)*'All Options'!$E$17)*(IF(A44&lt;=DP,A44,0))),105%*$AB$17))*(Output!A44&lt;=DP)
+(MAX($AB$17+(VLOOKUP($BE$25,'All Options'!$AB$36:$AC$46,2,0)*VLOOKUP('All Options'!$E$22,'Valid Data-GPG'!$B$130:$F$134,MATCH('All Options'!$E$17,'Valid Data-GPG'!$B$130:$F$130,0),0)*'All Options'!$E$17)*DP-AB44*(A44-DP),$AB$17)*(MAX(A44&lt;=25,K44&lt;85)))*(A44&gt;DP),0)*$BE$21</f>
        <v>0</v>
      </c>
      <c r="BF44" s="175">
        <f>IFERROR((MAX(($AB$17+(VLOOKUP($BF$25,'All Options'!$AB$36:$AC$46,2,0)*VLOOKUP('All Options'!$E$22,'Valid Data-GPG'!$B$130:$F$134,MATCH('All Options'!$E$17,'Valid Data-GPG'!$B$130:$F$130,0),0)*'All Options'!$E$17)*(IF(A44&lt;=DP,A44,0))),105%*$AB$17))*(Output!A44&lt;=DP)
+(MAX($AB$17+(VLOOKUP($BF$25,'All Options'!$AB$36:$AC$46,2,0)*VLOOKUP('All Options'!$E$22,'Valid Data-GPG'!$B$130:$F$134,MATCH('All Options'!$E$17,'Valid Data-GPG'!$B$130:$F$130,0),0)*'All Options'!$E$17)*DP-AB44*(A44-DP),$AB$17)-SUM($AF$26:AF44)*AG44)*(A44&gt;DP)*AG44,0)*$BF$21</f>
        <v>0</v>
      </c>
      <c r="BG44" s="175">
        <f t="shared" si="23"/>
        <v>0</v>
      </c>
      <c r="BH44" s="182">
        <f t="shared" si="6"/>
        <v>5000000</v>
      </c>
      <c r="BI44" s="175">
        <f t="shared" si="24"/>
        <v>0</v>
      </c>
      <c r="BJ44" s="175">
        <f t="shared" si="25"/>
        <v>0</v>
      </c>
      <c r="BK44" s="175">
        <f t="shared" si="26"/>
        <v>0</v>
      </c>
      <c r="BL44" s="175">
        <f t="shared" si="27"/>
        <v>0</v>
      </c>
      <c r="BM44" s="175">
        <f t="shared" si="28"/>
        <v>0</v>
      </c>
      <c r="BN44" s="175">
        <f t="shared" si="29"/>
        <v>0</v>
      </c>
      <c r="BO44" s="182">
        <f t="shared" si="7"/>
        <v>0</v>
      </c>
      <c r="BP44" s="182">
        <f t="shared" si="8"/>
        <v>0</v>
      </c>
      <c r="BQ44" s="182">
        <f>MAX($AB$17-SUM($AF$26:AF44),0)*$BQ$21</f>
        <v>0</v>
      </c>
      <c r="BS44" s="175">
        <f t="shared" si="9"/>
        <v>1</v>
      </c>
      <c r="BT44" s="175">
        <f>IFERROR(IF(A44&lt;=1,0,VLOOKUP(DP,'Valid Data-GPG'!$A$116:$J$122,MATCH(Output!A44,'Valid Data-GPG'!$A$116:$J$116,0),FALSE)*SUM($B$26:C44))*(A44&lt;=DP),0)*$BT$21</f>
        <v>0</v>
      </c>
      <c r="BU44" s="175">
        <f>IFERROR(IF(A44&lt;=1,0,VLOOKUP(DP,'Valid Data-GPG'!$A$116:$J$122,MATCH(Output!A44,'Valid Data-GPG'!$A$116:$J$116,0),FALSE)*SUM($B$26:C44))*(A44&lt;=DP),0)*$BU$21</f>
        <v>0</v>
      </c>
      <c r="BV44" s="175">
        <f t="shared" si="10"/>
        <v>0</v>
      </c>
      <c r="BW44" s="175">
        <f t="shared" si="11"/>
        <v>0</v>
      </c>
      <c r="BX44" s="175">
        <f t="shared" si="12"/>
        <v>0</v>
      </c>
      <c r="BY44" s="175">
        <f t="shared" si="13"/>
        <v>0</v>
      </c>
      <c r="BZ44" s="175">
        <f t="shared" si="14"/>
        <v>0</v>
      </c>
      <c r="CA44" s="175">
        <f>(INDEX('SV calc_ignore'!$J$10:$J$1341,12*Output!A44-0))*BS44</f>
        <v>0</v>
      </c>
      <c r="CB44" s="175">
        <f t="shared" si="30"/>
        <v>0</v>
      </c>
      <c r="CC44" s="175">
        <f>(INDEX('SV calc_ignore'!$J$10:$J$1341,12*Output!A44-0))*BS44</f>
        <v>0</v>
      </c>
      <c r="CD44" s="175">
        <f t="shared" si="31"/>
        <v>0</v>
      </c>
      <c r="CE44" s="66">
        <f>(INDEX('SV calc_ignore'!$J$10:$J$1341,12*Output!A44-0))*($CE$21)</f>
        <v>0</v>
      </c>
      <c r="CF44" s="175">
        <f t="shared" si="32"/>
        <v>0</v>
      </c>
      <c r="CG44" s="175">
        <f>(INDEX('SV calc_ignore'!$J$10:$J$1341,12*Output!A44-0))*($CG$21)*(A44&gt;1)</f>
        <v>0</v>
      </c>
      <c r="CH44" s="175">
        <f>(INDEX('SV calc_ignore'!$J$10:$J$1341,12*Output!A44-0))*($CH$21)*(A44&gt;1)</f>
        <v>0</v>
      </c>
      <c r="CI44" s="175"/>
      <c r="CJ44" s="66">
        <f>(INDEX('SV calc_ignore'!$J$10:$J$1341,12*Output!A44-0))*($CJ$21)*(A44&gt;1)</f>
        <v>0</v>
      </c>
      <c r="CK44" s="66">
        <f>(INDEX('SV calc_ignore'!$Q$10:$Q$1341,12*Output!A44-0))*(AND(A44&gt;1,R44&lt;20))*($CK$21)</f>
        <v>0</v>
      </c>
      <c r="CL44" s="66">
        <f t="shared" si="33"/>
        <v>0</v>
      </c>
      <c r="CM44" s="175">
        <f>((INDEX('SV calc_ignore'!$J$10:$J$1341,12*Output!A44-0))+(INDEX('SV calc_ignore'!$O$10:$O$1341,12*Output!A44-0))*(A44&lt;'SV calc_ignore'!$Q$5))*(A44&gt;1)*($CM$21)</f>
        <v>0</v>
      </c>
      <c r="CN44" s="175">
        <v>0</v>
      </c>
      <c r="CO44" s="175">
        <f>(INDEX('SV calc_ignore'!$J$10:$J$1341,12*Output!A44-0))*(A44&gt;1)*($CO$21)</f>
        <v>0</v>
      </c>
      <c r="CP44" s="175">
        <v>0</v>
      </c>
      <c r="CQ44" s="175">
        <v>0</v>
      </c>
      <c r="CR44" s="175">
        <v>0</v>
      </c>
      <c r="CS44" s="175">
        <v>0</v>
      </c>
      <c r="CT44" s="175">
        <v>0</v>
      </c>
      <c r="CU44" s="175">
        <v>0</v>
      </c>
      <c r="CV44" s="175">
        <f>(INDEX('SV calc_ignore'!$J$10:$J$1341,12*Output!A44-0))*(A44&gt;1)*($CV$21)</f>
        <v>0</v>
      </c>
      <c r="CW44" s="66">
        <f>((INDEX('SV calc_ignore'!$J$10:$J$1341,12*Output!A44-0))+(INDEX('SV calc_ignore'!$O$10:$O$1351,12*Output!A44-0))*(A44&lt;'SV calc_ignore'!$Q$5))*(A44&gt;1)*($CW$21)</f>
        <v>0</v>
      </c>
      <c r="CX44" s="175">
        <f>(INDEX('SV calc_ignore'!$J$10:$J$1341,12*Output!A44-0))*(A44&gt;1)*($CX$21)</f>
        <v>0</v>
      </c>
      <c r="CY44" s="175">
        <f>(INDEX('SV calc_ignore'!$Q$10:$Q$1341,12*Output!A44-0))*(AND(A44&gt;1,R44&lt;20))*($CY$21)</f>
        <v>0</v>
      </c>
      <c r="CZ44" s="175">
        <f t="shared" si="34"/>
        <v>0</v>
      </c>
      <c r="DE44" s="43">
        <f>IF($DE$23,0,VLOOKUP(IF(A44&lt;=DP,DJ44,DI44),SSV!$B$6:$C$116,2,FALSE)*VLOOKUP(AnnuityOption,'All Options'!$AB$36:$AC$47,2,FALSE)*VLOOKUP('All Options'!$E$22,'Valid Data-GPG'!$B$130:$F$134,MATCH('All Options'!$E$17,'Valid Data-GPG'!$B$130:$F$130,0),0)*'All Options'!$E$17)*(IF(AND(Select="Deferred Annuity",AnnuityOption="Life Annuity"),A44&lt;=DP,1))</f>
        <v>2119655.8223898709</v>
      </c>
      <c r="DF44" s="43">
        <f>IF($DF$23,0,IF($DQ$25,DQ44,IF($DR$25,DR44,VLOOKUP(IF(A44&lt;=DP,DJ44,DI44),SSV!$G$6:$H$116,2,FALSE)*SUM($B$27:B44))))</f>
        <v>2350961.5</v>
      </c>
      <c r="DG44" s="43" t="e">
        <f>IF(A44&lt;=DP,VLOOKUP(DP-A43,SSV!$T$6:$U$15,2,FALSE),1)</f>
        <v>#N/A</v>
      </c>
      <c r="DH44" s="282">
        <f t="shared" si="15"/>
        <v>4470617.3223898709</v>
      </c>
      <c r="DI44" s="43">
        <f>IF($DM$26,MIN(Age,'All Options'!$E$21)+A43,IF($DN$26,(Age+A43)-Age+60,IF($DO$26,(Age+A43)-Age+55,Age+A43)))</f>
        <v>77</v>
      </c>
      <c r="DJ44" s="279">
        <f>IF($DM$26,MIN(Age+A44,'All Options'!$E$21+A44),IF($DN$26,(Age+A44)-(Age+$A$27)+60,IF($DO$26,(Age+A44)-(Age+$A$27)+55,Age+A44)))</f>
        <v>78</v>
      </c>
      <c r="DK44" s="279"/>
      <c r="DL44" s="279"/>
      <c r="DP44" s="43">
        <f t="shared" si="35"/>
        <v>0</v>
      </c>
      <c r="DQ44" s="43">
        <f>IFERROR(VLOOKUP(IF(A44&lt;=DP,DJ44,DI44),SSV!$K$6:$L$91,2,FALSE)*SUM($B$27:B44),0)*($DQ$25)</f>
        <v>0</v>
      </c>
      <c r="DR44" s="43">
        <f>IFERROR(VLOOKUP(IF(A44&lt;=DP,DJ44,DI44),SSV!$O$6:$P$95,2,FALSE)*SUM($B$27:B44),0)*($DR$25)</f>
        <v>0</v>
      </c>
      <c r="DU44" s="175">
        <f t="shared" si="16"/>
        <v>1</v>
      </c>
    </row>
    <row r="45" spans="1:125" ht="12.75" customHeight="1" x14ac:dyDescent="0.2">
      <c r="A45" s="146">
        <f t="shared" si="17"/>
        <v>19</v>
      </c>
      <c r="B45" s="670">
        <f>IF(PremiumType="Regular Premium",'All Options'!$E$18*'All Options'!$E$22*(AND(Output!A45&lt;=PPT,A45&gt;=1)),'All Options'!$E$18*(A45=1))</f>
        <v>0</v>
      </c>
      <c r="C45" s="671"/>
      <c r="D45" s="103" t="e">
        <f>((VLOOKUP(CONCATENATE($D$14,$D$15),'All Options'!$AB$36:$AC$47,4,0)*VLOOKUP('All Options'!$E$22,'Valid Data-GPG'!$B$130:$F$134,MATCH('All Options'!$E$17,'Valid Data-GPG'!$B$130:$F$130,0),0)*'All Options'!$E$17)*IF(Select="Deferred Annuity",A45&gt;DP,1)+AE45+AF45*AG45*$AG$21)*(A45&gt;0)</f>
        <v>#N/A</v>
      </c>
      <c r="E45" s="103">
        <v>0</v>
      </c>
      <c r="F45" s="103" t="e">
        <f t="shared" si="18"/>
        <v>#N/A</v>
      </c>
      <c r="G45" s="103">
        <f t="shared" si="2"/>
        <v>0</v>
      </c>
      <c r="H45" s="285">
        <f t="shared" si="19"/>
        <v>4481892.7822080441</v>
      </c>
      <c r="I45" s="103">
        <f t="shared" si="20"/>
        <v>4481892.7822080441</v>
      </c>
      <c r="J45" s="101"/>
      <c r="K45" s="175">
        <f t="shared" si="21"/>
        <v>78</v>
      </c>
      <c r="L45" s="175"/>
      <c r="M45" s="175"/>
      <c r="N45" s="175"/>
      <c r="O45" s="175"/>
      <c r="P45" s="175"/>
      <c r="Q45" s="175"/>
      <c r="R45" s="175">
        <f t="shared" si="22"/>
        <v>4</v>
      </c>
      <c r="U45" s="162"/>
      <c r="AB45" s="175" t="e">
        <f>(VLOOKUP(CONCATENATE($D$14,$D$15),'All Options'!$AB$36:$AC$47,4,0)*VLOOKUP('All Options'!$E$22,'Valid Data-GPG'!$B$130:$F$134,MATCH('All Options'!$E$17,'Valid Data-GPG'!$B$130:$F$130,0),0)*'All Options'!$E$17)*IF(Select="Deferred Annuity",A45&gt;DP,1)*(A45&gt;0)</f>
        <v>#N/A</v>
      </c>
      <c r="AC45" s="175">
        <f t="shared" si="3"/>
        <v>0</v>
      </c>
      <c r="AD45" s="175">
        <f>SUM($AC$26:AC45)</f>
        <v>0</v>
      </c>
      <c r="AE45" s="175">
        <f t="shared" si="4"/>
        <v>0</v>
      </c>
      <c r="AF45" s="175">
        <f t="shared" si="5"/>
        <v>250000</v>
      </c>
      <c r="AG45" s="175" t="b">
        <f>(SUM($AF$26:AF45)&lt;=$AB$17)</f>
        <v>1</v>
      </c>
      <c r="AH45" s="143"/>
      <c r="AY45" s="175"/>
      <c r="AZ45" s="66">
        <f>((MAX((SUM($B$26:C45)+(VLOOKUP($AZ$25,'All Options'!$AB$36:$AC$46,2,0)*VLOOKUP('All Options'!$E$22,'Valid Data-GPG'!$B$130:$F$134,MATCH('All Options'!$E$17,'Valid Data-GPG'!$B$130:$F$130,0),0)*'All Options'!$E$17)*(IF(A45&lt;=DP,A45,0))),105%*SUM($B$26:C45)))*(AND(A45&lt;&gt;0,Output!A45&lt;=DP))+(0)*(A45&gt;DP))*$AZ$21</f>
        <v>0</v>
      </c>
      <c r="BA45" s="175" t="e">
        <f>((MAX((SUM($B$26:C45)+(VLOOKUP($BA$25,'All Options'!$AB$36:$AC$46,2,0)*VLOOKUP('All Options'!$E$22,'Valid Data-GPG'!$B$130:$F$134,MATCH('All Options'!$E$17,'Valid Data-GPG'!$B$130:$F$130,0),0)*'All Options'!$E$17)*(IF(A45&lt;=DP,A45,0))),105%*SUM($B$26:C45)))*(Output!A45&lt;=DP)
+MAX((SUM($B$26:C45)+(VLOOKUP($BA$25,'All Options'!$AB$36:$AC$46,2,0)*VLOOKUP('All Options'!$E$22,'Valid Data-GPG'!$B$130:$F$134,MATCH('All Options'!$E$17,'Valid Data-GPG'!$B$130:$F$130,0),0)*'All Options'!$E$17)*DP-D45*(A45-DP)),SUM($B$26:C45))*(A45&gt;DP))*$BA$21</f>
        <v>#N/A</v>
      </c>
      <c r="BB45" s="175">
        <f>((MAX(($AB$17+(VLOOKUP($BB$25,'All Options'!$AB$36:$AC$46,2,0)*VLOOKUP('All Options'!$E$22,'Valid Data-GPG'!$B$130:$F$134,MATCH('All Options'!$E$17,'Valid Data-GPG'!$B$130:$F$130,0),0)*'All Options'!$E$17)*(IF(A45&lt;=DP,A45,0))),105%*$AB$17))*(Output!A45&lt;=DP)+(0)*(A45&gt;DP))*$BB$21</f>
        <v>0</v>
      </c>
      <c r="BC45" s="175" t="e">
        <f>((MAX(($AB$17+(VLOOKUP($BC$25,'All Options'!$AB$36:$AC$46,2,0)*VLOOKUP('All Options'!$E$22,'Valid Data-GPG'!$B$130:$F$134,MATCH('All Options'!$E$17,'Valid Data-GPG'!$B$130:$F$130,0),0)*'All Options'!$E$17)*(IF(A45&lt;=DP,A45,0))),105%*$AB$17))*(Output!A45&lt;=DP)+
MAX(($AB$17+(VLOOKUP($BC$25,'All Options'!$AB$36:$AC$46,2,0)*VLOOKUP('All Options'!$E$22,'Valid Data-GPG'!$B$130:$F$134,MATCH('All Options'!$E$17,'Valid Data-GPG'!$B$130:$F$130,0),0)*'All Options'!$E$17)*DP-D45*(A45-DP)),$AB$17)*(A45&gt;DP))*$BC$21</f>
        <v>#N/A</v>
      </c>
      <c r="BD45" s="175">
        <f ca="1">IFERROR((MAX(($AB$17+(VLOOKUP($BD$25,'All Options'!$AB$36:$AC$46,2,0)*VLOOKUP('All Options'!$E$22,'Valid Data-GPG'!$B$130:$F$134,MATCH('All Options'!$E$17,'Valid Data-GPG'!$B$130:$F$130,0),0)*'All Options'!$E$17)*(IF(A45&lt;=DP,A45,0))),105%*$AB$17))*(Output!A45&lt;=DP)
+MAX(($AB$17+(VLOOKUP($BD$25,'All Options'!$AB$36:$AC$46,2,0)*VLOOKUP('All Options'!$E$22,'Valid Data-GPG'!$B$130:$F$134,MATCH('All Options'!$E$17,'Valid Data-GPG'!$B$130:$F$130,0),0)*'All Options'!$E$17)*DP-D45*(A45-DP)),$AB$17)*(A45&gt;DP),0)*$BD$21</f>
        <v>0</v>
      </c>
      <c r="BE45" s="66">
        <f>IFERROR((MAX(($AB$17+(VLOOKUP($BE$25,'All Options'!$AB$36:$AC$46,2,0)*VLOOKUP('All Options'!$E$22,'Valid Data-GPG'!$B$130:$F$134,MATCH('All Options'!$E$17,'Valid Data-GPG'!$B$130:$F$130,0),0)*'All Options'!$E$17)*(IF(A45&lt;=DP,A45,0))),105%*$AB$17))*(Output!A45&lt;=DP)
+(MAX($AB$17+(VLOOKUP($BE$25,'All Options'!$AB$36:$AC$46,2,0)*VLOOKUP('All Options'!$E$22,'Valid Data-GPG'!$B$130:$F$134,MATCH('All Options'!$E$17,'Valid Data-GPG'!$B$130:$F$130,0),0)*'All Options'!$E$17)*DP-AB45*(A45-DP),$AB$17)*(MAX(A45&lt;=25,K45&lt;85)))*(A45&gt;DP),0)*$BE$21</f>
        <v>0</v>
      </c>
      <c r="BF45" s="175">
        <f>IFERROR((MAX(($AB$17+(VLOOKUP($BF$25,'All Options'!$AB$36:$AC$46,2,0)*VLOOKUP('All Options'!$E$22,'Valid Data-GPG'!$B$130:$F$134,MATCH('All Options'!$E$17,'Valid Data-GPG'!$B$130:$F$130,0),0)*'All Options'!$E$17)*(IF(A45&lt;=DP,A45,0))),105%*$AB$17))*(Output!A45&lt;=DP)
+(MAX($AB$17+(VLOOKUP($BF$25,'All Options'!$AB$36:$AC$46,2,0)*VLOOKUP('All Options'!$E$22,'Valid Data-GPG'!$B$130:$F$134,MATCH('All Options'!$E$17,'Valid Data-GPG'!$B$130:$F$130,0),0)*'All Options'!$E$17)*DP-AB45*(A45-DP),$AB$17)-SUM($AF$26:AF45)*AG45)*(A45&gt;DP)*AG45,0)*$BF$21</f>
        <v>0</v>
      </c>
      <c r="BG45" s="175">
        <f t="shared" si="23"/>
        <v>0</v>
      </c>
      <c r="BH45" s="182">
        <f t="shared" si="6"/>
        <v>5000000</v>
      </c>
      <c r="BI45" s="175">
        <f t="shared" si="24"/>
        <v>0</v>
      </c>
      <c r="BJ45" s="175">
        <f t="shared" si="25"/>
        <v>0</v>
      </c>
      <c r="BK45" s="175">
        <f t="shared" si="26"/>
        <v>0</v>
      </c>
      <c r="BL45" s="175">
        <f t="shared" si="27"/>
        <v>0</v>
      </c>
      <c r="BM45" s="175">
        <f t="shared" si="28"/>
        <v>0</v>
      </c>
      <c r="BN45" s="175">
        <f t="shared" si="29"/>
        <v>0</v>
      </c>
      <c r="BO45" s="182">
        <f t="shared" si="7"/>
        <v>0</v>
      </c>
      <c r="BP45" s="182">
        <f t="shared" si="8"/>
        <v>0</v>
      </c>
      <c r="BQ45" s="182">
        <f>MAX($AB$17-SUM($AF$26:AF45),0)*$BQ$21</f>
        <v>0</v>
      </c>
      <c r="BS45" s="175">
        <f t="shared" si="9"/>
        <v>1</v>
      </c>
      <c r="BT45" s="175">
        <f>IFERROR(IF(A45&lt;=1,0,VLOOKUP(DP,'Valid Data-GPG'!$A$116:$J$122,MATCH(Output!A45,'Valid Data-GPG'!$A$116:$J$116,0),FALSE)*SUM($B$26:C45))*(A45&lt;=DP),0)*$BT$21</f>
        <v>0</v>
      </c>
      <c r="BU45" s="175">
        <f>IFERROR(IF(A45&lt;=1,0,VLOOKUP(DP,'Valid Data-GPG'!$A$116:$J$122,MATCH(Output!A45,'Valid Data-GPG'!$A$116:$J$116,0),FALSE)*SUM($B$26:C45))*(A45&lt;=DP),0)*$BU$21</f>
        <v>0</v>
      </c>
      <c r="BV45" s="175">
        <f t="shared" si="10"/>
        <v>0</v>
      </c>
      <c r="BW45" s="175">
        <f t="shared" si="11"/>
        <v>0</v>
      </c>
      <c r="BX45" s="175">
        <f t="shared" si="12"/>
        <v>0</v>
      </c>
      <c r="BY45" s="175">
        <f t="shared" si="13"/>
        <v>0</v>
      </c>
      <c r="BZ45" s="175">
        <f t="shared" si="14"/>
        <v>0</v>
      </c>
      <c r="CA45" s="175">
        <f>(INDEX('SV calc_ignore'!$J$10:$J$1341,12*Output!A45-0))*BS45</f>
        <v>0</v>
      </c>
      <c r="CB45" s="175">
        <f t="shared" si="30"/>
        <v>0</v>
      </c>
      <c r="CC45" s="175">
        <f>(INDEX('SV calc_ignore'!$J$10:$J$1341,12*Output!A45-0))*BS45</f>
        <v>0</v>
      </c>
      <c r="CD45" s="175">
        <f t="shared" si="31"/>
        <v>0</v>
      </c>
      <c r="CE45" s="66">
        <f>(INDEX('SV calc_ignore'!$J$10:$J$1341,12*Output!A45-0))*($CE$21)</f>
        <v>0</v>
      </c>
      <c r="CF45" s="175">
        <f t="shared" si="32"/>
        <v>0</v>
      </c>
      <c r="CG45" s="175">
        <f>(INDEX('SV calc_ignore'!$J$10:$J$1341,12*Output!A45-0))*($CG$21)*(A45&gt;1)</f>
        <v>0</v>
      </c>
      <c r="CH45" s="175">
        <f>(INDEX('SV calc_ignore'!$J$10:$J$1341,12*Output!A45-0))*($CH$21)*(A45&gt;1)</f>
        <v>0</v>
      </c>
      <c r="CI45" s="175"/>
      <c r="CJ45" s="66">
        <f>(INDEX('SV calc_ignore'!$J$10:$J$1341,12*Output!A45-0))*($CJ$21)*(A45&gt;1)</f>
        <v>0</v>
      </c>
      <c r="CK45" s="66">
        <f>(INDEX('SV calc_ignore'!$Q$10:$Q$1341,12*Output!A45-0))*(AND(A45&gt;1,R45&lt;20))*($CK$21)</f>
        <v>0</v>
      </c>
      <c r="CL45" s="66">
        <f t="shared" si="33"/>
        <v>0</v>
      </c>
      <c r="CM45" s="175">
        <f>((INDEX('SV calc_ignore'!$J$10:$J$1341,12*Output!A45-0))+(INDEX('SV calc_ignore'!$O$10:$O$1341,12*Output!A45-0))*(A45&lt;'SV calc_ignore'!$Q$5))*(A45&gt;1)*($CM$21)</f>
        <v>0</v>
      </c>
      <c r="CN45" s="175">
        <v>0</v>
      </c>
      <c r="CO45" s="175">
        <f>(INDEX('SV calc_ignore'!$J$10:$J$1341,12*Output!A45-0))*(A45&gt;1)*($CO$21)</f>
        <v>0</v>
      </c>
      <c r="CP45" s="175">
        <v>0</v>
      </c>
      <c r="CQ45" s="175">
        <v>0</v>
      </c>
      <c r="CR45" s="175">
        <v>0</v>
      </c>
      <c r="CS45" s="175">
        <v>0</v>
      </c>
      <c r="CT45" s="175">
        <v>0</v>
      </c>
      <c r="CU45" s="175">
        <v>0</v>
      </c>
      <c r="CV45" s="175">
        <f>(INDEX('SV calc_ignore'!$J$10:$J$1341,12*Output!A45-0))*(A45&gt;1)*($CV$21)</f>
        <v>0</v>
      </c>
      <c r="CW45" s="66">
        <f>((INDEX('SV calc_ignore'!$J$10:$J$1341,12*Output!A45-0))+(INDEX('SV calc_ignore'!$O$10:$O$1351,12*Output!A45-0))*(A45&lt;'SV calc_ignore'!$Q$5))*(A45&gt;1)*($CW$21)</f>
        <v>0</v>
      </c>
      <c r="CX45" s="175">
        <f>(INDEX('SV calc_ignore'!$J$10:$J$1341,12*Output!A45-0))*(A45&gt;1)*($CX$21)</f>
        <v>0</v>
      </c>
      <c r="CY45" s="175">
        <f>(INDEX('SV calc_ignore'!$Q$10:$Q$1341,12*Output!A45-0))*(AND(A45&gt;1,R45&lt;20))*($CY$21)</f>
        <v>0</v>
      </c>
      <c r="CZ45" s="175">
        <f t="shared" si="34"/>
        <v>0</v>
      </c>
      <c r="DE45" s="43">
        <f>IF($DE$23,0,VLOOKUP(IF(A45&lt;=DP,DJ45,DI45),SSV!$B$6:$C$116,2,FALSE)*VLOOKUP(AnnuityOption,'All Options'!$AB$36:$AC$47,2,FALSE)*VLOOKUP('All Options'!$E$22,'Valid Data-GPG'!$B$130:$F$134,MATCH('All Options'!$E$17,'Valid Data-GPG'!$B$130:$F$130,0),0)*'All Options'!$E$17)*(IF(AND(Select="Deferred Annuity",AnnuityOption="Life Annuity"),A45&lt;=DP,1))</f>
        <v>2051307.7822080441</v>
      </c>
      <c r="DF45" s="43">
        <f>IF($DF$23,0,IF($DQ$25,DQ45,IF($DR$25,DR45,VLOOKUP(IF(A45&lt;=DP,DJ45,DI45),SSV!$G$6:$H$116,2,FALSE)*SUM($B$27:B45))))</f>
        <v>2430585</v>
      </c>
      <c r="DG45" s="43" t="e">
        <f>IF(A45&lt;=DP,VLOOKUP(DP-A44,SSV!$T$6:$U$15,2,FALSE),1)</f>
        <v>#N/A</v>
      </c>
      <c r="DH45" s="282">
        <f t="shared" si="15"/>
        <v>4481892.7822080441</v>
      </c>
      <c r="DI45" s="43">
        <f>IF($DM$26,MIN(Age,'All Options'!$E$21)+A44,IF($DN$26,(Age+A44)-Age+60,IF($DO$26,(Age+A44)-Age+55,Age+A44)))</f>
        <v>78</v>
      </c>
      <c r="DJ45" s="279">
        <f>IF($DM$26,MIN(Age+A45,'All Options'!$E$21+A45),IF($DN$26,(Age+A45)-(Age+$A$27)+60,IF($DO$26,(Age+A45)-(Age+$A$27)+55,Age+A45)))</f>
        <v>79</v>
      </c>
      <c r="DK45" s="279"/>
      <c r="DL45" s="279"/>
      <c r="DP45" s="43">
        <f t="shared" si="35"/>
        <v>0</v>
      </c>
      <c r="DQ45" s="43">
        <f>IFERROR(VLOOKUP(IF(A45&lt;=DP,DJ45,DI45),SSV!$K$6:$L$91,2,FALSE)*SUM($B$27:B45),0)*($DQ$25)</f>
        <v>0</v>
      </c>
      <c r="DR45" s="43">
        <f>IFERROR(VLOOKUP(IF(A45&lt;=DP,DJ45,DI45),SSV!$O$6:$P$95,2,FALSE)*SUM($B$27:B45),0)*($DR$25)</f>
        <v>0</v>
      </c>
      <c r="DU45" s="175">
        <f t="shared" si="16"/>
        <v>1</v>
      </c>
    </row>
    <row r="46" spans="1:125" x14ac:dyDescent="0.2">
      <c r="A46" s="146">
        <f t="shared" si="17"/>
        <v>20</v>
      </c>
      <c r="B46" s="670">
        <f>IF(PremiumType="Regular Premium",'All Options'!$E$18*'All Options'!$E$22*(AND(Output!A46&lt;=PPT,A46&gt;=1)),'All Options'!$E$18*(A46=1))</f>
        <v>0</v>
      </c>
      <c r="C46" s="671"/>
      <c r="D46" s="103" t="e">
        <f>((VLOOKUP(CONCATENATE($D$14,$D$15),'All Options'!$AB$36:$AC$47,4,0)*VLOOKUP('All Options'!$E$22,'Valid Data-GPG'!$B$130:$F$134,MATCH('All Options'!$E$17,'Valid Data-GPG'!$B$130:$F$130,0),0)*'All Options'!$E$17)*IF(Select="Deferred Annuity",A46&gt;DP,1)+AE46+AF46*AG46*$AG$21)*(A46&gt;0)</f>
        <v>#N/A</v>
      </c>
      <c r="E46" s="103">
        <v>0</v>
      </c>
      <c r="F46" s="103" t="e">
        <f t="shared" si="18"/>
        <v>#N/A</v>
      </c>
      <c r="G46" s="103">
        <f t="shared" si="2"/>
        <v>0</v>
      </c>
      <c r="H46" s="285">
        <f t="shared" si="19"/>
        <v>4493005.7162020737</v>
      </c>
      <c r="I46" s="103">
        <f t="shared" si="20"/>
        <v>4493005.7162020737</v>
      </c>
      <c r="J46" s="101"/>
      <c r="K46" s="175">
        <f t="shared" si="21"/>
        <v>79</v>
      </c>
      <c r="L46" s="175"/>
      <c r="M46" s="175"/>
      <c r="N46" s="175"/>
      <c r="O46" s="175"/>
      <c r="P46" s="175"/>
      <c r="Q46" s="175"/>
      <c r="R46" s="175">
        <f t="shared" si="22"/>
        <v>5</v>
      </c>
      <c r="U46" s="162"/>
      <c r="AB46" s="175" t="e">
        <f>(VLOOKUP(CONCATENATE($D$14,$D$15),'All Options'!$AB$36:$AC$47,4,0)*VLOOKUP('All Options'!$E$22,'Valid Data-GPG'!$B$130:$F$134,MATCH('All Options'!$E$17,'Valid Data-GPG'!$B$130:$F$130,0),0)*'All Options'!$E$17)*IF(Select="Deferred Annuity",A46&gt;DP,1)*(A46&gt;0)</f>
        <v>#N/A</v>
      </c>
      <c r="AC46" s="175">
        <f t="shared" si="3"/>
        <v>0</v>
      </c>
      <c r="AD46" s="175">
        <f>SUM($AC$26:AC46)</f>
        <v>0</v>
      </c>
      <c r="AE46" s="175">
        <f t="shared" si="4"/>
        <v>0</v>
      </c>
      <c r="AF46" s="175">
        <f t="shared" si="5"/>
        <v>250000</v>
      </c>
      <c r="AG46" s="175" t="b">
        <f>(SUM($AF$26:AF46)&lt;=$AB$17)</f>
        <v>1</v>
      </c>
      <c r="AH46" s="143"/>
      <c r="AY46" s="175"/>
      <c r="AZ46" s="66">
        <f>((MAX((SUM($B$26:C46)+(VLOOKUP($AZ$25,'All Options'!$AB$36:$AC$46,2,0)*VLOOKUP('All Options'!$E$22,'Valid Data-GPG'!$B$130:$F$134,MATCH('All Options'!$E$17,'Valid Data-GPG'!$B$130:$F$130,0),0)*'All Options'!$E$17)*(IF(A46&lt;=DP,A46,0))),105%*SUM($B$26:C46)))*(AND(A46&lt;&gt;0,Output!A46&lt;=DP))+(0)*(A46&gt;DP))*$AZ$21</f>
        <v>0</v>
      </c>
      <c r="BA46" s="175" t="e">
        <f>((MAX((SUM($B$26:C46)+(VLOOKUP($BA$25,'All Options'!$AB$36:$AC$46,2,0)*VLOOKUP('All Options'!$E$22,'Valid Data-GPG'!$B$130:$F$134,MATCH('All Options'!$E$17,'Valid Data-GPG'!$B$130:$F$130,0),0)*'All Options'!$E$17)*(IF(A46&lt;=DP,A46,0))),105%*SUM($B$26:C46)))*(Output!A46&lt;=DP)
+MAX((SUM($B$26:C46)+(VLOOKUP($BA$25,'All Options'!$AB$36:$AC$46,2,0)*VLOOKUP('All Options'!$E$22,'Valid Data-GPG'!$B$130:$F$134,MATCH('All Options'!$E$17,'Valid Data-GPG'!$B$130:$F$130,0),0)*'All Options'!$E$17)*DP-D46*(A46-DP)),SUM($B$26:C46))*(A46&gt;DP))*$BA$21</f>
        <v>#N/A</v>
      </c>
      <c r="BB46" s="175">
        <f>((MAX(($AB$17+(VLOOKUP($BB$25,'All Options'!$AB$36:$AC$46,2,0)*VLOOKUP('All Options'!$E$22,'Valid Data-GPG'!$B$130:$F$134,MATCH('All Options'!$E$17,'Valid Data-GPG'!$B$130:$F$130,0),0)*'All Options'!$E$17)*(IF(A46&lt;=DP,A46,0))),105%*$AB$17))*(Output!A46&lt;=DP)+(0)*(A46&gt;DP))*$BB$21</f>
        <v>0</v>
      </c>
      <c r="BC46" s="175" t="e">
        <f>((MAX(($AB$17+(VLOOKUP($BC$25,'All Options'!$AB$36:$AC$46,2,0)*VLOOKUP('All Options'!$E$22,'Valid Data-GPG'!$B$130:$F$134,MATCH('All Options'!$E$17,'Valid Data-GPG'!$B$130:$F$130,0),0)*'All Options'!$E$17)*(IF(A46&lt;=DP,A46,0))),105%*$AB$17))*(Output!A46&lt;=DP)+
MAX(($AB$17+(VLOOKUP($BC$25,'All Options'!$AB$36:$AC$46,2,0)*VLOOKUP('All Options'!$E$22,'Valid Data-GPG'!$B$130:$F$134,MATCH('All Options'!$E$17,'Valid Data-GPG'!$B$130:$F$130,0),0)*'All Options'!$E$17)*DP-D46*(A46-DP)),$AB$17)*(A46&gt;DP))*$BC$21</f>
        <v>#N/A</v>
      </c>
      <c r="BD46" s="175">
        <f ca="1">IFERROR((MAX(($AB$17+(VLOOKUP($BD$25,'All Options'!$AB$36:$AC$46,2,0)*VLOOKUP('All Options'!$E$22,'Valid Data-GPG'!$B$130:$F$134,MATCH('All Options'!$E$17,'Valid Data-GPG'!$B$130:$F$130,0),0)*'All Options'!$E$17)*(IF(A46&lt;=DP,A46,0))),105%*$AB$17))*(Output!A46&lt;=DP)
+MAX(($AB$17+(VLOOKUP($BD$25,'All Options'!$AB$36:$AC$46,2,0)*VLOOKUP('All Options'!$E$22,'Valid Data-GPG'!$B$130:$F$134,MATCH('All Options'!$E$17,'Valid Data-GPG'!$B$130:$F$130,0),0)*'All Options'!$E$17)*DP-D46*(A46-DP)),$AB$17)*(A46&gt;DP),0)*$BD$21</f>
        <v>0</v>
      </c>
      <c r="BE46" s="66">
        <f>IFERROR((MAX(($AB$17+(VLOOKUP($BE$25,'All Options'!$AB$36:$AC$46,2,0)*VLOOKUP('All Options'!$E$22,'Valid Data-GPG'!$B$130:$F$134,MATCH('All Options'!$E$17,'Valid Data-GPG'!$B$130:$F$130,0),0)*'All Options'!$E$17)*(IF(A46&lt;=DP,A46,0))),105%*$AB$17))*(Output!A46&lt;=DP)
+(MAX($AB$17+(VLOOKUP($BE$25,'All Options'!$AB$36:$AC$46,2,0)*VLOOKUP('All Options'!$E$22,'Valid Data-GPG'!$B$130:$F$134,MATCH('All Options'!$E$17,'Valid Data-GPG'!$B$130:$F$130,0),0)*'All Options'!$E$17)*DP-AB46*(A46-DP),$AB$17)*(MAX(A46&lt;=25,K46&lt;85)))*(A46&gt;DP),0)*$BE$21</f>
        <v>0</v>
      </c>
      <c r="BF46" s="175">
        <f>IFERROR((MAX(($AB$17+(VLOOKUP($BF$25,'All Options'!$AB$36:$AC$46,2,0)*VLOOKUP('All Options'!$E$22,'Valid Data-GPG'!$B$130:$F$134,MATCH('All Options'!$E$17,'Valid Data-GPG'!$B$130:$F$130,0),0)*'All Options'!$E$17)*(IF(A46&lt;=DP,A46,0))),105%*$AB$17))*(Output!A46&lt;=DP)
+(MAX($AB$17+(VLOOKUP($BF$25,'All Options'!$AB$36:$AC$46,2,0)*VLOOKUP('All Options'!$E$22,'Valid Data-GPG'!$B$130:$F$134,MATCH('All Options'!$E$17,'Valid Data-GPG'!$B$130:$F$130,0),0)*'All Options'!$E$17)*DP-AB46*(A46-DP),$AB$17)-SUM($AF$26:AF46)*AG46)*(A46&gt;DP)*AG46,0)*$BF$21</f>
        <v>0</v>
      </c>
      <c r="BG46" s="175">
        <f t="shared" si="23"/>
        <v>0</v>
      </c>
      <c r="BH46" s="182">
        <f t="shared" si="6"/>
        <v>5000000</v>
      </c>
      <c r="BI46" s="175">
        <f t="shared" si="24"/>
        <v>0</v>
      </c>
      <c r="BJ46" s="175">
        <f t="shared" si="25"/>
        <v>0</v>
      </c>
      <c r="BK46" s="175">
        <f t="shared" si="26"/>
        <v>0</v>
      </c>
      <c r="BL46" s="175">
        <f t="shared" si="27"/>
        <v>0</v>
      </c>
      <c r="BM46" s="175">
        <f t="shared" si="28"/>
        <v>0</v>
      </c>
      <c r="BN46" s="175">
        <f t="shared" si="29"/>
        <v>0</v>
      </c>
      <c r="BO46" s="182">
        <f t="shared" si="7"/>
        <v>0</v>
      </c>
      <c r="BP46" s="182">
        <f t="shared" si="8"/>
        <v>0</v>
      </c>
      <c r="BQ46" s="182">
        <f>MAX($AB$17-SUM($AF$26:AF46),0)*$BQ$21</f>
        <v>0</v>
      </c>
      <c r="BS46" s="175">
        <f t="shared" si="9"/>
        <v>1</v>
      </c>
      <c r="BT46" s="175">
        <f>IFERROR(IF(A46&lt;=1,0,VLOOKUP(DP,'Valid Data-GPG'!$A$116:$J$122,MATCH(Output!A46,'Valid Data-GPG'!$A$116:$J$116,0),FALSE)*SUM($B$26:C46))*(A46&lt;=DP),0)*$BT$21</f>
        <v>0</v>
      </c>
      <c r="BU46" s="175">
        <f>IFERROR(IF(A46&lt;=1,0,VLOOKUP(DP,'Valid Data-GPG'!$A$116:$J$122,MATCH(Output!A46,'Valid Data-GPG'!$A$116:$J$116,0),FALSE)*SUM($B$26:C46))*(A46&lt;=DP),0)*$BU$21</f>
        <v>0</v>
      </c>
      <c r="BV46" s="175">
        <f t="shared" si="10"/>
        <v>0</v>
      </c>
      <c r="BW46" s="175">
        <f t="shared" si="11"/>
        <v>0</v>
      </c>
      <c r="BX46" s="175">
        <f t="shared" si="12"/>
        <v>0</v>
      </c>
      <c r="BY46" s="175">
        <f t="shared" si="13"/>
        <v>0</v>
      </c>
      <c r="BZ46" s="175">
        <f t="shared" si="14"/>
        <v>0</v>
      </c>
      <c r="CA46" s="175">
        <f>(INDEX('SV calc_ignore'!$J$10:$J$1341,12*Output!A46-0))*BS46</f>
        <v>0</v>
      </c>
      <c r="CB46" s="175">
        <f t="shared" si="30"/>
        <v>0</v>
      </c>
      <c r="CC46" s="175">
        <f>(INDEX('SV calc_ignore'!$J$10:$J$1341,12*Output!A46-0))*BS46</f>
        <v>0</v>
      </c>
      <c r="CD46" s="175">
        <f t="shared" si="31"/>
        <v>0</v>
      </c>
      <c r="CE46" s="66">
        <f>(INDEX('SV calc_ignore'!$J$10:$J$1341,12*Output!A46-0))*($CE$21)</f>
        <v>0</v>
      </c>
      <c r="CF46" s="175">
        <f t="shared" si="32"/>
        <v>0</v>
      </c>
      <c r="CG46" s="175">
        <f>(INDEX('SV calc_ignore'!$J$10:$J$1341,12*Output!A46-0))*($CG$21)*(A46&gt;1)</f>
        <v>0</v>
      </c>
      <c r="CH46" s="175">
        <f>(INDEX('SV calc_ignore'!$J$10:$J$1341,12*Output!A46-0))*($CH$21)*(A46&gt;1)</f>
        <v>0</v>
      </c>
      <c r="CI46" s="175"/>
      <c r="CJ46" s="66">
        <f>(INDEX('SV calc_ignore'!$J$10:$J$1341,12*Output!A46-0))*($CJ$21)*(A46&gt;1)</f>
        <v>0</v>
      </c>
      <c r="CK46" s="66">
        <f>(INDEX('SV calc_ignore'!$Q$10:$Q$1341,12*Output!A46-0))*(AND(A46&gt;1,R46&lt;20))*($CK$21)</f>
        <v>0</v>
      </c>
      <c r="CL46" s="66">
        <f t="shared" si="33"/>
        <v>0</v>
      </c>
      <c r="CM46" s="175">
        <f>((INDEX('SV calc_ignore'!$J$10:$J$1341,12*Output!A46-0))+(INDEX('SV calc_ignore'!$O$10:$O$1341,12*Output!A46-0))*(A46&lt;'SV calc_ignore'!$Q$5))*(A46&gt;1)*($CM$21)</f>
        <v>0</v>
      </c>
      <c r="CN46" s="175">
        <v>0</v>
      </c>
      <c r="CO46" s="175">
        <f>(INDEX('SV calc_ignore'!$J$10:$J$1341,12*Output!A46-0))*(A46&gt;1)*($CO$21)</f>
        <v>0</v>
      </c>
      <c r="CP46" s="175">
        <v>0</v>
      </c>
      <c r="CQ46" s="175">
        <v>0</v>
      </c>
      <c r="CR46" s="175">
        <v>0</v>
      </c>
      <c r="CS46" s="175">
        <v>0</v>
      </c>
      <c r="CT46" s="175">
        <v>0</v>
      </c>
      <c r="CU46" s="175">
        <v>0</v>
      </c>
      <c r="CV46" s="175">
        <f>(INDEX('SV calc_ignore'!$J$10:$J$1341,12*Output!A46-0))*(A46&gt;1)*($CV$21)</f>
        <v>0</v>
      </c>
      <c r="CW46" s="66">
        <f>((INDEX('SV calc_ignore'!$J$10:$J$1341,12*Output!A46-0))+(INDEX('SV calc_ignore'!$O$10:$O$1351,12*Output!A46-0))*(A46&lt;'SV calc_ignore'!$Q$5))*(A46&gt;1)*($CW$21)</f>
        <v>0</v>
      </c>
      <c r="CX46" s="175">
        <f>(INDEX('SV calc_ignore'!$J$10:$J$1341,12*Output!A46-0))*(A46&gt;1)*($CX$21)</f>
        <v>0</v>
      </c>
      <c r="CY46" s="175">
        <f>(INDEX('SV calc_ignore'!$Q$10:$Q$1341,12*Output!A46-0))*(AND(A46&gt;1,R46&lt;20))*($CY$21)</f>
        <v>0</v>
      </c>
      <c r="CZ46" s="175">
        <f t="shared" si="34"/>
        <v>0</v>
      </c>
      <c r="DE46" s="43">
        <f>IF($DE$23,0,VLOOKUP(IF(A46&lt;=DP,DJ46,DI46),SSV!$B$6:$C$116,2,FALSE)*VLOOKUP(AnnuityOption,'All Options'!$AB$36:$AC$47,2,FALSE)*VLOOKUP('All Options'!$E$22,'Valid Data-GPG'!$B$130:$F$134,MATCH('All Options'!$E$17,'Valid Data-GPG'!$B$130:$F$130,0),0)*'All Options'!$E$17)*(IF(AND(Select="Deferred Annuity",AnnuityOption="Life Annuity"),A46&lt;=DP,1))</f>
        <v>1983983.7162020737</v>
      </c>
      <c r="DF46" s="43">
        <f>IF($DF$23,0,IF($DQ$25,DQ46,IF($DR$25,DR46,VLOOKUP(IF(A46&lt;=DP,DJ46,DI46),SSV!$G$6:$H$116,2,FALSE)*SUM($B$27:B46))))</f>
        <v>2509022</v>
      </c>
      <c r="DG46" s="43" t="e">
        <f>IF(A46&lt;=DP,VLOOKUP(DP-A45,SSV!$T$6:$U$15,2,FALSE),1)</f>
        <v>#N/A</v>
      </c>
      <c r="DH46" s="282">
        <f t="shared" si="15"/>
        <v>4493005.7162020737</v>
      </c>
      <c r="DI46" s="43">
        <f>IF($DM$26,MIN(Age,'All Options'!$E$21)+A45,IF($DN$26,(Age+A45)-Age+60,IF($DO$26,(Age+A45)-Age+55,Age+A45)))</f>
        <v>79</v>
      </c>
      <c r="DJ46" s="279">
        <f>IF($DM$26,MIN(Age+A46,'All Options'!$E$21+A46),IF($DN$26,(Age+A46)-(Age+$A$27)+60,IF($DO$26,(Age+A46)-(Age+$A$27)+55,Age+A46)))</f>
        <v>80</v>
      </c>
      <c r="DK46" s="279"/>
      <c r="DL46" s="279"/>
      <c r="DP46" s="43">
        <f t="shared" si="35"/>
        <v>0</v>
      </c>
      <c r="DQ46" s="43">
        <f>IFERROR(VLOOKUP(IF(A46&lt;=DP,DJ46,DI46),SSV!$K$6:$L$91,2,FALSE)*SUM($B$27:B46),0)*($DQ$25)</f>
        <v>0</v>
      </c>
      <c r="DR46" s="43">
        <f>IFERROR(VLOOKUP(IF(A46&lt;=DP,DJ46,DI46),SSV!$O$6:$P$95,2,FALSE)*SUM($B$27:B46),0)*($DR$25)</f>
        <v>0</v>
      </c>
      <c r="DU46" s="175">
        <f t="shared" si="16"/>
        <v>1</v>
      </c>
    </row>
    <row r="47" spans="1:125" ht="12.75" customHeight="1" x14ac:dyDescent="0.2">
      <c r="A47" s="146">
        <f t="shared" si="17"/>
        <v>21</v>
      </c>
      <c r="B47" s="670">
        <f>IF(PremiumType="Regular Premium",'All Options'!$E$18*'All Options'!$E$22*(AND(Output!A47&lt;=PPT,A47&gt;=1)),'All Options'!$E$18*(A47=1))</f>
        <v>0</v>
      </c>
      <c r="C47" s="671"/>
      <c r="D47" s="103" t="e">
        <f>((VLOOKUP(CONCATENATE($D$14,$D$15),'All Options'!$AB$36:$AC$47,4,0)*VLOOKUP('All Options'!$E$22,'Valid Data-GPG'!$B$130:$F$134,MATCH('All Options'!$E$17,'Valid Data-GPG'!$B$130:$F$130,0),0)*'All Options'!$E$17)*IF(Select="Deferred Annuity",A47&gt;DP,1)+AE47+AF47*AG47*$AG$21)*(A47&gt;0)</f>
        <v>#N/A</v>
      </c>
      <c r="E47" s="103">
        <v>0</v>
      </c>
      <c r="F47" s="103" t="e">
        <f t="shared" si="18"/>
        <v>#N/A</v>
      </c>
      <c r="G47" s="103">
        <f t="shared" si="2"/>
        <v>0</v>
      </c>
      <c r="H47" s="285">
        <f t="shared" si="19"/>
        <v>4503937.3247380648</v>
      </c>
      <c r="I47" s="103">
        <f t="shared" si="20"/>
        <v>4503937.3247380648</v>
      </c>
      <c r="J47" s="101"/>
      <c r="K47" s="175">
        <f t="shared" si="21"/>
        <v>80</v>
      </c>
      <c r="L47" s="175"/>
      <c r="M47" s="175"/>
      <c r="N47" s="175"/>
      <c r="O47" s="175"/>
      <c r="P47" s="175"/>
      <c r="Q47" s="175"/>
      <c r="R47" s="175">
        <f t="shared" si="22"/>
        <v>6</v>
      </c>
      <c r="U47" s="162"/>
      <c r="AB47" s="175" t="e">
        <f>(VLOOKUP(CONCATENATE($D$14,$D$15),'All Options'!$AB$36:$AC$47,4,0)*VLOOKUP('All Options'!$E$22,'Valid Data-GPG'!$B$130:$F$134,MATCH('All Options'!$E$17,'Valid Data-GPG'!$B$130:$F$130,0),0)*'All Options'!$E$17)*IF(Select="Deferred Annuity",A47&gt;DP,1)*(A47&gt;0)</f>
        <v>#N/A</v>
      </c>
      <c r="AC47" s="175">
        <f t="shared" si="3"/>
        <v>0</v>
      </c>
      <c r="AD47" s="175">
        <f>SUM($AC$26:AC47)</f>
        <v>0</v>
      </c>
      <c r="AE47" s="175">
        <f t="shared" si="4"/>
        <v>0</v>
      </c>
      <c r="AF47" s="175">
        <f t="shared" si="5"/>
        <v>250000</v>
      </c>
      <c r="AG47" s="175" t="b">
        <f>(SUM($AF$26:AF47)&lt;=$AB$17)</f>
        <v>1</v>
      </c>
      <c r="AH47" s="143">
        <f>AF47/12</f>
        <v>20833.333333333332</v>
      </c>
      <c r="AY47" s="175"/>
      <c r="AZ47" s="66">
        <f>((MAX((SUM($B$26:C47)+(VLOOKUP($AZ$25,'All Options'!$AB$36:$AC$46,2,0)*VLOOKUP('All Options'!$E$22,'Valid Data-GPG'!$B$130:$F$134,MATCH('All Options'!$E$17,'Valid Data-GPG'!$B$130:$F$130,0),0)*'All Options'!$E$17)*(IF(A47&lt;=DP,A47,0))),105%*SUM($B$26:C47)))*(AND(A47&lt;&gt;0,Output!A47&lt;=DP))+(0)*(A47&gt;DP))*$AZ$21</f>
        <v>0</v>
      </c>
      <c r="BA47" s="175" t="e">
        <f>((MAX((SUM($B$26:C47)+(VLOOKUP($BA$25,'All Options'!$AB$36:$AC$46,2,0)*VLOOKUP('All Options'!$E$22,'Valid Data-GPG'!$B$130:$F$134,MATCH('All Options'!$E$17,'Valid Data-GPG'!$B$130:$F$130,0),0)*'All Options'!$E$17)*(IF(A47&lt;=DP,A47,0))),105%*SUM($B$26:C47)))*(Output!A47&lt;=DP)
+MAX((SUM($B$26:C47)+(VLOOKUP($BA$25,'All Options'!$AB$36:$AC$46,2,0)*VLOOKUP('All Options'!$E$22,'Valid Data-GPG'!$B$130:$F$134,MATCH('All Options'!$E$17,'Valid Data-GPG'!$B$130:$F$130,0),0)*'All Options'!$E$17)*DP-D47*(A47-DP)),SUM($B$26:C47))*(A47&gt;DP))*$BA$21</f>
        <v>#N/A</v>
      </c>
      <c r="BB47" s="175">
        <f>((MAX(($AB$17+(VLOOKUP($BB$25,'All Options'!$AB$36:$AC$46,2,0)*VLOOKUP('All Options'!$E$22,'Valid Data-GPG'!$B$130:$F$134,MATCH('All Options'!$E$17,'Valid Data-GPG'!$B$130:$F$130,0),0)*'All Options'!$E$17)*(IF(A47&lt;=DP,A47,0))),105%*$AB$17))*(Output!A47&lt;=DP)+(0)*(A47&gt;DP))*$BB$21</f>
        <v>0</v>
      </c>
      <c r="BC47" s="175" t="e">
        <f>((MAX(($AB$17+(VLOOKUP($BC$25,'All Options'!$AB$36:$AC$46,2,0)*VLOOKUP('All Options'!$E$22,'Valid Data-GPG'!$B$130:$F$134,MATCH('All Options'!$E$17,'Valid Data-GPG'!$B$130:$F$130,0),0)*'All Options'!$E$17)*(IF(A47&lt;=DP,A47,0))),105%*$AB$17))*(Output!A47&lt;=DP)+
MAX(($AB$17+(VLOOKUP($BC$25,'All Options'!$AB$36:$AC$46,2,0)*VLOOKUP('All Options'!$E$22,'Valid Data-GPG'!$B$130:$F$134,MATCH('All Options'!$E$17,'Valid Data-GPG'!$B$130:$F$130,0),0)*'All Options'!$E$17)*DP-D47*(A47-DP)),$AB$17)*(A47&gt;DP))*$BC$21</f>
        <v>#N/A</v>
      </c>
      <c r="BD47" s="175">
        <f ca="1">IFERROR((MAX(($AB$17+(VLOOKUP($BD$25,'All Options'!$AB$36:$AC$46,2,0)*VLOOKUP('All Options'!$E$22,'Valid Data-GPG'!$B$130:$F$134,MATCH('All Options'!$E$17,'Valid Data-GPG'!$B$130:$F$130,0),0)*'All Options'!$E$17)*(IF(A47&lt;=DP,A47,0))),105%*$AB$17))*(Output!A47&lt;=DP)
+MAX(($AB$17+(VLOOKUP($BD$25,'All Options'!$AB$36:$AC$46,2,0)*VLOOKUP('All Options'!$E$22,'Valid Data-GPG'!$B$130:$F$134,MATCH('All Options'!$E$17,'Valid Data-GPG'!$B$130:$F$130,0),0)*'All Options'!$E$17)*DP-D47*(A47-DP)),$AB$17)*(A47&gt;DP),0)*$BD$21</f>
        <v>0</v>
      </c>
      <c r="BE47" s="66">
        <f>IFERROR((MAX(($AB$17+(VLOOKUP($BE$25,'All Options'!$AB$36:$AC$46,2,0)*VLOOKUP('All Options'!$E$22,'Valid Data-GPG'!$B$130:$F$134,MATCH('All Options'!$E$17,'Valid Data-GPG'!$B$130:$F$130,0),0)*'All Options'!$E$17)*(IF(A47&lt;=DP,A47,0))),105%*$AB$17))*(Output!A47&lt;=DP)
+(MAX($AB$17+(VLOOKUP($BE$25,'All Options'!$AB$36:$AC$46,2,0)*VLOOKUP('All Options'!$E$22,'Valid Data-GPG'!$B$130:$F$134,MATCH('All Options'!$E$17,'Valid Data-GPG'!$B$130:$F$130,0),0)*'All Options'!$E$17)*DP-AB47*(A47-DP),$AB$17)*(MAX(A47&lt;=25,K47&lt;85)))*(A47&gt;DP),0)*$BE$21</f>
        <v>0</v>
      </c>
      <c r="BF47" s="175">
        <f>IFERROR((MAX(($AB$17+(VLOOKUP($BF$25,'All Options'!$AB$36:$AC$46,2,0)*VLOOKUP('All Options'!$E$22,'Valid Data-GPG'!$B$130:$F$134,MATCH('All Options'!$E$17,'Valid Data-GPG'!$B$130:$F$130,0),0)*'All Options'!$E$17)*(IF(A47&lt;=DP,A47,0))),105%*$AB$17))*(Output!A47&lt;=DP)
+(MAX($AB$17+(VLOOKUP($BF$25,'All Options'!$AB$36:$AC$46,2,0)*VLOOKUP('All Options'!$E$22,'Valid Data-GPG'!$B$130:$F$134,MATCH('All Options'!$E$17,'Valid Data-GPG'!$B$130:$F$130,0),0)*'All Options'!$E$17)*DP-AB47*(A47-DP),$AB$17)-SUM($AF$26:AF47)*AG47)*(A47&gt;DP)*AG47,0)*$BF$21</f>
        <v>0</v>
      </c>
      <c r="BG47" s="175">
        <f t="shared" si="23"/>
        <v>0</v>
      </c>
      <c r="BH47" s="182">
        <f t="shared" si="6"/>
        <v>5000000</v>
      </c>
      <c r="BI47" s="175">
        <f t="shared" si="24"/>
        <v>0</v>
      </c>
      <c r="BJ47" s="175">
        <f t="shared" si="25"/>
        <v>0</v>
      </c>
      <c r="BK47" s="175">
        <f t="shared" si="26"/>
        <v>0</v>
      </c>
      <c r="BL47" s="175">
        <f t="shared" si="27"/>
        <v>0</v>
      </c>
      <c r="BM47" s="175">
        <f t="shared" si="28"/>
        <v>0</v>
      </c>
      <c r="BN47" s="175">
        <f t="shared" si="29"/>
        <v>0</v>
      </c>
      <c r="BO47" s="182">
        <f t="shared" si="7"/>
        <v>0</v>
      </c>
      <c r="BP47" s="182">
        <f t="shared" si="8"/>
        <v>0</v>
      </c>
      <c r="BQ47" s="182">
        <f>MAX($AB$17-SUM($AF$26:AF47),0)*$BQ$21</f>
        <v>0</v>
      </c>
      <c r="BS47" s="175">
        <f t="shared" si="9"/>
        <v>1</v>
      </c>
      <c r="BT47" s="175">
        <f>IFERROR(IF(A47&lt;=1,0,VLOOKUP(DP,'Valid Data-GPG'!$A$116:$J$122,MATCH(Output!A47,'Valid Data-GPG'!$A$116:$J$116,0),FALSE)*SUM($B$26:C47))*(A47&lt;=DP),0)*$BT$21</f>
        <v>0</v>
      </c>
      <c r="BU47" s="175">
        <f>IFERROR(IF(A47&lt;=1,0,VLOOKUP(DP,'Valid Data-GPG'!$A$116:$J$122,MATCH(Output!A47,'Valid Data-GPG'!$A$116:$J$116,0),FALSE)*SUM($B$26:C47))*(A47&lt;=DP),0)*$BU$21</f>
        <v>0</v>
      </c>
      <c r="BV47" s="175">
        <f t="shared" si="10"/>
        <v>0</v>
      </c>
      <c r="BW47" s="175">
        <f t="shared" si="11"/>
        <v>0</v>
      </c>
      <c r="BX47" s="175">
        <f t="shared" si="12"/>
        <v>0</v>
      </c>
      <c r="BY47" s="175">
        <f t="shared" si="13"/>
        <v>0</v>
      </c>
      <c r="BZ47" s="175">
        <f t="shared" si="14"/>
        <v>0</v>
      </c>
      <c r="CA47" s="175">
        <f>(INDEX('SV calc_ignore'!$J$10:$J$1341,12*Output!A47-0))*BS47</f>
        <v>0</v>
      </c>
      <c r="CB47" s="175">
        <f t="shared" si="30"/>
        <v>0</v>
      </c>
      <c r="CC47" s="175">
        <f>(INDEX('SV calc_ignore'!$J$10:$J$1341,12*Output!A47-0))*BS47</f>
        <v>0</v>
      </c>
      <c r="CD47" s="175">
        <f t="shared" si="31"/>
        <v>0</v>
      </c>
      <c r="CE47" s="66">
        <f>(INDEX('SV calc_ignore'!$J$10:$J$1341,12*Output!A47-0))*($CE$21)</f>
        <v>0</v>
      </c>
      <c r="CF47" s="175">
        <f t="shared" si="32"/>
        <v>0</v>
      </c>
      <c r="CG47" s="175">
        <f>(INDEX('SV calc_ignore'!$J$10:$J$1341,12*Output!A47-0))*($CG$21)*(A47&gt;1)</f>
        <v>0</v>
      </c>
      <c r="CH47" s="175">
        <f>(INDEX('SV calc_ignore'!$J$10:$J$1341,12*Output!A47-0))*($CH$21)*(A47&gt;1)</f>
        <v>0</v>
      </c>
      <c r="CI47" s="175"/>
      <c r="CJ47" s="66">
        <f>(INDEX('SV calc_ignore'!$J$10:$J$1341,12*Output!A47-0))*($CJ$21)*(A47&gt;1)</f>
        <v>0</v>
      </c>
      <c r="CK47" s="66">
        <f>(INDEX('SV calc_ignore'!$Q$10:$Q$1341,12*Output!A47-0))*(AND(A47&gt;1,R47&lt;20))*($CK$21)</f>
        <v>0</v>
      </c>
      <c r="CL47" s="66">
        <f t="shared" si="33"/>
        <v>0</v>
      </c>
      <c r="CM47" s="175">
        <f>((INDEX('SV calc_ignore'!$J$10:$J$1341,12*Output!A47-0))+(INDEX('SV calc_ignore'!$O$10:$O$1341,12*Output!A47-0))*(A47&lt;'SV calc_ignore'!$Q$5))*(A47&gt;1)*($CM$21)</f>
        <v>0</v>
      </c>
      <c r="CN47" s="175">
        <v>0</v>
      </c>
      <c r="CO47" s="175">
        <f>(INDEX('SV calc_ignore'!$J$10:$J$1341,12*Output!A47-0))*(A47&gt;1)*($CO$21)</f>
        <v>0</v>
      </c>
      <c r="CP47" s="175">
        <v>0</v>
      </c>
      <c r="CQ47" s="175">
        <v>0</v>
      </c>
      <c r="CR47" s="175">
        <v>0</v>
      </c>
      <c r="CS47" s="175">
        <v>0</v>
      </c>
      <c r="CT47" s="175">
        <v>0</v>
      </c>
      <c r="CU47" s="175">
        <v>0</v>
      </c>
      <c r="CV47" s="175">
        <f>(INDEX('SV calc_ignore'!$J$10:$J$1341,12*Output!A47-0))*(A47&gt;1)*($CV$21)</f>
        <v>0</v>
      </c>
      <c r="CW47" s="66">
        <f>((INDEX('SV calc_ignore'!$J$10:$J$1341,12*Output!A47-0))+(INDEX('SV calc_ignore'!$O$10:$O$1351,12*Output!A47-0))*(A47&lt;'SV calc_ignore'!$Q$5))*(A47&gt;1)*($CW$21)</f>
        <v>0</v>
      </c>
      <c r="CX47" s="175">
        <f>(INDEX('SV calc_ignore'!$J$10:$J$1341,12*Output!A47-0))*(A47&gt;1)*($CX$21)</f>
        <v>0</v>
      </c>
      <c r="CY47" s="175">
        <f>(INDEX('SV calc_ignore'!$Q$10:$Q$1341,12*Output!A47-0))*(AND(A47&gt;1,R47&lt;20))*($CY$21)</f>
        <v>0</v>
      </c>
      <c r="CZ47" s="175">
        <f t="shared" si="34"/>
        <v>0</v>
      </c>
      <c r="DE47" s="43">
        <f>IF($DE$23,0,VLOOKUP(IF(A47&lt;=DP,DJ47,DI47),SSV!$B$6:$C$116,2,FALSE)*VLOOKUP(AnnuityOption,'All Options'!$AB$36:$AC$47,2,FALSE)*VLOOKUP('All Options'!$E$22,'Valid Data-GPG'!$B$130:$F$134,MATCH('All Options'!$E$17,'Valid Data-GPG'!$B$130:$F$130,0),0)*'All Options'!$E$17)*(IF(AND(Select="Deferred Annuity",AnnuityOption="Life Annuity"),A47&lt;=DP,1))</f>
        <v>1917796.8247380643</v>
      </c>
      <c r="DF47" s="43">
        <f>IF($DF$23,0,IF($DQ$25,DQ47,IF($DR$25,DR47,VLOOKUP(IF(A47&lt;=DP,DJ47,DI47),SSV!$G$6:$H$116,2,FALSE)*SUM($B$27:B47))))</f>
        <v>2586140.5</v>
      </c>
      <c r="DG47" s="43" t="e">
        <f>IF(A47&lt;=DP,VLOOKUP(DP-A46,SSV!$T$6:$U$15,2,FALSE),1)</f>
        <v>#N/A</v>
      </c>
      <c r="DH47" s="282">
        <f t="shared" si="15"/>
        <v>4503937.3247380648</v>
      </c>
      <c r="DI47" s="43">
        <f>IF($DM$26,MIN(Age,'All Options'!$E$21)+A46,IF($DN$26,(Age+A46)-Age+60,IF($DO$26,(Age+A46)-Age+55,Age+A46)))</f>
        <v>80</v>
      </c>
      <c r="DJ47" s="279">
        <f>IF($DM$26,MIN(Age+A47,'All Options'!$E$21+A47),IF($DN$26,(Age+A47)-(Age+$A$27)+60,IF($DO$26,(Age+A47)-(Age+$A$27)+55,Age+A47)))</f>
        <v>81</v>
      </c>
      <c r="DK47" s="279"/>
      <c r="DL47" s="279"/>
      <c r="DP47" s="43">
        <f t="shared" si="35"/>
        <v>0</v>
      </c>
      <c r="DQ47" s="43">
        <f>IFERROR(VLOOKUP(IF(A47&lt;=DP,DJ47,DI47),SSV!$K$6:$L$91,2,FALSE)*SUM($B$27:B47),0)*($DQ$25)</f>
        <v>0</v>
      </c>
      <c r="DR47" s="43">
        <f>IFERROR(VLOOKUP(IF(A47&lt;=DP,DJ47,DI47),SSV!$O$6:$P$95,2,FALSE)*SUM($B$27:B47),0)*($DR$25)</f>
        <v>0</v>
      </c>
      <c r="DU47" s="175">
        <f t="shared" si="16"/>
        <v>1</v>
      </c>
    </row>
    <row r="48" spans="1:125" ht="12.75" customHeight="1" x14ac:dyDescent="0.2">
      <c r="A48" s="146">
        <f t="shared" si="17"/>
        <v>22</v>
      </c>
      <c r="B48" s="670">
        <f>IF(PremiumType="Regular Premium",'All Options'!$E$18*'All Options'!$E$22*(AND(Output!A48&lt;=PPT,A48&gt;=1)),'All Options'!$E$18*(A48=1))</f>
        <v>0</v>
      </c>
      <c r="C48" s="671"/>
      <c r="D48" s="103" t="e">
        <f>((VLOOKUP(CONCATENATE($D$14,$D$15),'All Options'!$AB$36:$AC$47,4,0)*VLOOKUP('All Options'!$E$22,'Valid Data-GPG'!$B$130:$F$134,MATCH('All Options'!$E$17,'Valid Data-GPG'!$B$130:$F$130,0),0)*'All Options'!$E$17)*IF(Select="Deferred Annuity",A48&gt;DP,1)+AE48+AF48*AG48*$AG$21)*(A48&gt;0)</f>
        <v>#N/A</v>
      </c>
      <c r="E48" s="103">
        <v>0</v>
      </c>
      <c r="F48" s="103" t="e">
        <f t="shared" si="18"/>
        <v>#N/A</v>
      </c>
      <c r="G48" s="103">
        <f t="shared" si="2"/>
        <v>0</v>
      </c>
      <c r="H48" s="285">
        <f t="shared" si="19"/>
        <v>4514672.7931888187</v>
      </c>
      <c r="I48" s="103">
        <f t="shared" si="20"/>
        <v>4514672.7931888187</v>
      </c>
      <c r="J48" s="101"/>
      <c r="K48" s="175">
        <f t="shared" si="21"/>
        <v>81</v>
      </c>
      <c r="L48" s="175"/>
      <c r="M48" s="175"/>
      <c r="N48" s="175"/>
      <c r="O48" s="175"/>
      <c r="P48" s="175"/>
      <c r="Q48" s="175"/>
      <c r="R48" s="175">
        <f t="shared" si="22"/>
        <v>7</v>
      </c>
      <c r="U48" s="162"/>
      <c r="AB48" s="175" t="e">
        <f>(VLOOKUP(CONCATENATE($D$14,$D$15),'All Options'!$AB$36:$AC$47,4,0)*VLOOKUP('All Options'!$E$22,'Valid Data-GPG'!$B$130:$F$134,MATCH('All Options'!$E$17,'Valid Data-GPG'!$B$130:$F$130,0),0)*'All Options'!$E$17)*IF(Select="Deferred Annuity",A48&gt;DP,1)*(A48&gt;0)</f>
        <v>#N/A</v>
      </c>
      <c r="AC48" s="175">
        <f t="shared" si="3"/>
        <v>0</v>
      </c>
      <c r="AD48" s="175">
        <f>SUM($AC$26:AC48)</f>
        <v>0</v>
      </c>
      <c r="AE48" s="175">
        <f t="shared" si="4"/>
        <v>0</v>
      </c>
      <c r="AF48" s="175">
        <f t="shared" si="5"/>
        <v>250000</v>
      </c>
      <c r="AG48" s="175" t="b">
        <f>(SUM($AF$26:AF48)&lt;=$AB$17)</f>
        <v>1</v>
      </c>
      <c r="AH48" s="143"/>
      <c r="AY48" s="175"/>
      <c r="AZ48" s="66">
        <f>((MAX((SUM($B$26:C48)+(VLOOKUP($AZ$25,'All Options'!$AB$36:$AC$46,2,0)*VLOOKUP('All Options'!$E$22,'Valid Data-GPG'!$B$130:$F$134,MATCH('All Options'!$E$17,'Valid Data-GPG'!$B$130:$F$130,0),0)*'All Options'!$E$17)*(IF(A48&lt;=DP,A48,0))),105%*SUM($B$26:C48)))*(AND(A48&lt;&gt;0,Output!A48&lt;=DP))+(0)*(A48&gt;DP))*$AZ$21</f>
        <v>0</v>
      </c>
      <c r="BA48" s="175" t="e">
        <f>((MAX((SUM($B$26:C48)+(VLOOKUP($BA$25,'All Options'!$AB$36:$AC$46,2,0)*VLOOKUP('All Options'!$E$22,'Valid Data-GPG'!$B$130:$F$134,MATCH('All Options'!$E$17,'Valid Data-GPG'!$B$130:$F$130,0),0)*'All Options'!$E$17)*(IF(A48&lt;=DP,A48,0))),105%*SUM($B$26:C48)))*(Output!A48&lt;=DP)
+MAX((SUM($B$26:C48)+(VLOOKUP($BA$25,'All Options'!$AB$36:$AC$46,2,0)*VLOOKUP('All Options'!$E$22,'Valid Data-GPG'!$B$130:$F$134,MATCH('All Options'!$E$17,'Valid Data-GPG'!$B$130:$F$130,0),0)*'All Options'!$E$17)*DP-D48*(A48-DP)),SUM($B$26:C48))*(A48&gt;DP))*$BA$21</f>
        <v>#N/A</v>
      </c>
      <c r="BB48" s="175">
        <f>((MAX(($AB$17+(VLOOKUP($BB$25,'All Options'!$AB$36:$AC$46,2,0)*VLOOKUP('All Options'!$E$22,'Valid Data-GPG'!$B$130:$F$134,MATCH('All Options'!$E$17,'Valid Data-GPG'!$B$130:$F$130,0),0)*'All Options'!$E$17)*(IF(A48&lt;=DP,A48,0))),105%*$AB$17))*(Output!A48&lt;=DP)+(0)*(A48&gt;DP))*$BB$21</f>
        <v>0</v>
      </c>
      <c r="BC48" s="175" t="e">
        <f>((MAX(($AB$17+(VLOOKUP($BC$25,'All Options'!$AB$36:$AC$46,2,0)*VLOOKUP('All Options'!$E$22,'Valid Data-GPG'!$B$130:$F$134,MATCH('All Options'!$E$17,'Valid Data-GPG'!$B$130:$F$130,0),0)*'All Options'!$E$17)*(IF(A48&lt;=DP,A48,0))),105%*$AB$17))*(Output!A48&lt;=DP)+
MAX(($AB$17+(VLOOKUP($BC$25,'All Options'!$AB$36:$AC$46,2,0)*VLOOKUP('All Options'!$E$22,'Valid Data-GPG'!$B$130:$F$134,MATCH('All Options'!$E$17,'Valid Data-GPG'!$B$130:$F$130,0),0)*'All Options'!$E$17)*DP-D48*(A48-DP)),$AB$17)*(A48&gt;DP))*$BC$21</f>
        <v>#N/A</v>
      </c>
      <c r="BD48" s="175">
        <f ca="1">IFERROR((MAX(($AB$17+(VLOOKUP($BD$25,'All Options'!$AB$36:$AC$46,2,0)*VLOOKUP('All Options'!$E$22,'Valid Data-GPG'!$B$130:$F$134,MATCH('All Options'!$E$17,'Valid Data-GPG'!$B$130:$F$130,0),0)*'All Options'!$E$17)*(IF(A48&lt;=DP,A48,0))),105%*$AB$17))*(Output!A48&lt;=DP)
+MAX(($AB$17+(VLOOKUP($BD$25,'All Options'!$AB$36:$AC$46,2,0)*VLOOKUP('All Options'!$E$22,'Valid Data-GPG'!$B$130:$F$134,MATCH('All Options'!$E$17,'Valid Data-GPG'!$B$130:$F$130,0),0)*'All Options'!$E$17)*DP-D48*(A48-DP)),$AB$17)*(A48&gt;DP),0)*$BD$21</f>
        <v>0</v>
      </c>
      <c r="BE48" s="66">
        <f>IFERROR((MAX(($AB$17+(VLOOKUP($BE$25,'All Options'!$AB$36:$AC$46,2,0)*VLOOKUP('All Options'!$E$22,'Valid Data-GPG'!$B$130:$F$134,MATCH('All Options'!$E$17,'Valid Data-GPG'!$B$130:$F$130,0),0)*'All Options'!$E$17)*(IF(A48&lt;=DP,A48,0))),105%*$AB$17))*(Output!A48&lt;=DP)
+(MAX($AB$17+(VLOOKUP($BE$25,'All Options'!$AB$36:$AC$46,2,0)*VLOOKUP('All Options'!$E$22,'Valid Data-GPG'!$B$130:$F$134,MATCH('All Options'!$E$17,'Valid Data-GPG'!$B$130:$F$130,0),0)*'All Options'!$E$17)*DP-AB48*(A48-DP),$AB$17)*(MAX(A48&lt;=25,K48&lt;85)))*(A48&gt;DP),0)*$BE$21</f>
        <v>0</v>
      </c>
      <c r="BF48" s="175">
        <f>IFERROR((MAX(($AB$17+(VLOOKUP($BF$25,'All Options'!$AB$36:$AC$46,2,0)*VLOOKUP('All Options'!$E$22,'Valid Data-GPG'!$B$130:$F$134,MATCH('All Options'!$E$17,'Valid Data-GPG'!$B$130:$F$130,0),0)*'All Options'!$E$17)*(IF(A48&lt;=DP,A48,0))),105%*$AB$17))*(Output!A48&lt;=DP)
+(MAX($AB$17+(VLOOKUP($BF$25,'All Options'!$AB$36:$AC$46,2,0)*VLOOKUP('All Options'!$E$22,'Valid Data-GPG'!$B$130:$F$134,MATCH('All Options'!$E$17,'Valid Data-GPG'!$B$130:$F$130,0),0)*'All Options'!$E$17)*DP-AB48*(A48-DP),$AB$17)-SUM($AF$26:AF48)*AG48)*(A48&gt;DP)*AG48,0)*$BF$21</f>
        <v>0</v>
      </c>
      <c r="BG48" s="175">
        <f t="shared" si="23"/>
        <v>0</v>
      </c>
      <c r="BH48" s="182">
        <f t="shared" si="6"/>
        <v>5000000</v>
      </c>
      <c r="BI48" s="175">
        <f t="shared" si="24"/>
        <v>0</v>
      </c>
      <c r="BJ48" s="175">
        <f t="shared" si="25"/>
        <v>0</v>
      </c>
      <c r="BK48" s="175">
        <f t="shared" si="26"/>
        <v>0</v>
      </c>
      <c r="BL48" s="175">
        <f t="shared" si="27"/>
        <v>0</v>
      </c>
      <c r="BM48" s="175">
        <f t="shared" si="28"/>
        <v>0</v>
      </c>
      <c r="BN48" s="175">
        <f t="shared" si="29"/>
        <v>0</v>
      </c>
      <c r="BO48" s="182">
        <f t="shared" si="7"/>
        <v>0</v>
      </c>
      <c r="BP48" s="182">
        <f t="shared" si="8"/>
        <v>0</v>
      </c>
      <c r="BQ48" s="182">
        <f>MAX($AB$17-SUM($AF$26:AF48),0)*$BQ$21</f>
        <v>0</v>
      </c>
      <c r="BS48" s="175">
        <f t="shared" si="9"/>
        <v>1</v>
      </c>
      <c r="BT48" s="175">
        <f>IFERROR(IF(A48&lt;=1,0,VLOOKUP(DP,'Valid Data-GPG'!$A$116:$J$122,MATCH(Output!A48,'Valid Data-GPG'!$A$116:$J$116,0),FALSE)*SUM($B$26:C48))*(A48&lt;=DP),0)*$BT$21</f>
        <v>0</v>
      </c>
      <c r="BU48" s="175">
        <f>IFERROR(IF(A48&lt;=1,0,VLOOKUP(DP,'Valid Data-GPG'!$A$116:$J$122,MATCH(Output!A48,'Valid Data-GPG'!$A$116:$J$116,0),FALSE)*SUM($B$26:C48))*(A48&lt;=DP),0)*$BU$21</f>
        <v>0</v>
      </c>
      <c r="BV48" s="175">
        <f t="shared" si="10"/>
        <v>0</v>
      </c>
      <c r="BW48" s="175">
        <f t="shared" si="11"/>
        <v>0</v>
      </c>
      <c r="BX48" s="175">
        <f t="shared" si="12"/>
        <v>0</v>
      </c>
      <c r="BY48" s="175">
        <f t="shared" si="13"/>
        <v>0</v>
      </c>
      <c r="BZ48" s="175">
        <f t="shared" si="14"/>
        <v>0</v>
      </c>
      <c r="CA48" s="175">
        <f>(INDEX('SV calc_ignore'!$J$10:$J$1341,12*Output!A48-0))*BS48</f>
        <v>0</v>
      </c>
      <c r="CB48" s="175">
        <f t="shared" si="30"/>
        <v>0</v>
      </c>
      <c r="CC48" s="175">
        <f>(INDEX('SV calc_ignore'!$J$10:$J$1341,12*Output!A48-0))*BS48</f>
        <v>0</v>
      </c>
      <c r="CD48" s="175">
        <f t="shared" si="31"/>
        <v>0</v>
      </c>
      <c r="CE48" s="66">
        <f>(INDEX('SV calc_ignore'!$J$10:$J$1341,12*Output!A48-0))*($CE$21)</f>
        <v>0</v>
      </c>
      <c r="CF48" s="175">
        <f t="shared" si="32"/>
        <v>0</v>
      </c>
      <c r="CG48" s="175">
        <f>(INDEX('SV calc_ignore'!$J$10:$J$1341,12*Output!A48-0))*($CG$21)*(A48&gt;1)</f>
        <v>0</v>
      </c>
      <c r="CH48" s="175">
        <f>(INDEX('SV calc_ignore'!$J$10:$J$1341,12*Output!A48-0))*($CH$21)*(A48&gt;1)</f>
        <v>0</v>
      </c>
      <c r="CI48" s="175"/>
      <c r="CJ48" s="66">
        <f>(INDEX('SV calc_ignore'!$J$10:$J$1341,12*Output!A48-0))*($CJ$21)*(A48&gt;1)</f>
        <v>0</v>
      </c>
      <c r="CK48" s="66">
        <f>(INDEX('SV calc_ignore'!$Q$10:$Q$1341,12*Output!A48-0))*(AND(A48&gt;1,R48&lt;20))*($CK$21)</f>
        <v>0</v>
      </c>
      <c r="CL48" s="66">
        <f t="shared" si="33"/>
        <v>0</v>
      </c>
      <c r="CM48" s="175">
        <f>((INDEX('SV calc_ignore'!$J$10:$J$1341,12*Output!A48-0))+(INDEX('SV calc_ignore'!$O$10:$O$1341,12*Output!A48-0))*(A48&lt;'SV calc_ignore'!$Q$5))*(A48&gt;1)*($CM$21)</f>
        <v>0</v>
      </c>
      <c r="CN48" s="175">
        <v>0</v>
      </c>
      <c r="CO48" s="175">
        <f>(INDEX('SV calc_ignore'!$J$10:$J$1341,12*Output!A48-0))*(A48&gt;1)*($CO$21)</f>
        <v>0</v>
      </c>
      <c r="CP48" s="175">
        <v>0</v>
      </c>
      <c r="CQ48" s="175">
        <v>0</v>
      </c>
      <c r="CR48" s="175">
        <v>0</v>
      </c>
      <c r="CS48" s="175">
        <v>0</v>
      </c>
      <c r="CT48" s="175">
        <v>0</v>
      </c>
      <c r="CU48" s="175">
        <v>0</v>
      </c>
      <c r="CV48" s="175">
        <f>(INDEX('SV calc_ignore'!$J$10:$J$1341,12*Output!A48-0))*(A48&gt;1)*($CV$21)</f>
        <v>0</v>
      </c>
      <c r="CW48" s="66">
        <f>((INDEX('SV calc_ignore'!$J$10:$J$1341,12*Output!A48-0))+(INDEX('SV calc_ignore'!$O$10:$O$1351,12*Output!A48-0))*(A48&lt;'SV calc_ignore'!$Q$5))*(A48&gt;1)*($CW$21)</f>
        <v>0</v>
      </c>
      <c r="CX48" s="175">
        <f>(INDEX('SV calc_ignore'!$J$10:$J$1341,12*Output!A48-0))*(A48&gt;1)*($CX$21)</f>
        <v>0</v>
      </c>
      <c r="CY48" s="175">
        <f>(INDEX('SV calc_ignore'!$Q$10:$Q$1341,12*Output!A48-0))*(AND(A48&gt;1,R48&lt;20))*($CY$21)</f>
        <v>0</v>
      </c>
      <c r="CZ48" s="175">
        <f t="shared" si="34"/>
        <v>0</v>
      </c>
      <c r="DE48" s="43">
        <f>IF($DE$23,0,VLOOKUP(IF(A48&lt;=DP,DJ48,DI48),SSV!$B$6:$C$116,2,FALSE)*VLOOKUP(AnnuityOption,'All Options'!$AB$36:$AC$47,2,FALSE)*VLOOKUP('All Options'!$E$22,'Valid Data-GPG'!$B$130:$F$134,MATCH('All Options'!$E$17,'Valid Data-GPG'!$B$130:$F$130,0),0)*'All Options'!$E$17)*(IF(AND(Select="Deferred Annuity",AnnuityOption="Life Annuity"),A48&lt;=DP,1))</f>
        <v>1852843.2931888194</v>
      </c>
      <c r="DF48" s="43">
        <f>IF($DF$23,0,IF($DQ$25,DQ48,IF($DR$25,DR48,VLOOKUP(IF(A48&lt;=DP,DJ48,DI48),SSV!$G$6:$H$116,2,FALSE)*SUM($B$27:B48))))</f>
        <v>2661829.4999999995</v>
      </c>
      <c r="DG48" s="43" t="e">
        <f>IF(A48&lt;=DP,VLOOKUP(DP-A47,SSV!$T$6:$U$15,2,FALSE),1)</f>
        <v>#N/A</v>
      </c>
      <c r="DH48" s="282">
        <f t="shared" si="15"/>
        <v>4514672.7931888187</v>
      </c>
      <c r="DI48" s="43">
        <f>IF($DM$26,MIN(Age,'All Options'!$E$21)+A47,IF($DN$26,(Age+A47)-Age+60,IF($DO$26,(Age+A47)-Age+55,Age+A47)))</f>
        <v>81</v>
      </c>
      <c r="DJ48" s="279">
        <f>IF($DM$26,MIN(Age+A48,'All Options'!$E$21+A48),IF($DN$26,(Age+A48)-(Age+$A$27)+60,IF($DO$26,(Age+A48)-(Age+$A$27)+55,Age+A48)))</f>
        <v>82</v>
      </c>
      <c r="DK48" s="279"/>
      <c r="DL48" s="279"/>
      <c r="DP48" s="43">
        <f t="shared" si="35"/>
        <v>0</v>
      </c>
      <c r="DQ48" s="43">
        <f>IFERROR(VLOOKUP(IF(A48&lt;=DP,DJ48,DI48),SSV!$K$6:$L$91,2,FALSE)*SUM($B$27:B48),0)*($DQ$25)</f>
        <v>0</v>
      </c>
      <c r="DR48" s="43">
        <f>IFERROR(VLOOKUP(IF(A48&lt;=DP,DJ48,DI48),SSV!$O$6:$P$95,2,FALSE)*SUM($B$27:B48),0)*($DR$25)</f>
        <v>0</v>
      </c>
      <c r="DU48" s="175">
        <f t="shared" si="16"/>
        <v>1</v>
      </c>
    </row>
    <row r="49" spans="1:125" ht="12.75" customHeight="1" x14ac:dyDescent="0.2">
      <c r="A49" s="146">
        <f t="shared" si="17"/>
        <v>23</v>
      </c>
      <c r="B49" s="670">
        <f>IF(PremiumType="Regular Premium",'All Options'!$E$18*'All Options'!$E$22*(AND(Output!A49&lt;=PPT,A49&gt;=1)),'All Options'!$E$18*(A49=1))</f>
        <v>0</v>
      </c>
      <c r="C49" s="671"/>
      <c r="D49" s="103" t="e">
        <f>((VLOOKUP(CONCATENATE($D$14,$D$15),'All Options'!$AB$36:$AC$47,4,0)*VLOOKUP('All Options'!$E$22,'Valid Data-GPG'!$B$130:$F$134,MATCH('All Options'!$E$17,'Valid Data-GPG'!$B$130:$F$130,0),0)*'All Options'!$E$17)*IF(Select="Deferred Annuity",A49&gt;DP,1)+AE49+AF49*AG49*$AG$21)*(A49&gt;0)</f>
        <v>#N/A</v>
      </c>
      <c r="E49" s="103">
        <v>0</v>
      </c>
      <c r="F49" s="103" t="e">
        <f t="shared" si="18"/>
        <v>#N/A</v>
      </c>
      <c r="G49" s="103">
        <f t="shared" si="2"/>
        <v>0</v>
      </c>
      <c r="H49" s="285">
        <f t="shared" si="19"/>
        <v>4525199.3750237655</v>
      </c>
      <c r="I49" s="103">
        <f t="shared" si="20"/>
        <v>4525199.3750237655</v>
      </c>
      <c r="J49" s="101"/>
      <c r="K49" s="175">
        <f t="shared" si="21"/>
        <v>82</v>
      </c>
      <c r="L49" s="175"/>
      <c r="M49" s="175"/>
      <c r="N49" s="175"/>
      <c r="O49" s="175"/>
      <c r="P49" s="175"/>
      <c r="Q49" s="175"/>
      <c r="R49" s="175">
        <f t="shared" si="22"/>
        <v>8</v>
      </c>
      <c r="U49" s="162"/>
      <c r="AB49" s="175" t="e">
        <f>(VLOOKUP(CONCATENATE($D$14,$D$15),'All Options'!$AB$36:$AC$47,4,0)*VLOOKUP('All Options'!$E$22,'Valid Data-GPG'!$B$130:$F$134,MATCH('All Options'!$E$17,'Valid Data-GPG'!$B$130:$F$130,0),0)*'All Options'!$E$17)*IF(Select="Deferred Annuity",A49&gt;DP,1)*(A49&gt;0)</f>
        <v>#N/A</v>
      </c>
      <c r="AC49" s="175">
        <f t="shared" si="3"/>
        <v>0</v>
      </c>
      <c r="AD49" s="175">
        <f>SUM($AC$26:AC49)</f>
        <v>0</v>
      </c>
      <c r="AE49" s="175">
        <f t="shared" si="4"/>
        <v>0</v>
      </c>
      <c r="AF49" s="175">
        <f t="shared" si="5"/>
        <v>250000</v>
      </c>
      <c r="AG49" s="175" t="b">
        <f>(SUM($AF$26:AF49)&lt;=$AB$17)</f>
        <v>1</v>
      </c>
      <c r="AH49" s="143"/>
      <c r="AY49" s="175"/>
      <c r="AZ49" s="66">
        <f>((MAX((SUM($B$26:C49)+(VLOOKUP($AZ$25,'All Options'!$AB$36:$AC$46,2,0)*VLOOKUP('All Options'!$E$22,'Valid Data-GPG'!$B$130:$F$134,MATCH('All Options'!$E$17,'Valid Data-GPG'!$B$130:$F$130,0),0)*'All Options'!$E$17)*(IF(A49&lt;=DP,A49,0))),105%*SUM($B$26:C49)))*(AND(A49&lt;&gt;0,Output!A49&lt;=DP))+(0)*(A49&gt;DP))*$AZ$21</f>
        <v>0</v>
      </c>
      <c r="BA49" s="175" t="e">
        <f>((MAX((SUM($B$26:C49)+(VLOOKUP($BA$25,'All Options'!$AB$36:$AC$46,2,0)*VLOOKUP('All Options'!$E$22,'Valid Data-GPG'!$B$130:$F$134,MATCH('All Options'!$E$17,'Valid Data-GPG'!$B$130:$F$130,0),0)*'All Options'!$E$17)*(IF(A49&lt;=DP,A49,0))),105%*SUM($B$26:C49)))*(Output!A49&lt;=DP)
+MAX((SUM($B$26:C49)+(VLOOKUP($BA$25,'All Options'!$AB$36:$AC$46,2,0)*VLOOKUP('All Options'!$E$22,'Valid Data-GPG'!$B$130:$F$134,MATCH('All Options'!$E$17,'Valid Data-GPG'!$B$130:$F$130,0),0)*'All Options'!$E$17)*DP-D49*(A49-DP)),SUM($B$26:C49))*(A49&gt;DP))*$BA$21</f>
        <v>#N/A</v>
      </c>
      <c r="BB49" s="175">
        <f>((MAX(($AB$17+(VLOOKUP($BB$25,'All Options'!$AB$36:$AC$46,2,0)*VLOOKUP('All Options'!$E$22,'Valid Data-GPG'!$B$130:$F$134,MATCH('All Options'!$E$17,'Valid Data-GPG'!$B$130:$F$130,0),0)*'All Options'!$E$17)*(IF(A49&lt;=DP,A49,0))),105%*$AB$17))*(Output!A49&lt;=DP)+(0)*(A49&gt;DP))*$BB$21</f>
        <v>0</v>
      </c>
      <c r="BC49" s="175" t="e">
        <f>((MAX(($AB$17+(VLOOKUP($BC$25,'All Options'!$AB$36:$AC$46,2,0)*VLOOKUP('All Options'!$E$22,'Valid Data-GPG'!$B$130:$F$134,MATCH('All Options'!$E$17,'Valid Data-GPG'!$B$130:$F$130,0),0)*'All Options'!$E$17)*(IF(A49&lt;=DP,A49,0))),105%*$AB$17))*(Output!A49&lt;=DP)+
MAX(($AB$17+(VLOOKUP($BC$25,'All Options'!$AB$36:$AC$46,2,0)*VLOOKUP('All Options'!$E$22,'Valid Data-GPG'!$B$130:$F$134,MATCH('All Options'!$E$17,'Valid Data-GPG'!$B$130:$F$130,0),0)*'All Options'!$E$17)*DP-D49*(A49-DP)),$AB$17)*(A49&gt;DP))*$BC$21</f>
        <v>#N/A</v>
      </c>
      <c r="BD49" s="175">
        <f ca="1">IFERROR((MAX(($AB$17+(VLOOKUP($BD$25,'All Options'!$AB$36:$AC$46,2,0)*VLOOKUP('All Options'!$E$22,'Valid Data-GPG'!$B$130:$F$134,MATCH('All Options'!$E$17,'Valid Data-GPG'!$B$130:$F$130,0),0)*'All Options'!$E$17)*(IF(A49&lt;=DP,A49,0))),105%*$AB$17))*(Output!A49&lt;=DP)
+MAX(($AB$17+(VLOOKUP($BD$25,'All Options'!$AB$36:$AC$46,2,0)*VLOOKUP('All Options'!$E$22,'Valid Data-GPG'!$B$130:$F$134,MATCH('All Options'!$E$17,'Valid Data-GPG'!$B$130:$F$130,0),0)*'All Options'!$E$17)*DP-D49*(A49-DP)),$AB$17)*(A49&gt;DP),0)*$BD$21</f>
        <v>0</v>
      </c>
      <c r="BE49" s="66">
        <f>IFERROR((MAX(($AB$17+(VLOOKUP($BE$25,'All Options'!$AB$36:$AC$46,2,0)*VLOOKUP('All Options'!$E$22,'Valid Data-GPG'!$B$130:$F$134,MATCH('All Options'!$E$17,'Valid Data-GPG'!$B$130:$F$130,0),0)*'All Options'!$E$17)*(IF(A49&lt;=DP,A49,0))),105%*$AB$17))*(Output!A49&lt;=DP)
+(MAX($AB$17+(VLOOKUP($BE$25,'All Options'!$AB$36:$AC$46,2,0)*VLOOKUP('All Options'!$E$22,'Valid Data-GPG'!$B$130:$F$134,MATCH('All Options'!$E$17,'Valid Data-GPG'!$B$130:$F$130,0),0)*'All Options'!$E$17)*DP-AB49*(A49-DP),$AB$17)*(MAX(A49&lt;=25,K49&lt;85)))*(A49&gt;DP),0)*$BE$21</f>
        <v>0</v>
      </c>
      <c r="BF49" s="175">
        <f>IFERROR((MAX(($AB$17+(VLOOKUP($BF$25,'All Options'!$AB$36:$AC$46,2,0)*VLOOKUP('All Options'!$E$22,'Valid Data-GPG'!$B$130:$F$134,MATCH('All Options'!$E$17,'Valid Data-GPG'!$B$130:$F$130,0),0)*'All Options'!$E$17)*(IF(A49&lt;=DP,A49,0))),105%*$AB$17))*(Output!A49&lt;=DP)
+(MAX($AB$17+(VLOOKUP($BF$25,'All Options'!$AB$36:$AC$46,2,0)*VLOOKUP('All Options'!$E$22,'Valid Data-GPG'!$B$130:$F$134,MATCH('All Options'!$E$17,'Valid Data-GPG'!$B$130:$F$130,0),0)*'All Options'!$E$17)*DP-AB49*(A49-DP),$AB$17)-SUM($AF$26:AF49)*AG49)*(A49&gt;DP)*AG49,0)*$BF$21</f>
        <v>0</v>
      </c>
      <c r="BG49" s="175">
        <f t="shared" si="23"/>
        <v>0</v>
      </c>
      <c r="BH49" s="182">
        <f t="shared" si="6"/>
        <v>5000000</v>
      </c>
      <c r="BI49" s="175">
        <f t="shared" si="24"/>
        <v>0</v>
      </c>
      <c r="BJ49" s="175">
        <f t="shared" si="25"/>
        <v>0</v>
      </c>
      <c r="BK49" s="175">
        <f t="shared" si="26"/>
        <v>0</v>
      </c>
      <c r="BL49" s="175">
        <f t="shared" si="27"/>
        <v>0</v>
      </c>
      <c r="BM49" s="175">
        <f t="shared" si="28"/>
        <v>0</v>
      </c>
      <c r="BN49" s="175">
        <f t="shared" si="29"/>
        <v>0</v>
      </c>
      <c r="BO49" s="182">
        <f t="shared" si="7"/>
        <v>0</v>
      </c>
      <c r="BP49" s="182">
        <f t="shared" si="8"/>
        <v>0</v>
      </c>
      <c r="BQ49" s="182">
        <f>MAX($AB$17-SUM($AF$26:AF49),0)*$BQ$21</f>
        <v>0</v>
      </c>
      <c r="BS49" s="175">
        <f t="shared" si="9"/>
        <v>1</v>
      </c>
      <c r="BT49" s="175">
        <f>IFERROR(IF(A49&lt;=1,0,VLOOKUP(DP,'Valid Data-GPG'!$A$116:$J$122,MATCH(Output!A49,'Valid Data-GPG'!$A$116:$J$116,0),FALSE)*SUM($B$26:C49))*(A49&lt;=DP),0)*$BT$21</f>
        <v>0</v>
      </c>
      <c r="BU49" s="175">
        <f>IFERROR(IF(A49&lt;=1,0,VLOOKUP(DP,'Valid Data-GPG'!$A$116:$J$122,MATCH(Output!A49,'Valid Data-GPG'!$A$116:$J$116,0),FALSE)*SUM($B$26:C49))*(A49&lt;=DP),0)*$BU$21</f>
        <v>0</v>
      </c>
      <c r="BV49" s="175">
        <f t="shared" si="10"/>
        <v>0</v>
      </c>
      <c r="BW49" s="175">
        <f t="shared" si="11"/>
        <v>0</v>
      </c>
      <c r="BX49" s="175">
        <f t="shared" si="12"/>
        <v>0</v>
      </c>
      <c r="BY49" s="175">
        <f t="shared" si="13"/>
        <v>0</v>
      </c>
      <c r="BZ49" s="175">
        <f t="shared" si="14"/>
        <v>0</v>
      </c>
      <c r="CA49" s="175">
        <f>(INDEX('SV calc_ignore'!$J$10:$J$1341,12*Output!A49-0))*BS49</f>
        <v>0</v>
      </c>
      <c r="CB49" s="175">
        <f t="shared" si="30"/>
        <v>0</v>
      </c>
      <c r="CC49" s="175">
        <f>(INDEX('SV calc_ignore'!$J$10:$J$1341,12*Output!A49-0))*BS49</f>
        <v>0</v>
      </c>
      <c r="CD49" s="175">
        <f t="shared" si="31"/>
        <v>0</v>
      </c>
      <c r="CE49" s="66">
        <f>(INDEX('SV calc_ignore'!$J$10:$J$1341,12*Output!A49-0))*($CE$21)</f>
        <v>0</v>
      </c>
      <c r="CF49" s="175">
        <f t="shared" si="32"/>
        <v>0</v>
      </c>
      <c r="CG49" s="175">
        <f>(INDEX('SV calc_ignore'!$J$10:$J$1341,12*Output!A49-0))*($CG$21)*(A49&gt;1)</f>
        <v>0</v>
      </c>
      <c r="CH49" s="175">
        <f>(INDEX('SV calc_ignore'!$J$10:$J$1341,12*Output!A49-0))*($CH$21)*(A49&gt;1)</f>
        <v>0</v>
      </c>
      <c r="CI49" s="175"/>
      <c r="CJ49" s="66">
        <f>(INDEX('SV calc_ignore'!$J$10:$J$1341,12*Output!A49-0))*($CJ$21)*(A49&gt;1)</f>
        <v>0</v>
      </c>
      <c r="CK49" s="66">
        <f>(INDEX('SV calc_ignore'!$Q$10:$Q$1341,12*Output!A49-0))*(AND(A49&gt;1,R49&lt;20))*($CK$21)</f>
        <v>0</v>
      </c>
      <c r="CL49" s="66">
        <f t="shared" si="33"/>
        <v>0</v>
      </c>
      <c r="CM49" s="175">
        <f>((INDEX('SV calc_ignore'!$J$10:$J$1341,12*Output!A49-0))+(INDEX('SV calc_ignore'!$O$10:$O$1341,12*Output!A49-0))*(A49&lt;'SV calc_ignore'!$Q$5))*(A49&gt;1)*($CM$21)</f>
        <v>0</v>
      </c>
      <c r="CN49" s="175">
        <v>0</v>
      </c>
      <c r="CO49" s="175">
        <f>(INDEX('SV calc_ignore'!$J$10:$J$1341,12*Output!A49-0))*(A49&gt;1)*($CO$21)</f>
        <v>0</v>
      </c>
      <c r="CP49" s="175">
        <v>0</v>
      </c>
      <c r="CQ49" s="175">
        <v>0</v>
      </c>
      <c r="CR49" s="175">
        <v>0</v>
      </c>
      <c r="CS49" s="175">
        <v>0</v>
      </c>
      <c r="CT49" s="175">
        <v>0</v>
      </c>
      <c r="CU49" s="175">
        <v>0</v>
      </c>
      <c r="CV49" s="175">
        <f>(INDEX('SV calc_ignore'!$J$10:$J$1341,12*Output!A49-0))*(A49&gt;1)*($CV$21)</f>
        <v>0</v>
      </c>
      <c r="CW49" s="66">
        <f>((INDEX('SV calc_ignore'!$J$10:$J$1341,12*Output!A49-0))+(INDEX('SV calc_ignore'!$O$10:$O$1351,12*Output!A49-0))*(A49&lt;'SV calc_ignore'!$Q$5))*(A49&gt;1)*($CW$21)</f>
        <v>0</v>
      </c>
      <c r="CX49" s="175">
        <f>(INDEX('SV calc_ignore'!$J$10:$J$1341,12*Output!A49-0))*(A49&gt;1)*($CX$21)</f>
        <v>0</v>
      </c>
      <c r="CY49" s="175">
        <f>(INDEX('SV calc_ignore'!$Q$10:$Q$1341,12*Output!A49-0))*(AND(A49&gt;1,R49&lt;20))*($CY$21)</f>
        <v>0</v>
      </c>
      <c r="CZ49" s="175">
        <f t="shared" si="34"/>
        <v>0</v>
      </c>
      <c r="DE49" s="43">
        <f>IF($DE$23,0,VLOOKUP(IF(A49&lt;=DP,DJ49,DI49),SSV!$B$6:$C$116,2,FALSE)*VLOOKUP(AnnuityOption,'All Options'!$AB$36:$AC$47,2,FALSE)*VLOOKUP('All Options'!$E$22,'Valid Data-GPG'!$B$130:$F$134,MATCH('All Options'!$E$17,'Valid Data-GPG'!$B$130:$F$130,0),0)*'All Options'!$E$17)*(IF(AND(Select="Deferred Annuity",AnnuityOption="Life Annuity"),A49&lt;=DP,1))</f>
        <v>1789203.3750237655</v>
      </c>
      <c r="DF49" s="43">
        <f>IF($DF$23,0,IF($DQ$25,DQ49,IF($DR$25,DR49,VLOOKUP(IF(A49&lt;=DP,DJ49,DI49),SSV!$G$6:$H$116,2,FALSE)*SUM($B$27:B49))))</f>
        <v>2735996</v>
      </c>
      <c r="DG49" s="43" t="e">
        <f>IF(A49&lt;=DP,VLOOKUP(DP-A48,SSV!$T$6:$U$15,2,FALSE),1)</f>
        <v>#N/A</v>
      </c>
      <c r="DH49" s="282">
        <f t="shared" si="15"/>
        <v>4525199.3750237655</v>
      </c>
      <c r="DI49" s="43">
        <f>IF($DM$26,MIN(Age,'All Options'!$E$21)+A48,IF($DN$26,(Age+A48)-Age+60,IF($DO$26,(Age+A48)-Age+55,Age+A48)))</f>
        <v>82</v>
      </c>
      <c r="DJ49" s="279">
        <f>IF($DM$26,MIN(Age+A49,'All Options'!$E$21+A49),IF($DN$26,(Age+A49)-(Age+$A$27)+60,IF($DO$26,(Age+A49)-(Age+$A$27)+55,Age+A49)))</f>
        <v>83</v>
      </c>
      <c r="DK49" s="279"/>
      <c r="DL49" s="279"/>
      <c r="DP49" s="43">
        <f t="shared" si="35"/>
        <v>0</v>
      </c>
      <c r="DQ49" s="43">
        <f>IFERROR(VLOOKUP(IF(A49&lt;=DP,DJ49,DI49),SSV!$K$6:$L$91,2,FALSE)*SUM($B$27:B49),0)*($DQ$25)</f>
        <v>0</v>
      </c>
      <c r="DR49" s="43">
        <f>IFERROR(VLOOKUP(IF(A49&lt;=DP,DJ49,DI49),SSV!$O$6:$P$95,2,FALSE)*SUM($B$27:B49),0)*($DR$25)</f>
        <v>0</v>
      </c>
      <c r="DU49" s="175">
        <f t="shared" si="16"/>
        <v>1</v>
      </c>
    </row>
    <row r="50" spans="1:125" ht="12.75" customHeight="1" x14ac:dyDescent="0.2">
      <c r="A50" s="146">
        <f t="shared" si="17"/>
        <v>24</v>
      </c>
      <c r="B50" s="670">
        <f>IF(PremiumType="Regular Premium",'All Options'!$E$18*'All Options'!$E$22*(AND(Output!A50&lt;=PPT,A50&gt;=1)),'All Options'!$E$18*(A50=1))</f>
        <v>0</v>
      </c>
      <c r="C50" s="671"/>
      <c r="D50" s="103" t="e">
        <f>((VLOOKUP(CONCATENATE($D$14,$D$15),'All Options'!$AB$36:$AC$47,4,0)*VLOOKUP('All Options'!$E$22,'Valid Data-GPG'!$B$130:$F$134,MATCH('All Options'!$E$17,'Valid Data-GPG'!$B$130:$F$130,0),0)*'All Options'!$E$17)*IF(Select="Deferred Annuity",A50&gt;DP,1)+AE50+AF50*AG50*$AG$21)*(A50&gt;0)</f>
        <v>#N/A</v>
      </c>
      <c r="E50" s="103">
        <v>0</v>
      </c>
      <c r="F50" s="103" t="e">
        <f t="shared" si="18"/>
        <v>#N/A</v>
      </c>
      <c r="G50" s="103">
        <f t="shared" si="2"/>
        <v>0</v>
      </c>
      <c r="H50" s="285">
        <f t="shared" si="19"/>
        <v>4535506.9423110262</v>
      </c>
      <c r="I50" s="103">
        <f t="shared" si="20"/>
        <v>4535506.9423110262</v>
      </c>
      <c r="J50" s="101"/>
      <c r="K50" s="175">
        <f t="shared" si="21"/>
        <v>83</v>
      </c>
      <c r="L50" s="175"/>
      <c r="M50" s="175"/>
      <c r="N50" s="175"/>
      <c r="O50" s="175"/>
      <c r="P50" s="175"/>
      <c r="Q50" s="175"/>
      <c r="R50" s="175">
        <f t="shared" si="22"/>
        <v>9</v>
      </c>
      <c r="U50" s="162"/>
      <c r="AB50" s="175" t="e">
        <f>(VLOOKUP(CONCATENATE($D$14,$D$15),'All Options'!$AB$36:$AC$47,4,0)*VLOOKUP('All Options'!$E$22,'Valid Data-GPG'!$B$130:$F$134,MATCH('All Options'!$E$17,'Valid Data-GPG'!$B$130:$F$130,0),0)*'All Options'!$E$17)*IF(Select="Deferred Annuity",A50&gt;DP,1)*(A50&gt;0)</f>
        <v>#N/A</v>
      </c>
      <c r="AC50" s="175">
        <f t="shared" si="3"/>
        <v>0</v>
      </c>
      <c r="AD50" s="175">
        <f>SUM($AC$26:AC50)</f>
        <v>0</v>
      </c>
      <c r="AE50" s="175">
        <f t="shared" si="4"/>
        <v>0</v>
      </c>
      <c r="AF50" s="175">
        <f t="shared" si="5"/>
        <v>250000</v>
      </c>
      <c r="AG50" s="175" t="b">
        <f>(SUM($AF$26:AF50)&lt;=$AB$17)</f>
        <v>1</v>
      </c>
      <c r="AH50" s="143"/>
      <c r="AY50" s="175"/>
      <c r="AZ50" s="66">
        <f>((MAX((SUM($B$26:C50)+(VLOOKUP($AZ$25,'All Options'!$AB$36:$AC$46,2,0)*VLOOKUP('All Options'!$E$22,'Valid Data-GPG'!$B$130:$F$134,MATCH('All Options'!$E$17,'Valid Data-GPG'!$B$130:$F$130,0),0)*'All Options'!$E$17)*(IF(A50&lt;=DP,A50,0))),105%*SUM($B$26:C50)))*(AND(A50&lt;&gt;0,Output!A50&lt;=DP))+(0)*(A50&gt;DP))*$AZ$21</f>
        <v>0</v>
      </c>
      <c r="BA50" s="175" t="e">
        <f>((MAX((SUM($B$26:C50)+(VLOOKUP($BA$25,'All Options'!$AB$36:$AC$46,2,0)*VLOOKUP('All Options'!$E$22,'Valid Data-GPG'!$B$130:$F$134,MATCH('All Options'!$E$17,'Valid Data-GPG'!$B$130:$F$130,0),0)*'All Options'!$E$17)*(IF(A50&lt;=DP,A50,0))),105%*SUM($B$26:C50)))*(Output!A50&lt;=DP)
+MAX((SUM($B$26:C50)+(VLOOKUP($BA$25,'All Options'!$AB$36:$AC$46,2,0)*VLOOKUP('All Options'!$E$22,'Valid Data-GPG'!$B$130:$F$134,MATCH('All Options'!$E$17,'Valid Data-GPG'!$B$130:$F$130,0),0)*'All Options'!$E$17)*DP-D50*(A50-DP)),SUM($B$26:C50))*(A50&gt;DP))*$BA$21</f>
        <v>#N/A</v>
      </c>
      <c r="BB50" s="175">
        <f>((MAX(($AB$17+(VLOOKUP($BB$25,'All Options'!$AB$36:$AC$46,2,0)*VLOOKUP('All Options'!$E$22,'Valid Data-GPG'!$B$130:$F$134,MATCH('All Options'!$E$17,'Valid Data-GPG'!$B$130:$F$130,0),0)*'All Options'!$E$17)*(IF(A50&lt;=DP,A50,0))),105%*$AB$17))*(Output!A50&lt;=DP)+(0)*(A50&gt;DP))*$BB$21</f>
        <v>0</v>
      </c>
      <c r="BC50" s="175" t="e">
        <f>((MAX(($AB$17+(VLOOKUP($BC$25,'All Options'!$AB$36:$AC$46,2,0)*VLOOKUP('All Options'!$E$22,'Valid Data-GPG'!$B$130:$F$134,MATCH('All Options'!$E$17,'Valid Data-GPG'!$B$130:$F$130,0),0)*'All Options'!$E$17)*(IF(A50&lt;=DP,A50,0))),105%*$AB$17))*(Output!A50&lt;=DP)+
MAX(($AB$17+(VLOOKUP($BC$25,'All Options'!$AB$36:$AC$46,2,0)*VLOOKUP('All Options'!$E$22,'Valid Data-GPG'!$B$130:$F$134,MATCH('All Options'!$E$17,'Valid Data-GPG'!$B$130:$F$130,0),0)*'All Options'!$E$17)*DP-D50*(A50-DP)),$AB$17)*(A50&gt;DP))*$BC$21</f>
        <v>#N/A</v>
      </c>
      <c r="BD50" s="175">
        <f ca="1">IFERROR((MAX(($AB$17+(VLOOKUP($BD$25,'All Options'!$AB$36:$AC$46,2,0)*VLOOKUP('All Options'!$E$22,'Valid Data-GPG'!$B$130:$F$134,MATCH('All Options'!$E$17,'Valid Data-GPG'!$B$130:$F$130,0),0)*'All Options'!$E$17)*(IF(A50&lt;=DP,A50,0))),105%*$AB$17))*(Output!A50&lt;=DP)
+MAX(($AB$17+(VLOOKUP($BD$25,'All Options'!$AB$36:$AC$46,2,0)*VLOOKUP('All Options'!$E$22,'Valid Data-GPG'!$B$130:$F$134,MATCH('All Options'!$E$17,'Valid Data-GPG'!$B$130:$F$130,0),0)*'All Options'!$E$17)*DP-D50*(A50-DP)),$AB$17)*(A50&gt;DP),0)*$BD$21</f>
        <v>0</v>
      </c>
      <c r="BE50" s="66">
        <f>IFERROR((MAX(($AB$17+(VLOOKUP($BE$25,'All Options'!$AB$36:$AC$46,2,0)*VLOOKUP('All Options'!$E$22,'Valid Data-GPG'!$B$130:$F$134,MATCH('All Options'!$E$17,'Valid Data-GPG'!$B$130:$F$130,0),0)*'All Options'!$E$17)*(IF(A50&lt;=DP,A50,0))),105%*$AB$17))*(Output!A50&lt;=DP)
+(MAX($AB$17+(VLOOKUP($BE$25,'All Options'!$AB$36:$AC$46,2,0)*VLOOKUP('All Options'!$E$22,'Valid Data-GPG'!$B$130:$F$134,MATCH('All Options'!$E$17,'Valid Data-GPG'!$B$130:$F$130,0),0)*'All Options'!$E$17)*DP-AB50*(A50-DP),$AB$17)*(MAX(A50&lt;=25,K50&lt;85)))*(A50&gt;DP),0)*$BE$21</f>
        <v>0</v>
      </c>
      <c r="BF50" s="175">
        <f>IFERROR((MAX(($AB$17+(VLOOKUP($BF$25,'All Options'!$AB$36:$AC$46,2,0)*VLOOKUP('All Options'!$E$22,'Valid Data-GPG'!$B$130:$F$134,MATCH('All Options'!$E$17,'Valid Data-GPG'!$B$130:$F$130,0),0)*'All Options'!$E$17)*(IF(A50&lt;=DP,A50,0))),105%*$AB$17))*(Output!A50&lt;=DP)
+(MAX($AB$17+(VLOOKUP($BF$25,'All Options'!$AB$36:$AC$46,2,0)*VLOOKUP('All Options'!$E$22,'Valid Data-GPG'!$B$130:$F$134,MATCH('All Options'!$E$17,'Valid Data-GPG'!$B$130:$F$130,0),0)*'All Options'!$E$17)*DP-AB50*(A50-DP),$AB$17)-SUM($AF$26:AF50)*AG50)*(A50&gt;DP)*AG50,0)*$BF$21</f>
        <v>0</v>
      </c>
      <c r="BG50" s="175">
        <f t="shared" si="23"/>
        <v>0</v>
      </c>
      <c r="BH50" s="182">
        <f t="shared" si="6"/>
        <v>5000000</v>
      </c>
      <c r="BI50" s="175">
        <f t="shared" si="24"/>
        <v>0</v>
      </c>
      <c r="BJ50" s="175">
        <f t="shared" si="25"/>
        <v>0</v>
      </c>
      <c r="BK50" s="175">
        <f t="shared" si="26"/>
        <v>0</v>
      </c>
      <c r="BL50" s="175">
        <f t="shared" si="27"/>
        <v>0</v>
      </c>
      <c r="BM50" s="175">
        <f t="shared" si="28"/>
        <v>0</v>
      </c>
      <c r="BN50" s="175">
        <f t="shared" si="29"/>
        <v>0</v>
      </c>
      <c r="BO50" s="182">
        <f t="shared" si="7"/>
        <v>0</v>
      </c>
      <c r="BP50" s="182">
        <f t="shared" si="8"/>
        <v>0</v>
      </c>
      <c r="BQ50" s="182">
        <f>MAX($AB$17-SUM($AF$26:AF50),0)*$BQ$21</f>
        <v>0</v>
      </c>
      <c r="BS50" s="175">
        <f t="shared" si="9"/>
        <v>1</v>
      </c>
      <c r="BT50" s="175">
        <f>IFERROR(IF(A50&lt;=1,0,VLOOKUP(DP,'Valid Data-GPG'!$A$116:$J$122,MATCH(Output!A50,'Valid Data-GPG'!$A$116:$J$116,0),FALSE)*SUM($B$26:C50))*(A50&lt;=DP),0)*$BT$21</f>
        <v>0</v>
      </c>
      <c r="BU50" s="175">
        <f>IFERROR(IF(A50&lt;=1,0,VLOOKUP(DP,'Valid Data-GPG'!$A$116:$J$122,MATCH(Output!A50,'Valid Data-GPG'!$A$116:$J$116,0),FALSE)*SUM($B$26:C50))*(A50&lt;=DP),0)*$BU$21</f>
        <v>0</v>
      </c>
      <c r="BV50" s="175">
        <f t="shared" si="10"/>
        <v>0</v>
      </c>
      <c r="BW50" s="175">
        <f t="shared" si="11"/>
        <v>0</v>
      </c>
      <c r="BX50" s="175">
        <f t="shared" si="12"/>
        <v>0</v>
      </c>
      <c r="BY50" s="175">
        <f t="shared" si="13"/>
        <v>0</v>
      </c>
      <c r="BZ50" s="175">
        <f t="shared" si="14"/>
        <v>0</v>
      </c>
      <c r="CA50" s="175">
        <f>(INDEX('SV calc_ignore'!$J$10:$J$1341,12*Output!A50-0))*BS50</f>
        <v>0</v>
      </c>
      <c r="CB50" s="175">
        <f t="shared" si="30"/>
        <v>0</v>
      </c>
      <c r="CC50" s="175">
        <f>(INDEX('SV calc_ignore'!$J$10:$J$1341,12*Output!A50-0))*BS50</f>
        <v>0</v>
      </c>
      <c r="CD50" s="175">
        <f t="shared" si="31"/>
        <v>0</v>
      </c>
      <c r="CE50" s="66">
        <f>(INDEX('SV calc_ignore'!$J$10:$J$1341,12*Output!A50-0))*($CE$21)</f>
        <v>0</v>
      </c>
      <c r="CF50" s="175">
        <f t="shared" si="32"/>
        <v>0</v>
      </c>
      <c r="CG50" s="175">
        <f>(INDEX('SV calc_ignore'!$J$10:$J$1341,12*Output!A50-0))*($CG$21)*(A50&gt;1)</f>
        <v>0</v>
      </c>
      <c r="CH50" s="175">
        <f>(INDEX('SV calc_ignore'!$J$10:$J$1341,12*Output!A50-0))*($CH$21)*(A50&gt;1)</f>
        <v>0</v>
      </c>
      <c r="CI50" s="175"/>
      <c r="CJ50" s="66">
        <f>(INDEX('SV calc_ignore'!$J$10:$J$1341,12*Output!A50-0))*($CJ$21)*(A50&gt;1)</f>
        <v>0</v>
      </c>
      <c r="CK50" s="66">
        <f>(INDEX('SV calc_ignore'!$Q$10:$Q$1341,12*Output!A50-0))*(AND(A50&gt;1,R50&lt;20))*($CK$21)</f>
        <v>0</v>
      </c>
      <c r="CL50" s="66">
        <f t="shared" si="33"/>
        <v>0</v>
      </c>
      <c r="CM50" s="175">
        <f>((INDEX('SV calc_ignore'!$J$10:$J$1341,12*Output!A50-0))+(INDEX('SV calc_ignore'!$O$10:$O$1341,12*Output!A50-0))*(A50&lt;'SV calc_ignore'!$Q$5))*(A50&gt;1)*($CM$21)</f>
        <v>0</v>
      </c>
      <c r="CN50" s="175">
        <v>0</v>
      </c>
      <c r="CO50" s="175">
        <f>(INDEX('SV calc_ignore'!$J$10:$J$1341,12*Output!A50-0))*(A50&gt;1)*($CO$21)</f>
        <v>0</v>
      </c>
      <c r="CP50" s="175">
        <v>0</v>
      </c>
      <c r="CQ50" s="175">
        <v>0</v>
      </c>
      <c r="CR50" s="175">
        <v>0</v>
      </c>
      <c r="CS50" s="175">
        <v>0</v>
      </c>
      <c r="CT50" s="175">
        <v>0</v>
      </c>
      <c r="CU50" s="175">
        <v>0</v>
      </c>
      <c r="CV50" s="175">
        <f>(INDEX('SV calc_ignore'!$J$10:$J$1341,12*Output!A50-0))*(A50&gt;1)*($CV$21)</f>
        <v>0</v>
      </c>
      <c r="CW50" s="66">
        <f>((INDEX('SV calc_ignore'!$J$10:$J$1341,12*Output!A50-0))+(INDEX('SV calc_ignore'!$O$10:$O$1351,12*Output!A50-0))*(A50&lt;'SV calc_ignore'!$Q$5))*(A50&gt;1)*($CW$21)</f>
        <v>0</v>
      </c>
      <c r="CX50" s="175">
        <f>(INDEX('SV calc_ignore'!$J$10:$J$1341,12*Output!A50-0))*(A50&gt;1)*($CX$21)</f>
        <v>0</v>
      </c>
      <c r="CY50" s="175">
        <f>(INDEX('SV calc_ignore'!$Q$10:$Q$1341,12*Output!A50-0))*(AND(A50&gt;1,R50&lt;20))*($CY$21)</f>
        <v>0</v>
      </c>
      <c r="CZ50" s="175">
        <f t="shared" si="34"/>
        <v>0</v>
      </c>
      <c r="DE50" s="43">
        <f>IF($DE$23,0,VLOOKUP(IF(A50&lt;=DP,DJ50,DI50),SSV!$B$6:$C$116,2,FALSE)*VLOOKUP(AnnuityOption,'All Options'!$AB$36:$AC$47,2,FALSE)*VLOOKUP('All Options'!$E$22,'Valid Data-GPG'!$B$130:$F$134,MATCH('All Options'!$E$17,'Valid Data-GPG'!$B$130:$F$130,0),0)*'All Options'!$E$17)*(IF(AND(Select="Deferred Annuity",AnnuityOption="Life Annuity"),A50&lt;=DP,1))</f>
        <v>1726943.9423110266</v>
      </c>
      <c r="DF50" s="43">
        <f>IF($DF$23,0,IF($DQ$25,DQ50,IF($DR$25,DR50,VLOOKUP(IF(A50&lt;=DP,DJ50,DI50),SSV!$G$6:$H$116,2,FALSE)*SUM($B$27:B50))))</f>
        <v>2808563</v>
      </c>
      <c r="DG50" s="43" t="e">
        <f>IF(A50&lt;=DP,VLOOKUP(DP-A49,SSV!$T$6:$U$15,2,FALSE),1)</f>
        <v>#N/A</v>
      </c>
      <c r="DH50" s="282">
        <f t="shared" si="15"/>
        <v>4535506.9423110262</v>
      </c>
      <c r="DI50" s="43">
        <f>IF($DM$26,MIN(Age,'All Options'!$E$21)+A49,IF($DN$26,(Age+A49)-Age+60,IF($DO$26,(Age+A49)-Age+55,Age+A49)))</f>
        <v>83</v>
      </c>
      <c r="DJ50" s="279">
        <f>IF($DM$26,MIN(Age+A50,'All Options'!$E$21+A50),IF($DN$26,(Age+A50)-(Age+$A$27)+60,IF($DO$26,(Age+A50)-(Age+$A$27)+55,Age+A50)))</f>
        <v>84</v>
      </c>
      <c r="DK50" s="279"/>
      <c r="DL50" s="279"/>
      <c r="DP50" s="43">
        <f t="shared" si="35"/>
        <v>0</v>
      </c>
      <c r="DQ50" s="43">
        <f>IFERROR(VLOOKUP(IF(A50&lt;=DP,DJ50,DI50),SSV!$K$6:$L$91,2,FALSE)*SUM($B$27:B50),0)*($DQ$25)</f>
        <v>0</v>
      </c>
      <c r="DR50" s="43">
        <f>IFERROR(VLOOKUP(IF(A50&lt;=DP,DJ50,DI50),SSV!$O$6:$P$95,2,FALSE)*SUM($B$27:B50),0)*($DR$25)</f>
        <v>0</v>
      </c>
      <c r="DU50" s="175">
        <f t="shared" si="16"/>
        <v>1</v>
      </c>
    </row>
    <row r="51" spans="1:125" x14ac:dyDescent="0.2">
      <c r="A51" s="146">
        <f t="shared" si="17"/>
        <v>25</v>
      </c>
      <c r="B51" s="670">
        <f>IF(PremiumType="Regular Premium",'All Options'!$E$18*'All Options'!$E$22*(AND(Output!A51&lt;=PPT,A51&gt;=1)),'All Options'!$E$18*(A51=1))</f>
        <v>0</v>
      </c>
      <c r="C51" s="671"/>
      <c r="D51" s="103" t="e">
        <f>((VLOOKUP(CONCATENATE($D$14,$D$15),'All Options'!$AB$36:$AC$47,4,0)*VLOOKUP('All Options'!$E$22,'Valid Data-GPG'!$B$130:$F$134,MATCH('All Options'!$E$17,'Valid Data-GPG'!$B$130:$F$130,0),0)*'All Options'!$E$17)*IF(Select="Deferred Annuity",A51&gt;DP,1)+AE51+AF51*AG51*$AG$21)*(A51&gt;0)</f>
        <v>#N/A</v>
      </c>
      <c r="E51" s="103">
        <v>0</v>
      </c>
      <c r="F51" s="103" t="e">
        <f t="shared" si="18"/>
        <v>#N/A</v>
      </c>
      <c r="G51" s="103">
        <f t="shared" si="2"/>
        <v>0</v>
      </c>
      <c r="H51" s="285">
        <f t="shared" si="19"/>
        <v>4545587.5664568106</v>
      </c>
      <c r="I51" s="103">
        <f t="shared" si="20"/>
        <v>4545587.5664568106</v>
      </c>
      <c r="J51" s="101"/>
      <c r="K51" s="175">
        <f t="shared" si="21"/>
        <v>84</v>
      </c>
      <c r="L51" s="175"/>
      <c r="M51" s="175"/>
      <c r="N51" s="175"/>
      <c r="O51" s="175"/>
      <c r="P51" s="175"/>
      <c r="Q51" s="175"/>
      <c r="R51" s="175">
        <f t="shared" si="22"/>
        <v>10</v>
      </c>
      <c r="U51" s="162"/>
      <c r="AB51" s="175" t="e">
        <f>(VLOOKUP(CONCATENATE($D$14,$D$15),'All Options'!$AB$36:$AC$47,4,0)*VLOOKUP('All Options'!$E$22,'Valid Data-GPG'!$B$130:$F$134,MATCH('All Options'!$E$17,'Valid Data-GPG'!$B$130:$F$130,0),0)*'All Options'!$E$17)*IF(Select="Deferred Annuity",A51&gt;DP,1)*(A51&gt;0)</f>
        <v>#N/A</v>
      </c>
      <c r="AC51" s="175">
        <f t="shared" si="3"/>
        <v>0</v>
      </c>
      <c r="AD51" s="175">
        <f>SUM($AC$26:AC51)</f>
        <v>0</v>
      </c>
      <c r="AE51" s="175">
        <f t="shared" si="4"/>
        <v>0</v>
      </c>
      <c r="AF51" s="175">
        <f t="shared" si="5"/>
        <v>250000</v>
      </c>
      <c r="AG51" s="175" t="b">
        <f>(SUM($AF$26:AF51)&lt;=$AB$17)</f>
        <v>1</v>
      </c>
      <c r="AH51" s="143"/>
      <c r="AY51" s="175"/>
      <c r="AZ51" s="66">
        <f>((MAX((SUM($B$26:C51)+(VLOOKUP($AZ$25,'All Options'!$AB$36:$AC$46,2,0)*VLOOKUP('All Options'!$E$22,'Valid Data-GPG'!$B$130:$F$134,MATCH('All Options'!$E$17,'Valid Data-GPG'!$B$130:$F$130,0),0)*'All Options'!$E$17)*(IF(A51&lt;=DP,A51,0))),105%*SUM($B$26:C51)))*(AND(A51&lt;&gt;0,Output!A51&lt;=DP))+(0)*(A51&gt;DP))*$AZ$21</f>
        <v>0</v>
      </c>
      <c r="BA51" s="175" t="e">
        <f>((MAX((SUM($B$26:C51)+(VLOOKUP($BA$25,'All Options'!$AB$36:$AC$46,2,0)*VLOOKUP('All Options'!$E$22,'Valid Data-GPG'!$B$130:$F$134,MATCH('All Options'!$E$17,'Valid Data-GPG'!$B$130:$F$130,0),0)*'All Options'!$E$17)*(IF(A51&lt;=DP,A51,0))),105%*SUM($B$26:C51)))*(Output!A51&lt;=DP)
+MAX((SUM($B$26:C51)+(VLOOKUP($BA$25,'All Options'!$AB$36:$AC$46,2,0)*VLOOKUP('All Options'!$E$22,'Valid Data-GPG'!$B$130:$F$134,MATCH('All Options'!$E$17,'Valid Data-GPG'!$B$130:$F$130,0),0)*'All Options'!$E$17)*DP-D51*(A51-DP)),SUM($B$26:C51))*(A51&gt;DP))*$BA$21</f>
        <v>#N/A</v>
      </c>
      <c r="BB51" s="175">
        <f>((MAX(($AB$17+(VLOOKUP($BB$25,'All Options'!$AB$36:$AC$46,2,0)*VLOOKUP('All Options'!$E$22,'Valid Data-GPG'!$B$130:$F$134,MATCH('All Options'!$E$17,'Valid Data-GPG'!$B$130:$F$130,0),0)*'All Options'!$E$17)*(IF(A51&lt;=DP,A51,0))),105%*$AB$17))*(Output!A51&lt;=DP)+(0)*(A51&gt;DP))*$BB$21</f>
        <v>0</v>
      </c>
      <c r="BC51" s="175" t="e">
        <f>((MAX(($AB$17+(VLOOKUP($BC$25,'All Options'!$AB$36:$AC$46,2,0)*VLOOKUP('All Options'!$E$22,'Valid Data-GPG'!$B$130:$F$134,MATCH('All Options'!$E$17,'Valid Data-GPG'!$B$130:$F$130,0),0)*'All Options'!$E$17)*(IF(A51&lt;=DP,A51,0))),105%*$AB$17))*(Output!A51&lt;=DP)+
MAX(($AB$17+(VLOOKUP($BC$25,'All Options'!$AB$36:$AC$46,2,0)*VLOOKUP('All Options'!$E$22,'Valid Data-GPG'!$B$130:$F$134,MATCH('All Options'!$E$17,'Valid Data-GPG'!$B$130:$F$130,0),0)*'All Options'!$E$17)*DP-D51*(A51-DP)),$AB$17)*(A51&gt;DP))*$BC$21</f>
        <v>#N/A</v>
      </c>
      <c r="BD51" s="175">
        <f ca="1">IFERROR((MAX(($AB$17+(VLOOKUP($BD$25,'All Options'!$AB$36:$AC$46,2,0)*VLOOKUP('All Options'!$E$22,'Valid Data-GPG'!$B$130:$F$134,MATCH('All Options'!$E$17,'Valid Data-GPG'!$B$130:$F$130,0),0)*'All Options'!$E$17)*(IF(A51&lt;=DP,A51,0))),105%*$AB$17))*(Output!A51&lt;=DP)
+MAX(($AB$17+(VLOOKUP($BD$25,'All Options'!$AB$36:$AC$46,2,0)*VLOOKUP('All Options'!$E$22,'Valid Data-GPG'!$B$130:$F$134,MATCH('All Options'!$E$17,'Valid Data-GPG'!$B$130:$F$130,0),0)*'All Options'!$E$17)*DP-D51*(A51-DP)),$AB$17)*(A51&gt;DP),0)*$BD$21</f>
        <v>0</v>
      </c>
      <c r="BE51" s="66">
        <f>IFERROR((MAX(($AB$17+(VLOOKUP($BE$25,'All Options'!$AB$36:$AC$46,2,0)*VLOOKUP('All Options'!$E$22,'Valid Data-GPG'!$B$130:$F$134,MATCH('All Options'!$E$17,'Valid Data-GPG'!$B$130:$F$130,0),0)*'All Options'!$E$17)*(IF(A51&lt;=DP,A51,0))),105%*$AB$17))*(Output!A51&lt;=DP)
+(MAX($AB$17+(VLOOKUP($BE$25,'All Options'!$AB$36:$AC$46,2,0)*VLOOKUP('All Options'!$E$22,'Valid Data-GPG'!$B$130:$F$134,MATCH('All Options'!$E$17,'Valid Data-GPG'!$B$130:$F$130,0),0)*'All Options'!$E$17)*DP-AB51*(A51-DP),$AB$17)*(MAX(A51&lt;=25,K51&lt;85)))*(A51&gt;DP),0)*$BE$21</f>
        <v>0</v>
      </c>
      <c r="BF51" s="175">
        <f>IFERROR((MAX(($AB$17+(VLOOKUP($BF$25,'All Options'!$AB$36:$AC$46,2,0)*VLOOKUP('All Options'!$E$22,'Valid Data-GPG'!$B$130:$F$134,MATCH('All Options'!$E$17,'Valid Data-GPG'!$B$130:$F$130,0),0)*'All Options'!$E$17)*(IF(A51&lt;=DP,A51,0))),105%*$AB$17))*(Output!A51&lt;=DP)
+(MAX($AB$17+(VLOOKUP($BF$25,'All Options'!$AB$36:$AC$46,2,0)*VLOOKUP('All Options'!$E$22,'Valid Data-GPG'!$B$130:$F$134,MATCH('All Options'!$E$17,'Valid Data-GPG'!$B$130:$F$130,0),0)*'All Options'!$E$17)*DP-AB51*(A51-DP),$AB$17)-SUM($AF$26:AF51)*AG51)*(A51&gt;DP)*AG51,0)*$BF$21</f>
        <v>0</v>
      </c>
      <c r="BG51" s="175">
        <f t="shared" si="23"/>
        <v>0</v>
      </c>
      <c r="BH51" s="182">
        <f t="shared" si="6"/>
        <v>5000000</v>
      </c>
      <c r="BI51" s="175">
        <f t="shared" si="24"/>
        <v>0</v>
      </c>
      <c r="BJ51" s="175">
        <f t="shared" si="25"/>
        <v>0</v>
      </c>
      <c r="BK51" s="175">
        <f t="shared" si="26"/>
        <v>0</v>
      </c>
      <c r="BL51" s="175">
        <f t="shared" si="27"/>
        <v>0</v>
      </c>
      <c r="BM51" s="175">
        <f t="shared" si="28"/>
        <v>0</v>
      </c>
      <c r="BN51" s="175">
        <f t="shared" si="29"/>
        <v>0</v>
      </c>
      <c r="BO51" s="182">
        <f t="shared" si="7"/>
        <v>0</v>
      </c>
      <c r="BP51" s="182">
        <f t="shared" si="8"/>
        <v>0</v>
      </c>
      <c r="BQ51" s="182">
        <f>MAX($AB$17-SUM($AF$26:AF51),0)*$BQ$21</f>
        <v>0</v>
      </c>
      <c r="BS51" s="175">
        <f t="shared" si="9"/>
        <v>1</v>
      </c>
      <c r="BT51" s="175">
        <f>IFERROR(IF(A51&lt;=1,0,VLOOKUP(DP,'Valid Data-GPG'!$A$116:$J$122,MATCH(Output!A51,'Valid Data-GPG'!$A$116:$J$116,0),FALSE)*SUM($B$26:C51))*(A51&lt;=DP),0)*$BT$21</f>
        <v>0</v>
      </c>
      <c r="BU51" s="175">
        <f>IFERROR(IF(A51&lt;=1,0,VLOOKUP(DP,'Valid Data-GPG'!$A$116:$J$122,MATCH(Output!A51,'Valid Data-GPG'!$A$116:$J$116,0),FALSE)*SUM($B$26:C51))*(A51&lt;=DP),0)*$BU$21</f>
        <v>0</v>
      </c>
      <c r="BV51" s="175">
        <f t="shared" si="10"/>
        <v>0</v>
      </c>
      <c r="BW51" s="175">
        <f t="shared" si="11"/>
        <v>0</v>
      </c>
      <c r="BX51" s="175">
        <f t="shared" si="12"/>
        <v>0</v>
      </c>
      <c r="BY51" s="175">
        <f t="shared" si="13"/>
        <v>0</v>
      </c>
      <c r="BZ51" s="175">
        <f t="shared" si="14"/>
        <v>0</v>
      </c>
      <c r="CA51" s="175">
        <f>(INDEX('SV calc_ignore'!$J$10:$J$1341,12*Output!A51-0))*BS51</f>
        <v>0</v>
      </c>
      <c r="CB51" s="175">
        <f t="shared" si="30"/>
        <v>0</v>
      </c>
      <c r="CC51" s="175">
        <f>(INDEX('SV calc_ignore'!$J$10:$J$1341,12*Output!A51-0))*BS51</f>
        <v>0</v>
      </c>
      <c r="CD51" s="175">
        <f t="shared" si="31"/>
        <v>0</v>
      </c>
      <c r="CE51" s="66">
        <f>(INDEX('SV calc_ignore'!$J$10:$J$1341,12*Output!A51-0))*($CE$21)</f>
        <v>0</v>
      </c>
      <c r="CF51" s="175">
        <f t="shared" si="32"/>
        <v>0</v>
      </c>
      <c r="CG51" s="175">
        <f>(INDEX('SV calc_ignore'!$J$10:$J$1341,12*Output!A51-0))*($CG$21)*(A51&gt;1)</f>
        <v>0</v>
      </c>
      <c r="CH51" s="175">
        <f>(INDEX('SV calc_ignore'!$J$10:$J$1341,12*Output!A51-0))*($CH$21)*(A51&gt;1)</f>
        <v>0</v>
      </c>
      <c r="CI51" s="175"/>
      <c r="CJ51" s="66">
        <f>(INDEX('SV calc_ignore'!$J$10:$J$1341,12*Output!A51-0))*($CJ$21)*(A51&gt;1)</f>
        <v>0</v>
      </c>
      <c r="CK51" s="66">
        <f>(INDEX('SV calc_ignore'!$Q$10:$Q$1341,12*Output!A51-0))*(AND(A51&gt;1,R51&lt;20))*($CK$21)</f>
        <v>0</v>
      </c>
      <c r="CL51" s="66">
        <f t="shared" si="33"/>
        <v>0</v>
      </c>
      <c r="CM51" s="175">
        <f>((INDEX('SV calc_ignore'!$J$10:$J$1341,12*Output!A51-0))+(INDEX('SV calc_ignore'!$O$10:$O$1341,12*Output!A51-0))*(A51&lt;'SV calc_ignore'!$Q$5))*(A51&gt;1)*($CM$21)</f>
        <v>0</v>
      </c>
      <c r="CN51" s="175">
        <v>0</v>
      </c>
      <c r="CO51" s="175">
        <f>(INDEX('SV calc_ignore'!$J$10:$J$1341,12*Output!A51-0))*(A51&gt;1)*($CO$21)</f>
        <v>0</v>
      </c>
      <c r="CP51" s="175">
        <v>0</v>
      </c>
      <c r="CQ51" s="175">
        <v>0</v>
      </c>
      <c r="CR51" s="175">
        <v>0</v>
      </c>
      <c r="CS51" s="175">
        <v>0</v>
      </c>
      <c r="CT51" s="175">
        <v>0</v>
      </c>
      <c r="CU51" s="175">
        <v>0</v>
      </c>
      <c r="CV51" s="175">
        <f>(INDEX('SV calc_ignore'!$J$10:$J$1341,12*Output!A51-0))*(A51&gt;1)*($CV$21)</f>
        <v>0</v>
      </c>
      <c r="CW51" s="66">
        <f>((INDEX('SV calc_ignore'!$J$10:$J$1341,12*Output!A51-0))+(INDEX('SV calc_ignore'!$O$10:$O$1351,12*Output!A51-0))*(A51&lt;'SV calc_ignore'!$Q$5))*(A51&gt;1)*($CW$21)</f>
        <v>0</v>
      </c>
      <c r="CX51" s="175">
        <f>(INDEX('SV calc_ignore'!$J$10:$J$1341,12*Output!A51-0))*(A51&gt;1)*($CX$21)</f>
        <v>0</v>
      </c>
      <c r="CY51" s="175">
        <f>(INDEX('SV calc_ignore'!$Q$10:$Q$1341,12*Output!A51-0))*(AND(A51&gt;1,R51&lt;20))*($CY$21)</f>
        <v>0</v>
      </c>
      <c r="CZ51" s="175">
        <f t="shared" si="34"/>
        <v>0</v>
      </c>
      <c r="DE51" s="43">
        <f>IF($DE$23,0,VLOOKUP(IF(A51&lt;=DP,DJ51,DI51),SSV!$B$6:$C$116,2,FALSE)*VLOOKUP(AnnuityOption,'All Options'!$AB$36:$AC$47,2,FALSE)*VLOOKUP('All Options'!$E$22,'Valid Data-GPG'!$B$130:$F$134,MATCH('All Options'!$E$17,'Valid Data-GPG'!$B$130:$F$130,0),0)*'All Options'!$E$17)*(IF(AND(Select="Deferred Annuity",AnnuityOption="Life Annuity"),A51&lt;=DP,1))</f>
        <v>1666118.0664568106</v>
      </c>
      <c r="DF51" s="43">
        <f>IF($DF$23,0,IF($DQ$25,DQ51,IF($DR$25,DR51,VLOOKUP(IF(A51&lt;=DP,DJ51,DI51),SSV!$G$6:$H$116,2,FALSE)*SUM($B$27:B51))))</f>
        <v>2879469.5</v>
      </c>
      <c r="DG51" s="43" t="e">
        <f>IF(A51&lt;=DP,VLOOKUP(DP-A50,SSV!$T$6:$U$15,2,FALSE),1)</f>
        <v>#N/A</v>
      </c>
      <c r="DH51" s="282">
        <f t="shared" si="15"/>
        <v>4545587.5664568106</v>
      </c>
      <c r="DI51" s="43">
        <f>IF($DM$26,MIN(Age,'All Options'!$E$21)+A50,IF($DN$26,(Age+A50)-Age+60,IF($DO$26,(Age+A50)-Age+55,Age+A50)))</f>
        <v>84</v>
      </c>
      <c r="DJ51" s="279">
        <f>IF($DM$26,MIN(Age+A51,'All Options'!$E$21+A51),IF($DN$26,(Age+A51)-(Age+$A$27)+60,IF($DO$26,(Age+A51)-(Age+$A$27)+55,Age+A51)))</f>
        <v>85</v>
      </c>
      <c r="DK51" s="279"/>
      <c r="DL51" s="279"/>
      <c r="DP51" s="43">
        <f t="shared" si="35"/>
        <v>0</v>
      </c>
      <c r="DQ51" s="43">
        <f>IFERROR(VLOOKUP(IF(A51&lt;=DP,DJ51,DI51),SSV!$K$6:$L$91,2,FALSE)*SUM($B$27:B51),0)*($DQ$25)</f>
        <v>0</v>
      </c>
      <c r="DR51" s="43">
        <f>IFERROR(VLOOKUP(IF(A51&lt;=DP,DJ51,DI51),SSV!$O$6:$P$95,2,FALSE)*SUM($B$27:B51),0)*($DR$25)</f>
        <v>0</v>
      </c>
      <c r="DU51" s="175">
        <f t="shared" si="16"/>
        <v>1</v>
      </c>
    </row>
    <row r="52" spans="1:125" ht="12.75" customHeight="1" x14ac:dyDescent="0.2">
      <c r="A52" s="146">
        <f t="shared" si="17"/>
        <v>26</v>
      </c>
      <c r="B52" s="670">
        <f>IF(PremiumType="Regular Premium",'All Options'!$E$18*'All Options'!$E$22*(AND(Output!A52&lt;=PPT,A52&gt;=1)),'All Options'!$E$18*(A52=1))</f>
        <v>0</v>
      </c>
      <c r="C52" s="671"/>
      <c r="D52" s="103" t="e">
        <f>((VLOOKUP(CONCATENATE($D$14,$D$15),'All Options'!$AB$36:$AC$47,4,0)*VLOOKUP('All Options'!$E$22,'Valid Data-GPG'!$B$130:$F$134,MATCH('All Options'!$E$17,'Valid Data-GPG'!$B$130:$F$130,0),0)*'All Options'!$E$17)*IF(Select="Deferred Annuity",A52&gt;DP,1)+AE52+AF52*AG52*$AG$21)*(A52&gt;0)</f>
        <v>#N/A</v>
      </c>
      <c r="E52" s="103">
        <v>0</v>
      </c>
      <c r="F52" s="103" t="e">
        <f t="shared" si="18"/>
        <v>#N/A</v>
      </c>
      <c r="G52" s="103">
        <f t="shared" si="2"/>
        <v>0</v>
      </c>
      <c r="H52" s="285">
        <f t="shared" si="19"/>
        <v>4555436.2037599459</v>
      </c>
      <c r="I52" s="103">
        <f t="shared" si="20"/>
        <v>4555436.2037599459</v>
      </c>
      <c r="J52" s="101"/>
      <c r="K52" s="175">
        <f t="shared" si="21"/>
        <v>85</v>
      </c>
      <c r="L52" s="175"/>
      <c r="M52" s="175"/>
      <c r="N52" s="175"/>
      <c r="O52" s="175"/>
      <c r="P52" s="175"/>
      <c r="Q52" s="175"/>
      <c r="R52" s="175">
        <f t="shared" si="22"/>
        <v>11</v>
      </c>
      <c r="U52" s="162"/>
      <c r="AB52" s="175" t="e">
        <f>(VLOOKUP(CONCATENATE($D$14,$D$15),'All Options'!$AB$36:$AC$47,4,0)*VLOOKUP('All Options'!$E$22,'Valid Data-GPG'!$B$130:$F$134,MATCH('All Options'!$E$17,'Valid Data-GPG'!$B$130:$F$130,0),0)*'All Options'!$E$17)*IF(Select="Deferred Annuity",A52&gt;DP,1)*(A52&gt;0)</f>
        <v>#N/A</v>
      </c>
      <c r="AC52" s="175">
        <f t="shared" si="3"/>
        <v>0</v>
      </c>
      <c r="AD52" s="175">
        <f>SUM($AC$26:AC52)</f>
        <v>0</v>
      </c>
      <c r="AE52" s="175">
        <f t="shared" si="4"/>
        <v>0</v>
      </c>
      <c r="AF52" s="175">
        <f t="shared" si="5"/>
        <v>250000</v>
      </c>
      <c r="AG52" s="175" t="b">
        <f>(SUM($AF$26:AF52)&lt;=$AB$17)</f>
        <v>1</v>
      </c>
      <c r="AH52" s="143"/>
      <c r="AY52" s="175"/>
      <c r="AZ52" s="66">
        <f>((MAX((SUM($B$26:C52)+(VLOOKUP($AZ$25,'All Options'!$AB$36:$AC$46,2,0)*VLOOKUP('All Options'!$E$22,'Valid Data-GPG'!$B$130:$F$134,MATCH('All Options'!$E$17,'Valid Data-GPG'!$B$130:$F$130,0),0)*'All Options'!$E$17)*(IF(A52&lt;=DP,A52,0))),105%*SUM($B$26:C52)))*(AND(A52&lt;&gt;0,Output!A52&lt;=DP))+(0)*(A52&gt;DP))*$AZ$21</f>
        <v>0</v>
      </c>
      <c r="BA52" s="175" t="e">
        <f>((MAX((SUM($B$26:C52)+(VLOOKUP($BA$25,'All Options'!$AB$36:$AC$46,2,0)*VLOOKUP('All Options'!$E$22,'Valid Data-GPG'!$B$130:$F$134,MATCH('All Options'!$E$17,'Valid Data-GPG'!$B$130:$F$130,0),0)*'All Options'!$E$17)*(IF(A52&lt;=DP,A52,0))),105%*SUM($B$26:C52)))*(Output!A52&lt;=DP)
+MAX((SUM($B$26:C52)+(VLOOKUP($BA$25,'All Options'!$AB$36:$AC$46,2,0)*VLOOKUP('All Options'!$E$22,'Valid Data-GPG'!$B$130:$F$134,MATCH('All Options'!$E$17,'Valid Data-GPG'!$B$130:$F$130,0),0)*'All Options'!$E$17)*DP-D52*(A52-DP)),SUM($B$26:C52))*(A52&gt;DP))*$BA$21</f>
        <v>#N/A</v>
      </c>
      <c r="BB52" s="175">
        <f>((MAX(($AB$17+(VLOOKUP($BB$25,'All Options'!$AB$36:$AC$46,2,0)*VLOOKUP('All Options'!$E$22,'Valid Data-GPG'!$B$130:$F$134,MATCH('All Options'!$E$17,'Valid Data-GPG'!$B$130:$F$130,0),0)*'All Options'!$E$17)*(IF(A52&lt;=DP,A52,0))),105%*$AB$17))*(Output!A52&lt;=DP)+(0)*(A52&gt;DP))*$BB$21</f>
        <v>0</v>
      </c>
      <c r="BC52" s="175" t="e">
        <f>((MAX(($AB$17+(VLOOKUP($BC$25,'All Options'!$AB$36:$AC$46,2,0)*VLOOKUP('All Options'!$E$22,'Valid Data-GPG'!$B$130:$F$134,MATCH('All Options'!$E$17,'Valid Data-GPG'!$B$130:$F$130,0),0)*'All Options'!$E$17)*(IF(A52&lt;=DP,A52,0))),105%*$AB$17))*(Output!A52&lt;=DP)+
MAX(($AB$17+(VLOOKUP($BC$25,'All Options'!$AB$36:$AC$46,2,0)*VLOOKUP('All Options'!$E$22,'Valid Data-GPG'!$B$130:$F$134,MATCH('All Options'!$E$17,'Valid Data-GPG'!$B$130:$F$130,0),0)*'All Options'!$E$17)*DP-D52*(A52-DP)),$AB$17)*(A52&gt;DP))*$BC$21</f>
        <v>#N/A</v>
      </c>
      <c r="BD52" s="175">
        <f ca="1">IFERROR((MAX(($AB$17+(VLOOKUP($BD$25,'All Options'!$AB$36:$AC$46,2,0)*VLOOKUP('All Options'!$E$22,'Valid Data-GPG'!$B$130:$F$134,MATCH('All Options'!$E$17,'Valid Data-GPG'!$B$130:$F$130,0),0)*'All Options'!$E$17)*(IF(A52&lt;=DP,A52,0))),105%*$AB$17))*(Output!A52&lt;=DP)
+MAX(($AB$17+(VLOOKUP($BD$25,'All Options'!$AB$36:$AC$46,2,0)*VLOOKUP('All Options'!$E$22,'Valid Data-GPG'!$B$130:$F$134,MATCH('All Options'!$E$17,'Valid Data-GPG'!$B$130:$F$130,0),0)*'All Options'!$E$17)*DP-D52*(A52-DP)),$AB$17)*(A52&gt;DP),0)*$BD$21</f>
        <v>0</v>
      </c>
      <c r="BE52" s="66">
        <f>IFERROR((MAX(($AB$17+(VLOOKUP($BE$25,'All Options'!$AB$36:$AC$46,2,0)*VLOOKUP('All Options'!$E$22,'Valid Data-GPG'!$B$130:$F$134,MATCH('All Options'!$E$17,'Valid Data-GPG'!$B$130:$F$130,0),0)*'All Options'!$E$17)*(IF(A52&lt;=DP,A52,0))),105%*$AB$17))*(Output!A52&lt;=DP)
+(MAX($AB$17+(VLOOKUP($BE$25,'All Options'!$AB$36:$AC$46,2,0)*VLOOKUP('All Options'!$E$22,'Valid Data-GPG'!$B$130:$F$134,MATCH('All Options'!$E$17,'Valid Data-GPG'!$B$130:$F$130,0),0)*'All Options'!$E$17)*DP-AB52*(A52-DP),$AB$17)*(MAX(A52&lt;=25,K52&lt;85)))*(A52&gt;DP),0)*$BE$21</f>
        <v>0</v>
      </c>
      <c r="BF52" s="175">
        <f>IFERROR((MAX(($AB$17+(VLOOKUP($BF$25,'All Options'!$AB$36:$AC$46,2,0)*VLOOKUP('All Options'!$E$22,'Valid Data-GPG'!$B$130:$F$134,MATCH('All Options'!$E$17,'Valid Data-GPG'!$B$130:$F$130,0),0)*'All Options'!$E$17)*(IF(A52&lt;=DP,A52,0))),105%*$AB$17))*(Output!A52&lt;=DP)
+(MAX($AB$17+(VLOOKUP($BF$25,'All Options'!$AB$36:$AC$46,2,0)*VLOOKUP('All Options'!$E$22,'Valid Data-GPG'!$B$130:$F$134,MATCH('All Options'!$E$17,'Valid Data-GPG'!$B$130:$F$130,0),0)*'All Options'!$E$17)*DP-AB52*(A52-DP),$AB$17)-SUM($AF$26:AF52)*AG52)*(A52&gt;DP)*AG52,0)*$BF$21</f>
        <v>0</v>
      </c>
      <c r="BG52" s="175">
        <f t="shared" si="23"/>
        <v>0</v>
      </c>
      <c r="BH52" s="182">
        <f t="shared" si="6"/>
        <v>5000000</v>
      </c>
      <c r="BI52" s="175">
        <f t="shared" si="24"/>
        <v>0</v>
      </c>
      <c r="BJ52" s="175">
        <f t="shared" si="25"/>
        <v>0</v>
      </c>
      <c r="BK52" s="175">
        <f t="shared" si="26"/>
        <v>0</v>
      </c>
      <c r="BL52" s="175">
        <f t="shared" si="27"/>
        <v>0</v>
      </c>
      <c r="BM52" s="175">
        <f t="shared" si="28"/>
        <v>0</v>
      </c>
      <c r="BN52" s="175">
        <f t="shared" si="29"/>
        <v>0</v>
      </c>
      <c r="BO52" s="182">
        <f t="shared" si="7"/>
        <v>0</v>
      </c>
      <c r="BP52" s="182">
        <f t="shared" si="8"/>
        <v>0</v>
      </c>
      <c r="BQ52" s="182">
        <f>MAX($AB$17-SUM($AF$26:AF52),0)*$BQ$21</f>
        <v>0</v>
      </c>
      <c r="BS52" s="175">
        <f t="shared" si="9"/>
        <v>1</v>
      </c>
      <c r="BT52" s="175">
        <f>IFERROR(IF(A52&lt;=1,0,VLOOKUP(DP,'Valid Data-GPG'!$A$116:$J$122,MATCH(Output!A52,'Valid Data-GPG'!$A$116:$J$116,0),FALSE)*SUM($B$26:C52))*(A52&lt;=DP),0)*$BT$21</f>
        <v>0</v>
      </c>
      <c r="BU52" s="175">
        <f>IFERROR(IF(A52&lt;=1,0,VLOOKUP(DP,'Valid Data-GPG'!$A$116:$J$122,MATCH(Output!A52,'Valid Data-GPG'!$A$116:$J$116,0),FALSE)*SUM($B$26:C52))*(A52&lt;=DP),0)*$BU$21</f>
        <v>0</v>
      </c>
      <c r="BV52" s="175">
        <f t="shared" si="10"/>
        <v>0</v>
      </c>
      <c r="BW52" s="175">
        <f t="shared" si="11"/>
        <v>0</v>
      </c>
      <c r="BX52" s="175">
        <f t="shared" si="12"/>
        <v>0</v>
      </c>
      <c r="BY52" s="175">
        <f t="shared" si="13"/>
        <v>0</v>
      </c>
      <c r="BZ52" s="175">
        <f t="shared" si="14"/>
        <v>0</v>
      </c>
      <c r="CA52" s="175">
        <f>(INDEX('SV calc_ignore'!$J$10:$J$1341,12*Output!A52-0))*BS52</f>
        <v>0</v>
      </c>
      <c r="CB52" s="175">
        <f t="shared" si="30"/>
        <v>0</v>
      </c>
      <c r="CC52" s="175">
        <f>(INDEX('SV calc_ignore'!$J$10:$J$1341,12*Output!A52-0))*BS52</f>
        <v>0</v>
      </c>
      <c r="CD52" s="175">
        <f t="shared" si="31"/>
        <v>0</v>
      </c>
      <c r="CE52" s="66">
        <f>(INDEX('SV calc_ignore'!$J$10:$J$1341,12*Output!A52-0))*($CE$21)</f>
        <v>0</v>
      </c>
      <c r="CF52" s="175">
        <f t="shared" si="32"/>
        <v>0</v>
      </c>
      <c r="CG52" s="175">
        <f>(INDEX('SV calc_ignore'!$J$10:$J$1341,12*Output!A52-0))*($CG$21)*(A52&gt;1)</f>
        <v>0</v>
      </c>
      <c r="CH52" s="175">
        <f>(INDEX('SV calc_ignore'!$J$10:$J$1341,12*Output!A52-0))*($CH$21)*(A52&gt;1)</f>
        <v>0</v>
      </c>
      <c r="CI52" s="175"/>
      <c r="CJ52" s="66">
        <f>(INDEX('SV calc_ignore'!$J$10:$J$1341,12*Output!A52-0))*($CJ$21)*(A52&gt;1)</f>
        <v>0</v>
      </c>
      <c r="CK52" s="66">
        <f>(INDEX('SV calc_ignore'!$Q$10:$Q$1341,12*Output!A52-0))*(AND(A52&gt;1,R52&lt;20))*($CK$21)</f>
        <v>0</v>
      </c>
      <c r="CL52" s="66">
        <f t="shared" si="33"/>
        <v>0</v>
      </c>
      <c r="CM52" s="175">
        <f>((INDEX('SV calc_ignore'!$J$10:$J$1341,12*Output!A52-0))+(INDEX('SV calc_ignore'!$O$10:$O$1341,12*Output!A52-0))*(A52&lt;'SV calc_ignore'!$Q$5))*(A52&gt;1)*($CM$21)</f>
        <v>0</v>
      </c>
      <c r="CN52" s="175">
        <v>0</v>
      </c>
      <c r="CO52" s="175">
        <f>(INDEX('SV calc_ignore'!$J$10:$J$1341,12*Output!A52-0))*(A52&gt;1)*($CO$21)</f>
        <v>0</v>
      </c>
      <c r="CP52" s="175">
        <v>0</v>
      </c>
      <c r="CQ52" s="175">
        <v>0</v>
      </c>
      <c r="CR52" s="175">
        <v>0</v>
      </c>
      <c r="CS52" s="175">
        <v>0</v>
      </c>
      <c r="CT52" s="175">
        <v>0</v>
      </c>
      <c r="CU52" s="175">
        <v>0</v>
      </c>
      <c r="CV52" s="175">
        <f>(INDEX('SV calc_ignore'!$J$10:$J$1341,12*Output!A52-0))*(A52&gt;1)*($CV$21)</f>
        <v>0</v>
      </c>
      <c r="CW52" s="66">
        <f>((INDEX('SV calc_ignore'!$J$10:$J$1341,12*Output!A52-0))+(INDEX('SV calc_ignore'!$O$10:$O$1351,12*Output!A52-0))*(A52&lt;'SV calc_ignore'!$Q$5))*(A52&gt;1)*($CW$21)</f>
        <v>0</v>
      </c>
      <c r="CX52" s="175">
        <f>(INDEX('SV calc_ignore'!$J$10:$J$1341,12*Output!A52-0))*(A52&gt;1)*($CX$21)</f>
        <v>0</v>
      </c>
      <c r="CY52" s="175">
        <f>(INDEX('SV calc_ignore'!$Q$10:$Q$1341,12*Output!A52-0))*(AND(A52&gt;1,R52&lt;20))*($CY$21)</f>
        <v>0</v>
      </c>
      <c r="CZ52" s="175">
        <f t="shared" si="34"/>
        <v>0</v>
      </c>
      <c r="DE52" s="43">
        <f>IF($DE$23,0,VLOOKUP(IF(A52&lt;=DP,DJ52,DI52),SSV!$B$6:$C$116,2,FALSE)*VLOOKUP(AnnuityOption,'All Options'!$AB$36:$AC$47,2,FALSE)*VLOOKUP('All Options'!$E$22,'Valid Data-GPG'!$B$130:$F$134,MATCH('All Options'!$E$17,'Valid Data-GPG'!$B$130:$F$130,0),0)*'All Options'!$E$17)*(IF(AND(Select="Deferred Annuity",AnnuityOption="Life Annuity"),A52&lt;=DP,1))</f>
        <v>1606764.7037599455</v>
      </c>
      <c r="DF52" s="43">
        <f>IF($DF$23,0,IF($DQ$25,DQ52,IF($DR$25,DR52,VLOOKUP(IF(A52&lt;=DP,DJ52,DI52),SSV!$G$6:$H$116,2,FALSE)*SUM($B$27:B52))))</f>
        <v>2948671.5</v>
      </c>
      <c r="DG52" s="43" t="e">
        <f>IF(A52&lt;=DP,VLOOKUP(DP-A51,SSV!$T$6:$U$15,2,FALSE),1)</f>
        <v>#N/A</v>
      </c>
      <c r="DH52" s="282">
        <f t="shared" si="15"/>
        <v>4555436.2037599459</v>
      </c>
      <c r="DI52" s="43">
        <f>IF($DM$26,MIN(Age,'All Options'!$E$21)+A51,IF($DN$26,(Age+A51)-Age+60,IF($DO$26,(Age+A51)-Age+55,Age+A51)))</f>
        <v>85</v>
      </c>
      <c r="DJ52" s="279">
        <f>IF($DM$26,MIN(Age+A52,'All Options'!$E$21+A52),IF($DN$26,(Age+A52)-(Age+$A$27)+60,IF($DO$26,(Age+A52)-(Age+$A$27)+55,Age+A52)))</f>
        <v>86</v>
      </c>
      <c r="DK52" s="279"/>
      <c r="DL52" s="279"/>
      <c r="DP52" s="43">
        <f t="shared" si="35"/>
        <v>0</v>
      </c>
      <c r="DQ52" s="43">
        <f>IFERROR(VLOOKUP(IF(A52&lt;=DP,DJ52,DI52),SSV!$K$6:$L$91,2,FALSE)*SUM($B$27:B52),0)*($DQ$25)</f>
        <v>0</v>
      </c>
      <c r="DR52" s="43">
        <f>IFERROR(VLOOKUP(IF(A52&lt;=DP,DJ52,DI52),SSV!$O$6:$P$95,2,FALSE)*SUM($B$27:B52),0)*($DR$25)</f>
        <v>0</v>
      </c>
      <c r="DU52" s="175">
        <f t="shared" si="16"/>
        <v>1</v>
      </c>
    </row>
    <row r="53" spans="1:125" ht="12.75" customHeight="1" x14ac:dyDescent="0.2">
      <c r="A53" s="146">
        <f t="shared" si="17"/>
        <v>27</v>
      </c>
      <c r="B53" s="670">
        <f>IF(PremiumType="Regular Premium",'All Options'!$E$18*'All Options'!$E$22*(AND(Output!A53&lt;=PPT,A53&gt;=1)),'All Options'!$E$18*(A53=1))</f>
        <v>0</v>
      </c>
      <c r="C53" s="671"/>
      <c r="D53" s="103" t="e">
        <f>((VLOOKUP(CONCATENATE($D$14,$D$15),'All Options'!$AB$36:$AC$47,4,0)*VLOOKUP('All Options'!$E$22,'Valid Data-GPG'!$B$130:$F$134,MATCH('All Options'!$E$17,'Valid Data-GPG'!$B$130:$F$130,0),0)*'All Options'!$E$17)*IF(Select="Deferred Annuity",A53&gt;DP,1)+AE53+AF53*AG53*$AG$21)*(A53&gt;0)</f>
        <v>#N/A</v>
      </c>
      <c r="E53" s="103">
        <v>0</v>
      </c>
      <c r="F53" s="103" t="e">
        <f t="shared" si="18"/>
        <v>#N/A</v>
      </c>
      <c r="G53" s="103">
        <f t="shared" si="2"/>
        <v>0</v>
      </c>
      <c r="H53" s="285">
        <f t="shared" si="19"/>
        <v>4565049.5712220361</v>
      </c>
      <c r="I53" s="103">
        <f t="shared" si="20"/>
        <v>4565049.5712220361</v>
      </c>
      <c r="J53" s="101"/>
      <c r="K53" s="175">
        <f t="shared" si="21"/>
        <v>86</v>
      </c>
      <c r="L53" s="175"/>
      <c r="M53" s="175"/>
      <c r="N53" s="175"/>
      <c r="O53" s="175"/>
      <c r="P53" s="175"/>
      <c r="Q53" s="175"/>
      <c r="R53" s="175">
        <f t="shared" si="22"/>
        <v>12</v>
      </c>
      <c r="U53" s="239"/>
      <c r="AB53" s="175" t="e">
        <f>(VLOOKUP(CONCATENATE($D$14,$D$15),'All Options'!$AB$36:$AC$47,4,0)*VLOOKUP('All Options'!$E$22,'Valid Data-GPG'!$B$130:$F$134,MATCH('All Options'!$E$17,'Valid Data-GPG'!$B$130:$F$130,0),0)*'All Options'!$E$17)*IF(Select="Deferred Annuity",A53&gt;DP,1)*(A53&gt;0)</f>
        <v>#N/A</v>
      </c>
      <c r="AC53" s="175">
        <f t="shared" si="3"/>
        <v>0</v>
      </c>
      <c r="AD53" s="175">
        <f>SUM($AC$26:AC53)</f>
        <v>0</v>
      </c>
      <c r="AE53" s="175">
        <f t="shared" si="4"/>
        <v>0</v>
      </c>
      <c r="AF53" s="175">
        <f t="shared" si="5"/>
        <v>250000</v>
      </c>
      <c r="AG53" s="175" t="b">
        <f>(SUM($AF$26:AF53)&lt;=$AB$17)</f>
        <v>1</v>
      </c>
      <c r="AH53" s="143"/>
      <c r="AY53" s="175"/>
      <c r="AZ53" s="66">
        <f>((MAX((SUM($B$26:C53)+(VLOOKUP($AZ$25,'All Options'!$AB$36:$AC$46,2,0)*VLOOKUP('All Options'!$E$22,'Valid Data-GPG'!$B$130:$F$134,MATCH('All Options'!$E$17,'Valid Data-GPG'!$B$130:$F$130,0),0)*'All Options'!$E$17)*(IF(A53&lt;=DP,A53,0))),105%*SUM($B$26:C53)))*(AND(A53&lt;&gt;0,Output!A53&lt;=DP))+(0)*(A53&gt;DP))*$AZ$21</f>
        <v>0</v>
      </c>
      <c r="BA53" s="175" t="e">
        <f>((MAX((SUM($B$26:C53)+(VLOOKUP($BA$25,'All Options'!$AB$36:$AC$46,2,0)*VLOOKUP('All Options'!$E$22,'Valid Data-GPG'!$B$130:$F$134,MATCH('All Options'!$E$17,'Valid Data-GPG'!$B$130:$F$130,0),0)*'All Options'!$E$17)*(IF(A53&lt;=DP,A53,0))),105%*SUM($B$26:C53)))*(Output!A53&lt;=DP)
+MAX((SUM($B$26:C53)+(VLOOKUP($BA$25,'All Options'!$AB$36:$AC$46,2,0)*VLOOKUP('All Options'!$E$22,'Valid Data-GPG'!$B$130:$F$134,MATCH('All Options'!$E$17,'Valid Data-GPG'!$B$130:$F$130,0),0)*'All Options'!$E$17)*DP-D53*(A53-DP)),SUM($B$26:C53))*(A53&gt;DP))*$BA$21</f>
        <v>#N/A</v>
      </c>
      <c r="BB53" s="175">
        <f>((MAX(($AB$17+(VLOOKUP($BB$25,'All Options'!$AB$36:$AC$46,2,0)*VLOOKUP('All Options'!$E$22,'Valid Data-GPG'!$B$130:$F$134,MATCH('All Options'!$E$17,'Valid Data-GPG'!$B$130:$F$130,0),0)*'All Options'!$E$17)*(IF(A53&lt;=DP,A53,0))),105%*$AB$17))*(Output!A53&lt;=DP)+(0)*(A53&gt;DP))*$BB$21</f>
        <v>0</v>
      </c>
      <c r="BC53" s="175" t="e">
        <f>((MAX(($AB$17+(VLOOKUP($BC$25,'All Options'!$AB$36:$AC$46,2,0)*VLOOKUP('All Options'!$E$22,'Valid Data-GPG'!$B$130:$F$134,MATCH('All Options'!$E$17,'Valid Data-GPG'!$B$130:$F$130,0),0)*'All Options'!$E$17)*(IF(A53&lt;=DP,A53,0))),105%*$AB$17))*(Output!A53&lt;=DP)+
MAX(($AB$17+(VLOOKUP($BC$25,'All Options'!$AB$36:$AC$46,2,0)*VLOOKUP('All Options'!$E$22,'Valid Data-GPG'!$B$130:$F$134,MATCH('All Options'!$E$17,'Valid Data-GPG'!$B$130:$F$130,0),0)*'All Options'!$E$17)*DP-D53*(A53-DP)),$AB$17)*(A53&gt;DP))*$BC$21</f>
        <v>#N/A</v>
      </c>
      <c r="BD53" s="175">
        <f ca="1">IFERROR((MAX(($AB$17+(VLOOKUP($BD$25,'All Options'!$AB$36:$AC$46,2,0)*VLOOKUP('All Options'!$E$22,'Valid Data-GPG'!$B$130:$F$134,MATCH('All Options'!$E$17,'Valid Data-GPG'!$B$130:$F$130,0),0)*'All Options'!$E$17)*(IF(A53&lt;=DP,A53,0))),105%*$AB$17))*(Output!A53&lt;=DP)
+MAX(($AB$17+(VLOOKUP($BD$25,'All Options'!$AB$36:$AC$46,2,0)*VLOOKUP('All Options'!$E$22,'Valid Data-GPG'!$B$130:$F$134,MATCH('All Options'!$E$17,'Valid Data-GPG'!$B$130:$F$130,0),0)*'All Options'!$E$17)*DP-D53*(A53-DP)),$AB$17)*(A53&gt;DP),0)*$BD$21</f>
        <v>0</v>
      </c>
      <c r="BE53" s="66">
        <f>IFERROR((MAX(($AB$17+(VLOOKUP($BE$25,'All Options'!$AB$36:$AC$46,2,0)*VLOOKUP('All Options'!$E$22,'Valid Data-GPG'!$B$130:$F$134,MATCH('All Options'!$E$17,'Valid Data-GPG'!$B$130:$F$130,0),0)*'All Options'!$E$17)*(IF(A53&lt;=DP,A53,0))),105%*$AB$17))*(Output!A53&lt;=DP)
+(MAX($AB$17+(VLOOKUP($BE$25,'All Options'!$AB$36:$AC$46,2,0)*VLOOKUP('All Options'!$E$22,'Valid Data-GPG'!$B$130:$F$134,MATCH('All Options'!$E$17,'Valid Data-GPG'!$B$130:$F$130,0),0)*'All Options'!$E$17)*DP-AB53*(A53-DP),$AB$17)*(MAX(A53&lt;=25,K53&lt;85)))*(A53&gt;DP),0)*$BE$21</f>
        <v>0</v>
      </c>
      <c r="BF53" s="175">
        <f>IFERROR((MAX(($AB$17+(VLOOKUP($BF$25,'All Options'!$AB$36:$AC$46,2,0)*VLOOKUP('All Options'!$E$22,'Valid Data-GPG'!$B$130:$F$134,MATCH('All Options'!$E$17,'Valid Data-GPG'!$B$130:$F$130,0),0)*'All Options'!$E$17)*(IF(A53&lt;=DP,A53,0))),105%*$AB$17))*(Output!A53&lt;=DP)
+(MAX($AB$17+(VLOOKUP($BF$25,'All Options'!$AB$36:$AC$46,2,0)*VLOOKUP('All Options'!$E$22,'Valid Data-GPG'!$B$130:$F$134,MATCH('All Options'!$E$17,'Valid Data-GPG'!$B$130:$F$130,0),0)*'All Options'!$E$17)*DP-AB53*(A53-DP),$AB$17)-SUM($AF$26:AF53)*AG53)*(A53&gt;DP)*AG53,0)*$BF$21</f>
        <v>0</v>
      </c>
      <c r="BG53" s="175">
        <f t="shared" si="23"/>
        <v>0</v>
      </c>
      <c r="BH53" s="182">
        <f t="shared" si="6"/>
        <v>5000000</v>
      </c>
      <c r="BI53" s="175">
        <f t="shared" si="24"/>
        <v>0</v>
      </c>
      <c r="BJ53" s="175">
        <f t="shared" si="25"/>
        <v>0</v>
      </c>
      <c r="BK53" s="175">
        <f t="shared" si="26"/>
        <v>0</v>
      </c>
      <c r="BL53" s="175">
        <f t="shared" si="27"/>
        <v>0</v>
      </c>
      <c r="BM53" s="175">
        <f t="shared" si="28"/>
        <v>0</v>
      </c>
      <c r="BN53" s="175">
        <f t="shared" si="29"/>
        <v>0</v>
      </c>
      <c r="BO53" s="182">
        <f t="shared" si="7"/>
        <v>0</v>
      </c>
      <c r="BP53" s="182">
        <f t="shared" si="8"/>
        <v>0</v>
      </c>
      <c r="BQ53" s="182">
        <f>MAX($AB$17-SUM($AF$26:AF53),0)*$BQ$21</f>
        <v>0</v>
      </c>
      <c r="BS53" s="175">
        <f t="shared" si="9"/>
        <v>1</v>
      </c>
      <c r="BT53" s="175">
        <f>IFERROR(IF(A53&lt;=1,0,VLOOKUP(DP,'Valid Data-GPG'!$A$116:$J$122,MATCH(Output!A53,'Valid Data-GPG'!$A$116:$J$116,0),FALSE)*SUM($B$26:C53))*(A53&lt;=DP),0)*$BT$21</f>
        <v>0</v>
      </c>
      <c r="BU53" s="175">
        <f>IFERROR(IF(A53&lt;=1,0,VLOOKUP(DP,'Valid Data-GPG'!$A$116:$J$122,MATCH(Output!A53,'Valid Data-GPG'!$A$116:$J$116,0),FALSE)*SUM($B$26:C53))*(A53&lt;=DP),0)*$BU$21</f>
        <v>0</v>
      </c>
      <c r="BV53" s="175">
        <f t="shared" si="10"/>
        <v>0</v>
      </c>
      <c r="BW53" s="175">
        <f t="shared" si="11"/>
        <v>0</v>
      </c>
      <c r="BX53" s="175">
        <f t="shared" si="12"/>
        <v>0</v>
      </c>
      <c r="BY53" s="175">
        <f t="shared" si="13"/>
        <v>0</v>
      </c>
      <c r="BZ53" s="175">
        <f t="shared" si="14"/>
        <v>0</v>
      </c>
      <c r="CA53" s="175">
        <f>(INDEX('SV calc_ignore'!$J$10:$J$1341,12*Output!A53-0))*BS53</f>
        <v>0</v>
      </c>
      <c r="CB53" s="175">
        <f t="shared" si="30"/>
        <v>0</v>
      </c>
      <c r="CC53" s="175">
        <f>(INDEX('SV calc_ignore'!$J$10:$J$1341,12*Output!A53-0))*BS53</f>
        <v>0</v>
      </c>
      <c r="CD53" s="175">
        <f t="shared" si="31"/>
        <v>0</v>
      </c>
      <c r="CE53" s="66">
        <f>(INDEX('SV calc_ignore'!$J$10:$J$1341,12*Output!A53-0))*($CE$21)</f>
        <v>0</v>
      </c>
      <c r="CF53" s="175">
        <f t="shared" si="32"/>
        <v>0</v>
      </c>
      <c r="CG53" s="175">
        <f>(INDEX('SV calc_ignore'!$J$10:$J$1341,12*Output!A53-0))*($CG$21)*(A53&gt;1)</f>
        <v>0</v>
      </c>
      <c r="CH53" s="175">
        <f>(INDEX('SV calc_ignore'!$J$10:$J$1341,12*Output!A53-0))*($CH$21)*(A53&gt;1)</f>
        <v>0</v>
      </c>
      <c r="CI53" s="175"/>
      <c r="CJ53" s="66">
        <f>(INDEX('SV calc_ignore'!$J$10:$J$1341,12*Output!A53-0))*($CJ$21)*(A53&gt;1)</f>
        <v>0</v>
      </c>
      <c r="CK53" s="66">
        <f>(INDEX('SV calc_ignore'!$Q$10:$Q$1341,12*Output!A53-0))*(AND(A53&gt;1,R53&lt;20))*($CK$21)</f>
        <v>0</v>
      </c>
      <c r="CL53" s="66">
        <f t="shared" si="33"/>
        <v>0</v>
      </c>
      <c r="CM53" s="175">
        <f>((INDEX('SV calc_ignore'!$J$10:$J$1341,12*Output!A53-0))+(INDEX('SV calc_ignore'!$O$10:$O$1341,12*Output!A53-0))*(A53&lt;'SV calc_ignore'!$Q$5))*(A53&gt;1)*($CM$21)</f>
        <v>0</v>
      </c>
      <c r="CN53" s="175">
        <v>0</v>
      </c>
      <c r="CO53" s="175">
        <f>(INDEX('SV calc_ignore'!$J$10:$J$1341,12*Output!A53-0))*(A53&gt;1)*($CO$21)</f>
        <v>0</v>
      </c>
      <c r="CP53" s="175">
        <v>0</v>
      </c>
      <c r="CQ53" s="175">
        <v>0</v>
      </c>
      <c r="CR53" s="175">
        <v>0</v>
      </c>
      <c r="CS53" s="175">
        <v>0</v>
      </c>
      <c r="CT53" s="175">
        <v>0</v>
      </c>
      <c r="CU53" s="175">
        <v>0</v>
      </c>
      <c r="CV53" s="175">
        <f>(INDEX('SV calc_ignore'!$J$10:$J$1341,12*Output!A53-0))*(A53&gt;1)*($CV$21)</f>
        <v>0</v>
      </c>
      <c r="CW53" s="66">
        <f>((INDEX('SV calc_ignore'!$J$10:$J$1341,12*Output!A53-0))+(INDEX('SV calc_ignore'!$O$10:$O$1351,12*Output!A53-0))*(A53&lt;'SV calc_ignore'!$Q$5))*(A53&gt;1)*($CW$21)</f>
        <v>0</v>
      </c>
      <c r="CX53" s="175">
        <f>(INDEX('SV calc_ignore'!$J$10:$J$1341,12*Output!A53-0))*(A53&gt;1)*($CX$21)</f>
        <v>0</v>
      </c>
      <c r="CY53" s="175">
        <f>(INDEX('SV calc_ignore'!$Q$10:$Q$1341,12*Output!A53-0))*(AND(A53&gt;1,R53&lt;20))*($CY$21)</f>
        <v>0</v>
      </c>
      <c r="CZ53" s="175">
        <f t="shared" si="34"/>
        <v>0</v>
      </c>
      <c r="DE53" s="43">
        <f>IF($DE$23,0,VLOOKUP(IF(A53&lt;=DP,DJ53,DI53),SSV!$B$6:$C$116,2,FALSE)*VLOOKUP(AnnuityOption,'All Options'!$AB$36:$AC$47,2,FALSE)*VLOOKUP('All Options'!$E$22,'Valid Data-GPG'!$B$130:$F$134,MATCH('All Options'!$E$17,'Valid Data-GPG'!$B$130:$F$130,0),0)*'All Options'!$E$17)*(IF(AND(Select="Deferred Annuity",AnnuityOption="Life Annuity"),A53&lt;=DP,1))</f>
        <v>1548911.0712220361</v>
      </c>
      <c r="DF53" s="43">
        <f>IF($DF$23,0,IF($DQ$25,DQ53,IF($DR$25,DR53,VLOOKUP(IF(A53&lt;=DP,DJ53,DI53),SSV!$G$6:$H$116,2,FALSE)*SUM($B$27:B53))))</f>
        <v>3016138.5</v>
      </c>
      <c r="DG53" s="43" t="e">
        <f>IF(A53&lt;=DP,VLOOKUP(DP-A52,SSV!$T$6:$U$15,2,FALSE),1)</f>
        <v>#N/A</v>
      </c>
      <c r="DH53" s="282">
        <f t="shared" si="15"/>
        <v>4565049.5712220361</v>
      </c>
      <c r="DI53" s="43">
        <f>IF($DM$26,MIN(Age,'All Options'!$E$21)+A52,IF($DN$26,(Age+A52)-Age+60,IF($DO$26,(Age+A52)-Age+55,Age+A52)))</f>
        <v>86</v>
      </c>
      <c r="DJ53" s="279">
        <f>IF($DM$26,MIN(Age+A53,'All Options'!$E$21+A53),IF($DN$26,(Age+A53)-(Age+$A$27)+60,IF($DO$26,(Age+A53)-(Age+$A$27)+55,Age+A53)))</f>
        <v>87</v>
      </c>
      <c r="DK53" s="279"/>
      <c r="DL53" s="279"/>
      <c r="DP53" s="43">
        <f t="shared" si="35"/>
        <v>0</v>
      </c>
      <c r="DQ53" s="43">
        <f>IFERROR(VLOOKUP(IF(A53&lt;=DP,DJ53,DI53),SSV!$K$6:$L$91,2,FALSE)*SUM($B$27:B53),0)*($DQ$25)</f>
        <v>0</v>
      </c>
      <c r="DR53" s="43">
        <f>IFERROR(VLOOKUP(IF(A53&lt;=DP,DJ53,DI53),SSV!$O$6:$P$95,2,FALSE)*SUM($B$27:B53),0)*($DR$25)</f>
        <v>0</v>
      </c>
      <c r="DU53" s="175">
        <f t="shared" si="16"/>
        <v>1</v>
      </c>
    </row>
    <row r="54" spans="1:125" ht="12.75" customHeight="1" x14ac:dyDescent="0.2">
      <c r="A54" s="146">
        <f t="shared" si="17"/>
        <v>28</v>
      </c>
      <c r="B54" s="670">
        <f>IF(PremiumType="Regular Premium",'All Options'!$E$18*'All Options'!$E$22*(AND(Output!A54&lt;=PPT,A54&gt;=1)),'All Options'!$E$18*(A54=1))</f>
        <v>0</v>
      </c>
      <c r="C54" s="671"/>
      <c r="D54" s="103" t="e">
        <f>((VLOOKUP(CONCATENATE($D$14,$D$15),'All Options'!$AB$36:$AC$47,4,0)*VLOOKUP('All Options'!$E$22,'Valid Data-GPG'!$B$130:$F$134,MATCH('All Options'!$E$17,'Valid Data-GPG'!$B$130:$F$130,0),0)*'All Options'!$E$17)*IF(Select="Deferred Annuity",A54&gt;DP,1)+AE54+AF54*AG54*$AG$21)*(A54&gt;0)</f>
        <v>#N/A</v>
      </c>
      <c r="E54" s="103">
        <v>0</v>
      </c>
      <c r="F54" s="103" t="e">
        <f t="shared" si="18"/>
        <v>#N/A</v>
      </c>
      <c r="G54" s="103">
        <f t="shared" si="2"/>
        <v>0</v>
      </c>
      <c r="H54" s="285">
        <f t="shared" si="19"/>
        <v>4574426.8103767671</v>
      </c>
      <c r="I54" s="103">
        <f t="shared" si="20"/>
        <v>4574426.8103767671</v>
      </c>
      <c r="J54" s="101"/>
      <c r="K54" s="175">
        <f t="shared" si="21"/>
        <v>87</v>
      </c>
      <c r="L54" s="175"/>
      <c r="M54" s="175"/>
      <c r="N54" s="175"/>
      <c r="O54" s="175"/>
      <c r="P54" s="175"/>
      <c r="Q54" s="175"/>
      <c r="R54" s="175">
        <f t="shared" si="22"/>
        <v>13</v>
      </c>
      <c r="U54" s="162"/>
      <c r="AB54" s="175" t="e">
        <f>(VLOOKUP(CONCATENATE($D$14,$D$15),'All Options'!$AB$36:$AC$47,4,0)*VLOOKUP('All Options'!$E$22,'Valid Data-GPG'!$B$130:$F$134,MATCH('All Options'!$E$17,'Valid Data-GPG'!$B$130:$F$130,0),0)*'All Options'!$E$17)*IF(Select="Deferred Annuity",A54&gt;DP,1)*(A54&gt;0)</f>
        <v>#N/A</v>
      </c>
      <c r="AC54" s="175">
        <f t="shared" si="3"/>
        <v>0</v>
      </c>
      <c r="AD54" s="175">
        <f>SUM($AC$26:AC54)</f>
        <v>0</v>
      </c>
      <c r="AE54" s="175">
        <f t="shared" si="4"/>
        <v>0</v>
      </c>
      <c r="AF54" s="175">
        <f t="shared" si="5"/>
        <v>250000</v>
      </c>
      <c r="AG54" s="175" t="b">
        <f>(SUM($AF$26:AF54)&lt;=$AB$17)</f>
        <v>1</v>
      </c>
      <c r="AH54" s="143"/>
      <c r="AY54" s="175"/>
      <c r="AZ54" s="66">
        <f>((MAX((SUM($B$26:C54)+(VLOOKUP($AZ$25,'All Options'!$AB$36:$AC$46,2,0)*VLOOKUP('All Options'!$E$22,'Valid Data-GPG'!$B$130:$F$134,MATCH('All Options'!$E$17,'Valid Data-GPG'!$B$130:$F$130,0),0)*'All Options'!$E$17)*(IF(A54&lt;=DP,A54,0))),105%*SUM($B$26:C54)))*(AND(A54&lt;&gt;0,Output!A54&lt;=DP))+(0)*(A54&gt;DP))*$AZ$21</f>
        <v>0</v>
      </c>
      <c r="BA54" s="175" t="e">
        <f>((MAX((SUM($B$26:C54)+(VLOOKUP($BA$25,'All Options'!$AB$36:$AC$46,2,0)*VLOOKUP('All Options'!$E$22,'Valid Data-GPG'!$B$130:$F$134,MATCH('All Options'!$E$17,'Valid Data-GPG'!$B$130:$F$130,0),0)*'All Options'!$E$17)*(IF(A54&lt;=DP,A54,0))),105%*SUM($B$26:C54)))*(Output!A54&lt;=DP)
+MAX((SUM($B$26:C54)+(VLOOKUP($BA$25,'All Options'!$AB$36:$AC$46,2,0)*VLOOKUP('All Options'!$E$22,'Valid Data-GPG'!$B$130:$F$134,MATCH('All Options'!$E$17,'Valid Data-GPG'!$B$130:$F$130,0),0)*'All Options'!$E$17)*DP-D54*(A54-DP)),SUM($B$26:C54))*(A54&gt;DP))*$BA$21</f>
        <v>#N/A</v>
      </c>
      <c r="BB54" s="175">
        <f>((MAX(($AB$17+(VLOOKUP($BB$25,'All Options'!$AB$36:$AC$46,2,0)*VLOOKUP('All Options'!$E$22,'Valid Data-GPG'!$B$130:$F$134,MATCH('All Options'!$E$17,'Valid Data-GPG'!$B$130:$F$130,0),0)*'All Options'!$E$17)*(IF(A54&lt;=DP,A54,0))),105%*$AB$17))*(Output!A54&lt;=DP)+(0)*(A54&gt;DP))*$BB$21</f>
        <v>0</v>
      </c>
      <c r="BC54" s="175" t="e">
        <f>((MAX(($AB$17+(VLOOKUP($BC$25,'All Options'!$AB$36:$AC$46,2,0)*VLOOKUP('All Options'!$E$22,'Valid Data-GPG'!$B$130:$F$134,MATCH('All Options'!$E$17,'Valid Data-GPG'!$B$130:$F$130,0),0)*'All Options'!$E$17)*(IF(A54&lt;=DP,A54,0))),105%*$AB$17))*(Output!A54&lt;=DP)+
MAX(($AB$17+(VLOOKUP($BC$25,'All Options'!$AB$36:$AC$46,2,0)*VLOOKUP('All Options'!$E$22,'Valid Data-GPG'!$B$130:$F$134,MATCH('All Options'!$E$17,'Valid Data-GPG'!$B$130:$F$130,0),0)*'All Options'!$E$17)*DP-D54*(A54-DP)),$AB$17)*(A54&gt;DP))*$BC$21</f>
        <v>#N/A</v>
      </c>
      <c r="BD54" s="175">
        <f ca="1">IFERROR((MAX(($AB$17+(VLOOKUP($BD$25,'All Options'!$AB$36:$AC$46,2,0)*VLOOKUP('All Options'!$E$22,'Valid Data-GPG'!$B$130:$F$134,MATCH('All Options'!$E$17,'Valid Data-GPG'!$B$130:$F$130,0),0)*'All Options'!$E$17)*(IF(A54&lt;=DP,A54,0))),105%*$AB$17))*(Output!A54&lt;=DP)
+MAX(($AB$17+(VLOOKUP($BD$25,'All Options'!$AB$36:$AC$46,2,0)*VLOOKUP('All Options'!$E$22,'Valid Data-GPG'!$B$130:$F$134,MATCH('All Options'!$E$17,'Valid Data-GPG'!$B$130:$F$130,0),0)*'All Options'!$E$17)*DP-D54*(A54-DP)),$AB$17)*(A54&gt;DP),0)*$BD$21</f>
        <v>0</v>
      </c>
      <c r="BE54" s="66">
        <f>IFERROR((MAX(($AB$17+(VLOOKUP($BE$25,'All Options'!$AB$36:$AC$46,2,0)*VLOOKUP('All Options'!$E$22,'Valid Data-GPG'!$B$130:$F$134,MATCH('All Options'!$E$17,'Valid Data-GPG'!$B$130:$F$130,0),0)*'All Options'!$E$17)*(IF(A54&lt;=DP,A54,0))),105%*$AB$17))*(Output!A54&lt;=DP)
+(MAX($AB$17+(VLOOKUP($BE$25,'All Options'!$AB$36:$AC$46,2,0)*VLOOKUP('All Options'!$E$22,'Valid Data-GPG'!$B$130:$F$134,MATCH('All Options'!$E$17,'Valid Data-GPG'!$B$130:$F$130,0),0)*'All Options'!$E$17)*DP-AB54*(A54-DP),$AB$17)*(MAX(A54&lt;=25,K54&lt;85)))*(A54&gt;DP),0)*$BE$21</f>
        <v>0</v>
      </c>
      <c r="BF54" s="175">
        <f>IFERROR((MAX(($AB$17+(VLOOKUP($BF$25,'All Options'!$AB$36:$AC$46,2,0)*VLOOKUP('All Options'!$E$22,'Valid Data-GPG'!$B$130:$F$134,MATCH('All Options'!$E$17,'Valid Data-GPG'!$B$130:$F$130,0),0)*'All Options'!$E$17)*(IF(A54&lt;=DP,A54,0))),105%*$AB$17))*(Output!A54&lt;=DP)
+(MAX($AB$17+(VLOOKUP($BF$25,'All Options'!$AB$36:$AC$46,2,0)*VLOOKUP('All Options'!$E$22,'Valid Data-GPG'!$B$130:$F$134,MATCH('All Options'!$E$17,'Valid Data-GPG'!$B$130:$F$130,0),0)*'All Options'!$E$17)*DP-AB54*(A54-DP),$AB$17)-SUM($AF$26:AF54)*AG54)*(A54&gt;DP)*AG54,0)*$BF$21</f>
        <v>0</v>
      </c>
      <c r="BG54" s="175">
        <f t="shared" si="23"/>
        <v>0</v>
      </c>
      <c r="BH54" s="182">
        <f t="shared" si="6"/>
        <v>5000000</v>
      </c>
      <c r="BI54" s="175">
        <f t="shared" si="24"/>
        <v>0</v>
      </c>
      <c r="BJ54" s="175">
        <f t="shared" si="25"/>
        <v>0</v>
      </c>
      <c r="BK54" s="175">
        <f t="shared" si="26"/>
        <v>0</v>
      </c>
      <c r="BL54" s="175">
        <f t="shared" si="27"/>
        <v>0</v>
      </c>
      <c r="BM54" s="175">
        <f t="shared" si="28"/>
        <v>0</v>
      </c>
      <c r="BN54" s="175">
        <f t="shared" si="29"/>
        <v>0</v>
      </c>
      <c r="BO54" s="182">
        <f t="shared" si="7"/>
        <v>0</v>
      </c>
      <c r="BP54" s="182">
        <f t="shared" si="8"/>
        <v>0</v>
      </c>
      <c r="BQ54" s="182">
        <f>MAX($AB$17-SUM($AF$26:AF54),0)*$BQ$21</f>
        <v>0</v>
      </c>
      <c r="BS54" s="175">
        <f t="shared" si="9"/>
        <v>1</v>
      </c>
      <c r="BT54" s="175">
        <f>IFERROR(IF(A54&lt;=1,0,VLOOKUP(DP,'Valid Data-GPG'!$A$116:$J$122,MATCH(Output!A54,'Valid Data-GPG'!$A$116:$J$116,0),FALSE)*SUM($B$26:C54))*(A54&lt;=DP),0)*$BT$21</f>
        <v>0</v>
      </c>
      <c r="BU54" s="175">
        <f>IFERROR(IF(A54&lt;=1,0,VLOOKUP(DP,'Valid Data-GPG'!$A$116:$J$122,MATCH(Output!A54,'Valid Data-GPG'!$A$116:$J$116,0),FALSE)*SUM($B$26:C54))*(A54&lt;=DP),0)*$BU$21</f>
        <v>0</v>
      </c>
      <c r="BV54" s="175">
        <f t="shared" si="10"/>
        <v>0</v>
      </c>
      <c r="BW54" s="175">
        <f t="shared" si="11"/>
        <v>0</v>
      </c>
      <c r="BX54" s="175">
        <f t="shared" si="12"/>
        <v>0</v>
      </c>
      <c r="BY54" s="175">
        <f t="shared" si="13"/>
        <v>0</v>
      </c>
      <c r="BZ54" s="175">
        <f t="shared" si="14"/>
        <v>0</v>
      </c>
      <c r="CA54" s="175">
        <f>(INDEX('SV calc_ignore'!$J$10:$J$1341,12*Output!A54-0))*BS54</f>
        <v>0</v>
      </c>
      <c r="CB54" s="175">
        <f t="shared" si="30"/>
        <v>0</v>
      </c>
      <c r="CC54" s="175">
        <f>(INDEX('SV calc_ignore'!$J$10:$J$1341,12*Output!A54-0))*BS54</f>
        <v>0</v>
      </c>
      <c r="CD54" s="175">
        <f t="shared" si="31"/>
        <v>0</v>
      </c>
      <c r="CE54" s="66">
        <f>(INDEX('SV calc_ignore'!$J$10:$J$1341,12*Output!A54-0))*($CE$21)</f>
        <v>0</v>
      </c>
      <c r="CF54" s="175">
        <f t="shared" si="32"/>
        <v>0</v>
      </c>
      <c r="CG54" s="175">
        <f>(INDEX('SV calc_ignore'!$J$10:$J$1341,12*Output!A54-0))*($CG$21)*(A54&gt;1)</f>
        <v>0</v>
      </c>
      <c r="CH54" s="175">
        <f>(INDEX('SV calc_ignore'!$J$10:$J$1341,12*Output!A54-0))*($CH$21)*(A54&gt;1)</f>
        <v>0</v>
      </c>
      <c r="CI54" s="175"/>
      <c r="CJ54" s="66">
        <f>(INDEX('SV calc_ignore'!$J$10:$J$1341,12*Output!A54-0))*($CJ$21)*(A54&gt;1)</f>
        <v>0</v>
      </c>
      <c r="CK54" s="66">
        <f>(INDEX('SV calc_ignore'!$Q$10:$Q$1341,12*Output!A54-0))*(AND(A54&gt;1,R54&lt;20))*($CK$21)</f>
        <v>0</v>
      </c>
      <c r="CL54" s="66">
        <f t="shared" si="33"/>
        <v>0</v>
      </c>
      <c r="CM54" s="175">
        <f>((INDEX('SV calc_ignore'!$J$10:$J$1341,12*Output!A54-0))+(INDEX('SV calc_ignore'!$O$10:$O$1341,12*Output!A54-0))*(A54&lt;'SV calc_ignore'!$Q$5))*(A54&gt;1)*($CM$21)</f>
        <v>0</v>
      </c>
      <c r="CN54" s="175">
        <v>0</v>
      </c>
      <c r="CO54" s="175">
        <f>(INDEX('SV calc_ignore'!$J$10:$J$1341,12*Output!A54-0))*(A54&gt;1)*($CO$21)</f>
        <v>0</v>
      </c>
      <c r="CP54" s="175">
        <v>0</v>
      </c>
      <c r="CQ54" s="175">
        <v>0</v>
      </c>
      <c r="CR54" s="175">
        <v>0</v>
      </c>
      <c r="CS54" s="175">
        <v>0</v>
      </c>
      <c r="CT54" s="175">
        <v>0</v>
      </c>
      <c r="CU54" s="175">
        <v>0</v>
      </c>
      <c r="CV54" s="175">
        <f>(INDEX('SV calc_ignore'!$J$10:$J$1341,12*Output!A54-0))*(A54&gt;1)*($CV$21)</f>
        <v>0</v>
      </c>
      <c r="CW54" s="66">
        <f>((INDEX('SV calc_ignore'!$J$10:$J$1341,12*Output!A54-0))+(INDEX('SV calc_ignore'!$O$10:$O$1351,12*Output!A54-0))*(A54&lt;'SV calc_ignore'!$Q$5))*(A54&gt;1)*($CW$21)</f>
        <v>0</v>
      </c>
      <c r="CX54" s="175">
        <f>(INDEX('SV calc_ignore'!$J$10:$J$1341,12*Output!A54-0))*(A54&gt;1)*($CX$21)</f>
        <v>0</v>
      </c>
      <c r="CY54" s="175">
        <f>(INDEX('SV calc_ignore'!$Q$10:$Q$1341,12*Output!A54-0))*(AND(A54&gt;1,R54&lt;20))*($CY$21)</f>
        <v>0</v>
      </c>
      <c r="CZ54" s="175">
        <f t="shared" si="34"/>
        <v>0</v>
      </c>
      <c r="DE54" s="43">
        <f>IF($DE$23,0,VLOOKUP(IF(A54&lt;=DP,DJ54,DI54),SSV!$B$6:$C$116,2,FALSE)*VLOOKUP(AnnuityOption,'All Options'!$AB$36:$AC$47,2,FALSE)*VLOOKUP('All Options'!$E$22,'Valid Data-GPG'!$B$130:$F$134,MATCH('All Options'!$E$17,'Valid Data-GPG'!$B$130:$F$130,0),0)*'All Options'!$E$17)*(IF(AND(Select="Deferred Annuity",AnnuityOption="Life Annuity"),A54&lt;=DP,1))</f>
        <v>1492573.3103767668</v>
      </c>
      <c r="DF54" s="43">
        <f>IF($DF$23,0,IF($DQ$25,DQ54,IF($DR$25,DR54,VLOOKUP(IF(A54&lt;=DP,DJ54,DI54),SSV!$G$6:$H$116,2,FALSE)*SUM($B$27:B54))))</f>
        <v>3081853.5000000005</v>
      </c>
      <c r="DG54" s="43" t="e">
        <f>IF(A54&lt;=DP,VLOOKUP(DP-A53,SSV!$T$6:$U$15,2,FALSE),1)</f>
        <v>#N/A</v>
      </c>
      <c r="DH54" s="282">
        <f t="shared" si="15"/>
        <v>4574426.8103767671</v>
      </c>
      <c r="DI54" s="43">
        <f>IF($DM$26,MIN(Age,'All Options'!$E$21)+A53,IF($DN$26,(Age+A53)-Age+60,IF($DO$26,(Age+A53)-Age+55,Age+A53)))</f>
        <v>87</v>
      </c>
      <c r="DJ54" s="279">
        <f>IF($DM$26,MIN(Age+A54,'All Options'!$E$21+A54),IF($DN$26,(Age+A54)-(Age+$A$27)+60,IF($DO$26,(Age+A54)-(Age+$A$27)+55,Age+A54)))</f>
        <v>88</v>
      </c>
      <c r="DK54" s="279"/>
      <c r="DL54" s="279"/>
      <c r="DP54" s="43">
        <f t="shared" si="35"/>
        <v>0</v>
      </c>
      <c r="DQ54" s="43">
        <f>IFERROR(VLOOKUP(IF(A54&lt;=DP,DJ54,DI54),SSV!$K$6:$L$91,2,FALSE)*SUM($B$27:B54),0)*($DQ$25)</f>
        <v>0</v>
      </c>
      <c r="DR54" s="43">
        <f>IFERROR(VLOOKUP(IF(A54&lt;=DP,DJ54,DI54),SSV!$O$6:$P$95,2,FALSE)*SUM($B$27:B54),0)*($DR$25)</f>
        <v>0</v>
      </c>
      <c r="DU54" s="175">
        <f t="shared" si="16"/>
        <v>1</v>
      </c>
    </row>
    <row r="55" spans="1:125" ht="12.75" customHeight="1" x14ac:dyDescent="0.2">
      <c r="A55" s="146">
        <f t="shared" si="17"/>
        <v>29</v>
      </c>
      <c r="B55" s="670">
        <f>IF(PremiumType="Regular Premium",'All Options'!$E$18*'All Options'!$E$22*(AND(Output!A55&lt;=PPT,A55&gt;=1)),'All Options'!$E$18*(A55=1))</f>
        <v>0</v>
      </c>
      <c r="C55" s="671"/>
      <c r="D55" s="103" t="e">
        <f>((VLOOKUP(CONCATENATE($D$14,$D$15),'All Options'!$AB$36:$AC$47,4,0)*VLOOKUP('All Options'!$E$22,'Valid Data-GPG'!$B$130:$F$134,MATCH('All Options'!$E$17,'Valid Data-GPG'!$B$130:$F$130,0),0)*'All Options'!$E$17)*IF(Select="Deferred Annuity",A55&gt;DP,1)+AE55+AF55*AG55*$AG$21)*(A55&gt;0)</f>
        <v>#N/A</v>
      </c>
      <c r="E55" s="103">
        <v>0</v>
      </c>
      <c r="F55" s="103" t="e">
        <f t="shared" si="18"/>
        <v>#N/A</v>
      </c>
      <c r="G55" s="103">
        <f t="shared" si="2"/>
        <v>0</v>
      </c>
      <c r="H55" s="285">
        <f t="shared" si="19"/>
        <v>4583568.2908727508</v>
      </c>
      <c r="I55" s="103">
        <f t="shared" si="20"/>
        <v>4583568.2908727508</v>
      </c>
      <c r="J55" s="101"/>
      <c r="K55" s="175">
        <f t="shared" si="21"/>
        <v>88</v>
      </c>
      <c r="L55" s="175"/>
      <c r="M55" s="175"/>
      <c r="N55" s="175"/>
      <c r="O55" s="175"/>
      <c r="P55" s="175"/>
      <c r="Q55" s="175"/>
      <c r="R55" s="175">
        <f t="shared" si="22"/>
        <v>14</v>
      </c>
      <c r="U55" s="162"/>
      <c r="AB55" s="175" t="e">
        <f>(VLOOKUP(CONCATENATE($D$14,$D$15),'All Options'!$AB$36:$AC$47,4,0)*VLOOKUP('All Options'!$E$22,'Valid Data-GPG'!$B$130:$F$134,MATCH('All Options'!$E$17,'Valid Data-GPG'!$B$130:$F$130,0),0)*'All Options'!$E$17)*IF(Select="Deferred Annuity",A55&gt;DP,1)*(A55&gt;0)</f>
        <v>#N/A</v>
      </c>
      <c r="AC55" s="175">
        <f t="shared" si="3"/>
        <v>0</v>
      </c>
      <c r="AD55" s="175">
        <f>SUM($AC$26:AC55)</f>
        <v>0</v>
      </c>
      <c r="AE55" s="175">
        <f t="shared" si="4"/>
        <v>0</v>
      </c>
      <c r="AF55" s="175">
        <f t="shared" si="5"/>
        <v>250000</v>
      </c>
      <c r="AG55" s="175" t="b">
        <f>(SUM($AF$26:AF55)&lt;=$AB$17)</f>
        <v>1</v>
      </c>
      <c r="AH55" s="143"/>
      <c r="AY55" s="175"/>
      <c r="AZ55" s="66">
        <f>((MAX((SUM($B$26:C55)+(VLOOKUP($AZ$25,'All Options'!$AB$36:$AC$46,2,0)*VLOOKUP('All Options'!$E$22,'Valid Data-GPG'!$B$130:$F$134,MATCH('All Options'!$E$17,'Valid Data-GPG'!$B$130:$F$130,0),0)*'All Options'!$E$17)*(IF(A55&lt;=DP,A55,0))),105%*SUM($B$26:C55)))*(AND(A55&lt;&gt;0,Output!A55&lt;=DP))+(0)*(A55&gt;DP))*$AZ$21</f>
        <v>0</v>
      </c>
      <c r="BA55" s="175" t="e">
        <f>((MAX((SUM($B$26:C55)+(VLOOKUP($BA$25,'All Options'!$AB$36:$AC$46,2,0)*VLOOKUP('All Options'!$E$22,'Valid Data-GPG'!$B$130:$F$134,MATCH('All Options'!$E$17,'Valid Data-GPG'!$B$130:$F$130,0),0)*'All Options'!$E$17)*(IF(A55&lt;=DP,A55,0))),105%*SUM($B$26:C55)))*(Output!A55&lt;=DP)
+MAX((SUM($B$26:C55)+(VLOOKUP($BA$25,'All Options'!$AB$36:$AC$46,2,0)*VLOOKUP('All Options'!$E$22,'Valid Data-GPG'!$B$130:$F$134,MATCH('All Options'!$E$17,'Valid Data-GPG'!$B$130:$F$130,0),0)*'All Options'!$E$17)*DP-D55*(A55-DP)),SUM($B$26:C55))*(A55&gt;DP))*$BA$21</f>
        <v>#N/A</v>
      </c>
      <c r="BB55" s="175">
        <f>((MAX(($AB$17+(VLOOKUP($BB$25,'All Options'!$AB$36:$AC$46,2,0)*VLOOKUP('All Options'!$E$22,'Valid Data-GPG'!$B$130:$F$134,MATCH('All Options'!$E$17,'Valid Data-GPG'!$B$130:$F$130,0),0)*'All Options'!$E$17)*(IF(A55&lt;=DP,A55,0))),105%*$AB$17))*(Output!A55&lt;=DP)+(0)*(A55&gt;DP))*$BB$21</f>
        <v>0</v>
      </c>
      <c r="BC55" s="175" t="e">
        <f>((MAX(($AB$17+(VLOOKUP($BC$25,'All Options'!$AB$36:$AC$46,2,0)*VLOOKUP('All Options'!$E$22,'Valid Data-GPG'!$B$130:$F$134,MATCH('All Options'!$E$17,'Valid Data-GPG'!$B$130:$F$130,0),0)*'All Options'!$E$17)*(IF(A55&lt;=DP,A55,0))),105%*$AB$17))*(Output!A55&lt;=DP)+
MAX(($AB$17+(VLOOKUP($BC$25,'All Options'!$AB$36:$AC$46,2,0)*VLOOKUP('All Options'!$E$22,'Valid Data-GPG'!$B$130:$F$134,MATCH('All Options'!$E$17,'Valid Data-GPG'!$B$130:$F$130,0),0)*'All Options'!$E$17)*DP-D55*(A55-DP)),$AB$17)*(A55&gt;DP))*$BC$21</f>
        <v>#N/A</v>
      </c>
      <c r="BD55" s="175">
        <f ca="1">IFERROR((MAX(($AB$17+(VLOOKUP($BD$25,'All Options'!$AB$36:$AC$46,2,0)*VLOOKUP('All Options'!$E$22,'Valid Data-GPG'!$B$130:$F$134,MATCH('All Options'!$E$17,'Valid Data-GPG'!$B$130:$F$130,0),0)*'All Options'!$E$17)*(IF(A55&lt;=DP,A55,0))),105%*$AB$17))*(Output!A55&lt;=DP)
+MAX(($AB$17+(VLOOKUP($BD$25,'All Options'!$AB$36:$AC$46,2,0)*VLOOKUP('All Options'!$E$22,'Valid Data-GPG'!$B$130:$F$134,MATCH('All Options'!$E$17,'Valid Data-GPG'!$B$130:$F$130,0),0)*'All Options'!$E$17)*DP-D55*(A55-DP)),$AB$17)*(A55&gt;DP),0)*$BD$21</f>
        <v>0</v>
      </c>
      <c r="BE55" s="66">
        <f>IFERROR((MAX(($AB$17+(VLOOKUP($BE$25,'All Options'!$AB$36:$AC$46,2,0)*VLOOKUP('All Options'!$E$22,'Valid Data-GPG'!$B$130:$F$134,MATCH('All Options'!$E$17,'Valid Data-GPG'!$B$130:$F$130,0),0)*'All Options'!$E$17)*(IF(A55&lt;=DP,A55,0))),105%*$AB$17))*(Output!A55&lt;=DP)
+(MAX($AB$17+(VLOOKUP($BE$25,'All Options'!$AB$36:$AC$46,2,0)*VLOOKUP('All Options'!$E$22,'Valid Data-GPG'!$B$130:$F$134,MATCH('All Options'!$E$17,'Valid Data-GPG'!$B$130:$F$130,0),0)*'All Options'!$E$17)*DP-AB55*(A55-DP),$AB$17)*(MAX(A55&lt;=25,K55&lt;85)))*(A55&gt;DP),0)*$BE$21</f>
        <v>0</v>
      </c>
      <c r="BF55" s="175">
        <f>IFERROR((MAX(($AB$17+(VLOOKUP($BF$25,'All Options'!$AB$36:$AC$46,2,0)*VLOOKUP('All Options'!$E$22,'Valid Data-GPG'!$B$130:$F$134,MATCH('All Options'!$E$17,'Valid Data-GPG'!$B$130:$F$130,0),0)*'All Options'!$E$17)*(IF(A55&lt;=DP,A55,0))),105%*$AB$17))*(Output!A55&lt;=DP)
+(MAX($AB$17+(VLOOKUP($BF$25,'All Options'!$AB$36:$AC$46,2,0)*VLOOKUP('All Options'!$E$22,'Valid Data-GPG'!$B$130:$F$134,MATCH('All Options'!$E$17,'Valid Data-GPG'!$B$130:$F$130,0),0)*'All Options'!$E$17)*DP-AB55*(A55-DP),$AB$17)-SUM($AF$26:AF55)*AG55)*(A55&gt;DP)*AG55,0)*$BF$21</f>
        <v>0</v>
      </c>
      <c r="BG55" s="175">
        <f t="shared" si="23"/>
        <v>0</v>
      </c>
      <c r="BH55" s="182">
        <f t="shared" si="6"/>
        <v>5000000</v>
      </c>
      <c r="BI55" s="175">
        <f t="shared" si="24"/>
        <v>0</v>
      </c>
      <c r="BJ55" s="175">
        <f t="shared" si="25"/>
        <v>0</v>
      </c>
      <c r="BK55" s="175">
        <f t="shared" si="26"/>
        <v>0</v>
      </c>
      <c r="BL55" s="175">
        <f t="shared" si="27"/>
        <v>0</v>
      </c>
      <c r="BM55" s="175">
        <f t="shared" si="28"/>
        <v>0</v>
      </c>
      <c r="BN55" s="175">
        <f t="shared" si="29"/>
        <v>0</v>
      </c>
      <c r="BO55" s="182">
        <f t="shared" si="7"/>
        <v>0</v>
      </c>
      <c r="BP55" s="182">
        <f t="shared" si="8"/>
        <v>0</v>
      </c>
      <c r="BQ55" s="182">
        <f>MAX($AB$17-SUM($AF$26:AF55),0)*$BQ$21</f>
        <v>0</v>
      </c>
      <c r="BS55" s="175">
        <f t="shared" si="9"/>
        <v>1</v>
      </c>
      <c r="BT55" s="175">
        <f>IFERROR(IF(A55&lt;=1,0,VLOOKUP(DP,'Valid Data-GPG'!$A$116:$J$122,MATCH(Output!A55,'Valid Data-GPG'!$A$116:$J$116,0),FALSE)*SUM($B$26:C55))*(A55&lt;=DP),0)*$BT$21</f>
        <v>0</v>
      </c>
      <c r="BU55" s="175">
        <f>IFERROR(IF(A55&lt;=1,0,VLOOKUP(DP,'Valid Data-GPG'!$A$116:$J$122,MATCH(Output!A55,'Valid Data-GPG'!$A$116:$J$116,0),FALSE)*SUM($B$26:C55))*(A55&lt;=DP),0)*$BU$21</f>
        <v>0</v>
      </c>
      <c r="BV55" s="175">
        <f t="shared" si="10"/>
        <v>0</v>
      </c>
      <c r="BW55" s="175">
        <f t="shared" si="11"/>
        <v>0</v>
      </c>
      <c r="BX55" s="175">
        <f t="shared" si="12"/>
        <v>0</v>
      </c>
      <c r="BY55" s="175">
        <f t="shared" si="13"/>
        <v>0</v>
      </c>
      <c r="BZ55" s="175">
        <f t="shared" si="14"/>
        <v>0</v>
      </c>
      <c r="CA55" s="175">
        <f>(INDEX('SV calc_ignore'!$J$10:$J$1341,12*Output!A55-0))*BS55</f>
        <v>0</v>
      </c>
      <c r="CB55" s="175">
        <f t="shared" si="30"/>
        <v>0</v>
      </c>
      <c r="CC55" s="175">
        <f>(INDEX('SV calc_ignore'!$J$10:$J$1341,12*Output!A55-0))*BS55</f>
        <v>0</v>
      </c>
      <c r="CD55" s="175">
        <f t="shared" si="31"/>
        <v>0</v>
      </c>
      <c r="CE55" s="66">
        <f>(INDEX('SV calc_ignore'!$J$10:$J$1341,12*Output!A55-0))*($CE$21)</f>
        <v>0</v>
      </c>
      <c r="CF55" s="175">
        <f t="shared" si="32"/>
        <v>0</v>
      </c>
      <c r="CG55" s="175">
        <f>(INDEX('SV calc_ignore'!$J$10:$J$1341,12*Output!A55-0))*($CG$21)*(A55&gt;1)</f>
        <v>0</v>
      </c>
      <c r="CH55" s="175">
        <f>(INDEX('SV calc_ignore'!$J$10:$J$1341,12*Output!A55-0))*($CH$21)*(A55&gt;1)</f>
        <v>0</v>
      </c>
      <c r="CI55" s="175"/>
      <c r="CJ55" s="66">
        <f>(INDEX('SV calc_ignore'!$J$10:$J$1341,12*Output!A55-0))*($CJ$21)*(A55&gt;1)</f>
        <v>0</v>
      </c>
      <c r="CK55" s="66">
        <f>(INDEX('SV calc_ignore'!$Q$10:$Q$1341,12*Output!A55-0))*(AND(A55&gt;1,R55&lt;20))*($CK$21)</f>
        <v>0</v>
      </c>
      <c r="CL55" s="66">
        <f t="shared" si="33"/>
        <v>0</v>
      </c>
      <c r="CM55" s="175">
        <f>((INDEX('SV calc_ignore'!$J$10:$J$1341,12*Output!A55-0))+(INDEX('SV calc_ignore'!$O$10:$O$1341,12*Output!A55-0))*(A55&lt;'SV calc_ignore'!$Q$5))*(A55&gt;1)*($CM$21)</f>
        <v>0</v>
      </c>
      <c r="CN55" s="175">
        <v>0</v>
      </c>
      <c r="CO55" s="175">
        <f>(INDEX('SV calc_ignore'!$J$10:$J$1341,12*Output!A55-0))*(A55&gt;1)*($CO$21)</f>
        <v>0</v>
      </c>
      <c r="CP55" s="175">
        <v>0</v>
      </c>
      <c r="CQ55" s="175">
        <v>0</v>
      </c>
      <c r="CR55" s="175">
        <v>0</v>
      </c>
      <c r="CS55" s="175">
        <v>0</v>
      </c>
      <c r="CT55" s="175">
        <v>0</v>
      </c>
      <c r="CU55" s="175">
        <v>0</v>
      </c>
      <c r="CV55" s="175">
        <f>(INDEX('SV calc_ignore'!$J$10:$J$1341,12*Output!A55-0))*(A55&gt;1)*($CV$21)</f>
        <v>0</v>
      </c>
      <c r="CW55" s="66">
        <f>((INDEX('SV calc_ignore'!$J$10:$J$1341,12*Output!A55-0))+(INDEX('SV calc_ignore'!$O$10:$O$1351,12*Output!A55-0))*(A55&lt;'SV calc_ignore'!$Q$5))*(A55&gt;1)*($CW$21)</f>
        <v>0</v>
      </c>
      <c r="CX55" s="175">
        <f>(INDEX('SV calc_ignore'!$J$10:$J$1341,12*Output!A55-0))*(A55&gt;1)*($CX$21)</f>
        <v>0</v>
      </c>
      <c r="CY55" s="175">
        <f>(INDEX('SV calc_ignore'!$Q$10:$Q$1341,12*Output!A55-0))*(AND(A55&gt;1,R55&lt;20))*($CY$21)</f>
        <v>0</v>
      </c>
      <c r="CZ55" s="175">
        <f t="shared" si="34"/>
        <v>0</v>
      </c>
      <c r="DE55" s="43">
        <f>IF($DE$23,0,VLOOKUP(IF(A55&lt;=DP,DJ55,DI55),SSV!$B$6:$C$116,2,FALSE)*VLOOKUP(AnnuityOption,'All Options'!$AB$36:$AC$47,2,FALSE)*VLOOKUP('All Options'!$E$22,'Valid Data-GPG'!$B$130:$F$134,MATCH('All Options'!$E$17,'Valid Data-GPG'!$B$130:$F$130,0),0)*'All Options'!$E$17)*(IF(AND(Select="Deferred Annuity",AnnuityOption="Life Annuity"),A55&lt;=DP,1))</f>
        <v>1437757.2908727503</v>
      </c>
      <c r="DF55" s="43">
        <f>IF($DF$23,0,IF($DQ$25,DQ55,IF($DR$25,DR55,VLOOKUP(IF(A55&lt;=DP,DJ55,DI55),SSV!$G$6:$H$116,2,FALSE)*SUM($B$27:B55))))</f>
        <v>3145811</v>
      </c>
      <c r="DG55" s="43" t="e">
        <f>IF(A55&lt;=DP,VLOOKUP(DP-A54,SSV!$T$6:$U$15,2,FALSE),1)</f>
        <v>#N/A</v>
      </c>
      <c r="DH55" s="282">
        <f t="shared" si="15"/>
        <v>4583568.2908727508</v>
      </c>
      <c r="DI55" s="43">
        <f>IF($DM$26,MIN(Age,'All Options'!$E$21)+A54,IF($DN$26,(Age+A54)-Age+60,IF($DO$26,(Age+A54)-Age+55,Age+A54)))</f>
        <v>88</v>
      </c>
      <c r="DJ55" s="279">
        <f>IF($DM$26,MIN(Age+A55,'All Options'!$E$21+A55),IF($DN$26,(Age+A55)-(Age+$A$27)+60,IF($DO$26,(Age+A55)-(Age+$A$27)+55,Age+A55)))</f>
        <v>89</v>
      </c>
      <c r="DK55" s="279"/>
      <c r="DL55" s="279"/>
      <c r="DP55" s="43">
        <f t="shared" si="35"/>
        <v>0</v>
      </c>
      <c r="DQ55" s="43">
        <f>IFERROR(VLOOKUP(IF(A55&lt;=DP,DJ55,DI55),SSV!$K$6:$L$91,2,FALSE)*SUM($B$27:B55),0)*($DQ$25)</f>
        <v>0</v>
      </c>
      <c r="DR55" s="43">
        <f>IFERROR(VLOOKUP(IF(A55&lt;=DP,DJ55,DI55),SSV!$O$6:$P$95,2,FALSE)*SUM($B$27:B55),0)*($DR$25)</f>
        <v>0</v>
      </c>
      <c r="DU55" s="175">
        <f t="shared" si="16"/>
        <v>1</v>
      </c>
    </row>
    <row r="56" spans="1:125" x14ac:dyDescent="0.2">
      <c r="A56" s="146">
        <f t="shared" si="17"/>
        <v>30</v>
      </c>
      <c r="B56" s="670">
        <f>IF(PremiumType="Regular Premium",'All Options'!$E$18*'All Options'!$E$22*(AND(Output!A56&lt;=PPT,A56&gt;=1)),'All Options'!$E$18*(A56=1))</f>
        <v>0</v>
      </c>
      <c r="C56" s="671"/>
      <c r="D56" s="103" t="e">
        <f>((VLOOKUP(CONCATENATE($D$14,$D$15),'All Options'!$AB$36:$AC$47,4,0)*VLOOKUP('All Options'!$E$22,'Valid Data-GPG'!$B$130:$F$134,MATCH('All Options'!$E$17,'Valid Data-GPG'!$B$130:$F$130,0),0)*'All Options'!$E$17)*IF(Select="Deferred Annuity",A56&gt;DP,1)+AE56+AF56*AG56*$AG$21)*(A56&gt;0)</f>
        <v>#N/A</v>
      </c>
      <c r="E56" s="103">
        <v>0</v>
      </c>
      <c r="F56" s="103" t="e">
        <f t="shared" si="18"/>
        <v>#N/A</v>
      </c>
      <c r="G56" s="103">
        <f t="shared" si="2"/>
        <v>0</v>
      </c>
      <c r="H56" s="285">
        <f t="shared" si="19"/>
        <v>4592478.05616045</v>
      </c>
      <c r="I56" s="103">
        <f t="shared" si="20"/>
        <v>4592478.05616045</v>
      </c>
      <c r="J56" s="101"/>
      <c r="K56" s="175">
        <f t="shared" si="21"/>
        <v>89</v>
      </c>
      <c r="L56" s="175"/>
      <c r="M56" s="175"/>
      <c r="N56" s="175"/>
      <c r="O56" s="175"/>
      <c r="P56" s="175"/>
      <c r="Q56" s="175"/>
      <c r="R56" s="175">
        <f t="shared" si="22"/>
        <v>15</v>
      </c>
      <c r="U56" s="162"/>
      <c r="AB56" s="175" t="e">
        <f>(VLOOKUP(CONCATENATE($D$14,$D$15),'All Options'!$AB$36:$AC$47,4,0)*VLOOKUP('All Options'!$E$22,'Valid Data-GPG'!$B$130:$F$134,MATCH('All Options'!$E$17,'Valid Data-GPG'!$B$130:$F$130,0),0)*'All Options'!$E$17)*IF(Select="Deferred Annuity",A56&gt;DP,1)*(A56&gt;0)</f>
        <v>#N/A</v>
      </c>
      <c r="AC56" s="175">
        <f t="shared" si="3"/>
        <v>0</v>
      </c>
      <c r="AD56" s="175">
        <f>SUM($AC$26:AC56)</f>
        <v>0</v>
      </c>
      <c r="AE56" s="175">
        <f t="shared" si="4"/>
        <v>0</v>
      </c>
      <c r="AF56" s="175">
        <f t="shared" si="5"/>
        <v>250000</v>
      </c>
      <c r="AG56" s="175" t="b">
        <f>(SUM($AF$26:AF56)&lt;=$AB$17)</f>
        <v>1</v>
      </c>
      <c r="AH56" s="143"/>
      <c r="AY56" s="175"/>
      <c r="AZ56" s="66">
        <f>((MAX((SUM($B$26:C56)+(VLOOKUP($AZ$25,'All Options'!$AB$36:$AC$46,2,0)*VLOOKUP('All Options'!$E$22,'Valid Data-GPG'!$B$130:$F$134,MATCH('All Options'!$E$17,'Valid Data-GPG'!$B$130:$F$130,0),0)*'All Options'!$E$17)*(IF(A56&lt;=DP,A56,0))),105%*SUM($B$26:C56)))*(AND(A56&lt;&gt;0,Output!A56&lt;=DP))+(0)*(A56&gt;DP))*$AZ$21</f>
        <v>0</v>
      </c>
      <c r="BA56" s="175" t="e">
        <f>((MAX((SUM($B$26:C56)+(VLOOKUP($BA$25,'All Options'!$AB$36:$AC$46,2,0)*VLOOKUP('All Options'!$E$22,'Valid Data-GPG'!$B$130:$F$134,MATCH('All Options'!$E$17,'Valid Data-GPG'!$B$130:$F$130,0),0)*'All Options'!$E$17)*(IF(A56&lt;=DP,A56,0))),105%*SUM($B$26:C56)))*(Output!A56&lt;=DP)
+MAX((SUM($B$26:C56)+(VLOOKUP($BA$25,'All Options'!$AB$36:$AC$46,2,0)*VLOOKUP('All Options'!$E$22,'Valid Data-GPG'!$B$130:$F$134,MATCH('All Options'!$E$17,'Valid Data-GPG'!$B$130:$F$130,0),0)*'All Options'!$E$17)*DP-D56*(A56-DP)),SUM($B$26:C56))*(A56&gt;DP))*$BA$21</f>
        <v>#N/A</v>
      </c>
      <c r="BB56" s="175">
        <f>((MAX(($AB$17+(VLOOKUP($BB$25,'All Options'!$AB$36:$AC$46,2,0)*VLOOKUP('All Options'!$E$22,'Valid Data-GPG'!$B$130:$F$134,MATCH('All Options'!$E$17,'Valid Data-GPG'!$B$130:$F$130,0),0)*'All Options'!$E$17)*(IF(A56&lt;=DP,A56,0))),105%*$AB$17))*(Output!A56&lt;=DP)+(0)*(A56&gt;DP))*$BB$21</f>
        <v>0</v>
      </c>
      <c r="BC56" s="175" t="e">
        <f>((MAX(($AB$17+(VLOOKUP($BC$25,'All Options'!$AB$36:$AC$46,2,0)*VLOOKUP('All Options'!$E$22,'Valid Data-GPG'!$B$130:$F$134,MATCH('All Options'!$E$17,'Valid Data-GPG'!$B$130:$F$130,0),0)*'All Options'!$E$17)*(IF(A56&lt;=DP,A56,0))),105%*$AB$17))*(Output!A56&lt;=DP)+
MAX(($AB$17+(VLOOKUP($BC$25,'All Options'!$AB$36:$AC$46,2,0)*VLOOKUP('All Options'!$E$22,'Valid Data-GPG'!$B$130:$F$134,MATCH('All Options'!$E$17,'Valid Data-GPG'!$B$130:$F$130,0),0)*'All Options'!$E$17)*DP-D56*(A56-DP)),$AB$17)*(A56&gt;DP))*$BC$21</f>
        <v>#N/A</v>
      </c>
      <c r="BD56" s="175">
        <f ca="1">IFERROR((MAX(($AB$17+(VLOOKUP($BD$25,'All Options'!$AB$36:$AC$46,2,0)*VLOOKUP('All Options'!$E$22,'Valid Data-GPG'!$B$130:$F$134,MATCH('All Options'!$E$17,'Valid Data-GPG'!$B$130:$F$130,0),0)*'All Options'!$E$17)*(IF(A56&lt;=DP,A56,0))),105%*$AB$17))*(Output!A56&lt;=DP)
+MAX(($AB$17+(VLOOKUP($BD$25,'All Options'!$AB$36:$AC$46,2,0)*VLOOKUP('All Options'!$E$22,'Valid Data-GPG'!$B$130:$F$134,MATCH('All Options'!$E$17,'Valid Data-GPG'!$B$130:$F$130,0),0)*'All Options'!$E$17)*DP-D56*(A56-DP)),$AB$17)*(A56&gt;DP),0)*$BD$21</f>
        <v>0</v>
      </c>
      <c r="BE56" s="66">
        <f>IFERROR((MAX(($AB$17+(VLOOKUP($BE$25,'All Options'!$AB$36:$AC$46,2,0)*VLOOKUP('All Options'!$E$22,'Valid Data-GPG'!$B$130:$F$134,MATCH('All Options'!$E$17,'Valid Data-GPG'!$B$130:$F$130,0),0)*'All Options'!$E$17)*(IF(A56&lt;=DP,A56,0))),105%*$AB$17))*(Output!A56&lt;=DP)
+(MAX($AB$17+(VLOOKUP($BE$25,'All Options'!$AB$36:$AC$46,2,0)*VLOOKUP('All Options'!$E$22,'Valid Data-GPG'!$B$130:$F$134,MATCH('All Options'!$E$17,'Valid Data-GPG'!$B$130:$F$130,0),0)*'All Options'!$E$17)*DP-AB56*(A56-DP),$AB$17)*(MAX(A56&lt;=25,K56&lt;85)))*(A56&gt;DP),0)*$BE$21</f>
        <v>0</v>
      </c>
      <c r="BF56" s="175">
        <f>IFERROR((MAX(($AB$17+(VLOOKUP($BF$25,'All Options'!$AB$36:$AC$46,2,0)*VLOOKUP('All Options'!$E$22,'Valid Data-GPG'!$B$130:$F$134,MATCH('All Options'!$E$17,'Valid Data-GPG'!$B$130:$F$130,0),0)*'All Options'!$E$17)*(IF(A56&lt;=DP,A56,0))),105%*$AB$17))*(Output!A56&lt;=DP)
+(MAX($AB$17+(VLOOKUP($BF$25,'All Options'!$AB$36:$AC$46,2,0)*VLOOKUP('All Options'!$E$22,'Valid Data-GPG'!$B$130:$F$134,MATCH('All Options'!$E$17,'Valid Data-GPG'!$B$130:$F$130,0),0)*'All Options'!$E$17)*DP-AB56*(A56-DP),$AB$17)-SUM($AF$26:AF56)*AG56)*(A56&gt;DP)*AG56,0)*$BF$21</f>
        <v>0</v>
      </c>
      <c r="BG56" s="175">
        <f t="shared" si="23"/>
        <v>0</v>
      </c>
      <c r="BH56" s="182">
        <f t="shared" si="6"/>
        <v>5000000</v>
      </c>
      <c r="BI56" s="175">
        <f t="shared" si="24"/>
        <v>0</v>
      </c>
      <c r="BJ56" s="175">
        <f t="shared" si="25"/>
        <v>0</v>
      </c>
      <c r="BK56" s="175">
        <f t="shared" si="26"/>
        <v>0</v>
      </c>
      <c r="BL56" s="175">
        <f t="shared" si="27"/>
        <v>0</v>
      </c>
      <c r="BM56" s="175">
        <f t="shared" si="28"/>
        <v>0</v>
      </c>
      <c r="BN56" s="175">
        <f t="shared" si="29"/>
        <v>0</v>
      </c>
      <c r="BO56" s="182">
        <f t="shared" si="7"/>
        <v>0</v>
      </c>
      <c r="BP56" s="182">
        <f t="shared" si="8"/>
        <v>0</v>
      </c>
      <c r="BQ56" s="182">
        <f>MAX($AB$17-SUM($AF$26:AF56),0)*$BQ$21</f>
        <v>0</v>
      </c>
      <c r="BS56" s="175">
        <f t="shared" si="9"/>
        <v>1</v>
      </c>
      <c r="BT56" s="175">
        <f>IFERROR(IF(A56&lt;=1,0,VLOOKUP(DP,'Valid Data-GPG'!$A$116:$J$122,MATCH(Output!A56,'Valid Data-GPG'!$A$116:$J$116,0),FALSE)*SUM($B$26:C56))*(A56&lt;=DP),0)*$BT$21</f>
        <v>0</v>
      </c>
      <c r="BU56" s="175">
        <f>IFERROR(IF(A56&lt;=1,0,VLOOKUP(DP,'Valid Data-GPG'!$A$116:$J$122,MATCH(Output!A56,'Valid Data-GPG'!$A$116:$J$116,0),FALSE)*SUM($B$26:C56))*(A56&lt;=DP),0)*$BU$21</f>
        <v>0</v>
      </c>
      <c r="BV56" s="175">
        <f t="shared" si="10"/>
        <v>0</v>
      </c>
      <c r="BW56" s="175">
        <f t="shared" si="11"/>
        <v>0</v>
      </c>
      <c r="BX56" s="175">
        <f t="shared" si="12"/>
        <v>0</v>
      </c>
      <c r="BY56" s="175">
        <f t="shared" si="13"/>
        <v>0</v>
      </c>
      <c r="BZ56" s="175">
        <f t="shared" si="14"/>
        <v>0</v>
      </c>
      <c r="CA56" s="175">
        <f>(INDEX('SV calc_ignore'!$J$10:$J$1341,12*Output!A56-0))*BS56</f>
        <v>0</v>
      </c>
      <c r="CB56" s="175">
        <f t="shared" si="30"/>
        <v>0</v>
      </c>
      <c r="CC56" s="175">
        <f>(INDEX('SV calc_ignore'!$J$10:$J$1341,12*Output!A56-0))*BS56</f>
        <v>0</v>
      </c>
      <c r="CD56" s="175">
        <f t="shared" si="31"/>
        <v>0</v>
      </c>
      <c r="CE56" s="66">
        <f>(INDEX('SV calc_ignore'!$J$10:$J$1341,12*Output!A56-0))*($CE$21)</f>
        <v>0</v>
      </c>
      <c r="CF56" s="175">
        <f t="shared" si="32"/>
        <v>0</v>
      </c>
      <c r="CG56" s="175">
        <f>(INDEX('SV calc_ignore'!$J$10:$J$1341,12*Output!A56-0))*($CG$21)*(A56&gt;1)</f>
        <v>0</v>
      </c>
      <c r="CH56" s="175">
        <f>(INDEX('SV calc_ignore'!$J$10:$J$1341,12*Output!A56-0))*($CH$21)*(A56&gt;1)</f>
        <v>0</v>
      </c>
      <c r="CI56" s="175"/>
      <c r="CJ56" s="66">
        <f>(INDEX('SV calc_ignore'!$J$10:$J$1341,12*Output!A56-0))*($CJ$21)*(A56&gt;1)</f>
        <v>0</v>
      </c>
      <c r="CK56" s="66">
        <f>(INDEX('SV calc_ignore'!$Q$10:$Q$1341,12*Output!A56-0))*(AND(A56&gt;1,R56&lt;20))*($CK$21)</f>
        <v>0</v>
      </c>
      <c r="CL56" s="66">
        <f t="shared" si="33"/>
        <v>0</v>
      </c>
      <c r="CM56" s="175">
        <f>((INDEX('SV calc_ignore'!$J$10:$J$1341,12*Output!A56-0))+(INDEX('SV calc_ignore'!$O$10:$O$1341,12*Output!A56-0))*(A56&lt;'SV calc_ignore'!$Q$5))*(A56&gt;1)*($CM$21)</f>
        <v>0</v>
      </c>
      <c r="CN56" s="175">
        <v>0</v>
      </c>
      <c r="CO56" s="175">
        <f>(INDEX('SV calc_ignore'!$J$10:$J$1341,12*Output!A56-0))*(A56&gt;1)*($CO$21)</f>
        <v>0</v>
      </c>
      <c r="CP56" s="175">
        <v>0</v>
      </c>
      <c r="CQ56" s="175">
        <v>0</v>
      </c>
      <c r="CR56" s="175">
        <v>0</v>
      </c>
      <c r="CS56" s="175">
        <v>0</v>
      </c>
      <c r="CT56" s="175">
        <v>0</v>
      </c>
      <c r="CU56" s="175">
        <v>0</v>
      </c>
      <c r="CV56" s="175">
        <f>(INDEX('SV calc_ignore'!$J$10:$J$1341,12*Output!A56-0))*(A56&gt;1)*($CV$21)</f>
        <v>0</v>
      </c>
      <c r="CW56" s="66">
        <f>((INDEX('SV calc_ignore'!$J$10:$J$1341,12*Output!A56-0))+(INDEX('SV calc_ignore'!$O$10:$O$1351,12*Output!A56-0))*(A56&lt;'SV calc_ignore'!$Q$5))*(A56&gt;1)*($CW$21)</f>
        <v>0</v>
      </c>
      <c r="CX56" s="175">
        <f>(INDEX('SV calc_ignore'!$J$10:$J$1341,12*Output!A56-0))*(A56&gt;1)*($CX$21)</f>
        <v>0</v>
      </c>
      <c r="CY56" s="175">
        <f>(INDEX('SV calc_ignore'!$Q$10:$Q$1341,12*Output!A56-0))*(AND(A56&gt;1,R56&lt;20))*($CY$21)</f>
        <v>0</v>
      </c>
      <c r="CZ56" s="175">
        <f t="shared" si="34"/>
        <v>0</v>
      </c>
      <c r="DE56" s="43">
        <f>IF($DE$23,0,VLOOKUP(IF(A56&lt;=DP,DJ56,DI56),SSV!$B$6:$C$116,2,FALSE)*VLOOKUP(AnnuityOption,'All Options'!$AB$36:$AC$47,2,FALSE)*VLOOKUP('All Options'!$E$22,'Valid Data-GPG'!$B$130:$F$134,MATCH('All Options'!$E$17,'Valid Data-GPG'!$B$130:$F$130,0),0)*'All Options'!$E$17)*(IF(AND(Select="Deferred Annuity",AnnuityOption="Life Annuity"),A56&lt;=DP,1))</f>
        <v>1384461.0561604495</v>
      </c>
      <c r="DF56" s="43">
        <f>IF($DF$23,0,IF($DQ$25,DQ56,IF($DR$25,DR56,VLOOKUP(IF(A56&lt;=DP,DJ56,DI56),SSV!$G$6:$H$116,2,FALSE)*SUM($B$27:B56))))</f>
        <v>3208017</v>
      </c>
      <c r="DG56" s="43" t="e">
        <f>IF(A56&lt;=DP,VLOOKUP(DP-A55,SSV!$T$6:$U$15,2,FALSE),1)</f>
        <v>#N/A</v>
      </c>
      <c r="DH56" s="282">
        <f t="shared" si="15"/>
        <v>4592478.05616045</v>
      </c>
      <c r="DI56" s="43">
        <f>IF($DM$26,MIN(Age,'All Options'!$E$21)+A55,IF($DN$26,(Age+A55)-Age+60,IF($DO$26,(Age+A55)-Age+55,Age+A55)))</f>
        <v>89</v>
      </c>
      <c r="DJ56" s="279">
        <f>IF($DM$26,MIN(Age+A56,'All Options'!$E$21+A56),IF($DN$26,(Age+A56)-(Age+$A$27)+60,IF($DO$26,(Age+A56)-(Age+$A$27)+55,Age+A56)))</f>
        <v>90</v>
      </c>
      <c r="DK56" s="279"/>
      <c r="DL56" s="279"/>
      <c r="DP56" s="43">
        <f t="shared" si="35"/>
        <v>0</v>
      </c>
      <c r="DQ56" s="43">
        <f>IFERROR(VLOOKUP(IF(A56&lt;=DP,DJ56,DI56),SSV!$K$6:$L$91,2,FALSE)*SUM($B$27:B56),0)*($DQ$25)</f>
        <v>0</v>
      </c>
      <c r="DR56" s="43">
        <f>IFERROR(VLOOKUP(IF(A56&lt;=DP,DJ56,DI56),SSV!$O$6:$P$95,2,FALSE)*SUM($B$27:B56),0)*($DR$25)</f>
        <v>0</v>
      </c>
      <c r="DU56" s="175">
        <f t="shared" si="16"/>
        <v>1</v>
      </c>
    </row>
    <row r="57" spans="1:125" ht="12.75" customHeight="1" x14ac:dyDescent="0.2">
      <c r="A57" s="146">
        <f t="shared" si="17"/>
        <v>31</v>
      </c>
      <c r="B57" s="670">
        <f>IF(PremiumType="Regular Premium",'All Options'!$E$18*'All Options'!$E$22*(AND(Output!A57&lt;=PPT,A57&gt;=1)),'All Options'!$E$18*(A57=1))</f>
        <v>0</v>
      </c>
      <c r="C57" s="671"/>
      <c r="D57" s="103" t="e">
        <f>((VLOOKUP(CONCATENATE($D$14,$D$15),'All Options'!$AB$36:$AC$47,4,0)*VLOOKUP('All Options'!$E$22,'Valid Data-GPG'!$B$130:$F$134,MATCH('All Options'!$E$17,'Valid Data-GPG'!$B$130:$F$130,0),0)*'All Options'!$E$17)*IF(Select="Deferred Annuity",A57&gt;DP,1)+AE57+AF57*AG57*$AG$21)*(A57&gt;0)</f>
        <v>#N/A</v>
      </c>
      <c r="E57" s="103">
        <v>0</v>
      </c>
      <c r="F57" s="103" t="e">
        <f t="shared" si="18"/>
        <v>#N/A</v>
      </c>
      <c r="G57" s="103">
        <f t="shared" si="2"/>
        <v>0</v>
      </c>
      <c r="H57" s="285">
        <f t="shared" si="19"/>
        <v>4601160.7923647929</v>
      </c>
      <c r="I57" s="103">
        <f t="shared" si="20"/>
        <v>4601160.7923647929</v>
      </c>
      <c r="J57" s="101"/>
      <c r="K57" s="175">
        <f t="shared" si="21"/>
        <v>90</v>
      </c>
      <c r="L57" s="175"/>
      <c r="M57" s="175"/>
      <c r="N57" s="175"/>
      <c r="O57" s="175"/>
      <c r="P57" s="175"/>
      <c r="Q57" s="175"/>
      <c r="R57" s="175">
        <f t="shared" si="22"/>
        <v>16</v>
      </c>
      <c r="U57" s="162"/>
      <c r="AB57" s="175" t="e">
        <f>(VLOOKUP(CONCATENATE($D$14,$D$15),'All Options'!$AB$36:$AC$47,4,0)*VLOOKUP('All Options'!$E$22,'Valid Data-GPG'!$B$130:$F$134,MATCH('All Options'!$E$17,'Valid Data-GPG'!$B$130:$F$130,0),0)*'All Options'!$E$17)*IF(Select="Deferred Annuity",A57&gt;DP,1)*(A57&gt;0)</f>
        <v>#N/A</v>
      </c>
      <c r="AC57" s="175">
        <f t="shared" si="3"/>
        <v>0</v>
      </c>
      <c r="AD57" s="175">
        <f>SUM($AC$26:AC57)</f>
        <v>0</v>
      </c>
      <c r="AE57" s="175">
        <f t="shared" si="4"/>
        <v>0</v>
      </c>
      <c r="AF57" s="175">
        <f t="shared" si="5"/>
        <v>250000</v>
      </c>
      <c r="AG57" s="175" t="b">
        <f>(SUM($AF$26:AF57)&lt;=$AB$17)</f>
        <v>1</v>
      </c>
      <c r="AH57" s="143"/>
      <c r="AY57" s="175"/>
      <c r="AZ57" s="66">
        <f>((MAX((SUM($B$26:C57)+(VLOOKUP($AZ$25,'All Options'!$AB$36:$AC$46,2,0)*VLOOKUP('All Options'!$E$22,'Valid Data-GPG'!$B$130:$F$134,MATCH('All Options'!$E$17,'Valid Data-GPG'!$B$130:$F$130,0),0)*'All Options'!$E$17)*(IF(A57&lt;=DP,A57,0))),105%*SUM($B$26:C57)))*(AND(A57&lt;&gt;0,Output!A57&lt;=DP))+(0)*(A57&gt;DP))*$AZ$21</f>
        <v>0</v>
      </c>
      <c r="BA57" s="175" t="e">
        <f>((MAX((SUM($B$26:C57)+(VLOOKUP($BA$25,'All Options'!$AB$36:$AC$46,2,0)*VLOOKUP('All Options'!$E$22,'Valid Data-GPG'!$B$130:$F$134,MATCH('All Options'!$E$17,'Valid Data-GPG'!$B$130:$F$130,0),0)*'All Options'!$E$17)*(IF(A57&lt;=DP,A57,0))),105%*SUM($B$26:C57)))*(Output!A57&lt;=DP)
+MAX((SUM($B$26:C57)+(VLOOKUP($BA$25,'All Options'!$AB$36:$AC$46,2,0)*VLOOKUP('All Options'!$E$22,'Valid Data-GPG'!$B$130:$F$134,MATCH('All Options'!$E$17,'Valid Data-GPG'!$B$130:$F$130,0),0)*'All Options'!$E$17)*DP-D57*(A57-DP)),SUM($B$26:C57))*(A57&gt;DP))*$BA$21</f>
        <v>#N/A</v>
      </c>
      <c r="BB57" s="175">
        <f>((MAX(($AB$17+(VLOOKUP($BB$25,'All Options'!$AB$36:$AC$46,2,0)*VLOOKUP('All Options'!$E$22,'Valid Data-GPG'!$B$130:$F$134,MATCH('All Options'!$E$17,'Valid Data-GPG'!$B$130:$F$130,0),0)*'All Options'!$E$17)*(IF(A57&lt;=DP,A57,0))),105%*$AB$17))*(Output!A57&lt;=DP)+(0)*(A57&gt;DP))*$BB$21</f>
        <v>0</v>
      </c>
      <c r="BC57" s="175" t="e">
        <f>((MAX(($AB$17+(VLOOKUP($BC$25,'All Options'!$AB$36:$AC$46,2,0)*VLOOKUP('All Options'!$E$22,'Valid Data-GPG'!$B$130:$F$134,MATCH('All Options'!$E$17,'Valid Data-GPG'!$B$130:$F$130,0),0)*'All Options'!$E$17)*(IF(A57&lt;=DP,A57,0))),105%*$AB$17))*(Output!A57&lt;=DP)+
MAX(($AB$17+(VLOOKUP($BC$25,'All Options'!$AB$36:$AC$46,2,0)*VLOOKUP('All Options'!$E$22,'Valid Data-GPG'!$B$130:$F$134,MATCH('All Options'!$E$17,'Valid Data-GPG'!$B$130:$F$130,0),0)*'All Options'!$E$17)*DP-D57*(A57-DP)),$AB$17)*(A57&gt;DP))*$BC$21</f>
        <v>#N/A</v>
      </c>
      <c r="BD57" s="175">
        <f ca="1">IFERROR((MAX(($AB$17+(VLOOKUP($BD$25,'All Options'!$AB$36:$AC$46,2,0)*VLOOKUP('All Options'!$E$22,'Valid Data-GPG'!$B$130:$F$134,MATCH('All Options'!$E$17,'Valid Data-GPG'!$B$130:$F$130,0),0)*'All Options'!$E$17)*(IF(A57&lt;=DP,A57,0))),105%*$AB$17))*(Output!A57&lt;=DP)
+MAX(($AB$17+(VLOOKUP($BD$25,'All Options'!$AB$36:$AC$46,2,0)*VLOOKUP('All Options'!$E$22,'Valid Data-GPG'!$B$130:$F$134,MATCH('All Options'!$E$17,'Valid Data-GPG'!$B$130:$F$130,0),0)*'All Options'!$E$17)*DP-D57*(A57-DP)),$AB$17)*(A57&gt;DP),0)*$BD$21</f>
        <v>0</v>
      </c>
      <c r="BE57" s="66">
        <f>IFERROR((MAX(($AB$17+(VLOOKUP($BE$25,'All Options'!$AB$36:$AC$46,2,0)*VLOOKUP('All Options'!$E$22,'Valid Data-GPG'!$B$130:$F$134,MATCH('All Options'!$E$17,'Valid Data-GPG'!$B$130:$F$130,0),0)*'All Options'!$E$17)*(IF(A57&lt;=DP,A57,0))),105%*$AB$17))*(Output!A57&lt;=DP)
+(MAX($AB$17+(VLOOKUP($BE$25,'All Options'!$AB$36:$AC$46,2,0)*VLOOKUP('All Options'!$E$22,'Valid Data-GPG'!$B$130:$F$134,MATCH('All Options'!$E$17,'Valid Data-GPG'!$B$130:$F$130,0),0)*'All Options'!$E$17)*DP-AB57*(A57-DP),$AB$17)*(MAX(A57&lt;=25,K57&lt;85)))*(A57&gt;DP),0)*$BE$21</f>
        <v>0</v>
      </c>
      <c r="BF57" s="175">
        <f>IFERROR((MAX(($AB$17+(VLOOKUP($BF$25,'All Options'!$AB$36:$AC$46,2,0)*VLOOKUP('All Options'!$E$22,'Valid Data-GPG'!$B$130:$F$134,MATCH('All Options'!$E$17,'Valid Data-GPG'!$B$130:$F$130,0),0)*'All Options'!$E$17)*(IF(A57&lt;=DP,A57,0))),105%*$AB$17))*(Output!A57&lt;=DP)
+(MAX($AB$17+(VLOOKUP($BF$25,'All Options'!$AB$36:$AC$46,2,0)*VLOOKUP('All Options'!$E$22,'Valid Data-GPG'!$B$130:$F$134,MATCH('All Options'!$E$17,'Valid Data-GPG'!$B$130:$F$130,0),0)*'All Options'!$E$17)*DP-AB57*(A57-DP),$AB$17)-SUM($AF$26:AF57)*AG57)*(A57&gt;DP)*AG57,0)*$BF$21</f>
        <v>0</v>
      </c>
      <c r="BG57" s="175">
        <f t="shared" si="23"/>
        <v>0</v>
      </c>
      <c r="BH57" s="182">
        <f t="shared" si="6"/>
        <v>5000000</v>
      </c>
      <c r="BI57" s="175">
        <f t="shared" si="24"/>
        <v>0</v>
      </c>
      <c r="BJ57" s="175">
        <f t="shared" si="25"/>
        <v>0</v>
      </c>
      <c r="BK57" s="175">
        <f t="shared" si="26"/>
        <v>0</v>
      </c>
      <c r="BL57" s="175">
        <f t="shared" si="27"/>
        <v>0</v>
      </c>
      <c r="BM57" s="175">
        <f t="shared" si="28"/>
        <v>0</v>
      </c>
      <c r="BN57" s="175">
        <f t="shared" si="29"/>
        <v>0</v>
      </c>
      <c r="BO57" s="182">
        <f t="shared" si="7"/>
        <v>0</v>
      </c>
      <c r="BP57" s="182">
        <f t="shared" si="8"/>
        <v>0</v>
      </c>
      <c r="BQ57" s="182">
        <f>MAX($AB$17-SUM($AF$26:AF57),0)*$BQ$21</f>
        <v>0</v>
      </c>
      <c r="BS57" s="175">
        <f t="shared" si="9"/>
        <v>1</v>
      </c>
      <c r="BT57" s="175">
        <f>IFERROR(IF(A57&lt;=1,0,VLOOKUP(DP,'Valid Data-GPG'!$A$116:$J$122,MATCH(Output!A57,'Valid Data-GPG'!$A$116:$J$116,0),FALSE)*SUM($B$26:C57))*(A57&lt;=DP),0)*$BT$21</f>
        <v>0</v>
      </c>
      <c r="BU57" s="175">
        <f>IFERROR(IF(A57&lt;=1,0,VLOOKUP(DP,'Valid Data-GPG'!$A$116:$J$122,MATCH(Output!A57,'Valid Data-GPG'!$A$116:$J$116,0),FALSE)*SUM($B$26:C57))*(A57&lt;=DP),0)*$BU$21</f>
        <v>0</v>
      </c>
      <c r="BV57" s="175">
        <f t="shared" si="10"/>
        <v>0</v>
      </c>
      <c r="BW57" s="175">
        <f t="shared" si="11"/>
        <v>0</v>
      </c>
      <c r="BX57" s="175">
        <f t="shared" si="12"/>
        <v>0</v>
      </c>
      <c r="BY57" s="175">
        <f t="shared" si="13"/>
        <v>0</v>
      </c>
      <c r="BZ57" s="175">
        <f t="shared" si="14"/>
        <v>0</v>
      </c>
      <c r="CA57" s="175">
        <f>(INDEX('SV calc_ignore'!$J$10:$J$1341,12*Output!A57-0))*BS57</f>
        <v>0</v>
      </c>
      <c r="CB57" s="175">
        <f t="shared" si="30"/>
        <v>0</v>
      </c>
      <c r="CC57" s="175">
        <f>(INDEX('SV calc_ignore'!$J$10:$J$1341,12*Output!A57-0))*BS57</f>
        <v>0</v>
      </c>
      <c r="CD57" s="175">
        <f t="shared" si="31"/>
        <v>0</v>
      </c>
      <c r="CE57" s="66">
        <f>(INDEX('SV calc_ignore'!$J$10:$J$1341,12*Output!A57-0))*($CE$21)</f>
        <v>0</v>
      </c>
      <c r="CF57" s="175">
        <f t="shared" si="32"/>
        <v>0</v>
      </c>
      <c r="CG57" s="175">
        <f>(INDEX('SV calc_ignore'!$J$10:$J$1341,12*Output!A57-0))*($CG$21)*(A57&gt;1)</f>
        <v>0</v>
      </c>
      <c r="CH57" s="175">
        <f>(INDEX('SV calc_ignore'!$J$10:$J$1341,12*Output!A57-0))*($CH$21)*(A57&gt;1)</f>
        <v>0</v>
      </c>
      <c r="CI57" s="175"/>
      <c r="CJ57" s="66">
        <f>(INDEX('SV calc_ignore'!$J$10:$J$1341,12*Output!A57-0))*($CJ$21)*(A57&gt;1)</f>
        <v>0</v>
      </c>
      <c r="CK57" s="66">
        <f>(INDEX('SV calc_ignore'!$Q$10:$Q$1341,12*Output!A57-0))*(AND(A57&gt;1,R57&lt;20))*($CK$21)</f>
        <v>0</v>
      </c>
      <c r="CL57" s="66">
        <f t="shared" si="33"/>
        <v>0</v>
      </c>
      <c r="CM57" s="175">
        <f>((INDEX('SV calc_ignore'!$J$10:$J$1341,12*Output!A57-0))+(INDEX('SV calc_ignore'!$O$10:$O$1341,12*Output!A57-0))*(A57&lt;'SV calc_ignore'!$Q$5))*(A57&gt;1)*($CM$21)</f>
        <v>0</v>
      </c>
      <c r="CN57" s="175">
        <v>0</v>
      </c>
      <c r="CO57" s="175">
        <f>(INDEX('SV calc_ignore'!$J$10:$J$1341,12*Output!A57-0))*(A57&gt;1)*($CO$21)</f>
        <v>0</v>
      </c>
      <c r="CP57" s="175">
        <v>0</v>
      </c>
      <c r="CQ57" s="175">
        <v>0</v>
      </c>
      <c r="CR57" s="175">
        <v>0</v>
      </c>
      <c r="CS57" s="175">
        <v>0</v>
      </c>
      <c r="CT57" s="175">
        <v>0</v>
      </c>
      <c r="CU57" s="175">
        <v>0</v>
      </c>
      <c r="CV57" s="175">
        <f>(INDEX('SV calc_ignore'!$J$10:$J$1341,12*Output!A57-0))*(A57&gt;1)*($CV$21)</f>
        <v>0</v>
      </c>
      <c r="CW57" s="66">
        <f>((INDEX('SV calc_ignore'!$J$10:$J$1341,12*Output!A57-0))+(INDEX('SV calc_ignore'!$O$10:$O$1351,12*Output!A57-0))*(A57&lt;'SV calc_ignore'!$Q$5))*(A57&gt;1)*($CW$21)</f>
        <v>0</v>
      </c>
      <c r="CX57" s="175">
        <f>(INDEX('SV calc_ignore'!$J$10:$J$1341,12*Output!A57-0))*(A57&gt;1)*($CX$21)</f>
        <v>0</v>
      </c>
      <c r="CY57" s="175">
        <f>(INDEX('SV calc_ignore'!$Q$10:$Q$1341,12*Output!A57-0))*(AND(A57&gt;1,R57&lt;20))*($CY$21)</f>
        <v>0</v>
      </c>
      <c r="CZ57" s="175">
        <f t="shared" si="34"/>
        <v>0</v>
      </c>
      <c r="DE57" s="43">
        <f>IF($DE$23,0,VLOOKUP(IF(A57&lt;=DP,DJ57,DI57),SSV!$B$6:$C$116,2,FALSE)*VLOOKUP(AnnuityOption,'All Options'!$AB$36:$AC$47,2,FALSE)*VLOOKUP('All Options'!$E$22,'Valid Data-GPG'!$B$130:$F$134,MATCH('All Options'!$E$17,'Valid Data-GPG'!$B$130:$F$130,0),0)*'All Options'!$E$17)*(IF(AND(Select="Deferred Annuity",AnnuityOption="Life Annuity"),A57&lt;=DP,1))</f>
        <v>1332669.7923647934</v>
      </c>
      <c r="DF57" s="43">
        <f>IF($DF$23,0,IF($DQ$25,DQ57,IF($DR$25,DR57,VLOOKUP(IF(A57&lt;=DP,DJ57,DI57),SSV!$G$6:$H$116,2,FALSE)*SUM($B$27:B57))))</f>
        <v>3268491</v>
      </c>
      <c r="DG57" s="43" t="e">
        <f>IF(A57&lt;=DP,VLOOKUP(DP-A56,SSV!$T$6:$U$15,2,FALSE),1)</f>
        <v>#N/A</v>
      </c>
      <c r="DH57" s="282">
        <f t="shared" si="15"/>
        <v>4601160.7923647929</v>
      </c>
      <c r="DI57" s="43">
        <f>IF($DM$26,MIN(Age,'All Options'!$E$21)+A56,IF($DN$26,(Age+A56)-Age+60,IF($DO$26,(Age+A56)-Age+55,Age+A56)))</f>
        <v>90</v>
      </c>
      <c r="DJ57" s="279">
        <f>IF($DM$26,MIN(Age+A57,'All Options'!$E$21+A57),IF($DN$26,(Age+A57)-(Age+$A$27)+60,IF($DO$26,(Age+A57)-(Age+$A$27)+55,Age+A57)))</f>
        <v>91</v>
      </c>
      <c r="DK57" s="279"/>
      <c r="DL57" s="279"/>
      <c r="DP57" s="43">
        <f t="shared" si="35"/>
        <v>0</v>
      </c>
      <c r="DQ57" s="43">
        <f>IFERROR(VLOOKUP(IF(A57&lt;=DP,DJ57,DI57),SSV!$K$6:$L$91,2,FALSE)*SUM($B$27:B57),0)*($DQ$25)</f>
        <v>0</v>
      </c>
      <c r="DR57" s="43">
        <f>IFERROR(VLOOKUP(IF(A57&lt;=DP,DJ57,DI57),SSV!$O$6:$P$95,2,FALSE)*SUM($B$27:B57),0)*($DR$25)</f>
        <v>0</v>
      </c>
      <c r="DU57" s="175">
        <f t="shared" si="16"/>
        <v>1</v>
      </c>
    </row>
    <row r="58" spans="1:125" ht="12.75" customHeight="1" x14ac:dyDescent="0.2">
      <c r="A58" s="146">
        <f t="shared" si="17"/>
        <v>32</v>
      </c>
      <c r="B58" s="670">
        <f>IF(PremiumType="Regular Premium",'All Options'!$E$18*'All Options'!$E$22*(AND(Output!A58&lt;=PPT,A58&gt;=1)),'All Options'!$E$18*(A58=1))</f>
        <v>0</v>
      </c>
      <c r="C58" s="671"/>
      <c r="D58" s="103" t="e">
        <f>((VLOOKUP(CONCATENATE($D$14,$D$15),'All Options'!$AB$36:$AC$47,4,0)*VLOOKUP('All Options'!$E$22,'Valid Data-GPG'!$B$130:$F$134,MATCH('All Options'!$E$17,'Valid Data-GPG'!$B$130:$F$130,0),0)*'All Options'!$E$17)*IF(Select="Deferred Annuity",A58&gt;DP,1)+AE58+AF58*AG58*$AG$21)*(A58&gt;0)</f>
        <v>#N/A</v>
      </c>
      <c r="E58" s="103">
        <v>0</v>
      </c>
      <c r="F58" s="103" t="e">
        <f t="shared" si="18"/>
        <v>#N/A</v>
      </c>
      <c r="G58" s="103">
        <f t="shared" si="2"/>
        <v>0</v>
      </c>
      <c r="H58" s="285">
        <f t="shared" si="19"/>
        <v>4609625.7545974078</v>
      </c>
      <c r="I58" s="103">
        <f t="shared" si="20"/>
        <v>4609625.7545974078</v>
      </c>
      <c r="J58" s="101"/>
      <c r="K58" s="175">
        <f t="shared" si="21"/>
        <v>91</v>
      </c>
      <c r="L58" s="175"/>
      <c r="M58" s="175"/>
      <c r="N58" s="175"/>
      <c r="O58" s="175"/>
      <c r="P58" s="175"/>
      <c r="Q58" s="175"/>
      <c r="R58" s="175">
        <f t="shared" si="22"/>
        <v>17</v>
      </c>
      <c r="U58" s="162"/>
      <c r="AB58" s="175" t="e">
        <f>(VLOOKUP(CONCATENATE($D$14,$D$15),'All Options'!$AB$36:$AC$47,4,0)*VLOOKUP('All Options'!$E$22,'Valid Data-GPG'!$B$130:$F$134,MATCH('All Options'!$E$17,'Valid Data-GPG'!$B$130:$F$130,0),0)*'All Options'!$E$17)*IF(Select="Deferred Annuity",A58&gt;DP,1)*(A58&gt;0)</f>
        <v>#N/A</v>
      </c>
      <c r="AC58" s="175">
        <f t="shared" si="3"/>
        <v>0</v>
      </c>
      <c r="AD58" s="175">
        <f>SUM($AC$26:AC58)</f>
        <v>0</v>
      </c>
      <c r="AE58" s="175">
        <f t="shared" si="4"/>
        <v>0</v>
      </c>
      <c r="AF58" s="175">
        <f t="shared" si="5"/>
        <v>250000</v>
      </c>
      <c r="AG58" s="175" t="b">
        <f>(SUM($AF$26:AF58)&lt;=$AB$17)</f>
        <v>1</v>
      </c>
      <c r="AH58" s="143"/>
      <c r="AY58" s="175"/>
      <c r="AZ58" s="66">
        <f>((MAX((SUM($B$26:C58)+(VLOOKUP($AZ$25,'All Options'!$AB$36:$AC$46,2,0)*VLOOKUP('All Options'!$E$22,'Valid Data-GPG'!$B$130:$F$134,MATCH('All Options'!$E$17,'Valid Data-GPG'!$B$130:$F$130,0),0)*'All Options'!$E$17)*(IF(A58&lt;=DP,A58,0))),105%*SUM($B$26:C58)))*(AND(A58&lt;&gt;0,Output!A58&lt;=DP))+(0)*(A58&gt;DP))*$AZ$21</f>
        <v>0</v>
      </c>
      <c r="BA58" s="175" t="e">
        <f>((MAX((SUM($B$26:C58)+(VLOOKUP($BA$25,'All Options'!$AB$36:$AC$46,2,0)*VLOOKUP('All Options'!$E$22,'Valid Data-GPG'!$B$130:$F$134,MATCH('All Options'!$E$17,'Valid Data-GPG'!$B$130:$F$130,0),0)*'All Options'!$E$17)*(IF(A58&lt;=DP,A58,0))),105%*SUM($B$26:C58)))*(Output!A58&lt;=DP)
+MAX((SUM($B$26:C58)+(VLOOKUP($BA$25,'All Options'!$AB$36:$AC$46,2,0)*VLOOKUP('All Options'!$E$22,'Valid Data-GPG'!$B$130:$F$134,MATCH('All Options'!$E$17,'Valid Data-GPG'!$B$130:$F$130,0),0)*'All Options'!$E$17)*DP-D58*(A58-DP)),SUM($B$26:C58))*(A58&gt;DP))*$BA$21</f>
        <v>#N/A</v>
      </c>
      <c r="BB58" s="175">
        <f>((MAX(($AB$17+(VLOOKUP($BB$25,'All Options'!$AB$36:$AC$46,2,0)*VLOOKUP('All Options'!$E$22,'Valid Data-GPG'!$B$130:$F$134,MATCH('All Options'!$E$17,'Valid Data-GPG'!$B$130:$F$130,0),0)*'All Options'!$E$17)*(IF(A58&lt;=DP,A58,0))),105%*$AB$17))*(Output!A58&lt;=DP)+(0)*(A58&gt;DP))*$BB$21</f>
        <v>0</v>
      </c>
      <c r="BC58" s="175" t="e">
        <f>((MAX(($AB$17+(VLOOKUP($BC$25,'All Options'!$AB$36:$AC$46,2,0)*VLOOKUP('All Options'!$E$22,'Valid Data-GPG'!$B$130:$F$134,MATCH('All Options'!$E$17,'Valid Data-GPG'!$B$130:$F$130,0),0)*'All Options'!$E$17)*(IF(A58&lt;=DP,A58,0))),105%*$AB$17))*(Output!A58&lt;=DP)+
MAX(($AB$17+(VLOOKUP($BC$25,'All Options'!$AB$36:$AC$46,2,0)*VLOOKUP('All Options'!$E$22,'Valid Data-GPG'!$B$130:$F$134,MATCH('All Options'!$E$17,'Valid Data-GPG'!$B$130:$F$130,0),0)*'All Options'!$E$17)*DP-D58*(A58-DP)),$AB$17)*(A58&gt;DP))*$BC$21</f>
        <v>#N/A</v>
      </c>
      <c r="BD58" s="175">
        <f ca="1">IFERROR((MAX(($AB$17+(VLOOKUP($BD$25,'All Options'!$AB$36:$AC$46,2,0)*VLOOKUP('All Options'!$E$22,'Valid Data-GPG'!$B$130:$F$134,MATCH('All Options'!$E$17,'Valid Data-GPG'!$B$130:$F$130,0),0)*'All Options'!$E$17)*(IF(A58&lt;=DP,A58,0))),105%*$AB$17))*(Output!A58&lt;=DP)
+MAX(($AB$17+(VLOOKUP($BD$25,'All Options'!$AB$36:$AC$46,2,0)*VLOOKUP('All Options'!$E$22,'Valid Data-GPG'!$B$130:$F$134,MATCH('All Options'!$E$17,'Valid Data-GPG'!$B$130:$F$130,0),0)*'All Options'!$E$17)*DP-D58*(A58-DP)),$AB$17)*(A58&gt;DP),0)*$BD$21</f>
        <v>0</v>
      </c>
      <c r="BE58" s="66">
        <f>IFERROR((MAX(($AB$17+(VLOOKUP($BE$25,'All Options'!$AB$36:$AC$46,2,0)*VLOOKUP('All Options'!$E$22,'Valid Data-GPG'!$B$130:$F$134,MATCH('All Options'!$E$17,'Valid Data-GPG'!$B$130:$F$130,0),0)*'All Options'!$E$17)*(IF(A58&lt;=DP,A58,0))),105%*$AB$17))*(Output!A58&lt;=DP)
+(MAX($AB$17+(VLOOKUP($BE$25,'All Options'!$AB$36:$AC$46,2,0)*VLOOKUP('All Options'!$E$22,'Valid Data-GPG'!$B$130:$F$134,MATCH('All Options'!$E$17,'Valid Data-GPG'!$B$130:$F$130,0),0)*'All Options'!$E$17)*DP-AB58*(A58-DP),$AB$17)*(MAX(A58&lt;=25,K58&lt;85)))*(A58&gt;DP),0)*$BE$21</f>
        <v>0</v>
      </c>
      <c r="BF58" s="175">
        <f>IFERROR((MAX(($AB$17+(VLOOKUP($BF$25,'All Options'!$AB$36:$AC$46,2,0)*VLOOKUP('All Options'!$E$22,'Valid Data-GPG'!$B$130:$F$134,MATCH('All Options'!$E$17,'Valid Data-GPG'!$B$130:$F$130,0),0)*'All Options'!$E$17)*(IF(A58&lt;=DP,A58,0))),105%*$AB$17))*(Output!A58&lt;=DP)
+(MAX($AB$17+(VLOOKUP($BF$25,'All Options'!$AB$36:$AC$46,2,0)*VLOOKUP('All Options'!$E$22,'Valid Data-GPG'!$B$130:$F$134,MATCH('All Options'!$E$17,'Valid Data-GPG'!$B$130:$F$130,0),0)*'All Options'!$E$17)*DP-AB58*(A58-DP),$AB$17)-SUM($AF$26:AF58)*AG58)*(A58&gt;DP)*AG58,0)*$BF$21</f>
        <v>0</v>
      </c>
      <c r="BG58" s="175">
        <f t="shared" si="23"/>
        <v>0</v>
      </c>
      <c r="BH58" s="182">
        <f t="shared" si="6"/>
        <v>5000000</v>
      </c>
      <c r="BI58" s="175">
        <f t="shared" si="24"/>
        <v>0</v>
      </c>
      <c r="BJ58" s="175">
        <f t="shared" si="25"/>
        <v>0</v>
      </c>
      <c r="BK58" s="175">
        <f t="shared" si="26"/>
        <v>0</v>
      </c>
      <c r="BL58" s="175">
        <f t="shared" si="27"/>
        <v>0</v>
      </c>
      <c r="BM58" s="175">
        <f t="shared" si="28"/>
        <v>0</v>
      </c>
      <c r="BN58" s="175">
        <f t="shared" si="29"/>
        <v>0</v>
      </c>
      <c r="BO58" s="182">
        <f t="shared" si="7"/>
        <v>0</v>
      </c>
      <c r="BP58" s="182">
        <f t="shared" si="8"/>
        <v>0</v>
      </c>
      <c r="BQ58" s="182">
        <f>MAX($AB$17-SUM($AF$26:AF58),0)*$BQ$21</f>
        <v>0</v>
      </c>
      <c r="BS58" s="175">
        <f t="shared" si="9"/>
        <v>1</v>
      </c>
      <c r="BT58" s="175">
        <f>IFERROR(IF(A58&lt;=1,0,VLOOKUP(DP,'Valid Data-GPG'!$A$116:$J$122,MATCH(Output!A58,'Valid Data-GPG'!$A$116:$J$116,0),FALSE)*SUM($B$26:C58))*(A58&lt;=DP),0)*$BT$21</f>
        <v>0</v>
      </c>
      <c r="BU58" s="175">
        <f>IFERROR(IF(A58&lt;=1,0,VLOOKUP(DP,'Valid Data-GPG'!$A$116:$J$122,MATCH(Output!A58,'Valid Data-GPG'!$A$116:$J$116,0),FALSE)*SUM($B$26:C58))*(A58&lt;=DP),0)*$BU$21</f>
        <v>0</v>
      </c>
      <c r="BV58" s="175">
        <f t="shared" si="10"/>
        <v>0</v>
      </c>
      <c r="BW58" s="175">
        <f t="shared" si="11"/>
        <v>0</v>
      </c>
      <c r="BX58" s="175">
        <f t="shared" si="12"/>
        <v>0</v>
      </c>
      <c r="BY58" s="175">
        <f t="shared" si="13"/>
        <v>0</v>
      </c>
      <c r="BZ58" s="175">
        <f t="shared" si="14"/>
        <v>0</v>
      </c>
      <c r="CA58" s="175">
        <f>(INDEX('SV calc_ignore'!$J$10:$J$1341,12*Output!A58-0))*BS58</f>
        <v>0</v>
      </c>
      <c r="CB58" s="175">
        <f t="shared" si="30"/>
        <v>0</v>
      </c>
      <c r="CC58" s="175">
        <f>(INDEX('SV calc_ignore'!$J$10:$J$1341,12*Output!A58-0))*BS58</f>
        <v>0</v>
      </c>
      <c r="CD58" s="175">
        <f t="shared" si="31"/>
        <v>0</v>
      </c>
      <c r="CE58" s="66">
        <f>(INDEX('SV calc_ignore'!$J$10:$J$1341,12*Output!A58-0))*($CE$21)</f>
        <v>0</v>
      </c>
      <c r="CF58" s="175">
        <f t="shared" si="32"/>
        <v>0</v>
      </c>
      <c r="CG58" s="175">
        <f>(INDEX('SV calc_ignore'!$J$10:$J$1341,12*Output!A58-0))*($CG$21)*(A58&gt;1)</f>
        <v>0</v>
      </c>
      <c r="CH58" s="175">
        <f>(INDEX('SV calc_ignore'!$J$10:$J$1341,12*Output!A58-0))*($CH$21)*(A58&gt;1)</f>
        <v>0</v>
      </c>
      <c r="CI58" s="175"/>
      <c r="CJ58" s="66">
        <f>(INDEX('SV calc_ignore'!$J$10:$J$1341,12*Output!A58-0))*($CJ$21)*(A58&gt;1)</f>
        <v>0</v>
      </c>
      <c r="CK58" s="66">
        <f>(INDEX('SV calc_ignore'!$Q$10:$Q$1341,12*Output!A58-0))*(AND(A58&gt;1,R58&lt;20))*($CK$21)</f>
        <v>0</v>
      </c>
      <c r="CL58" s="66">
        <f t="shared" si="33"/>
        <v>0</v>
      </c>
      <c r="CM58" s="175">
        <f>((INDEX('SV calc_ignore'!$J$10:$J$1341,12*Output!A58-0))+(INDEX('SV calc_ignore'!$O$10:$O$1341,12*Output!A58-0))*(A58&lt;'SV calc_ignore'!$Q$5))*(A58&gt;1)*($CM$21)</f>
        <v>0</v>
      </c>
      <c r="CN58" s="175">
        <v>0</v>
      </c>
      <c r="CO58" s="175">
        <f>(INDEX('SV calc_ignore'!$J$10:$J$1341,12*Output!A58-0))*(A58&gt;1)*($CO$21)</f>
        <v>0</v>
      </c>
      <c r="CP58" s="175">
        <v>0</v>
      </c>
      <c r="CQ58" s="175">
        <v>0</v>
      </c>
      <c r="CR58" s="175">
        <v>0</v>
      </c>
      <c r="CS58" s="175">
        <v>0</v>
      </c>
      <c r="CT58" s="175">
        <v>0</v>
      </c>
      <c r="CU58" s="175">
        <v>0</v>
      </c>
      <c r="CV58" s="175">
        <f>(INDEX('SV calc_ignore'!$J$10:$J$1341,12*Output!A58-0))*(A58&gt;1)*($CV$21)</f>
        <v>0</v>
      </c>
      <c r="CW58" s="66">
        <f>((INDEX('SV calc_ignore'!$J$10:$J$1341,12*Output!A58-0))+(INDEX('SV calc_ignore'!$O$10:$O$1351,12*Output!A58-0))*(A58&lt;'SV calc_ignore'!$Q$5))*(A58&gt;1)*($CW$21)</f>
        <v>0</v>
      </c>
      <c r="CX58" s="175">
        <f>(INDEX('SV calc_ignore'!$J$10:$J$1341,12*Output!A58-0))*(A58&gt;1)*($CX$21)</f>
        <v>0</v>
      </c>
      <c r="CY58" s="175">
        <f>(INDEX('SV calc_ignore'!$Q$10:$Q$1341,12*Output!A58-0))*(AND(A58&gt;1,R58&lt;20))*($CY$21)</f>
        <v>0</v>
      </c>
      <c r="CZ58" s="175">
        <f t="shared" si="34"/>
        <v>0</v>
      </c>
      <c r="DE58" s="43">
        <f>IF($DE$23,0,VLOOKUP(IF(A58&lt;=DP,DJ58,DI58),SSV!$B$6:$C$116,2,FALSE)*VLOOKUP(AnnuityOption,'All Options'!$AB$36:$AC$47,2,FALSE)*VLOOKUP('All Options'!$E$22,'Valid Data-GPG'!$B$130:$F$134,MATCH('All Options'!$E$17,'Valid Data-GPG'!$B$130:$F$130,0),0)*'All Options'!$E$17)*(IF(AND(Select="Deferred Annuity",AnnuityOption="Life Annuity"),A58&lt;=DP,1))</f>
        <v>1282360.7545974078</v>
      </c>
      <c r="DF58" s="43">
        <f>IF($DF$23,0,IF($DQ$25,DQ58,IF($DR$25,DR58,VLOOKUP(IF(A58&lt;=DP,DJ58,DI58),SSV!$G$6:$H$116,2,FALSE)*SUM($B$27:B58))))</f>
        <v>3327265</v>
      </c>
      <c r="DG58" s="43" t="e">
        <f>IF(A58&lt;=DP,VLOOKUP(DP-A57,SSV!$T$6:$U$15,2,FALSE),1)</f>
        <v>#N/A</v>
      </c>
      <c r="DH58" s="282">
        <f t="shared" si="15"/>
        <v>4609625.7545974078</v>
      </c>
      <c r="DI58" s="43">
        <f>IF($DM$26,MIN(Age,'All Options'!$E$21)+A57,IF($DN$26,(Age+A57)-Age+60,IF($DO$26,(Age+A57)-Age+55,Age+A57)))</f>
        <v>91</v>
      </c>
      <c r="DJ58" s="279">
        <f>IF($DM$26,MIN(Age+A58,'All Options'!$E$21+A58),IF($DN$26,(Age+A58)-(Age+$A$27)+60,IF($DO$26,(Age+A58)-(Age+$A$27)+55,Age+A58)))</f>
        <v>92</v>
      </c>
      <c r="DK58" s="279"/>
      <c r="DL58" s="279"/>
      <c r="DP58" s="43">
        <f t="shared" si="35"/>
        <v>0</v>
      </c>
      <c r="DQ58" s="43">
        <f>IFERROR(VLOOKUP(IF(A58&lt;=DP,DJ58,DI58),SSV!$K$6:$L$91,2,FALSE)*SUM($B$27:B58),0)*($DQ$25)</f>
        <v>0</v>
      </c>
      <c r="DR58" s="43">
        <f>IFERROR(VLOOKUP(IF(A58&lt;=DP,DJ58,DI58),SSV!$O$6:$P$95,2,FALSE)*SUM($B$27:B58),0)*($DR$25)</f>
        <v>0</v>
      </c>
      <c r="DU58" s="175">
        <f t="shared" si="16"/>
        <v>1</v>
      </c>
    </row>
    <row r="59" spans="1:125" ht="12.75" customHeight="1" x14ac:dyDescent="0.2">
      <c r="A59" s="146">
        <f t="shared" si="17"/>
        <v>33</v>
      </c>
      <c r="B59" s="670">
        <f>IF(PremiumType="Regular Premium",'All Options'!$E$18*'All Options'!$E$22*(AND(Output!A59&lt;=PPT,A59&gt;=1)),'All Options'!$E$18*(A59=1))</f>
        <v>0</v>
      </c>
      <c r="C59" s="671"/>
      <c r="D59" s="103" t="e">
        <f>((VLOOKUP(CONCATENATE($D$14,$D$15),'All Options'!$AB$36:$AC$47,4,0)*VLOOKUP('All Options'!$E$22,'Valid Data-GPG'!$B$130:$F$134,MATCH('All Options'!$E$17,'Valid Data-GPG'!$B$130:$F$130,0),0)*'All Options'!$E$17)*IF(Select="Deferred Annuity",A59&gt;DP,1)+AE59+AF59*AG59*$AG$21)*(A59&gt;0)</f>
        <v>#N/A</v>
      </c>
      <c r="E59" s="103">
        <v>0</v>
      </c>
      <c r="F59" s="103" t="e">
        <f t="shared" si="18"/>
        <v>#N/A</v>
      </c>
      <c r="G59" s="103">
        <f t="shared" ref="G59:G90" si="37">IF(Select="Immediate Annuity",0,IF(AND(Select="Deferred Annuity",PremiumType="Regular Premium"),SUM(BT59:BU59),SUM(BV59:BZ59)))</f>
        <v>0</v>
      </c>
      <c r="H59" s="285">
        <f t="shared" si="19"/>
        <v>4617884.5984262303</v>
      </c>
      <c r="I59" s="103">
        <f t="shared" si="20"/>
        <v>4617884.5984262303</v>
      </c>
      <c r="J59" s="101"/>
      <c r="K59" s="175">
        <f t="shared" si="21"/>
        <v>92</v>
      </c>
      <c r="L59" s="175"/>
      <c r="M59" s="175"/>
      <c r="N59" s="175"/>
      <c r="O59" s="175"/>
      <c r="P59" s="175"/>
      <c r="Q59" s="175"/>
      <c r="R59" s="175">
        <f t="shared" si="22"/>
        <v>18</v>
      </c>
      <c r="U59" s="162"/>
      <c r="AB59" s="175" t="e">
        <f>(VLOOKUP(CONCATENATE($D$14,$D$15),'All Options'!$AB$36:$AC$47,4,0)*VLOOKUP('All Options'!$E$22,'Valid Data-GPG'!$B$130:$F$134,MATCH('All Options'!$E$17,'Valid Data-GPG'!$B$130:$F$130,0),0)*'All Options'!$E$17)*IF(Select="Deferred Annuity",A59&gt;DP,1)*(A59&gt;0)</f>
        <v>#N/A</v>
      </c>
      <c r="AC59" s="175">
        <f t="shared" ref="AC59:AC90" si="38">$AB$17*MIN(A59&gt;25,K59&gt;=85)*($AE$21)</f>
        <v>0</v>
      </c>
      <c r="AD59" s="175">
        <f>SUM($AC$26:AC59)</f>
        <v>0</v>
      </c>
      <c r="AE59" s="175">
        <f t="shared" ref="AE59:AE90" si="39">IF(AD59=$AB$17,AD59,0)</f>
        <v>0</v>
      </c>
      <c r="AF59" s="175">
        <f t="shared" ref="AF59:AF90" si="40">5%*$AB$17*(MIN(A59&gt;15,K59&gt;=70))</f>
        <v>250000</v>
      </c>
      <c r="AG59" s="175" t="b">
        <f>(SUM($AF$26:AF59)&lt;=$AB$17)</f>
        <v>1</v>
      </c>
      <c r="AH59" s="143"/>
      <c r="AY59" s="175"/>
      <c r="AZ59" s="66">
        <f>((MAX((SUM($B$26:C59)+(VLOOKUP($AZ$25,'All Options'!$AB$36:$AC$46,2,0)*VLOOKUP('All Options'!$E$22,'Valid Data-GPG'!$B$130:$F$134,MATCH('All Options'!$E$17,'Valid Data-GPG'!$B$130:$F$130,0),0)*'All Options'!$E$17)*(IF(A59&lt;=DP,A59,0))),105%*SUM($B$26:C59)))*(AND(A59&lt;&gt;0,Output!A59&lt;=DP))+(0)*(A59&gt;DP))*$AZ$21</f>
        <v>0</v>
      </c>
      <c r="BA59" s="175" t="e">
        <f>((MAX((SUM($B$26:C59)+(VLOOKUP($BA$25,'All Options'!$AB$36:$AC$46,2,0)*VLOOKUP('All Options'!$E$22,'Valid Data-GPG'!$B$130:$F$134,MATCH('All Options'!$E$17,'Valid Data-GPG'!$B$130:$F$130,0),0)*'All Options'!$E$17)*(IF(A59&lt;=DP,A59,0))),105%*SUM($B$26:C59)))*(Output!A59&lt;=DP)
+MAX((SUM($B$26:C59)+(VLOOKUP($BA$25,'All Options'!$AB$36:$AC$46,2,0)*VLOOKUP('All Options'!$E$22,'Valid Data-GPG'!$B$130:$F$134,MATCH('All Options'!$E$17,'Valid Data-GPG'!$B$130:$F$130,0),0)*'All Options'!$E$17)*DP-D59*(A59-DP)),SUM($B$26:C59))*(A59&gt;DP))*$BA$21</f>
        <v>#N/A</v>
      </c>
      <c r="BB59" s="175">
        <f>((MAX(($AB$17+(VLOOKUP($BB$25,'All Options'!$AB$36:$AC$46,2,0)*VLOOKUP('All Options'!$E$22,'Valid Data-GPG'!$B$130:$F$134,MATCH('All Options'!$E$17,'Valid Data-GPG'!$B$130:$F$130,0),0)*'All Options'!$E$17)*(IF(A59&lt;=DP,A59,0))),105%*$AB$17))*(Output!A59&lt;=DP)+(0)*(A59&gt;DP))*$BB$21</f>
        <v>0</v>
      </c>
      <c r="BC59" s="175" t="e">
        <f>((MAX(($AB$17+(VLOOKUP($BC$25,'All Options'!$AB$36:$AC$46,2,0)*VLOOKUP('All Options'!$E$22,'Valid Data-GPG'!$B$130:$F$134,MATCH('All Options'!$E$17,'Valid Data-GPG'!$B$130:$F$130,0),0)*'All Options'!$E$17)*(IF(A59&lt;=DP,A59,0))),105%*$AB$17))*(Output!A59&lt;=DP)+
MAX(($AB$17+(VLOOKUP($BC$25,'All Options'!$AB$36:$AC$46,2,0)*VLOOKUP('All Options'!$E$22,'Valid Data-GPG'!$B$130:$F$134,MATCH('All Options'!$E$17,'Valid Data-GPG'!$B$130:$F$130,0),0)*'All Options'!$E$17)*DP-D59*(A59-DP)),$AB$17)*(A59&gt;DP))*$BC$21</f>
        <v>#N/A</v>
      </c>
      <c r="BD59" s="175">
        <f ca="1">IFERROR((MAX(($AB$17+(VLOOKUP($BD$25,'All Options'!$AB$36:$AC$46,2,0)*VLOOKUP('All Options'!$E$22,'Valid Data-GPG'!$B$130:$F$134,MATCH('All Options'!$E$17,'Valid Data-GPG'!$B$130:$F$130,0),0)*'All Options'!$E$17)*(IF(A59&lt;=DP,A59,0))),105%*$AB$17))*(Output!A59&lt;=DP)
+MAX(($AB$17+(VLOOKUP($BD$25,'All Options'!$AB$36:$AC$46,2,0)*VLOOKUP('All Options'!$E$22,'Valid Data-GPG'!$B$130:$F$134,MATCH('All Options'!$E$17,'Valid Data-GPG'!$B$130:$F$130,0),0)*'All Options'!$E$17)*DP-D59*(A59-DP)),$AB$17)*(A59&gt;DP),0)*$BD$21</f>
        <v>0</v>
      </c>
      <c r="BE59" s="66">
        <f>IFERROR((MAX(($AB$17+(VLOOKUP($BE$25,'All Options'!$AB$36:$AC$46,2,0)*VLOOKUP('All Options'!$E$22,'Valid Data-GPG'!$B$130:$F$134,MATCH('All Options'!$E$17,'Valid Data-GPG'!$B$130:$F$130,0),0)*'All Options'!$E$17)*(IF(A59&lt;=DP,A59,0))),105%*$AB$17))*(Output!A59&lt;=DP)
+(MAX($AB$17+(VLOOKUP($BE$25,'All Options'!$AB$36:$AC$46,2,0)*VLOOKUP('All Options'!$E$22,'Valid Data-GPG'!$B$130:$F$134,MATCH('All Options'!$E$17,'Valid Data-GPG'!$B$130:$F$130,0),0)*'All Options'!$E$17)*DP-AB59*(A59-DP),$AB$17)*(MAX(A59&lt;=25,K59&lt;85)))*(A59&gt;DP),0)*$BE$21</f>
        <v>0</v>
      </c>
      <c r="BF59" s="175">
        <f>IFERROR((MAX(($AB$17+(VLOOKUP($BF$25,'All Options'!$AB$36:$AC$46,2,0)*VLOOKUP('All Options'!$E$22,'Valid Data-GPG'!$B$130:$F$134,MATCH('All Options'!$E$17,'Valid Data-GPG'!$B$130:$F$130,0),0)*'All Options'!$E$17)*(IF(A59&lt;=DP,A59,0))),105%*$AB$17))*(Output!A59&lt;=DP)
+(MAX($AB$17+(VLOOKUP($BF$25,'All Options'!$AB$36:$AC$46,2,0)*VLOOKUP('All Options'!$E$22,'Valid Data-GPG'!$B$130:$F$134,MATCH('All Options'!$E$17,'Valid Data-GPG'!$B$130:$F$130,0),0)*'All Options'!$E$17)*DP-AB59*(A59-DP),$AB$17)-SUM($AF$26:AF59)*AG59)*(A59&gt;DP)*AG59,0)*$BF$21</f>
        <v>0</v>
      </c>
      <c r="BG59" s="175">
        <f t="shared" si="23"/>
        <v>0</v>
      </c>
      <c r="BH59" s="182">
        <f t="shared" ref="BH59:BH90" si="41">$AB$17*$BH$21</f>
        <v>5000000</v>
      </c>
      <c r="BI59" s="175">
        <f t="shared" si="24"/>
        <v>0</v>
      </c>
      <c r="BJ59" s="175">
        <f t="shared" si="25"/>
        <v>0</v>
      </c>
      <c r="BK59" s="175">
        <f t="shared" si="26"/>
        <v>0</v>
      </c>
      <c r="BL59" s="175">
        <f t="shared" si="27"/>
        <v>0</v>
      </c>
      <c r="BM59" s="175">
        <f t="shared" si="28"/>
        <v>0</v>
      </c>
      <c r="BN59" s="175">
        <f t="shared" si="29"/>
        <v>0</v>
      </c>
      <c r="BO59" s="182">
        <f t="shared" ref="BO59:BO90" si="42">$AB$17*$BO$21</f>
        <v>0</v>
      </c>
      <c r="BP59" s="182">
        <f t="shared" ref="BP59:BP90" si="43">$B$27*(MAX(A59&lt;=25,K59&lt;85))*$BP$21</f>
        <v>0</v>
      </c>
      <c r="BQ59" s="182">
        <f>MAX($AB$17-SUM($AF$26:AF59),0)*$BQ$21</f>
        <v>0</v>
      </c>
      <c r="BS59" s="175">
        <f t="shared" ref="BS59:BS90" si="44">(MIN(A59,PPT)/PPT)*(A59&gt;=2)</f>
        <v>1</v>
      </c>
      <c r="BT59" s="175">
        <f>IFERROR(IF(A59&lt;=1,0,VLOOKUP(DP,'Valid Data-GPG'!$A$116:$J$122,MATCH(Output!A59,'Valid Data-GPG'!$A$116:$J$116,0),FALSE)*SUM($B$26:C59))*(A59&lt;=DP),0)*$BT$21</f>
        <v>0</v>
      </c>
      <c r="BU59" s="175">
        <f>IFERROR(IF(A59&lt;=1,0,VLOOKUP(DP,'Valid Data-GPG'!$A$116:$J$122,MATCH(Output!A59,'Valid Data-GPG'!$A$116:$J$116,0),FALSE)*SUM($B$26:C59))*(A59&lt;=DP),0)*$BU$21</f>
        <v>0</v>
      </c>
      <c r="BV59" s="175">
        <f t="shared" ref="BV59:BV90" si="45">((75%*$AB$17)*(IF(DP&lt;=3,A59&lt;=DP,A59&lt;=3))+(90%*$AB$17)*(AND(A59&gt;3,A59&lt;=DP)))*$BV$21</f>
        <v>0</v>
      </c>
      <c r="BW59" s="175">
        <f t="shared" si="11"/>
        <v>0</v>
      </c>
      <c r="BX59" s="175">
        <f t="shared" si="12"/>
        <v>0</v>
      </c>
      <c r="BY59" s="175">
        <f t="shared" si="13"/>
        <v>0</v>
      </c>
      <c r="BZ59" s="175">
        <f t="shared" si="14"/>
        <v>0</v>
      </c>
      <c r="CA59" s="175">
        <f>(INDEX('SV calc_ignore'!$J$10:$J$1341,12*Output!A59-0))*BS59</f>
        <v>0</v>
      </c>
      <c r="CB59" s="175">
        <f t="shared" si="30"/>
        <v>0</v>
      </c>
      <c r="CC59" s="175">
        <f>(INDEX('SV calc_ignore'!$J$10:$J$1341,12*Output!A59-0))*BS59</f>
        <v>0</v>
      </c>
      <c r="CD59" s="175">
        <f t="shared" si="31"/>
        <v>0</v>
      </c>
      <c r="CE59" s="66">
        <f>(INDEX('SV calc_ignore'!$J$10:$J$1341,12*Output!A59-0))*($CE$21)</f>
        <v>0</v>
      </c>
      <c r="CF59" s="175">
        <f t="shared" si="32"/>
        <v>0</v>
      </c>
      <c r="CG59" s="175">
        <f>(INDEX('SV calc_ignore'!$J$10:$J$1341,12*Output!A59-0))*($CG$21)*(A59&gt;1)</f>
        <v>0</v>
      </c>
      <c r="CH59" s="175">
        <f>(INDEX('SV calc_ignore'!$J$10:$J$1341,12*Output!A59-0))*($CH$21)*(A59&gt;1)</f>
        <v>0</v>
      </c>
      <c r="CI59" s="175"/>
      <c r="CJ59" s="66">
        <f>(INDEX('SV calc_ignore'!$J$10:$J$1341,12*Output!A59-0))*($CJ$21)*(A59&gt;1)</f>
        <v>0</v>
      </c>
      <c r="CK59" s="66">
        <f>(INDEX('SV calc_ignore'!$Q$10:$Q$1341,12*Output!A59-0))*(AND(A59&gt;1,R59&lt;20))*($CK$21)</f>
        <v>0</v>
      </c>
      <c r="CL59" s="66">
        <f t="shared" si="33"/>
        <v>0</v>
      </c>
      <c r="CM59" s="175">
        <f>((INDEX('SV calc_ignore'!$J$10:$J$1341,12*Output!A59-0))+(INDEX('SV calc_ignore'!$O$10:$O$1341,12*Output!A59-0))*(A59&lt;'SV calc_ignore'!$Q$5))*(A59&gt;1)*($CM$21)</f>
        <v>0</v>
      </c>
      <c r="CN59" s="175">
        <v>0</v>
      </c>
      <c r="CO59" s="175">
        <f>(INDEX('SV calc_ignore'!$J$10:$J$1341,12*Output!A59-0))*(A59&gt;1)*($CO$21)</f>
        <v>0</v>
      </c>
      <c r="CP59" s="175">
        <v>0</v>
      </c>
      <c r="CQ59" s="175">
        <v>0</v>
      </c>
      <c r="CR59" s="175">
        <v>0</v>
      </c>
      <c r="CS59" s="175">
        <v>0</v>
      </c>
      <c r="CT59" s="175">
        <v>0</v>
      </c>
      <c r="CU59" s="175">
        <v>0</v>
      </c>
      <c r="CV59" s="175">
        <f>(INDEX('SV calc_ignore'!$J$10:$J$1341,12*Output!A59-0))*(A59&gt;1)*($CV$21)</f>
        <v>0</v>
      </c>
      <c r="CW59" s="66">
        <f>((INDEX('SV calc_ignore'!$J$10:$J$1341,12*Output!A59-0))+(INDEX('SV calc_ignore'!$O$10:$O$1351,12*Output!A59-0))*(A59&lt;'SV calc_ignore'!$Q$5))*(A59&gt;1)*($CW$21)</f>
        <v>0</v>
      </c>
      <c r="CX59" s="175">
        <f>(INDEX('SV calc_ignore'!$J$10:$J$1341,12*Output!A59-0))*(A59&gt;1)*($CX$21)</f>
        <v>0</v>
      </c>
      <c r="CY59" s="175">
        <f>(INDEX('SV calc_ignore'!$Q$10:$Q$1341,12*Output!A59-0))*(AND(A59&gt;1,R59&lt;20))*($CY$21)</f>
        <v>0</v>
      </c>
      <c r="CZ59" s="175">
        <f t="shared" si="34"/>
        <v>0</v>
      </c>
      <c r="DE59" s="43">
        <f>IF($DE$23,0,VLOOKUP(IF(A59&lt;=DP,DJ59,DI59),SSV!$B$6:$C$116,2,FALSE)*VLOOKUP(AnnuityOption,'All Options'!$AB$36:$AC$47,2,FALSE)*VLOOKUP('All Options'!$E$22,'Valid Data-GPG'!$B$130:$F$134,MATCH('All Options'!$E$17,'Valid Data-GPG'!$B$130:$F$130,0),0)*'All Options'!$E$17)*(IF(AND(Select="Deferred Annuity",AnnuityOption="Life Annuity"),A59&lt;=DP,1))</f>
        <v>1233499.5984262307</v>
      </c>
      <c r="DF59" s="43">
        <f>IF($DF$23,0,IF($DQ$25,DQ59,IF($DR$25,DR59,VLOOKUP(IF(A59&lt;=DP,DJ59,DI59),SSV!$G$6:$H$116,2,FALSE)*SUM($B$27:B59))))</f>
        <v>3384384.9999999995</v>
      </c>
      <c r="DG59" s="43" t="e">
        <f>IF(A59&lt;=DP,VLOOKUP(DP-A58,SSV!$T$6:$U$15,2,FALSE),1)</f>
        <v>#N/A</v>
      </c>
      <c r="DH59" s="282">
        <f t="shared" ref="DH59:DH90" si="46">(IF(A59&lt;=DP,(INDEX($DE$27:$DE$67,DP)+INDEX($DF$27:$DF$67,DP))*IF(Select="Immediate Annuity",1,DG59),DE59+DF59))*(IF(PremiumType="Regular Premium",DU59,1))*(IF(PremiumType="Single Premium",A59&gt;0,A59&gt;=2))</f>
        <v>4617884.5984262303</v>
      </c>
      <c r="DI59" s="43">
        <f>IF($DM$26,MIN(Age,'All Options'!$E$21)+A58,IF($DN$26,(Age+A58)-Age+60,IF($DO$26,(Age+A58)-Age+55,Age+A58)))</f>
        <v>92</v>
      </c>
      <c r="DJ59" s="279">
        <f>IF($DM$26,MIN(Age+A59,'All Options'!$E$21+A59),IF($DN$26,(Age+A59)-(Age+$A$27)+60,IF($DO$26,(Age+A59)-(Age+$A$27)+55,Age+A59)))</f>
        <v>93</v>
      </c>
      <c r="DK59" s="279"/>
      <c r="DL59" s="279"/>
      <c r="DP59" s="43">
        <f t="shared" si="35"/>
        <v>0</v>
      </c>
      <c r="DQ59" s="43">
        <f>IFERROR(VLOOKUP(IF(A59&lt;=DP,DJ59,DI59),SSV!$K$6:$L$91,2,FALSE)*SUM($B$27:B59),0)*($DQ$25)</f>
        <v>0</v>
      </c>
      <c r="DR59" s="43">
        <f>IFERROR(VLOOKUP(IF(A59&lt;=DP,DJ59,DI59),SSV!$O$6:$P$95,2,FALSE)*SUM($B$27:B59),0)*($DR$25)</f>
        <v>0</v>
      </c>
      <c r="DU59" s="175">
        <f t="shared" ref="DU59:DU90" si="47">(MIN(A59,PPT)/PPT)*(A59&gt;=2)</f>
        <v>1</v>
      </c>
    </row>
    <row r="60" spans="1:125" ht="12.75" customHeight="1" x14ac:dyDescent="0.2">
      <c r="A60" s="146">
        <f t="shared" ref="A60:A91" si="48">(A59+1)*(K60&lt;=110)</f>
        <v>34</v>
      </c>
      <c r="B60" s="670">
        <f>IF(PremiumType="Regular Premium",'All Options'!$E$18*'All Options'!$E$22*(AND(Output!A60&lt;=PPT,A60&gt;=1)),'All Options'!$E$18*(A60=1))</f>
        <v>0</v>
      </c>
      <c r="C60" s="671"/>
      <c r="D60" s="103" t="e">
        <f>((VLOOKUP(CONCATENATE($D$14,$D$15),'All Options'!$AB$36:$AC$47,4,0)*VLOOKUP('All Options'!$E$22,'Valid Data-GPG'!$B$130:$F$134,MATCH('All Options'!$E$17,'Valid Data-GPG'!$B$130:$F$130,0),0)*'All Options'!$E$17)*IF(Select="Deferred Annuity",A60&gt;DP,1)+AE60+AF60*AG60*$AG$21)*(A60&gt;0)</f>
        <v>#N/A</v>
      </c>
      <c r="E60" s="103">
        <v>0</v>
      </c>
      <c r="F60" s="103" t="e">
        <f t="shared" si="18"/>
        <v>#N/A</v>
      </c>
      <c r="G60" s="103">
        <f t="shared" si="37"/>
        <v>0</v>
      </c>
      <c r="H60" s="285">
        <f t="shared" si="19"/>
        <v>4625953.0786432056</v>
      </c>
      <c r="I60" s="103">
        <f t="shared" si="20"/>
        <v>4625953.0786432056</v>
      </c>
      <c r="J60" s="101"/>
      <c r="K60" s="175">
        <f t="shared" ref="K60:K91" si="49">IF(K59="","",IF(K59+1&gt;110,"",K59+1))</f>
        <v>93</v>
      </c>
      <c r="L60" s="175"/>
      <c r="M60" s="175"/>
      <c r="N60" s="175"/>
      <c r="O60" s="175"/>
      <c r="P60" s="175"/>
      <c r="Q60" s="175"/>
      <c r="R60" s="175">
        <f t="shared" ref="R60:R91" si="50">IF(AND(AG60,AF60&gt;0),R59+1,0)</f>
        <v>19</v>
      </c>
      <c r="U60" s="162"/>
      <c r="AB60" s="175" t="e">
        <f>(VLOOKUP(CONCATENATE($D$14,$D$15),'All Options'!$AB$36:$AC$47,4,0)*VLOOKUP('All Options'!$E$22,'Valid Data-GPG'!$B$130:$F$134,MATCH('All Options'!$E$17,'Valid Data-GPG'!$B$130:$F$130,0),0)*'All Options'!$E$17)*IF(Select="Deferred Annuity",A60&gt;DP,1)*(A60&gt;0)</f>
        <v>#N/A</v>
      </c>
      <c r="AC60" s="175">
        <f t="shared" si="38"/>
        <v>0</v>
      </c>
      <c r="AD60" s="175">
        <f>SUM($AC$26:AC60)</f>
        <v>0</v>
      </c>
      <c r="AE60" s="175">
        <f t="shared" si="39"/>
        <v>0</v>
      </c>
      <c r="AF60" s="175">
        <f t="shared" si="40"/>
        <v>250000</v>
      </c>
      <c r="AG60" s="175" t="b">
        <f>(SUM($AF$26:AF60)&lt;=$AB$17)</f>
        <v>1</v>
      </c>
      <c r="AY60" s="175"/>
      <c r="AZ60" s="66">
        <f>((MAX((SUM($B$26:C60)+(VLOOKUP($AZ$25,'All Options'!$AB$36:$AC$46,2,0)*VLOOKUP('All Options'!$E$22,'Valid Data-GPG'!$B$130:$F$134,MATCH('All Options'!$E$17,'Valid Data-GPG'!$B$130:$F$130,0),0)*'All Options'!$E$17)*(IF(A60&lt;=DP,A60,0))),105%*SUM($B$26:C60)))*(AND(A60&lt;&gt;0,Output!A60&lt;=DP))+(0)*(A60&gt;DP))*$AZ$21</f>
        <v>0</v>
      </c>
      <c r="BA60" s="175" t="e">
        <f>((MAX((SUM($B$26:C60)+(VLOOKUP($BA$25,'All Options'!$AB$36:$AC$46,2,0)*VLOOKUP('All Options'!$E$22,'Valid Data-GPG'!$B$130:$F$134,MATCH('All Options'!$E$17,'Valid Data-GPG'!$B$130:$F$130,0),0)*'All Options'!$E$17)*(IF(A60&lt;=DP,A60,0))),105%*SUM($B$26:C60)))*(Output!A60&lt;=DP)
+MAX((SUM($B$26:C60)+(VLOOKUP($BA$25,'All Options'!$AB$36:$AC$46,2,0)*VLOOKUP('All Options'!$E$22,'Valid Data-GPG'!$B$130:$F$134,MATCH('All Options'!$E$17,'Valid Data-GPG'!$B$130:$F$130,0),0)*'All Options'!$E$17)*DP-D60*(A60-DP)),SUM($B$26:C60))*(A60&gt;DP))*$BA$21</f>
        <v>#N/A</v>
      </c>
      <c r="BB60" s="175">
        <f>((MAX(($AB$17+(VLOOKUP($BB$25,'All Options'!$AB$36:$AC$46,2,0)*VLOOKUP('All Options'!$E$22,'Valid Data-GPG'!$B$130:$F$134,MATCH('All Options'!$E$17,'Valid Data-GPG'!$B$130:$F$130,0),0)*'All Options'!$E$17)*(IF(A60&lt;=DP,A60,0))),105%*$AB$17))*(Output!A60&lt;=DP)+(0)*(A60&gt;DP))*$BB$21</f>
        <v>0</v>
      </c>
      <c r="BC60" s="175" t="e">
        <f>((MAX(($AB$17+(VLOOKUP($BC$25,'All Options'!$AB$36:$AC$46,2,0)*VLOOKUP('All Options'!$E$22,'Valid Data-GPG'!$B$130:$F$134,MATCH('All Options'!$E$17,'Valid Data-GPG'!$B$130:$F$130,0),0)*'All Options'!$E$17)*(IF(A60&lt;=DP,A60,0))),105%*$AB$17))*(Output!A60&lt;=DP)+
MAX(($AB$17+(VLOOKUP($BC$25,'All Options'!$AB$36:$AC$46,2,0)*VLOOKUP('All Options'!$E$22,'Valid Data-GPG'!$B$130:$F$134,MATCH('All Options'!$E$17,'Valid Data-GPG'!$B$130:$F$130,0),0)*'All Options'!$E$17)*DP-D60*(A60-DP)),$AB$17)*(A60&gt;DP))*$BC$21</f>
        <v>#N/A</v>
      </c>
      <c r="BD60" s="175">
        <f ca="1">IFERROR((MAX(($AB$17+(VLOOKUP($BD$25,'All Options'!$AB$36:$AC$46,2,0)*VLOOKUP('All Options'!$E$22,'Valid Data-GPG'!$B$130:$F$134,MATCH('All Options'!$E$17,'Valid Data-GPG'!$B$130:$F$130,0),0)*'All Options'!$E$17)*(IF(A60&lt;=DP,A60,0))),105%*$AB$17))*(Output!A60&lt;=DP)
+MAX(($AB$17+(VLOOKUP($BD$25,'All Options'!$AB$36:$AC$46,2,0)*VLOOKUP('All Options'!$E$22,'Valid Data-GPG'!$B$130:$F$134,MATCH('All Options'!$E$17,'Valid Data-GPG'!$B$130:$F$130,0),0)*'All Options'!$E$17)*DP-D60*(A60-DP)),$AB$17)*(A60&gt;DP),0)*$BD$21</f>
        <v>0</v>
      </c>
      <c r="BE60" s="66">
        <f>IFERROR((MAX(($AB$17+(VLOOKUP($BE$25,'All Options'!$AB$36:$AC$46,2,0)*VLOOKUP('All Options'!$E$22,'Valid Data-GPG'!$B$130:$F$134,MATCH('All Options'!$E$17,'Valid Data-GPG'!$B$130:$F$130,0),0)*'All Options'!$E$17)*(IF(A60&lt;=DP,A60,0))),105%*$AB$17))*(Output!A60&lt;=DP)
+(MAX($AB$17+(VLOOKUP($BE$25,'All Options'!$AB$36:$AC$46,2,0)*VLOOKUP('All Options'!$E$22,'Valid Data-GPG'!$B$130:$F$134,MATCH('All Options'!$E$17,'Valid Data-GPG'!$B$130:$F$130,0),0)*'All Options'!$E$17)*DP-AB60*(A60-DP),$AB$17)*(MAX(A60&lt;=25,K60&lt;85)))*(A60&gt;DP),0)*$BE$21</f>
        <v>0</v>
      </c>
      <c r="BF60" s="175">
        <f>IFERROR((MAX(($AB$17+(VLOOKUP($BF$25,'All Options'!$AB$36:$AC$46,2,0)*VLOOKUP('All Options'!$E$22,'Valid Data-GPG'!$B$130:$F$134,MATCH('All Options'!$E$17,'Valid Data-GPG'!$B$130:$F$130,0),0)*'All Options'!$E$17)*(IF(A60&lt;=DP,A60,0))),105%*$AB$17))*(Output!A60&lt;=DP)
+(MAX($AB$17+(VLOOKUP($BF$25,'All Options'!$AB$36:$AC$46,2,0)*VLOOKUP('All Options'!$E$22,'Valid Data-GPG'!$B$130:$F$134,MATCH('All Options'!$E$17,'Valid Data-GPG'!$B$130:$F$130,0),0)*'All Options'!$E$17)*DP-AB60*(A60-DP),$AB$17)-SUM($AF$26:AF60)*AG60)*(A60&gt;DP)*AG60,0)*$BF$21</f>
        <v>0</v>
      </c>
      <c r="BG60" s="175">
        <f t="shared" si="23"/>
        <v>0</v>
      </c>
      <c r="BH60" s="182">
        <f t="shared" si="41"/>
        <v>5000000</v>
      </c>
      <c r="BI60" s="175">
        <f t="shared" si="24"/>
        <v>0</v>
      </c>
      <c r="BJ60" s="175">
        <f t="shared" si="25"/>
        <v>0</v>
      </c>
      <c r="BK60" s="175">
        <f t="shared" si="26"/>
        <v>0</v>
      </c>
      <c r="BL60" s="175">
        <f t="shared" si="27"/>
        <v>0</v>
      </c>
      <c r="BM60" s="175">
        <f t="shared" si="28"/>
        <v>0</v>
      </c>
      <c r="BN60" s="175">
        <f t="shared" si="29"/>
        <v>0</v>
      </c>
      <c r="BO60" s="182">
        <f t="shared" si="42"/>
        <v>0</v>
      </c>
      <c r="BP60" s="182">
        <f t="shared" si="43"/>
        <v>0</v>
      </c>
      <c r="BQ60" s="182">
        <f>MAX($AB$17-SUM($AF$26:AF60),0)*$BQ$21</f>
        <v>0</v>
      </c>
      <c r="BS60" s="175">
        <f t="shared" si="44"/>
        <v>1</v>
      </c>
      <c r="BT60" s="175">
        <f>IFERROR(IF(A60&lt;=1,0,VLOOKUP(DP,'Valid Data-GPG'!$A$116:$J$122,MATCH(Output!A60,'Valid Data-GPG'!$A$116:$J$116,0),FALSE)*SUM($B$26:C60))*(A60&lt;=DP),0)*$BT$21</f>
        <v>0</v>
      </c>
      <c r="BU60" s="175">
        <f>IFERROR(IF(A60&lt;=1,0,VLOOKUP(DP,'Valid Data-GPG'!$A$116:$J$122,MATCH(Output!A60,'Valid Data-GPG'!$A$116:$J$116,0),FALSE)*SUM($B$26:C60))*(A60&lt;=DP),0)*$BU$21</f>
        <v>0</v>
      </c>
      <c r="BV60" s="175">
        <f t="shared" si="45"/>
        <v>0</v>
      </c>
      <c r="BW60" s="175">
        <f t="shared" si="11"/>
        <v>0</v>
      </c>
      <c r="BX60" s="175">
        <f t="shared" si="12"/>
        <v>0</v>
      </c>
      <c r="BY60" s="175">
        <f t="shared" si="13"/>
        <v>0</v>
      </c>
      <c r="BZ60" s="175">
        <f t="shared" si="14"/>
        <v>0</v>
      </c>
      <c r="CA60" s="175">
        <f>(INDEX('SV calc_ignore'!$J$10:$J$1341,12*Output!A60-0))*BS60</f>
        <v>0</v>
      </c>
      <c r="CB60" s="175">
        <f t="shared" si="30"/>
        <v>0</v>
      </c>
      <c r="CC60" s="175">
        <f>(INDEX('SV calc_ignore'!$J$10:$J$1341,12*Output!A60-0))*BS60</f>
        <v>0</v>
      </c>
      <c r="CD60" s="175">
        <f t="shared" si="31"/>
        <v>0</v>
      </c>
      <c r="CE60" s="66">
        <f>(INDEX('SV calc_ignore'!$J$10:$J$1341,12*Output!A60-0))*($CE$21)</f>
        <v>0</v>
      </c>
      <c r="CF60" s="175">
        <f t="shared" si="32"/>
        <v>0</v>
      </c>
      <c r="CG60" s="175">
        <f>(INDEX('SV calc_ignore'!$J$10:$J$1341,12*Output!A60-0))*($CG$21)*(A60&gt;1)</f>
        <v>0</v>
      </c>
      <c r="CH60" s="175">
        <f>(INDEX('SV calc_ignore'!$J$10:$J$1341,12*Output!A60-0))*($CH$21)*(A60&gt;1)</f>
        <v>0</v>
      </c>
      <c r="CI60" s="175"/>
      <c r="CJ60" s="66">
        <f>(INDEX('SV calc_ignore'!$J$10:$J$1341,12*Output!A60-0))*($CJ$21)*(A60&gt;1)</f>
        <v>0</v>
      </c>
      <c r="CK60" s="66">
        <f>(INDEX('SV calc_ignore'!$Q$10:$Q$1341,12*Output!A60-0))*(AND(A60&gt;1,R60&lt;20))*($CK$21)</f>
        <v>0</v>
      </c>
      <c r="CL60" s="66">
        <f t="shared" si="33"/>
        <v>0</v>
      </c>
      <c r="CM60" s="175">
        <f>((INDEX('SV calc_ignore'!$J$10:$J$1341,12*Output!A60-0))+(INDEX('SV calc_ignore'!$O$10:$O$1341,12*Output!A60-0))*(A60&lt;'SV calc_ignore'!$Q$5))*(A60&gt;1)*($CM$21)</f>
        <v>0</v>
      </c>
      <c r="CN60" s="175">
        <v>0</v>
      </c>
      <c r="CO60" s="175">
        <f>(INDEX('SV calc_ignore'!$J$10:$J$1341,12*Output!A60-0))*(A60&gt;1)*($CO$21)</f>
        <v>0</v>
      </c>
      <c r="CP60" s="175">
        <v>0</v>
      </c>
      <c r="CQ60" s="175">
        <v>0</v>
      </c>
      <c r="CR60" s="175">
        <v>0</v>
      </c>
      <c r="CS60" s="175">
        <v>0</v>
      </c>
      <c r="CT60" s="175">
        <v>0</v>
      </c>
      <c r="CU60" s="175">
        <v>0</v>
      </c>
      <c r="CV60" s="175">
        <f>(INDEX('SV calc_ignore'!$J$10:$J$1341,12*Output!A60-0))*(A60&gt;1)*($CV$21)</f>
        <v>0</v>
      </c>
      <c r="CW60" s="66">
        <f>((INDEX('SV calc_ignore'!$J$10:$J$1341,12*Output!A60-0))+(INDEX('SV calc_ignore'!$O$10:$O$1351,12*Output!A60-0))*(A60&lt;'SV calc_ignore'!$Q$5))*(A60&gt;1)*($CW$21)</f>
        <v>0</v>
      </c>
      <c r="CX60" s="175">
        <f>(INDEX('SV calc_ignore'!$J$10:$J$1341,12*Output!A60-0))*(A60&gt;1)*($CX$21)</f>
        <v>0</v>
      </c>
      <c r="CY60" s="175">
        <f>(INDEX('SV calc_ignore'!$Q$10:$Q$1341,12*Output!A60-0))*(AND(A60&gt;1,R60&lt;20))*($CY$21)</f>
        <v>0</v>
      </c>
      <c r="CZ60" s="175">
        <f t="shared" si="34"/>
        <v>0</v>
      </c>
      <c r="DE60" s="43">
        <f>IF($DE$23,0,VLOOKUP(IF(A60&lt;=DP,DJ60,DI60),SSV!$B$6:$C$116,2,FALSE)*VLOOKUP(AnnuityOption,'All Options'!$AB$36:$AC$47,2,FALSE)*VLOOKUP('All Options'!$E$22,'Valid Data-GPG'!$B$130:$F$134,MATCH('All Options'!$E$17,'Valid Data-GPG'!$B$130:$F$130,0),0)*'All Options'!$E$17)*(IF(AND(Select="Deferred Annuity",AnnuityOption="Life Annuity"),A60&lt;=DP,1))</f>
        <v>1186041.0786432056</v>
      </c>
      <c r="DF60" s="43">
        <f>IF($DF$23,0,IF($DQ$25,DQ60,IF($DR$25,DR60,VLOOKUP(IF(A60&lt;=DP,DJ60,DI60),SSV!$G$6:$H$116,2,FALSE)*SUM($B$27:B60))))</f>
        <v>3439912</v>
      </c>
      <c r="DG60" s="43" t="e">
        <f>IF(A60&lt;=DP,VLOOKUP(DP-A59,SSV!$T$6:$U$15,2,FALSE),1)</f>
        <v>#N/A</v>
      </c>
      <c r="DH60" s="282">
        <f t="shared" si="46"/>
        <v>4625953.0786432056</v>
      </c>
      <c r="DI60" s="43">
        <f>IF($DM$26,MIN(Age,'All Options'!$E$21)+A59,IF($DN$26,(Age+A59)-Age+60,IF($DO$26,(Age+A59)-Age+55,Age+A59)))</f>
        <v>93</v>
      </c>
      <c r="DJ60" s="279">
        <f>IF($DM$26,MIN(Age+A60,'All Options'!$E$21+A60),IF($DN$26,(Age+A60)-(Age+$A$27)+60,IF($DO$26,(Age+A60)-(Age+$A$27)+55,Age+A60)))</f>
        <v>94</v>
      </c>
      <c r="DK60" s="279"/>
      <c r="DL60" s="279"/>
      <c r="DP60" s="43">
        <f t="shared" si="35"/>
        <v>0</v>
      </c>
      <c r="DQ60" s="43">
        <f>IFERROR(VLOOKUP(IF(A60&lt;=DP,DJ60,DI60),SSV!$K$6:$L$91,2,FALSE)*SUM($B$27:B60),0)*($DQ$25)</f>
        <v>0</v>
      </c>
      <c r="DR60" s="43">
        <f>IFERROR(VLOOKUP(IF(A60&lt;=DP,DJ60,DI60),SSV!$O$6:$P$95,2,FALSE)*SUM($B$27:B60),0)*($DR$25)</f>
        <v>0</v>
      </c>
      <c r="DU60" s="175">
        <f t="shared" si="47"/>
        <v>1</v>
      </c>
    </row>
    <row r="61" spans="1:125" x14ac:dyDescent="0.2">
      <c r="A61" s="146">
        <f t="shared" si="48"/>
        <v>35</v>
      </c>
      <c r="B61" s="670">
        <f>IF(PremiumType="Regular Premium",'All Options'!$E$18*'All Options'!$E$22*(AND(Output!A61&lt;=PPT,A61&gt;=1)),'All Options'!$E$18*(A61=1))</f>
        <v>0</v>
      </c>
      <c r="C61" s="671"/>
      <c r="D61" s="103" t="e">
        <f>((VLOOKUP(CONCATENATE($D$14,$D$15),'All Options'!$AB$36:$AC$47,4,0)*VLOOKUP('All Options'!$E$22,'Valid Data-GPG'!$B$130:$F$134,MATCH('All Options'!$E$17,'Valid Data-GPG'!$B$130:$F$130,0),0)*'All Options'!$E$17)*IF(Select="Deferred Annuity",A61&gt;DP,1)+AE61+AF61*AG61*$AG$21)*(A61&gt;0)</f>
        <v>#N/A</v>
      </c>
      <c r="E61" s="103">
        <v>0</v>
      </c>
      <c r="F61" s="103" t="e">
        <f t="shared" si="18"/>
        <v>#N/A</v>
      </c>
      <c r="G61" s="103">
        <f t="shared" si="37"/>
        <v>0</v>
      </c>
      <c r="H61" s="285">
        <f t="shared" si="19"/>
        <v>4633851.9723358965</v>
      </c>
      <c r="I61" s="103">
        <f t="shared" si="20"/>
        <v>4633851.9723358965</v>
      </c>
      <c r="J61" s="101"/>
      <c r="K61" s="175">
        <f t="shared" si="49"/>
        <v>94</v>
      </c>
      <c r="L61" s="175"/>
      <c r="M61" s="175"/>
      <c r="N61" s="175"/>
      <c r="O61" s="175"/>
      <c r="P61" s="175"/>
      <c r="Q61" s="175"/>
      <c r="R61" s="175">
        <f t="shared" si="50"/>
        <v>20</v>
      </c>
      <c r="U61" s="162"/>
      <c r="AB61" s="175" t="e">
        <f>(VLOOKUP(CONCATENATE($D$14,$D$15),'All Options'!$AB$36:$AC$47,4,0)*VLOOKUP('All Options'!$E$22,'Valid Data-GPG'!$B$130:$F$134,MATCH('All Options'!$E$17,'Valid Data-GPG'!$B$130:$F$130,0),0)*'All Options'!$E$17)*IF(Select="Deferred Annuity",A61&gt;DP,1)*(A61&gt;0)</f>
        <v>#N/A</v>
      </c>
      <c r="AC61" s="175">
        <f t="shared" si="38"/>
        <v>0</v>
      </c>
      <c r="AD61" s="175">
        <f>SUM($AC$26:AC61)</f>
        <v>0</v>
      </c>
      <c r="AE61" s="175">
        <f t="shared" si="39"/>
        <v>0</v>
      </c>
      <c r="AF61" s="175">
        <f t="shared" si="40"/>
        <v>250000</v>
      </c>
      <c r="AG61" s="175" t="b">
        <f>(SUM($AF$26:AF61)&lt;=$AB$17)</f>
        <v>1</v>
      </c>
      <c r="AY61" s="175"/>
      <c r="AZ61" s="66">
        <f>((MAX((SUM($B$26:C61)+(VLOOKUP($AZ$25,'All Options'!$AB$36:$AC$46,2,0)*VLOOKUP('All Options'!$E$22,'Valid Data-GPG'!$B$130:$F$134,MATCH('All Options'!$E$17,'Valid Data-GPG'!$B$130:$F$130,0),0)*'All Options'!$E$17)*(IF(A61&lt;=DP,A61,0))),105%*SUM($B$26:C61)))*(AND(A61&lt;&gt;0,Output!A61&lt;=DP))+(0)*(A61&gt;DP))*$AZ$21</f>
        <v>0</v>
      </c>
      <c r="BA61" s="175" t="e">
        <f>((MAX((SUM($B$26:C61)+(VLOOKUP($BA$25,'All Options'!$AB$36:$AC$46,2,0)*VLOOKUP('All Options'!$E$22,'Valid Data-GPG'!$B$130:$F$134,MATCH('All Options'!$E$17,'Valid Data-GPG'!$B$130:$F$130,0),0)*'All Options'!$E$17)*(IF(A61&lt;=DP,A61,0))),105%*SUM($B$26:C61)))*(Output!A61&lt;=DP)
+MAX((SUM($B$26:C61)+(VLOOKUP($BA$25,'All Options'!$AB$36:$AC$46,2,0)*VLOOKUP('All Options'!$E$22,'Valid Data-GPG'!$B$130:$F$134,MATCH('All Options'!$E$17,'Valid Data-GPG'!$B$130:$F$130,0),0)*'All Options'!$E$17)*DP-D61*(A61-DP)),SUM($B$26:C61))*(A61&gt;DP))*$BA$21</f>
        <v>#N/A</v>
      </c>
      <c r="BB61" s="175">
        <f>((MAX(($AB$17+(VLOOKUP($BB$25,'All Options'!$AB$36:$AC$46,2,0)*VLOOKUP('All Options'!$E$22,'Valid Data-GPG'!$B$130:$F$134,MATCH('All Options'!$E$17,'Valid Data-GPG'!$B$130:$F$130,0),0)*'All Options'!$E$17)*(IF(A61&lt;=DP,A61,0))),105%*$AB$17))*(Output!A61&lt;=DP)+(0)*(A61&gt;DP))*$BB$21</f>
        <v>0</v>
      </c>
      <c r="BC61" s="175" t="e">
        <f>((MAX(($AB$17+(VLOOKUP($BC$25,'All Options'!$AB$36:$AC$46,2,0)*VLOOKUP('All Options'!$E$22,'Valid Data-GPG'!$B$130:$F$134,MATCH('All Options'!$E$17,'Valid Data-GPG'!$B$130:$F$130,0),0)*'All Options'!$E$17)*(IF(A61&lt;=DP,A61,0))),105%*$AB$17))*(Output!A61&lt;=DP)+
MAX(($AB$17+(VLOOKUP($BC$25,'All Options'!$AB$36:$AC$46,2,0)*VLOOKUP('All Options'!$E$22,'Valid Data-GPG'!$B$130:$F$134,MATCH('All Options'!$E$17,'Valid Data-GPG'!$B$130:$F$130,0),0)*'All Options'!$E$17)*DP-D61*(A61-DP)),$AB$17)*(A61&gt;DP))*$BC$21</f>
        <v>#N/A</v>
      </c>
      <c r="BD61" s="175">
        <f ca="1">IFERROR((MAX(($AB$17+(VLOOKUP($BD$25,'All Options'!$AB$36:$AC$46,2,0)*VLOOKUP('All Options'!$E$22,'Valid Data-GPG'!$B$130:$F$134,MATCH('All Options'!$E$17,'Valid Data-GPG'!$B$130:$F$130,0),0)*'All Options'!$E$17)*(IF(A61&lt;=DP,A61,0))),105%*$AB$17))*(Output!A61&lt;=DP)
+MAX(($AB$17+(VLOOKUP($BD$25,'All Options'!$AB$36:$AC$46,2,0)*VLOOKUP('All Options'!$E$22,'Valid Data-GPG'!$B$130:$F$134,MATCH('All Options'!$E$17,'Valid Data-GPG'!$B$130:$F$130,0),0)*'All Options'!$E$17)*DP-D61*(A61-DP)),$AB$17)*(A61&gt;DP),0)*$BD$21</f>
        <v>0</v>
      </c>
      <c r="BE61" s="66">
        <f>IFERROR((MAX(($AB$17+(VLOOKUP($BE$25,'All Options'!$AB$36:$AC$46,2,0)*VLOOKUP('All Options'!$E$22,'Valid Data-GPG'!$B$130:$F$134,MATCH('All Options'!$E$17,'Valid Data-GPG'!$B$130:$F$130,0),0)*'All Options'!$E$17)*(IF(A61&lt;=DP,A61,0))),105%*$AB$17))*(Output!A61&lt;=DP)
+(MAX($AB$17+(VLOOKUP($BE$25,'All Options'!$AB$36:$AC$46,2,0)*VLOOKUP('All Options'!$E$22,'Valid Data-GPG'!$B$130:$F$134,MATCH('All Options'!$E$17,'Valid Data-GPG'!$B$130:$F$130,0),0)*'All Options'!$E$17)*DP-AB61*(A61-DP),$AB$17)*(MAX(A61&lt;=25,K61&lt;85)))*(A61&gt;DP),0)*$BE$21</f>
        <v>0</v>
      </c>
      <c r="BF61" s="175">
        <f>IFERROR((MAX(($AB$17+(VLOOKUP($BF$25,'All Options'!$AB$36:$AC$46,2,0)*VLOOKUP('All Options'!$E$22,'Valid Data-GPG'!$B$130:$F$134,MATCH('All Options'!$E$17,'Valid Data-GPG'!$B$130:$F$130,0),0)*'All Options'!$E$17)*(IF(A61&lt;=DP,A61,0))),105%*$AB$17))*(Output!A61&lt;=DP)
+(MAX($AB$17+(VLOOKUP($BF$25,'All Options'!$AB$36:$AC$46,2,0)*VLOOKUP('All Options'!$E$22,'Valid Data-GPG'!$B$130:$F$134,MATCH('All Options'!$E$17,'Valid Data-GPG'!$B$130:$F$130,0),0)*'All Options'!$E$17)*DP-AB61*(A61-DP),$AB$17)-SUM($AF$26:AF61)*AG61)*(A61&gt;DP)*AG61,0)*$BF$21</f>
        <v>0</v>
      </c>
      <c r="BG61" s="175">
        <f t="shared" si="23"/>
        <v>0</v>
      </c>
      <c r="BH61" s="182">
        <f t="shared" si="41"/>
        <v>5000000</v>
      </c>
      <c r="BI61" s="175">
        <f t="shared" si="24"/>
        <v>0</v>
      </c>
      <c r="BJ61" s="175">
        <f t="shared" si="25"/>
        <v>0</v>
      </c>
      <c r="BK61" s="175">
        <f t="shared" si="26"/>
        <v>0</v>
      </c>
      <c r="BL61" s="175">
        <f t="shared" si="27"/>
        <v>0</v>
      </c>
      <c r="BM61" s="175">
        <f t="shared" si="28"/>
        <v>0</v>
      </c>
      <c r="BN61" s="175">
        <f t="shared" si="29"/>
        <v>0</v>
      </c>
      <c r="BO61" s="182">
        <f t="shared" si="42"/>
        <v>0</v>
      </c>
      <c r="BP61" s="182">
        <f t="shared" si="43"/>
        <v>0</v>
      </c>
      <c r="BQ61" s="182">
        <f>MAX($AB$17-SUM($AF$26:AF61),0)*$BQ$21</f>
        <v>0</v>
      </c>
      <c r="BS61" s="175">
        <f t="shared" si="44"/>
        <v>1</v>
      </c>
      <c r="BT61" s="175">
        <f>IFERROR(IF(A61&lt;=1,0,VLOOKUP(DP,'Valid Data-GPG'!$A$116:$J$122,MATCH(Output!A61,'Valid Data-GPG'!$A$116:$J$116,0),FALSE)*SUM($B$26:C61))*(A61&lt;=DP),0)*$BT$21</f>
        <v>0</v>
      </c>
      <c r="BU61" s="175">
        <f>IFERROR(IF(A61&lt;=1,0,VLOOKUP(DP,'Valid Data-GPG'!$A$116:$J$122,MATCH(Output!A61,'Valid Data-GPG'!$A$116:$J$116,0),FALSE)*SUM($B$26:C61))*(A61&lt;=DP),0)*$BU$21</f>
        <v>0</v>
      </c>
      <c r="BV61" s="175">
        <f t="shared" si="45"/>
        <v>0</v>
      </c>
      <c r="BW61" s="175">
        <f t="shared" si="11"/>
        <v>0</v>
      </c>
      <c r="BX61" s="175">
        <f t="shared" si="12"/>
        <v>0</v>
      </c>
      <c r="BY61" s="175">
        <f t="shared" si="13"/>
        <v>0</v>
      </c>
      <c r="BZ61" s="175">
        <f t="shared" si="14"/>
        <v>0</v>
      </c>
      <c r="CA61" s="175">
        <f>(INDEX('SV calc_ignore'!$J$10:$J$1341,12*Output!A61-0))*BS61</f>
        <v>0</v>
      </c>
      <c r="CB61" s="175">
        <f t="shared" si="30"/>
        <v>0</v>
      </c>
      <c r="CC61" s="175">
        <f>(INDEX('SV calc_ignore'!$J$10:$J$1341,12*Output!A61-0))*BS61</f>
        <v>0</v>
      </c>
      <c r="CD61" s="175">
        <f t="shared" si="31"/>
        <v>0</v>
      </c>
      <c r="CE61" s="66">
        <f>(INDEX('SV calc_ignore'!$J$10:$J$1341,12*Output!A61-0))*($CE$21)</f>
        <v>0</v>
      </c>
      <c r="CF61" s="175">
        <f t="shared" si="32"/>
        <v>0</v>
      </c>
      <c r="CG61" s="175">
        <f>(INDEX('SV calc_ignore'!$J$10:$J$1341,12*Output!A61-0))*($CG$21)*(A61&gt;1)</f>
        <v>0</v>
      </c>
      <c r="CH61" s="175">
        <f>(INDEX('SV calc_ignore'!$J$10:$J$1341,12*Output!A61-0))*($CH$21)*(A61&gt;1)</f>
        <v>0</v>
      </c>
      <c r="CI61" s="175"/>
      <c r="CJ61" s="66">
        <f>(INDEX('SV calc_ignore'!$J$10:$J$1341,12*Output!A61-0))*($CJ$21)*(A61&gt;1)</f>
        <v>0</v>
      </c>
      <c r="CK61" s="66">
        <f>(INDEX('SV calc_ignore'!$Q$10:$Q$1341,12*Output!A61-0))*(AND(A61&gt;1,R61&lt;20))*($CK$21)</f>
        <v>0</v>
      </c>
      <c r="CL61" s="66">
        <f t="shared" si="33"/>
        <v>0</v>
      </c>
      <c r="CM61" s="175">
        <f>((INDEX('SV calc_ignore'!$J$10:$J$1341,12*Output!A61-0))+(INDEX('SV calc_ignore'!$O$10:$O$1341,12*Output!A61-0))*(A61&lt;'SV calc_ignore'!$Q$5))*(A61&gt;1)*($CM$21)</f>
        <v>0</v>
      </c>
      <c r="CN61" s="175">
        <v>0</v>
      </c>
      <c r="CO61" s="175">
        <f>(INDEX('SV calc_ignore'!$J$10:$J$1341,12*Output!A61-0))*(A61&gt;1)*($CO$21)</f>
        <v>0</v>
      </c>
      <c r="CP61" s="175">
        <v>0</v>
      </c>
      <c r="CQ61" s="175">
        <v>0</v>
      </c>
      <c r="CR61" s="175">
        <v>0</v>
      </c>
      <c r="CS61" s="175">
        <v>0</v>
      </c>
      <c r="CT61" s="175">
        <v>0</v>
      </c>
      <c r="CU61" s="175">
        <v>0</v>
      </c>
      <c r="CV61" s="175">
        <f>(INDEX('SV calc_ignore'!$J$10:$J$1341,12*Output!A61-0))*(A61&gt;1)*($CV$21)</f>
        <v>0</v>
      </c>
      <c r="CW61" s="66">
        <f>((INDEX('SV calc_ignore'!$J$10:$J$1341,12*Output!A61-0))+(INDEX('SV calc_ignore'!$O$10:$O$1351,12*Output!A61-0))*(A61&lt;'SV calc_ignore'!$Q$5))*(A61&gt;1)*($CW$21)</f>
        <v>0</v>
      </c>
      <c r="CX61" s="175">
        <f>(INDEX('SV calc_ignore'!$J$10:$J$1341,12*Output!A61-0))*(A61&gt;1)*($CX$21)</f>
        <v>0</v>
      </c>
      <c r="CY61" s="175">
        <f>(INDEX('SV calc_ignore'!$Q$10:$Q$1341,12*Output!A61-0))*(AND(A61&gt;1,R61&lt;20))*($CY$21)</f>
        <v>0</v>
      </c>
      <c r="CZ61" s="175">
        <f t="shared" si="34"/>
        <v>0</v>
      </c>
      <c r="DE61" s="43">
        <f>IF($DE$23,0,VLOOKUP(IF(A61&lt;=DP,DJ61,DI61),SSV!$B$6:$C$116,2,FALSE)*VLOOKUP(AnnuityOption,'All Options'!$AB$36:$AC$47,2,FALSE)*VLOOKUP('All Options'!$E$22,'Valid Data-GPG'!$B$130:$F$134,MATCH('All Options'!$E$17,'Valid Data-GPG'!$B$130:$F$130,0),0)*'All Options'!$E$17)*(IF(AND(Select="Deferred Annuity",AnnuityOption="Life Annuity"),A61&lt;=DP,1))</f>
        <v>1139924.4723358969</v>
      </c>
      <c r="DF61" s="43">
        <f>IF($DF$23,0,IF($DQ$25,DQ61,IF($DR$25,DR61,VLOOKUP(IF(A61&lt;=DP,DJ61,DI61),SSV!$G$6:$H$116,2,FALSE)*SUM($B$27:B61))))</f>
        <v>3493927.4999999995</v>
      </c>
      <c r="DG61" s="43" t="e">
        <f>IF(A61&lt;=DP,VLOOKUP(DP-A60,SSV!$T$6:$U$15,2,FALSE),1)</f>
        <v>#N/A</v>
      </c>
      <c r="DH61" s="282">
        <f t="shared" si="46"/>
        <v>4633851.9723358965</v>
      </c>
      <c r="DI61" s="43">
        <f>IF($DM$26,MIN(Age,'All Options'!$E$21)+A60,IF($DN$26,(Age+A60)-Age+60,IF($DO$26,(Age+A60)-Age+55,Age+A60)))</f>
        <v>94</v>
      </c>
      <c r="DJ61" s="279">
        <f>IF($DM$26,MIN(Age+A61,'All Options'!$E$21+A61),IF($DN$26,(Age+A61)-(Age+$A$27)+60,IF($DO$26,(Age+A61)-(Age+$A$27)+55,Age+A61)))</f>
        <v>95</v>
      </c>
      <c r="DK61" s="279"/>
      <c r="DL61" s="279"/>
      <c r="DP61" s="43">
        <f t="shared" si="35"/>
        <v>0</v>
      </c>
      <c r="DQ61" s="43">
        <f>IFERROR(VLOOKUP(IF(A61&lt;=DP,DJ61,DI61),SSV!$K$6:$L$91,2,FALSE)*SUM($B$27:B61),0)*($DQ$25)</f>
        <v>0</v>
      </c>
      <c r="DR61" s="43">
        <f>IFERROR(VLOOKUP(IF(A61&lt;=DP,DJ61,DI61),SSV!$O$6:$P$95,2,FALSE)*SUM($B$27:B61),0)*($DR$25)</f>
        <v>0</v>
      </c>
      <c r="DU61" s="175">
        <f t="shared" si="47"/>
        <v>1</v>
      </c>
    </row>
    <row r="62" spans="1:125" ht="12.75" customHeight="1" x14ac:dyDescent="0.2">
      <c r="A62" s="146">
        <f t="shared" si="48"/>
        <v>36</v>
      </c>
      <c r="B62" s="670">
        <f>IF(PremiumType="Regular Premium",'All Options'!$E$18*'All Options'!$E$22*(AND(Output!A62&lt;=PPT,A62&gt;=1)),'All Options'!$E$18*(A62=1))</f>
        <v>0</v>
      </c>
      <c r="C62" s="671"/>
      <c r="D62" s="103" t="e">
        <f>((VLOOKUP(CONCATENATE($D$14,$D$15),'All Options'!$AB$36:$AC$47,4,0)*VLOOKUP('All Options'!$E$22,'Valid Data-GPG'!$B$130:$F$134,MATCH('All Options'!$E$17,'Valid Data-GPG'!$B$130:$F$130,0),0)*'All Options'!$E$17)*IF(Select="Deferred Annuity",A62&gt;DP,1)+AE62+AF62*AG62*$AG$21)*(A62&gt;0)</f>
        <v>#N/A</v>
      </c>
      <c r="E62" s="103">
        <v>0</v>
      </c>
      <c r="F62" s="103" t="e">
        <f t="shared" si="18"/>
        <v>#N/A</v>
      </c>
      <c r="G62" s="103">
        <f t="shared" si="37"/>
        <v>0</v>
      </c>
      <c r="H62" s="285">
        <f t="shared" si="19"/>
        <v>4641611.4934470318</v>
      </c>
      <c r="I62" s="103">
        <f t="shared" si="20"/>
        <v>4641611.4934470318</v>
      </c>
      <c r="J62" s="101"/>
      <c r="K62" s="175">
        <f t="shared" si="49"/>
        <v>95</v>
      </c>
      <c r="L62" s="175"/>
      <c r="M62" s="175"/>
      <c r="N62" s="175"/>
      <c r="O62" s="175"/>
      <c r="P62" s="175"/>
      <c r="Q62" s="175"/>
      <c r="R62" s="175">
        <f t="shared" si="50"/>
        <v>0</v>
      </c>
      <c r="U62" s="162"/>
      <c r="AB62" s="175" t="e">
        <f>(VLOOKUP(CONCATENATE($D$14,$D$15),'All Options'!$AB$36:$AC$47,4,0)*VLOOKUP('All Options'!$E$22,'Valid Data-GPG'!$B$130:$F$134,MATCH('All Options'!$E$17,'Valid Data-GPG'!$B$130:$F$130,0),0)*'All Options'!$E$17)*IF(Select="Deferred Annuity",A62&gt;DP,1)*(A62&gt;0)</f>
        <v>#N/A</v>
      </c>
      <c r="AC62" s="175">
        <f t="shared" si="38"/>
        <v>0</v>
      </c>
      <c r="AD62" s="175">
        <f>SUM($AC$26:AC62)</f>
        <v>0</v>
      </c>
      <c r="AE62" s="175">
        <f t="shared" si="39"/>
        <v>0</v>
      </c>
      <c r="AF62" s="175">
        <f t="shared" si="40"/>
        <v>250000</v>
      </c>
      <c r="AG62" s="175" t="b">
        <f>(SUM($AF$26:AF62)&lt;=$AB$17)</f>
        <v>0</v>
      </c>
      <c r="AY62" s="175"/>
      <c r="AZ62" s="66">
        <f>((MAX((SUM($B$26:C62)+(VLOOKUP($AZ$25,'All Options'!$AB$36:$AC$46,2,0)*VLOOKUP('All Options'!$E$22,'Valid Data-GPG'!$B$130:$F$134,MATCH('All Options'!$E$17,'Valid Data-GPG'!$B$130:$F$130,0),0)*'All Options'!$E$17)*(IF(A62&lt;=DP,A62,0))),105%*SUM($B$26:C62)))*(AND(A62&lt;&gt;0,Output!A62&lt;=DP))+(0)*(A62&gt;DP))*$AZ$21</f>
        <v>0</v>
      </c>
      <c r="BA62" s="175" t="e">
        <f>((MAX((SUM($B$26:C62)+(VLOOKUP($BA$25,'All Options'!$AB$36:$AC$46,2,0)*VLOOKUP('All Options'!$E$22,'Valid Data-GPG'!$B$130:$F$134,MATCH('All Options'!$E$17,'Valid Data-GPG'!$B$130:$F$130,0),0)*'All Options'!$E$17)*(IF(A62&lt;=DP,A62,0))),105%*SUM($B$26:C62)))*(Output!A62&lt;=DP)
+MAX((SUM($B$26:C62)+(VLOOKUP($BA$25,'All Options'!$AB$36:$AC$46,2,0)*VLOOKUP('All Options'!$E$22,'Valid Data-GPG'!$B$130:$F$134,MATCH('All Options'!$E$17,'Valid Data-GPG'!$B$130:$F$130,0),0)*'All Options'!$E$17)*DP-D62*(A62-DP)),SUM($B$26:C62))*(A62&gt;DP))*$BA$21</f>
        <v>#N/A</v>
      </c>
      <c r="BB62" s="175">
        <f>((MAX(($AB$17+(VLOOKUP($BB$25,'All Options'!$AB$36:$AC$46,2,0)*VLOOKUP('All Options'!$E$22,'Valid Data-GPG'!$B$130:$F$134,MATCH('All Options'!$E$17,'Valid Data-GPG'!$B$130:$F$130,0),0)*'All Options'!$E$17)*(IF(A62&lt;=DP,A62,0))),105%*$AB$17))*(Output!A62&lt;=DP)+(0)*(A62&gt;DP))*$BB$21</f>
        <v>0</v>
      </c>
      <c r="BC62" s="175" t="e">
        <f>((MAX(($AB$17+(VLOOKUP($BC$25,'All Options'!$AB$36:$AC$46,2,0)*VLOOKUP('All Options'!$E$22,'Valid Data-GPG'!$B$130:$F$134,MATCH('All Options'!$E$17,'Valid Data-GPG'!$B$130:$F$130,0),0)*'All Options'!$E$17)*(IF(A62&lt;=DP,A62,0))),105%*$AB$17))*(Output!A62&lt;=DP)+
MAX(($AB$17+(VLOOKUP($BC$25,'All Options'!$AB$36:$AC$46,2,0)*VLOOKUP('All Options'!$E$22,'Valid Data-GPG'!$B$130:$F$134,MATCH('All Options'!$E$17,'Valid Data-GPG'!$B$130:$F$130,0),0)*'All Options'!$E$17)*DP-D62*(A62-DP)),$AB$17)*(A62&gt;DP))*$BC$21</f>
        <v>#N/A</v>
      </c>
      <c r="BD62" s="175">
        <f ca="1">IFERROR((MAX(($AB$17+(VLOOKUP($BD$25,'All Options'!$AB$36:$AC$46,2,0)*VLOOKUP('All Options'!$E$22,'Valid Data-GPG'!$B$130:$F$134,MATCH('All Options'!$E$17,'Valid Data-GPG'!$B$130:$F$130,0),0)*'All Options'!$E$17)*(IF(A62&lt;=DP,A62,0))),105%*$AB$17))*(Output!A62&lt;=DP)
+MAX(($AB$17+(VLOOKUP($BD$25,'All Options'!$AB$36:$AC$46,2,0)*VLOOKUP('All Options'!$E$22,'Valid Data-GPG'!$B$130:$F$134,MATCH('All Options'!$E$17,'Valid Data-GPG'!$B$130:$F$130,0),0)*'All Options'!$E$17)*DP-D62*(A62-DP)),$AB$17)*(A62&gt;DP),0)*$BD$21</f>
        <v>0</v>
      </c>
      <c r="BE62" s="66">
        <f>IFERROR((MAX(($AB$17+(VLOOKUP($BE$25,'All Options'!$AB$36:$AC$46,2,0)*VLOOKUP('All Options'!$E$22,'Valid Data-GPG'!$B$130:$F$134,MATCH('All Options'!$E$17,'Valid Data-GPG'!$B$130:$F$130,0),0)*'All Options'!$E$17)*(IF(A62&lt;=DP,A62,0))),105%*$AB$17))*(Output!A62&lt;=DP)
+(MAX($AB$17+(VLOOKUP($BE$25,'All Options'!$AB$36:$AC$46,2,0)*VLOOKUP('All Options'!$E$22,'Valid Data-GPG'!$B$130:$F$134,MATCH('All Options'!$E$17,'Valid Data-GPG'!$B$130:$F$130,0),0)*'All Options'!$E$17)*DP-AB62*(A62-DP),$AB$17)*(MAX(A62&lt;=25,K62&lt;85)))*(A62&gt;DP),0)*$BE$21</f>
        <v>0</v>
      </c>
      <c r="BF62" s="175">
        <f>IFERROR((MAX(($AB$17+(VLOOKUP($BF$25,'All Options'!$AB$36:$AC$46,2,0)*VLOOKUP('All Options'!$E$22,'Valid Data-GPG'!$B$130:$F$134,MATCH('All Options'!$E$17,'Valid Data-GPG'!$B$130:$F$130,0),0)*'All Options'!$E$17)*(IF(A62&lt;=DP,A62,0))),105%*$AB$17))*(Output!A62&lt;=DP)
+(MAX($AB$17+(VLOOKUP($BF$25,'All Options'!$AB$36:$AC$46,2,0)*VLOOKUP('All Options'!$E$22,'Valid Data-GPG'!$B$130:$F$134,MATCH('All Options'!$E$17,'Valid Data-GPG'!$B$130:$F$130,0),0)*'All Options'!$E$17)*DP-AB62*(A62-DP),$AB$17)-SUM($AF$26:AF62)*AG62)*(A62&gt;DP)*AG62,0)*$BF$21</f>
        <v>0</v>
      </c>
      <c r="BG62" s="175">
        <f t="shared" si="23"/>
        <v>0</v>
      </c>
      <c r="BH62" s="182">
        <f t="shared" si="41"/>
        <v>5000000</v>
      </c>
      <c r="BI62" s="175">
        <f t="shared" si="24"/>
        <v>0</v>
      </c>
      <c r="BJ62" s="175">
        <f t="shared" si="25"/>
        <v>0</v>
      </c>
      <c r="BK62" s="175">
        <f t="shared" si="26"/>
        <v>0</v>
      </c>
      <c r="BL62" s="175">
        <f t="shared" si="27"/>
        <v>0</v>
      </c>
      <c r="BM62" s="175">
        <f t="shared" si="28"/>
        <v>0</v>
      </c>
      <c r="BN62" s="175">
        <f t="shared" si="29"/>
        <v>0</v>
      </c>
      <c r="BO62" s="182">
        <f t="shared" si="42"/>
        <v>0</v>
      </c>
      <c r="BP62" s="182">
        <f t="shared" si="43"/>
        <v>0</v>
      </c>
      <c r="BQ62" s="182">
        <f>MAX($AB$17-SUM($AF$26:AF62),0)*$BQ$21</f>
        <v>0</v>
      </c>
      <c r="BS62" s="175">
        <f t="shared" si="44"/>
        <v>1</v>
      </c>
      <c r="BT62" s="175">
        <f>IFERROR(IF(A62&lt;=1,0,VLOOKUP(DP,'Valid Data-GPG'!$A$116:$J$122,MATCH(Output!A62,'Valid Data-GPG'!$A$116:$J$116,0),FALSE)*SUM($B$26:C62))*(A62&lt;=DP),0)*$BT$21</f>
        <v>0</v>
      </c>
      <c r="BU62" s="175">
        <f>IFERROR(IF(A62&lt;=1,0,VLOOKUP(DP,'Valid Data-GPG'!$A$116:$J$122,MATCH(Output!A62,'Valid Data-GPG'!$A$116:$J$116,0),FALSE)*SUM($B$26:C62))*(A62&lt;=DP),0)*$BU$21</f>
        <v>0</v>
      </c>
      <c r="BV62" s="175">
        <f t="shared" si="45"/>
        <v>0</v>
      </c>
      <c r="BW62" s="175">
        <f t="shared" si="11"/>
        <v>0</v>
      </c>
      <c r="BX62" s="175">
        <f t="shared" si="12"/>
        <v>0</v>
      </c>
      <c r="BY62" s="175">
        <f t="shared" si="13"/>
        <v>0</v>
      </c>
      <c r="BZ62" s="175">
        <f t="shared" si="14"/>
        <v>0</v>
      </c>
      <c r="CA62" s="175">
        <f>(INDEX('SV calc_ignore'!$J$10:$J$1341,12*Output!A62-0))*BS62</f>
        <v>0</v>
      </c>
      <c r="CB62" s="175">
        <f t="shared" si="30"/>
        <v>0</v>
      </c>
      <c r="CC62" s="175">
        <f>(INDEX('SV calc_ignore'!$J$10:$J$1341,12*Output!A62-0))*BS62</f>
        <v>0</v>
      </c>
      <c r="CD62" s="175">
        <f t="shared" si="31"/>
        <v>0</v>
      </c>
      <c r="CE62" s="66">
        <f>(INDEX('SV calc_ignore'!$J$10:$J$1341,12*Output!A62-0))*($CE$21)</f>
        <v>0</v>
      </c>
      <c r="CF62" s="175">
        <f t="shared" si="32"/>
        <v>0</v>
      </c>
      <c r="CG62" s="175">
        <f>(INDEX('SV calc_ignore'!$J$10:$J$1341,12*Output!A62-0))*($CG$21)*(A62&gt;1)</f>
        <v>0</v>
      </c>
      <c r="CH62" s="175">
        <f>(INDEX('SV calc_ignore'!$J$10:$J$1341,12*Output!A62-0))*($CH$21)*(A62&gt;1)</f>
        <v>0</v>
      </c>
      <c r="CI62" s="175"/>
      <c r="CJ62" s="66">
        <f>(INDEX('SV calc_ignore'!$J$10:$J$1341,12*Output!A62-0))*($CJ$21)*(A62&gt;1)</f>
        <v>0</v>
      </c>
      <c r="CK62" s="66">
        <f>(INDEX('SV calc_ignore'!$Q$10:$Q$1341,12*Output!A62-0))*(AND(A62&gt;1,R62&lt;20))*($CK$21)</f>
        <v>0</v>
      </c>
      <c r="CL62" s="66">
        <f t="shared" si="33"/>
        <v>0</v>
      </c>
      <c r="CM62" s="175">
        <f>((INDEX('SV calc_ignore'!$J$10:$J$1341,12*Output!A62-0))+(INDEX('SV calc_ignore'!$O$10:$O$1341,12*Output!A62-0))*(A62&lt;'SV calc_ignore'!$Q$5))*(A62&gt;1)*($CM$21)</f>
        <v>0</v>
      </c>
      <c r="CN62" s="175">
        <v>0</v>
      </c>
      <c r="CO62" s="175">
        <f>(INDEX('SV calc_ignore'!$J$10:$J$1341,12*Output!A62-0))*(A62&gt;1)*($CO$21)</f>
        <v>0</v>
      </c>
      <c r="CP62" s="175">
        <v>0</v>
      </c>
      <c r="CQ62" s="175">
        <v>0</v>
      </c>
      <c r="CR62" s="175">
        <v>0</v>
      </c>
      <c r="CS62" s="175">
        <v>0</v>
      </c>
      <c r="CT62" s="175">
        <v>0</v>
      </c>
      <c r="CU62" s="175">
        <v>0</v>
      </c>
      <c r="CV62" s="175">
        <f>(INDEX('SV calc_ignore'!$J$10:$J$1341,12*Output!A62-0))*(A62&gt;1)*($CV$21)</f>
        <v>0</v>
      </c>
      <c r="CW62" s="66">
        <f>((INDEX('SV calc_ignore'!$J$10:$J$1341,12*Output!A62-0))+(INDEX('SV calc_ignore'!$O$10:$O$1351,12*Output!A62-0))*(A62&lt;'SV calc_ignore'!$Q$5))*(A62&gt;1)*($CW$21)</f>
        <v>0</v>
      </c>
      <c r="CX62" s="175">
        <f>(INDEX('SV calc_ignore'!$J$10:$J$1341,12*Output!A62-0))*(A62&gt;1)*($CX$21)</f>
        <v>0</v>
      </c>
      <c r="CY62" s="175">
        <f>(INDEX('SV calc_ignore'!$Q$10:$Q$1341,12*Output!A62-0))*(AND(A62&gt;1,R62&lt;20))*($CY$21)</f>
        <v>0</v>
      </c>
      <c r="CZ62" s="175">
        <f t="shared" si="34"/>
        <v>0</v>
      </c>
      <c r="DE62" s="43">
        <f>IF($DE$23,0,VLOOKUP(IF(A62&lt;=DP,DJ62,DI62),SSV!$B$6:$C$116,2,FALSE)*VLOOKUP(AnnuityOption,'All Options'!$AB$36:$AC$47,2,FALSE)*VLOOKUP('All Options'!$E$22,'Valid Data-GPG'!$B$130:$F$134,MATCH('All Options'!$E$17,'Valid Data-GPG'!$B$130:$F$130,0),0)*'All Options'!$E$17)*(IF(AND(Select="Deferred Annuity",AnnuityOption="Life Annuity"),A62&lt;=DP,1))</f>
        <v>1095070.9934470321</v>
      </c>
      <c r="DF62" s="43">
        <f>IF($DF$23,0,IF($DQ$25,DQ62,IF($DR$25,DR62,VLOOKUP(IF(A62&lt;=DP,DJ62,DI62),SSV!$G$6:$H$116,2,FALSE)*SUM($B$27:B62))))</f>
        <v>3546540.5</v>
      </c>
      <c r="DG62" s="43" t="e">
        <f>IF(A62&lt;=DP,VLOOKUP(DP-A61,SSV!$T$6:$U$15,2,FALSE),1)</f>
        <v>#N/A</v>
      </c>
      <c r="DH62" s="282">
        <f t="shared" si="46"/>
        <v>4641611.4934470318</v>
      </c>
      <c r="DI62" s="43">
        <f>IF($DM$26,MIN(Age,'All Options'!$E$21)+A61,IF($DN$26,(Age+A61)-Age+60,IF($DO$26,(Age+A61)-Age+55,Age+A61)))</f>
        <v>95</v>
      </c>
      <c r="DJ62" s="279">
        <f>IF($DM$26,MIN(Age+A62,'All Options'!$E$21+A62),IF($DN$26,(Age+A62)-(Age+$A$27)+60,IF($DO$26,(Age+A62)-(Age+$A$27)+55,Age+A62)))</f>
        <v>96</v>
      </c>
      <c r="DK62" s="279"/>
      <c r="DL62" s="279"/>
      <c r="DP62" s="43">
        <f t="shared" si="35"/>
        <v>0</v>
      </c>
      <c r="DQ62" s="43">
        <f>IFERROR(VLOOKUP(IF(A62&lt;=DP,DJ62,DI62),SSV!$K$6:$L$91,2,FALSE)*SUM($B$27:B62),0)*($DQ$25)</f>
        <v>0</v>
      </c>
      <c r="DR62" s="43">
        <f>IFERROR(VLOOKUP(IF(A62&lt;=DP,DJ62,DI62),SSV!$O$6:$P$95,2,FALSE)*SUM($B$27:B62),0)*($DR$25)</f>
        <v>0</v>
      </c>
      <c r="DU62" s="175">
        <f t="shared" si="47"/>
        <v>1</v>
      </c>
    </row>
    <row r="63" spans="1:125" ht="12.75" customHeight="1" x14ac:dyDescent="0.2">
      <c r="A63" s="146">
        <f t="shared" si="48"/>
        <v>37</v>
      </c>
      <c r="B63" s="670">
        <f>IF(PremiumType="Regular Premium",'All Options'!$E$18*'All Options'!$E$22*(AND(Output!A63&lt;=PPT,A63&gt;=1)),'All Options'!$E$18*(A63=1))</f>
        <v>0</v>
      </c>
      <c r="C63" s="671"/>
      <c r="D63" s="103" t="e">
        <f>((VLOOKUP(CONCATENATE($D$14,$D$15),'All Options'!$AB$36:$AC$47,4,0)*VLOOKUP('All Options'!$E$22,'Valid Data-GPG'!$B$130:$F$134,MATCH('All Options'!$E$17,'Valid Data-GPG'!$B$130:$F$130,0),0)*'All Options'!$E$17)*IF(Select="Deferred Annuity",A63&gt;DP,1)+AE63+AF63*AG63*$AG$21)*(A63&gt;0)</f>
        <v>#N/A</v>
      </c>
      <c r="E63" s="103">
        <v>0</v>
      </c>
      <c r="F63" s="103" t="e">
        <f t="shared" si="18"/>
        <v>#N/A</v>
      </c>
      <c r="G63" s="103">
        <f t="shared" si="37"/>
        <v>0</v>
      </c>
      <c r="H63" s="285">
        <f t="shared" si="19"/>
        <v>4649269.4472016562</v>
      </c>
      <c r="I63" s="103">
        <f t="shared" si="20"/>
        <v>4649269.4472016562</v>
      </c>
      <c r="J63" s="101"/>
      <c r="K63" s="175">
        <f t="shared" si="49"/>
        <v>96</v>
      </c>
      <c r="L63" s="175"/>
      <c r="M63" s="175"/>
      <c r="N63" s="175"/>
      <c r="O63" s="175"/>
      <c r="P63" s="175"/>
      <c r="Q63" s="175"/>
      <c r="R63" s="175">
        <f t="shared" si="50"/>
        <v>0</v>
      </c>
      <c r="U63" s="162"/>
      <c r="AB63" s="175" t="e">
        <f>(VLOOKUP(CONCATENATE($D$14,$D$15),'All Options'!$AB$36:$AC$47,4,0)*VLOOKUP('All Options'!$E$22,'Valid Data-GPG'!$B$130:$F$134,MATCH('All Options'!$E$17,'Valid Data-GPG'!$B$130:$F$130,0),0)*'All Options'!$E$17)*IF(Select="Deferred Annuity",A63&gt;DP,1)*(A63&gt;0)</f>
        <v>#N/A</v>
      </c>
      <c r="AC63" s="175">
        <f t="shared" si="38"/>
        <v>0</v>
      </c>
      <c r="AD63" s="175">
        <f>SUM($AC$26:AC63)</f>
        <v>0</v>
      </c>
      <c r="AE63" s="175">
        <f t="shared" si="39"/>
        <v>0</v>
      </c>
      <c r="AF63" s="175">
        <f t="shared" si="40"/>
        <v>250000</v>
      </c>
      <c r="AG63" s="175" t="b">
        <f>(SUM($AF$26:AF63)&lt;=$AB$17)</f>
        <v>0</v>
      </c>
      <c r="AY63" s="175"/>
      <c r="AZ63" s="66">
        <f>((MAX((SUM($B$26:C63)+(VLOOKUP($AZ$25,'All Options'!$AB$36:$AC$46,2,0)*VLOOKUP('All Options'!$E$22,'Valid Data-GPG'!$B$130:$F$134,MATCH('All Options'!$E$17,'Valid Data-GPG'!$B$130:$F$130,0),0)*'All Options'!$E$17)*(IF(A63&lt;=DP,A63,0))),105%*SUM($B$26:C63)))*(AND(A63&lt;&gt;0,Output!A63&lt;=DP))+(0)*(A63&gt;DP))*$AZ$21</f>
        <v>0</v>
      </c>
      <c r="BA63" s="175" t="e">
        <f>((MAX((SUM($B$26:C63)+(VLOOKUP($BA$25,'All Options'!$AB$36:$AC$46,2,0)*VLOOKUP('All Options'!$E$22,'Valid Data-GPG'!$B$130:$F$134,MATCH('All Options'!$E$17,'Valid Data-GPG'!$B$130:$F$130,0),0)*'All Options'!$E$17)*(IF(A63&lt;=DP,A63,0))),105%*SUM($B$26:C63)))*(Output!A63&lt;=DP)
+MAX((SUM($B$26:C63)+(VLOOKUP($BA$25,'All Options'!$AB$36:$AC$46,2,0)*VLOOKUP('All Options'!$E$22,'Valid Data-GPG'!$B$130:$F$134,MATCH('All Options'!$E$17,'Valid Data-GPG'!$B$130:$F$130,0),0)*'All Options'!$E$17)*DP-D63*(A63-DP)),SUM($B$26:C63))*(A63&gt;DP))*$BA$21</f>
        <v>#N/A</v>
      </c>
      <c r="BB63" s="175">
        <f>((MAX(($AB$17+(VLOOKUP($BB$25,'All Options'!$AB$36:$AC$46,2,0)*VLOOKUP('All Options'!$E$22,'Valid Data-GPG'!$B$130:$F$134,MATCH('All Options'!$E$17,'Valid Data-GPG'!$B$130:$F$130,0),0)*'All Options'!$E$17)*(IF(A63&lt;=DP,A63,0))),105%*$AB$17))*(Output!A63&lt;=DP)+(0)*(A63&gt;DP))*$BB$21</f>
        <v>0</v>
      </c>
      <c r="BC63" s="175" t="e">
        <f>((MAX(($AB$17+(VLOOKUP($BC$25,'All Options'!$AB$36:$AC$46,2,0)*VLOOKUP('All Options'!$E$22,'Valid Data-GPG'!$B$130:$F$134,MATCH('All Options'!$E$17,'Valid Data-GPG'!$B$130:$F$130,0),0)*'All Options'!$E$17)*(IF(A63&lt;=DP,A63,0))),105%*$AB$17))*(Output!A63&lt;=DP)+
MAX(($AB$17+(VLOOKUP($BC$25,'All Options'!$AB$36:$AC$46,2,0)*VLOOKUP('All Options'!$E$22,'Valid Data-GPG'!$B$130:$F$134,MATCH('All Options'!$E$17,'Valid Data-GPG'!$B$130:$F$130,0),0)*'All Options'!$E$17)*DP-D63*(A63-DP)),$AB$17)*(A63&gt;DP))*$BC$21</f>
        <v>#N/A</v>
      </c>
      <c r="BD63" s="175">
        <f ca="1">IFERROR((MAX(($AB$17+(VLOOKUP($BD$25,'All Options'!$AB$36:$AC$46,2,0)*VLOOKUP('All Options'!$E$22,'Valid Data-GPG'!$B$130:$F$134,MATCH('All Options'!$E$17,'Valid Data-GPG'!$B$130:$F$130,0),0)*'All Options'!$E$17)*(IF(A63&lt;=DP,A63,0))),105%*$AB$17))*(Output!A63&lt;=DP)
+MAX(($AB$17+(VLOOKUP($BD$25,'All Options'!$AB$36:$AC$46,2,0)*VLOOKUP('All Options'!$E$22,'Valid Data-GPG'!$B$130:$F$134,MATCH('All Options'!$E$17,'Valid Data-GPG'!$B$130:$F$130,0),0)*'All Options'!$E$17)*DP-D63*(A63-DP)),$AB$17)*(A63&gt;DP),0)*$BD$21</f>
        <v>0</v>
      </c>
      <c r="BE63" s="66">
        <f>IFERROR((MAX(($AB$17+(VLOOKUP($BE$25,'All Options'!$AB$36:$AC$46,2,0)*VLOOKUP('All Options'!$E$22,'Valid Data-GPG'!$B$130:$F$134,MATCH('All Options'!$E$17,'Valid Data-GPG'!$B$130:$F$130,0),0)*'All Options'!$E$17)*(IF(A63&lt;=DP,A63,0))),105%*$AB$17))*(Output!A63&lt;=DP)
+(MAX($AB$17+(VLOOKUP($BE$25,'All Options'!$AB$36:$AC$46,2,0)*VLOOKUP('All Options'!$E$22,'Valid Data-GPG'!$B$130:$F$134,MATCH('All Options'!$E$17,'Valid Data-GPG'!$B$130:$F$130,0),0)*'All Options'!$E$17)*DP-AB63*(A63-DP),$AB$17)*(MAX(A63&lt;=25,K63&lt;85)))*(A63&gt;DP),0)*$BE$21</f>
        <v>0</v>
      </c>
      <c r="BF63" s="175">
        <f>IFERROR((MAX(($AB$17+(VLOOKUP($BF$25,'All Options'!$AB$36:$AC$46,2,0)*VLOOKUP('All Options'!$E$22,'Valid Data-GPG'!$B$130:$F$134,MATCH('All Options'!$E$17,'Valid Data-GPG'!$B$130:$F$130,0),0)*'All Options'!$E$17)*(IF(A63&lt;=DP,A63,0))),105%*$AB$17))*(Output!A63&lt;=DP)
+(MAX($AB$17+(VLOOKUP($BF$25,'All Options'!$AB$36:$AC$46,2,0)*VLOOKUP('All Options'!$E$22,'Valid Data-GPG'!$B$130:$F$134,MATCH('All Options'!$E$17,'Valid Data-GPG'!$B$130:$F$130,0),0)*'All Options'!$E$17)*DP-AB63*(A63-DP),$AB$17)-SUM($AF$26:AF63)*AG63)*(A63&gt;DP)*AG63,0)*$BF$21</f>
        <v>0</v>
      </c>
      <c r="BG63" s="175">
        <f t="shared" si="23"/>
        <v>0</v>
      </c>
      <c r="BH63" s="182">
        <f t="shared" si="41"/>
        <v>5000000</v>
      </c>
      <c r="BI63" s="175">
        <f t="shared" si="24"/>
        <v>0</v>
      </c>
      <c r="BJ63" s="175">
        <f t="shared" si="25"/>
        <v>0</v>
      </c>
      <c r="BK63" s="175">
        <f t="shared" si="26"/>
        <v>0</v>
      </c>
      <c r="BL63" s="175">
        <f t="shared" si="27"/>
        <v>0</v>
      </c>
      <c r="BM63" s="175">
        <f t="shared" si="28"/>
        <v>0</v>
      </c>
      <c r="BN63" s="175">
        <f t="shared" si="29"/>
        <v>0</v>
      </c>
      <c r="BO63" s="182">
        <f t="shared" si="42"/>
        <v>0</v>
      </c>
      <c r="BP63" s="182">
        <f t="shared" si="43"/>
        <v>0</v>
      </c>
      <c r="BQ63" s="182">
        <f>MAX($AB$17-SUM($AF$26:AF63),0)*$BQ$21</f>
        <v>0</v>
      </c>
      <c r="BS63" s="175">
        <f t="shared" si="44"/>
        <v>1</v>
      </c>
      <c r="BT63" s="175">
        <f>IFERROR(IF(A63&lt;=1,0,VLOOKUP(DP,'Valid Data-GPG'!$A$116:$J$122,MATCH(Output!A63,'Valid Data-GPG'!$A$116:$J$116,0),FALSE)*SUM($B$26:C63))*(A63&lt;=DP),0)*$BT$21</f>
        <v>0</v>
      </c>
      <c r="BU63" s="175">
        <f>IFERROR(IF(A63&lt;=1,0,VLOOKUP(DP,'Valid Data-GPG'!$A$116:$J$122,MATCH(Output!A63,'Valid Data-GPG'!$A$116:$J$116,0),FALSE)*SUM($B$26:C63))*(A63&lt;=DP),0)*$BU$21</f>
        <v>0</v>
      </c>
      <c r="BV63" s="175">
        <f t="shared" si="45"/>
        <v>0</v>
      </c>
      <c r="BW63" s="175">
        <f t="shared" si="11"/>
        <v>0</v>
      </c>
      <c r="BX63" s="175">
        <f t="shared" si="12"/>
        <v>0</v>
      </c>
      <c r="BY63" s="175">
        <f t="shared" si="13"/>
        <v>0</v>
      </c>
      <c r="BZ63" s="175">
        <f t="shared" si="14"/>
        <v>0</v>
      </c>
      <c r="CA63" s="175">
        <f>(INDEX('SV calc_ignore'!$J$10:$J$1341,12*Output!A63-0))*BS63</f>
        <v>0</v>
      </c>
      <c r="CB63" s="175">
        <f t="shared" si="30"/>
        <v>0</v>
      </c>
      <c r="CC63" s="175">
        <f>(INDEX('SV calc_ignore'!$J$10:$J$1341,12*Output!A63-0))*BS63</f>
        <v>0</v>
      </c>
      <c r="CD63" s="175">
        <f t="shared" si="31"/>
        <v>0</v>
      </c>
      <c r="CE63" s="66">
        <f>(INDEX('SV calc_ignore'!$J$10:$J$1341,12*Output!A63-0))*($CE$21)</f>
        <v>0</v>
      </c>
      <c r="CF63" s="175">
        <f t="shared" si="32"/>
        <v>0</v>
      </c>
      <c r="CG63" s="175">
        <f>(INDEX('SV calc_ignore'!$J$10:$J$1341,12*Output!A63-0))*($CG$21)*(A63&gt;1)</f>
        <v>0</v>
      </c>
      <c r="CH63" s="175">
        <f>(INDEX('SV calc_ignore'!$J$10:$J$1341,12*Output!A63-0))*($CH$21)*(A63&gt;1)</f>
        <v>0</v>
      </c>
      <c r="CI63" s="175"/>
      <c r="CJ63" s="66">
        <f>(INDEX('SV calc_ignore'!$J$10:$J$1341,12*Output!A63-0))*($CJ$21)*(A63&gt;1)</f>
        <v>0</v>
      </c>
      <c r="CK63" s="66">
        <f>(INDEX('SV calc_ignore'!$Q$10:$Q$1341,12*Output!A63-0))*(AND(A63&gt;1,R63&lt;20))*($CK$21)</f>
        <v>0</v>
      </c>
      <c r="CL63" s="66">
        <f t="shared" si="33"/>
        <v>0</v>
      </c>
      <c r="CM63" s="175">
        <f>((INDEX('SV calc_ignore'!$J$10:$J$1341,12*Output!A63-0))+(INDEX('SV calc_ignore'!$O$10:$O$1341,12*Output!A63-0))*(A63&lt;'SV calc_ignore'!$Q$5))*(A63&gt;1)*($CM$21)</f>
        <v>0</v>
      </c>
      <c r="CN63" s="175">
        <v>0</v>
      </c>
      <c r="CO63" s="175">
        <f>(INDEX('SV calc_ignore'!$J$10:$J$1341,12*Output!A63-0))*(A63&gt;1)*($CO$21)</f>
        <v>0</v>
      </c>
      <c r="CP63" s="175">
        <v>0</v>
      </c>
      <c r="CQ63" s="175">
        <v>0</v>
      </c>
      <c r="CR63" s="175">
        <v>0</v>
      </c>
      <c r="CS63" s="175">
        <v>0</v>
      </c>
      <c r="CT63" s="175">
        <v>0</v>
      </c>
      <c r="CU63" s="175">
        <v>0</v>
      </c>
      <c r="CV63" s="175">
        <f>(INDEX('SV calc_ignore'!$J$10:$J$1341,12*Output!A63-0))*(A63&gt;1)*($CV$21)</f>
        <v>0</v>
      </c>
      <c r="CW63" s="66">
        <f>((INDEX('SV calc_ignore'!$J$10:$J$1341,12*Output!A63-0))+(INDEX('SV calc_ignore'!$O$10:$O$1351,12*Output!A63-0))*(A63&lt;'SV calc_ignore'!$Q$5))*(A63&gt;1)*($CW$21)</f>
        <v>0</v>
      </c>
      <c r="CX63" s="175">
        <f>(INDEX('SV calc_ignore'!$J$10:$J$1341,12*Output!A63-0))*(A63&gt;1)*($CX$21)</f>
        <v>0</v>
      </c>
      <c r="CY63" s="175">
        <f>(INDEX('SV calc_ignore'!$Q$10:$Q$1341,12*Output!A63-0))*(AND(A63&gt;1,R63&lt;20))*($CY$21)</f>
        <v>0</v>
      </c>
      <c r="CZ63" s="175">
        <f t="shared" si="34"/>
        <v>0</v>
      </c>
      <c r="DE63" s="43">
        <f>IF($DE$23,0,VLOOKUP(IF(A63&lt;=DP,DJ63,DI63),SSV!$B$6:$C$116,2,FALSE)*VLOOKUP(AnnuityOption,'All Options'!$AB$36:$AC$47,2,FALSE)*VLOOKUP('All Options'!$E$22,'Valid Data-GPG'!$B$130:$F$134,MATCH('All Options'!$E$17,'Valid Data-GPG'!$B$130:$F$130,0),0)*'All Options'!$E$17)*(IF(AND(Select="Deferred Annuity",AnnuityOption="Life Annuity"),A63&lt;=DP,1))</f>
        <v>1051378.4472016562</v>
      </c>
      <c r="DF63" s="43">
        <f>IF($DF$23,0,IF($DQ$25,DQ63,IF($DR$25,DR63,VLOOKUP(IF(A63&lt;=DP,DJ63,DI63),SSV!$G$6:$H$116,2,FALSE)*SUM($B$27:B63))))</f>
        <v>3597890.9999999995</v>
      </c>
      <c r="DG63" s="43" t="e">
        <f>IF(A63&lt;=DP,VLOOKUP(DP-A62,SSV!$T$6:$U$15,2,FALSE),1)</f>
        <v>#N/A</v>
      </c>
      <c r="DH63" s="282">
        <f t="shared" si="46"/>
        <v>4649269.4472016562</v>
      </c>
      <c r="DI63" s="43">
        <f>IF($DM$26,MIN(Age,'All Options'!$E$21)+A62,IF($DN$26,(Age+A62)-Age+60,IF($DO$26,(Age+A62)-Age+55,Age+A62)))</f>
        <v>96</v>
      </c>
      <c r="DJ63" s="279">
        <f>IF($DM$26,MIN(Age+A63,'All Options'!$E$21+A63),IF($DN$26,(Age+A63)-(Age+$A$27)+60,IF($DO$26,(Age+A63)-(Age+$A$27)+55,Age+A63)))</f>
        <v>97</v>
      </c>
      <c r="DK63" s="279"/>
      <c r="DL63" s="279"/>
      <c r="DP63" s="43">
        <f t="shared" si="35"/>
        <v>0</v>
      </c>
      <c r="DQ63" s="43">
        <f>IFERROR(VLOOKUP(IF(A63&lt;=DP,DJ63,DI63),SSV!$K$6:$L$91,2,FALSE)*SUM($B$27:B63),0)*($DQ$25)</f>
        <v>0</v>
      </c>
      <c r="DR63" s="43">
        <f>IFERROR(VLOOKUP(IF(A63&lt;=DP,DJ63,DI63),SSV!$O$6:$P$95,2,FALSE)*SUM($B$27:B63),0)*($DR$25)</f>
        <v>0</v>
      </c>
      <c r="DU63" s="175">
        <f t="shared" si="47"/>
        <v>1</v>
      </c>
    </row>
    <row r="64" spans="1:125" ht="12.75" customHeight="1" x14ac:dyDescent="0.2">
      <c r="A64" s="146">
        <f t="shared" si="48"/>
        <v>38</v>
      </c>
      <c r="B64" s="670">
        <f>IF(PremiumType="Regular Premium",'All Options'!$E$18*'All Options'!$E$22*(AND(Output!A64&lt;=PPT,A64&gt;=1)),'All Options'!$E$18*(A64=1))</f>
        <v>0</v>
      </c>
      <c r="C64" s="671"/>
      <c r="D64" s="103" t="e">
        <f>((VLOOKUP(CONCATENATE($D$14,$D$15),'All Options'!$AB$36:$AC$47,4,0)*VLOOKUP('All Options'!$E$22,'Valid Data-GPG'!$B$130:$F$134,MATCH('All Options'!$E$17,'Valid Data-GPG'!$B$130:$F$130,0),0)*'All Options'!$E$17)*IF(Select="Deferred Annuity",A64&gt;DP,1)+AE64+AF64*AG64*$AG$21)*(A64&gt;0)</f>
        <v>#N/A</v>
      </c>
      <c r="E64" s="103">
        <v>0</v>
      </c>
      <c r="F64" s="103" t="e">
        <f t="shared" si="18"/>
        <v>#N/A</v>
      </c>
      <c r="G64" s="103">
        <f t="shared" si="37"/>
        <v>0</v>
      </c>
      <c r="H64" s="285">
        <f t="shared" si="19"/>
        <v>4656879.8642695211</v>
      </c>
      <c r="I64" s="103">
        <f t="shared" si="20"/>
        <v>4656879.8642695211</v>
      </c>
      <c r="J64" s="101"/>
      <c r="K64" s="175">
        <f t="shared" si="49"/>
        <v>97</v>
      </c>
      <c r="L64" s="175"/>
      <c r="M64" s="175"/>
      <c r="N64" s="175"/>
      <c r="O64" s="175"/>
      <c r="P64" s="175"/>
      <c r="Q64" s="175"/>
      <c r="R64" s="175">
        <f t="shared" si="50"/>
        <v>0</v>
      </c>
      <c r="U64" s="162"/>
      <c r="AB64" s="175" t="e">
        <f>(VLOOKUP(CONCATENATE($D$14,$D$15),'All Options'!$AB$36:$AC$47,4,0)*VLOOKUP('All Options'!$E$22,'Valid Data-GPG'!$B$130:$F$134,MATCH('All Options'!$E$17,'Valid Data-GPG'!$B$130:$F$130,0),0)*'All Options'!$E$17)*IF(Select="Deferred Annuity",A64&gt;DP,1)*(A64&gt;0)</f>
        <v>#N/A</v>
      </c>
      <c r="AC64" s="175">
        <f t="shared" si="38"/>
        <v>0</v>
      </c>
      <c r="AD64" s="175">
        <f>SUM($AC$26:AC64)</f>
        <v>0</v>
      </c>
      <c r="AE64" s="175">
        <f t="shared" si="39"/>
        <v>0</v>
      </c>
      <c r="AF64" s="175">
        <f t="shared" si="40"/>
        <v>250000</v>
      </c>
      <c r="AG64" s="175" t="b">
        <f>(SUM($AF$26:AF64)&lt;=$AB$17)</f>
        <v>0</v>
      </c>
      <c r="AY64" s="175"/>
      <c r="AZ64" s="66">
        <f>((MAX((SUM($B$26:C64)+(VLOOKUP($AZ$25,'All Options'!$AB$36:$AC$46,2,0)*VLOOKUP('All Options'!$E$22,'Valid Data-GPG'!$B$130:$F$134,MATCH('All Options'!$E$17,'Valid Data-GPG'!$B$130:$F$130,0),0)*'All Options'!$E$17)*(IF(A64&lt;=DP,A64,0))),105%*SUM($B$26:C64)))*(AND(A64&lt;&gt;0,Output!A64&lt;=DP))+(0)*(A64&gt;DP))*$AZ$21</f>
        <v>0</v>
      </c>
      <c r="BA64" s="175" t="e">
        <f>((MAX((SUM($B$26:C64)+(VLOOKUP($BA$25,'All Options'!$AB$36:$AC$46,2,0)*VLOOKUP('All Options'!$E$22,'Valid Data-GPG'!$B$130:$F$134,MATCH('All Options'!$E$17,'Valid Data-GPG'!$B$130:$F$130,0),0)*'All Options'!$E$17)*(IF(A64&lt;=DP,A64,0))),105%*SUM($B$26:C64)))*(Output!A64&lt;=DP)
+MAX((SUM($B$26:C64)+(VLOOKUP($BA$25,'All Options'!$AB$36:$AC$46,2,0)*VLOOKUP('All Options'!$E$22,'Valid Data-GPG'!$B$130:$F$134,MATCH('All Options'!$E$17,'Valid Data-GPG'!$B$130:$F$130,0),0)*'All Options'!$E$17)*DP-D64*(A64-DP)),SUM($B$26:C64))*(A64&gt;DP))*$BA$21</f>
        <v>#N/A</v>
      </c>
      <c r="BB64" s="175">
        <f>((MAX(($AB$17+(VLOOKUP($BB$25,'All Options'!$AB$36:$AC$46,2,0)*VLOOKUP('All Options'!$E$22,'Valid Data-GPG'!$B$130:$F$134,MATCH('All Options'!$E$17,'Valid Data-GPG'!$B$130:$F$130,0),0)*'All Options'!$E$17)*(IF(A64&lt;=DP,A64,0))),105%*$AB$17))*(Output!A64&lt;=DP)+(0)*(A64&gt;DP))*$BB$21</f>
        <v>0</v>
      </c>
      <c r="BC64" s="175" t="e">
        <f>((MAX(($AB$17+(VLOOKUP($BC$25,'All Options'!$AB$36:$AC$46,2,0)*VLOOKUP('All Options'!$E$22,'Valid Data-GPG'!$B$130:$F$134,MATCH('All Options'!$E$17,'Valid Data-GPG'!$B$130:$F$130,0),0)*'All Options'!$E$17)*(IF(A64&lt;=DP,A64,0))),105%*$AB$17))*(Output!A64&lt;=DP)+
MAX(($AB$17+(VLOOKUP($BC$25,'All Options'!$AB$36:$AC$46,2,0)*VLOOKUP('All Options'!$E$22,'Valid Data-GPG'!$B$130:$F$134,MATCH('All Options'!$E$17,'Valid Data-GPG'!$B$130:$F$130,0),0)*'All Options'!$E$17)*DP-D64*(A64-DP)),$AB$17)*(A64&gt;DP))*$BC$21</f>
        <v>#N/A</v>
      </c>
      <c r="BD64" s="175">
        <f ca="1">IFERROR((MAX(($AB$17+(VLOOKUP($BD$25,'All Options'!$AB$36:$AC$46,2,0)*VLOOKUP('All Options'!$E$22,'Valid Data-GPG'!$B$130:$F$134,MATCH('All Options'!$E$17,'Valid Data-GPG'!$B$130:$F$130,0),0)*'All Options'!$E$17)*(IF(A64&lt;=DP,A64,0))),105%*$AB$17))*(Output!A64&lt;=DP)
+MAX(($AB$17+(VLOOKUP($BD$25,'All Options'!$AB$36:$AC$46,2,0)*VLOOKUP('All Options'!$E$22,'Valid Data-GPG'!$B$130:$F$134,MATCH('All Options'!$E$17,'Valid Data-GPG'!$B$130:$F$130,0),0)*'All Options'!$E$17)*DP-D64*(A64-DP)),$AB$17)*(A64&gt;DP),0)*$BD$21</f>
        <v>0</v>
      </c>
      <c r="BE64" s="66">
        <f>IFERROR((MAX(($AB$17+(VLOOKUP($BE$25,'All Options'!$AB$36:$AC$46,2,0)*VLOOKUP('All Options'!$E$22,'Valid Data-GPG'!$B$130:$F$134,MATCH('All Options'!$E$17,'Valid Data-GPG'!$B$130:$F$130,0),0)*'All Options'!$E$17)*(IF(A64&lt;=DP,A64,0))),105%*$AB$17))*(Output!A64&lt;=DP)
+(MAX($AB$17+(VLOOKUP($BE$25,'All Options'!$AB$36:$AC$46,2,0)*VLOOKUP('All Options'!$E$22,'Valid Data-GPG'!$B$130:$F$134,MATCH('All Options'!$E$17,'Valid Data-GPG'!$B$130:$F$130,0),0)*'All Options'!$E$17)*DP-AB64*(A64-DP),$AB$17)*(MAX(A64&lt;=25,K64&lt;85)))*(A64&gt;DP),0)*$BE$21</f>
        <v>0</v>
      </c>
      <c r="BF64" s="175">
        <f>IFERROR((MAX(($AB$17+(VLOOKUP($BF$25,'All Options'!$AB$36:$AC$46,2,0)*VLOOKUP('All Options'!$E$22,'Valid Data-GPG'!$B$130:$F$134,MATCH('All Options'!$E$17,'Valid Data-GPG'!$B$130:$F$130,0),0)*'All Options'!$E$17)*(IF(A64&lt;=DP,A64,0))),105%*$AB$17))*(Output!A64&lt;=DP)
+(MAX($AB$17+(VLOOKUP($BF$25,'All Options'!$AB$36:$AC$46,2,0)*VLOOKUP('All Options'!$E$22,'Valid Data-GPG'!$B$130:$F$134,MATCH('All Options'!$E$17,'Valid Data-GPG'!$B$130:$F$130,0),0)*'All Options'!$E$17)*DP-AB64*(A64-DP),$AB$17)-SUM($AF$26:AF64)*AG64)*(A64&gt;DP)*AG64,0)*$BF$21</f>
        <v>0</v>
      </c>
      <c r="BG64" s="175">
        <f t="shared" si="23"/>
        <v>0</v>
      </c>
      <c r="BH64" s="182">
        <f t="shared" si="41"/>
        <v>5000000</v>
      </c>
      <c r="BI64" s="175">
        <f t="shared" si="24"/>
        <v>0</v>
      </c>
      <c r="BJ64" s="175">
        <f t="shared" si="25"/>
        <v>0</v>
      </c>
      <c r="BK64" s="175">
        <f t="shared" si="26"/>
        <v>0</v>
      </c>
      <c r="BL64" s="175">
        <f t="shared" si="27"/>
        <v>0</v>
      </c>
      <c r="BM64" s="175">
        <f t="shared" si="28"/>
        <v>0</v>
      </c>
      <c r="BN64" s="175">
        <f t="shared" si="29"/>
        <v>0</v>
      </c>
      <c r="BO64" s="182">
        <f t="shared" si="42"/>
        <v>0</v>
      </c>
      <c r="BP64" s="182">
        <f t="shared" si="43"/>
        <v>0</v>
      </c>
      <c r="BQ64" s="182">
        <f>MAX($AB$17-SUM($AF$26:AF64),0)*$BQ$21</f>
        <v>0</v>
      </c>
      <c r="BS64" s="175">
        <f t="shared" si="44"/>
        <v>1</v>
      </c>
      <c r="BT64" s="175">
        <f>IFERROR(IF(A64&lt;=1,0,VLOOKUP(DP,'Valid Data-GPG'!$A$116:$J$122,MATCH(Output!A64,'Valid Data-GPG'!$A$116:$J$116,0),FALSE)*SUM($B$26:C64))*(A64&lt;=DP),0)*$BT$21</f>
        <v>0</v>
      </c>
      <c r="BU64" s="175">
        <f>IFERROR(IF(A64&lt;=1,0,VLOOKUP(DP,'Valid Data-GPG'!$A$116:$J$122,MATCH(Output!A64,'Valid Data-GPG'!$A$116:$J$116,0),FALSE)*SUM($B$26:C64))*(A64&lt;=DP),0)*$BU$21</f>
        <v>0</v>
      </c>
      <c r="BV64" s="175">
        <f t="shared" si="45"/>
        <v>0</v>
      </c>
      <c r="BW64" s="175">
        <f t="shared" si="11"/>
        <v>0</v>
      </c>
      <c r="BX64" s="175">
        <f t="shared" si="12"/>
        <v>0</v>
      </c>
      <c r="BY64" s="175">
        <f t="shared" si="13"/>
        <v>0</v>
      </c>
      <c r="BZ64" s="175">
        <f t="shared" si="14"/>
        <v>0</v>
      </c>
      <c r="CA64" s="175">
        <f>(INDEX('SV calc_ignore'!$J$10:$J$1341,12*Output!A64-0))*BS64</f>
        <v>0</v>
      </c>
      <c r="CB64" s="175">
        <f t="shared" si="30"/>
        <v>0</v>
      </c>
      <c r="CC64" s="175">
        <f>(INDEX('SV calc_ignore'!$J$10:$J$1341,12*Output!A64-0))*BS64</f>
        <v>0</v>
      </c>
      <c r="CD64" s="175">
        <f t="shared" si="31"/>
        <v>0</v>
      </c>
      <c r="CE64" s="66">
        <f>(INDEX('SV calc_ignore'!$J$10:$J$1341,12*Output!A64-0))*($CE$21)</f>
        <v>0</v>
      </c>
      <c r="CF64" s="175">
        <f t="shared" si="32"/>
        <v>0</v>
      </c>
      <c r="CG64" s="175">
        <f>(INDEX('SV calc_ignore'!$J$10:$J$1341,12*Output!A64-0))*($CG$21)*(A64&gt;1)</f>
        <v>0</v>
      </c>
      <c r="CH64" s="175">
        <f>(INDEX('SV calc_ignore'!$J$10:$J$1341,12*Output!A64-0))*($CH$21)*(A64&gt;1)</f>
        <v>0</v>
      </c>
      <c r="CI64" s="175"/>
      <c r="CJ64" s="66">
        <f>(INDEX('SV calc_ignore'!$J$10:$J$1341,12*Output!A64-0))*($CJ$21)*(A64&gt;1)</f>
        <v>0</v>
      </c>
      <c r="CK64" s="66">
        <f>(INDEX('SV calc_ignore'!$Q$10:$Q$1341,12*Output!A64-0))*(AND(A64&gt;1,R64&lt;20))*($CK$21)</f>
        <v>0</v>
      </c>
      <c r="CL64" s="66">
        <f t="shared" si="33"/>
        <v>0</v>
      </c>
      <c r="CM64" s="175">
        <f>((INDEX('SV calc_ignore'!$J$10:$J$1341,12*Output!A64-0))+(INDEX('SV calc_ignore'!$O$10:$O$1341,12*Output!A64-0))*(A64&lt;'SV calc_ignore'!$Q$5))*(A64&gt;1)*($CM$21)</f>
        <v>0</v>
      </c>
      <c r="CN64" s="175">
        <v>0</v>
      </c>
      <c r="CO64" s="175">
        <f>(INDEX('SV calc_ignore'!$J$10:$J$1341,12*Output!A64-0))*(A64&gt;1)*($CO$21)</f>
        <v>0</v>
      </c>
      <c r="CP64" s="175">
        <v>0</v>
      </c>
      <c r="CQ64" s="175">
        <v>0</v>
      </c>
      <c r="CR64" s="175">
        <v>0</v>
      </c>
      <c r="CS64" s="175">
        <v>0</v>
      </c>
      <c r="CT64" s="175">
        <v>0</v>
      </c>
      <c r="CU64" s="175">
        <v>0</v>
      </c>
      <c r="CV64" s="175">
        <f>(INDEX('SV calc_ignore'!$J$10:$J$1341,12*Output!A64-0))*(A64&gt;1)*($CV$21)</f>
        <v>0</v>
      </c>
      <c r="CW64" s="66">
        <f>((INDEX('SV calc_ignore'!$J$10:$J$1341,12*Output!A64-0))+(INDEX('SV calc_ignore'!$O$10:$O$1351,12*Output!A64-0))*(A64&lt;'SV calc_ignore'!$Q$5))*(A64&gt;1)*($CW$21)</f>
        <v>0</v>
      </c>
      <c r="CX64" s="175">
        <f>(INDEX('SV calc_ignore'!$J$10:$J$1341,12*Output!A64-0))*(A64&gt;1)*($CX$21)</f>
        <v>0</v>
      </c>
      <c r="CY64" s="175">
        <f>(INDEX('SV calc_ignore'!$Q$10:$Q$1341,12*Output!A64-0))*(AND(A64&gt;1,R64&lt;20))*($CY$21)</f>
        <v>0</v>
      </c>
      <c r="CZ64" s="175">
        <f t="shared" si="34"/>
        <v>0</v>
      </c>
      <c r="DE64" s="43">
        <f>IF($DE$23,0,VLOOKUP(IF(A64&lt;=DP,DJ64,DI64),SSV!$B$6:$C$116,2,FALSE)*VLOOKUP(AnnuityOption,'All Options'!$AB$36:$AC$47,2,FALSE)*VLOOKUP('All Options'!$E$22,'Valid Data-GPG'!$B$130:$F$134,MATCH('All Options'!$E$17,'Valid Data-GPG'!$B$130:$F$130,0),0)*'All Options'!$E$17)*(IF(AND(Select="Deferred Annuity",AnnuityOption="Life Annuity"),A64&lt;=DP,1))</f>
        <v>1008710.3642695211</v>
      </c>
      <c r="DF64" s="43">
        <f>IF($DF$23,0,IF($DQ$25,DQ64,IF($DR$25,DR64,VLOOKUP(IF(A64&lt;=DP,DJ64,DI64),SSV!$G$6:$H$116,2,FALSE)*SUM($B$27:B64))))</f>
        <v>3648169.4999999995</v>
      </c>
      <c r="DG64" s="43" t="e">
        <f>IF(A64&lt;=DP,VLOOKUP(DP-A63,SSV!$T$6:$U$15,2,FALSE),1)</f>
        <v>#N/A</v>
      </c>
      <c r="DH64" s="282">
        <f t="shared" si="46"/>
        <v>4656879.8642695211</v>
      </c>
      <c r="DI64" s="43">
        <f>IF($DM$26,MIN(Age,'All Options'!$E$21)+A63,IF($DN$26,(Age+A63)-Age+60,IF($DO$26,(Age+A63)-Age+55,Age+A63)))</f>
        <v>97</v>
      </c>
      <c r="DJ64" s="279">
        <f>IF($DM$26,MIN(Age+A64,'All Options'!$E$21+A64),IF($DN$26,(Age+A64)-(Age+$A$27)+60,IF($DO$26,(Age+A64)-(Age+$A$27)+55,Age+A64)))</f>
        <v>98</v>
      </c>
      <c r="DK64" s="279"/>
      <c r="DL64" s="279"/>
      <c r="DP64" s="43">
        <f t="shared" si="35"/>
        <v>0</v>
      </c>
      <c r="DQ64" s="43">
        <f>IFERROR(VLOOKUP(IF(A64&lt;=DP,DJ64,DI64),SSV!$K$6:$L$91,2,FALSE)*SUM($B$27:B64),0)*($DQ$25)</f>
        <v>0</v>
      </c>
      <c r="DR64" s="43">
        <f>IFERROR(VLOOKUP(IF(A64&lt;=DP,DJ64,DI64),SSV!$O$6:$P$95,2,FALSE)*SUM($B$27:B64),0)*($DR$25)</f>
        <v>0</v>
      </c>
      <c r="DU64" s="175">
        <f t="shared" si="47"/>
        <v>1</v>
      </c>
    </row>
    <row r="65" spans="1:125" ht="12.75" customHeight="1" x14ac:dyDescent="0.2">
      <c r="A65" s="146">
        <f t="shared" si="48"/>
        <v>39</v>
      </c>
      <c r="B65" s="670">
        <f>IF(PremiumType="Regular Premium",'All Options'!$E$18*'All Options'!$E$22*(AND(Output!A65&lt;=PPT,A65&gt;=1)),'All Options'!$E$18*(A65=1))</f>
        <v>0</v>
      </c>
      <c r="C65" s="671"/>
      <c r="D65" s="103" t="e">
        <f>((VLOOKUP(CONCATENATE($D$14,$D$15),'All Options'!$AB$36:$AC$47,4,0)*VLOOKUP('All Options'!$E$22,'Valid Data-GPG'!$B$130:$F$134,MATCH('All Options'!$E$17,'Valid Data-GPG'!$B$130:$F$130,0),0)*'All Options'!$E$17)*IF(Select="Deferred Annuity",A65&gt;DP,1)+AE65+AF65*AG65*$AG$21)*(A65&gt;0)</f>
        <v>#N/A</v>
      </c>
      <c r="E65" s="103">
        <v>0</v>
      </c>
      <c r="F65" s="103" t="e">
        <f t="shared" si="18"/>
        <v>#N/A</v>
      </c>
      <c r="G65" s="103">
        <f t="shared" si="37"/>
        <v>0</v>
      </c>
      <c r="H65" s="285">
        <f t="shared" si="19"/>
        <v>4664518.9796102475</v>
      </c>
      <c r="I65" s="103">
        <f t="shared" si="20"/>
        <v>4664518.9796102475</v>
      </c>
      <c r="J65" s="101"/>
      <c r="K65" s="175">
        <f t="shared" si="49"/>
        <v>98</v>
      </c>
      <c r="L65" s="175"/>
      <c r="M65" s="175"/>
      <c r="N65" s="175"/>
      <c r="O65" s="175"/>
      <c r="P65" s="175"/>
      <c r="Q65" s="175"/>
      <c r="R65" s="175">
        <f t="shared" si="50"/>
        <v>0</v>
      </c>
      <c r="U65" s="162"/>
      <c r="AB65" s="175" t="e">
        <f>(VLOOKUP(CONCATENATE($D$14,$D$15),'All Options'!$AB$36:$AC$47,4,0)*VLOOKUP('All Options'!$E$22,'Valid Data-GPG'!$B$130:$F$134,MATCH('All Options'!$E$17,'Valid Data-GPG'!$B$130:$F$130,0),0)*'All Options'!$E$17)*IF(Select="Deferred Annuity",A65&gt;DP,1)*(A65&gt;0)</f>
        <v>#N/A</v>
      </c>
      <c r="AC65" s="175">
        <f t="shared" si="38"/>
        <v>0</v>
      </c>
      <c r="AD65" s="175">
        <f>SUM($AC$26:AC65)</f>
        <v>0</v>
      </c>
      <c r="AE65" s="175">
        <f t="shared" si="39"/>
        <v>0</v>
      </c>
      <c r="AF65" s="175">
        <f t="shared" si="40"/>
        <v>250000</v>
      </c>
      <c r="AG65" s="175" t="b">
        <f>(SUM($AF$26:AF65)&lt;=$AB$17)</f>
        <v>0</v>
      </c>
      <c r="AY65" s="175"/>
      <c r="AZ65" s="66">
        <f>((MAX((SUM($B$26:C65)+(VLOOKUP($AZ$25,'All Options'!$AB$36:$AC$46,2,0)*VLOOKUP('All Options'!$E$22,'Valid Data-GPG'!$B$130:$F$134,MATCH('All Options'!$E$17,'Valid Data-GPG'!$B$130:$F$130,0),0)*'All Options'!$E$17)*(IF(A65&lt;=DP,A65,0))),105%*SUM($B$26:C65)))*(AND(A65&lt;&gt;0,Output!A65&lt;=DP))+(0)*(A65&gt;DP))*$AZ$21</f>
        <v>0</v>
      </c>
      <c r="BA65" s="175" t="e">
        <f>((MAX((SUM($B$26:C65)+(VLOOKUP($BA$25,'All Options'!$AB$36:$AC$46,2,0)*VLOOKUP('All Options'!$E$22,'Valid Data-GPG'!$B$130:$F$134,MATCH('All Options'!$E$17,'Valid Data-GPG'!$B$130:$F$130,0),0)*'All Options'!$E$17)*(IF(A65&lt;=DP,A65,0))),105%*SUM($B$26:C65)))*(Output!A65&lt;=DP)
+MAX((SUM($B$26:C65)+(VLOOKUP($BA$25,'All Options'!$AB$36:$AC$46,2,0)*VLOOKUP('All Options'!$E$22,'Valid Data-GPG'!$B$130:$F$134,MATCH('All Options'!$E$17,'Valid Data-GPG'!$B$130:$F$130,0),0)*'All Options'!$E$17)*DP-D65*(A65-DP)),SUM($B$26:C65))*(A65&gt;DP))*$BA$21</f>
        <v>#N/A</v>
      </c>
      <c r="BB65" s="175">
        <f>((MAX(($AB$17+(VLOOKUP($BB$25,'All Options'!$AB$36:$AC$46,2,0)*VLOOKUP('All Options'!$E$22,'Valid Data-GPG'!$B$130:$F$134,MATCH('All Options'!$E$17,'Valid Data-GPG'!$B$130:$F$130,0),0)*'All Options'!$E$17)*(IF(A65&lt;=DP,A65,0))),105%*$AB$17))*(Output!A65&lt;=DP)+(0)*(A65&gt;DP))*$BB$21</f>
        <v>0</v>
      </c>
      <c r="BC65" s="175" t="e">
        <f>((MAX(($AB$17+(VLOOKUP($BC$25,'All Options'!$AB$36:$AC$46,2,0)*VLOOKUP('All Options'!$E$22,'Valid Data-GPG'!$B$130:$F$134,MATCH('All Options'!$E$17,'Valid Data-GPG'!$B$130:$F$130,0),0)*'All Options'!$E$17)*(IF(A65&lt;=DP,A65,0))),105%*$AB$17))*(Output!A65&lt;=DP)+
MAX(($AB$17+(VLOOKUP($BC$25,'All Options'!$AB$36:$AC$46,2,0)*VLOOKUP('All Options'!$E$22,'Valid Data-GPG'!$B$130:$F$134,MATCH('All Options'!$E$17,'Valid Data-GPG'!$B$130:$F$130,0),0)*'All Options'!$E$17)*DP-D65*(A65-DP)),$AB$17)*(A65&gt;DP))*$BC$21</f>
        <v>#N/A</v>
      </c>
      <c r="BD65" s="175">
        <f ca="1">IFERROR((MAX(($AB$17+(VLOOKUP($BD$25,'All Options'!$AB$36:$AC$46,2,0)*VLOOKUP('All Options'!$E$22,'Valid Data-GPG'!$B$130:$F$134,MATCH('All Options'!$E$17,'Valid Data-GPG'!$B$130:$F$130,0),0)*'All Options'!$E$17)*(IF(A65&lt;=DP,A65,0))),105%*$AB$17))*(Output!A65&lt;=DP)
+MAX(($AB$17+(VLOOKUP($BD$25,'All Options'!$AB$36:$AC$46,2,0)*VLOOKUP('All Options'!$E$22,'Valid Data-GPG'!$B$130:$F$134,MATCH('All Options'!$E$17,'Valid Data-GPG'!$B$130:$F$130,0),0)*'All Options'!$E$17)*DP-D65*(A65-DP)),$AB$17)*(A65&gt;DP),0)*$BD$21</f>
        <v>0</v>
      </c>
      <c r="BE65" s="66">
        <f>IFERROR((MAX(($AB$17+(VLOOKUP($BE$25,'All Options'!$AB$36:$AC$46,2,0)*VLOOKUP('All Options'!$E$22,'Valid Data-GPG'!$B$130:$F$134,MATCH('All Options'!$E$17,'Valid Data-GPG'!$B$130:$F$130,0),0)*'All Options'!$E$17)*(IF(A65&lt;=DP,A65,0))),105%*$AB$17))*(Output!A65&lt;=DP)
+(MAX($AB$17+(VLOOKUP($BE$25,'All Options'!$AB$36:$AC$46,2,0)*VLOOKUP('All Options'!$E$22,'Valid Data-GPG'!$B$130:$F$134,MATCH('All Options'!$E$17,'Valid Data-GPG'!$B$130:$F$130,0),0)*'All Options'!$E$17)*DP-AB65*(A65-DP),$AB$17)*(MAX(A65&lt;=25,K65&lt;85)))*(A65&gt;DP),0)*$BE$21</f>
        <v>0</v>
      </c>
      <c r="BF65" s="175">
        <f>IFERROR((MAX(($AB$17+(VLOOKUP($BF$25,'All Options'!$AB$36:$AC$46,2,0)*VLOOKUP('All Options'!$E$22,'Valid Data-GPG'!$B$130:$F$134,MATCH('All Options'!$E$17,'Valid Data-GPG'!$B$130:$F$130,0),0)*'All Options'!$E$17)*(IF(A65&lt;=DP,A65,0))),105%*$AB$17))*(Output!A65&lt;=DP)
+(MAX($AB$17+(VLOOKUP($BF$25,'All Options'!$AB$36:$AC$46,2,0)*VLOOKUP('All Options'!$E$22,'Valid Data-GPG'!$B$130:$F$134,MATCH('All Options'!$E$17,'Valid Data-GPG'!$B$130:$F$130,0),0)*'All Options'!$E$17)*DP-AB65*(A65-DP),$AB$17)-SUM($AF$26:AF65)*AG65)*(A65&gt;DP)*AG65,0)*$BF$21</f>
        <v>0</v>
      </c>
      <c r="BG65" s="175">
        <f t="shared" si="23"/>
        <v>0</v>
      </c>
      <c r="BH65" s="182">
        <f t="shared" si="41"/>
        <v>5000000</v>
      </c>
      <c r="BI65" s="175">
        <f t="shared" si="24"/>
        <v>0</v>
      </c>
      <c r="BJ65" s="175">
        <f t="shared" si="25"/>
        <v>0</v>
      </c>
      <c r="BK65" s="175">
        <f t="shared" si="26"/>
        <v>0</v>
      </c>
      <c r="BL65" s="175">
        <f t="shared" si="27"/>
        <v>0</v>
      </c>
      <c r="BM65" s="175">
        <f t="shared" si="28"/>
        <v>0</v>
      </c>
      <c r="BN65" s="175">
        <f t="shared" si="29"/>
        <v>0</v>
      </c>
      <c r="BO65" s="182">
        <f t="shared" si="42"/>
        <v>0</v>
      </c>
      <c r="BP65" s="182">
        <f t="shared" si="43"/>
        <v>0</v>
      </c>
      <c r="BQ65" s="182">
        <f>MAX($AB$17-SUM($AF$26:AF65),0)*$BQ$21</f>
        <v>0</v>
      </c>
      <c r="BS65" s="175">
        <f t="shared" si="44"/>
        <v>1</v>
      </c>
      <c r="BT65" s="175">
        <f>IFERROR(IF(A65&lt;=1,0,VLOOKUP(DP,'Valid Data-GPG'!$A$116:$J$122,MATCH(Output!A65,'Valid Data-GPG'!$A$116:$J$116,0),FALSE)*SUM($B$26:C65))*(A65&lt;=DP),0)*$BT$21</f>
        <v>0</v>
      </c>
      <c r="BU65" s="175">
        <f>IFERROR(IF(A65&lt;=1,0,VLOOKUP(DP,'Valid Data-GPG'!$A$116:$J$122,MATCH(Output!A65,'Valid Data-GPG'!$A$116:$J$116,0),FALSE)*SUM($B$26:C65))*(A65&lt;=DP),0)*$BU$21</f>
        <v>0</v>
      </c>
      <c r="BV65" s="175">
        <f t="shared" si="45"/>
        <v>0</v>
      </c>
      <c r="BW65" s="175">
        <f t="shared" si="11"/>
        <v>0</v>
      </c>
      <c r="BX65" s="175">
        <f t="shared" si="12"/>
        <v>0</v>
      </c>
      <c r="BY65" s="175">
        <f t="shared" si="13"/>
        <v>0</v>
      </c>
      <c r="BZ65" s="175">
        <f t="shared" si="14"/>
        <v>0</v>
      </c>
      <c r="CA65" s="175">
        <f>(INDEX('SV calc_ignore'!$J$10:$J$1341,12*Output!A65-0))*BS65</f>
        <v>0</v>
      </c>
      <c r="CB65" s="175">
        <f t="shared" si="30"/>
        <v>0</v>
      </c>
      <c r="CC65" s="175">
        <f>(INDEX('SV calc_ignore'!$J$10:$J$1341,12*Output!A65-0))*BS65</f>
        <v>0</v>
      </c>
      <c r="CD65" s="175">
        <f t="shared" si="31"/>
        <v>0</v>
      </c>
      <c r="CE65" s="66">
        <f>(INDEX('SV calc_ignore'!$J$10:$J$1341,12*Output!A65-0))*($CE$21)</f>
        <v>0</v>
      </c>
      <c r="CF65" s="175">
        <f t="shared" si="32"/>
        <v>0</v>
      </c>
      <c r="CG65" s="175">
        <f>(INDEX('SV calc_ignore'!$J$10:$J$1341,12*Output!A65-0))*($CG$21)*(A65&gt;1)</f>
        <v>0</v>
      </c>
      <c r="CH65" s="175">
        <f>(INDEX('SV calc_ignore'!$J$10:$J$1341,12*Output!A65-0))*($CH$21)*(A65&gt;1)</f>
        <v>0</v>
      </c>
      <c r="CI65" s="175"/>
      <c r="CJ65" s="66">
        <f>(INDEX('SV calc_ignore'!$J$10:$J$1341,12*Output!A65-0))*($CJ$21)*(A65&gt;1)</f>
        <v>0</v>
      </c>
      <c r="CK65" s="66">
        <f>(INDEX('SV calc_ignore'!$Q$10:$Q$1341,12*Output!A65-0))*(AND(A65&gt;1,R65&lt;20))*($CK$21)</f>
        <v>0</v>
      </c>
      <c r="CL65" s="66">
        <f t="shared" si="33"/>
        <v>0</v>
      </c>
      <c r="CM65" s="175">
        <f>((INDEX('SV calc_ignore'!$J$10:$J$1341,12*Output!A65-0))+(INDEX('SV calc_ignore'!$O$10:$O$1341,12*Output!A65-0))*(A65&lt;'SV calc_ignore'!$Q$5))*(A65&gt;1)*($CM$21)</f>
        <v>0</v>
      </c>
      <c r="CN65" s="175">
        <v>0</v>
      </c>
      <c r="CO65" s="175">
        <f>(INDEX('SV calc_ignore'!$J$10:$J$1341,12*Output!A65-0))*(A65&gt;1)*($CO$21)</f>
        <v>0</v>
      </c>
      <c r="CP65" s="175">
        <v>0</v>
      </c>
      <c r="CQ65" s="175">
        <v>0</v>
      </c>
      <c r="CR65" s="175">
        <v>0</v>
      </c>
      <c r="CS65" s="175">
        <v>0</v>
      </c>
      <c r="CT65" s="175">
        <v>0</v>
      </c>
      <c r="CU65" s="175">
        <v>0</v>
      </c>
      <c r="CV65" s="175">
        <f>(INDEX('SV calc_ignore'!$J$10:$J$1341,12*Output!A65-0))*(A65&gt;1)*($CV$21)</f>
        <v>0</v>
      </c>
      <c r="CW65" s="66">
        <f>((INDEX('SV calc_ignore'!$J$10:$J$1341,12*Output!A65-0))+(INDEX('SV calc_ignore'!$O$10:$O$1351,12*Output!A65-0))*(A65&lt;'SV calc_ignore'!$Q$5))*(A65&gt;1)*($CW$21)</f>
        <v>0</v>
      </c>
      <c r="CX65" s="175">
        <f>(INDEX('SV calc_ignore'!$J$10:$J$1341,12*Output!A65-0))*(A65&gt;1)*($CX$21)</f>
        <v>0</v>
      </c>
      <c r="CY65" s="175">
        <f>(INDEX('SV calc_ignore'!$Q$10:$Q$1341,12*Output!A65-0))*(AND(A65&gt;1,R65&lt;20))*($CY$21)</f>
        <v>0</v>
      </c>
      <c r="CZ65" s="175">
        <f t="shared" si="34"/>
        <v>0</v>
      </c>
      <c r="DE65" s="43">
        <f>IF($DE$23,0,VLOOKUP(IF(A65&lt;=DP,DJ65,DI65),SSV!$B$6:$C$116,2,FALSE)*VLOOKUP(AnnuityOption,'All Options'!$AB$36:$AC$47,2,FALSE)*VLOOKUP('All Options'!$E$22,'Valid Data-GPG'!$B$130:$F$134,MATCH('All Options'!$E$17,'Valid Data-GPG'!$B$130:$F$130,0),0)*'All Options'!$E$17)*(IF(AND(Select="Deferred Annuity",AnnuityOption="Life Annuity"),A65&lt;=DP,1))</f>
        <v>966882.47961024719</v>
      </c>
      <c r="DF65" s="43">
        <f>IF($DF$23,0,IF($DQ$25,DQ65,IF($DR$25,DR65,VLOOKUP(IF(A65&lt;=DP,DJ65,DI65),SSV!$G$6:$H$116,2,FALSE)*SUM($B$27:B65))))</f>
        <v>3697636.5</v>
      </c>
      <c r="DG65" s="43" t="e">
        <f>IF(A65&lt;=DP,VLOOKUP(DP-A64,SSV!$T$6:$U$15,2,FALSE),1)</f>
        <v>#N/A</v>
      </c>
      <c r="DH65" s="282">
        <f t="shared" si="46"/>
        <v>4664518.9796102475</v>
      </c>
      <c r="DI65" s="43">
        <f>IF($DM$26,MIN(Age,'All Options'!$E$21)+A64,IF($DN$26,(Age+A64)-Age+60,IF($DO$26,(Age+A64)-Age+55,Age+A64)))</f>
        <v>98</v>
      </c>
      <c r="DJ65" s="279">
        <f>IF($DM$26,MIN(Age+A65,'All Options'!$E$21+A65),IF($DN$26,(Age+A65)-(Age+$A$27)+60,IF($DO$26,(Age+A65)-(Age+$A$27)+55,Age+A65)))</f>
        <v>99</v>
      </c>
      <c r="DK65" s="279"/>
      <c r="DL65" s="279"/>
      <c r="DP65" s="43">
        <f t="shared" si="35"/>
        <v>0</v>
      </c>
      <c r="DQ65" s="43">
        <f>IFERROR(VLOOKUP(IF(A65&lt;=DP,DJ65,DI65),SSV!$K$6:$L$91,2,FALSE)*SUM($B$27:B65),0)*($DQ$25)</f>
        <v>0</v>
      </c>
      <c r="DR65" s="43">
        <f>IFERROR(VLOOKUP(IF(A65&lt;=DP,DJ65,DI65),SSV!$O$6:$P$95,2,FALSE)*SUM($B$27:B65),0)*($DR$25)</f>
        <v>0</v>
      </c>
      <c r="DU65" s="175">
        <f t="shared" si="47"/>
        <v>1</v>
      </c>
    </row>
    <row r="66" spans="1:125" x14ac:dyDescent="0.2">
      <c r="A66" s="146">
        <f t="shared" si="48"/>
        <v>40</v>
      </c>
      <c r="B66" s="670">
        <f>IF(PremiumType="Regular Premium",'All Options'!$E$18*'All Options'!$E$22*(AND(Output!A66&lt;=PPT,A66&gt;=1)),'All Options'!$E$18*(A66=1))</f>
        <v>0</v>
      </c>
      <c r="C66" s="671"/>
      <c r="D66" s="103" t="e">
        <f>((VLOOKUP(CONCATENATE($D$14,$D$15),'All Options'!$AB$36:$AC$47,4,0)*VLOOKUP('All Options'!$E$22,'Valid Data-GPG'!$B$130:$F$134,MATCH('All Options'!$E$17,'Valid Data-GPG'!$B$130:$F$130,0),0)*'All Options'!$E$17)*IF(Select="Deferred Annuity",A66&gt;DP,1)+AE66+AF66*AG66*$AG$21)*(A66&gt;0)</f>
        <v>#N/A</v>
      </c>
      <c r="E66" s="103">
        <v>0</v>
      </c>
      <c r="F66" s="103" t="e">
        <f t="shared" si="18"/>
        <v>#N/A</v>
      </c>
      <c r="G66" s="103">
        <f t="shared" si="37"/>
        <v>0</v>
      </c>
      <c r="H66" s="285">
        <f t="shared" si="19"/>
        <v>4672293.8261061767</v>
      </c>
      <c r="I66" s="103">
        <f t="shared" si="20"/>
        <v>4672293.8261061767</v>
      </c>
      <c r="J66" s="101"/>
      <c r="K66" s="175">
        <f t="shared" si="49"/>
        <v>99</v>
      </c>
      <c r="L66" s="175"/>
      <c r="M66" s="175"/>
      <c r="N66" s="175"/>
      <c r="O66" s="175"/>
      <c r="P66" s="175"/>
      <c r="Q66" s="175"/>
      <c r="R66" s="175">
        <f t="shared" si="50"/>
        <v>0</v>
      </c>
      <c r="U66" s="162"/>
      <c r="AB66" s="175" t="e">
        <f>(VLOOKUP(CONCATENATE($D$14,$D$15),'All Options'!$AB$36:$AC$47,4,0)*VLOOKUP('All Options'!$E$22,'Valid Data-GPG'!$B$130:$F$134,MATCH('All Options'!$E$17,'Valid Data-GPG'!$B$130:$F$130,0),0)*'All Options'!$E$17)*IF(Select="Deferred Annuity",A66&gt;DP,1)*(A66&gt;0)</f>
        <v>#N/A</v>
      </c>
      <c r="AC66" s="175">
        <f t="shared" si="38"/>
        <v>0</v>
      </c>
      <c r="AD66" s="175">
        <f>SUM($AC$26:AC66)</f>
        <v>0</v>
      </c>
      <c r="AE66" s="175">
        <f t="shared" si="39"/>
        <v>0</v>
      </c>
      <c r="AF66" s="175">
        <f t="shared" si="40"/>
        <v>250000</v>
      </c>
      <c r="AG66" s="175" t="b">
        <f>(SUM($AF$26:AF66)&lt;=$AB$17)</f>
        <v>0</v>
      </c>
      <c r="AY66" s="175"/>
      <c r="AZ66" s="66">
        <f>((MAX((SUM($B$26:C66)+(VLOOKUP($AZ$25,'All Options'!$AB$36:$AC$46,2,0)*VLOOKUP('All Options'!$E$22,'Valid Data-GPG'!$B$130:$F$134,MATCH('All Options'!$E$17,'Valid Data-GPG'!$B$130:$F$130,0),0)*'All Options'!$E$17)*(IF(A66&lt;=DP,A66,0))),105%*SUM($B$26:C66)))*(AND(A66&lt;&gt;0,Output!A66&lt;=DP))+(0)*(A66&gt;DP))*$AZ$21</f>
        <v>0</v>
      </c>
      <c r="BA66" s="175" t="e">
        <f>((MAX((SUM($B$26:C66)+(VLOOKUP($BA$25,'All Options'!$AB$36:$AC$46,2,0)*VLOOKUP('All Options'!$E$22,'Valid Data-GPG'!$B$130:$F$134,MATCH('All Options'!$E$17,'Valid Data-GPG'!$B$130:$F$130,0),0)*'All Options'!$E$17)*(IF(A66&lt;=DP,A66,0))),105%*SUM($B$26:C66)))*(Output!A66&lt;=DP)
+MAX((SUM($B$26:C66)+(VLOOKUP($BA$25,'All Options'!$AB$36:$AC$46,2,0)*VLOOKUP('All Options'!$E$22,'Valid Data-GPG'!$B$130:$F$134,MATCH('All Options'!$E$17,'Valid Data-GPG'!$B$130:$F$130,0),0)*'All Options'!$E$17)*DP-D66*(A66-DP)),SUM($B$26:C66))*(A66&gt;DP))*$BA$21</f>
        <v>#N/A</v>
      </c>
      <c r="BB66" s="175">
        <f>((MAX(($AB$17+(VLOOKUP($BB$25,'All Options'!$AB$36:$AC$46,2,0)*VLOOKUP('All Options'!$E$22,'Valid Data-GPG'!$B$130:$F$134,MATCH('All Options'!$E$17,'Valid Data-GPG'!$B$130:$F$130,0),0)*'All Options'!$E$17)*(IF(A66&lt;=DP,A66,0))),105%*$AB$17))*(Output!A66&lt;=DP)+(0)*(A66&gt;DP))*$BB$21</f>
        <v>0</v>
      </c>
      <c r="BC66" s="175" t="e">
        <f>((MAX(($AB$17+(VLOOKUP($BC$25,'All Options'!$AB$36:$AC$46,2,0)*VLOOKUP('All Options'!$E$22,'Valid Data-GPG'!$B$130:$F$134,MATCH('All Options'!$E$17,'Valid Data-GPG'!$B$130:$F$130,0),0)*'All Options'!$E$17)*(IF(A66&lt;=DP,A66,0))),105%*$AB$17))*(Output!A66&lt;=DP)+
MAX(($AB$17+(VLOOKUP($BC$25,'All Options'!$AB$36:$AC$46,2,0)*VLOOKUP('All Options'!$E$22,'Valid Data-GPG'!$B$130:$F$134,MATCH('All Options'!$E$17,'Valid Data-GPG'!$B$130:$F$130,0),0)*'All Options'!$E$17)*DP-D66*(A66-DP)),$AB$17)*(A66&gt;DP))*$BC$21</f>
        <v>#N/A</v>
      </c>
      <c r="BD66" s="175">
        <f ca="1">IFERROR((MAX(($AB$17+(VLOOKUP($BD$25,'All Options'!$AB$36:$AC$46,2,0)*VLOOKUP('All Options'!$E$22,'Valid Data-GPG'!$B$130:$F$134,MATCH('All Options'!$E$17,'Valid Data-GPG'!$B$130:$F$130,0),0)*'All Options'!$E$17)*(IF(A66&lt;=DP,A66,0))),105%*$AB$17))*(Output!A66&lt;=DP)
+MAX(($AB$17+(VLOOKUP($BD$25,'All Options'!$AB$36:$AC$46,2,0)*VLOOKUP('All Options'!$E$22,'Valid Data-GPG'!$B$130:$F$134,MATCH('All Options'!$E$17,'Valid Data-GPG'!$B$130:$F$130,0),0)*'All Options'!$E$17)*DP-D66*(A66-DP)),$AB$17)*(A66&gt;DP),0)*$BD$21</f>
        <v>0</v>
      </c>
      <c r="BE66" s="66">
        <f>IFERROR((MAX(($AB$17+(VLOOKUP($BE$25,'All Options'!$AB$36:$AC$46,2,0)*VLOOKUP('All Options'!$E$22,'Valid Data-GPG'!$B$130:$F$134,MATCH('All Options'!$E$17,'Valid Data-GPG'!$B$130:$F$130,0),0)*'All Options'!$E$17)*(IF(A66&lt;=DP,A66,0))),105%*$AB$17))*(Output!A66&lt;=DP)
+(MAX($AB$17+(VLOOKUP($BE$25,'All Options'!$AB$36:$AC$46,2,0)*VLOOKUP('All Options'!$E$22,'Valid Data-GPG'!$B$130:$F$134,MATCH('All Options'!$E$17,'Valid Data-GPG'!$B$130:$F$130,0),0)*'All Options'!$E$17)*DP-AB66*(A66-DP),$AB$17)*(MAX(A66&lt;=25,K66&lt;85)))*(A66&gt;DP),0)*$BE$21</f>
        <v>0</v>
      </c>
      <c r="BF66" s="175">
        <f>IFERROR((MAX(($AB$17+(VLOOKUP($BF$25,'All Options'!$AB$36:$AC$46,2,0)*VLOOKUP('All Options'!$E$22,'Valid Data-GPG'!$B$130:$F$134,MATCH('All Options'!$E$17,'Valid Data-GPG'!$B$130:$F$130,0),0)*'All Options'!$E$17)*(IF(A66&lt;=DP,A66,0))),105%*$AB$17))*(Output!A66&lt;=DP)
+(MAX($AB$17+(VLOOKUP($BF$25,'All Options'!$AB$36:$AC$46,2,0)*VLOOKUP('All Options'!$E$22,'Valid Data-GPG'!$B$130:$F$134,MATCH('All Options'!$E$17,'Valid Data-GPG'!$B$130:$F$130,0),0)*'All Options'!$E$17)*DP-AB66*(A66-DP),$AB$17)-SUM($AF$26:AF66)*AG66)*(A66&gt;DP)*AG66,0)*$BF$21</f>
        <v>0</v>
      </c>
      <c r="BG66" s="175">
        <f t="shared" si="23"/>
        <v>0</v>
      </c>
      <c r="BH66" s="182">
        <f t="shared" si="41"/>
        <v>5000000</v>
      </c>
      <c r="BI66" s="175">
        <f t="shared" si="24"/>
        <v>0</v>
      </c>
      <c r="BJ66" s="175">
        <f t="shared" si="25"/>
        <v>0</v>
      </c>
      <c r="BK66" s="175">
        <f t="shared" si="26"/>
        <v>0</v>
      </c>
      <c r="BL66" s="175">
        <f t="shared" si="27"/>
        <v>0</v>
      </c>
      <c r="BM66" s="175">
        <f t="shared" si="28"/>
        <v>0</v>
      </c>
      <c r="BN66" s="175">
        <f t="shared" si="29"/>
        <v>0</v>
      </c>
      <c r="BO66" s="182">
        <f t="shared" si="42"/>
        <v>0</v>
      </c>
      <c r="BP66" s="182">
        <f t="shared" si="43"/>
        <v>0</v>
      </c>
      <c r="BQ66" s="182">
        <f>MAX($AB$17-SUM($AF$26:AF66),0)*$BQ$21</f>
        <v>0</v>
      </c>
      <c r="BS66" s="175">
        <f t="shared" si="44"/>
        <v>1</v>
      </c>
      <c r="BT66" s="175">
        <f>IFERROR(IF(A66&lt;=1,0,VLOOKUP(DP,'Valid Data-GPG'!$A$116:$J$122,MATCH(Output!A66,'Valid Data-GPG'!$A$116:$J$116,0),FALSE)*SUM($B$26:C66))*(A66&lt;=DP),0)*$BT$21</f>
        <v>0</v>
      </c>
      <c r="BU66" s="175">
        <f>IFERROR(IF(A66&lt;=1,0,VLOOKUP(DP,'Valid Data-GPG'!$A$116:$J$122,MATCH(Output!A66,'Valid Data-GPG'!$A$116:$J$116,0),FALSE)*SUM($B$26:C66))*(A66&lt;=DP),0)*$BU$21</f>
        <v>0</v>
      </c>
      <c r="BV66" s="175">
        <f t="shared" si="45"/>
        <v>0</v>
      </c>
      <c r="BW66" s="175">
        <f t="shared" si="11"/>
        <v>0</v>
      </c>
      <c r="BX66" s="175">
        <f t="shared" si="12"/>
        <v>0</v>
      </c>
      <c r="BY66" s="175">
        <f t="shared" si="13"/>
        <v>0</v>
      </c>
      <c r="BZ66" s="175">
        <f t="shared" si="14"/>
        <v>0</v>
      </c>
      <c r="CA66" s="175">
        <f>(INDEX('SV calc_ignore'!$J$10:$J$1341,12*Output!A66-0))*BS66</f>
        <v>0</v>
      </c>
      <c r="CB66" s="175">
        <f t="shared" si="30"/>
        <v>0</v>
      </c>
      <c r="CC66" s="175">
        <f>(INDEX('SV calc_ignore'!$J$10:$J$1341,12*Output!A66-0))*BS66</f>
        <v>0</v>
      </c>
      <c r="CD66" s="175">
        <f t="shared" si="31"/>
        <v>0</v>
      </c>
      <c r="CE66" s="66">
        <f>(INDEX('SV calc_ignore'!$J$10:$J$1341,12*Output!A66-0))*($CE$21)</f>
        <v>0</v>
      </c>
      <c r="CF66" s="175">
        <f t="shared" si="32"/>
        <v>0</v>
      </c>
      <c r="CG66" s="175">
        <f>(INDEX('SV calc_ignore'!$J$10:$J$1341,12*Output!A66-0))*($CG$21)*(A66&gt;1)</f>
        <v>0</v>
      </c>
      <c r="CH66" s="175">
        <f>(INDEX('SV calc_ignore'!$J$10:$J$1341,12*Output!A66-0))*($CH$21)*(A66&gt;1)</f>
        <v>0</v>
      </c>
      <c r="CI66" s="175"/>
      <c r="CJ66" s="66">
        <f>(INDEX('SV calc_ignore'!$J$10:$J$1341,12*Output!A66-0))*($CJ$21)*(A66&gt;1)</f>
        <v>0</v>
      </c>
      <c r="CK66" s="66">
        <f>(INDEX('SV calc_ignore'!$Q$10:$Q$1341,12*Output!A66-0))*(AND(A66&gt;1,R66&lt;20))*($CK$21)</f>
        <v>0</v>
      </c>
      <c r="CL66" s="66">
        <f t="shared" si="33"/>
        <v>0</v>
      </c>
      <c r="CM66" s="175">
        <f>((INDEX('SV calc_ignore'!$J$10:$J$1341,12*Output!A66-0))+(INDEX('SV calc_ignore'!$O$10:$O$1341,12*Output!A66-0))*(A66&lt;'SV calc_ignore'!$Q$5))*(A66&gt;1)*($CM$21)</f>
        <v>0</v>
      </c>
      <c r="CN66" s="175">
        <v>0</v>
      </c>
      <c r="CO66" s="175">
        <f>(INDEX('SV calc_ignore'!$J$10:$J$1341,12*Output!A66-0))*(A66&gt;1)*($CO$21)</f>
        <v>0</v>
      </c>
      <c r="CP66" s="175">
        <v>0</v>
      </c>
      <c r="CQ66" s="175">
        <v>0</v>
      </c>
      <c r="CR66" s="175">
        <v>0</v>
      </c>
      <c r="CS66" s="175">
        <v>0</v>
      </c>
      <c r="CT66" s="175">
        <v>0</v>
      </c>
      <c r="CU66" s="175">
        <v>0</v>
      </c>
      <c r="CV66" s="175">
        <f>(INDEX('SV calc_ignore'!$J$10:$J$1341,12*Output!A66-0))*(A66&gt;1)*($CV$21)</f>
        <v>0</v>
      </c>
      <c r="CW66" s="66">
        <f>((INDEX('SV calc_ignore'!$J$10:$J$1341,12*Output!A66-0))+(INDEX('SV calc_ignore'!$O$10:$O$1351,12*Output!A66-0))*(A66&lt;'SV calc_ignore'!$Q$5))*(A66&gt;1)*($CW$21)</f>
        <v>0</v>
      </c>
      <c r="CX66" s="175">
        <f>(INDEX('SV calc_ignore'!$J$10:$J$1341,12*Output!A66-0))*(A66&gt;1)*($CX$21)</f>
        <v>0</v>
      </c>
      <c r="CY66" s="175">
        <f>(INDEX('SV calc_ignore'!$Q$10:$Q$1341,12*Output!A66-0))*(AND(A66&gt;1,R66&lt;20))*($CY$21)</f>
        <v>0</v>
      </c>
      <c r="CZ66" s="175">
        <f t="shared" si="34"/>
        <v>0</v>
      </c>
      <c r="DE66" s="43">
        <f>IF($DE$23,0,VLOOKUP(IF(A66&lt;=DP,DJ66,DI66),SSV!$B$6:$C$116,2,FALSE)*VLOOKUP(AnnuityOption,'All Options'!$AB$36:$AC$47,2,FALSE)*VLOOKUP('All Options'!$E$22,'Valid Data-GPG'!$B$130:$F$134,MATCH('All Options'!$E$17,'Valid Data-GPG'!$B$130:$F$130,0),0)*'All Options'!$E$17)*(IF(AND(Select="Deferred Annuity",AnnuityOption="Life Annuity"),A66&lt;=DP,1))</f>
        <v>925640.82610617671</v>
      </c>
      <c r="DF66" s="43">
        <f>IF($DF$23,0,IF($DQ$25,DQ66,IF($DR$25,DR66,VLOOKUP(IF(A66&lt;=DP,DJ66,DI66),SSV!$G$6:$H$116,2,FALSE)*SUM($B$27:B66))))</f>
        <v>3746653</v>
      </c>
      <c r="DG66" s="43" t="e">
        <f>IF(A66&lt;=DP,VLOOKUP(DP-A65,SSV!$T$6:$U$15,2,FALSE),1)</f>
        <v>#N/A</v>
      </c>
      <c r="DH66" s="282">
        <f t="shared" si="46"/>
        <v>4672293.8261061767</v>
      </c>
      <c r="DI66" s="43">
        <f>IF($DM$26,MIN(Age,'All Options'!$E$21)+A65,IF($DN$26,(Age+A65)-Age+60,IF($DO$26,(Age+A65)-Age+55,Age+A65)))</f>
        <v>99</v>
      </c>
      <c r="DJ66" s="279">
        <f>IF($DM$26,MIN(Age+A66,'All Options'!$E$21+A66),IF($DN$26,(Age+A66)-(Age+$A$27)+60,IF($DO$26,(Age+A66)-(Age+$A$27)+55,Age+A66)))</f>
        <v>100</v>
      </c>
      <c r="DK66" s="279"/>
      <c r="DL66" s="279"/>
      <c r="DP66" s="43">
        <f t="shared" si="35"/>
        <v>0</v>
      </c>
      <c r="DQ66" s="43">
        <f>IFERROR(VLOOKUP(IF(A66&lt;=DP,DJ66,DI66),SSV!$K$6:$L$91,2,FALSE)*SUM($B$27:B66),0)*($DQ$25)</f>
        <v>0</v>
      </c>
      <c r="DR66" s="43">
        <f>IFERROR(VLOOKUP(IF(A66&lt;=DP,DJ66,DI66),SSV!$O$6:$P$95,2,FALSE)*SUM($B$27:B66),0)*($DR$25)</f>
        <v>0</v>
      </c>
      <c r="DU66" s="175">
        <f t="shared" si="47"/>
        <v>1</v>
      </c>
    </row>
    <row r="67" spans="1:125" ht="12.75" customHeight="1" x14ac:dyDescent="0.2">
      <c r="A67" s="146">
        <f t="shared" si="48"/>
        <v>41</v>
      </c>
      <c r="B67" s="670">
        <f>IF(PremiumType="Regular Premium",'All Options'!$E$18*'All Options'!$E$22*(AND(Output!A67&lt;=PPT,A67&gt;=1)),'All Options'!$E$18*(A67=1))</f>
        <v>0</v>
      </c>
      <c r="C67" s="671"/>
      <c r="D67" s="103" t="e">
        <f>((VLOOKUP(CONCATENATE($D$14,$D$15),'All Options'!$AB$36:$AC$47,4,0)*VLOOKUP('All Options'!$E$22,'Valid Data-GPG'!$B$130:$F$134,MATCH('All Options'!$E$17,'Valid Data-GPG'!$B$130:$F$130,0),0)*'All Options'!$E$17)*IF(Select="Deferred Annuity",A67&gt;DP,1)+AE67+AF67*AG67*$AG$21)*(A67&gt;0)</f>
        <v>#N/A</v>
      </c>
      <c r="E67" s="103">
        <v>0</v>
      </c>
      <c r="F67" s="103" t="e">
        <f t="shared" si="18"/>
        <v>#N/A</v>
      </c>
      <c r="G67" s="103">
        <f t="shared" si="37"/>
        <v>0</v>
      </c>
      <c r="H67" s="285">
        <f t="shared" si="19"/>
        <v>4680359.0563101582</v>
      </c>
      <c r="I67" s="103">
        <f t="shared" si="20"/>
        <v>4680359.0563101582</v>
      </c>
      <c r="J67" s="101"/>
      <c r="K67" s="175">
        <f t="shared" si="49"/>
        <v>100</v>
      </c>
      <c r="L67" s="175"/>
      <c r="M67" s="175"/>
      <c r="N67" s="175"/>
      <c r="O67" s="175"/>
      <c r="P67" s="175"/>
      <c r="Q67" s="175"/>
      <c r="R67" s="175">
        <f t="shared" si="50"/>
        <v>0</v>
      </c>
      <c r="U67" s="162"/>
      <c r="AB67" s="175" t="e">
        <f>(VLOOKUP(CONCATENATE($D$14,$D$15),'All Options'!$AB$36:$AC$47,4,0)*VLOOKUP('All Options'!$E$22,'Valid Data-GPG'!$B$130:$F$134,MATCH('All Options'!$E$17,'Valid Data-GPG'!$B$130:$F$130,0),0)*'All Options'!$E$17)*IF(Select="Deferred Annuity",A67&gt;DP,1)*(A67&gt;0)</f>
        <v>#N/A</v>
      </c>
      <c r="AC67" s="175">
        <f t="shared" si="38"/>
        <v>0</v>
      </c>
      <c r="AD67" s="175">
        <f>SUM($AC$26:AC67)</f>
        <v>0</v>
      </c>
      <c r="AE67" s="175">
        <f t="shared" si="39"/>
        <v>0</v>
      </c>
      <c r="AF67" s="175">
        <f t="shared" si="40"/>
        <v>250000</v>
      </c>
      <c r="AG67" s="175" t="b">
        <f>(SUM($AF$26:AF67)&lt;=$AB$17)</f>
        <v>0</v>
      </c>
      <c r="AY67" s="175"/>
      <c r="AZ67" s="66">
        <f>((MAX((SUM($B$26:C67)+(VLOOKUP($AZ$25,'All Options'!$AB$36:$AC$46,2,0)*VLOOKUP('All Options'!$E$22,'Valid Data-GPG'!$B$130:$F$134,MATCH('All Options'!$E$17,'Valid Data-GPG'!$B$130:$F$130,0),0)*'All Options'!$E$17)*(IF(A67&lt;=DP,A67,0))),105%*SUM($B$26:C67)))*(AND(A67&lt;&gt;0,Output!A67&lt;=DP))+(0)*(A67&gt;DP))*$AZ$21</f>
        <v>0</v>
      </c>
      <c r="BA67" s="175" t="e">
        <f>((MAX((SUM($B$26:C67)+(VLOOKUP($BA$25,'All Options'!$AB$36:$AC$46,2,0)*VLOOKUP('All Options'!$E$22,'Valid Data-GPG'!$B$130:$F$134,MATCH('All Options'!$E$17,'Valid Data-GPG'!$B$130:$F$130,0),0)*'All Options'!$E$17)*(IF(A67&lt;=DP,A67,0))),105%*SUM($B$26:C67)))*(Output!A67&lt;=DP)
+MAX((SUM($B$26:C67)+(VLOOKUP($BA$25,'All Options'!$AB$36:$AC$46,2,0)*VLOOKUP('All Options'!$E$22,'Valid Data-GPG'!$B$130:$F$134,MATCH('All Options'!$E$17,'Valid Data-GPG'!$B$130:$F$130,0),0)*'All Options'!$E$17)*DP-D67*(A67-DP)),SUM($B$26:C67))*(A67&gt;DP))*$BA$21</f>
        <v>#N/A</v>
      </c>
      <c r="BB67" s="175">
        <f>((MAX(($AB$17+(VLOOKUP($BB$25,'All Options'!$AB$36:$AC$46,2,0)*VLOOKUP('All Options'!$E$22,'Valid Data-GPG'!$B$130:$F$134,MATCH('All Options'!$E$17,'Valid Data-GPG'!$B$130:$F$130,0),0)*'All Options'!$E$17)*(IF(A67&lt;=DP,A67,0))),105%*$AB$17))*(Output!A67&lt;=DP)+(0)*(A67&gt;DP))*$BB$21</f>
        <v>0</v>
      </c>
      <c r="BC67" s="175" t="e">
        <f>((MAX(($AB$17+(VLOOKUP($BC$25,'All Options'!$AB$36:$AC$46,2,0)*VLOOKUP('All Options'!$E$22,'Valid Data-GPG'!$B$130:$F$134,MATCH('All Options'!$E$17,'Valid Data-GPG'!$B$130:$F$130,0),0)*'All Options'!$E$17)*(IF(A67&lt;=DP,A67,0))),105%*$AB$17))*(Output!A67&lt;=DP)+
MAX(($AB$17+(VLOOKUP($BC$25,'All Options'!$AB$36:$AC$46,2,0)*VLOOKUP('All Options'!$E$22,'Valid Data-GPG'!$B$130:$F$134,MATCH('All Options'!$E$17,'Valid Data-GPG'!$B$130:$F$130,0),0)*'All Options'!$E$17)*DP-D67*(A67-DP)),$AB$17)*(A67&gt;DP))*$BC$21</f>
        <v>#N/A</v>
      </c>
      <c r="BD67" s="175">
        <f ca="1">IFERROR((MAX(($AB$17+(VLOOKUP($BD$25,'All Options'!$AB$36:$AC$46,2,0)*VLOOKUP('All Options'!$E$22,'Valid Data-GPG'!$B$130:$F$134,MATCH('All Options'!$E$17,'Valid Data-GPG'!$B$130:$F$130,0),0)*'All Options'!$E$17)*(IF(A67&lt;=DP,A67,0))),105%*$AB$17))*(Output!A67&lt;=DP)
+MAX(($AB$17+(VLOOKUP($BD$25,'All Options'!$AB$36:$AC$46,2,0)*VLOOKUP('All Options'!$E$22,'Valid Data-GPG'!$B$130:$F$134,MATCH('All Options'!$E$17,'Valid Data-GPG'!$B$130:$F$130,0),0)*'All Options'!$E$17)*DP-D67*(A67-DP)),$AB$17)*(A67&gt;DP),0)*$BD$21</f>
        <v>0</v>
      </c>
      <c r="BE67" s="66">
        <f>IFERROR((MAX(($AB$17+(VLOOKUP($BE$25,'All Options'!$AB$36:$AC$46,2,0)*VLOOKUP('All Options'!$E$22,'Valid Data-GPG'!$B$130:$F$134,MATCH('All Options'!$E$17,'Valid Data-GPG'!$B$130:$F$130,0),0)*'All Options'!$E$17)*(IF(A67&lt;=DP,A67,0))),105%*$AB$17))*(Output!A67&lt;=DP)
+(MAX($AB$17+(VLOOKUP($BE$25,'All Options'!$AB$36:$AC$46,2,0)*VLOOKUP('All Options'!$E$22,'Valid Data-GPG'!$B$130:$F$134,MATCH('All Options'!$E$17,'Valid Data-GPG'!$B$130:$F$130,0),0)*'All Options'!$E$17)*DP-AB67*(A67-DP),$AB$17)*(MAX(A67&lt;=25,K67&lt;85)))*(A67&gt;DP),0)*$BE$21</f>
        <v>0</v>
      </c>
      <c r="BF67" s="175">
        <f>IFERROR((MAX(($AB$17+(VLOOKUP($BF$25,'All Options'!$AB$36:$AC$46,2,0)*VLOOKUP('All Options'!$E$22,'Valid Data-GPG'!$B$130:$F$134,MATCH('All Options'!$E$17,'Valid Data-GPG'!$B$130:$F$130,0),0)*'All Options'!$E$17)*(IF(A67&lt;=DP,A67,0))),105%*$AB$17))*(Output!A67&lt;=DP)
+(MAX($AB$17+(VLOOKUP($BF$25,'All Options'!$AB$36:$AC$46,2,0)*VLOOKUP('All Options'!$E$22,'Valid Data-GPG'!$B$130:$F$134,MATCH('All Options'!$E$17,'Valid Data-GPG'!$B$130:$F$130,0),0)*'All Options'!$E$17)*DP-AB67*(A67-DP),$AB$17)-SUM($AF$26:AF67)*AG67)*(A67&gt;DP)*AG67,0)*$BF$21</f>
        <v>0</v>
      </c>
      <c r="BG67" s="175">
        <f t="shared" si="23"/>
        <v>0</v>
      </c>
      <c r="BH67" s="182">
        <f t="shared" si="41"/>
        <v>5000000</v>
      </c>
      <c r="BI67" s="175">
        <f t="shared" si="24"/>
        <v>0</v>
      </c>
      <c r="BJ67" s="175">
        <f t="shared" si="25"/>
        <v>0</v>
      </c>
      <c r="BK67" s="175">
        <f t="shared" si="26"/>
        <v>0</v>
      </c>
      <c r="BL67" s="175">
        <f t="shared" si="27"/>
        <v>0</v>
      </c>
      <c r="BM67" s="175">
        <f t="shared" si="28"/>
        <v>0</v>
      </c>
      <c r="BN67" s="175">
        <f t="shared" si="29"/>
        <v>0</v>
      </c>
      <c r="BO67" s="182">
        <f t="shared" si="42"/>
        <v>0</v>
      </c>
      <c r="BP67" s="182">
        <f t="shared" si="43"/>
        <v>0</v>
      </c>
      <c r="BQ67" s="182">
        <f>MAX($AB$17-SUM($AF$26:AF67),0)*$BQ$21</f>
        <v>0</v>
      </c>
      <c r="BS67" s="175">
        <f t="shared" si="44"/>
        <v>1</v>
      </c>
      <c r="BT67" s="175">
        <f>IFERROR(IF(A67&lt;=1,0,VLOOKUP(DP,'Valid Data-GPG'!$A$116:$J$122,MATCH(Output!A67,'Valid Data-GPG'!$A$116:$J$116,0),FALSE)*SUM($B$26:C67))*(A67&lt;=DP),0)*$BT$21</f>
        <v>0</v>
      </c>
      <c r="BU67" s="175">
        <f>IFERROR(IF(A67&lt;=1,0,VLOOKUP(DP,'Valid Data-GPG'!$A$116:$J$122,MATCH(Output!A67,'Valid Data-GPG'!$A$116:$J$116,0),FALSE)*SUM($B$26:C67))*(A67&lt;=DP),0)*$BU$21</f>
        <v>0</v>
      </c>
      <c r="BV67" s="175">
        <f t="shared" si="45"/>
        <v>0</v>
      </c>
      <c r="BW67" s="175">
        <f t="shared" si="11"/>
        <v>0</v>
      </c>
      <c r="BX67" s="175">
        <f t="shared" si="12"/>
        <v>0</v>
      </c>
      <c r="BY67" s="175">
        <f t="shared" si="13"/>
        <v>0</v>
      </c>
      <c r="BZ67" s="175">
        <f t="shared" si="14"/>
        <v>0</v>
      </c>
      <c r="CA67" s="175">
        <f>(INDEX('SV calc_ignore'!$J$10:$J$1341,12*Output!A67-0))*BS67</f>
        <v>0</v>
      </c>
      <c r="CB67" s="175">
        <f t="shared" si="30"/>
        <v>0</v>
      </c>
      <c r="CC67" s="175">
        <f>(INDEX('SV calc_ignore'!$J$10:$J$1341,12*Output!A67-0))*BS67</f>
        <v>0</v>
      </c>
      <c r="CD67" s="175">
        <f t="shared" si="31"/>
        <v>0</v>
      </c>
      <c r="CE67" s="66">
        <f>(INDEX('SV calc_ignore'!$J$10:$J$1341,12*Output!A67-0))*($CE$21)</f>
        <v>0</v>
      </c>
      <c r="CF67" s="175">
        <f t="shared" si="32"/>
        <v>0</v>
      </c>
      <c r="CG67" s="175">
        <f>(INDEX('SV calc_ignore'!$J$10:$J$1341,12*Output!A67-0))*($CG$21)*(A67&gt;1)</f>
        <v>0</v>
      </c>
      <c r="CH67" s="175">
        <f>(INDEX('SV calc_ignore'!$J$10:$J$1341,12*Output!A67-0))*($CH$21)*(A67&gt;1)</f>
        <v>0</v>
      </c>
      <c r="CI67" s="175"/>
      <c r="CJ67" s="66">
        <f>(INDEX('SV calc_ignore'!$J$10:$J$1341,12*Output!A67-0))*($CJ$21)*(A67&gt;1)</f>
        <v>0</v>
      </c>
      <c r="CK67" s="66">
        <f>(INDEX('SV calc_ignore'!$Q$10:$Q$1341,12*Output!A67-0))*(AND(A67&gt;1,R67&lt;20))*($CK$21)</f>
        <v>0</v>
      </c>
      <c r="CL67" s="66">
        <f t="shared" si="33"/>
        <v>0</v>
      </c>
      <c r="CM67" s="175">
        <f>((INDEX('SV calc_ignore'!$J$10:$J$1341,12*Output!A67-0))+(INDEX('SV calc_ignore'!$O$10:$O$1341,12*Output!A67-0))*(A67&lt;'SV calc_ignore'!$Q$5))*(A67&gt;1)*($CM$21)</f>
        <v>0</v>
      </c>
      <c r="CN67" s="175">
        <v>0</v>
      </c>
      <c r="CO67" s="175">
        <f>(INDEX('SV calc_ignore'!$J$10:$J$1341,12*Output!A67-0))*(A67&gt;1)*($CO$21)</f>
        <v>0</v>
      </c>
      <c r="CP67" s="175">
        <v>0</v>
      </c>
      <c r="CQ67" s="175">
        <v>0</v>
      </c>
      <c r="CR67" s="175">
        <v>0</v>
      </c>
      <c r="CS67" s="175">
        <v>0</v>
      </c>
      <c r="CT67" s="175">
        <v>0</v>
      </c>
      <c r="CU67" s="175">
        <v>0</v>
      </c>
      <c r="CV67" s="175">
        <f>(INDEX('SV calc_ignore'!$J$10:$J$1341,12*Output!A67-0))*(A67&gt;1)*($CV$21)</f>
        <v>0</v>
      </c>
      <c r="CW67" s="66">
        <f>((INDEX('SV calc_ignore'!$J$10:$J$1341,12*Output!A67-0))+(INDEX('SV calc_ignore'!$O$10:$O$1351,12*Output!A67-0))*(A67&lt;'SV calc_ignore'!$Q$5))*(A67&gt;1)*($CW$21)</f>
        <v>0</v>
      </c>
      <c r="CX67" s="175">
        <f>(INDEX('SV calc_ignore'!$J$10:$J$1341,12*Output!A67-0))*(A67&gt;1)*($CX$21)</f>
        <v>0</v>
      </c>
      <c r="CY67" s="175">
        <f>(INDEX('SV calc_ignore'!$Q$10:$Q$1341,12*Output!A67-0))*(AND(A67&gt;1,R67&lt;20))*($CY$21)</f>
        <v>0</v>
      </c>
      <c r="CZ67" s="175">
        <f t="shared" si="34"/>
        <v>0</v>
      </c>
      <c r="DE67" s="43">
        <f>IF($DE$23,0,VLOOKUP(IF(A67&lt;=DP,DJ67,DI67),SSV!$B$6:$C$116,2,FALSE)*VLOOKUP(AnnuityOption,'All Options'!$AB$36:$AC$47,2,FALSE)*VLOOKUP('All Options'!$E$22,'Valid Data-GPG'!$B$130:$F$134,MATCH('All Options'!$E$17,'Valid Data-GPG'!$B$130:$F$130,0),0)*'All Options'!$E$17)*(IF(AND(Select="Deferred Annuity",AnnuityOption="Life Annuity"),A67&lt;=DP,1))</f>
        <v>884629.55631015846</v>
      </c>
      <c r="DF67" s="43">
        <f>IF($DF$23,0,IF($DQ$25,DQ67,IF($DR$25,DR67,VLOOKUP(IF(A67&lt;=DP,DJ67,DI67),SSV!$G$6:$H$116,2,FALSE)*SUM($B$27:B67))))</f>
        <v>3795729.5</v>
      </c>
      <c r="DG67" s="43" t="e">
        <f>IF(A67&lt;=DP,VLOOKUP(DP-A66,SSV!$T$6:$U$15,2,FALSE),1)</f>
        <v>#N/A</v>
      </c>
      <c r="DH67" s="282">
        <f t="shared" si="46"/>
        <v>4680359.0563101582</v>
      </c>
      <c r="DI67" s="43">
        <f>IF($DM$26,MIN(Age,'All Options'!$E$21)+A66,IF($DN$26,(Age+A66)-Age+60,IF($DO$26,(Age+A66)-Age+55,Age+A66)))</f>
        <v>100</v>
      </c>
      <c r="DJ67" s="279">
        <f>IF($DM$26,MIN(Age+A67,'All Options'!$E$21+A67),IF($DN$26,(Age+A67)-(Age+$A$27)+60,IF($DO$26,(Age+A67)-(Age+$A$27)+55,Age+A67)))</f>
        <v>101</v>
      </c>
      <c r="DK67" s="279"/>
      <c r="DL67" s="279"/>
      <c r="DP67" s="43">
        <f t="shared" si="35"/>
        <v>0</v>
      </c>
      <c r="DQ67" s="43">
        <f>IFERROR(VLOOKUP(IF(A67&lt;=DP,DJ67,DI67),SSV!$K$6:$L$91,2,FALSE)*SUM($B$27:B67),0)*($DQ$25)</f>
        <v>0</v>
      </c>
      <c r="DR67" s="43">
        <f>IFERROR(VLOOKUP(IF(A67&lt;=DP,DJ67,DI67),SSV!$O$6:$P$95,2,FALSE)*SUM($B$27:B67),0)*($DR$25)</f>
        <v>0</v>
      </c>
      <c r="DU67" s="175">
        <f t="shared" si="47"/>
        <v>1</v>
      </c>
    </row>
    <row r="68" spans="1:125" ht="12.75" customHeight="1" x14ac:dyDescent="0.2">
      <c r="A68" s="146">
        <f t="shared" si="48"/>
        <v>42</v>
      </c>
      <c r="B68" s="670">
        <f>IF(PremiumType="Regular Premium",'All Options'!$E$18*'All Options'!$E$22*(AND(Output!A68&lt;=PPT,A68&gt;=1)),'All Options'!$E$18*(A68=1))</f>
        <v>0</v>
      </c>
      <c r="C68" s="671"/>
      <c r="D68" s="103" t="e">
        <f>((VLOOKUP(CONCATENATE($D$14,$D$15),'All Options'!$AB$36:$AC$47,4,0)*VLOOKUP('All Options'!$E$22,'Valid Data-GPG'!$B$130:$F$134,MATCH('All Options'!$E$17,'Valid Data-GPG'!$B$130:$F$130,0),0)*'All Options'!$E$17)*IF(Select="Deferred Annuity",A68&gt;DP,1)+AE68+AF68*AG68*$AG$21)*(A68&gt;0)</f>
        <v>#N/A</v>
      </c>
      <c r="E68" s="103">
        <v>0</v>
      </c>
      <c r="F68" s="103" t="e">
        <f t="shared" si="18"/>
        <v>#N/A</v>
      </c>
      <c r="G68" s="103">
        <f t="shared" si="37"/>
        <v>0</v>
      </c>
      <c r="H68" s="285">
        <f t="shared" si="19"/>
        <v>0</v>
      </c>
      <c r="I68" s="103">
        <f t="shared" si="20"/>
        <v>0</v>
      </c>
      <c r="J68" s="101"/>
      <c r="K68" s="175">
        <f t="shared" si="49"/>
        <v>101</v>
      </c>
      <c r="L68" s="175"/>
      <c r="M68" s="175"/>
      <c r="N68" s="175"/>
      <c r="O68" s="175"/>
      <c r="P68" s="175"/>
      <c r="Q68" s="175"/>
      <c r="R68" s="175">
        <f t="shared" si="50"/>
        <v>0</v>
      </c>
      <c r="U68" s="162"/>
      <c r="AB68" s="175" t="e">
        <f>(VLOOKUP(CONCATENATE($D$14,$D$15),'All Options'!$AB$36:$AC$47,4,0)*VLOOKUP('All Options'!$E$22,'Valid Data-GPG'!$B$130:$F$134,MATCH('All Options'!$E$17,'Valid Data-GPG'!$B$130:$F$130,0),0)*'All Options'!$E$17)*IF(Select="Deferred Annuity",A68&gt;DP,1)*(A68&gt;0)</f>
        <v>#N/A</v>
      </c>
      <c r="AC68" s="175">
        <f t="shared" si="38"/>
        <v>0</v>
      </c>
      <c r="AD68" s="175">
        <f>SUM($AC$26:AC68)</f>
        <v>0</v>
      </c>
      <c r="AE68" s="175">
        <f t="shared" si="39"/>
        <v>0</v>
      </c>
      <c r="AF68" s="175">
        <f t="shared" si="40"/>
        <v>250000</v>
      </c>
      <c r="AG68" s="175" t="b">
        <f>(SUM($AF$26:AF68)&lt;=$AB$17)</f>
        <v>0</v>
      </c>
      <c r="AY68" s="175"/>
      <c r="AZ68" s="66">
        <f>((MAX((SUM($B$26:C68)+(VLOOKUP($AZ$25,'All Options'!$AB$36:$AC$46,2,0)*VLOOKUP('All Options'!$E$22,'Valid Data-GPG'!$B$130:$F$134,MATCH('All Options'!$E$17,'Valid Data-GPG'!$B$130:$F$130,0),0)*'All Options'!$E$17)*(IF(A68&lt;=DP,A68,0))),105%*SUM($B$26:C68)))*(AND(A68&lt;&gt;0,Output!A68&lt;=DP))+(0)*(A68&gt;DP))*$AZ$21</f>
        <v>0</v>
      </c>
      <c r="BA68" s="175" t="e">
        <f>((MAX((SUM($B$26:C68)+(VLOOKUP($BA$25,'All Options'!$AB$36:$AC$46,2,0)*VLOOKUP('All Options'!$E$22,'Valid Data-GPG'!$B$130:$F$134,MATCH('All Options'!$E$17,'Valid Data-GPG'!$B$130:$F$130,0),0)*'All Options'!$E$17)*(IF(A68&lt;=DP,A68,0))),105%*SUM($B$26:C68)))*(Output!A68&lt;=DP)
+MAX((SUM($B$26:C68)+(VLOOKUP($BA$25,'All Options'!$AB$36:$AC$46,2,0)*VLOOKUP('All Options'!$E$22,'Valid Data-GPG'!$B$130:$F$134,MATCH('All Options'!$E$17,'Valid Data-GPG'!$B$130:$F$130,0),0)*'All Options'!$E$17)*DP-D68*(A68-DP)),SUM($B$26:C68))*(A68&gt;DP))*$BA$21</f>
        <v>#N/A</v>
      </c>
      <c r="BB68" s="175">
        <f>((MAX(($AB$17+(VLOOKUP($BB$25,'All Options'!$AB$36:$AC$46,2,0)*VLOOKUP('All Options'!$E$22,'Valid Data-GPG'!$B$130:$F$134,MATCH('All Options'!$E$17,'Valid Data-GPG'!$B$130:$F$130,0),0)*'All Options'!$E$17)*(IF(A68&lt;=DP,A68,0))),105%*$AB$17))*(Output!A68&lt;=DP)+(0)*(A68&gt;DP))*$BB$21</f>
        <v>0</v>
      </c>
      <c r="BC68" s="175" t="e">
        <f>((MAX(($AB$17+(VLOOKUP($BC$25,'All Options'!$AB$36:$AC$46,2,0)*VLOOKUP('All Options'!$E$22,'Valid Data-GPG'!$B$130:$F$134,MATCH('All Options'!$E$17,'Valid Data-GPG'!$B$130:$F$130,0),0)*'All Options'!$E$17)*(IF(A68&lt;=DP,A68,0))),105%*$AB$17))*(Output!A68&lt;=DP)+
MAX(($AB$17+(VLOOKUP($BC$25,'All Options'!$AB$36:$AC$46,2,0)*VLOOKUP('All Options'!$E$22,'Valid Data-GPG'!$B$130:$F$134,MATCH('All Options'!$E$17,'Valid Data-GPG'!$B$130:$F$130,0),0)*'All Options'!$E$17)*DP-D68*(A68-DP)),$AB$17)*(A68&gt;DP))*$BC$21</f>
        <v>#N/A</v>
      </c>
      <c r="BD68" s="175">
        <f ca="1">IFERROR((MAX(($AB$17+(VLOOKUP($BD$25,'All Options'!$AB$36:$AC$46,2,0)*VLOOKUP('All Options'!$E$22,'Valid Data-GPG'!$B$130:$F$134,MATCH('All Options'!$E$17,'Valid Data-GPG'!$B$130:$F$130,0),0)*'All Options'!$E$17)*(IF(A68&lt;=DP,A68,0))),105%*$AB$17))*(Output!A68&lt;=DP)
+MAX(($AB$17+(VLOOKUP($BD$25,'All Options'!$AB$36:$AC$46,2,0)*VLOOKUP('All Options'!$E$22,'Valid Data-GPG'!$B$130:$F$134,MATCH('All Options'!$E$17,'Valid Data-GPG'!$B$130:$F$130,0),0)*'All Options'!$E$17)*DP-D68*(A68-DP)),$AB$17)*(A68&gt;DP),0)*$BD$21</f>
        <v>0</v>
      </c>
      <c r="BE68" s="66">
        <f>IFERROR((MAX(($AB$17+(VLOOKUP($BE$25,'All Options'!$AB$36:$AC$46,2,0)*VLOOKUP('All Options'!$E$22,'Valid Data-GPG'!$B$130:$F$134,MATCH('All Options'!$E$17,'Valid Data-GPG'!$B$130:$F$130,0),0)*'All Options'!$E$17)*(IF(A68&lt;=DP,A68,0))),105%*$AB$17))*(Output!A68&lt;=DP)
+(MAX($AB$17+(VLOOKUP($BE$25,'All Options'!$AB$36:$AC$46,2,0)*VLOOKUP('All Options'!$E$22,'Valid Data-GPG'!$B$130:$F$134,MATCH('All Options'!$E$17,'Valid Data-GPG'!$B$130:$F$130,0),0)*'All Options'!$E$17)*DP-AB68*(A68-DP),$AB$17)*(MAX(A68&lt;=25,K68&lt;85)))*(A68&gt;DP),0)*$BE$21</f>
        <v>0</v>
      </c>
      <c r="BF68" s="175">
        <f>IFERROR((MAX(($AB$17+(VLOOKUP($BF$25,'All Options'!$AB$36:$AC$46,2,0)*VLOOKUP('All Options'!$E$22,'Valid Data-GPG'!$B$130:$F$134,MATCH('All Options'!$E$17,'Valid Data-GPG'!$B$130:$F$130,0),0)*'All Options'!$E$17)*(IF(A68&lt;=DP,A68,0))),105%*$AB$17))*(Output!A68&lt;=DP)
+(MAX($AB$17+(VLOOKUP($BF$25,'All Options'!$AB$36:$AC$46,2,0)*VLOOKUP('All Options'!$E$22,'Valid Data-GPG'!$B$130:$F$134,MATCH('All Options'!$E$17,'Valid Data-GPG'!$B$130:$F$130,0),0)*'All Options'!$E$17)*DP-AB68*(A68-DP),$AB$17)-SUM($AF$26:AF68)*AG68)*(A68&gt;DP)*AG68,0)*$BF$21</f>
        <v>0</v>
      </c>
      <c r="BG68" s="175">
        <f t="shared" si="23"/>
        <v>0</v>
      </c>
      <c r="BH68" s="182">
        <f t="shared" si="41"/>
        <v>5000000</v>
      </c>
      <c r="BI68" s="175">
        <f t="shared" si="24"/>
        <v>0</v>
      </c>
      <c r="BJ68" s="175">
        <f t="shared" si="25"/>
        <v>0</v>
      </c>
      <c r="BK68" s="175">
        <f t="shared" si="26"/>
        <v>0</v>
      </c>
      <c r="BL68" s="175">
        <f t="shared" si="27"/>
        <v>0</v>
      </c>
      <c r="BM68" s="175">
        <f t="shared" si="28"/>
        <v>0</v>
      </c>
      <c r="BN68" s="175">
        <f t="shared" si="29"/>
        <v>0</v>
      </c>
      <c r="BO68" s="182">
        <f t="shared" si="42"/>
        <v>0</v>
      </c>
      <c r="BP68" s="182">
        <f t="shared" si="43"/>
        <v>0</v>
      </c>
      <c r="BQ68" s="182">
        <f>MAX($AB$17-SUM($AF$26:AF68),0)*$BQ$21</f>
        <v>0</v>
      </c>
      <c r="BS68" s="175">
        <f t="shared" si="44"/>
        <v>1</v>
      </c>
      <c r="BT68" s="175">
        <f>IFERROR(IF(A68&lt;=1,0,VLOOKUP(DP,'Valid Data-GPG'!$A$116:$J$122,MATCH(Output!A68,'Valid Data-GPG'!$A$116:$J$116,0),FALSE)*SUM($B$26:C68))*(A68&lt;=DP),0)*$BT$21</f>
        <v>0</v>
      </c>
      <c r="BU68" s="175">
        <f>IFERROR(IF(A68&lt;=1,0,VLOOKUP(DP,'Valid Data-GPG'!$A$116:$J$122,MATCH(Output!A68,'Valid Data-GPG'!$A$116:$J$116,0),FALSE)*SUM($B$26:C68))*(A68&lt;=DP),0)*$BU$21</f>
        <v>0</v>
      </c>
      <c r="BV68" s="175">
        <f t="shared" si="45"/>
        <v>0</v>
      </c>
      <c r="BW68" s="175">
        <f t="shared" ref="BW68:BW90" si="51">((75%*$AB$17)*(AND(A68&gt;1,A68&lt;=3))+(90%*$AB$17)*(AND(A68&gt;3,A68&lt;=DP)))*$BW$21</f>
        <v>0</v>
      </c>
      <c r="BX68" s="175">
        <f t="shared" ref="BX68:BX90" si="52">((75%*$AB$17)*(AND(A68&gt;1,A68&lt;=3))+(90%*$AB$17)*(AND(A68&gt;3,A68&lt;=DP)))*$BX$21</f>
        <v>0</v>
      </c>
      <c r="BY68" s="175">
        <f t="shared" ref="BY68:BY90" si="53">((75%*$AB$17)*(AND(A68&gt;1,A68&lt;=3))+(90%*$AB$17)*(AND(A68&gt;3,A68&lt;=DP)))*$BY$21</f>
        <v>0</v>
      </c>
      <c r="BZ68" s="175">
        <f t="shared" ref="BZ68:BZ90" si="54">((75%*$AB$17)*(AND(A68&gt;1,A68&lt;=3))+(90%*$AB$17)*(AND(A68&gt;3,A68&lt;=DP)))*$BZ$21</f>
        <v>0</v>
      </c>
      <c r="CA68" s="175">
        <f>(INDEX('SV calc_ignore'!$J$10:$J$1341,12*Output!A68-0))*BS68</f>
        <v>0</v>
      </c>
      <c r="CB68" s="175">
        <f t="shared" si="30"/>
        <v>0</v>
      </c>
      <c r="CC68" s="175">
        <f>(INDEX('SV calc_ignore'!$J$10:$J$1341,12*Output!A68-0))*BS68</f>
        <v>0</v>
      </c>
      <c r="CD68" s="175">
        <f t="shared" si="31"/>
        <v>0</v>
      </c>
      <c r="CE68" s="66">
        <f>(INDEX('SV calc_ignore'!$J$10:$J$1341,12*Output!A68-0))*($CE$21)</f>
        <v>0</v>
      </c>
      <c r="CF68" s="175">
        <f t="shared" si="32"/>
        <v>0</v>
      </c>
      <c r="CG68" s="175">
        <f>(INDEX('SV calc_ignore'!$J$10:$J$1341,12*Output!A68-0))*($CG$21)*(A68&gt;1)</f>
        <v>0</v>
      </c>
      <c r="CH68" s="175">
        <f>(INDEX('SV calc_ignore'!$J$10:$J$1341,12*Output!A68-0))*($CH$21)*(A68&gt;1)</f>
        <v>0</v>
      </c>
      <c r="CI68" s="175"/>
      <c r="CJ68" s="66">
        <f>(INDEX('SV calc_ignore'!$J$10:$J$1341,12*Output!A68-0))*($CJ$21)*(A68&gt;1)</f>
        <v>0</v>
      </c>
      <c r="CK68" s="66">
        <f>(INDEX('SV calc_ignore'!$Q$10:$Q$1341,12*Output!A68-0))*(AND(A68&gt;1,R68&lt;20))*($CK$21)</f>
        <v>0</v>
      </c>
      <c r="CL68" s="66">
        <f t="shared" si="33"/>
        <v>0</v>
      </c>
      <c r="CM68" s="175">
        <f>((INDEX('SV calc_ignore'!$J$10:$J$1341,12*Output!A68-0))+(INDEX('SV calc_ignore'!$O$10:$O$1341,12*Output!A68-0))*(A68&lt;'SV calc_ignore'!$Q$5))*(A68&gt;1)*($CM$21)</f>
        <v>0</v>
      </c>
      <c r="CN68" s="175">
        <v>0</v>
      </c>
      <c r="CO68" s="175">
        <f>(INDEX('SV calc_ignore'!$J$10:$J$1341,12*Output!A68-0))*(A68&gt;1)*($CO$21)</f>
        <v>0</v>
      </c>
      <c r="CP68" s="175">
        <v>0</v>
      </c>
      <c r="CQ68" s="175">
        <v>0</v>
      </c>
      <c r="CR68" s="175">
        <v>0</v>
      </c>
      <c r="CS68" s="175">
        <v>0</v>
      </c>
      <c r="CT68" s="175">
        <v>0</v>
      </c>
      <c r="CU68" s="175">
        <v>0</v>
      </c>
      <c r="CV68" s="175">
        <f>(INDEX('SV calc_ignore'!$J$10:$J$1341,12*Output!A68-0))*(A68&gt;1)*($CV$21)</f>
        <v>0</v>
      </c>
      <c r="CW68" s="66">
        <f>((INDEX('SV calc_ignore'!$J$10:$J$1341,12*Output!A68-0))+(INDEX('SV calc_ignore'!$O$10:$O$1351,12*Output!A68-0))*(A68&lt;'SV calc_ignore'!$Q$5))*(A68&gt;1)*($CW$21)</f>
        <v>0</v>
      </c>
      <c r="CX68" s="175">
        <f>(INDEX('SV calc_ignore'!$J$10:$J$1341,12*Output!A68-0))*(A68&gt;1)*($CX$21)</f>
        <v>0</v>
      </c>
      <c r="CY68" s="175">
        <f>(INDEX('SV calc_ignore'!$Q$10:$Q$1341,12*Output!A68-0))*(AND(A68&gt;1,R68&lt;20))*($CY$21)</f>
        <v>0</v>
      </c>
      <c r="CZ68" s="175">
        <f t="shared" si="34"/>
        <v>0</v>
      </c>
      <c r="DE68" s="43">
        <f>IF($DE$23,0,VLOOKUP(IF(A68&lt;=DP,DJ68,DI68),SSV!$B$6:$C$116,2,FALSE)*VLOOKUP(AnnuityOption,'All Options'!$AB$36:$AC$47,2,FALSE)*VLOOKUP('All Options'!$E$22,'Valid Data-GPG'!$B$130:$F$134,MATCH('All Options'!$E$17,'Valid Data-GPG'!$B$130:$F$130,0),0)*'All Options'!$E$17)*(IF(AND(Select="Deferred Annuity",AnnuityOption="Life Annuity"),A68&lt;=DP,1))</f>
        <v>843333.53867965029</v>
      </c>
      <c r="DF68" s="43">
        <f>IF($DF$23,0,IF($DQ$25,DQ68,IF($DR$25,DR68,VLOOKUP(IF(A68&lt;=DP,DJ68,DI68),SSV!$G$6:$H$116,2,FALSE)*SUM($B$27:B68))))</f>
        <v>3845609</v>
      </c>
      <c r="DG68" s="43" t="e">
        <f>IF(A68&lt;=DP,VLOOKUP(DP-A67,SSV!$T$6:$U$15,2,FALSE),1)</f>
        <v>#N/A</v>
      </c>
      <c r="DH68" s="282" t="e">
        <f t="shared" si="46"/>
        <v>#VALUE!</v>
      </c>
      <c r="DI68" s="43">
        <f>IF($DM$26,MIN(Age,'All Options'!$E$21)+A67,IF($DN$26,(Age+A67)-Age+60,IF($DO$26,(Age+A67)-Age+55,Age+A67)))</f>
        <v>101</v>
      </c>
      <c r="DJ68" s="279">
        <f>IF($DM$26,MIN(Age+A68,'All Options'!$E$21+A68),IF($DN$26,(Age+A68)-(Age+$A$27)+60,IF($DO$26,(Age+A68)-(Age+$A$27)+55,Age+A68)))</f>
        <v>102</v>
      </c>
      <c r="DP68" s="43">
        <f t="shared" si="35"/>
        <v>0</v>
      </c>
      <c r="DQ68" s="43">
        <f>IFERROR(VLOOKUP(IF(A68&lt;=DP,DJ68,DI68),SSV!$K$6:$L$91,2,FALSE)*SUM($B$27:B68),0)*($DQ$25)</f>
        <v>0</v>
      </c>
      <c r="DR68" s="43">
        <f>IFERROR(VLOOKUP(IF(A68&lt;=DP,DJ68,DI68),SSV!$O$6:$P$95,2,FALSE)*SUM($B$27:B68),0)*($DR$25)</f>
        <v>0</v>
      </c>
      <c r="DU68" s="175">
        <f t="shared" si="47"/>
        <v>1</v>
      </c>
    </row>
    <row r="69" spans="1:125" ht="12.75" customHeight="1" x14ac:dyDescent="0.2">
      <c r="A69" s="146">
        <f t="shared" si="48"/>
        <v>43</v>
      </c>
      <c r="B69" s="670">
        <f>IF(PremiumType="Regular Premium",'All Options'!$E$18*'All Options'!$E$22*(AND(Output!A69&lt;=PPT,A69&gt;=1)),'All Options'!$E$18*(A69=1))</f>
        <v>0</v>
      </c>
      <c r="C69" s="671"/>
      <c r="D69" s="103" t="e">
        <f>((VLOOKUP(CONCATENATE($D$14,$D$15),'All Options'!$AB$36:$AC$47,4,0)*VLOOKUP('All Options'!$E$22,'Valid Data-GPG'!$B$130:$F$134,MATCH('All Options'!$E$17,'Valid Data-GPG'!$B$130:$F$130,0),0)*'All Options'!$E$17)*IF(Select="Deferred Annuity",A69&gt;DP,1)+AE69+AF69*AG69*$AG$21)*(A69&gt;0)</f>
        <v>#N/A</v>
      </c>
      <c r="E69" s="103">
        <v>0</v>
      </c>
      <c r="F69" s="103" t="e">
        <f t="shared" si="18"/>
        <v>#N/A</v>
      </c>
      <c r="G69" s="103">
        <f t="shared" si="37"/>
        <v>0</v>
      </c>
      <c r="H69" s="285">
        <f t="shared" si="19"/>
        <v>0</v>
      </c>
      <c r="I69" s="103">
        <f t="shared" si="20"/>
        <v>0</v>
      </c>
      <c r="J69" s="101"/>
      <c r="K69" s="175">
        <f t="shared" si="49"/>
        <v>102</v>
      </c>
      <c r="L69" s="175"/>
      <c r="M69" s="175"/>
      <c r="N69" s="175"/>
      <c r="O69" s="175"/>
      <c r="P69" s="175"/>
      <c r="Q69" s="175"/>
      <c r="R69" s="175">
        <f t="shared" si="50"/>
        <v>0</v>
      </c>
      <c r="U69" s="162"/>
      <c r="AB69" s="175" t="e">
        <f>(VLOOKUP(CONCATENATE($D$14,$D$15),'All Options'!$AB$36:$AC$47,4,0)*VLOOKUP('All Options'!$E$22,'Valid Data-GPG'!$B$130:$F$134,MATCH('All Options'!$E$17,'Valid Data-GPG'!$B$130:$F$130,0),0)*'All Options'!$E$17)*IF(Select="Deferred Annuity",A69&gt;DP,1)*(A69&gt;0)</f>
        <v>#N/A</v>
      </c>
      <c r="AC69" s="175">
        <f t="shared" si="38"/>
        <v>0</v>
      </c>
      <c r="AD69" s="175">
        <f>SUM($AC$26:AC69)</f>
        <v>0</v>
      </c>
      <c r="AE69" s="175">
        <f t="shared" si="39"/>
        <v>0</v>
      </c>
      <c r="AF69" s="175">
        <f t="shared" si="40"/>
        <v>250000</v>
      </c>
      <c r="AG69" s="175" t="b">
        <f>(SUM($AF$26:AF69)&lt;=$AB$17)</f>
        <v>0</v>
      </c>
      <c r="AY69" s="175"/>
      <c r="AZ69" s="66">
        <f>((MAX((SUM($B$26:C69)+(VLOOKUP($AZ$25,'All Options'!$AB$36:$AC$46,2,0)*VLOOKUP('All Options'!$E$22,'Valid Data-GPG'!$B$130:$F$134,MATCH('All Options'!$E$17,'Valid Data-GPG'!$B$130:$F$130,0),0)*'All Options'!$E$17)*(IF(A69&lt;=DP,A69,0))),105%*SUM($B$26:C69)))*(AND(A69&lt;&gt;0,Output!A69&lt;=DP))+(0)*(A69&gt;DP))*$AZ$21</f>
        <v>0</v>
      </c>
      <c r="BA69" s="175" t="e">
        <f>((MAX((SUM($B$26:C69)+(VLOOKUP($BA$25,'All Options'!$AB$36:$AC$46,2,0)*VLOOKUP('All Options'!$E$22,'Valid Data-GPG'!$B$130:$F$134,MATCH('All Options'!$E$17,'Valid Data-GPG'!$B$130:$F$130,0),0)*'All Options'!$E$17)*(IF(A69&lt;=DP,A69,0))),105%*SUM($B$26:C69)))*(Output!A69&lt;=DP)
+MAX((SUM($B$26:C69)+(VLOOKUP($BA$25,'All Options'!$AB$36:$AC$46,2,0)*VLOOKUP('All Options'!$E$22,'Valid Data-GPG'!$B$130:$F$134,MATCH('All Options'!$E$17,'Valid Data-GPG'!$B$130:$F$130,0),0)*'All Options'!$E$17)*DP-D69*(A69-DP)),SUM($B$26:C69))*(A69&gt;DP))*$BA$21</f>
        <v>#N/A</v>
      </c>
      <c r="BB69" s="175">
        <f>((MAX(($AB$17+(VLOOKUP($BB$25,'All Options'!$AB$36:$AC$46,2,0)*VLOOKUP('All Options'!$E$22,'Valid Data-GPG'!$B$130:$F$134,MATCH('All Options'!$E$17,'Valid Data-GPG'!$B$130:$F$130,0),0)*'All Options'!$E$17)*(IF(A69&lt;=DP,A69,0))),105%*$AB$17))*(Output!A69&lt;=DP)+(0)*(A69&gt;DP))*$BB$21</f>
        <v>0</v>
      </c>
      <c r="BC69" s="175" t="e">
        <f>((MAX(($AB$17+(VLOOKUP($BC$25,'All Options'!$AB$36:$AC$46,2,0)*VLOOKUP('All Options'!$E$22,'Valid Data-GPG'!$B$130:$F$134,MATCH('All Options'!$E$17,'Valid Data-GPG'!$B$130:$F$130,0),0)*'All Options'!$E$17)*(IF(A69&lt;=DP,A69,0))),105%*$AB$17))*(Output!A69&lt;=DP)+
MAX(($AB$17+(VLOOKUP($BC$25,'All Options'!$AB$36:$AC$46,2,0)*VLOOKUP('All Options'!$E$22,'Valid Data-GPG'!$B$130:$F$134,MATCH('All Options'!$E$17,'Valid Data-GPG'!$B$130:$F$130,0),0)*'All Options'!$E$17)*DP-D69*(A69-DP)),$AB$17)*(A69&gt;DP))*$BC$21</f>
        <v>#N/A</v>
      </c>
      <c r="BD69" s="175">
        <f ca="1">IFERROR((MAX(($AB$17+(VLOOKUP($BD$25,'All Options'!$AB$36:$AC$46,2,0)*VLOOKUP('All Options'!$E$22,'Valid Data-GPG'!$B$130:$F$134,MATCH('All Options'!$E$17,'Valid Data-GPG'!$B$130:$F$130,0),0)*'All Options'!$E$17)*(IF(A69&lt;=DP,A69,0))),105%*$AB$17))*(Output!A69&lt;=DP)
+MAX(($AB$17+(VLOOKUP($BD$25,'All Options'!$AB$36:$AC$46,2,0)*VLOOKUP('All Options'!$E$22,'Valid Data-GPG'!$B$130:$F$134,MATCH('All Options'!$E$17,'Valid Data-GPG'!$B$130:$F$130,0),0)*'All Options'!$E$17)*DP-D69*(A69-DP)),$AB$17)*(A69&gt;DP),0)*$BD$21</f>
        <v>0</v>
      </c>
      <c r="BE69" s="66">
        <f>IFERROR((MAX(($AB$17+(VLOOKUP($BE$25,'All Options'!$AB$36:$AC$46,2,0)*VLOOKUP('All Options'!$E$22,'Valid Data-GPG'!$B$130:$F$134,MATCH('All Options'!$E$17,'Valid Data-GPG'!$B$130:$F$130,0),0)*'All Options'!$E$17)*(IF(A69&lt;=DP,A69,0))),105%*$AB$17))*(Output!A69&lt;=DP)
+(MAX($AB$17+(VLOOKUP($BE$25,'All Options'!$AB$36:$AC$46,2,0)*VLOOKUP('All Options'!$E$22,'Valid Data-GPG'!$B$130:$F$134,MATCH('All Options'!$E$17,'Valid Data-GPG'!$B$130:$F$130,0),0)*'All Options'!$E$17)*DP-AB69*(A69-DP),$AB$17)*(MAX(A69&lt;=25,K69&lt;85)))*(A69&gt;DP),0)*$BE$21</f>
        <v>0</v>
      </c>
      <c r="BF69" s="175">
        <f>IFERROR((MAX(($AB$17+(VLOOKUP($BF$25,'All Options'!$AB$36:$AC$46,2,0)*VLOOKUP('All Options'!$E$22,'Valid Data-GPG'!$B$130:$F$134,MATCH('All Options'!$E$17,'Valid Data-GPG'!$B$130:$F$130,0),0)*'All Options'!$E$17)*(IF(A69&lt;=DP,A69,0))),105%*$AB$17))*(Output!A69&lt;=DP)
+(MAX($AB$17+(VLOOKUP($BF$25,'All Options'!$AB$36:$AC$46,2,0)*VLOOKUP('All Options'!$E$22,'Valid Data-GPG'!$B$130:$F$134,MATCH('All Options'!$E$17,'Valid Data-GPG'!$B$130:$F$130,0),0)*'All Options'!$E$17)*DP-AB69*(A69-DP),$AB$17)-SUM($AF$26:AF69)*AG69)*(A69&gt;DP)*AG69,0)*$BF$21</f>
        <v>0</v>
      </c>
      <c r="BG69" s="175">
        <f t="shared" si="23"/>
        <v>0</v>
      </c>
      <c r="BH69" s="182">
        <f t="shared" si="41"/>
        <v>5000000</v>
      </c>
      <c r="BI69" s="175">
        <f t="shared" si="24"/>
        <v>0</v>
      </c>
      <c r="BJ69" s="175">
        <f t="shared" si="25"/>
        <v>0</v>
      </c>
      <c r="BK69" s="175">
        <f t="shared" si="26"/>
        <v>0</v>
      </c>
      <c r="BL69" s="175">
        <f t="shared" si="27"/>
        <v>0</v>
      </c>
      <c r="BM69" s="175">
        <f t="shared" si="28"/>
        <v>0</v>
      </c>
      <c r="BN69" s="175">
        <f t="shared" si="29"/>
        <v>0</v>
      </c>
      <c r="BO69" s="182">
        <f t="shared" si="42"/>
        <v>0</v>
      </c>
      <c r="BP69" s="182">
        <f t="shared" si="43"/>
        <v>0</v>
      </c>
      <c r="BQ69" s="182">
        <f>MAX($AB$17-SUM($AF$26:AF69),0)*$BQ$21</f>
        <v>0</v>
      </c>
      <c r="BS69" s="175">
        <f t="shared" si="44"/>
        <v>1</v>
      </c>
      <c r="BT69" s="175">
        <f>IFERROR(IF(A69&lt;=1,0,VLOOKUP(DP,'Valid Data-GPG'!$A$116:$J$122,MATCH(Output!A69,'Valid Data-GPG'!$A$116:$J$116,0),FALSE)*SUM($B$26:C69))*(A69&lt;=DP),0)*$BT$21</f>
        <v>0</v>
      </c>
      <c r="BU69" s="175">
        <f>IFERROR(IF(A69&lt;=1,0,VLOOKUP(DP,'Valid Data-GPG'!$A$116:$J$122,MATCH(Output!A69,'Valid Data-GPG'!$A$116:$J$116,0),FALSE)*SUM($B$26:C69))*(A69&lt;=DP),0)*$BU$21</f>
        <v>0</v>
      </c>
      <c r="BV69" s="175">
        <f t="shared" si="45"/>
        <v>0</v>
      </c>
      <c r="BW69" s="175">
        <f t="shared" si="51"/>
        <v>0</v>
      </c>
      <c r="BX69" s="175">
        <f t="shared" si="52"/>
        <v>0</v>
      </c>
      <c r="BY69" s="175">
        <f t="shared" si="53"/>
        <v>0</v>
      </c>
      <c r="BZ69" s="175">
        <f t="shared" si="54"/>
        <v>0</v>
      </c>
      <c r="CA69" s="175">
        <f>(INDEX('SV calc_ignore'!$J$10:$J$1341,12*Output!A69-0))*BS69</f>
        <v>0</v>
      </c>
      <c r="CB69" s="175">
        <f t="shared" si="30"/>
        <v>0</v>
      </c>
      <c r="CC69" s="175">
        <f>(INDEX('SV calc_ignore'!$J$10:$J$1341,12*Output!A69-0))*BS69</f>
        <v>0</v>
      </c>
      <c r="CD69" s="175">
        <f t="shared" si="31"/>
        <v>0</v>
      </c>
      <c r="CE69" s="66">
        <f>(INDEX('SV calc_ignore'!$J$10:$J$1341,12*Output!A69-0))*($CE$21)</f>
        <v>0</v>
      </c>
      <c r="CF69" s="175">
        <f t="shared" si="32"/>
        <v>0</v>
      </c>
      <c r="CG69" s="175">
        <f>(INDEX('SV calc_ignore'!$J$10:$J$1341,12*Output!A69-0))*($CG$21)*(A69&gt;1)</f>
        <v>0</v>
      </c>
      <c r="CH69" s="175">
        <f>(INDEX('SV calc_ignore'!$J$10:$J$1341,12*Output!A69-0))*($CH$21)*(A69&gt;1)</f>
        <v>0</v>
      </c>
      <c r="CI69" s="175"/>
      <c r="CJ69" s="66">
        <f>(INDEX('SV calc_ignore'!$J$10:$J$1341,12*Output!A69-0))*($CJ$21)*(A69&gt;1)</f>
        <v>0</v>
      </c>
      <c r="CK69" s="66">
        <f>(INDEX('SV calc_ignore'!$Q$10:$Q$1341,12*Output!A69-0))*(AND(A69&gt;1,R69&lt;20))*($CK$21)</f>
        <v>0</v>
      </c>
      <c r="CL69" s="66">
        <f t="shared" si="33"/>
        <v>0</v>
      </c>
      <c r="CM69" s="175">
        <f>((INDEX('SV calc_ignore'!$J$10:$J$1341,12*Output!A69-0))+(INDEX('SV calc_ignore'!$O$10:$O$1341,12*Output!A69-0))*(A69&lt;'SV calc_ignore'!$Q$5))*(A69&gt;1)*($CM$21)</f>
        <v>0</v>
      </c>
      <c r="CN69" s="175">
        <v>0</v>
      </c>
      <c r="CO69" s="175">
        <f>(INDEX('SV calc_ignore'!$J$10:$J$1341,12*Output!A69-0))*(A69&gt;1)*($CO$21)</f>
        <v>0</v>
      </c>
      <c r="CP69" s="175">
        <v>0</v>
      </c>
      <c r="CQ69" s="175">
        <v>0</v>
      </c>
      <c r="CR69" s="175">
        <v>0</v>
      </c>
      <c r="CS69" s="175">
        <v>0</v>
      </c>
      <c r="CT69" s="175">
        <v>0</v>
      </c>
      <c r="CU69" s="175">
        <v>0</v>
      </c>
      <c r="CV69" s="175">
        <f>(INDEX('SV calc_ignore'!$J$10:$J$1341,12*Output!A69-0))*(A69&gt;1)*($CV$21)</f>
        <v>0</v>
      </c>
      <c r="CW69" s="66">
        <f>((INDEX('SV calc_ignore'!$J$10:$J$1341,12*Output!A69-0))+(INDEX('SV calc_ignore'!$O$10:$O$1351,12*Output!A69-0))*(A69&lt;'SV calc_ignore'!$Q$5))*(A69&gt;1)*($CW$21)</f>
        <v>0</v>
      </c>
      <c r="CX69" s="175">
        <f>(INDEX('SV calc_ignore'!$J$10:$J$1341,12*Output!A69-0))*(A69&gt;1)*($CX$21)</f>
        <v>0</v>
      </c>
      <c r="CY69" s="175">
        <f>(INDEX('SV calc_ignore'!$Q$10:$Q$1341,12*Output!A69-0))*(AND(A69&gt;1,R69&lt;20))*($CY$21)</f>
        <v>0</v>
      </c>
      <c r="CZ69" s="175">
        <f t="shared" si="34"/>
        <v>0</v>
      </c>
      <c r="DE69" s="43">
        <f>IF($DE$23,0,VLOOKUP(IF(A69&lt;=DP,DJ69,DI69),SSV!$B$6:$C$116,2,FALSE)*VLOOKUP(AnnuityOption,'All Options'!$AB$36:$AC$47,2,FALSE)*VLOOKUP('All Options'!$E$22,'Valid Data-GPG'!$B$130:$F$134,MATCH('All Options'!$E$17,'Valid Data-GPG'!$B$130:$F$130,0),0)*'All Options'!$E$17)*(IF(AND(Select="Deferred Annuity",AnnuityOption="Life Annuity"),A69&lt;=DP,1))</f>
        <v>800998.41855275328</v>
      </c>
      <c r="DF69" s="43">
        <f>IF($DF$23,0,IF($DQ$25,DQ69,IF($DR$25,DR69,VLOOKUP(IF(A69&lt;=DP,DJ69,DI69),SSV!$G$6:$H$116,2,FALSE)*SUM($B$27:B69))))</f>
        <v>3897383</v>
      </c>
      <c r="DG69" s="43" t="e">
        <f>IF(A69&lt;=DP,VLOOKUP(DP-A68,SSV!$T$6:$U$15,2,FALSE),1)</f>
        <v>#N/A</v>
      </c>
      <c r="DH69" s="282" t="e">
        <f t="shared" si="46"/>
        <v>#VALUE!</v>
      </c>
      <c r="DI69" s="43">
        <f>IF($DM$26,MIN(Age,'All Options'!$E$21)+A68,IF($DN$26,(Age+A68)-Age+60,IF($DO$26,(Age+A68)-Age+55,Age+A68)))</f>
        <v>102</v>
      </c>
      <c r="DJ69" s="279">
        <f>IF($DM$26,MIN(Age+A69,'All Options'!$E$21+A69),IF($DN$26,(Age+A69)-(Age+$A$27)+60,IF($DO$26,(Age+A69)-(Age+$A$27)+55,Age+A69)))</f>
        <v>103</v>
      </c>
      <c r="DP69" s="43">
        <f t="shared" si="35"/>
        <v>0</v>
      </c>
      <c r="DQ69" s="43">
        <f>IFERROR(VLOOKUP(IF(A69&lt;=DP,DJ69,DI69),SSV!$K$6:$L$91,2,FALSE)*SUM($B$27:B69),0)*($DQ$25)</f>
        <v>0</v>
      </c>
      <c r="DR69" s="43">
        <f>IFERROR(VLOOKUP(IF(A69&lt;=DP,DJ69,DI69),SSV!$O$6:$P$95,2,FALSE)*SUM($B$27:B69),0)*($DR$25)</f>
        <v>0</v>
      </c>
      <c r="DU69" s="175">
        <f t="shared" si="47"/>
        <v>1</v>
      </c>
    </row>
    <row r="70" spans="1:125" ht="12.75" customHeight="1" x14ac:dyDescent="0.2">
      <c r="A70" s="146">
        <f t="shared" si="48"/>
        <v>44</v>
      </c>
      <c r="B70" s="670">
        <f>IF(PremiumType="Regular Premium",'All Options'!$E$18*'All Options'!$E$22*(AND(Output!A70&lt;=PPT,A70&gt;=1)),'All Options'!$E$18*(A70=1))</f>
        <v>0</v>
      </c>
      <c r="C70" s="671"/>
      <c r="D70" s="103" t="e">
        <f>((VLOOKUP(CONCATENATE($D$14,$D$15),'All Options'!$AB$36:$AC$47,4,0)*VLOOKUP('All Options'!$E$22,'Valid Data-GPG'!$B$130:$F$134,MATCH('All Options'!$E$17,'Valid Data-GPG'!$B$130:$F$130,0),0)*'All Options'!$E$17)*IF(Select="Deferred Annuity",A70&gt;DP,1)+AE70+AF70*AG70*$AG$21)*(A70&gt;0)</f>
        <v>#N/A</v>
      </c>
      <c r="E70" s="103">
        <v>0</v>
      </c>
      <c r="F70" s="103" t="e">
        <f t="shared" si="18"/>
        <v>#N/A</v>
      </c>
      <c r="G70" s="103">
        <f t="shared" si="37"/>
        <v>0</v>
      </c>
      <c r="H70" s="285">
        <f t="shared" si="19"/>
        <v>0</v>
      </c>
      <c r="I70" s="103">
        <f t="shared" si="20"/>
        <v>0</v>
      </c>
      <c r="J70" s="101"/>
      <c r="K70" s="175">
        <f t="shared" si="49"/>
        <v>103</v>
      </c>
      <c r="L70" s="175"/>
      <c r="M70" s="175"/>
      <c r="N70" s="175"/>
      <c r="O70" s="175"/>
      <c r="P70" s="175"/>
      <c r="Q70" s="175"/>
      <c r="R70" s="175">
        <f t="shared" si="50"/>
        <v>0</v>
      </c>
      <c r="U70" s="162"/>
      <c r="AB70" s="175" t="e">
        <f>(VLOOKUP(CONCATENATE($D$14,$D$15),'All Options'!$AB$36:$AC$47,4,0)*VLOOKUP('All Options'!$E$22,'Valid Data-GPG'!$B$130:$F$134,MATCH('All Options'!$E$17,'Valid Data-GPG'!$B$130:$F$130,0),0)*'All Options'!$E$17)*IF(Select="Deferred Annuity",A70&gt;DP,1)*(A70&gt;0)</f>
        <v>#N/A</v>
      </c>
      <c r="AC70" s="175">
        <f t="shared" si="38"/>
        <v>0</v>
      </c>
      <c r="AD70" s="175">
        <f>SUM($AC$26:AC70)</f>
        <v>0</v>
      </c>
      <c r="AE70" s="175">
        <f t="shared" si="39"/>
        <v>0</v>
      </c>
      <c r="AF70" s="175">
        <f t="shared" si="40"/>
        <v>250000</v>
      </c>
      <c r="AG70" s="175" t="b">
        <f>(SUM($AF$26:AF70)&lt;=$AB$17)</f>
        <v>0</v>
      </c>
      <c r="AY70" s="175"/>
      <c r="AZ70" s="66">
        <f>((MAX((SUM($B$26:C70)+(VLOOKUP($AZ$25,'All Options'!$AB$36:$AC$46,2,0)*VLOOKUP('All Options'!$E$22,'Valid Data-GPG'!$B$130:$F$134,MATCH('All Options'!$E$17,'Valid Data-GPG'!$B$130:$F$130,0),0)*'All Options'!$E$17)*(IF(A70&lt;=DP,A70,0))),105%*SUM($B$26:C70)))*(AND(A70&lt;&gt;0,Output!A70&lt;=DP))+(0)*(A70&gt;DP))*$AZ$21</f>
        <v>0</v>
      </c>
      <c r="BA70" s="175" t="e">
        <f>((MAX((SUM($B$26:C70)+(VLOOKUP($BA$25,'All Options'!$AB$36:$AC$46,2,0)*VLOOKUP('All Options'!$E$22,'Valid Data-GPG'!$B$130:$F$134,MATCH('All Options'!$E$17,'Valid Data-GPG'!$B$130:$F$130,0),0)*'All Options'!$E$17)*(IF(A70&lt;=DP,A70,0))),105%*SUM($B$26:C70)))*(Output!A70&lt;=DP)
+MAX((SUM($B$26:C70)+(VLOOKUP($BA$25,'All Options'!$AB$36:$AC$46,2,0)*VLOOKUP('All Options'!$E$22,'Valid Data-GPG'!$B$130:$F$134,MATCH('All Options'!$E$17,'Valid Data-GPG'!$B$130:$F$130,0),0)*'All Options'!$E$17)*DP-D70*(A70-DP)),SUM($B$26:C70))*(A70&gt;DP))*$BA$21</f>
        <v>#N/A</v>
      </c>
      <c r="BB70" s="175">
        <f>((MAX(($AB$17+(VLOOKUP($BB$25,'All Options'!$AB$36:$AC$46,2,0)*VLOOKUP('All Options'!$E$22,'Valid Data-GPG'!$B$130:$F$134,MATCH('All Options'!$E$17,'Valid Data-GPG'!$B$130:$F$130,0),0)*'All Options'!$E$17)*(IF(A70&lt;=DP,A70,0))),105%*$AB$17))*(Output!A70&lt;=DP)+(0)*(A70&gt;DP))*$BB$21</f>
        <v>0</v>
      </c>
      <c r="BC70" s="175" t="e">
        <f>((MAX(($AB$17+(VLOOKUP($BC$25,'All Options'!$AB$36:$AC$46,2,0)*VLOOKUP('All Options'!$E$22,'Valid Data-GPG'!$B$130:$F$134,MATCH('All Options'!$E$17,'Valid Data-GPG'!$B$130:$F$130,0),0)*'All Options'!$E$17)*(IF(A70&lt;=DP,A70,0))),105%*$AB$17))*(Output!A70&lt;=DP)+
MAX(($AB$17+(VLOOKUP($BC$25,'All Options'!$AB$36:$AC$46,2,0)*VLOOKUP('All Options'!$E$22,'Valid Data-GPG'!$B$130:$F$134,MATCH('All Options'!$E$17,'Valid Data-GPG'!$B$130:$F$130,0),0)*'All Options'!$E$17)*DP-D70*(A70-DP)),$AB$17)*(A70&gt;DP))*$BC$21</f>
        <v>#N/A</v>
      </c>
      <c r="BD70" s="175">
        <f ca="1">IFERROR((MAX(($AB$17+(VLOOKUP($BD$25,'All Options'!$AB$36:$AC$46,2,0)*VLOOKUP('All Options'!$E$22,'Valid Data-GPG'!$B$130:$F$134,MATCH('All Options'!$E$17,'Valid Data-GPG'!$B$130:$F$130,0),0)*'All Options'!$E$17)*(IF(A70&lt;=DP,A70,0))),105%*$AB$17))*(Output!A70&lt;=DP)
+MAX(($AB$17+(VLOOKUP($BD$25,'All Options'!$AB$36:$AC$46,2,0)*VLOOKUP('All Options'!$E$22,'Valid Data-GPG'!$B$130:$F$134,MATCH('All Options'!$E$17,'Valid Data-GPG'!$B$130:$F$130,0),0)*'All Options'!$E$17)*DP-D70*(A70-DP)),$AB$17)*(A70&gt;DP),0)*$BD$21</f>
        <v>0</v>
      </c>
      <c r="BE70" s="66">
        <f>IFERROR((MAX(($AB$17+(VLOOKUP($BE$25,'All Options'!$AB$36:$AC$46,2,0)*VLOOKUP('All Options'!$E$22,'Valid Data-GPG'!$B$130:$F$134,MATCH('All Options'!$E$17,'Valid Data-GPG'!$B$130:$F$130,0),0)*'All Options'!$E$17)*(IF(A70&lt;=DP,A70,0))),105%*$AB$17))*(Output!A70&lt;=DP)
+(MAX($AB$17+(VLOOKUP($BE$25,'All Options'!$AB$36:$AC$46,2,0)*VLOOKUP('All Options'!$E$22,'Valid Data-GPG'!$B$130:$F$134,MATCH('All Options'!$E$17,'Valid Data-GPG'!$B$130:$F$130,0),0)*'All Options'!$E$17)*DP-AB70*(A70-DP),$AB$17)*(MAX(A70&lt;=25,K70&lt;85)))*(A70&gt;DP),0)*$BE$21</f>
        <v>0</v>
      </c>
      <c r="BF70" s="175">
        <f>IFERROR((MAX(($AB$17+(VLOOKUP($BF$25,'All Options'!$AB$36:$AC$46,2,0)*VLOOKUP('All Options'!$E$22,'Valid Data-GPG'!$B$130:$F$134,MATCH('All Options'!$E$17,'Valid Data-GPG'!$B$130:$F$130,0),0)*'All Options'!$E$17)*(IF(A70&lt;=DP,A70,0))),105%*$AB$17))*(Output!A70&lt;=DP)
+(MAX($AB$17+(VLOOKUP($BF$25,'All Options'!$AB$36:$AC$46,2,0)*VLOOKUP('All Options'!$E$22,'Valid Data-GPG'!$B$130:$F$134,MATCH('All Options'!$E$17,'Valid Data-GPG'!$B$130:$F$130,0),0)*'All Options'!$E$17)*DP-AB70*(A70-DP),$AB$17)-SUM($AF$26:AF70)*AG70)*(A70&gt;DP)*AG70,0)*$BF$21</f>
        <v>0</v>
      </c>
      <c r="BG70" s="175">
        <f t="shared" si="23"/>
        <v>0</v>
      </c>
      <c r="BH70" s="182">
        <f t="shared" si="41"/>
        <v>5000000</v>
      </c>
      <c r="BI70" s="175">
        <f t="shared" si="24"/>
        <v>0</v>
      </c>
      <c r="BJ70" s="175">
        <f t="shared" si="25"/>
        <v>0</v>
      </c>
      <c r="BK70" s="175">
        <f t="shared" si="26"/>
        <v>0</v>
      </c>
      <c r="BL70" s="175">
        <f t="shared" si="27"/>
        <v>0</v>
      </c>
      <c r="BM70" s="175">
        <f t="shared" si="28"/>
        <v>0</v>
      </c>
      <c r="BN70" s="175">
        <f t="shared" si="29"/>
        <v>0</v>
      </c>
      <c r="BO70" s="182">
        <f t="shared" si="42"/>
        <v>0</v>
      </c>
      <c r="BP70" s="182">
        <f t="shared" si="43"/>
        <v>0</v>
      </c>
      <c r="BQ70" s="182">
        <f>MAX($AB$17-SUM($AF$26:AF70),0)*$BQ$21</f>
        <v>0</v>
      </c>
      <c r="BS70" s="175">
        <f t="shared" si="44"/>
        <v>1</v>
      </c>
      <c r="BT70" s="175">
        <f>IFERROR(IF(A70&lt;=1,0,VLOOKUP(DP,'Valid Data-GPG'!$A$116:$J$122,MATCH(Output!A70,'Valid Data-GPG'!$A$116:$J$116,0),FALSE)*SUM($B$26:C70))*(A70&lt;=DP),0)*$BT$21</f>
        <v>0</v>
      </c>
      <c r="BU70" s="175">
        <f>IFERROR(IF(A70&lt;=1,0,VLOOKUP(DP,'Valid Data-GPG'!$A$116:$J$122,MATCH(Output!A70,'Valid Data-GPG'!$A$116:$J$116,0),FALSE)*SUM($B$26:C70))*(A70&lt;=DP),0)*$BU$21</f>
        <v>0</v>
      </c>
      <c r="BV70" s="175">
        <f t="shared" si="45"/>
        <v>0</v>
      </c>
      <c r="BW70" s="175">
        <f t="shared" si="51"/>
        <v>0</v>
      </c>
      <c r="BX70" s="175">
        <f t="shared" si="52"/>
        <v>0</v>
      </c>
      <c r="BY70" s="175">
        <f t="shared" si="53"/>
        <v>0</v>
      </c>
      <c r="BZ70" s="175">
        <f t="shared" si="54"/>
        <v>0</v>
      </c>
      <c r="CA70" s="175">
        <f>(INDEX('SV calc_ignore'!$J$10:$J$1341,12*Output!A70-0))*BS70</f>
        <v>0</v>
      </c>
      <c r="CB70" s="175">
        <f t="shared" si="30"/>
        <v>0</v>
      </c>
      <c r="CC70" s="175">
        <f>(INDEX('SV calc_ignore'!$J$10:$J$1341,12*Output!A70-0))*BS70</f>
        <v>0</v>
      </c>
      <c r="CD70" s="175">
        <f t="shared" si="31"/>
        <v>0</v>
      </c>
      <c r="CE70" s="66">
        <f>(INDEX('SV calc_ignore'!$J$10:$J$1341,12*Output!A70-0))*($CE$21)</f>
        <v>0</v>
      </c>
      <c r="CF70" s="175">
        <f t="shared" si="32"/>
        <v>0</v>
      </c>
      <c r="CG70" s="175">
        <f>(INDEX('SV calc_ignore'!$J$10:$J$1341,12*Output!A70-0))*($CG$21)*(A70&gt;1)</f>
        <v>0</v>
      </c>
      <c r="CH70" s="175">
        <f>(INDEX('SV calc_ignore'!$J$10:$J$1341,12*Output!A70-0))*($CH$21)*(A70&gt;1)</f>
        <v>0</v>
      </c>
      <c r="CI70" s="175"/>
      <c r="CJ70" s="66">
        <f>(INDEX('SV calc_ignore'!$J$10:$J$1341,12*Output!A70-0))*($CJ$21)*(A70&gt;1)</f>
        <v>0</v>
      </c>
      <c r="CK70" s="66">
        <f>(INDEX('SV calc_ignore'!$Q$10:$Q$1341,12*Output!A70-0))*(AND(A70&gt;1,R70&lt;20))*($CK$21)</f>
        <v>0</v>
      </c>
      <c r="CL70" s="66">
        <f t="shared" si="33"/>
        <v>0</v>
      </c>
      <c r="CM70" s="175">
        <f>((INDEX('SV calc_ignore'!$J$10:$J$1341,12*Output!A70-0))+(INDEX('SV calc_ignore'!$O$10:$O$1341,12*Output!A70-0))*(A70&lt;'SV calc_ignore'!$Q$5))*(A70&gt;1)*($CM$21)</f>
        <v>0</v>
      </c>
      <c r="CN70" s="175">
        <v>0</v>
      </c>
      <c r="CO70" s="175">
        <f>(INDEX('SV calc_ignore'!$J$10:$J$1341,12*Output!A70-0))*(A70&gt;1)*($CO$21)</f>
        <v>0</v>
      </c>
      <c r="CP70" s="175">
        <v>0</v>
      </c>
      <c r="CQ70" s="175">
        <v>0</v>
      </c>
      <c r="CR70" s="175">
        <v>0</v>
      </c>
      <c r="CS70" s="175">
        <v>0</v>
      </c>
      <c r="CT70" s="175">
        <v>0</v>
      </c>
      <c r="CU70" s="175">
        <v>0</v>
      </c>
      <c r="CV70" s="175">
        <f>(INDEX('SV calc_ignore'!$J$10:$J$1341,12*Output!A70-0))*(A70&gt;1)*($CV$21)</f>
        <v>0</v>
      </c>
      <c r="CW70" s="66">
        <f>((INDEX('SV calc_ignore'!$J$10:$J$1341,12*Output!A70-0))+(INDEX('SV calc_ignore'!$O$10:$O$1351,12*Output!A70-0))*(A70&lt;'SV calc_ignore'!$Q$5))*(A70&gt;1)*($CW$21)</f>
        <v>0</v>
      </c>
      <c r="CX70" s="175">
        <f>(INDEX('SV calc_ignore'!$J$10:$J$1341,12*Output!A70-0))*(A70&gt;1)*($CX$21)</f>
        <v>0</v>
      </c>
      <c r="CY70" s="175">
        <f>(INDEX('SV calc_ignore'!$Q$10:$Q$1341,12*Output!A70-0))*(AND(A70&gt;1,R70&lt;20))*($CY$21)</f>
        <v>0</v>
      </c>
      <c r="CZ70" s="175">
        <f t="shared" si="34"/>
        <v>0</v>
      </c>
      <c r="DE70" s="43">
        <f>IF($DE$23,0,VLOOKUP(IF(A70&lt;=DP,DJ70,DI70),SSV!$B$6:$C$116,2,FALSE)*VLOOKUP(AnnuityOption,'All Options'!$AB$36:$AC$47,2,FALSE)*VLOOKUP('All Options'!$E$22,'Valid Data-GPG'!$B$130:$F$134,MATCH('All Options'!$E$17,'Valid Data-GPG'!$B$130:$F$130,0),0)*'All Options'!$E$17)*(IF(AND(Select="Deferred Annuity",AnnuityOption="Life Annuity"),A70&lt;=DP,1))</f>
        <v>756494.63795534999</v>
      </c>
      <c r="DF70" s="43">
        <f>IF($DF$23,0,IF($DQ$25,DQ70,IF($DR$25,DR70,VLOOKUP(IF(A70&lt;=DP,DJ70,DI70),SSV!$G$6:$H$116,2,FALSE)*SUM($B$27:B70))))</f>
        <v>3952694</v>
      </c>
      <c r="DG70" s="43" t="e">
        <f>IF(A70&lt;=DP,VLOOKUP(DP-A69,SSV!$T$6:$U$15,2,FALSE),1)</f>
        <v>#N/A</v>
      </c>
      <c r="DH70" s="282" t="e">
        <f t="shared" si="46"/>
        <v>#VALUE!</v>
      </c>
      <c r="DI70" s="43">
        <f>IF($DM$26,MIN(Age,'All Options'!$E$21)+A69,IF($DN$26,(Age+A69)-Age+60,IF($DO$26,(Age+A69)-Age+55,Age+A69)))</f>
        <v>103</v>
      </c>
      <c r="DJ70" s="279">
        <f>IF($DM$26,MIN(Age+A70,'All Options'!$E$21+A70),IF($DN$26,(Age+A70)-(Age+$A$27)+60,IF($DO$26,(Age+A70)-(Age+$A$27)+55,Age+A70)))</f>
        <v>104</v>
      </c>
      <c r="DP70" s="43">
        <f t="shared" si="35"/>
        <v>0</v>
      </c>
      <c r="DQ70" s="43">
        <f>IFERROR(VLOOKUP(IF(A70&lt;=DP,DJ70,DI70),SSV!$K$6:$L$91,2,FALSE)*SUM($B$27:B70),0)*($DQ$25)</f>
        <v>0</v>
      </c>
      <c r="DR70" s="43">
        <f>IFERROR(VLOOKUP(IF(A70&lt;=DP,DJ70,DI70),SSV!$O$6:$P$95,2,FALSE)*SUM($B$27:B70),0)*($DR$25)</f>
        <v>0</v>
      </c>
      <c r="DU70" s="175">
        <f t="shared" si="47"/>
        <v>1</v>
      </c>
    </row>
    <row r="71" spans="1:125" x14ac:dyDescent="0.2">
      <c r="A71" s="146">
        <f t="shared" si="48"/>
        <v>45</v>
      </c>
      <c r="B71" s="670">
        <f>IF(PremiumType="Regular Premium",'All Options'!$E$18*'All Options'!$E$22*(AND(Output!A71&lt;=PPT,A71&gt;=1)),'All Options'!$E$18*(A71=1))</f>
        <v>0</v>
      </c>
      <c r="C71" s="671"/>
      <c r="D71" s="103" t="e">
        <f>((VLOOKUP(CONCATENATE($D$14,$D$15),'All Options'!$AB$36:$AC$47,4,0)*VLOOKUP('All Options'!$E$22,'Valid Data-GPG'!$B$130:$F$134,MATCH('All Options'!$E$17,'Valid Data-GPG'!$B$130:$F$130,0),0)*'All Options'!$E$17)*IF(Select="Deferred Annuity",A71&gt;DP,1)+AE71+AF71*AG71*$AG$21)*(A71&gt;0)</f>
        <v>#N/A</v>
      </c>
      <c r="E71" s="103">
        <v>0</v>
      </c>
      <c r="F71" s="103" t="e">
        <f t="shared" si="18"/>
        <v>#N/A</v>
      </c>
      <c r="G71" s="103">
        <f t="shared" si="37"/>
        <v>0</v>
      </c>
      <c r="H71" s="285">
        <f t="shared" si="19"/>
        <v>0</v>
      </c>
      <c r="I71" s="103">
        <f t="shared" si="20"/>
        <v>0</v>
      </c>
      <c r="J71" s="101"/>
      <c r="K71" s="175">
        <f t="shared" si="49"/>
        <v>104</v>
      </c>
      <c r="L71" s="175"/>
      <c r="M71" s="175"/>
      <c r="N71" s="175"/>
      <c r="O71" s="175"/>
      <c r="P71" s="175"/>
      <c r="Q71" s="175"/>
      <c r="R71" s="175">
        <f t="shared" si="50"/>
        <v>0</v>
      </c>
      <c r="U71" s="162"/>
      <c r="AB71" s="175" t="e">
        <f>(VLOOKUP(CONCATENATE($D$14,$D$15),'All Options'!$AB$36:$AC$47,4,0)*VLOOKUP('All Options'!$E$22,'Valid Data-GPG'!$B$130:$F$134,MATCH('All Options'!$E$17,'Valid Data-GPG'!$B$130:$F$130,0),0)*'All Options'!$E$17)*IF(Select="Deferred Annuity",A71&gt;DP,1)*(A71&gt;0)</f>
        <v>#N/A</v>
      </c>
      <c r="AC71" s="175">
        <f t="shared" si="38"/>
        <v>0</v>
      </c>
      <c r="AD71" s="175">
        <f>SUM($AC$26:AC71)</f>
        <v>0</v>
      </c>
      <c r="AE71" s="175">
        <f t="shared" si="39"/>
        <v>0</v>
      </c>
      <c r="AF71" s="175">
        <f t="shared" si="40"/>
        <v>250000</v>
      </c>
      <c r="AG71" s="175" t="b">
        <f>(SUM($AF$26:AF71)&lt;=$AB$17)</f>
        <v>0</v>
      </c>
      <c r="AY71" s="175"/>
      <c r="AZ71" s="66">
        <f>((MAX((SUM($B$26:C71)+(VLOOKUP($AZ$25,'All Options'!$AB$36:$AC$46,2,0)*VLOOKUP('All Options'!$E$22,'Valid Data-GPG'!$B$130:$F$134,MATCH('All Options'!$E$17,'Valid Data-GPG'!$B$130:$F$130,0),0)*'All Options'!$E$17)*(IF(A71&lt;=DP,A71,0))),105%*SUM($B$26:C71)))*(AND(A71&lt;&gt;0,Output!A71&lt;=DP))+(0)*(A71&gt;DP))*$AZ$21</f>
        <v>0</v>
      </c>
      <c r="BA71" s="175" t="e">
        <f>((MAX((SUM($B$26:C71)+(VLOOKUP($BA$25,'All Options'!$AB$36:$AC$46,2,0)*VLOOKUP('All Options'!$E$22,'Valid Data-GPG'!$B$130:$F$134,MATCH('All Options'!$E$17,'Valid Data-GPG'!$B$130:$F$130,0),0)*'All Options'!$E$17)*(IF(A71&lt;=DP,A71,0))),105%*SUM($B$26:C71)))*(Output!A71&lt;=DP)
+MAX((SUM($B$26:C71)+(VLOOKUP($BA$25,'All Options'!$AB$36:$AC$46,2,0)*VLOOKUP('All Options'!$E$22,'Valid Data-GPG'!$B$130:$F$134,MATCH('All Options'!$E$17,'Valid Data-GPG'!$B$130:$F$130,0),0)*'All Options'!$E$17)*DP-D71*(A71-DP)),SUM($B$26:C71))*(A71&gt;DP))*$BA$21</f>
        <v>#N/A</v>
      </c>
      <c r="BB71" s="175">
        <f>((MAX(($AB$17+(VLOOKUP($BB$25,'All Options'!$AB$36:$AC$46,2,0)*VLOOKUP('All Options'!$E$22,'Valid Data-GPG'!$B$130:$F$134,MATCH('All Options'!$E$17,'Valid Data-GPG'!$B$130:$F$130,0),0)*'All Options'!$E$17)*(IF(A71&lt;=DP,A71,0))),105%*$AB$17))*(Output!A71&lt;=DP)+(0)*(A71&gt;DP))*$BB$21</f>
        <v>0</v>
      </c>
      <c r="BC71" s="175" t="e">
        <f>((MAX(($AB$17+(VLOOKUP($BC$25,'All Options'!$AB$36:$AC$46,2,0)*VLOOKUP('All Options'!$E$22,'Valid Data-GPG'!$B$130:$F$134,MATCH('All Options'!$E$17,'Valid Data-GPG'!$B$130:$F$130,0),0)*'All Options'!$E$17)*(IF(A71&lt;=DP,A71,0))),105%*$AB$17))*(Output!A71&lt;=DP)+
MAX(($AB$17+(VLOOKUP($BC$25,'All Options'!$AB$36:$AC$46,2,0)*VLOOKUP('All Options'!$E$22,'Valid Data-GPG'!$B$130:$F$134,MATCH('All Options'!$E$17,'Valid Data-GPG'!$B$130:$F$130,0),0)*'All Options'!$E$17)*DP-D71*(A71-DP)),$AB$17)*(A71&gt;DP))*$BC$21</f>
        <v>#N/A</v>
      </c>
      <c r="BD71" s="175">
        <f ca="1">IFERROR((MAX(($AB$17+(VLOOKUP($BD$25,'All Options'!$AB$36:$AC$46,2,0)*VLOOKUP('All Options'!$E$22,'Valid Data-GPG'!$B$130:$F$134,MATCH('All Options'!$E$17,'Valid Data-GPG'!$B$130:$F$130,0),0)*'All Options'!$E$17)*(IF(A71&lt;=DP,A71,0))),105%*$AB$17))*(Output!A71&lt;=DP)
+MAX(($AB$17+(VLOOKUP($BD$25,'All Options'!$AB$36:$AC$46,2,0)*VLOOKUP('All Options'!$E$22,'Valid Data-GPG'!$B$130:$F$134,MATCH('All Options'!$E$17,'Valid Data-GPG'!$B$130:$F$130,0),0)*'All Options'!$E$17)*DP-D71*(A71-DP)),$AB$17)*(A71&gt;DP),0)*$BD$21</f>
        <v>0</v>
      </c>
      <c r="BE71" s="66">
        <f>IFERROR((MAX(($AB$17+(VLOOKUP($BE$25,'All Options'!$AB$36:$AC$46,2,0)*VLOOKUP('All Options'!$E$22,'Valid Data-GPG'!$B$130:$F$134,MATCH('All Options'!$E$17,'Valid Data-GPG'!$B$130:$F$130,0),0)*'All Options'!$E$17)*(IF(A71&lt;=DP,A71,0))),105%*$AB$17))*(Output!A71&lt;=DP)
+(MAX($AB$17+(VLOOKUP($BE$25,'All Options'!$AB$36:$AC$46,2,0)*VLOOKUP('All Options'!$E$22,'Valid Data-GPG'!$B$130:$F$134,MATCH('All Options'!$E$17,'Valid Data-GPG'!$B$130:$F$130,0),0)*'All Options'!$E$17)*DP-AB71*(A71-DP),$AB$17)*(MAX(A71&lt;=25,K71&lt;85)))*(A71&gt;DP),0)*$BE$21</f>
        <v>0</v>
      </c>
      <c r="BF71" s="175">
        <f>IFERROR((MAX(($AB$17+(VLOOKUP($BF$25,'All Options'!$AB$36:$AC$46,2,0)*VLOOKUP('All Options'!$E$22,'Valid Data-GPG'!$B$130:$F$134,MATCH('All Options'!$E$17,'Valid Data-GPG'!$B$130:$F$130,0),0)*'All Options'!$E$17)*(IF(A71&lt;=DP,A71,0))),105%*$AB$17))*(Output!A71&lt;=DP)
+(MAX($AB$17+(VLOOKUP($BF$25,'All Options'!$AB$36:$AC$46,2,0)*VLOOKUP('All Options'!$E$22,'Valid Data-GPG'!$B$130:$F$134,MATCH('All Options'!$E$17,'Valid Data-GPG'!$B$130:$F$130,0),0)*'All Options'!$E$17)*DP-AB71*(A71-DP),$AB$17)-SUM($AF$26:AF71)*AG71)*(A71&gt;DP)*AG71,0)*$BF$21</f>
        <v>0</v>
      </c>
      <c r="BG71" s="175">
        <f t="shared" si="23"/>
        <v>0</v>
      </c>
      <c r="BH71" s="182">
        <f t="shared" si="41"/>
        <v>5000000</v>
      </c>
      <c r="BI71" s="175">
        <f t="shared" si="24"/>
        <v>0</v>
      </c>
      <c r="BJ71" s="175">
        <f t="shared" si="25"/>
        <v>0</v>
      </c>
      <c r="BK71" s="175">
        <f t="shared" si="26"/>
        <v>0</v>
      </c>
      <c r="BL71" s="175">
        <f t="shared" si="27"/>
        <v>0</v>
      </c>
      <c r="BM71" s="175">
        <f t="shared" si="28"/>
        <v>0</v>
      </c>
      <c r="BN71" s="175">
        <f t="shared" si="29"/>
        <v>0</v>
      </c>
      <c r="BO71" s="182">
        <f t="shared" si="42"/>
        <v>0</v>
      </c>
      <c r="BP71" s="182">
        <f t="shared" si="43"/>
        <v>0</v>
      </c>
      <c r="BQ71" s="182">
        <f>MAX($AB$17-SUM($AF$26:AF71),0)*$BQ$21</f>
        <v>0</v>
      </c>
      <c r="BS71" s="175">
        <f t="shared" si="44"/>
        <v>1</v>
      </c>
      <c r="BT71" s="175">
        <f>IFERROR(IF(A71&lt;=1,0,VLOOKUP(DP,'Valid Data-GPG'!$A$116:$J$122,MATCH(Output!A71,'Valid Data-GPG'!$A$116:$J$116,0),FALSE)*SUM($B$26:C71))*(A71&lt;=DP),0)*$BT$21</f>
        <v>0</v>
      </c>
      <c r="BU71" s="175">
        <f>IFERROR(IF(A71&lt;=1,0,VLOOKUP(DP,'Valid Data-GPG'!$A$116:$J$122,MATCH(Output!A71,'Valid Data-GPG'!$A$116:$J$116,0),FALSE)*SUM($B$26:C71))*(A71&lt;=DP),0)*$BU$21</f>
        <v>0</v>
      </c>
      <c r="BV71" s="175">
        <f t="shared" si="45"/>
        <v>0</v>
      </c>
      <c r="BW71" s="175">
        <f t="shared" si="51"/>
        <v>0</v>
      </c>
      <c r="BX71" s="175">
        <f t="shared" si="52"/>
        <v>0</v>
      </c>
      <c r="BY71" s="175">
        <f t="shared" si="53"/>
        <v>0</v>
      </c>
      <c r="BZ71" s="175">
        <f t="shared" si="54"/>
        <v>0</v>
      </c>
      <c r="CA71" s="175">
        <f>(INDEX('SV calc_ignore'!$J$10:$J$1341,12*Output!A71-0))*BS71</f>
        <v>0</v>
      </c>
      <c r="CB71" s="175">
        <f t="shared" si="30"/>
        <v>0</v>
      </c>
      <c r="CC71" s="175">
        <f>(INDEX('SV calc_ignore'!$J$10:$J$1341,12*Output!A71-0))*BS71</f>
        <v>0</v>
      </c>
      <c r="CD71" s="175">
        <f t="shared" si="31"/>
        <v>0</v>
      </c>
      <c r="CE71" s="66">
        <f>(INDEX('SV calc_ignore'!$J$10:$J$1341,12*Output!A71-0))*($CE$21)</f>
        <v>0</v>
      </c>
      <c r="CF71" s="175">
        <f t="shared" si="32"/>
        <v>0</v>
      </c>
      <c r="CG71" s="175">
        <f>(INDEX('SV calc_ignore'!$J$10:$J$1341,12*Output!A71-0))*($CG$21)*(A71&gt;1)</f>
        <v>0</v>
      </c>
      <c r="CH71" s="175">
        <f>(INDEX('SV calc_ignore'!$J$10:$J$1341,12*Output!A71-0))*($CH$21)*(A71&gt;1)</f>
        <v>0</v>
      </c>
      <c r="CI71" s="175"/>
      <c r="CJ71" s="66">
        <f>(INDEX('SV calc_ignore'!$J$10:$J$1341,12*Output!A71-0))*($CJ$21)*(A71&gt;1)</f>
        <v>0</v>
      </c>
      <c r="CK71" s="66">
        <f>(INDEX('SV calc_ignore'!$Q$10:$Q$1341,12*Output!A71-0))*(AND(A71&gt;1,R71&lt;20))*($CK$21)</f>
        <v>0</v>
      </c>
      <c r="CL71" s="66">
        <f t="shared" si="33"/>
        <v>0</v>
      </c>
      <c r="CM71" s="175">
        <f>((INDEX('SV calc_ignore'!$J$10:$J$1341,12*Output!A71-0))+(INDEX('SV calc_ignore'!$O$10:$O$1341,12*Output!A71-0))*(A71&lt;'SV calc_ignore'!$Q$5))*(A71&gt;1)*($CM$21)</f>
        <v>0</v>
      </c>
      <c r="CN71" s="175">
        <v>0</v>
      </c>
      <c r="CO71" s="175">
        <f>(INDEX('SV calc_ignore'!$J$10:$J$1341,12*Output!A71-0))*(A71&gt;1)*($CO$21)</f>
        <v>0</v>
      </c>
      <c r="CP71" s="175">
        <v>0</v>
      </c>
      <c r="CQ71" s="175">
        <v>0</v>
      </c>
      <c r="CR71" s="175">
        <v>0</v>
      </c>
      <c r="CS71" s="175">
        <v>0</v>
      </c>
      <c r="CT71" s="175">
        <v>0</v>
      </c>
      <c r="CU71" s="175">
        <v>0</v>
      </c>
      <c r="CV71" s="175">
        <f>(INDEX('SV calc_ignore'!$J$10:$J$1341,12*Output!A71-0))*(A71&gt;1)*($CV$21)</f>
        <v>0</v>
      </c>
      <c r="CW71" s="66">
        <f>((INDEX('SV calc_ignore'!$J$10:$J$1341,12*Output!A71-0))+(INDEX('SV calc_ignore'!$O$10:$O$1351,12*Output!A71-0))*(A71&lt;'SV calc_ignore'!$Q$5))*(A71&gt;1)*($CW$21)</f>
        <v>0</v>
      </c>
      <c r="CX71" s="175">
        <f>(INDEX('SV calc_ignore'!$J$10:$J$1341,12*Output!A71-0))*(A71&gt;1)*($CX$21)</f>
        <v>0</v>
      </c>
      <c r="CY71" s="175">
        <f>(INDEX('SV calc_ignore'!$Q$10:$Q$1341,12*Output!A71-0))*(AND(A71&gt;1,R71&lt;20))*($CY$21)</f>
        <v>0</v>
      </c>
      <c r="CZ71" s="175">
        <f t="shared" si="34"/>
        <v>0</v>
      </c>
      <c r="DE71" s="43">
        <f>IF($DE$23,0,VLOOKUP(IF(A71&lt;=DP,DJ71,DI71),SSV!$B$6:$C$116,2,FALSE)*VLOOKUP(AnnuityOption,'All Options'!$AB$36:$AC$47,2,FALSE)*VLOOKUP('All Options'!$E$22,'Valid Data-GPG'!$B$130:$F$134,MATCH('All Options'!$E$17,'Valid Data-GPG'!$B$130:$F$130,0),0)*'All Options'!$E$17)*(IF(AND(Select="Deferred Annuity",AnnuityOption="Life Annuity"),A71&lt;=DP,1))</f>
        <v>708102.38984388963</v>
      </c>
      <c r="DF71" s="43">
        <f>IF($DF$23,0,IF($DQ$25,DQ71,IF($DR$25,DR71,VLOOKUP(IF(A71&lt;=DP,DJ71,DI71),SSV!$G$6:$H$116,2,FALSE)*SUM($B$27:B71))))</f>
        <v>4014046.4999999995</v>
      </c>
      <c r="DG71" s="43" t="e">
        <f>IF(A71&lt;=DP,VLOOKUP(DP-A70,SSV!$T$6:$U$15,2,FALSE),1)</f>
        <v>#N/A</v>
      </c>
      <c r="DH71" s="282" t="e">
        <f t="shared" si="46"/>
        <v>#VALUE!</v>
      </c>
      <c r="DI71" s="43">
        <f>IF($DM$26,MIN(Age,'All Options'!$E$21)+A70,IF($DN$26,(Age+A70)-Age+60,IF($DO$26,(Age+A70)-Age+55,Age+A70)))</f>
        <v>104</v>
      </c>
      <c r="DJ71" s="279">
        <f>IF($DM$26,MIN(Age+A71,'All Options'!$E$21+A71),IF($DN$26,(Age+A71)-(Age+$A$27)+60,IF($DO$26,(Age+A71)-(Age+$A$27)+55,Age+A71)))</f>
        <v>105</v>
      </c>
      <c r="DP71" s="43">
        <f t="shared" si="35"/>
        <v>0</v>
      </c>
      <c r="DQ71" s="43">
        <f>IFERROR(VLOOKUP(IF(A71&lt;=DP,DJ71,DI71),SSV!$K$6:$L$91,2,FALSE)*SUM($B$27:B71),0)*($DQ$25)</f>
        <v>0</v>
      </c>
      <c r="DR71" s="43">
        <f>IFERROR(VLOOKUP(IF(A71&lt;=DP,DJ71,DI71),SSV!$O$6:$P$95,2,FALSE)*SUM($B$27:B71),0)*($DR$25)</f>
        <v>0</v>
      </c>
      <c r="DU71" s="175">
        <f t="shared" si="47"/>
        <v>1</v>
      </c>
    </row>
    <row r="72" spans="1:125" ht="12.75" customHeight="1" x14ac:dyDescent="0.2">
      <c r="A72" s="146">
        <f t="shared" si="48"/>
        <v>46</v>
      </c>
      <c r="B72" s="670">
        <f>IF(PremiumType="Regular Premium",'All Options'!$E$18*'All Options'!$E$22*(AND(Output!A72&lt;=PPT,A72&gt;=1)),'All Options'!$E$18*(A72=1))</f>
        <v>0</v>
      </c>
      <c r="C72" s="671"/>
      <c r="D72" s="103" t="e">
        <f>((VLOOKUP(CONCATENATE($D$14,$D$15),'All Options'!$AB$36:$AC$47,4,0)*VLOOKUP('All Options'!$E$22,'Valid Data-GPG'!$B$130:$F$134,MATCH('All Options'!$E$17,'Valid Data-GPG'!$B$130:$F$130,0),0)*'All Options'!$E$17)*IF(Select="Deferred Annuity",A72&gt;DP,1)+AE72+AF72*AG72*$AG$21)*(A72&gt;0)</f>
        <v>#N/A</v>
      </c>
      <c r="E72" s="103">
        <v>0</v>
      </c>
      <c r="F72" s="103" t="e">
        <f t="shared" si="18"/>
        <v>#N/A</v>
      </c>
      <c r="G72" s="103">
        <f t="shared" si="37"/>
        <v>0</v>
      </c>
      <c r="H72" s="285">
        <f t="shared" si="19"/>
        <v>0</v>
      </c>
      <c r="I72" s="103">
        <f t="shared" si="20"/>
        <v>0</v>
      </c>
      <c r="J72" s="101"/>
      <c r="K72" s="175">
        <f t="shared" si="49"/>
        <v>105</v>
      </c>
      <c r="L72" s="175"/>
      <c r="M72" s="175"/>
      <c r="N72" s="175"/>
      <c r="O72" s="175"/>
      <c r="P72" s="175"/>
      <c r="Q72" s="175"/>
      <c r="R72" s="175">
        <f t="shared" si="50"/>
        <v>0</v>
      </c>
      <c r="AB72" s="175" t="e">
        <f>(VLOOKUP(CONCATENATE($D$14,$D$15),'All Options'!$AB$36:$AC$47,4,0)*VLOOKUP('All Options'!$E$22,'Valid Data-GPG'!$B$130:$F$134,MATCH('All Options'!$E$17,'Valid Data-GPG'!$B$130:$F$130,0),0)*'All Options'!$E$17)*IF(Select="Deferred Annuity",A72&gt;DP,1)*(A72&gt;0)</f>
        <v>#N/A</v>
      </c>
      <c r="AC72" s="175">
        <f t="shared" si="38"/>
        <v>0</v>
      </c>
      <c r="AD72" s="175">
        <f>SUM($AC$26:AC72)</f>
        <v>0</v>
      </c>
      <c r="AE72" s="175">
        <f t="shared" si="39"/>
        <v>0</v>
      </c>
      <c r="AF72" s="175">
        <f t="shared" si="40"/>
        <v>250000</v>
      </c>
      <c r="AG72" s="175" t="b">
        <f>(SUM($AF$26:AF72)&lt;=$AB$17)</f>
        <v>0</v>
      </c>
      <c r="AY72" s="175"/>
      <c r="AZ72" s="66">
        <f>((MAX((SUM($B$26:C72)+(VLOOKUP($AZ$25,'All Options'!$AB$36:$AC$46,2,0)*VLOOKUP('All Options'!$E$22,'Valid Data-GPG'!$B$130:$F$134,MATCH('All Options'!$E$17,'Valid Data-GPG'!$B$130:$F$130,0),0)*'All Options'!$E$17)*(IF(A72&lt;=DP,A72,0))),105%*SUM($B$26:C72)))*(AND(A72&lt;&gt;0,Output!A72&lt;=DP))+(0)*(A72&gt;DP))*$AZ$21</f>
        <v>0</v>
      </c>
      <c r="BA72" s="175" t="e">
        <f>((MAX((SUM($B$26:C72)+(VLOOKUP($BA$25,'All Options'!$AB$36:$AC$46,2,0)*VLOOKUP('All Options'!$E$22,'Valid Data-GPG'!$B$130:$F$134,MATCH('All Options'!$E$17,'Valid Data-GPG'!$B$130:$F$130,0),0)*'All Options'!$E$17)*(IF(A72&lt;=DP,A72,0))),105%*SUM($B$26:C72)))*(Output!A72&lt;=DP)
+MAX((SUM($B$26:C72)+(VLOOKUP($BA$25,'All Options'!$AB$36:$AC$46,2,0)*VLOOKUP('All Options'!$E$22,'Valid Data-GPG'!$B$130:$F$134,MATCH('All Options'!$E$17,'Valid Data-GPG'!$B$130:$F$130,0),0)*'All Options'!$E$17)*DP-D72*(A72-DP)),SUM($B$26:C72))*(A72&gt;DP))*$BA$21</f>
        <v>#N/A</v>
      </c>
      <c r="BB72" s="175">
        <f>((MAX(($AB$17+(VLOOKUP($BB$25,'All Options'!$AB$36:$AC$46,2,0)*VLOOKUP('All Options'!$E$22,'Valid Data-GPG'!$B$130:$F$134,MATCH('All Options'!$E$17,'Valid Data-GPG'!$B$130:$F$130,0),0)*'All Options'!$E$17)*(IF(A72&lt;=DP,A72,0))),105%*$AB$17))*(Output!A72&lt;=DP)+(0)*(A72&gt;DP))*$BB$21</f>
        <v>0</v>
      </c>
      <c r="BC72" s="175" t="e">
        <f>((MAX(($AB$17+(VLOOKUP($BC$25,'All Options'!$AB$36:$AC$46,2,0)*VLOOKUP('All Options'!$E$22,'Valid Data-GPG'!$B$130:$F$134,MATCH('All Options'!$E$17,'Valid Data-GPG'!$B$130:$F$130,0),0)*'All Options'!$E$17)*(IF(A72&lt;=DP,A72,0))),105%*$AB$17))*(Output!A72&lt;=DP)+
MAX(($AB$17+(VLOOKUP($BC$25,'All Options'!$AB$36:$AC$46,2,0)*VLOOKUP('All Options'!$E$22,'Valid Data-GPG'!$B$130:$F$134,MATCH('All Options'!$E$17,'Valid Data-GPG'!$B$130:$F$130,0),0)*'All Options'!$E$17)*DP-D72*(A72-DP)),$AB$17)*(A72&gt;DP))*$BC$21</f>
        <v>#N/A</v>
      </c>
      <c r="BD72" s="175">
        <f ca="1">IFERROR((MAX(($AB$17+(VLOOKUP($BD$25,'All Options'!$AB$36:$AC$46,2,0)*VLOOKUP('All Options'!$E$22,'Valid Data-GPG'!$B$130:$F$134,MATCH('All Options'!$E$17,'Valid Data-GPG'!$B$130:$F$130,0),0)*'All Options'!$E$17)*(IF(A72&lt;=DP,A72,0))),105%*$AB$17))*(Output!A72&lt;=DP)
+MAX(($AB$17+(VLOOKUP($BD$25,'All Options'!$AB$36:$AC$46,2,0)*VLOOKUP('All Options'!$E$22,'Valid Data-GPG'!$B$130:$F$134,MATCH('All Options'!$E$17,'Valid Data-GPG'!$B$130:$F$130,0),0)*'All Options'!$E$17)*DP-D72*(A72-DP)),$AB$17)*(A72&gt;DP),0)*$BD$21</f>
        <v>0</v>
      </c>
      <c r="BE72" s="66">
        <f>IFERROR((MAX(($AB$17+(VLOOKUP($BE$25,'All Options'!$AB$36:$AC$46,2,0)*VLOOKUP('All Options'!$E$22,'Valid Data-GPG'!$B$130:$F$134,MATCH('All Options'!$E$17,'Valid Data-GPG'!$B$130:$F$130,0),0)*'All Options'!$E$17)*(IF(A72&lt;=DP,A72,0))),105%*$AB$17))*(Output!A72&lt;=DP)
+(MAX($AB$17+(VLOOKUP($BE$25,'All Options'!$AB$36:$AC$46,2,0)*VLOOKUP('All Options'!$E$22,'Valid Data-GPG'!$B$130:$F$134,MATCH('All Options'!$E$17,'Valid Data-GPG'!$B$130:$F$130,0),0)*'All Options'!$E$17)*DP-AB72*(A72-DP),$AB$17)*(MAX(A72&lt;=25,K72&lt;85)))*(A72&gt;DP),0)*$BE$21</f>
        <v>0</v>
      </c>
      <c r="BF72" s="175">
        <f>IFERROR((MAX(($AB$17+(VLOOKUP($BF$25,'All Options'!$AB$36:$AC$46,2,0)*VLOOKUP('All Options'!$E$22,'Valid Data-GPG'!$B$130:$F$134,MATCH('All Options'!$E$17,'Valid Data-GPG'!$B$130:$F$130,0),0)*'All Options'!$E$17)*(IF(A72&lt;=DP,A72,0))),105%*$AB$17))*(Output!A72&lt;=DP)
+(MAX($AB$17+(VLOOKUP($BF$25,'All Options'!$AB$36:$AC$46,2,0)*VLOOKUP('All Options'!$E$22,'Valid Data-GPG'!$B$130:$F$134,MATCH('All Options'!$E$17,'Valid Data-GPG'!$B$130:$F$130,0),0)*'All Options'!$E$17)*DP-AB72*(A72-DP),$AB$17)-SUM($AF$26:AF72)*AG72)*(A72&gt;DP)*AG72,0)*$BF$21</f>
        <v>0</v>
      </c>
      <c r="BG72" s="175">
        <f t="shared" si="23"/>
        <v>0</v>
      </c>
      <c r="BH72" s="182">
        <f t="shared" si="41"/>
        <v>5000000</v>
      </c>
      <c r="BI72" s="175">
        <f t="shared" si="24"/>
        <v>0</v>
      </c>
      <c r="BJ72" s="175">
        <f t="shared" si="25"/>
        <v>0</v>
      </c>
      <c r="BK72" s="175">
        <f t="shared" si="26"/>
        <v>0</v>
      </c>
      <c r="BL72" s="175">
        <f t="shared" si="27"/>
        <v>0</v>
      </c>
      <c r="BM72" s="175">
        <f t="shared" si="28"/>
        <v>0</v>
      </c>
      <c r="BN72" s="175">
        <f t="shared" si="29"/>
        <v>0</v>
      </c>
      <c r="BO72" s="182">
        <f t="shared" si="42"/>
        <v>0</v>
      </c>
      <c r="BP72" s="182">
        <f t="shared" si="43"/>
        <v>0</v>
      </c>
      <c r="BQ72" s="182">
        <f>MAX($AB$17-SUM($AF$26:AF72),0)*$BQ$21</f>
        <v>0</v>
      </c>
      <c r="BS72" s="175">
        <f t="shared" si="44"/>
        <v>1</v>
      </c>
      <c r="BT72" s="175">
        <f>IFERROR(IF(A72&lt;=1,0,VLOOKUP(DP,'Valid Data-GPG'!$A$116:$J$122,MATCH(Output!A72,'Valid Data-GPG'!$A$116:$J$116,0),FALSE)*SUM($B$26:C72))*(A72&lt;=DP),0)*$BT$21</f>
        <v>0</v>
      </c>
      <c r="BU72" s="175">
        <f>IFERROR(IF(A72&lt;=1,0,VLOOKUP(DP,'Valid Data-GPG'!$A$116:$J$122,MATCH(Output!A72,'Valid Data-GPG'!$A$116:$J$116,0),FALSE)*SUM($B$26:C72))*(A72&lt;=DP),0)*$BU$21</f>
        <v>0</v>
      </c>
      <c r="BV72" s="175">
        <f t="shared" si="45"/>
        <v>0</v>
      </c>
      <c r="BW72" s="175">
        <f t="shared" si="51"/>
        <v>0</v>
      </c>
      <c r="BX72" s="175">
        <f t="shared" si="52"/>
        <v>0</v>
      </c>
      <c r="BY72" s="175">
        <f t="shared" si="53"/>
        <v>0</v>
      </c>
      <c r="BZ72" s="175">
        <f t="shared" si="54"/>
        <v>0</v>
      </c>
      <c r="CA72" s="175">
        <f>(INDEX('SV calc_ignore'!$J$10:$J$1341,12*Output!A72-0))*BS72</f>
        <v>0</v>
      </c>
      <c r="CB72" s="175">
        <f t="shared" si="30"/>
        <v>0</v>
      </c>
      <c r="CC72" s="175">
        <f>(INDEX('SV calc_ignore'!$J$10:$J$1341,12*Output!A72-0))*BS72</f>
        <v>0</v>
      </c>
      <c r="CD72" s="175">
        <f t="shared" si="31"/>
        <v>0</v>
      </c>
      <c r="CE72" s="66">
        <f>(INDEX('SV calc_ignore'!$J$10:$J$1341,12*Output!A72-0))*($CE$21)</f>
        <v>0</v>
      </c>
      <c r="CF72" s="175">
        <f t="shared" si="32"/>
        <v>0</v>
      </c>
      <c r="CG72" s="175">
        <f>(INDEX('SV calc_ignore'!$J$10:$J$1341,12*Output!A72-0))*($CG$21)*(A72&gt;1)</f>
        <v>0</v>
      </c>
      <c r="CH72" s="175">
        <f>(INDEX('SV calc_ignore'!$J$10:$J$1341,12*Output!A72-0))*($CH$21)*(A72&gt;1)</f>
        <v>0</v>
      </c>
      <c r="CI72" s="175"/>
      <c r="CJ72" s="66">
        <f>(INDEX('SV calc_ignore'!$J$10:$J$1341,12*Output!A72-0))*($CJ$21)*(A72&gt;1)</f>
        <v>0</v>
      </c>
      <c r="CK72" s="66">
        <f>(INDEX('SV calc_ignore'!$Q$10:$Q$1341,12*Output!A72-0))*(AND(A72&gt;1,R72&lt;20))*($CK$21)</f>
        <v>0</v>
      </c>
      <c r="CL72" s="66">
        <f t="shared" si="33"/>
        <v>0</v>
      </c>
      <c r="CM72" s="175">
        <f>((INDEX('SV calc_ignore'!$J$10:$J$1341,12*Output!A72-0))+(INDEX('SV calc_ignore'!$O$10:$O$1341,12*Output!A72-0))*(A72&lt;'SV calc_ignore'!$Q$5))*(A72&gt;1)*($CM$21)</f>
        <v>0</v>
      </c>
      <c r="CN72" s="175">
        <v>0</v>
      </c>
      <c r="CO72" s="175">
        <f>(INDEX('SV calc_ignore'!$J$10:$J$1341,12*Output!A72-0))*(A72&gt;1)*($CO$21)</f>
        <v>0</v>
      </c>
      <c r="CP72" s="175">
        <v>0</v>
      </c>
      <c r="CQ72" s="175">
        <v>0</v>
      </c>
      <c r="CR72" s="175">
        <v>0</v>
      </c>
      <c r="CS72" s="175">
        <v>0</v>
      </c>
      <c r="CT72" s="175">
        <v>0</v>
      </c>
      <c r="CU72" s="175">
        <v>0</v>
      </c>
      <c r="CV72" s="175">
        <f>(INDEX('SV calc_ignore'!$J$10:$J$1341,12*Output!A72-0))*(A72&gt;1)*($CV$21)</f>
        <v>0</v>
      </c>
      <c r="CW72" s="66">
        <f>((INDEX('SV calc_ignore'!$J$10:$J$1341,12*Output!A72-0))+(INDEX('SV calc_ignore'!$O$10:$O$1351,12*Output!A72-0))*(A72&lt;'SV calc_ignore'!$Q$5))*(A72&gt;1)*($CW$21)</f>
        <v>0</v>
      </c>
      <c r="CX72" s="175">
        <f>(INDEX('SV calc_ignore'!$J$10:$J$1341,12*Output!A72-0))*(A72&gt;1)*($CX$21)</f>
        <v>0</v>
      </c>
      <c r="CY72" s="175">
        <f>(INDEX('SV calc_ignore'!$Q$10:$Q$1341,12*Output!A72-0))*(AND(A72&gt;1,R72&lt;20))*($CY$21)</f>
        <v>0</v>
      </c>
      <c r="CZ72" s="175">
        <f t="shared" si="34"/>
        <v>0</v>
      </c>
      <c r="DE72" s="43">
        <f>IF($DE$23,0,VLOOKUP(IF(A72&lt;=DP,DJ72,DI72),SSV!$B$6:$C$116,2,FALSE)*VLOOKUP(AnnuityOption,'All Options'!$AB$36:$AC$47,2,FALSE)*VLOOKUP('All Options'!$E$22,'Valid Data-GPG'!$B$130:$F$134,MATCH('All Options'!$E$17,'Valid Data-GPG'!$B$130:$F$130,0),0)*'All Options'!$E$17)*(IF(AND(Select="Deferred Annuity",AnnuityOption="Life Annuity"),A72&lt;=DP,1))</f>
        <v>653155.5610279307</v>
      </c>
      <c r="DF72" s="43">
        <f>IF($DF$23,0,IF($DQ$25,DQ72,IF($DR$25,DR72,VLOOKUP(IF(A72&lt;=DP,DJ72,DI72),SSV!$G$6:$H$116,2,FALSE)*SUM($B$27:B72))))</f>
        <v>4085328.5</v>
      </c>
      <c r="DG72" s="43" t="e">
        <f>IF(A72&lt;=DP,VLOOKUP(DP-A71,SSV!$T$6:$U$15,2,FALSE),1)</f>
        <v>#N/A</v>
      </c>
      <c r="DH72" s="282" t="e">
        <f t="shared" si="46"/>
        <v>#VALUE!</v>
      </c>
      <c r="DI72" s="43">
        <f>IF($DM$26,MIN(Age,'All Options'!$E$21)+A71,IF($DN$26,(Age+A71)-Age+60,IF($DO$26,(Age+A71)-Age+55,Age+A71)))</f>
        <v>105</v>
      </c>
      <c r="DJ72" s="279">
        <f>IF($DM$26,MIN(Age+A72,'All Options'!$E$21+A72),IF($DN$26,(Age+A72)-(Age+$A$27)+60,IF($DO$26,(Age+A72)-(Age+$A$27)+55,Age+A72)))</f>
        <v>106</v>
      </c>
      <c r="DP72" s="43">
        <f t="shared" si="35"/>
        <v>0</v>
      </c>
      <c r="DQ72" s="43">
        <f>IFERROR(VLOOKUP(IF(A72&lt;=DP,DJ72,DI72),SSV!$K$6:$L$91,2,FALSE)*SUM($B$27:B72),0)*($DQ$25)</f>
        <v>0</v>
      </c>
      <c r="DR72" s="43">
        <f>IFERROR(VLOOKUP(IF(A72&lt;=DP,DJ72,DI72),SSV!$O$6:$P$95,2,FALSE)*SUM($B$27:B72),0)*($DR$25)</f>
        <v>0</v>
      </c>
      <c r="DU72" s="175">
        <f t="shared" si="47"/>
        <v>1</v>
      </c>
    </row>
    <row r="73" spans="1:125" ht="12.75" customHeight="1" x14ac:dyDescent="0.2">
      <c r="A73" s="146">
        <f t="shared" si="48"/>
        <v>47</v>
      </c>
      <c r="B73" s="670">
        <f>IF(PremiumType="Regular Premium",'All Options'!$E$18*'All Options'!$E$22*(AND(Output!A73&lt;=PPT,A73&gt;=1)),'All Options'!$E$18*(A73=1))</f>
        <v>0</v>
      </c>
      <c r="C73" s="671"/>
      <c r="D73" s="103" t="e">
        <f>((VLOOKUP(CONCATENATE($D$14,$D$15),'All Options'!$AB$36:$AC$47,4,0)*VLOOKUP('All Options'!$E$22,'Valid Data-GPG'!$B$130:$F$134,MATCH('All Options'!$E$17,'Valid Data-GPG'!$B$130:$F$130,0),0)*'All Options'!$E$17)*IF(Select="Deferred Annuity",A73&gt;DP,1)+AE73+AF73*AG73*$AG$21)*(A73&gt;0)</f>
        <v>#N/A</v>
      </c>
      <c r="E73" s="103">
        <v>0</v>
      </c>
      <c r="F73" s="103" t="e">
        <f t="shared" si="18"/>
        <v>#N/A</v>
      </c>
      <c r="G73" s="103">
        <f t="shared" si="37"/>
        <v>0</v>
      </c>
      <c r="H73" s="285">
        <f t="shared" si="19"/>
        <v>0</v>
      </c>
      <c r="I73" s="103">
        <f t="shared" si="20"/>
        <v>0</v>
      </c>
      <c r="J73" s="101"/>
      <c r="K73" s="175">
        <f t="shared" si="49"/>
        <v>106</v>
      </c>
      <c r="L73" s="175"/>
      <c r="M73" s="175"/>
      <c r="N73" s="175"/>
      <c r="O73" s="175"/>
      <c r="P73" s="175"/>
      <c r="Q73" s="175"/>
      <c r="R73" s="175">
        <f t="shared" si="50"/>
        <v>0</v>
      </c>
      <c r="AB73" s="175" t="e">
        <f>(VLOOKUP(CONCATENATE($D$14,$D$15),'All Options'!$AB$36:$AC$47,4,0)*VLOOKUP('All Options'!$E$22,'Valid Data-GPG'!$B$130:$F$134,MATCH('All Options'!$E$17,'Valid Data-GPG'!$B$130:$F$130,0),0)*'All Options'!$E$17)*IF(Select="Deferred Annuity",A73&gt;DP,1)*(A73&gt;0)</f>
        <v>#N/A</v>
      </c>
      <c r="AC73" s="175">
        <f t="shared" si="38"/>
        <v>0</v>
      </c>
      <c r="AD73" s="175">
        <f>SUM($AC$26:AC73)</f>
        <v>0</v>
      </c>
      <c r="AE73" s="175">
        <f t="shared" si="39"/>
        <v>0</v>
      </c>
      <c r="AF73" s="175">
        <f t="shared" si="40"/>
        <v>250000</v>
      </c>
      <c r="AG73" s="175" t="b">
        <f>(SUM($AF$26:AF73)&lt;=$AB$17)</f>
        <v>0</v>
      </c>
      <c r="AY73" s="175"/>
      <c r="AZ73" s="66">
        <f>((MAX((SUM($B$26:C73)+(VLOOKUP($AZ$25,'All Options'!$AB$36:$AC$46,2,0)*VLOOKUP('All Options'!$E$22,'Valid Data-GPG'!$B$130:$F$134,MATCH('All Options'!$E$17,'Valid Data-GPG'!$B$130:$F$130,0),0)*'All Options'!$E$17)*(IF(A73&lt;=DP,A73,0))),105%*SUM($B$26:C73)))*(AND(A73&lt;&gt;0,Output!A73&lt;=DP))+(0)*(A73&gt;DP))*$AZ$21</f>
        <v>0</v>
      </c>
      <c r="BA73" s="175" t="e">
        <f>((MAX((SUM($B$26:C73)+(VLOOKUP($BA$25,'All Options'!$AB$36:$AC$46,2,0)*VLOOKUP('All Options'!$E$22,'Valid Data-GPG'!$B$130:$F$134,MATCH('All Options'!$E$17,'Valid Data-GPG'!$B$130:$F$130,0),0)*'All Options'!$E$17)*(IF(A73&lt;=DP,A73,0))),105%*SUM($B$26:C73)))*(Output!A73&lt;=DP)
+MAX((SUM($B$26:C73)+(VLOOKUP($BA$25,'All Options'!$AB$36:$AC$46,2,0)*VLOOKUP('All Options'!$E$22,'Valid Data-GPG'!$B$130:$F$134,MATCH('All Options'!$E$17,'Valid Data-GPG'!$B$130:$F$130,0),0)*'All Options'!$E$17)*DP-D73*(A73-DP)),SUM($B$26:C73))*(A73&gt;DP))*$BA$21</f>
        <v>#N/A</v>
      </c>
      <c r="BB73" s="175">
        <f>((MAX(($AB$17+(VLOOKUP($BB$25,'All Options'!$AB$36:$AC$46,2,0)*VLOOKUP('All Options'!$E$22,'Valid Data-GPG'!$B$130:$F$134,MATCH('All Options'!$E$17,'Valid Data-GPG'!$B$130:$F$130,0),0)*'All Options'!$E$17)*(IF(A73&lt;=DP,A73,0))),105%*$AB$17))*(Output!A73&lt;=DP)+(0)*(A73&gt;DP))*$BB$21</f>
        <v>0</v>
      </c>
      <c r="BC73" s="175" t="e">
        <f>((MAX(($AB$17+(VLOOKUP($BC$25,'All Options'!$AB$36:$AC$46,2,0)*VLOOKUP('All Options'!$E$22,'Valid Data-GPG'!$B$130:$F$134,MATCH('All Options'!$E$17,'Valid Data-GPG'!$B$130:$F$130,0),0)*'All Options'!$E$17)*(IF(A73&lt;=DP,A73,0))),105%*$AB$17))*(Output!A73&lt;=DP)+
MAX(($AB$17+(VLOOKUP($BC$25,'All Options'!$AB$36:$AC$46,2,0)*VLOOKUP('All Options'!$E$22,'Valid Data-GPG'!$B$130:$F$134,MATCH('All Options'!$E$17,'Valid Data-GPG'!$B$130:$F$130,0),0)*'All Options'!$E$17)*DP-D73*(A73-DP)),$AB$17)*(A73&gt;DP))*$BC$21</f>
        <v>#N/A</v>
      </c>
      <c r="BD73" s="175">
        <f ca="1">IFERROR((MAX(($AB$17+(VLOOKUP($BD$25,'All Options'!$AB$36:$AC$46,2,0)*VLOOKUP('All Options'!$E$22,'Valid Data-GPG'!$B$130:$F$134,MATCH('All Options'!$E$17,'Valid Data-GPG'!$B$130:$F$130,0),0)*'All Options'!$E$17)*(IF(A73&lt;=DP,A73,0))),105%*$AB$17))*(Output!A73&lt;=DP)
+MAX(($AB$17+(VLOOKUP($BD$25,'All Options'!$AB$36:$AC$46,2,0)*VLOOKUP('All Options'!$E$22,'Valid Data-GPG'!$B$130:$F$134,MATCH('All Options'!$E$17,'Valid Data-GPG'!$B$130:$F$130,0),0)*'All Options'!$E$17)*DP-D73*(A73-DP)),$AB$17)*(A73&gt;DP),0)*$BD$21</f>
        <v>0</v>
      </c>
      <c r="BE73" s="66">
        <f>IFERROR((MAX(($AB$17+(VLOOKUP($BE$25,'All Options'!$AB$36:$AC$46,2,0)*VLOOKUP('All Options'!$E$22,'Valid Data-GPG'!$B$130:$F$134,MATCH('All Options'!$E$17,'Valid Data-GPG'!$B$130:$F$130,0),0)*'All Options'!$E$17)*(IF(A73&lt;=DP,A73,0))),105%*$AB$17))*(Output!A73&lt;=DP)
+(MAX($AB$17+(VLOOKUP($BE$25,'All Options'!$AB$36:$AC$46,2,0)*VLOOKUP('All Options'!$E$22,'Valid Data-GPG'!$B$130:$F$134,MATCH('All Options'!$E$17,'Valid Data-GPG'!$B$130:$F$130,0),0)*'All Options'!$E$17)*DP-AB73*(A73-DP),$AB$17)*(MAX(A73&lt;=25,K73&lt;85)))*(A73&gt;DP),0)*$BE$21</f>
        <v>0</v>
      </c>
      <c r="BF73" s="175">
        <f>IFERROR((MAX(($AB$17+(VLOOKUP($BF$25,'All Options'!$AB$36:$AC$46,2,0)*VLOOKUP('All Options'!$E$22,'Valid Data-GPG'!$B$130:$F$134,MATCH('All Options'!$E$17,'Valid Data-GPG'!$B$130:$F$130,0),0)*'All Options'!$E$17)*(IF(A73&lt;=DP,A73,0))),105%*$AB$17))*(Output!A73&lt;=DP)
+(MAX($AB$17+(VLOOKUP($BF$25,'All Options'!$AB$36:$AC$46,2,0)*VLOOKUP('All Options'!$E$22,'Valid Data-GPG'!$B$130:$F$134,MATCH('All Options'!$E$17,'Valid Data-GPG'!$B$130:$F$130,0),0)*'All Options'!$E$17)*DP-AB73*(A73-DP),$AB$17)-SUM($AF$26:AF73)*AG73)*(A73&gt;DP)*AG73,0)*$BF$21</f>
        <v>0</v>
      </c>
      <c r="BG73" s="175">
        <f t="shared" si="23"/>
        <v>0</v>
      </c>
      <c r="BH73" s="182">
        <f t="shared" si="41"/>
        <v>5000000</v>
      </c>
      <c r="BI73" s="175">
        <f t="shared" si="24"/>
        <v>0</v>
      </c>
      <c r="BJ73" s="175">
        <f t="shared" si="25"/>
        <v>0</v>
      </c>
      <c r="BK73" s="175">
        <f t="shared" si="26"/>
        <v>0</v>
      </c>
      <c r="BL73" s="175">
        <f t="shared" si="27"/>
        <v>0</v>
      </c>
      <c r="BM73" s="175">
        <f t="shared" si="28"/>
        <v>0</v>
      </c>
      <c r="BN73" s="175">
        <f t="shared" si="29"/>
        <v>0</v>
      </c>
      <c r="BO73" s="182">
        <f t="shared" si="42"/>
        <v>0</v>
      </c>
      <c r="BP73" s="182">
        <f t="shared" si="43"/>
        <v>0</v>
      </c>
      <c r="BQ73" s="182">
        <f>MAX($AB$17-SUM($AF$26:AF73),0)*$BQ$21</f>
        <v>0</v>
      </c>
      <c r="BS73" s="175">
        <f t="shared" si="44"/>
        <v>1</v>
      </c>
      <c r="BT73" s="175">
        <f>IFERROR(IF(A73&lt;=1,0,VLOOKUP(DP,'Valid Data-GPG'!$A$116:$J$122,MATCH(Output!A73,'Valid Data-GPG'!$A$116:$J$116,0),FALSE)*SUM($B$26:C73))*(A73&lt;=DP),0)*$BT$21</f>
        <v>0</v>
      </c>
      <c r="BU73" s="175">
        <f>IFERROR(IF(A73&lt;=1,0,VLOOKUP(DP,'Valid Data-GPG'!$A$116:$J$122,MATCH(Output!A73,'Valid Data-GPG'!$A$116:$J$116,0),FALSE)*SUM($B$26:C73))*(A73&lt;=DP),0)*$BU$21</f>
        <v>0</v>
      </c>
      <c r="BV73" s="175">
        <f t="shared" si="45"/>
        <v>0</v>
      </c>
      <c r="BW73" s="175">
        <f t="shared" si="51"/>
        <v>0</v>
      </c>
      <c r="BX73" s="175">
        <f t="shared" si="52"/>
        <v>0</v>
      </c>
      <c r="BY73" s="175">
        <f t="shared" si="53"/>
        <v>0</v>
      </c>
      <c r="BZ73" s="175">
        <f t="shared" si="54"/>
        <v>0</v>
      </c>
      <c r="CA73" s="175">
        <f>(INDEX('SV calc_ignore'!$J$10:$J$1341,12*Output!A73-0))*BS73</f>
        <v>0</v>
      </c>
      <c r="CB73" s="175">
        <f t="shared" si="30"/>
        <v>0</v>
      </c>
      <c r="CC73" s="175">
        <f>(INDEX('SV calc_ignore'!$J$10:$J$1341,12*Output!A73-0))*BS73</f>
        <v>0</v>
      </c>
      <c r="CD73" s="175">
        <f t="shared" si="31"/>
        <v>0</v>
      </c>
      <c r="CE73" s="66">
        <f>(INDEX('SV calc_ignore'!$J$10:$J$1341,12*Output!A73-0))*($CE$21)</f>
        <v>0</v>
      </c>
      <c r="CF73" s="175">
        <f t="shared" si="32"/>
        <v>0</v>
      </c>
      <c r="CG73" s="175">
        <f>(INDEX('SV calc_ignore'!$J$10:$J$1341,12*Output!A73-0))*($CG$21)*(A73&gt;1)</f>
        <v>0</v>
      </c>
      <c r="CH73" s="175">
        <f>(INDEX('SV calc_ignore'!$J$10:$J$1341,12*Output!A73-0))*($CH$21)*(A73&gt;1)</f>
        <v>0</v>
      </c>
      <c r="CI73" s="175"/>
      <c r="CJ73" s="66">
        <f>(INDEX('SV calc_ignore'!$J$10:$J$1341,12*Output!A73-0))*($CJ$21)*(A73&gt;1)</f>
        <v>0</v>
      </c>
      <c r="CK73" s="66">
        <f>(INDEX('SV calc_ignore'!$Q$10:$Q$1341,12*Output!A73-0))*(AND(A73&gt;1,R73&lt;20))*($CK$21)</f>
        <v>0</v>
      </c>
      <c r="CL73" s="66">
        <f t="shared" si="33"/>
        <v>0</v>
      </c>
      <c r="CM73" s="175">
        <f>((INDEX('SV calc_ignore'!$J$10:$J$1341,12*Output!A73-0))+(INDEX('SV calc_ignore'!$O$10:$O$1341,12*Output!A73-0))*(A73&lt;'SV calc_ignore'!$Q$5))*(A73&gt;1)*($CM$21)</f>
        <v>0</v>
      </c>
      <c r="CN73" s="175">
        <v>0</v>
      </c>
      <c r="CO73" s="175">
        <f>(INDEX('SV calc_ignore'!$J$10:$J$1341,12*Output!A73-0))*(A73&gt;1)*($CO$21)</f>
        <v>0</v>
      </c>
      <c r="CP73" s="175">
        <v>0</v>
      </c>
      <c r="CQ73" s="175">
        <v>0</v>
      </c>
      <c r="CR73" s="175">
        <v>0</v>
      </c>
      <c r="CS73" s="175">
        <v>0</v>
      </c>
      <c r="CT73" s="175">
        <v>0</v>
      </c>
      <c r="CU73" s="175">
        <v>0</v>
      </c>
      <c r="CV73" s="175">
        <f>(INDEX('SV calc_ignore'!$J$10:$J$1341,12*Output!A73-0))*(A73&gt;1)*($CV$21)</f>
        <v>0</v>
      </c>
      <c r="CW73" s="66">
        <f>((INDEX('SV calc_ignore'!$J$10:$J$1341,12*Output!A73-0))+(INDEX('SV calc_ignore'!$O$10:$O$1351,12*Output!A73-0))*(A73&lt;'SV calc_ignore'!$Q$5))*(A73&gt;1)*($CW$21)</f>
        <v>0</v>
      </c>
      <c r="CX73" s="175">
        <f>(INDEX('SV calc_ignore'!$J$10:$J$1341,12*Output!A73-0))*(A73&gt;1)*($CX$21)</f>
        <v>0</v>
      </c>
      <c r="CY73" s="175">
        <f>(INDEX('SV calc_ignore'!$Q$10:$Q$1341,12*Output!A73-0))*(AND(A73&gt;1,R73&lt;20))*($CY$21)</f>
        <v>0</v>
      </c>
      <c r="CZ73" s="175">
        <f t="shared" si="34"/>
        <v>0</v>
      </c>
      <c r="DE73" s="43">
        <f>IF($DE$23,0,VLOOKUP(IF(A73&lt;=DP,DJ73,DI73),SSV!$B$6:$C$116,2,FALSE)*VLOOKUP(AnnuityOption,'All Options'!$AB$36:$AC$47,2,FALSE)*VLOOKUP('All Options'!$E$22,'Valid Data-GPG'!$B$130:$F$134,MATCH('All Options'!$E$17,'Valid Data-GPG'!$B$130:$F$130,0),0)*'All Options'!$E$17)*(IF(AND(Select="Deferred Annuity",AnnuityOption="Life Annuity"),A73&lt;=DP,1))</f>
        <v>587458.22620893654</v>
      </c>
      <c r="DF73" s="43">
        <f>IF($DF$23,0,IF($DQ$25,DQ73,IF($DR$25,DR73,VLOOKUP(IF(A73&lt;=DP,DJ73,DI73),SSV!$G$6:$H$116,2,FALSE)*SUM($B$27:B73))))</f>
        <v>4172667</v>
      </c>
      <c r="DG73" s="43" t="e">
        <f>IF(A73&lt;=DP,VLOOKUP(DP-A72,SSV!$T$6:$U$15,2,FALSE),1)</f>
        <v>#N/A</v>
      </c>
      <c r="DH73" s="282" t="e">
        <f t="shared" si="46"/>
        <v>#VALUE!</v>
      </c>
      <c r="DI73" s="43">
        <f>IF($DM$26,MIN(Age,'All Options'!$E$21)+A72,IF($DN$26,(Age+A72)-Age+60,IF($DO$26,(Age+A72)-Age+55,Age+A72)))</f>
        <v>106</v>
      </c>
      <c r="DJ73" s="279">
        <f>IF($DM$26,MIN(Age+A73,'All Options'!$E$21+A73),IF($DN$26,(Age+A73)-(Age+$A$27)+60,IF($DO$26,(Age+A73)-(Age+$A$27)+55,Age+A73)))</f>
        <v>107</v>
      </c>
      <c r="DP73" s="43">
        <f t="shared" si="35"/>
        <v>0</v>
      </c>
      <c r="DQ73" s="43">
        <f>IFERROR(VLOOKUP(IF(A73&lt;=DP,DJ73,DI73),SSV!$K$6:$L$91,2,FALSE)*SUM($B$27:B73),0)*($DQ$25)</f>
        <v>0</v>
      </c>
      <c r="DR73" s="43">
        <f>IFERROR(VLOOKUP(IF(A73&lt;=DP,DJ73,DI73),SSV!$O$6:$P$95,2,FALSE)*SUM($B$27:B73),0)*($DR$25)</f>
        <v>0</v>
      </c>
      <c r="DU73" s="175">
        <f t="shared" si="47"/>
        <v>1</v>
      </c>
    </row>
    <row r="74" spans="1:125" ht="12.75" customHeight="1" x14ac:dyDescent="0.2">
      <c r="A74" s="146">
        <f t="shared" si="48"/>
        <v>48</v>
      </c>
      <c r="B74" s="670">
        <f>IF(PremiumType="Regular Premium",'All Options'!$E$18*'All Options'!$E$22*(AND(Output!A74&lt;=PPT,A74&gt;=1)),'All Options'!$E$18*(A74=1))</f>
        <v>0</v>
      </c>
      <c r="C74" s="671"/>
      <c r="D74" s="103" t="e">
        <f>((VLOOKUP(CONCATENATE($D$14,$D$15),'All Options'!$AB$36:$AC$47,4,0)*VLOOKUP('All Options'!$E$22,'Valid Data-GPG'!$B$130:$F$134,MATCH('All Options'!$E$17,'Valid Data-GPG'!$B$130:$F$130,0),0)*'All Options'!$E$17)*IF(Select="Deferred Annuity",A74&gt;DP,1)+AE74+AF74*AG74*$AG$21)*(A74&gt;0)</f>
        <v>#N/A</v>
      </c>
      <c r="E74" s="103">
        <v>0</v>
      </c>
      <c r="F74" s="103" t="e">
        <f t="shared" si="18"/>
        <v>#N/A</v>
      </c>
      <c r="G74" s="103">
        <f t="shared" si="37"/>
        <v>0</v>
      </c>
      <c r="H74" s="285">
        <f t="shared" si="19"/>
        <v>0</v>
      </c>
      <c r="I74" s="103">
        <f t="shared" si="20"/>
        <v>0</v>
      </c>
      <c r="J74" s="101"/>
      <c r="K74" s="175">
        <f t="shared" si="49"/>
        <v>107</v>
      </c>
      <c r="L74" s="175"/>
      <c r="M74" s="175"/>
      <c r="N74" s="175"/>
      <c r="O74" s="175"/>
      <c r="P74" s="175"/>
      <c r="Q74" s="175"/>
      <c r="R74" s="175">
        <f t="shared" si="50"/>
        <v>0</v>
      </c>
      <c r="AB74" s="175" t="e">
        <f>(VLOOKUP(CONCATENATE($D$14,$D$15),'All Options'!$AB$36:$AC$47,4,0)*VLOOKUP('All Options'!$E$22,'Valid Data-GPG'!$B$130:$F$134,MATCH('All Options'!$E$17,'Valid Data-GPG'!$B$130:$F$130,0),0)*'All Options'!$E$17)*IF(Select="Deferred Annuity",A74&gt;DP,1)*(A74&gt;0)</f>
        <v>#N/A</v>
      </c>
      <c r="AC74" s="175">
        <f t="shared" si="38"/>
        <v>0</v>
      </c>
      <c r="AD74" s="175">
        <f>SUM($AC$26:AC74)</f>
        <v>0</v>
      </c>
      <c r="AE74" s="175">
        <f t="shared" si="39"/>
        <v>0</v>
      </c>
      <c r="AF74" s="175">
        <f t="shared" si="40"/>
        <v>250000</v>
      </c>
      <c r="AG74" s="175" t="b">
        <f>(SUM($AF$26:AF74)&lt;=$AB$17)</f>
        <v>0</v>
      </c>
      <c r="AY74" s="175"/>
      <c r="AZ74" s="66">
        <f>((MAX((SUM($B$26:C74)+(VLOOKUP($AZ$25,'All Options'!$AB$36:$AC$46,2,0)*VLOOKUP('All Options'!$E$22,'Valid Data-GPG'!$B$130:$F$134,MATCH('All Options'!$E$17,'Valid Data-GPG'!$B$130:$F$130,0),0)*'All Options'!$E$17)*(IF(A74&lt;=DP,A74,0))),105%*SUM($B$26:C74)))*(AND(A74&lt;&gt;0,Output!A74&lt;=DP))+(0)*(A74&gt;DP))*$AZ$21</f>
        <v>0</v>
      </c>
      <c r="BA74" s="175" t="e">
        <f>((MAX((SUM($B$26:C74)+(VLOOKUP($BA$25,'All Options'!$AB$36:$AC$46,2,0)*VLOOKUP('All Options'!$E$22,'Valid Data-GPG'!$B$130:$F$134,MATCH('All Options'!$E$17,'Valid Data-GPG'!$B$130:$F$130,0),0)*'All Options'!$E$17)*(IF(A74&lt;=DP,A74,0))),105%*SUM($B$26:C74)))*(Output!A74&lt;=DP)
+MAX((SUM($B$26:C74)+(VLOOKUP($BA$25,'All Options'!$AB$36:$AC$46,2,0)*VLOOKUP('All Options'!$E$22,'Valid Data-GPG'!$B$130:$F$134,MATCH('All Options'!$E$17,'Valid Data-GPG'!$B$130:$F$130,0),0)*'All Options'!$E$17)*DP-D74*(A74-DP)),SUM($B$26:C74))*(A74&gt;DP))*$BA$21</f>
        <v>#N/A</v>
      </c>
      <c r="BB74" s="175">
        <f>((MAX(($AB$17+(VLOOKUP($BB$25,'All Options'!$AB$36:$AC$46,2,0)*VLOOKUP('All Options'!$E$22,'Valid Data-GPG'!$B$130:$F$134,MATCH('All Options'!$E$17,'Valid Data-GPG'!$B$130:$F$130,0),0)*'All Options'!$E$17)*(IF(A74&lt;=DP,A74,0))),105%*$AB$17))*(Output!A74&lt;=DP)+(0)*(A74&gt;DP))*$BB$21</f>
        <v>0</v>
      </c>
      <c r="BC74" s="175" t="e">
        <f>((MAX(($AB$17+(VLOOKUP($BC$25,'All Options'!$AB$36:$AC$46,2,0)*VLOOKUP('All Options'!$E$22,'Valid Data-GPG'!$B$130:$F$134,MATCH('All Options'!$E$17,'Valid Data-GPG'!$B$130:$F$130,0),0)*'All Options'!$E$17)*(IF(A74&lt;=DP,A74,0))),105%*$AB$17))*(Output!A74&lt;=DP)+
MAX(($AB$17+(VLOOKUP($BC$25,'All Options'!$AB$36:$AC$46,2,0)*VLOOKUP('All Options'!$E$22,'Valid Data-GPG'!$B$130:$F$134,MATCH('All Options'!$E$17,'Valid Data-GPG'!$B$130:$F$130,0),0)*'All Options'!$E$17)*DP-D74*(A74-DP)),$AB$17)*(A74&gt;DP))*$BC$21</f>
        <v>#N/A</v>
      </c>
      <c r="BD74" s="175">
        <f ca="1">IFERROR((MAX(($AB$17+(VLOOKUP($BD$25,'All Options'!$AB$36:$AC$46,2,0)*VLOOKUP('All Options'!$E$22,'Valid Data-GPG'!$B$130:$F$134,MATCH('All Options'!$E$17,'Valid Data-GPG'!$B$130:$F$130,0),0)*'All Options'!$E$17)*(IF(A74&lt;=DP,A74,0))),105%*$AB$17))*(Output!A74&lt;=DP)
+MAX(($AB$17+(VLOOKUP($BD$25,'All Options'!$AB$36:$AC$46,2,0)*VLOOKUP('All Options'!$E$22,'Valid Data-GPG'!$B$130:$F$134,MATCH('All Options'!$E$17,'Valid Data-GPG'!$B$130:$F$130,0),0)*'All Options'!$E$17)*DP-D74*(A74-DP)),$AB$17)*(A74&gt;DP),0)*$BD$21</f>
        <v>0</v>
      </c>
      <c r="BE74" s="66">
        <f>IFERROR((MAX(($AB$17+(VLOOKUP($BE$25,'All Options'!$AB$36:$AC$46,2,0)*VLOOKUP('All Options'!$E$22,'Valid Data-GPG'!$B$130:$F$134,MATCH('All Options'!$E$17,'Valid Data-GPG'!$B$130:$F$130,0),0)*'All Options'!$E$17)*(IF(A74&lt;=DP,A74,0))),105%*$AB$17))*(Output!A74&lt;=DP)
+(MAX($AB$17+(VLOOKUP($BE$25,'All Options'!$AB$36:$AC$46,2,0)*VLOOKUP('All Options'!$E$22,'Valid Data-GPG'!$B$130:$F$134,MATCH('All Options'!$E$17,'Valid Data-GPG'!$B$130:$F$130,0),0)*'All Options'!$E$17)*DP-AB74*(A74-DP),$AB$17)*(MAX(A74&lt;=25,K74&lt;85)))*(A74&gt;DP),0)*$BE$21</f>
        <v>0</v>
      </c>
      <c r="BF74" s="175">
        <f>IFERROR((MAX(($AB$17+(VLOOKUP($BF$25,'All Options'!$AB$36:$AC$46,2,0)*VLOOKUP('All Options'!$E$22,'Valid Data-GPG'!$B$130:$F$134,MATCH('All Options'!$E$17,'Valid Data-GPG'!$B$130:$F$130,0),0)*'All Options'!$E$17)*(IF(A74&lt;=DP,A74,0))),105%*$AB$17))*(Output!A74&lt;=DP)
+(MAX($AB$17+(VLOOKUP($BF$25,'All Options'!$AB$36:$AC$46,2,0)*VLOOKUP('All Options'!$E$22,'Valid Data-GPG'!$B$130:$F$134,MATCH('All Options'!$E$17,'Valid Data-GPG'!$B$130:$F$130,0),0)*'All Options'!$E$17)*DP-AB74*(A74-DP),$AB$17)-SUM($AF$26:AF74)*AG74)*(A74&gt;DP)*AG74,0)*$BF$21</f>
        <v>0</v>
      </c>
      <c r="BG74" s="175">
        <f t="shared" si="23"/>
        <v>0</v>
      </c>
      <c r="BH74" s="182">
        <f t="shared" si="41"/>
        <v>5000000</v>
      </c>
      <c r="BI74" s="175">
        <f t="shared" si="24"/>
        <v>0</v>
      </c>
      <c r="BJ74" s="175">
        <f t="shared" si="25"/>
        <v>0</v>
      </c>
      <c r="BK74" s="175">
        <f t="shared" si="26"/>
        <v>0</v>
      </c>
      <c r="BL74" s="175">
        <f t="shared" si="27"/>
        <v>0</v>
      </c>
      <c r="BM74" s="175">
        <f t="shared" si="28"/>
        <v>0</v>
      </c>
      <c r="BN74" s="175">
        <f t="shared" si="29"/>
        <v>0</v>
      </c>
      <c r="BO74" s="182">
        <f t="shared" si="42"/>
        <v>0</v>
      </c>
      <c r="BP74" s="182">
        <f t="shared" si="43"/>
        <v>0</v>
      </c>
      <c r="BQ74" s="182">
        <f>MAX($AB$17-SUM($AF$26:AF74),0)*$BQ$21</f>
        <v>0</v>
      </c>
      <c r="BS74" s="175">
        <f t="shared" si="44"/>
        <v>1</v>
      </c>
      <c r="BT74" s="175">
        <f>IFERROR(IF(A74&lt;=1,0,VLOOKUP(DP,'Valid Data-GPG'!$A$116:$J$122,MATCH(Output!A74,'Valid Data-GPG'!$A$116:$J$116,0),FALSE)*SUM($B$26:C74))*(A74&lt;=DP),0)*$BT$21</f>
        <v>0</v>
      </c>
      <c r="BU74" s="175">
        <f>IFERROR(IF(A74&lt;=1,0,VLOOKUP(DP,'Valid Data-GPG'!$A$116:$J$122,MATCH(Output!A74,'Valid Data-GPG'!$A$116:$J$116,0),FALSE)*SUM($B$26:C74))*(A74&lt;=DP),0)*$BU$21</f>
        <v>0</v>
      </c>
      <c r="BV74" s="175">
        <f t="shared" si="45"/>
        <v>0</v>
      </c>
      <c r="BW74" s="175">
        <f t="shared" si="51"/>
        <v>0</v>
      </c>
      <c r="BX74" s="175">
        <f t="shared" si="52"/>
        <v>0</v>
      </c>
      <c r="BY74" s="175">
        <f t="shared" si="53"/>
        <v>0</v>
      </c>
      <c r="BZ74" s="175">
        <f t="shared" si="54"/>
        <v>0</v>
      </c>
      <c r="CA74" s="175">
        <f>(INDEX('SV calc_ignore'!$J$10:$J$1341,12*Output!A74-0))*BS74</f>
        <v>0</v>
      </c>
      <c r="CB74" s="175">
        <f t="shared" si="30"/>
        <v>0</v>
      </c>
      <c r="CC74" s="175">
        <f>(INDEX('SV calc_ignore'!$J$10:$J$1341,12*Output!A74-0))*BS74</f>
        <v>0</v>
      </c>
      <c r="CD74" s="175">
        <f t="shared" si="31"/>
        <v>0</v>
      </c>
      <c r="CE74" s="66">
        <f>(INDEX('SV calc_ignore'!$J$10:$J$1341,12*Output!A74-0))*($CE$21)</f>
        <v>0</v>
      </c>
      <c r="CF74" s="175">
        <f t="shared" si="32"/>
        <v>0</v>
      </c>
      <c r="CG74" s="175">
        <f>(INDEX('SV calc_ignore'!$J$10:$J$1341,12*Output!A74-0))*($CG$21)*(A74&gt;1)</f>
        <v>0</v>
      </c>
      <c r="CH74" s="175">
        <f>(INDEX('SV calc_ignore'!$J$10:$J$1341,12*Output!A74-0))*($CH$21)*(A74&gt;1)</f>
        <v>0</v>
      </c>
      <c r="CI74" s="175"/>
      <c r="CJ74" s="66">
        <f>(INDEX('SV calc_ignore'!$J$10:$J$1341,12*Output!A74-0))*($CJ$21)*(A74&gt;1)</f>
        <v>0</v>
      </c>
      <c r="CK74" s="66">
        <f>(INDEX('SV calc_ignore'!$Q$10:$Q$1341,12*Output!A74-0))*(AND(A74&gt;1,R74&lt;20))*($CK$21)</f>
        <v>0</v>
      </c>
      <c r="CL74" s="66">
        <f t="shared" si="33"/>
        <v>0</v>
      </c>
      <c r="CM74" s="175">
        <f>((INDEX('SV calc_ignore'!$J$10:$J$1341,12*Output!A74-0))+(INDEX('SV calc_ignore'!$O$10:$O$1341,12*Output!A74-0))*(A74&lt;'SV calc_ignore'!$Q$5))*(A74&gt;1)*($CM$21)</f>
        <v>0</v>
      </c>
      <c r="CN74" s="175">
        <v>0</v>
      </c>
      <c r="CO74" s="175">
        <f>(INDEX('SV calc_ignore'!$J$10:$J$1341,12*Output!A74-0))*(A74&gt;1)*($CO$21)</f>
        <v>0</v>
      </c>
      <c r="CP74" s="175">
        <v>0</v>
      </c>
      <c r="CQ74" s="175">
        <v>0</v>
      </c>
      <c r="CR74" s="175">
        <v>0</v>
      </c>
      <c r="CS74" s="175">
        <v>0</v>
      </c>
      <c r="CT74" s="175">
        <v>0</v>
      </c>
      <c r="CU74" s="175">
        <v>0</v>
      </c>
      <c r="CV74" s="175">
        <f>(INDEX('SV calc_ignore'!$J$10:$J$1341,12*Output!A74-0))*(A74&gt;1)*($CV$21)</f>
        <v>0</v>
      </c>
      <c r="CW74" s="66">
        <f>((INDEX('SV calc_ignore'!$J$10:$J$1341,12*Output!A74-0))+(INDEX('SV calc_ignore'!$O$10:$O$1351,12*Output!A74-0))*(A74&lt;'SV calc_ignore'!$Q$5))*(A74&gt;1)*($CW$21)</f>
        <v>0</v>
      </c>
      <c r="CX74" s="175">
        <f>(INDEX('SV calc_ignore'!$J$10:$J$1341,12*Output!A74-0))*(A74&gt;1)*($CX$21)</f>
        <v>0</v>
      </c>
      <c r="CY74" s="175">
        <f>(INDEX('SV calc_ignore'!$Q$10:$Q$1341,12*Output!A74-0))*(AND(A74&gt;1,R74&lt;20))*($CY$21)</f>
        <v>0</v>
      </c>
      <c r="CZ74" s="175">
        <f t="shared" si="34"/>
        <v>0</v>
      </c>
      <c r="DE74" s="43">
        <f>IF($DE$23,0,VLOOKUP(IF(A74&lt;=DP,DJ74,DI74),SSV!$B$6:$C$116,2,FALSE)*VLOOKUP(AnnuityOption,'All Options'!$AB$36:$AC$47,2,FALSE)*VLOOKUP('All Options'!$E$22,'Valid Data-GPG'!$B$130:$F$134,MATCH('All Options'!$E$17,'Valid Data-GPG'!$B$130:$F$130,0),0)*'All Options'!$E$17)*(IF(AND(Select="Deferred Annuity",AnnuityOption="Life Annuity"),A74&lt;=DP,1))</f>
        <v>504292.92193340347</v>
      </c>
      <c r="DF74" s="43">
        <f>IF($DF$23,0,IF($DQ$25,DQ74,IF($DR$25,DR74,VLOOKUP(IF(A74&lt;=DP,DJ74,DI74),SSV!$G$6:$H$116,2,FALSE)*SUM($B$27:B74))))</f>
        <v>4285876</v>
      </c>
      <c r="DG74" s="43" t="e">
        <f>IF(A74&lt;=DP,VLOOKUP(DP-A73,SSV!$T$6:$U$15,2,FALSE),1)</f>
        <v>#N/A</v>
      </c>
      <c r="DH74" s="282" t="e">
        <f t="shared" si="46"/>
        <v>#VALUE!</v>
      </c>
      <c r="DI74" s="43">
        <f>IF($DM$26,MIN(Age,'All Options'!$E$21)+A73,IF($DN$26,(Age+A73)-Age+60,IF($DO$26,(Age+A73)-Age+55,Age+A73)))</f>
        <v>107</v>
      </c>
      <c r="DJ74" s="279">
        <f>IF($DM$26,MIN(Age+A74,'All Options'!$E$21+A74),IF($DN$26,(Age+A74)-(Age+$A$27)+60,IF($DO$26,(Age+A74)-(Age+$A$27)+55,Age+A74)))</f>
        <v>108</v>
      </c>
      <c r="DP74" s="43">
        <f t="shared" si="35"/>
        <v>0</v>
      </c>
      <c r="DQ74" s="43">
        <f>IFERROR(VLOOKUP(IF(A74&lt;=DP,DJ74,DI74),SSV!$K$6:$L$91,2,FALSE)*SUM($B$27:B74),0)*($DQ$25)</f>
        <v>0</v>
      </c>
      <c r="DR74" s="43">
        <f>IFERROR(VLOOKUP(IF(A74&lt;=DP,DJ74,DI74),SSV!$O$6:$P$95,2,FALSE)*SUM($B$27:B74),0)*($DR$25)</f>
        <v>0</v>
      </c>
      <c r="DU74" s="175">
        <f t="shared" si="47"/>
        <v>1</v>
      </c>
    </row>
    <row r="75" spans="1:125" ht="12.75" customHeight="1" x14ac:dyDescent="0.2">
      <c r="A75" s="146">
        <f t="shared" si="48"/>
        <v>49</v>
      </c>
      <c r="B75" s="670">
        <f>IF(PremiumType="Regular Premium",'All Options'!$E$18*'All Options'!$E$22*(AND(Output!A75&lt;=PPT,A75&gt;=1)),'All Options'!$E$18*(A75=1))</f>
        <v>0</v>
      </c>
      <c r="C75" s="671"/>
      <c r="D75" s="103" t="e">
        <f>((VLOOKUP(CONCATENATE($D$14,$D$15),'All Options'!$AB$36:$AC$47,4,0)*VLOOKUP('All Options'!$E$22,'Valid Data-GPG'!$B$130:$F$134,MATCH('All Options'!$E$17,'Valid Data-GPG'!$B$130:$F$130,0),0)*'All Options'!$E$17)*IF(Select="Deferred Annuity",A75&gt;DP,1)+AE75+AF75*AG75*$AG$21)*(A75&gt;0)</f>
        <v>#N/A</v>
      </c>
      <c r="E75" s="103">
        <v>0</v>
      </c>
      <c r="F75" s="103" t="e">
        <f t="shared" si="18"/>
        <v>#N/A</v>
      </c>
      <c r="G75" s="103">
        <f t="shared" si="37"/>
        <v>0</v>
      </c>
      <c r="H75" s="285">
        <f t="shared" si="19"/>
        <v>0</v>
      </c>
      <c r="I75" s="103">
        <f t="shared" si="20"/>
        <v>0</v>
      </c>
      <c r="J75" s="101"/>
      <c r="K75" s="175">
        <f t="shared" si="49"/>
        <v>108</v>
      </c>
      <c r="L75" s="175"/>
      <c r="M75" s="175"/>
      <c r="N75" s="175"/>
      <c r="O75" s="175"/>
      <c r="P75" s="175"/>
      <c r="Q75" s="175"/>
      <c r="R75" s="175">
        <f t="shared" si="50"/>
        <v>0</v>
      </c>
      <c r="AB75" s="175" t="e">
        <f>(VLOOKUP(CONCATENATE($D$14,$D$15),'All Options'!$AB$36:$AC$47,4,0)*VLOOKUP('All Options'!$E$22,'Valid Data-GPG'!$B$130:$F$134,MATCH('All Options'!$E$17,'Valid Data-GPG'!$B$130:$F$130,0),0)*'All Options'!$E$17)*IF(Select="Deferred Annuity",A75&gt;DP,1)*(A75&gt;0)</f>
        <v>#N/A</v>
      </c>
      <c r="AC75" s="175">
        <f t="shared" si="38"/>
        <v>0</v>
      </c>
      <c r="AD75" s="175">
        <f>SUM($AC$26:AC75)</f>
        <v>0</v>
      </c>
      <c r="AE75" s="175">
        <f t="shared" si="39"/>
        <v>0</v>
      </c>
      <c r="AF75" s="175">
        <f t="shared" si="40"/>
        <v>250000</v>
      </c>
      <c r="AG75" s="175" t="b">
        <f>(SUM($AF$26:AF75)&lt;=$AB$17)</f>
        <v>0</v>
      </c>
      <c r="AY75" s="175"/>
      <c r="AZ75" s="66">
        <f>((MAX((SUM($B$26:C75)+(VLOOKUP($AZ$25,'All Options'!$AB$36:$AC$46,2,0)*VLOOKUP('All Options'!$E$22,'Valid Data-GPG'!$B$130:$F$134,MATCH('All Options'!$E$17,'Valid Data-GPG'!$B$130:$F$130,0),0)*'All Options'!$E$17)*(IF(A75&lt;=DP,A75,0))),105%*SUM($B$26:C75)))*(AND(A75&lt;&gt;0,Output!A75&lt;=DP))+(0)*(A75&gt;DP))*$AZ$21</f>
        <v>0</v>
      </c>
      <c r="BA75" s="175" t="e">
        <f>((MAX((SUM($B$26:C75)+(VLOOKUP($BA$25,'All Options'!$AB$36:$AC$46,2,0)*VLOOKUP('All Options'!$E$22,'Valid Data-GPG'!$B$130:$F$134,MATCH('All Options'!$E$17,'Valid Data-GPG'!$B$130:$F$130,0),0)*'All Options'!$E$17)*(IF(A75&lt;=DP,A75,0))),105%*SUM($B$26:C75)))*(Output!A75&lt;=DP)
+MAX((SUM($B$26:C75)+(VLOOKUP($BA$25,'All Options'!$AB$36:$AC$46,2,0)*VLOOKUP('All Options'!$E$22,'Valid Data-GPG'!$B$130:$F$134,MATCH('All Options'!$E$17,'Valid Data-GPG'!$B$130:$F$130,0),0)*'All Options'!$E$17)*DP-D75*(A75-DP)),SUM($B$26:C75))*(A75&gt;DP))*$BA$21</f>
        <v>#N/A</v>
      </c>
      <c r="BB75" s="175">
        <f>((MAX(($AB$17+(VLOOKUP($BB$25,'All Options'!$AB$36:$AC$46,2,0)*VLOOKUP('All Options'!$E$22,'Valid Data-GPG'!$B$130:$F$134,MATCH('All Options'!$E$17,'Valid Data-GPG'!$B$130:$F$130,0),0)*'All Options'!$E$17)*(IF(A75&lt;=DP,A75,0))),105%*$AB$17))*(Output!A75&lt;=DP)+(0)*(A75&gt;DP))*$BB$21</f>
        <v>0</v>
      </c>
      <c r="BC75" s="175" t="e">
        <f>((MAX(($AB$17+(VLOOKUP($BC$25,'All Options'!$AB$36:$AC$46,2,0)*VLOOKUP('All Options'!$E$22,'Valid Data-GPG'!$B$130:$F$134,MATCH('All Options'!$E$17,'Valid Data-GPG'!$B$130:$F$130,0),0)*'All Options'!$E$17)*(IF(A75&lt;=DP,A75,0))),105%*$AB$17))*(Output!A75&lt;=DP)+
MAX(($AB$17+(VLOOKUP($BC$25,'All Options'!$AB$36:$AC$46,2,0)*VLOOKUP('All Options'!$E$22,'Valid Data-GPG'!$B$130:$F$134,MATCH('All Options'!$E$17,'Valid Data-GPG'!$B$130:$F$130,0),0)*'All Options'!$E$17)*DP-D75*(A75-DP)),$AB$17)*(A75&gt;DP))*$BC$21</f>
        <v>#N/A</v>
      </c>
      <c r="BD75" s="175">
        <f ca="1">IFERROR((MAX(($AB$17+(VLOOKUP($BD$25,'All Options'!$AB$36:$AC$46,2,0)*VLOOKUP('All Options'!$E$22,'Valid Data-GPG'!$B$130:$F$134,MATCH('All Options'!$E$17,'Valid Data-GPG'!$B$130:$F$130,0),0)*'All Options'!$E$17)*(IF(A75&lt;=DP,A75,0))),105%*$AB$17))*(Output!A75&lt;=DP)
+MAX(($AB$17+(VLOOKUP($BD$25,'All Options'!$AB$36:$AC$46,2,0)*VLOOKUP('All Options'!$E$22,'Valid Data-GPG'!$B$130:$F$134,MATCH('All Options'!$E$17,'Valid Data-GPG'!$B$130:$F$130,0),0)*'All Options'!$E$17)*DP-D75*(A75-DP)),$AB$17)*(A75&gt;DP),0)*$BD$21</f>
        <v>0</v>
      </c>
      <c r="BE75" s="66">
        <f>IFERROR((MAX(($AB$17+(VLOOKUP($BE$25,'All Options'!$AB$36:$AC$46,2,0)*VLOOKUP('All Options'!$E$22,'Valid Data-GPG'!$B$130:$F$134,MATCH('All Options'!$E$17,'Valid Data-GPG'!$B$130:$F$130,0),0)*'All Options'!$E$17)*(IF(A75&lt;=DP,A75,0))),105%*$AB$17))*(Output!A75&lt;=DP)
+(MAX($AB$17+(VLOOKUP($BE$25,'All Options'!$AB$36:$AC$46,2,0)*VLOOKUP('All Options'!$E$22,'Valid Data-GPG'!$B$130:$F$134,MATCH('All Options'!$E$17,'Valid Data-GPG'!$B$130:$F$130,0),0)*'All Options'!$E$17)*DP-AB75*(A75-DP),$AB$17)*(MAX(A75&lt;=25,K75&lt;85)))*(A75&gt;DP),0)*$BE$21</f>
        <v>0</v>
      </c>
      <c r="BF75" s="175">
        <f>IFERROR((MAX(($AB$17+(VLOOKUP($BF$25,'All Options'!$AB$36:$AC$46,2,0)*VLOOKUP('All Options'!$E$22,'Valid Data-GPG'!$B$130:$F$134,MATCH('All Options'!$E$17,'Valid Data-GPG'!$B$130:$F$130,0),0)*'All Options'!$E$17)*(IF(A75&lt;=DP,A75,0))),105%*$AB$17))*(Output!A75&lt;=DP)
+(MAX($AB$17+(VLOOKUP($BF$25,'All Options'!$AB$36:$AC$46,2,0)*VLOOKUP('All Options'!$E$22,'Valid Data-GPG'!$B$130:$F$134,MATCH('All Options'!$E$17,'Valid Data-GPG'!$B$130:$F$130,0),0)*'All Options'!$E$17)*DP-AB75*(A75-DP),$AB$17)-SUM($AF$26:AF75)*AG75)*(A75&gt;DP)*AG75,0)*$BF$21</f>
        <v>0</v>
      </c>
      <c r="BG75" s="175">
        <f t="shared" si="23"/>
        <v>0</v>
      </c>
      <c r="BH75" s="182">
        <f t="shared" si="41"/>
        <v>5000000</v>
      </c>
      <c r="BI75" s="175">
        <f t="shared" si="24"/>
        <v>0</v>
      </c>
      <c r="BJ75" s="175">
        <f t="shared" si="25"/>
        <v>0</v>
      </c>
      <c r="BK75" s="175">
        <f t="shared" si="26"/>
        <v>0</v>
      </c>
      <c r="BL75" s="175">
        <f t="shared" si="27"/>
        <v>0</v>
      </c>
      <c r="BM75" s="175">
        <f t="shared" si="28"/>
        <v>0</v>
      </c>
      <c r="BN75" s="175">
        <f t="shared" si="29"/>
        <v>0</v>
      </c>
      <c r="BO75" s="182">
        <f t="shared" si="42"/>
        <v>0</v>
      </c>
      <c r="BP75" s="182">
        <f t="shared" si="43"/>
        <v>0</v>
      </c>
      <c r="BQ75" s="182">
        <f>MAX($AB$17-SUM($AF$26:AF75),0)*$BQ$21</f>
        <v>0</v>
      </c>
      <c r="BS75" s="175">
        <f t="shared" si="44"/>
        <v>1</v>
      </c>
      <c r="BT75" s="175">
        <f>IFERROR(IF(A75&lt;=1,0,VLOOKUP(DP,'Valid Data-GPG'!$A$116:$J$122,MATCH(Output!A75,'Valid Data-GPG'!$A$116:$J$116,0),FALSE)*SUM($B$26:C75))*(A75&lt;=DP),0)*$BT$21</f>
        <v>0</v>
      </c>
      <c r="BU75" s="175">
        <f>IFERROR(IF(A75&lt;=1,0,VLOOKUP(DP,'Valid Data-GPG'!$A$116:$J$122,MATCH(Output!A75,'Valid Data-GPG'!$A$116:$J$116,0),FALSE)*SUM($B$26:C75))*(A75&lt;=DP),0)*$BU$21</f>
        <v>0</v>
      </c>
      <c r="BV75" s="175">
        <f t="shared" si="45"/>
        <v>0</v>
      </c>
      <c r="BW75" s="175">
        <f t="shared" si="51"/>
        <v>0</v>
      </c>
      <c r="BX75" s="175">
        <f t="shared" si="52"/>
        <v>0</v>
      </c>
      <c r="BY75" s="175">
        <f t="shared" si="53"/>
        <v>0</v>
      </c>
      <c r="BZ75" s="175">
        <f t="shared" si="54"/>
        <v>0</v>
      </c>
      <c r="CA75" s="175">
        <f>(INDEX('SV calc_ignore'!$J$10:$J$1341,12*Output!A75-0))*BS75</f>
        <v>0</v>
      </c>
      <c r="CB75" s="175">
        <f t="shared" si="30"/>
        <v>0</v>
      </c>
      <c r="CC75" s="175">
        <f>(INDEX('SV calc_ignore'!$J$10:$J$1341,12*Output!A75-0))*BS75</f>
        <v>0</v>
      </c>
      <c r="CD75" s="175">
        <f t="shared" si="31"/>
        <v>0</v>
      </c>
      <c r="CE75" s="66">
        <f>(INDEX('SV calc_ignore'!$J$10:$J$1341,12*Output!A75-0))*($CE$21)</f>
        <v>0</v>
      </c>
      <c r="CF75" s="175">
        <f t="shared" si="32"/>
        <v>0</v>
      </c>
      <c r="CG75" s="175">
        <f>(INDEX('SV calc_ignore'!$J$10:$J$1341,12*Output!A75-0))*($CG$21)*(A75&gt;1)</f>
        <v>0</v>
      </c>
      <c r="CH75" s="175">
        <f>(INDEX('SV calc_ignore'!$J$10:$J$1341,12*Output!A75-0))*($CH$21)*(A75&gt;1)</f>
        <v>0</v>
      </c>
      <c r="CI75" s="175"/>
      <c r="CJ75" s="66">
        <f>(INDEX('SV calc_ignore'!$J$10:$J$1341,12*Output!A75-0))*($CJ$21)*(A75&gt;1)</f>
        <v>0</v>
      </c>
      <c r="CK75" s="66">
        <f>(INDEX('SV calc_ignore'!$Q$10:$Q$1341,12*Output!A75-0))*(AND(A75&gt;1,R75&lt;20))*($CK$21)</f>
        <v>0</v>
      </c>
      <c r="CL75" s="66">
        <f t="shared" si="33"/>
        <v>0</v>
      </c>
      <c r="CM75" s="175">
        <f>((INDEX('SV calc_ignore'!$J$10:$J$1341,12*Output!A75-0))+(INDEX('SV calc_ignore'!$O$10:$O$1341,12*Output!A75-0))*(A75&lt;'SV calc_ignore'!$Q$5))*(A75&gt;1)*($CM$21)</f>
        <v>0</v>
      </c>
      <c r="CN75" s="175">
        <v>0</v>
      </c>
      <c r="CO75" s="175">
        <f>(INDEX('SV calc_ignore'!$J$10:$J$1341,12*Output!A75-0))*(A75&gt;1)*($CO$21)</f>
        <v>0</v>
      </c>
      <c r="CP75" s="175">
        <v>0</v>
      </c>
      <c r="CQ75" s="175">
        <v>0</v>
      </c>
      <c r="CR75" s="175">
        <v>0</v>
      </c>
      <c r="CS75" s="175">
        <v>0</v>
      </c>
      <c r="CT75" s="175">
        <v>0</v>
      </c>
      <c r="CU75" s="175">
        <v>0</v>
      </c>
      <c r="CV75" s="175">
        <f>(INDEX('SV calc_ignore'!$J$10:$J$1341,12*Output!A75-0))*(A75&gt;1)*($CV$21)</f>
        <v>0</v>
      </c>
      <c r="CW75" s="66">
        <f>((INDEX('SV calc_ignore'!$J$10:$J$1341,12*Output!A75-0))+(INDEX('SV calc_ignore'!$O$10:$O$1351,12*Output!A75-0))*(A75&lt;'SV calc_ignore'!$Q$5))*(A75&gt;1)*($CW$21)</f>
        <v>0</v>
      </c>
      <c r="CX75" s="175">
        <f>(INDEX('SV calc_ignore'!$J$10:$J$1341,12*Output!A75-0))*(A75&gt;1)*($CX$21)</f>
        <v>0</v>
      </c>
      <c r="CY75" s="175">
        <f>(INDEX('SV calc_ignore'!$Q$10:$Q$1341,12*Output!A75-0))*(AND(A75&gt;1,R75&lt;20))*($CY$21)</f>
        <v>0</v>
      </c>
      <c r="CZ75" s="175">
        <f t="shared" si="34"/>
        <v>0</v>
      </c>
      <c r="DE75" s="43">
        <f>IF($DE$23,0,VLOOKUP(IF(A75&lt;=DP,DJ75,DI75),SSV!$B$6:$C$116,2,FALSE)*VLOOKUP(AnnuityOption,'All Options'!$AB$36:$AC$47,2,FALSE)*VLOOKUP('All Options'!$E$22,'Valid Data-GPG'!$B$130:$F$134,MATCH('All Options'!$E$17,'Valid Data-GPG'!$B$130:$F$130,0),0)*'All Options'!$E$17)*(IF(AND(Select="Deferred Annuity",AnnuityOption="Life Annuity"),A75&lt;=DP,1))</f>
        <v>392738.46818952484</v>
      </c>
      <c r="DF75" s="43">
        <f>IF($DF$23,0,IF($DQ$25,DQ75,IF($DR$25,DR75,VLOOKUP(IF(A75&lt;=DP,DJ75,DI75),SSV!$G$6:$H$116,2,FALSE)*SUM($B$27:B75))))</f>
        <v>4440919</v>
      </c>
      <c r="DG75" s="43" t="e">
        <f>IF(A75&lt;=DP,VLOOKUP(DP-A74,SSV!$T$6:$U$15,2,FALSE),1)</f>
        <v>#N/A</v>
      </c>
      <c r="DH75" s="282" t="e">
        <f t="shared" si="46"/>
        <v>#VALUE!</v>
      </c>
      <c r="DI75" s="43">
        <f>IF($DM$26,MIN(Age,'All Options'!$E$21)+A74,IF($DN$26,(Age+A74)-Age+60,IF($DO$26,(Age+A74)-Age+55,Age+A74)))</f>
        <v>108</v>
      </c>
      <c r="DJ75" s="279">
        <f>IF($DM$26,MIN(Age+A75,'All Options'!$E$21+A75),IF($DN$26,(Age+A75)-(Age+$A$27)+60,IF($DO$26,(Age+A75)-(Age+$A$27)+55,Age+A75)))</f>
        <v>109</v>
      </c>
      <c r="DP75" s="43">
        <f t="shared" si="35"/>
        <v>0</v>
      </c>
      <c r="DQ75" s="43">
        <f>IFERROR(VLOOKUP(IF(A75&lt;=DP,DJ75,DI75),SSV!$K$6:$L$91,2,FALSE)*SUM($B$27:B75),0)*($DQ$25)</f>
        <v>0</v>
      </c>
      <c r="DR75" s="43">
        <f>IFERROR(VLOOKUP(IF(A75&lt;=DP,DJ75,DI75),SSV!$O$6:$P$95,2,FALSE)*SUM($B$27:B75),0)*($DR$25)</f>
        <v>0</v>
      </c>
      <c r="DU75" s="175">
        <f t="shared" si="47"/>
        <v>1</v>
      </c>
    </row>
    <row r="76" spans="1:125" x14ac:dyDescent="0.2">
      <c r="A76" s="146">
        <f t="shared" si="48"/>
        <v>50</v>
      </c>
      <c r="B76" s="670">
        <f>IF(PremiumType="Regular Premium",'All Options'!$E$18*'All Options'!$E$22*(AND(Output!A76&lt;=PPT,A76&gt;=1)),'All Options'!$E$18*(A76=1))</f>
        <v>0</v>
      </c>
      <c r="C76" s="671"/>
      <c r="D76" s="103" t="e">
        <f>((VLOOKUP(CONCATENATE($D$14,$D$15),'All Options'!$AB$36:$AC$47,4,0)*VLOOKUP('All Options'!$E$22,'Valid Data-GPG'!$B$130:$F$134,MATCH('All Options'!$E$17,'Valid Data-GPG'!$B$130:$F$130,0),0)*'All Options'!$E$17)*IF(Select="Deferred Annuity",A76&gt;DP,1)+AE76+AF76*AG76*$AG$21)*(A76&gt;0)</f>
        <v>#N/A</v>
      </c>
      <c r="E76" s="103">
        <v>0</v>
      </c>
      <c r="F76" s="103" t="e">
        <f t="shared" si="18"/>
        <v>#N/A</v>
      </c>
      <c r="G76" s="103">
        <f t="shared" si="37"/>
        <v>0</v>
      </c>
      <c r="H76" s="285">
        <f t="shared" si="19"/>
        <v>0</v>
      </c>
      <c r="I76" s="103">
        <f t="shared" si="20"/>
        <v>0</v>
      </c>
      <c r="J76" s="101"/>
      <c r="K76" s="175">
        <f t="shared" si="49"/>
        <v>109</v>
      </c>
      <c r="L76" s="175"/>
      <c r="M76" s="175"/>
      <c r="N76" s="175"/>
      <c r="O76" s="175"/>
      <c r="P76" s="175"/>
      <c r="Q76" s="175"/>
      <c r="R76" s="175">
        <f t="shared" si="50"/>
        <v>0</v>
      </c>
      <c r="AB76" s="175" t="e">
        <f>(VLOOKUP(CONCATENATE($D$14,$D$15),'All Options'!$AB$36:$AC$47,4,0)*VLOOKUP('All Options'!$E$22,'Valid Data-GPG'!$B$130:$F$134,MATCH('All Options'!$E$17,'Valid Data-GPG'!$B$130:$F$130,0),0)*'All Options'!$E$17)*IF(Select="Deferred Annuity",A76&gt;DP,1)*(A76&gt;0)</f>
        <v>#N/A</v>
      </c>
      <c r="AC76" s="175">
        <f t="shared" si="38"/>
        <v>0</v>
      </c>
      <c r="AD76" s="175">
        <f>SUM($AC$26:AC76)</f>
        <v>0</v>
      </c>
      <c r="AE76" s="175">
        <f t="shared" si="39"/>
        <v>0</v>
      </c>
      <c r="AF76" s="175">
        <f t="shared" si="40"/>
        <v>250000</v>
      </c>
      <c r="AG76" s="175" t="b">
        <f>(SUM($AF$26:AF76)&lt;=$AB$17)</f>
        <v>0</v>
      </c>
      <c r="AY76" s="175"/>
      <c r="AZ76" s="66">
        <f>((MAX((SUM($B$26:C76)+(VLOOKUP($AZ$25,'All Options'!$AB$36:$AC$46,2,0)*VLOOKUP('All Options'!$E$22,'Valid Data-GPG'!$B$130:$F$134,MATCH('All Options'!$E$17,'Valid Data-GPG'!$B$130:$F$130,0),0)*'All Options'!$E$17)*(IF(A76&lt;=DP,A76,0))),105%*SUM($B$26:C76)))*(AND(A76&lt;&gt;0,Output!A76&lt;=DP))+(0)*(A76&gt;DP))*$AZ$21</f>
        <v>0</v>
      </c>
      <c r="BA76" s="175" t="e">
        <f>((MAX((SUM($B$26:C76)+(VLOOKUP($BA$25,'All Options'!$AB$36:$AC$46,2,0)*VLOOKUP('All Options'!$E$22,'Valid Data-GPG'!$B$130:$F$134,MATCH('All Options'!$E$17,'Valid Data-GPG'!$B$130:$F$130,0),0)*'All Options'!$E$17)*(IF(A76&lt;=DP,A76,0))),105%*SUM($B$26:C76)))*(Output!A76&lt;=DP)
+MAX((SUM($B$26:C76)+(VLOOKUP($BA$25,'All Options'!$AB$36:$AC$46,2,0)*VLOOKUP('All Options'!$E$22,'Valid Data-GPG'!$B$130:$F$134,MATCH('All Options'!$E$17,'Valid Data-GPG'!$B$130:$F$130,0),0)*'All Options'!$E$17)*DP-D76*(A76-DP)),SUM($B$26:C76))*(A76&gt;DP))*$BA$21</f>
        <v>#N/A</v>
      </c>
      <c r="BB76" s="175">
        <f>((MAX(($AB$17+(VLOOKUP($BB$25,'All Options'!$AB$36:$AC$46,2,0)*VLOOKUP('All Options'!$E$22,'Valid Data-GPG'!$B$130:$F$134,MATCH('All Options'!$E$17,'Valid Data-GPG'!$B$130:$F$130,0),0)*'All Options'!$E$17)*(IF(A76&lt;=DP,A76,0))),105%*$AB$17))*(Output!A76&lt;=DP)+(0)*(A76&gt;DP))*$BB$21</f>
        <v>0</v>
      </c>
      <c r="BC76" s="175" t="e">
        <f>((MAX(($AB$17+(VLOOKUP($BC$25,'All Options'!$AB$36:$AC$46,2,0)*VLOOKUP('All Options'!$E$22,'Valid Data-GPG'!$B$130:$F$134,MATCH('All Options'!$E$17,'Valid Data-GPG'!$B$130:$F$130,0),0)*'All Options'!$E$17)*(IF(A76&lt;=DP,A76,0))),105%*$AB$17))*(Output!A76&lt;=DP)+
MAX(($AB$17+(VLOOKUP($BC$25,'All Options'!$AB$36:$AC$46,2,0)*VLOOKUP('All Options'!$E$22,'Valid Data-GPG'!$B$130:$F$134,MATCH('All Options'!$E$17,'Valid Data-GPG'!$B$130:$F$130,0),0)*'All Options'!$E$17)*DP-D76*(A76-DP)),$AB$17)*(A76&gt;DP))*$BC$21</f>
        <v>#N/A</v>
      </c>
      <c r="BD76" s="175">
        <f ca="1">IFERROR((MAX(($AB$17+(VLOOKUP($BD$25,'All Options'!$AB$36:$AC$46,2,0)*VLOOKUP('All Options'!$E$22,'Valid Data-GPG'!$B$130:$F$134,MATCH('All Options'!$E$17,'Valid Data-GPG'!$B$130:$F$130,0),0)*'All Options'!$E$17)*(IF(A76&lt;=DP,A76,0))),105%*$AB$17))*(Output!A76&lt;=DP)
+MAX(($AB$17+(VLOOKUP($BD$25,'All Options'!$AB$36:$AC$46,2,0)*VLOOKUP('All Options'!$E$22,'Valid Data-GPG'!$B$130:$F$134,MATCH('All Options'!$E$17,'Valid Data-GPG'!$B$130:$F$130,0),0)*'All Options'!$E$17)*DP-D76*(A76-DP)),$AB$17)*(A76&gt;DP),0)*$BD$21</f>
        <v>0</v>
      </c>
      <c r="BE76" s="66">
        <f>IFERROR((MAX(($AB$17+(VLOOKUP($BE$25,'All Options'!$AB$36:$AC$46,2,0)*VLOOKUP('All Options'!$E$22,'Valid Data-GPG'!$B$130:$F$134,MATCH('All Options'!$E$17,'Valid Data-GPG'!$B$130:$F$130,0),0)*'All Options'!$E$17)*(IF(A76&lt;=DP,A76,0))),105%*$AB$17))*(Output!A76&lt;=DP)
+(MAX($AB$17+(VLOOKUP($BE$25,'All Options'!$AB$36:$AC$46,2,0)*VLOOKUP('All Options'!$E$22,'Valid Data-GPG'!$B$130:$F$134,MATCH('All Options'!$E$17,'Valid Data-GPG'!$B$130:$F$130,0),0)*'All Options'!$E$17)*DP-AB76*(A76-DP),$AB$17)*(MAX(A76&lt;=25,K76&lt;85)))*(A76&gt;DP),0)*$BE$21</f>
        <v>0</v>
      </c>
      <c r="BF76" s="175">
        <f>IFERROR((MAX(($AB$17+(VLOOKUP($BF$25,'All Options'!$AB$36:$AC$46,2,0)*VLOOKUP('All Options'!$E$22,'Valid Data-GPG'!$B$130:$F$134,MATCH('All Options'!$E$17,'Valid Data-GPG'!$B$130:$F$130,0),0)*'All Options'!$E$17)*(IF(A76&lt;=DP,A76,0))),105%*$AB$17))*(Output!A76&lt;=DP)
+(MAX($AB$17+(VLOOKUP($BF$25,'All Options'!$AB$36:$AC$46,2,0)*VLOOKUP('All Options'!$E$22,'Valid Data-GPG'!$B$130:$F$134,MATCH('All Options'!$E$17,'Valid Data-GPG'!$B$130:$F$130,0),0)*'All Options'!$E$17)*DP-AB76*(A76-DP),$AB$17)-SUM($AF$26:AF76)*AG76)*(A76&gt;DP)*AG76,0)*$BF$21</f>
        <v>0</v>
      </c>
      <c r="BG76" s="175">
        <f t="shared" si="23"/>
        <v>0</v>
      </c>
      <c r="BH76" s="182">
        <f t="shared" si="41"/>
        <v>5000000</v>
      </c>
      <c r="BI76" s="175">
        <f t="shared" si="24"/>
        <v>0</v>
      </c>
      <c r="BJ76" s="175">
        <f t="shared" si="25"/>
        <v>0</v>
      </c>
      <c r="BK76" s="175">
        <f t="shared" si="26"/>
        <v>0</v>
      </c>
      <c r="BL76" s="175">
        <f t="shared" si="27"/>
        <v>0</v>
      </c>
      <c r="BM76" s="175">
        <f t="shared" si="28"/>
        <v>0</v>
      </c>
      <c r="BN76" s="175">
        <f t="shared" si="29"/>
        <v>0</v>
      </c>
      <c r="BO76" s="182">
        <f t="shared" si="42"/>
        <v>0</v>
      </c>
      <c r="BP76" s="182">
        <f t="shared" si="43"/>
        <v>0</v>
      </c>
      <c r="BQ76" s="182">
        <f>MAX($AB$17-SUM($AF$26:AF76),0)*$BQ$21</f>
        <v>0</v>
      </c>
      <c r="BS76" s="175">
        <f t="shared" si="44"/>
        <v>1</v>
      </c>
      <c r="BT76" s="175">
        <f>IFERROR(IF(A76&lt;=1,0,VLOOKUP(DP,'Valid Data-GPG'!$A$116:$J$122,MATCH(Output!A76,'Valid Data-GPG'!$A$116:$J$116,0),FALSE)*SUM($B$26:C76))*(A76&lt;=DP),0)*$BT$21</f>
        <v>0</v>
      </c>
      <c r="BU76" s="175">
        <f>IFERROR(IF(A76&lt;=1,0,VLOOKUP(DP,'Valid Data-GPG'!$A$116:$J$122,MATCH(Output!A76,'Valid Data-GPG'!$A$116:$J$116,0),FALSE)*SUM($B$26:C76))*(A76&lt;=DP),0)*$BU$21</f>
        <v>0</v>
      </c>
      <c r="BV76" s="175">
        <f t="shared" si="45"/>
        <v>0</v>
      </c>
      <c r="BW76" s="175">
        <f t="shared" si="51"/>
        <v>0</v>
      </c>
      <c r="BX76" s="175">
        <f t="shared" si="52"/>
        <v>0</v>
      </c>
      <c r="BY76" s="175">
        <f t="shared" si="53"/>
        <v>0</v>
      </c>
      <c r="BZ76" s="175">
        <f t="shared" si="54"/>
        <v>0</v>
      </c>
      <c r="CA76" s="175">
        <f>(INDEX('SV calc_ignore'!$J$10:$J$1341,12*Output!A76-0))*BS76</f>
        <v>0</v>
      </c>
      <c r="CB76" s="175">
        <f t="shared" si="30"/>
        <v>0</v>
      </c>
      <c r="CC76" s="175">
        <f>(INDEX('SV calc_ignore'!$J$10:$J$1341,12*Output!A76-0))*BS76</f>
        <v>0</v>
      </c>
      <c r="CD76" s="175">
        <f t="shared" si="31"/>
        <v>0</v>
      </c>
      <c r="CE76" s="66">
        <f>(INDEX('SV calc_ignore'!$J$10:$J$1341,12*Output!A76-0))*($CE$21)</f>
        <v>0</v>
      </c>
      <c r="CF76" s="175">
        <f t="shared" si="32"/>
        <v>0</v>
      </c>
      <c r="CG76" s="175">
        <f>(INDEX('SV calc_ignore'!$J$10:$J$1341,12*Output!A76-0))*($CG$21)*(A76&gt;1)</f>
        <v>0</v>
      </c>
      <c r="CH76" s="175">
        <f>(INDEX('SV calc_ignore'!$J$10:$J$1341,12*Output!A76-0))*($CH$21)*(A76&gt;1)</f>
        <v>0</v>
      </c>
      <c r="CI76" s="175"/>
      <c r="CJ76" s="66">
        <f>(INDEX('SV calc_ignore'!$J$10:$J$1341,12*Output!A76-0))*($CJ$21)*(A76&gt;1)</f>
        <v>0</v>
      </c>
      <c r="CK76" s="66">
        <f>(INDEX('SV calc_ignore'!$Q$10:$Q$1341,12*Output!A76-0))*(AND(A76&gt;1,R76&lt;20))*($CK$21)</f>
        <v>0</v>
      </c>
      <c r="CL76" s="66">
        <f t="shared" si="33"/>
        <v>0</v>
      </c>
      <c r="CM76" s="175">
        <f>((INDEX('SV calc_ignore'!$J$10:$J$1341,12*Output!A76-0))+(INDEX('SV calc_ignore'!$O$10:$O$1341,12*Output!A76-0))*(A76&lt;'SV calc_ignore'!$Q$5))*(A76&gt;1)*($CM$21)</f>
        <v>0</v>
      </c>
      <c r="CN76" s="175">
        <v>0</v>
      </c>
      <c r="CO76" s="175">
        <f>(INDEX('SV calc_ignore'!$J$10:$J$1341,12*Output!A76-0))*(A76&gt;1)*($CO$21)</f>
        <v>0</v>
      </c>
      <c r="CP76" s="175">
        <v>0</v>
      </c>
      <c r="CQ76" s="175">
        <v>0</v>
      </c>
      <c r="CR76" s="175">
        <v>0</v>
      </c>
      <c r="CS76" s="175">
        <v>0</v>
      </c>
      <c r="CT76" s="175">
        <v>0</v>
      </c>
      <c r="CU76" s="175">
        <v>0</v>
      </c>
      <c r="CV76" s="175">
        <f>(INDEX('SV calc_ignore'!$J$10:$J$1341,12*Output!A76-0))*(A76&gt;1)*($CV$21)</f>
        <v>0</v>
      </c>
      <c r="CW76" s="66">
        <f>((INDEX('SV calc_ignore'!$J$10:$J$1341,12*Output!A76-0))+(INDEX('SV calc_ignore'!$O$10:$O$1351,12*Output!A76-0))*(A76&lt;'SV calc_ignore'!$Q$5))*(A76&gt;1)*($CW$21)</f>
        <v>0</v>
      </c>
      <c r="CX76" s="175">
        <f>(INDEX('SV calc_ignore'!$J$10:$J$1341,12*Output!A76-0))*(A76&gt;1)*($CX$21)</f>
        <v>0</v>
      </c>
      <c r="CY76" s="175">
        <f>(INDEX('SV calc_ignore'!$Q$10:$Q$1341,12*Output!A76-0))*(AND(A76&gt;1,R76&lt;20))*($CY$21)</f>
        <v>0</v>
      </c>
      <c r="CZ76" s="175">
        <f t="shared" si="34"/>
        <v>0</v>
      </c>
      <c r="DE76" s="43">
        <f>IF($DE$23,0,VLOOKUP(IF(A76&lt;=DP,DJ76,DI76),SSV!$B$6:$C$116,2,FALSE)*VLOOKUP(AnnuityOption,'All Options'!$AB$36:$AC$47,2,FALSE)*VLOOKUP('All Options'!$E$22,'Valid Data-GPG'!$B$130:$F$134,MATCH('All Options'!$E$17,'Valid Data-GPG'!$B$130:$F$130,0),0)*'All Options'!$E$17)*(IF(AND(Select="Deferred Annuity",AnnuityOption="Life Annuity"),A76&lt;=DP,1))</f>
        <v>234746.70870609421</v>
      </c>
      <c r="DF76" s="43">
        <f>IF($DF$23,0,IF($DQ$25,DQ76,IF($DR$25,DR76,VLOOKUP(IF(A76&lt;=DP,DJ76,DI76),SSV!$G$6:$H$116,2,FALSE)*SUM($B$27:B76))))</f>
        <v>4664182.5</v>
      </c>
      <c r="DG76" s="43" t="e">
        <f>IF(A76&lt;=DP,VLOOKUP(DP-A75,SSV!$T$6:$U$15,2,FALSE),1)</f>
        <v>#N/A</v>
      </c>
      <c r="DH76" s="282" t="e">
        <f t="shared" si="46"/>
        <v>#VALUE!</v>
      </c>
      <c r="DI76" s="43">
        <f>IF($DM$26,MIN(Age,'All Options'!$E$21)+A75,IF($DN$26,(Age+A75)-Age+60,IF($DO$26,(Age+A75)-Age+55,Age+A75)))</f>
        <v>109</v>
      </c>
      <c r="DJ76" s="279">
        <f>IF($DM$26,MIN(Age+A76,'All Options'!$E$21+A76),IF($DN$26,(Age+A76)-(Age+$A$27)+60,IF($DO$26,(Age+A76)-(Age+$A$27)+55,Age+A76)))</f>
        <v>110</v>
      </c>
      <c r="DP76" s="43">
        <f t="shared" si="35"/>
        <v>0</v>
      </c>
      <c r="DQ76" s="43">
        <f>IFERROR(VLOOKUP(IF(A76&lt;=DP,DJ76,DI76),SSV!$K$6:$L$91,2,FALSE)*SUM($B$27:B76),0)*($DQ$25)</f>
        <v>0</v>
      </c>
      <c r="DR76" s="43">
        <f>IFERROR(VLOOKUP(IF(A76&lt;=DP,DJ76,DI76),SSV!$O$6:$P$95,2,FALSE)*SUM($B$27:B76),0)*($DR$25)</f>
        <v>0</v>
      </c>
      <c r="DU76" s="175">
        <f t="shared" si="47"/>
        <v>1</v>
      </c>
    </row>
    <row r="77" spans="1:125" ht="12.75" customHeight="1" x14ac:dyDescent="0.2">
      <c r="A77" s="146">
        <f t="shared" si="48"/>
        <v>51</v>
      </c>
      <c r="B77" s="670">
        <f>IF(PremiumType="Regular Premium",'All Options'!$E$18*'All Options'!$E$22*(AND(Output!A77&lt;=PPT,A77&gt;=1)),'All Options'!$E$18*(A77=1))</f>
        <v>0</v>
      </c>
      <c r="C77" s="671"/>
      <c r="D77" s="103" t="e">
        <f>((VLOOKUP(CONCATENATE($D$14,$D$15),'All Options'!$AB$36:$AC$47,4,0)*VLOOKUP('All Options'!$E$22,'Valid Data-GPG'!$B$130:$F$134,MATCH('All Options'!$E$17,'Valid Data-GPG'!$B$130:$F$130,0),0)*'All Options'!$E$17)*IF(Select="Deferred Annuity",A77&gt;DP,1)+AE77+AF77*AG77*$AG$21)*(A77&gt;0)</f>
        <v>#N/A</v>
      </c>
      <c r="E77" s="103">
        <v>0</v>
      </c>
      <c r="F77" s="103" t="e">
        <f t="shared" si="18"/>
        <v>#N/A</v>
      </c>
      <c r="G77" s="103">
        <f t="shared" si="37"/>
        <v>0</v>
      </c>
      <c r="H77" s="285">
        <f t="shared" si="19"/>
        <v>0</v>
      </c>
      <c r="I77" s="103">
        <f t="shared" si="20"/>
        <v>0</v>
      </c>
      <c r="J77" s="101"/>
      <c r="K77" s="175">
        <f t="shared" si="49"/>
        <v>110</v>
      </c>
      <c r="L77" s="175"/>
      <c r="M77" s="175"/>
      <c r="N77" s="175"/>
      <c r="O77" s="175"/>
      <c r="P77" s="175"/>
      <c r="Q77" s="175"/>
      <c r="R77" s="175">
        <f t="shared" si="50"/>
        <v>0</v>
      </c>
      <c r="AB77" s="175" t="e">
        <f>(VLOOKUP(CONCATENATE($D$14,$D$15),'All Options'!$AB$36:$AC$47,4,0)*VLOOKUP('All Options'!$E$22,'Valid Data-GPG'!$B$130:$F$134,MATCH('All Options'!$E$17,'Valid Data-GPG'!$B$130:$F$130,0),0)*'All Options'!$E$17)*IF(Select="Deferred Annuity",A77&gt;DP,1)*(A77&gt;0)</f>
        <v>#N/A</v>
      </c>
      <c r="AC77" s="175">
        <f t="shared" si="38"/>
        <v>0</v>
      </c>
      <c r="AD77" s="175">
        <f>SUM($AC$26:AC77)</f>
        <v>0</v>
      </c>
      <c r="AE77" s="175">
        <f t="shared" si="39"/>
        <v>0</v>
      </c>
      <c r="AF77" s="175">
        <f t="shared" si="40"/>
        <v>250000</v>
      </c>
      <c r="AG77" s="175" t="b">
        <f>(SUM($AF$26:AF77)&lt;=$AB$17)</f>
        <v>0</v>
      </c>
      <c r="AY77" s="175"/>
      <c r="AZ77" s="66">
        <f>((MAX((SUM($B$26:C77)+(VLOOKUP($AZ$25,'All Options'!$AB$36:$AC$46,2,0)*VLOOKUP('All Options'!$E$22,'Valid Data-GPG'!$B$130:$F$134,MATCH('All Options'!$E$17,'Valid Data-GPG'!$B$130:$F$130,0),0)*'All Options'!$E$17)*(IF(A77&lt;=DP,A77,0))),105%*SUM($B$26:C77)))*(AND(A77&lt;&gt;0,Output!A77&lt;=DP))+(0)*(A77&gt;DP))*$AZ$21</f>
        <v>0</v>
      </c>
      <c r="BA77" s="175" t="e">
        <f>((MAX((SUM($B$26:C77)+(VLOOKUP($BA$25,'All Options'!$AB$36:$AC$46,2,0)*VLOOKUP('All Options'!$E$22,'Valid Data-GPG'!$B$130:$F$134,MATCH('All Options'!$E$17,'Valid Data-GPG'!$B$130:$F$130,0),0)*'All Options'!$E$17)*(IF(A77&lt;=DP,A77,0))),105%*SUM($B$26:C77)))*(Output!A77&lt;=DP)
+MAX((SUM($B$26:C77)+(VLOOKUP($BA$25,'All Options'!$AB$36:$AC$46,2,0)*VLOOKUP('All Options'!$E$22,'Valid Data-GPG'!$B$130:$F$134,MATCH('All Options'!$E$17,'Valid Data-GPG'!$B$130:$F$130,0),0)*'All Options'!$E$17)*DP-D77*(A77-DP)),SUM($B$26:C77))*(A77&gt;DP))*$BA$21</f>
        <v>#N/A</v>
      </c>
      <c r="BB77" s="175">
        <f>((MAX(($AB$17+(VLOOKUP($BB$25,'All Options'!$AB$36:$AC$46,2,0)*VLOOKUP('All Options'!$E$22,'Valid Data-GPG'!$B$130:$F$134,MATCH('All Options'!$E$17,'Valid Data-GPG'!$B$130:$F$130,0),0)*'All Options'!$E$17)*(IF(A77&lt;=DP,A77,0))),105%*$AB$17))*(Output!A77&lt;=DP)+(0)*(A77&gt;DP))*$BB$21</f>
        <v>0</v>
      </c>
      <c r="BC77" s="175" t="e">
        <f>((MAX(($AB$17+(VLOOKUP($BC$25,'All Options'!$AB$36:$AC$46,2,0)*VLOOKUP('All Options'!$E$22,'Valid Data-GPG'!$B$130:$F$134,MATCH('All Options'!$E$17,'Valid Data-GPG'!$B$130:$F$130,0),0)*'All Options'!$E$17)*(IF(A77&lt;=DP,A77,0))),105%*$AB$17))*(Output!A77&lt;=DP)+
MAX(($AB$17+(VLOOKUP($BC$25,'All Options'!$AB$36:$AC$46,2,0)*VLOOKUP('All Options'!$E$22,'Valid Data-GPG'!$B$130:$F$134,MATCH('All Options'!$E$17,'Valid Data-GPG'!$B$130:$F$130,0),0)*'All Options'!$E$17)*DP-D77*(A77-DP)),$AB$17)*(A77&gt;DP))*$BC$21</f>
        <v>#N/A</v>
      </c>
      <c r="BD77" s="175">
        <f ca="1">IFERROR((MAX(($AB$17+(VLOOKUP($BD$25,'All Options'!$AB$36:$AC$46,2,0)*VLOOKUP('All Options'!$E$22,'Valid Data-GPG'!$B$130:$F$134,MATCH('All Options'!$E$17,'Valid Data-GPG'!$B$130:$F$130,0),0)*'All Options'!$E$17)*(IF(A77&lt;=DP,A77,0))),105%*$AB$17))*(Output!A77&lt;=DP)
+MAX(($AB$17+(VLOOKUP($BD$25,'All Options'!$AB$36:$AC$46,2,0)*VLOOKUP('All Options'!$E$22,'Valid Data-GPG'!$B$130:$F$134,MATCH('All Options'!$E$17,'Valid Data-GPG'!$B$130:$F$130,0),0)*'All Options'!$E$17)*DP-D77*(A77-DP)),$AB$17)*(A77&gt;DP),0)*$BD$21</f>
        <v>0</v>
      </c>
      <c r="BE77" s="66">
        <f>IFERROR((MAX(($AB$17+(VLOOKUP($BE$25,'All Options'!$AB$36:$AC$46,2,0)*VLOOKUP('All Options'!$E$22,'Valid Data-GPG'!$B$130:$F$134,MATCH('All Options'!$E$17,'Valid Data-GPG'!$B$130:$F$130,0),0)*'All Options'!$E$17)*(IF(A77&lt;=DP,A77,0))),105%*$AB$17))*(Output!A77&lt;=DP)
+(MAX($AB$17+(VLOOKUP($BE$25,'All Options'!$AB$36:$AC$46,2,0)*VLOOKUP('All Options'!$E$22,'Valid Data-GPG'!$B$130:$F$134,MATCH('All Options'!$E$17,'Valid Data-GPG'!$B$130:$F$130,0),0)*'All Options'!$E$17)*DP-AB77*(A77-DP),$AB$17)*(MAX(A77&lt;=25,K77&lt;85)))*(A77&gt;DP),0)*$BE$21</f>
        <v>0</v>
      </c>
      <c r="BF77" s="175">
        <f>IFERROR((MAX(($AB$17+(VLOOKUP($BF$25,'All Options'!$AB$36:$AC$46,2,0)*VLOOKUP('All Options'!$E$22,'Valid Data-GPG'!$B$130:$F$134,MATCH('All Options'!$E$17,'Valid Data-GPG'!$B$130:$F$130,0),0)*'All Options'!$E$17)*(IF(A77&lt;=DP,A77,0))),105%*$AB$17))*(Output!A77&lt;=DP)
+(MAX($AB$17+(VLOOKUP($BF$25,'All Options'!$AB$36:$AC$46,2,0)*VLOOKUP('All Options'!$E$22,'Valid Data-GPG'!$B$130:$F$134,MATCH('All Options'!$E$17,'Valid Data-GPG'!$B$130:$F$130,0),0)*'All Options'!$E$17)*DP-AB77*(A77-DP),$AB$17)-SUM($AF$26:AF77)*AG77)*(A77&gt;DP)*AG77,0)*$BF$21</f>
        <v>0</v>
      </c>
      <c r="BG77" s="175">
        <f t="shared" si="23"/>
        <v>0</v>
      </c>
      <c r="BH77" s="182">
        <f t="shared" si="41"/>
        <v>5000000</v>
      </c>
      <c r="BI77" s="175">
        <f t="shared" si="24"/>
        <v>0</v>
      </c>
      <c r="BJ77" s="175">
        <f t="shared" si="25"/>
        <v>0</v>
      </c>
      <c r="BK77" s="175">
        <f t="shared" si="26"/>
        <v>0</v>
      </c>
      <c r="BL77" s="175">
        <f t="shared" si="27"/>
        <v>0</v>
      </c>
      <c r="BM77" s="175">
        <f t="shared" si="28"/>
        <v>0</v>
      </c>
      <c r="BN77" s="175">
        <f t="shared" si="29"/>
        <v>0</v>
      </c>
      <c r="BO77" s="182">
        <f t="shared" si="42"/>
        <v>0</v>
      </c>
      <c r="BP77" s="182">
        <f t="shared" si="43"/>
        <v>0</v>
      </c>
      <c r="BQ77" s="182">
        <f>MAX($AB$17-SUM($AF$26:AF77),0)*$BQ$21</f>
        <v>0</v>
      </c>
      <c r="BS77" s="175">
        <f t="shared" si="44"/>
        <v>1</v>
      </c>
      <c r="BT77" s="175">
        <f>IFERROR(IF(A77&lt;=1,0,VLOOKUP(DP,'Valid Data-GPG'!$A$116:$J$122,MATCH(Output!A77,'Valid Data-GPG'!$A$116:$J$116,0),FALSE)*SUM($B$26:C77))*(A77&lt;=DP),0)*$BT$21</f>
        <v>0</v>
      </c>
      <c r="BU77" s="175">
        <f>IFERROR(IF(A77&lt;=1,0,VLOOKUP(DP,'Valid Data-GPG'!$A$116:$J$122,MATCH(Output!A77,'Valid Data-GPG'!$A$116:$J$116,0),FALSE)*SUM($B$26:C77))*(A77&lt;=DP),0)*$BU$21</f>
        <v>0</v>
      </c>
      <c r="BV77" s="175">
        <f t="shared" si="45"/>
        <v>0</v>
      </c>
      <c r="BW77" s="175">
        <f t="shared" si="51"/>
        <v>0</v>
      </c>
      <c r="BX77" s="175">
        <f t="shared" si="52"/>
        <v>0</v>
      </c>
      <c r="BY77" s="175">
        <f t="shared" si="53"/>
        <v>0</v>
      </c>
      <c r="BZ77" s="175">
        <f t="shared" si="54"/>
        <v>0</v>
      </c>
      <c r="CA77" s="175">
        <f>(INDEX('SV calc_ignore'!$J$10:$J$1341,12*Output!A77-0))*BS77</f>
        <v>0</v>
      </c>
      <c r="CB77" s="175">
        <f t="shared" si="30"/>
        <v>0</v>
      </c>
      <c r="CC77" s="175">
        <f>(INDEX('SV calc_ignore'!$J$10:$J$1341,12*Output!A77-0))*BS77</f>
        <v>0</v>
      </c>
      <c r="CD77" s="175">
        <f t="shared" si="31"/>
        <v>0</v>
      </c>
      <c r="CE77" s="66">
        <f>(INDEX('SV calc_ignore'!$J$10:$J$1341,12*Output!A77-0))*($CE$21)</f>
        <v>0</v>
      </c>
      <c r="CF77" s="175">
        <f t="shared" si="32"/>
        <v>0</v>
      </c>
      <c r="CG77" s="175">
        <f>(INDEX('SV calc_ignore'!$J$10:$J$1341,12*Output!A77-0))*($CG$21)*(A77&gt;1)</f>
        <v>0</v>
      </c>
      <c r="CH77" s="175">
        <f>(INDEX('SV calc_ignore'!$J$10:$J$1341,12*Output!A77-0))*($CH$21)*(A77&gt;1)</f>
        <v>0</v>
      </c>
      <c r="CI77" s="175"/>
      <c r="CJ77" s="66">
        <f>(INDEX('SV calc_ignore'!$J$10:$J$1341,12*Output!A77-0))*($CJ$21)*(A77&gt;1)</f>
        <v>0</v>
      </c>
      <c r="CK77" s="66">
        <f>(INDEX('SV calc_ignore'!$Q$10:$Q$1341,12*Output!A77-0))*(AND(A77&gt;1,R77&lt;20))*($CK$21)</f>
        <v>0</v>
      </c>
      <c r="CL77" s="66">
        <f t="shared" si="33"/>
        <v>0</v>
      </c>
      <c r="CM77" s="175">
        <f>((INDEX('SV calc_ignore'!$J$10:$J$1341,12*Output!A77-0))+(INDEX('SV calc_ignore'!$O$10:$O$1341,12*Output!A77-0))*(A77&lt;'SV calc_ignore'!$Q$5))*(A77&gt;1)*($CM$21)</f>
        <v>0</v>
      </c>
      <c r="CN77" s="175">
        <v>0</v>
      </c>
      <c r="CO77" s="175">
        <f>(INDEX('SV calc_ignore'!$J$10:$J$1341,12*Output!A77-0))*(A77&gt;1)*($CO$21)</f>
        <v>0</v>
      </c>
      <c r="CP77" s="175">
        <v>0</v>
      </c>
      <c r="CQ77" s="175">
        <v>0</v>
      </c>
      <c r="CR77" s="175">
        <v>0</v>
      </c>
      <c r="CS77" s="175">
        <v>0</v>
      </c>
      <c r="CT77" s="175">
        <v>0</v>
      </c>
      <c r="CU77" s="175">
        <v>0</v>
      </c>
      <c r="CV77" s="175">
        <f>(INDEX('SV calc_ignore'!$J$10:$J$1341,12*Output!A77-0))*(A77&gt;1)*($CV$21)</f>
        <v>0</v>
      </c>
      <c r="CW77" s="66">
        <f>((INDEX('SV calc_ignore'!$J$10:$J$1341,12*Output!A77-0))+(INDEX('SV calc_ignore'!$O$10:$O$1351,12*Output!A77-0))*(A77&lt;'SV calc_ignore'!$Q$5))*(A77&gt;1)*($CW$21)</f>
        <v>0</v>
      </c>
      <c r="CX77" s="175">
        <f>(INDEX('SV calc_ignore'!$J$10:$J$1341,12*Output!A77-0))*(A77&gt;1)*($CX$21)</f>
        <v>0</v>
      </c>
      <c r="CY77" s="175">
        <f>(INDEX('SV calc_ignore'!$Q$10:$Q$1341,12*Output!A77-0))*(AND(A77&gt;1,R77&lt;20))*($CY$21)</f>
        <v>0</v>
      </c>
      <c r="CZ77" s="175">
        <f t="shared" si="34"/>
        <v>0</v>
      </c>
      <c r="DE77" s="43" t="e">
        <f>IF($DE$23,0,VLOOKUP(IF(A77&lt;=DP,DJ77,DI77),SSV!$B$6:$C$116,2,FALSE)*VLOOKUP(AnnuityOption,'All Options'!$AB$36:$AC$47,2,FALSE)*VLOOKUP('All Options'!$E$22,'Valid Data-GPG'!$B$130:$F$134,MATCH('All Options'!$E$17,'Valid Data-GPG'!$B$130:$F$130,0),0)*'All Options'!$E$17)*(IF(AND(Select="Deferred Annuity",AnnuityOption="Life Annuity"),A77&lt;=DP,1))</f>
        <v>#N/A</v>
      </c>
      <c r="DF77" s="43" t="e">
        <f>IF($DF$23,0,IF($DQ$25,DQ77,IF($DR$25,DR77,VLOOKUP(IF(A77&lt;=DP,DJ77,DI77),SSV!$G$6:$H$116,2,FALSE)*SUM($B$27:B77))))</f>
        <v>#N/A</v>
      </c>
      <c r="DG77" s="43" t="e">
        <f>IF(A77&lt;=DP,VLOOKUP(DP-A76,SSV!$T$6:$U$15,2,FALSE),1)</f>
        <v>#N/A</v>
      </c>
      <c r="DH77" s="282" t="e">
        <f t="shared" si="46"/>
        <v>#VALUE!</v>
      </c>
      <c r="DI77" s="43">
        <f>IF($DM$26,MIN(Age,'All Options'!$E$21)+A76,IF($DN$26,(Age+A76)-Age+60,IF($DO$26,(Age+A76)-Age+55,Age+A76)))</f>
        <v>110</v>
      </c>
      <c r="DJ77" s="279">
        <f>IF($DM$26,MIN(Age+A77,'All Options'!$E$21+A77),IF($DN$26,(Age+A77)-(Age+$A$27)+60,IF($DO$26,(Age+A77)-(Age+$A$27)+55,Age+A77)))</f>
        <v>111</v>
      </c>
      <c r="DP77" s="43">
        <f t="shared" si="35"/>
        <v>0</v>
      </c>
      <c r="DQ77" s="43">
        <f>IFERROR(VLOOKUP(IF(A77&lt;=DP,DJ77,DI77),SSV!$K$6:$L$91,2,FALSE)*SUM($B$27:B77),0)*($DQ$25)</f>
        <v>0</v>
      </c>
      <c r="DR77" s="43">
        <f>IFERROR(VLOOKUP(IF(A77&lt;=DP,DJ77,DI77),SSV!$O$6:$P$95,2,FALSE)*SUM($B$27:B77),0)*($DR$25)</f>
        <v>0</v>
      </c>
      <c r="DU77" s="175">
        <f t="shared" si="47"/>
        <v>1</v>
      </c>
    </row>
    <row r="78" spans="1:125" ht="12.75" customHeight="1" x14ac:dyDescent="0.2">
      <c r="A78" s="146">
        <f t="shared" si="48"/>
        <v>0</v>
      </c>
      <c r="B78" s="670">
        <f>IF(PremiumType="Regular Premium",'All Options'!$E$18*'All Options'!$E$22*(AND(Output!A78&lt;=PPT,A78&gt;=1)),'All Options'!$E$18*(A78=1))</f>
        <v>0</v>
      </c>
      <c r="C78" s="671"/>
      <c r="D78" s="103" t="e">
        <f>((VLOOKUP(CONCATENATE($D$14,$D$15),'All Options'!$AB$36:$AC$47,4,0)*VLOOKUP('All Options'!$E$22,'Valid Data-GPG'!$B$130:$F$134,MATCH('All Options'!$E$17,'Valid Data-GPG'!$B$130:$F$130,0),0)*'All Options'!$E$17)*IF(Select="Deferred Annuity",A78&gt;DP,1)+AE78+AF78*AG78*$AG$21)*(A78&gt;0)</f>
        <v>#N/A</v>
      </c>
      <c r="E78" s="103">
        <v>0</v>
      </c>
      <c r="F78" s="103" t="e">
        <f t="shared" si="18"/>
        <v>#N/A</v>
      </c>
      <c r="G78" s="103">
        <f t="shared" si="37"/>
        <v>0</v>
      </c>
      <c r="H78" s="285">
        <f t="shared" si="19"/>
        <v>0</v>
      </c>
      <c r="I78" s="103">
        <f t="shared" si="20"/>
        <v>0</v>
      </c>
      <c r="J78" s="101"/>
      <c r="K78" s="175" t="str">
        <f t="shared" si="49"/>
        <v/>
      </c>
      <c r="L78" s="175"/>
      <c r="M78" s="175"/>
      <c r="N78" s="175"/>
      <c r="O78" s="175"/>
      <c r="P78" s="175"/>
      <c r="Q78" s="175"/>
      <c r="R78" s="175">
        <f t="shared" si="50"/>
        <v>0</v>
      </c>
      <c r="AB78" s="175" t="e">
        <f>(VLOOKUP(CONCATENATE($D$14,$D$15),'All Options'!$AB$36:$AC$47,4,0)*VLOOKUP('All Options'!$E$22,'Valid Data-GPG'!$B$130:$F$134,MATCH('All Options'!$E$17,'Valid Data-GPG'!$B$130:$F$130,0),0)*'All Options'!$E$17)*IF(Select="Deferred Annuity",A78&gt;DP,1)*(A78&gt;0)</f>
        <v>#N/A</v>
      </c>
      <c r="AC78" s="175">
        <f t="shared" si="38"/>
        <v>0</v>
      </c>
      <c r="AD78" s="175">
        <f>SUM($AC$26:AC78)</f>
        <v>0</v>
      </c>
      <c r="AE78" s="175">
        <f t="shared" si="39"/>
        <v>0</v>
      </c>
      <c r="AF78" s="175">
        <f t="shared" si="40"/>
        <v>0</v>
      </c>
      <c r="AG78" s="175" t="b">
        <f>(SUM($AF$26:AF78)&lt;=$AB$17)</f>
        <v>0</v>
      </c>
      <c r="AY78" s="175"/>
      <c r="AZ78" s="66">
        <f>((MAX((SUM($B$26:C78)+(VLOOKUP($AZ$25,'All Options'!$AB$36:$AC$46,2,0)*VLOOKUP('All Options'!$E$22,'Valid Data-GPG'!$B$130:$F$134,MATCH('All Options'!$E$17,'Valid Data-GPG'!$B$130:$F$130,0),0)*'All Options'!$E$17)*(IF(A78&lt;=DP,A78,0))),105%*SUM($B$26:C78)))*(AND(A78&lt;&gt;0,Output!A78&lt;=DP))+(0)*(A78&gt;DP))*$AZ$21</f>
        <v>0</v>
      </c>
      <c r="BA78" s="175" t="e">
        <f>((MAX((SUM($B$26:C78)+(VLOOKUP($BA$25,'All Options'!$AB$36:$AC$46,2,0)*VLOOKUP('All Options'!$E$22,'Valid Data-GPG'!$B$130:$F$134,MATCH('All Options'!$E$17,'Valid Data-GPG'!$B$130:$F$130,0),0)*'All Options'!$E$17)*(IF(A78&lt;=DP,A78,0))),105%*SUM($B$26:C78)))*(Output!A78&lt;=DP)
+MAX((SUM($B$26:C78)+(VLOOKUP($BA$25,'All Options'!$AB$36:$AC$46,2,0)*VLOOKUP('All Options'!$E$22,'Valid Data-GPG'!$B$130:$F$134,MATCH('All Options'!$E$17,'Valid Data-GPG'!$B$130:$F$130,0),0)*'All Options'!$E$17)*DP-D78*(A78-DP)),SUM($B$26:C78))*(A78&gt;DP))*$BA$21</f>
        <v>#N/A</v>
      </c>
      <c r="BB78" s="175">
        <f>((MAX(($AB$17+(VLOOKUP($BB$25,'All Options'!$AB$36:$AC$46,2,0)*VLOOKUP('All Options'!$E$22,'Valid Data-GPG'!$B$130:$F$134,MATCH('All Options'!$E$17,'Valid Data-GPG'!$B$130:$F$130,0),0)*'All Options'!$E$17)*(IF(A78&lt;=DP,A78,0))),105%*$AB$17))*(Output!A78&lt;=DP)+(0)*(A78&gt;DP))*$BB$21</f>
        <v>0</v>
      </c>
      <c r="BC78" s="175" t="e">
        <f>((MAX(($AB$17+(VLOOKUP($BC$25,'All Options'!$AB$36:$AC$46,2,0)*VLOOKUP('All Options'!$E$22,'Valid Data-GPG'!$B$130:$F$134,MATCH('All Options'!$E$17,'Valid Data-GPG'!$B$130:$F$130,0),0)*'All Options'!$E$17)*(IF(A78&lt;=DP,A78,0))),105%*$AB$17))*(Output!A78&lt;=DP)+
MAX(($AB$17+(VLOOKUP($BC$25,'All Options'!$AB$36:$AC$46,2,0)*VLOOKUP('All Options'!$E$22,'Valid Data-GPG'!$B$130:$F$134,MATCH('All Options'!$E$17,'Valid Data-GPG'!$B$130:$F$130,0),0)*'All Options'!$E$17)*DP-D78*(A78-DP)),$AB$17)*(A78&gt;DP))*$BC$21</f>
        <v>#N/A</v>
      </c>
      <c r="BD78" s="175">
        <f ca="1">IFERROR((MAX(($AB$17+(VLOOKUP($BD$25,'All Options'!$AB$36:$AC$46,2,0)*VLOOKUP('All Options'!$E$22,'Valid Data-GPG'!$B$130:$F$134,MATCH('All Options'!$E$17,'Valid Data-GPG'!$B$130:$F$130,0),0)*'All Options'!$E$17)*(IF(A78&lt;=DP,A78,0))),105%*$AB$17))*(Output!A78&lt;=DP)
+MAX(($AB$17+(VLOOKUP($BD$25,'All Options'!$AB$36:$AC$46,2,0)*VLOOKUP('All Options'!$E$22,'Valid Data-GPG'!$B$130:$F$134,MATCH('All Options'!$E$17,'Valid Data-GPG'!$B$130:$F$130,0),0)*'All Options'!$E$17)*DP-D78*(A78-DP)),$AB$17)*(A78&gt;DP),0)*$BD$21</f>
        <v>0</v>
      </c>
      <c r="BE78" s="66">
        <f>IFERROR((MAX(($AB$17+(VLOOKUP($BE$25,'All Options'!$AB$36:$AC$46,2,0)*VLOOKUP('All Options'!$E$22,'Valid Data-GPG'!$B$130:$F$134,MATCH('All Options'!$E$17,'Valid Data-GPG'!$B$130:$F$130,0),0)*'All Options'!$E$17)*(IF(A78&lt;=DP,A78,0))),105%*$AB$17))*(Output!A78&lt;=DP)
+(MAX($AB$17+(VLOOKUP($BE$25,'All Options'!$AB$36:$AC$46,2,0)*VLOOKUP('All Options'!$E$22,'Valid Data-GPG'!$B$130:$F$134,MATCH('All Options'!$E$17,'Valid Data-GPG'!$B$130:$F$130,0),0)*'All Options'!$E$17)*DP-AB78*(A78-DP),$AB$17)*(MAX(A78&lt;=25,K78&lt;85)))*(A78&gt;DP),0)*$BE$21</f>
        <v>0</v>
      </c>
      <c r="BF78" s="175">
        <f>IFERROR((MAX(($AB$17+(VLOOKUP($BF$25,'All Options'!$AB$36:$AC$46,2,0)*VLOOKUP('All Options'!$E$22,'Valid Data-GPG'!$B$130:$F$134,MATCH('All Options'!$E$17,'Valid Data-GPG'!$B$130:$F$130,0),0)*'All Options'!$E$17)*(IF(A78&lt;=DP,A78,0))),105%*$AB$17))*(Output!A78&lt;=DP)
+(MAX($AB$17+(VLOOKUP($BF$25,'All Options'!$AB$36:$AC$46,2,0)*VLOOKUP('All Options'!$E$22,'Valid Data-GPG'!$B$130:$F$134,MATCH('All Options'!$E$17,'Valid Data-GPG'!$B$130:$F$130,0),0)*'All Options'!$E$17)*DP-AB78*(A78-DP),$AB$17)-SUM($AF$26:AF78)*AG78)*(A78&gt;DP)*AG78,0)*$BF$21</f>
        <v>0</v>
      </c>
      <c r="BG78" s="175">
        <f t="shared" si="23"/>
        <v>0</v>
      </c>
      <c r="BH78" s="182">
        <f t="shared" si="41"/>
        <v>5000000</v>
      </c>
      <c r="BI78" s="175">
        <f t="shared" si="24"/>
        <v>0</v>
      </c>
      <c r="BJ78" s="175">
        <f t="shared" si="25"/>
        <v>0</v>
      </c>
      <c r="BK78" s="175">
        <f t="shared" si="26"/>
        <v>0</v>
      </c>
      <c r="BL78" s="175">
        <f t="shared" si="27"/>
        <v>0</v>
      </c>
      <c r="BM78" s="175">
        <f t="shared" si="28"/>
        <v>0</v>
      </c>
      <c r="BN78" s="175">
        <f t="shared" si="29"/>
        <v>0</v>
      </c>
      <c r="BO78" s="182">
        <f t="shared" si="42"/>
        <v>0</v>
      </c>
      <c r="BP78" s="182">
        <f t="shared" si="43"/>
        <v>0</v>
      </c>
      <c r="BQ78" s="182">
        <f>MAX($AB$17-SUM($AF$26:AF78),0)*$BQ$21</f>
        <v>0</v>
      </c>
      <c r="BS78" s="175">
        <f t="shared" si="44"/>
        <v>0</v>
      </c>
      <c r="BT78" s="175">
        <f>IFERROR(IF(A78&lt;=1,0,VLOOKUP(DP,'Valid Data-GPG'!$A$116:$J$122,MATCH(Output!A78,'Valid Data-GPG'!$A$116:$J$116,0),FALSE)*SUM($B$26:C78))*(A78&lt;=DP),0)*$BT$21</f>
        <v>0</v>
      </c>
      <c r="BU78" s="175">
        <f>IFERROR(IF(A78&lt;=1,0,VLOOKUP(DP,'Valid Data-GPG'!$A$116:$J$122,MATCH(Output!A78,'Valid Data-GPG'!$A$116:$J$116,0),FALSE)*SUM($B$26:C78))*(A78&lt;=DP),0)*$BU$21</f>
        <v>0</v>
      </c>
      <c r="BV78" s="175">
        <f t="shared" si="45"/>
        <v>0</v>
      </c>
      <c r="BW78" s="175">
        <f t="shared" si="51"/>
        <v>0</v>
      </c>
      <c r="BX78" s="175">
        <f t="shared" si="52"/>
        <v>0</v>
      </c>
      <c r="BY78" s="175">
        <f t="shared" si="53"/>
        <v>0</v>
      </c>
      <c r="BZ78" s="175">
        <f t="shared" si="54"/>
        <v>0</v>
      </c>
      <c r="CA78" s="175">
        <f>(INDEX('SV calc_ignore'!$J$10:$J$1341,12*Output!A78-0))*BS78</f>
        <v>0</v>
      </c>
      <c r="CB78" s="175">
        <f t="shared" si="30"/>
        <v>0</v>
      </c>
      <c r="CC78" s="175">
        <f>(INDEX('SV calc_ignore'!$J$10:$J$1341,12*Output!A78-0))*BS78</f>
        <v>0</v>
      </c>
      <c r="CD78" s="175">
        <f t="shared" si="31"/>
        <v>0</v>
      </c>
      <c r="CE78" s="66">
        <f>(INDEX('SV calc_ignore'!$J$10:$J$1341,12*Output!A78-0))*($CE$21)</f>
        <v>0</v>
      </c>
      <c r="CF78" s="175">
        <f t="shared" si="32"/>
        <v>0</v>
      </c>
      <c r="CG78" s="175">
        <f>(INDEX('SV calc_ignore'!$J$10:$J$1341,12*Output!A78-0))*($CG$21)*(A78&gt;1)</f>
        <v>0</v>
      </c>
      <c r="CH78" s="175">
        <f>(INDEX('SV calc_ignore'!$J$10:$J$1341,12*Output!A78-0))*($CH$21)*(A78&gt;1)</f>
        <v>0</v>
      </c>
      <c r="CI78" s="175"/>
      <c r="CJ78" s="66">
        <f>(INDEX('SV calc_ignore'!$J$10:$J$1341,12*Output!A78-0))*($CJ$21)*(A78&gt;1)</f>
        <v>0</v>
      </c>
      <c r="CK78" s="66">
        <f>(INDEX('SV calc_ignore'!$Q$10:$Q$1341,12*Output!A78-0))*(AND(A78&gt;1,R78&lt;20))*($CK$21)</f>
        <v>0</v>
      </c>
      <c r="CL78" s="66">
        <f t="shared" si="33"/>
        <v>0</v>
      </c>
      <c r="CM78" s="175">
        <f>((INDEX('SV calc_ignore'!$J$10:$J$1341,12*Output!A78-0))+(INDEX('SV calc_ignore'!$O$10:$O$1341,12*Output!A78-0))*(A78&lt;'SV calc_ignore'!$Q$5))*(A78&gt;1)*($CM$21)</f>
        <v>0</v>
      </c>
      <c r="CN78" s="175">
        <v>0</v>
      </c>
      <c r="CO78" s="175">
        <f>(INDEX('SV calc_ignore'!$J$10:$J$1341,12*Output!A78-0))*(A78&gt;1)*($CO$21)</f>
        <v>0</v>
      </c>
      <c r="CP78" s="175">
        <v>0</v>
      </c>
      <c r="CQ78" s="175">
        <v>0</v>
      </c>
      <c r="CR78" s="175">
        <v>0</v>
      </c>
      <c r="CS78" s="175">
        <v>0</v>
      </c>
      <c r="CT78" s="175">
        <v>0</v>
      </c>
      <c r="CU78" s="175">
        <v>0</v>
      </c>
      <c r="CV78" s="175">
        <f>(INDEX('SV calc_ignore'!$J$10:$J$1341,12*Output!A78-0))*(A78&gt;1)*($CV$21)</f>
        <v>0</v>
      </c>
      <c r="CW78" s="66">
        <f>((INDEX('SV calc_ignore'!$J$10:$J$1341,12*Output!A78-0))+(INDEX('SV calc_ignore'!$O$10:$O$1351,12*Output!A78-0))*(A78&lt;'SV calc_ignore'!$Q$5))*(A78&gt;1)*($CW$21)</f>
        <v>0</v>
      </c>
      <c r="CX78" s="175">
        <f>(INDEX('SV calc_ignore'!$J$10:$J$1341,12*Output!A78-0))*(A78&gt;1)*($CX$21)</f>
        <v>0</v>
      </c>
      <c r="CY78" s="175">
        <f>(INDEX('SV calc_ignore'!$Q$10:$Q$1341,12*Output!A78-0))*(AND(A78&gt;1,R78&lt;20))*($CY$21)</f>
        <v>0</v>
      </c>
      <c r="CZ78" s="175">
        <f t="shared" si="34"/>
        <v>0</v>
      </c>
      <c r="DE78" s="43">
        <f>IF($DE$23,0,VLOOKUP(IF(A78&lt;=DP,DJ78,DI78),SSV!$B$6:$C$116,2,FALSE)*VLOOKUP(AnnuityOption,'All Options'!$AB$36:$AC$47,2,FALSE)*VLOOKUP('All Options'!$E$22,'Valid Data-GPG'!$B$130:$F$134,MATCH('All Options'!$E$17,'Valid Data-GPG'!$B$130:$F$130,0),0)*'All Options'!$E$17)*(IF(AND(Select="Deferred Annuity",AnnuityOption="Life Annuity"),A78&lt;=DP,1))</f>
        <v>3274327.0531593515</v>
      </c>
      <c r="DF78" s="43">
        <f>IF($DF$23,0,IF($DQ$25,DQ78,IF($DR$25,DR78,VLOOKUP(IF(A78&lt;=DP,DJ78,DI78),SSV!$G$6:$H$116,2,FALSE)*SUM($B$27:B78))))</f>
        <v>1006161.5</v>
      </c>
      <c r="DG78" s="43" t="e">
        <f>IF(A78&lt;=DP,VLOOKUP(DP-A77,SSV!$T$6:$U$15,2,FALSE),1)</f>
        <v>#N/A</v>
      </c>
      <c r="DH78" s="282" t="e">
        <f t="shared" si="46"/>
        <v>#VALUE!</v>
      </c>
      <c r="DI78" s="43">
        <f>IF($DM$26,MIN(Age,'All Options'!$E$21)+A77,IF($DN$26,(Age+A77)-Age+60,IF($DO$26,(Age+A77)-Age+55,Age+A77)))</f>
        <v>111</v>
      </c>
      <c r="DJ78" s="279">
        <f>IF($DM$26,MIN(Age+A78,'All Options'!$E$21+A78),IF($DN$26,(Age+A78)-(Age+$A$27)+60,IF($DO$26,(Age+A78)-(Age+$A$27)+55,Age+A78)))</f>
        <v>60</v>
      </c>
      <c r="DP78" s="43">
        <f t="shared" si="35"/>
        <v>0</v>
      </c>
      <c r="DQ78" s="43">
        <f>IFERROR(VLOOKUP(IF(A78&lt;=DP,DJ78,DI78),SSV!$K$6:$L$91,2,FALSE)*SUM($B$27:B78),0)*($DQ$25)</f>
        <v>0</v>
      </c>
      <c r="DR78" s="43">
        <f>IFERROR(VLOOKUP(IF(A78&lt;=DP,DJ78,DI78),SSV!$O$6:$P$95,2,FALSE)*SUM($B$27:B78),0)*($DR$25)</f>
        <v>0</v>
      </c>
      <c r="DU78" s="175">
        <f t="shared" si="47"/>
        <v>0</v>
      </c>
    </row>
    <row r="79" spans="1:125" ht="12.75" customHeight="1" x14ac:dyDescent="0.2">
      <c r="A79" s="146">
        <f t="shared" si="48"/>
        <v>0</v>
      </c>
      <c r="B79" s="670">
        <f>IF(PremiumType="Regular Premium",'All Options'!$E$18*'All Options'!$E$22*(AND(Output!A79&lt;=PPT,A79&gt;=1)),'All Options'!$E$18*(A79=1))</f>
        <v>0</v>
      </c>
      <c r="C79" s="671"/>
      <c r="D79" s="103" t="e">
        <f>((VLOOKUP(CONCATENATE($D$14,$D$15),'All Options'!$AB$36:$AC$47,4,0)*VLOOKUP('All Options'!$E$22,'Valid Data-GPG'!$B$130:$F$134,MATCH('All Options'!$E$17,'Valid Data-GPG'!$B$130:$F$130,0),0)*'All Options'!$E$17)*IF(Select="Deferred Annuity",A79&gt;DP,1)+AE79+AF79*AG79*$AG$21)*(A79&gt;0)</f>
        <v>#N/A</v>
      </c>
      <c r="E79" s="103">
        <v>0</v>
      </c>
      <c r="F79" s="103" t="e">
        <f t="shared" si="18"/>
        <v>#N/A</v>
      </c>
      <c r="G79" s="103">
        <f t="shared" si="37"/>
        <v>0</v>
      </c>
      <c r="H79" s="285">
        <f t="shared" si="19"/>
        <v>0</v>
      </c>
      <c r="I79" s="103">
        <f t="shared" si="20"/>
        <v>0</v>
      </c>
      <c r="J79" s="101"/>
      <c r="K79" s="175" t="str">
        <f t="shared" si="49"/>
        <v/>
      </c>
      <c r="L79" s="175"/>
      <c r="M79" s="175"/>
      <c r="N79" s="175"/>
      <c r="O79" s="175"/>
      <c r="P79" s="175"/>
      <c r="Q79" s="175"/>
      <c r="R79" s="175">
        <f t="shared" si="50"/>
        <v>0</v>
      </c>
      <c r="AB79" s="175" t="e">
        <f>(VLOOKUP(CONCATENATE($D$14,$D$15),'All Options'!$AB$36:$AC$47,4,0)*VLOOKUP('All Options'!$E$22,'Valid Data-GPG'!$B$130:$F$134,MATCH('All Options'!$E$17,'Valid Data-GPG'!$B$130:$F$130,0),0)*'All Options'!$E$17)*IF(Select="Deferred Annuity",A79&gt;DP,1)*(A79&gt;0)</f>
        <v>#N/A</v>
      </c>
      <c r="AC79" s="175">
        <f t="shared" si="38"/>
        <v>0</v>
      </c>
      <c r="AD79" s="175">
        <f>SUM($AC$26:AC79)</f>
        <v>0</v>
      </c>
      <c r="AE79" s="175">
        <f t="shared" si="39"/>
        <v>0</v>
      </c>
      <c r="AF79" s="175">
        <f t="shared" si="40"/>
        <v>0</v>
      </c>
      <c r="AG79" s="175" t="b">
        <f>(SUM($AF$26:AF79)&lt;=$AB$17)</f>
        <v>0</v>
      </c>
      <c r="AY79" s="175"/>
      <c r="AZ79" s="66">
        <f>((MAX((SUM($B$26:C79)+(VLOOKUP($AZ$25,'All Options'!$AB$36:$AC$46,2,0)*VLOOKUP('All Options'!$E$22,'Valid Data-GPG'!$B$130:$F$134,MATCH('All Options'!$E$17,'Valid Data-GPG'!$B$130:$F$130,0),0)*'All Options'!$E$17)*(IF(A79&lt;=DP,A79,0))),105%*SUM($B$26:C79)))*(AND(A79&lt;&gt;0,Output!A79&lt;=DP))+(0)*(A79&gt;DP))*$AZ$21</f>
        <v>0</v>
      </c>
      <c r="BA79" s="175" t="e">
        <f>((MAX((SUM($B$26:C79)+(VLOOKUP($BA$25,'All Options'!$AB$36:$AC$46,2,0)*VLOOKUP('All Options'!$E$22,'Valid Data-GPG'!$B$130:$F$134,MATCH('All Options'!$E$17,'Valid Data-GPG'!$B$130:$F$130,0),0)*'All Options'!$E$17)*(IF(A79&lt;=DP,A79,0))),105%*SUM($B$26:C79)))*(Output!A79&lt;=DP)
+MAX((SUM($B$26:C79)+(VLOOKUP($BA$25,'All Options'!$AB$36:$AC$46,2,0)*VLOOKUP('All Options'!$E$22,'Valid Data-GPG'!$B$130:$F$134,MATCH('All Options'!$E$17,'Valid Data-GPG'!$B$130:$F$130,0),0)*'All Options'!$E$17)*DP-D79*(A79-DP)),SUM($B$26:C79))*(A79&gt;DP))*$BA$21</f>
        <v>#N/A</v>
      </c>
      <c r="BB79" s="175">
        <f>((MAX(($AB$17+(VLOOKUP($BB$25,'All Options'!$AB$36:$AC$46,2,0)*VLOOKUP('All Options'!$E$22,'Valid Data-GPG'!$B$130:$F$134,MATCH('All Options'!$E$17,'Valid Data-GPG'!$B$130:$F$130,0),0)*'All Options'!$E$17)*(IF(A79&lt;=DP,A79,0))),105%*$AB$17))*(Output!A79&lt;=DP)+(0)*(A79&gt;DP))*$BB$21</f>
        <v>0</v>
      </c>
      <c r="BC79" s="175" t="e">
        <f>((MAX(($AB$17+(VLOOKUP($BC$25,'All Options'!$AB$36:$AC$46,2,0)*VLOOKUP('All Options'!$E$22,'Valid Data-GPG'!$B$130:$F$134,MATCH('All Options'!$E$17,'Valid Data-GPG'!$B$130:$F$130,0),0)*'All Options'!$E$17)*(IF(A79&lt;=DP,A79,0))),105%*$AB$17))*(Output!A79&lt;=DP)+
MAX(($AB$17+(VLOOKUP($BC$25,'All Options'!$AB$36:$AC$46,2,0)*VLOOKUP('All Options'!$E$22,'Valid Data-GPG'!$B$130:$F$134,MATCH('All Options'!$E$17,'Valid Data-GPG'!$B$130:$F$130,0),0)*'All Options'!$E$17)*DP-D79*(A79-DP)),$AB$17)*(A79&gt;DP))*$BC$21</f>
        <v>#N/A</v>
      </c>
      <c r="BD79" s="175">
        <f ca="1">IFERROR((MAX(($AB$17+(VLOOKUP($BD$25,'All Options'!$AB$36:$AC$46,2,0)*VLOOKUP('All Options'!$E$22,'Valid Data-GPG'!$B$130:$F$134,MATCH('All Options'!$E$17,'Valid Data-GPG'!$B$130:$F$130,0),0)*'All Options'!$E$17)*(IF(A79&lt;=DP,A79,0))),105%*$AB$17))*(Output!A79&lt;=DP)
+MAX(($AB$17+(VLOOKUP($BD$25,'All Options'!$AB$36:$AC$46,2,0)*VLOOKUP('All Options'!$E$22,'Valid Data-GPG'!$B$130:$F$134,MATCH('All Options'!$E$17,'Valid Data-GPG'!$B$130:$F$130,0),0)*'All Options'!$E$17)*DP-D79*(A79-DP)),$AB$17)*(A79&gt;DP),0)*$BD$21</f>
        <v>0</v>
      </c>
      <c r="BE79" s="66">
        <f>IFERROR((MAX(($AB$17+(VLOOKUP($BE$25,'All Options'!$AB$36:$AC$46,2,0)*VLOOKUP('All Options'!$E$22,'Valid Data-GPG'!$B$130:$F$134,MATCH('All Options'!$E$17,'Valid Data-GPG'!$B$130:$F$130,0),0)*'All Options'!$E$17)*(IF(A79&lt;=DP,A79,0))),105%*$AB$17))*(Output!A79&lt;=DP)
+(MAX($AB$17+(VLOOKUP($BE$25,'All Options'!$AB$36:$AC$46,2,0)*VLOOKUP('All Options'!$E$22,'Valid Data-GPG'!$B$130:$F$134,MATCH('All Options'!$E$17,'Valid Data-GPG'!$B$130:$F$130,0),0)*'All Options'!$E$17)*DP-AB79*(A79-DP),$AB$17)*(MAX(A79&lt;=25,K79&lt;85)))*(A79&gt;DP),0)*$BE$21</f>
        <v>0</v>
      </c>
      <c r="BF79" s="175">
        <f>IFERROR((MAX(($AB$17+(VLOOKUP($BF$25,'All Options'!$AB$36:$AC$46,2,0)*VLOOKUP('All Options'!$E$22,'Valid Data-GPG'!$B$130:$F$134,MATCH('All Options'!$E$17,'Valid Data-GPG'!$B$130:$F$130,0),0)*'All Options'!$E$17)*(IF(A79&lt;=DP,A79,0))),105%*$AB$17))*(Output!A79&lt;=DP)
+(MAX($AB$17+(VLOOKUP($BF$25,'All Options'!$AB$36:$AC$46,2,0)*VLOOKUP('All Options'!$E$22,'Valid Data-GPG'!$B$130:$F$134,MATCH('All Options'!$E$17,'Valid Data-GPG'!$B$130:$F$130,0),0)*'All Options'!$E$17)*DP-AB79*(A79-DP),$AB$17)-SUM($AF$26:AF79)*AG79)*(A79&gt;DP)*AG79,0)*$BF$21</f>
        <v>0</v>
      </c>
      <c r="BG79" s="175">
        <f t="shared" si="23"/>
        <v>0</v>
      </c>
      <c r="BH79" s="182">
        <f t="shared" si="41"/>
        <v>5000000</v>
      </c>
      <c r="BI79" s="175">
        <f t="shared" si="24"/>
        <v>0</v>
      </c>
      <c r="BJ79" s="175">
        <f t="shared" si="25"/>
        <v>0</v>
      </c>
      <c r="BK79" s="175">
        <f t="shared" si="26"/>
        <v>0</v>
      </c>
      <c r="BL79" s="175">
        <f t="shared" si="27"/>
        <v>0</v>
      </c>
      <c r="BM79" s="175">
        <f t="shared" si="28"/>
        <v>0</v>
      </c>
      <c r="BN79" s="175">
        <f t="shared" si="29"/>
        <v>0</v>
      </c>
      <c r="BO79" s="182">
        <f t="shared" si="42"/>
        <v>0</v>
      </c>
      <c r="BP79" s="182">
        <f t="shared" si="43"/>
        <v>0</v>
      </c>
      <c r="BQ79" s="182">
        <f>MAX($AB$17-SUM($AF$26:AF79),0)*$BQ$21</f>
        <v>0</v>
      </c>
      <c r="BS79" s="175">
        <f t="shared" si="44"/>
        <v>0</v>
      </c>
      <c r="BT79" s="175">
        <f>IFERROR(IF(A79&lt;=1,0,VLOOKUP(DP,'Valid Data-GPG'!$A$116:$J$122,MATCH(Output!A79,'Valid Data-GPG'!$A$116:$J$116,0),FALSE)*SUM($B$26:C79))*(A79&lt;=DP),0)*$BT$21</f>
        <v>0</v>
      </c>
      <c r="BU79" s="175">
        <f>IFERROR(IF(A79&lt;=1,0,VLOOKUP(DP,'Valid Data-GPG'!$A$116:$J$122,MATCH(Output!A79,'Valid Data-GPG'!$A$116:$J$116,0),FALSE)*SUM($B$26:C79))*(A79&lt;=DP),0)*$BU$21</f>
        <v>0</v>
      </c>
      <c r="BV79" s="175">
        <f t="shared" si="45"/>
        <v>0</v>
      </c>
      <c r="BW79" s="175">
        <f t="shared" si="51"/>
        <v>0</v>
      </c>
      <c r="BX79" s="175">
        <f t="shared" si="52"/>
        <v>0</v>
      </c>
      <c r="BY79" s="175">
        <f t="shared" si="53"/>
        <v>0</v>
      </c>
      <c r="BZ79" s="175">
        <f t="shared" si="54"/>
        <v>0</v>
      </c>
      <c r="CA79" s="175">
        <f>(INDEX('SV calc_ignore'!$J$10:$J$1341,12*Output!A79-0))*BS79</f>
        <v>0</v>
      </c>
      <c r="CB79" s="175">
        <f t="shared" si="30"/>
        <v>0</v>
      </c>
      <c r="CC79" s="175">
        <f>(INDEX('SV calc_ignore'!$J$10:$J$1341,12*Output!A79-0))*BS79</f>
        <v>0</v>
      </c>
      <c r="CD79" s="175">
        <f t="shared" si="31"/>
        <v>0</v>
      </c>
      <c r="CE79" s="66">
        <f>(INDEX('SV calc_ignore'!$J$10:$J$1341,12*Output!A79-0))*($CE$21)</f>
        <v>0</v>
      </c>
      <c r="CF79" s="175">
        <f t="shared" si="32"/>
        <v>0</v>
      </c>
      <c r="CG79" s="175">
        <f>(INDEX('SV calc_ignore'!$J$10:$J$1341,12*Output!A79-0))*($CG$21)*(A79&gt;1)</f>
        <v>0</v>
      </c>
      <c r="CH79" s="175">
        <f>(INDEX('SV calc_ignore'!$J$10:$J$1341,12*Output!A79-0))*($CH$21)*(A79&gt;1)</f>
        <v>0</v>
      </c>
      <c r="CI79" s="175"/>
      <c r="CJ79" s="66">
        <f>(INDEX('SV calc_ignore'!$J$10:$J$1341,12*Output!A79-0))*($CJ$21)*(A79&gt;1)</f>
        <v>0</v>
      </c>
      <c r="CK79" s="66">
        <f>(INDEX('SV calc_ignore'!$Q$10:$Q$1341,12*Output!A79-0))*(AND(A79&gt;1,R79&lt;20))*($CK$21)</f>
        <v>0</v>
      </c>
      <c r="CL79" s="66">
        <f t="shared" si="33"/>
        <v>0</v>
      </c>
      <c r="CM79" s="175">
        <f>((INDEX('SV calc_ignore'!$J$10:$J$1341,12*Output!A79-0))+(INDEX('SV calc_ignore'!$O$10:$O$1341,12*Output!A79-0))*(A79&lt;'SV calc_ignore'!$Q$5))*(A79&gt;1)*($CM$21)</f>
        <v>0</v>
      </c>
      <c r="CN79" s="175">
        <v>0</v>
      </c>
      <c r="CO79" s="175">
        <f>(INDEX('SV calc_ignore'!$J$10:$J$1341,12*Output!A79-0))*(A79&gt;1)*($CO$21)</f>
        <v>0</v>
      </c>
      <c r="CP79" s="175">
        <v>0</v>
      </c>
      <c r="CQ79" s="175">
        <v>0</v>
      </c>
      <c r="CR79" s="175">
        <v>0</v>
      </c>
      <c r="CS79" s="175">
        <v>0</v>
      </c>
      <c r="CT79" s="175">
        <v>0</v>
      </c>
      <c r="CU79" s="175">
        <v>0</v>
      </c>
      <c r="CV79" s="175">
        <f>(INDEX('SV calc_ignore'!$J$10:$J$1341,12*Output!A79-0))*(A79&gt;1)*($CV$21)</f>
        <v>0</v>
      </c>
      <c r="CW79" s="66">
        <f>((INDEX('SV calc_ignore'!$J$10:$J$1341,12*Output!A79-0))+(INDEX('SV calc_ignore'!$O$10:$O$1351,12*Output!A79-0))*(A79&lt;'SV calc_ignore'!$Q$5))*(A79&gt;1)*($CW$21)</f>
        <v>0</v>
      </c>
      <c r="CX79" s="175">
        <f>(INDEX('SV calc_ignore'!$J$10:$J$1341,12*Output!A79-0))*(A79&gt;1)*($CX$21)</f>
        <v>0</v>
      </c>
      <c r="CY79" s="175">
        <f>(INDEX('SV calc_ignore'!$Q$10:$Q$1341,12*Output!A79-0))*(AND(A79&gt;1,R79&lt;20))*($CY$21)</f>
        <v>0</v>
      </c>
      <c r="CZ79" s="175">
        <f t="shared" si="34"/>
        <v>0</v>
      </c>
      <c r="DE79" s="43">
        <f>IF($DE$23,0,VLOOKUP(IF(A79&lt;=DP,DJ79,DI79),SSV!$B$6:$C$116,2,FALSE)*VLOOKUP(AnnuityOption,'All Options'!$AB$36:$AC$47,2,FALSE)*VLOOKUP('All Options'!$E$22,'Valid Data-GPG'!$B$130:$F$134,MATCH('All Options'!$E$17,'Valid Data-GPG'!$B$130:$F$130,0),0)*'All Options'!$E$17)*(IF(AND(Select="Deferred Annuity",AnnuityOption="Life Annuity"),A79&lt;=DP,1))</f>
        <v>3274327.0531593515</v>
      </c>
      <c r="DF79" s="43">
        <f>IF($DF$23,0,IF($DQ$25,DQ79,IF($DR$25,DR79,VLOOKUP(IF(A79&lt;=DP,DJ79,DI79),SSV!$G$6:$H$116,2,FALSE)*SUM($B$27:B79))))</f>
        <v>1006161.5</v>
      </c>
      <c r="DG79" s="43" t="e">
        <f>IF(A79&lt;=DP,VLOOKUP(DP-A78,SSV!$T$6:$U$15,2,FALSE),1)</f>
        <v>#N/A</v>
      </c>
      <c r="DH79" s="282" t="e">
        <f t="shared" si="46"/>
        <v>#VALUE!</v>
      </c>
      <c r="DI79" s="43">
        <f>IF($DM$26,MIN(Age,'All Options'!$E$21)+A78,IF($DN$26,(Age+A78)-Age+60,IF($DO$26,(Age+A78)-Age+55,Age+A78)))</f>
        <v>60</v>
      </c>
      <c r="DJ79" s="279">
        <f>IF($DM$26,MIN(Age+A79,'All Options'!$E$21+A79),IF($DN$26,(Age+A79)-(Age+$A$27)+60,IF($DO$26,(Age+A79)-(Age+$A$27)+55,Age+A79)))</f>
        <v>60</v>
      </c>
      <c r="DP79" s="43">
        <f t="shared" si="35"/>
        <v>0</v>
      </c>
      <c r="DQ79" s="43">
        <f>IFERROR(VLOOKUP(IF(A79&lt;=DP,DJ79,DI79),SSV!$K$6:$L$91,2,FALSE)*SUM($B$27:B79),0)*($DQ$25)</f>
        <v>0</v>
      </c>
      <c r="DR79" s="43">
        <f>IFERROR(VLOOKUP(IF(A79&lt;=DP,DJ79,DI79),SSV!$O$6:$P$95,2,FALSE)*SUM($B$27:B79),0)*($DR$25)</f>
        <v>0</v>
      </c>
      <c r="DU79" s="175">
        <f t="shared" si="47"/>
        <v>0</v>
      </c>
    </row>
    <row r="80" spans="1:125" ht="12.75" customHeight="1" x14ac:dyDescent="0.2">
      <c r="A80" s="146">
        <f t="shared" si="48"/>
        <v>0</v>
      </c>
      <c r="B80" s="670">
        <f>IF(PremiumType="Regular Premium",'All Options'!$E$18*'All Options'!$E$22*(AND(Output!A80&lt;=PPT,A80&gt;=1)),'All Options'!$E$18*(A80=1))</f>
        <v>0</v>
      </c>
      <c r="C80" s="671"/>
      <c r="D80" s="103" t="e">
        <f>((VLOOKUP(CONCATENATE($D$14,$D$15),'All Options'!$AB$36:$AC$47,4,0)*VLOOKUP('All Options'!$E$22,'Valid Data-GPG'!$B$130:$F$134,MATCH('All Options'!$E$17,'Valid Data-GPG'!$B$130:$F$130,0),0)*'All Options'!$E$17)*IF(Select="Deferred Annuity",A80&gt;DP,1)+AE80+AF80*AG80*$AG$21)*(A80&gt;0)</f>
        <v>#N/A</v>
      </c>
      <c r="E80" s="103">
        <v>0</v>
      </c>
      <c r="F80" s="103" t="e">
        <f t="shared" si="18"/>
        <v>#N/A</v>
      </c>
      <c r="G80" s="103">
        <f t="shared" si="37"/>
        <v>0</v>
      </c>
      <c r="H80" s="285">
        <f t="shared" si="19"/>
        <v>0</v>
      </c>
      <c r="I80" s="103">
        <f t="shared" si="20"/>
        <v>0</v>
      </c>
      <c r="J80" s="101"/>
      <c r="K80" s="175" t="str">
        <f t="shared" si="49"/>
        <v/>
      </c>
      <c r="L80" s="175"/>
      <c r="M80" s="175"/>
      <c r="N80" s="175"/>
      <c r="O80" s="175"/>
      <c r="P80" s="175"/>
      <c r="Q80" s="175"/>
      <c r="R80" s="175">
        <f t="shared" si="50"/>
        <v>0</v>
      </c>
      <c r="AB80" s="175" t="e">
        <f>(VLOOKUP(CONCATENATE($D$14,$D$15),'All Options'!$AB$36:$AC$47,4,0)*VLOOKUP('All Options'!$E$22,'Valid Data-GPG'!$B$130:$F$134,MATCH('All Options'!$E$17,'Valid Data-GPG'!$B$130:$F$130,0),0)*'All Options'!$E$17)*IF(Select="Deferred Annuity",A80&gt;DP,1)*(A80&gt;0)</f>
        <v>#N/A</v>
      </c>
      <c r="AC80" s="175">
        <f t="shared" si="38"/>
        <v>0</v>
      </c>
      <c r="AD80" s="175">
        <f>SUM($AC$26:AC80)</f>
        <v>0</v>
      </c>
      <c r="AE80" s="175">
        <f t="shared" si="39"/>
        <v>0</v>
      </c>
      <c r="AF80" s="175">
        <f t="shared" si="40"/>
        <v>0</v>
      </c>
      <c r="AG80" s="175" t="b">
        <f>(SUM($AF$26:AF80)&lt;=$AB$17)</f>
        <v>0</v>
      </c>
      <c r="AY80" s="175"/>
      <c r="AZ80" s="66">
        <f>((MAX((SUM($B$26:C80)+(VLOOKUP($AZ$25,'All Options'!$AB$36:$AC$46,2,0)*VLOOKUP('All Options'!$E$22,'Valid Data-GPG'!$B$130:$F$134,MATCH('All Options'!$E$17,'Valid Data-GPG'!$B$130:$F$130,0),0)*'All Options'!$E$17)*(IF(A80&lt;=DP,A80,0))),105%*SUM($B$26:C80)))*(AND(A80&lt;&gt;0,Output!A80&lt;=DP))+(0)*(A80&gt;DP))*$AZ$21</f>
        <v>0</v>
      </c>
      <c r="BA80" s="175" t="e">
        <f>((MAX((SUM($B$26:C80)+(VLOOKUP($BA$25,'All Options'!$AB$36:$AC$46,2,0)*VLOOKUP('All Options'!$E$22,'Valid Data-GPG'!$B$130:$F$134,MATCH('All Options'!$E$17,'Valid Data-GPG'!$B$130:$F$130,0),0)*'All Options'!$E$17)*(IF(A80&lt;=DP,A80,0))),105%*SUM($B$26:C80)))*(Output!A80&lt;=DP)
+MAX((SUM($B$26:C80)+(VLOOKUP($BA$25,'All Options'!$AB$36:$AC$46,2,0)*VLOOKUP('All Options'!$E$22,'Valid Data-GPG'!$B$130:$F$134,MATCH('All Options'!$E$17,'Valid Data-GPG'!$B$130:$F$130,0),0)*'All Options'!$E$17)*DP-D80*(A80-DP)),SUM($B$26:C80))*(A80&gt;DP))*$BA$21</f>
        <v>#N/A</v>
      </c>
      <c r="BB80" s="175">
        <f>((MAX(($AB$17+(VLOOKUP($BB$25,'All Options'!$AB$36:$AC$46,2,0)*VLOOKUP('All Options'!$E$22,'Valid Data-GPG'!$B$130:$F$134,MATCH('All Options'!$E$17,'Valid Data-GPG'!$B$130:$F$130,0),0)*'All Options'!$E$17)*(IF(A80&lt;=DP,A80,0))),105%*$AB$17))*(Output!A80&lt;=DP)+(0)*(A80&gt;DP))*$BB$21</f>
        <v>0</v>
      </c>
      <c r="BC80" s="175" t="e">
        <f>((MAX(($AB$17+(VLOOKUP($BC$25,'All Options'!$AB$36:$AC$46,2,0)*VLOOKUP('All Options'!$E$22,'Valid Data-GPG'!$B$130:$F$134,MATCH('All Options'!$E$17,'Valid Data-GPG'!$B$130:$F$130,0),0)*'All Options'!$E$17)*(IF(A80&lt;=DP,A80,0))),105%*$AB$17))*(Output!A80&lt;=DP)+
MAX(($AB$17+(VLOOKUP($BC$25,'All Options'!$AB$36:$AC$46,2,0)*VLOOKUP('All Options'!$E$22,'Valid Data-GPG'!$B$130:$F$134,MATCH('All Options'!$E$17,'Valid Data-GPG'!$B$130:$F$130,0),0)*'All Options'!$E$17)*DP-D80*(A80-DP)),$AB$17)*(A80&gt;DP))*$BC$21</f>
        <v>#N/A</v>
      </c>
      <c r="BD80" s="175">
        <f ca="1">IFERROR((MAX(($AB$17+(VLOOKUP($BD$25,'All Options'!$AB$36:$AC$46,2,0)*VLOOKUP('All Options'!$E$22,'Valid Data-GPG'!$B$130:$F$134,MATCH('All Options'!$E$17,'Valid Data-GPG'!$B$130:$F$130,0),0)*'All Options'!$E$17)*(IF(A80&lt;=DP,A80,0))),105%*$AB$17))*(Output!A80&lt;=DP)
+MAX(($AB$17+(VLOOKUP($BD$25,'All Options'!$AB$36:$AC$46,2,0)*VLOOKUP('All Options'!$E$22,'Valid Data-GPG'!$B$130:$F$134,MATCH('All Options'!$E$17,'Valid Data-GPG'!$B$130:$F$130,0),0)*'All Options'!$E$17)*DP-D80*(A80-DP)),$AB$17)*(A80&gt;DP),0)*$BD$21</f>
        <v>0</v>
      </c>
      <c r="BE80" s="66">
        <f>IFERROR((MAX(($AB$17+(VLOOKUP($BE$25,'All Options'!$AB$36:$AC$46,2,0)*VLOOKUP('All Options'!$E$22,'Valid Data-GPG'!$B$130:$F$134,MATCH('All Options'!$E$17,'Valid Data-GPG'!$B$130:$F$130,0),0)*'All Options'!$E$17)*(IF(A80&lt;=DP,A80,0))),105%*$AB$17))*(Output!A80&lt;=DP)
+(MAX($AB$17+(VLOOKUP($BE$25,'All Options'!$AB$36:$AC$46,2,0)*VLOOKUP('All Options'!$E$22,'Valid Data-GPG'!$B$130:$F$134,MATCH('All Options'!$E$17,'Valid Data-GPG'!$B$130:$F$130,0),0)*'All Options'!$E$17)*DP-AB80*(A80-DP),$AB$17)*(MAX(A80&lt;=25,K80&lt;85)))*(A80&gt;DP),0)*$BE$21</f>
        <v>0</v>
      </c>
      <c r="BF80" s="175">
        <f>IFERROR((MAX(($AB$17+(VLOOKUP($BF$25,'All Options'!$AB$36:$AC$46,2,0)*VLOOKUP('All Options'!$E$22,'Valid Data-GPG'!$B$130:$F$134,MATCH('All Options'!$E$17,'Valid Data-GPG'!$B$130:$F$130,0),0)*'All Options'!$E$17)*(IF(A80&lt;=DP,A80,0))),105%*$AB$17))*(Output!A80&lt;=DP)
+(MAX($AB$17+(VLOOKUP($BF$25,'All Options'!$AB$36:$AC$46,2,0)*VLOOKUP('All Options'!$E$22,'Valid Data-GPG'!$B$130:$F$134,MATCH('All Options'!$E$17,'Valid Data-GPG'!$B$130:$F$130,0),0)*'All Options'!$E$17)*DP-AB80*(A80-DP),$AB$17)-SUM($AF$26:AF80)*AG80)*(A80&gt;DP)*AG80,0)*$BF$21</f>
        <v>0</v>
      </c>
      <c r="BG80" s="175">
        <f t="shared" si="23"/>
        <v>0</v>
      </c>
      <c r="BH80" s="182">
        <f t="shared" si="41"/>
        <v>5000000</v>
      </c>
      <c r="BI80" s="175">
        <f t="shared" si="24"/>
        <v>0</v>
      </c>
      <c r="BJ80" s="175">
        <f t="shared" si="25"/>
        <v>0</v>
      </c>
      <c r="BK80" s="175">
        <f t="shared" si="26"/>
        <v>0</v>
      </c>
      <c r="BL80" s="175">
        <f t="shared" si="27"/>
        <v>0</v>
      </c>
      <c r="BM80" s="175">
        <f t="shared" si="28"/>
        <v>0</v>
      </c>
      <c r="BN80" s="175">
        <f t="shared" si="29"/>
        <v>0</v>
      </c>
      <c r="BO80" s="182">
        <f t="shared" si="42"/>
        <v>0</v>
      </c>
      <c r="BP80" s="182">
        <f t="shared" si="43"/>
        <v>0</v>
      </c>
      <c r="BQ80" s="182">
        <f>MAX($AB$17-SUM($AF$26:AF80),0)*$BQ$21</f>
        <v>0</v>
      </c>
      <c r="BS80" s="175">
        <f t="shared" si="44"/>
        <v>0</v>
      </c>
      <c r="BT80" s="175">
        <f>IFERROR(IF(A80&lt;=1,0,VLOOKUP(DP,'Valid Data-GPG'!$A$116:$J$122,MATCH(Output!A80,'Valid Data-GPG'!$A$116:$J$116,0),FALSE)*SUM($B$26:C80))*(A80&lt;=DP),0)*$BT$21</f>
        <v>0</v>
      </c>
      <c r="BU80" s="175">
        <f>IFERROR(IF(A80&lt;=1,0,VLOOKUP(DP,'Valid Data-GPG'!$A$116:$J$122,MATCH(Output!A80,'Valid Data-GPG'!$A$116:$J$116,0),FALSE)*SUM($B$26:C80))*(A80&lt;=DP),0)*$BU$21</f>
        <v>0</v>
      </c>
      <c r="BV80" s="175">
        <f t="shared" si="45"/>
        <v>0</v>
      </c>
      <c r="BW80" s="175">
        <f t="shared" si="51"/>
        <v>0</v>
      </c>
      <c r="BX80" s="175">
        <f t="shared" si="52"/>
        <v>0</v>
      </c>
      <c r="BY80" s="175">
        <f t="shared" si="53"/>
        <v>0</v>
      </c>
      <c r="BZ80" s="175">
        <f t="shared" si="54"/>
        <v>0</v>
      </c>
      <c r="CA80" s="175">
        <f>(INDEX('SV calc_ignore'!$J$10:$J$1341,12*Output!A80-0))*BS80</f>
        <v>0</v>
      </c>
      <c r="CB80" s="175">
        <f t="shared" si="30"/>
        <v>0</v>
      </c>
      <c r="CC80" s="175">
        <f>(INDEX('SV calc_ignore'!$J$10:$J$1341,12*Output!A80-0))*BS80</f>
        <v>0</v>
      </c>
      <c r="CD80" s="175">
        <f t="shared" si="31"/>
        <v>0</v>
      </c>
      <c r="CE80" s="66">
        <f>(INDEX('SV calc_ignore'!$J$10:$J$1341,12*Output!A80-0))*($CE$21)</f>
        <v>0</v>
      </c>
      <c r="CF80" s="175">
        <f t="shared" si="32"/>
        <v>0</v>
      </c>
      <c r="CG80" s="175">
        <f>(INDEX('SV calc_ignore'!$J$10:$J$1341,12*Output!A80-0))*($CG$21)*(A80&gt;1)</f>
        <v>0</v>
      </c>
      <c r="CH80" s="175">
        <f>(INDEX('SV calc_ignore'!$J$10:$J$1341,12*Output!A80-0))*($CH$21)*(A80&gt;1)</f>
        <v>0</v>
      </c>
      <c r="CI80" s="175"/>
      <c r="CJ80" s="66">
        <f>(INDEX('SV calc_ignore'!$J$10:$J$1341,12*Output!A80-0))*($CJ$21)*(A80&gt;1)</f>
        <v>0</v>
      </c>
      <c r="CK80" s="66">
        <f>(INDEX('SV calc_ignore'!$Q$10:$Q$1341,12*Output!A80-0))*(AND(A80&gt;1,R80&lt;20))*($CK$21)</f>
        <v>0</v>
      </c>
      <c r="CL80" s="66">
        <f t="shared" si="33"/>
        <v>0</v>
      </c>
      <c r="CM80" s="175">
        <f>((INDEX('SV calc_ignore'!$J$10:$J$1341,12*Output!A80-0))+(INDEX('SV calc_ignore'!$O$10:$O$1341,12*Output!A80-0))*(A80&lt;'SV calc_ignore'!$Q$5))*(A80&gt;1)*($CM$21)</f>
        <v>0</v>
      </c>
      <c r="CN80" s="175">
        <v>0</v>
      </c>
      <c r="CO80" s="175">
        <f>(INDEX('SV calc_ignore'!$J$10:$J$1341,12*Output!A80-0))*(A80&gt;1)*($CO$21)</f>
        <v>0</v>
      </c>
      <c r="CP80" s="175">
        <v>0</v>
      </c>
      <c r="CQ80" s="175">
        <v>0</v>
      </c>
      <c r="CR80" s="175">
        <v>0</v>
      </c>
      <c r="CS80" s="175">
        <v>0</v>
      </c>
      <c r="CT80" s="175">
        <v>0</v>
      </c>
      <c r="CU80" s="175">
        <v>0</v>
      </c>
      <c r="CV80" s="175">
        <f>(INDEX('SV calc_ignore'!$J$10:$J$1341,12*Output!A80-0))*(A80&gt;1)*($CV$21)</f>
        <v>0</v>
      </c>
      <c r="CW80" s="66">
        <f>((INDEX('SV calc_ignore'!$J$10:$J$1341,12*Output!A80-0))+(INDEX('SV calc_ignore'!$O$10:$O$1351,12*Output!A80-0))*(A80&lt;'SV calc_ignore'!$Q$5))*(A80&gt;1)*($CW$21)</f>
        <v>0</v>
      </c>
      <c r="CX80" s="175">
        <f>(INDEX('SV calc_ignore'!$J$10:$J$1341,12*Output!A80-0))*(A80&gt;1)*($CX$21)</f>
        <v>0</v>
      </c>
      <c r="CY80" s="175">
        <f>(INDEX('SV calc_ignore'!$Q$10:$Q$1341,12*Output!A80-0))*(AND(A80&gt;1,R80&lt;20))*($CY$21)</f>
        <v>0</v>
      </c>
      <c r="CZ80" s="175">
        <f t="shared" si="34"/>
        <v>0</v>
      </c>
      <c r="DE80" s="43">
        <f>IF($DE$23,0,VLOOKUP(IF(A80&lt;=DP,DJ80,DI80),SSV!$B$6:$C$116,2,FALSE)*VLOOKUP(AnnuityOption,'All Options'!$AB$36:$AC$47,2,FALSE)*VLOOKUP('All Options'!$E$22,'Valid Data-GPG'!$B$130:$F$134,MATCH('All Options'!$E$17,'Valid Data-GPG'!$B$130:$F$130,0),0)*'All Options'!$E$17)*(IF(AND(Select="Deferred Annuity",AnnuityOption="Life Annuity"),A80&lt;=DP,1))</f>
        <v>3274327.0531593515</v>
      </c>
      <c r="DF80" s="43">
        <f>IF($DF$23,0,IF($DQ$25,DQ80,IF($DR$25,DR80,VLOOKUP(IF(A80&lt;=DP,DJ80,DI80),SSV!$G$6:$H$116,2,FALSE)*SUM($B$27:B80))))</f>
        <v>1006161.5</v>
      </c>
      <c r="DG80" s="43" t="e">
        <f>IF(A80&lt;=DP,VLOOKUP(DP-A79,SSV!$T$6:$U$15,2,FALSE),1)</f>
        <v>#N/A</v>
      </c>
      <c r="DH80" s="282" t="e">
        <f t="shared" si="46"/>
        <v>#VALUE!</v>
      </c>
      <c r="DI80" s="43">
        <f>IF($DM$26,MIN(Age,'All Options'!$E$21)+A79,IF($DN$26,(Age+A79)-Age+60,IF($DO$26,(Age+A79)-Age+55,Age+A79)))</f>
        <v>60</v>
      </c>
      <c r="DJ80" s="279">
        <f>IF($DM$26,MIN(Age+A80,'All Options'!$E$21+A80),IF($DN$26,(Age+A80)-(Age+$A$27)+60,IF($DO$26,(Age+A80)-(Age+$A$27)+55,Age+A80)))</f>
        <v>60</v>
      </c>
      <c r="DP80" s="43">
        <f t="shared" si="35"/>
        <v>0</v>
      </c>
      <c r="DQ80" s="43">
        <f>IFERROR(VLOOKUP(IF(A80&lt;=DP,DJ80,DI80),SSV!$K$6:$L$91,2,FALSE)*SUM($B$27:B80),0)*($DQ$25)</f>
        <v>0</v>
      </c>
      <c r="DR80" s="43">
        <f>IFERROR(VLOOKUP(IF(A80&lt;=DP,DJ80,DI80),SSV!$O$6:$P$95,2,FALSE)*SUM($B$27:B80),0)*($DR$25)</f>
        <v>0</v>
      </c>
      <c r="DU80" s="175">
        <f t="shared" si="47"/>
        <v>0</v>
      </c>
    </row>
    <row r="81" spans="1:127" x14ac:dyDescent="0.2">
      <c r="A81" s="146">
        <f t="shared" si="48"/>
        <v>0</v>
      </c>
      <c r="B81" s="670">
        <f>IF(PremiumType="Regular Premium",'All Options'!$E$18*'All Options'!$E$22*(AND(Output!A81&lt;=PPT,A81&gt;=1)),'All Options'!$E$18*(A81=1))</f>
        <v>0</v>
      </c>
      <c r="C81" s="671"/>
      <c r="D81" s="103" t="e">
        <f>((VLOOKUP(CONCATENATE($D$14,$D$15),'All Options'!$AB$36:$AC$47,4,0)*VLOOKUP('All Options'!$E$22,'Valid Data-GPG'!$B$130:$F$134,MATCH('All Options'!$E$17,'Valid Data-GPG'!$B$130:$F$130,0),0)*'All Options'!$E$17)*IF(Select="Deferred Annuity",A81&gt;DP,1)+AE81+AF81*AG81*$AG$21)*(A81&gt;0)</f>
        <v>#N/A</v>
      </c>
      <c r="E81" s="103">
        <v>0</v>
      </c>
      <c r="F81" s="103" t="e">
        <f t="shared" si="18"/>
        <v>#N/A</v>
      </c>
      <c r="G81" s="103">
        <f t="shared" si="37"/>
        <v>0</v>
      </c>
      <c r="H81" s="285">
        <f t="shared" si="19"/>
        <v>0</v>
      </c>
      <c r="I81" s="103">
        <f t="shared" si="20"/>
        <v>0</v>
      </c>
      <c r="J81" s="101"/>
      <c r="K81" s="175" t="str">
        <f t="shared" si="49"/>
        <v/>
      </c>
      <c r="L81" s="175"/>
      <c r="M81" s="175"/>
      <c r="N81" s="175"/>
      <c r="O81" s="175"/>
      <c r="P81" s="175"/>
      <c r="Q81" s="175"/>
      <c r="R81" s="175">
        <f t="shared" si="50"/>
        <v>0</v>
      </c>
      <c r="AB81" s="175" t="e">
        <f>(VLOOKUP(CONCATENATE($D$14,$D$15),'All Options'!$AB$36:$AC$47,4,0)*VLOOKUP('All Options'!$E$22,'Valid Data-GPG'!$B$130:$F$134,MATCH('All Options'!$E$17,'Valid Data-GPG'!$B$130:$F$130,0),0)*'All Options'!$E$17)*IF(Select="Deferred Annuity",A81&gt;DP,1)*(A81&gt;0)</f>
        <v>#N/A</v>
      </c>
      <c r="AC81" s="175">
        <f t="shared" si="38"/>
        <v>0</v>
      </c>
      <c r="AD81" s="175">
        <f>SUM($AC$26:AC81)</f>
        <v>0</v>
      </c>
      <c r="AE81" s="175">
        <f t="shared" si="39"/>
        <v>0</v>
      </c>
      <c r="AF81" s="175">
        <f t="shared" si="40"/>
        <v>0</v>
      </c>
      <c r="AG81" s="175" t="b">
        <f>(SUM($AF$26:AF81)&lt;=$AB$17)</f>
        <v>0</v>
      </c>
      <c r="AY81" s="175"/>
      <c r="AZ81" s="66">
        <f>((MAX((SUM($B$26:C81)+(VLOOKUP($AZ$25,'All Options'!$AB$36:$AC$46,2,0)*VLOOKUP('All Options'!$E$22,'Valid Data-GPG'!$B$130:$F$134,MATCH('All Options'!$E$17,'Valid Data-GPG'!$B$130:$F$130,0),0)*'All Options'!$E$17)*(IF(A81&lt;=DP,A81,0))),105%*SUM($B$26:C81)))*(AND(A81&lt;&gt;0,Output!A81&lt;=DP))+(0)*(A81&gt;DP))*$AZ$21</f>
        <v>0</v>
      </c>
      <c r="BA81" s="175" t="e">
        <f>((MAX((SUM($B$26:C81)+(VLOOKUP($BA$25,'All Options'!$AB$36:$AC$46,2,0)*VLOOKUP('All Options'!$E$22,'Valid Data-GPG'!$B$130:$F$134,MATCH('All Options'!$E$17,'Valid Data-GPG'!$B$130:$F$130,0),0)*'All Options'!$E$17)*(IF(A81&lt;=DP,A81,0))),105%*SUM($B$26:C81)))*(Output!A81&lt;=DP)
+MAX((SUM($B$26:C81)+(VLOOKUP($BA$25,'All Options'!$AB$36:$AC$46,2,0)*VLOOKUP('All Options'!$E$22,'Valid Data-GPG'!$B$130:$F$134,MATCH('All Options'!$E$17,'Valid Data-GPG'!$B$130:$F$130,0),0)*'All Options'!$E$17)*DP-D81*(A81-DP)),SUM($B$26:C81))*(A81&gt;DP))*$BA$21</f>
        <v>#N/A</v>
      </c>
      <c r="BB81" s="175">
        <f>((MAX(($AB$17+(VLOOKUP($BB$25,'All Options'!$AB$36:$AC$46,2,0)*VLOOKUP('All Options'!$E$22,'Valid Data-GPG'!$B$130:$F$134,MATCH('All Options'!$E$17,'Valid Data-GPG'!$B$130:$F$130,0),0)*'All Options'!$E$17)*(IF(A81&lt;=DP,A81,0))),105%*$AB$17))*(Output!A81&lt;=DP)+(0)*(A81&gt;DP))*$BB$21</f>
        <v>0</v>
      </c>
      <c r="BC81" s="175" t="e">
        <f>((MAX(($AB$17+(VLOOKUP($BC$25,'All Options'!$AB$36:$AC$46,2,0)*VLOOKUP('All Options'!$E$22,'Valid Data-GPG'!$B$130:$F$134,MATCH('All Options'!$E$17,'Valid Data-GPG'!$B$130:$F$130,0),0)*'All Options'!$E$17)*(IF(A81&lt;=DP,A81,0))),105%*$AB$17))*(Output!A81&lt;=DP)+
MAX(($AB$17+(VLOOKUP($BC$25,'All Options'!$AB$36:$AC$46,2,0)*VLOOKUP('All Options'!$E$22,'Valid Data-GPG'!$B$130:$F$134,MATCH('All Options'!$E$17,'Valid Data-GPG'!$B$130:$F$130,0),0)*'All Options'!$E$17)*DP-D81*(A81-DP)),$AB$17)*(A81&gt;DP))*$BC$21</f>
        <v>#N/A</v>
      </c>
      <c r="BD81" s="175">
        <f ca="1">IFERROR((MAX(($AB$17+(VLOOKUP($BD$25,'All Options'!$AB$36:$AC$46,2,0)*VLOOKUP('All Options'!$E$22,'Valid Data-GPG'!$B$130:$F$134,MATCH('All Options'!$E$17,'Valid Data-GPG'!$B$130:$F$130,0),0)*'All Options'!$E$17)*(IF(A81&lt;=DP,A81,0))),105%*$AB$17))*(Output!A81&lt;=DP)
+MAX(($AB$17+(VLOOKUP($BD$25,'All Options'!$AB$36:$AC$46,2,0)*VLOOKUP('All Options'!$E$22,'Valid Data-GPG'!$B$130:$F$134,MATCH('All Options'!$E$17,'Valid Data-GPG'!$B$130:$F$130,0),0)*'All Options'!$E$17)*DP-D81*(A81-DP)),$AB$17)*(A81&gt;DP),0)*$BD$21</f>
        <v>0</v>
      </c>
      <c r="BE81" s="66">
        <f>IFERROR((MAX(($AB$17+(VLOOKUP($BE$25,'All Options'!$AB$36:$AC$46,2,0)*VLOOKUP('All Options'!$E$22,'Valid Data-GPG'!$B$130:$F$134,MATCH('All Options'!$E$17,'Valid Data-GPG'!$B$130:$F$130,0),0)*'All Options'!$E$17)*(IF(A81&lt;=DP,A81,0))),105%*$AB$17))*(Output!A81&lt;=DP)
+(MAX($AB$17+(VLOOKUP($BE$25,'All Options'!$AB$36:$AC$46,2,0)*VLOOKUP('All Options'!$E$22,'Valid Data-GPG'!$B$130:$F$134,MATCH('All Options'!$E$17,'Valid Data-GPG'!$B$130:$F$130,0),0)*'All Options'!$E$17)*DP-AB81*(A81-DP),$AB$17)*(MAX(A81&lt;=25,K81&lt;85)))*(A81&gt;DP),0)*$BE$21</f>
        <v>0</v>
      </c>
      <c r="BF81" s="175">
        <f>IFERROR((MAX(($AB$17+(VLOOKUP($BF$25,'All Options'!$AB$36:$AC$46,2,0)*VLOOKUP('All Options'!$E$22,'Valid Data-GPG'!$B$130:$F$134,MATCH('All Options'!$E$17,'Valid Data-GPG'!$B$130:$F$130,0),0)*'All Options'!$E$17)*(IF(A81&lt;=DP,A81,0))),105%*$AB$17))*(Output!A81&lt;=DP)
+(MAX($AB$17+(VLOOKUP($BF$25,'All Options'!$AB$36:$AC$46,2,0)*VLOOKUP('All Options'!$E$22,'Valid Data-GPG'!$B$130:$F$134,MATCH('All Options'!$E$17,'Valid Data-GPG'!$B$130:$F$130,0),0)*'All Options'!$E$17)*DP-AB81*(A81-DP),$AB$17)-SUM($AF$26:AF81)*AG81)*(A81&gt;DP)*AG81,0)*$BF$21</f>
        <v>0</v>
      </c>
      <c r="BG81" s="175">
        <f t="shared" si="23"/>
        <v>0</v>
      </c>
      <c r="BH81" s="182">
        <f t="shared" si="41"/>
        <v>5000000</v>
      </c>
      <c r="BI81" s="175">
        <f t="shared" si="24"/>
        <v>0</v>
      </c>
      <c r="BJ81" s="175">
        <f t="shared" si="25"/>
        <v>0</v>
      </c>
      <c r="BK81" s="175">
        <f t="shared" si="26"/>
        <v>0</v>
      </c>
      <c r="BL81" s="175">
        <f t="shared" si="27"/>
        <v>0</v>
      </c>
      <c r="BM81" s="175">
        <f t="shared" si="28"/>
        <v>0</v>
      </c>
      <c r="BN81" s="175">
        <f t="shared" si="29"/>
        <v>0</v>
      </c>
      <c r="BO81" s="182">
        <f t="shared" si="42"/>
        <v>0</v>
      </c>
      <c r="BP81" s="182">
        <f t="shared" si="43"/>
        <v>0</v>
      </c>
      <c r="BQ81" s="182">
        <f>MAX($AB$17-SUM($AF$26:AF81),0)*$BQ$21</f>
        <v>0</v>
      </c>
      <c r="BS81" s="175">
        <f t="shared" si="44"/>
        <v>0</v>
      </c>
      <c r="BT81" s="175">
        <f>IFERROR(IF(A81&lt;=1,0,VLOOKUP(DP,'Valid Data-GPG'!$A$116:$J$122,MATCH(Output!A81,'Valid Data-GPG'!$A$116:$J$116,0),FALSE)*SUM($B$26:C81))*(A81&lt;=DP),0)*$BT$21</f>
        <v>0</v>
      </c>
      <c r="BU81" s="175">
        <f>IFERROR(IF(A81&lt;=1,0,VLOOKUP(DP,'Valid Data-GPG'!$A$116:$J$122,MATCH(Output!A81,'Valid Data-GPG'!$A$116:$J$116,0),FALSE)*SUM($B$26:C81))*(A81&lt;=DP),0)*$BU$21</f>
        <v>0</v>
      </c>
      <c r="BV81" s="175">
        <f t="shared" si="45"/>
        <v>0</v>
      </c>
      <c r="BW81" s="175">
        <f t="shared" si="51"/>
        <v>0</v>
      </c>
      <c r="BX81" s="175">
        <f t="shared" si="52"/>
        <v>0</v>
      </c>
      <c r="BY81" s="175">
        <f t="shared" si="53"/>
        <v>0</v>
      </c>
      <c r="BZ81" s="175">
        <f t="shared" si="54"/>
        <v>0</v>
      </c>
      <c r="CA81" s="175">
        <f>(INDEX('SV calc_ignore'!$J$10:$J$1341,12*Output!A81-0))*BS81</f>
        <v>0</v>
      </c>
      <c r="CB81" s="175">
        <f t="shared" si="30"/>
        <v>0</v>
      </c>
      <c r="CC81" s="175">
        <f>(INDEX('SV calc_ignore'!$J$10:$J$1341,12*Output!A81-0))*BS81</f>
        <v>0</v>
      </c>
      <c r="CD81" s="175">
        <f t="shared" si="31"/>
        <v>0</v>
      </c>
      <c r="CE81" s="66">
        <f>(INDEX('SV calc_ignore'!$J$10:$J$1341,12*Output!A81-0))*($CE$21)</f>
        <v>0</v>
      </c>
      <c r="CF81" s="175">
        <f t="shared" si="32"/>
        <v>0</v>
      </c>
      <c r="CG81" s="175">
        <f>(INDEX('SV calc_ignore'!$J$10:$J$1341,12*Output!A81-0))*($CG$21)*(A81&gt;1)</f>
        <v>0</v>
      </c>
      <c r="CH81" s="175">
        <f>(INDEX('SV calc_ignore'!$J$10:$J$1341,12*Output!A81-0))*($CH$21)*(A81&gt;1)</f>
        <v>0</v>
      </c>
      <c r="CI81" s="175"/>
      <c r="CJ81" s="66">
        <f>(INDEX('SV calc_ignore'!$J$10:$J$1341,12*Output!A81-0))*($CJ$21)*(A81&gt;1)</f>
        <v>0</v>
      </c>
      <c r="CK81" s="66">
        <f>(INDEX('SV calc_ignore'!$Q$10:$Q$1341,12*Output!A81-0))*(AND(A81&gt;1,R81&lt;20))*($CK$21)</f>
        <v>0</v>
      </c>
      <c r="CL81" s="66">
        <f t="shared" si="33"/>
        <v>0</v>
      </c>
      <c r="CM81" s="175">
        <f>((INDEX('SV calc_ignore'!$J$10:$J$1341,12*Output!A81-0))+(INDEX('SV calc_ignore'!$O$10:$O$1341,12*Output!A81-0))*(A81&lt;'SV calc_ignore'!$Q$5))*(A81&gt;1)*($CM$21)</f>
        <v>0</v>
      </c>
      <c r="CN81" s="175">
        <v>0</v>
      </c>
      <c r="CO81" s="175">
        <f>(INDEX('SV calc_ignore'!$J$10:$J$1341,12*Output!A81-0))*(A81&gt;1)*($CO$21)</f>
        <v>0</v>
      </c>
      <c r="CP81" s="175">
        <v>0</v>
      </c>
      <c r="CQ81" s="175">
        <v>0</v>
      </c>
      <c r="CR81" s="175">
        <v>0</v>
      </c>
      <c r="CS81" s="175">
        <v>0</v>
      </c>
      <c r="CT81" s="175">
        <v>0</v>
      </c>
      <c r="CU81" s="175">
        <v>0</v>
      </c>
      <c r="CV81" s="175">
        <f>(INDEX('SV calc_ignore'!$J$10:$J$1341,12*Output!A81-0))*(A81&gt;1)*($CV$21)</f>
        <v>0</v>
      </c>
      <c r="CW81" s="66">
        <f>((INDEX('SV calc_ignore'!$J$10:$J$1341,12*Output!A81-0))+(INDEX('SV calc_ignore'!$O$10:$O$1351,12*Output!A81-0))*(A81&lt;'SV calc_ignore'!$Q$5))*(A81&gt;1)*($CW$21)</f>
        <v>0</v>
      </c>
      <c r="CX81" s="175">
        <f>(INDEX('SV calc_ignore'!$J$10:$J$1341,12*Output!A81-0))*(A81&gt;1)*($CX$21)</f>
        <v>0</v>
      </c>
      <c r="CY81" s="175">
        <f>(INDEX('SV calc_ignore'!$Q$10:$Q$1341,12*Output!A81-0))*(AND(A81&gt;1,R81&lt;20))*($CY$21)</f>
        <v>0</v>
      </c>
      <c r="CZ81" s="175">
        <f t="shared" si="34"/>
        <v>0</v>
      </c>
      <c r="DE81" s="43">
        <f>IF($DE$23,0,VLOOKUP(IF(A81&lt;=DP,DJ81,DI81),SSV!$B$6:$C$116,2,FALSE)*VLOOKUP(AnnuityOption,'All Options'!$AB$36:$AC$47,2,FALSE)*VLOOKUP('All Options'!$E$22,'Valid Data-GPG'!$B$130:$F$134,MATCH('All Options'!$E$17,'Valid Data-GPG'!$B$130:$F$130,0),0)*'All Options'!$E$17)*(IF(AND(Select="Deferred Annuity",AnnuityOption="Life Annuity"),A81&lt;=DP,1))</f>
        <v>3274327.0531593515</v>
      </c>
      <c r="DF81" s="43">
        <f>IF($DF$23,0,IF($DQ$25,DQ81,IF($DR$25,DR81,VLOOKUP(IF(A81&lt;=DP,DJ81,DI81),SSV!$G$6:$H$116,2,FALSE)*SUM($B$27:B81))))</f>
        <v>1006161.5</v>
      </c>
      <c r="DG81" s="43" t="e">
        <f>IF(A81&lt;=DP,VLOOKUP(DP-A80,SSV!$T$6:$U$15,2,FALSE),1)</f>
        <v>#N/A</v>
      </c>
      <c r="DH81" s="282" t="e">
        <f t="shared" si="46"/>
        <v>#VALUE!</v>
      </c>
      <c r="DI81" s="43">
        <f>IF($DM$26,MIN(Age,'All Options'!$E$21)+A80,IF($DN$26,(Age+A80)-Age+60,IF($DO$26,(Age+A80)-Age+55,Age+A80)))</f>
        <v>60</v>
      </c>
      <c r="DJ81" s="279">
        <f>IF($DM$26,MIN(Age+A81,'All Options'!$E$21+A81),IF($DN$26,(Age+A81)-(Age+$A$27)+60,IF($DO$26,(Age+A81)-(Age+$A$27)+55,Age+A81)))</f>
        <v>60</v>
      </c>
      <c r="DP81" s="43">
        <f t="shared" si="35"/>
        <v>0</v>
      </c>
      <c r="DQ81" s="43">
        <f>IFERROR(VLOOKUP(IF(A81&lt;=DP,DJ81,DI81),SSV!$K$6:$L$91,2,FALSE)*SUM($B$27:B81),0)*($DQ$25)</f>
        <v>0</v>
      </c>
      <c r="DR81" s="43">
        <f>IFERROR(VLOOKUP(IF(A81&lt;=DP,DJ81,DI81),SSV!$O$6:$P$95,2,FALSE)*SUM($B$27:B81),0)*($DR$25)</f>
        <v>0</v>
      </c>
      <c r="DU81" s="175">
        <f t="shared" si="47"/>
        <v>0</v>
      </c>
    </row>
    <row r="82" spans="1:127" ht="12.75" customHeight="1" x14ac:dyDescent="0.2">
      <c r="A82" s="146">
        <f t="shared" si="48"/>
        <v>0</v>
      </c>
      <c r="B82" s="670">
        <f>IF(PremiumType="Regular Premium",'All Options'!$E$18*'All Options'!$E$22*(AND(Output!A82&lt;=PPT,A82&gt;=1)),'All Options'!$E$18*(A82=1))</f>
        <v>0</v>
      </c>
      <c r="C82" s="671"/>
      <c r="D82" s="103" t="e">
        <f>((VLOOKUP(CONCATENATE($D$14,$D$15),'All Options'!$AB$36:$AC$47,4,0)*VLOOKUP('All Options'!$E$22,'Valid Data-GPG'!$B$130:$F$134,MATCH('All Options'!$E$17,'Valid Data-GPG'!$B$130:$F$130,0),0)*'All Options'!$E$17)*IF(Select="Deferred Annuity",A82&gt;DP,1)+AE82+AF82*AG82*$AG$21)*(A82&gt;0)</f>
        <v>#N/A</v>
      </c>
      <c r="E82" s="103">
        <v>0</v>
      </c>
      <c r="F82" s="103" t="e">
        <f t="shared" si="18"/>
        <v>#N/A</v>
      </c>
      <c r="G82" s="103">
        <f t="shared" si="37"/>
        <v>0</v>
      </c>
      <c r="H82" s="285">
        <f t="shared" si="19"/>
        <v>0</v>
      </c>
      <c r="I82" s="103">
        <f t="shared" si="20"/>
        <v>0</v>
      </c>
      <c r="J82" s="101"/>
      <c r="K82" s="175" t="str">
        <f t="shared" si="49"/>
        <v/>
      </c>
      <c r="L82" s="175"/>
      <c r="M82" s="175"/>
      <c r="N82" s="175"/>
      <c r="O82" s="175"/>
      <c r="P82" s="175"/>
      <c r="Q82" s="175"/>
      <c r="R82" s="175">
        <f t="shared" si="50"/>
        <v>0</v>
      </c>
      <c r="AB82" s="175" t="e">
        <f>(VLOOKUP(CONCATENATE($D$14,$D$15),'All Options'!$AB$36:$AC$47,4,0)*VLOOKUP('All Options'!$E$22,'Valid Data-GPG'!$B$130:$F$134,MATCH('All Options'!$E$17,'Valid Data-GPG'!$B$130:$F$130,0),0)*'All Options'!$E$17)*IF(Select="Deferred Annuity",A82&gt;DP,1)*(A82&gt;0)</f>
        <v>#N/A</v>
      </c>
      <c r="AC82" s="175">
        <f t="shared" si="38"/>
        <v>0</v>
      </c>
      <c r="AD82" s="175">
        <f>SUM($AC$26:AC82)</f>
        <v>0</v>
      </c>
      <c r="AE82" s="175">
        <f t="shared" si="39"/>
        <v>0</v>
      </c>
      <c r="AF82" s="175">
        <f t="shared" si="40"/>
        <v>0</v>
      </c>
      <c r="AG82" s="175" t="b">
        <f>(SUM($AF$26:AF82)&lt;=$AB$17)</f>
        <v>0</v>
      </c>
      <c r="AY82" s="175"/>
      <c r="AZ82" s="66">
        <f>((MAX((SUM($B$26:C82)+(VLOOKUP($AZ$25,'All Options'!$AB$36:$AC$46,2,0)*VLOOKUP('All Options'!$E$22,'Valid Data-GPG'!$B$130:$F$134,MATCH('All Options'!$E$17,'Valid Data-GPG'!$B$130:$F$130,0),0)*'All Options'!$E$17)*(IF(A82&lt;=DP,A82,0))),105%*SUM($B$26:C82)))*(AND(A82&lt;&gt;0,Output!A82&lt;=DP))+(0)*(A82&gt;DP))*$AZ$21</f>
        <v>0</v>
      </c>
      <c r="BA82" s="175" t="e">
        <f>((MAX((SUM($B$26:C82)+(VLOOKUP($BA$25,'All Options'!$AB$36:$AC$46,2,0)*VLOOKUP('All Options'!$E$22,'Valid Data-GPG'!$B$130:$F$134,MATCH('All Options'!$E$17,'Valid Data-GPG'!$B$130:$F$130,0),0)*'All Options'!$E$17)*(IF(A82&lt;=DP,A82,0))),105%*SUM($B$26:C82)))*(Output!A82&lt;=DP)
+MAX((SUM($B$26:C82)+(VLOOKUP($BA$25,'All Options'!$AB$36:$AC$46,2,0)*VLOOKUP('All Options'!$E$22,'Valid Data-GPG'!$B$130:$F$134,MATCH('All Options'!$E$17,'Valid Data-GPG'!$B$130:$F$130,0),0)*'All Options'!$E$17)*DP-D82*(A82-DP)),SUM($B$26:C82))*(A82&gt;DP))*$BA$21</f>
        <v>#N/A</v>
      </c>
      <c r="BB82" s="175">
        <f>((MAX(($AB$17+(VLOOKUP($BB$25,'All Options'!$AB$36:$AC$46,2,0)*VLOOKUP('All Options'!$E$22,'Valid Data-GPG'!$B$130:$F$134,MATCH('All Options'!$E$17,'Valid Data-GPG'!$B$130:$F$130,0),0)*'All Options'!$E$17)*(IF(A82&lt;=DP,A82,0))),105%*$AB$17))*(Output!A82&lt;=DP)+(0)*(A82&gt;DP))*$BB$21</f>
        <v>0</v>
      </c>
      <c r="BC82" s="175" t="e">
        <f>((MAX(($AB$17+(VLOOKUP($BC$25,'All Options'!$AB$36:$AC$46,2,0)*VLOOKUP('All Options'!$E$22,'Valid Data-GPG'!$B$130:$F$134,MATCH('All Options'!$E$17,'Valid Data-GPG'!$B$130:$F$130,0),0)*'All Options'!$E$17)*(IF(A82&lt;=DP,A82,0))),105%*$AB$17))*(Output!A82&lt;=DP)+
MAX(($AB$17+(VLOOKUP($BC$25,'All Options'!$AB$36:$AC$46,2,0)*VLOOKUP('All Options'!$E$22,'Valid Data-GPG'!$B$130:$F$134,MATCH('All Options'!$E$17,'Valid Data-GPG'!$B$130:$F$130,0),0)*'All Options'!$E$17)*DP-D82*(A82-DP)),$AB$17)*(A82&gt;DP))*$BC$21</f>
        <v>#N/A</v>
      </c>
      <c r="BD82" s="175">
        <f ca="1">IFERROR((MAX(($AB$17+(VLOOKUP($BD$25,'All Options'!$AB$36:$AC$46,2,0)*VLOOKUP('All Options'!$E$22,'Valid Data-GPG'!$B$130:$F$134,MATCH('All Options'!$E$17,'Valid Data-GPG'!$B$130:$F$130,0),0)*'All Options'!$E$17)*(IF(A82&lt;=DP,A82,0))),105%*$AB$17))*(Output!A82&lt;=DP)
+MAX(($AB$17+(VLOOKUP($BD$25,'All Options'!$AB$36:$AC$46,2,0)*VLOOKUP('All Options'!$E$22,'Valid Data-GPG'!$B$130:$F$134,MATCH('All Options'!$E$17,'Valid Data-GPG'!$B$130:$F$130,0),0)*'All Options'!$E$17)*DP-D82*(A82-DP)),$AB$17)*(A82&gt;DP),0)*$BD$21</f>
        <v>0</v>
      </c>
      <c r="BE82" s="66">
        <f>IFERROR((MAX(($AB$17+(VLOOKUP($BE$25,'All Options'!$AB$36:$AC$46,2,0)*VLOOKUP('All Options'!$E$22,'Valid Data-GPG'!$B$130:$F$134,MATCH('All Options'!$E$17,'Valid Data-GPG'!$B$130:$F$130,0),0)*'All Options'!$E$17)*(IF(A82&lt;=DP,A82,0))),105%*$AB$17))*(Output!A82&lt;=DP)
+(MAX($AB$17+(VLOOKUP($BE$25,'All Options'!$AB$36:$AC$46,2,0)*VLOOKUP('All Options'!$E$22,'Valid Data-GPG'!$B$130:$F$134,MATCH('All Options'!$E$17,'Valid Data-GPG'!$B$130:$F$130,0),0)*'All Options'!$E$17)*DP-AB82*(A82-DP),$AB$17)*(MAX(A82&lt;=25,K82&lt;85)))*(A82&gt;DP),0)*$BE$21</f>
        <v>0</v>
      </c>
      <c r="BF82" s="175">
        <f>IFERROR((MAX(($AB$17+(VLOOKUP($BF$25,'All Options'!$AB$36:$AC$46,2,0)*VLOOKUP('All Options'!$E$22,'Valid Data-GPG'!$B$130:$F$134,MATCH('All Options'!$E$17,'Valid Data-GPG'!$B$130:$F$130,0),0)*'All Options'!$E$17)*(IF(A82&lt;=DP,A82,0))),105%*$AB$17))*(Output!A82&lt;=DP)
+(MAX($AB$17+(VLOOKUP($BF$25,'All Options'!$AB$36:$AC$46,2,0)*VLOOKUP('All Options'!$E$22,'Valid Data-GPG'!$B$130:$F$134,MATCH('All Options'!$E$17,'Valid Data-GPG'!$B$130:$F$130,0),0)*'All Options'!$E$17)*DP-AB82*(A82-DP),$AB$17)-SUM($AF$26:AF82)*AG82)*(A82&gt;DP)*AG82,0)*$BF$21</f>
        <v>0</v>
      </c>
      <c r="BG82" s="175">
        <f t="shared" si="23"/>
        <v>0</v>
      </c>
      <c r="BH82" s="182">
        <f t="shared" si="41"/>
        <v>5000000</v>
      </c>
      <c r="BI82" s="175">
        <f t="shared" si="24"/>
        <v>0</v>
      </c>
      <c r="BJ82" s="175">
        <f t="shared" si="25"/>
        <v>0</v>
      </c>
      <c r="BK82" s="175">
        <f t="shared" si="26"/>
        <v>0</v>
      </c>
      <c r="BL82" s="175">
        <f t="shared" si="27"/>
        <v>0</v>
      </c>
      <c r="BM82" s="175">
        <f t="shared" si="28"/>
        <v>0</v>
      </c>
      <c r="BN82" s="175">
        <f t="shared" si="29"/>
        <v>0</v>
      </c>
      <c r="BO82" s="182">
        <f t="shared" si="42"/>
        <v>0</v>
      </c>
      <c r="BP82" s="182">
        <f t="shared" si="43"/>
        <v>0</v>
      </c>
      <c r="BQ82" s="182">
        <f>MAX($AB$17-SUM($AF$26:AF82),0)*$BQ$21</f>
        <v>0</v>
      </c>
      <c r="BS82" s="175">
        <f t="shared" si="44"/>
        <v>0</v>
      </c>
      <c r="BT82" s="175">
        <f>IFERROR(IF(A82&lt;=1,0,VLOOKUP(DP,'Valid Data-GPG'!$A$116:$J$122,MATCH(Output!A82,'Valid Data-GPG'!$A$116:$J$116,0),FALSE)*SUM($B$26:C82))*(A82&lt;=DP),0)*$BT$21</f>
        <v>0</v>
      </c>
      <c r="BU82" s="175">
        <f>IFERROR(IF(A82&lt;=1,0,VLOOKUP(DP,'Valid Data-GPG'!$A$116:$J$122,MATCH(Output!A82,'Valid Data-GPG'!$A$116:$J$116,0),FALSE)*SUM($B$26:C82))*(A82&lt;=DP),0)*$BU$21</f>
        <v>0</v>
      </c>
      <c r="BV82" s="175">
        <f t="shared" si="45"/>
        <v>0</v>
      </c>
      <c r="BW82" s="175">
        <f t="shared" si="51"/>
        <v>0</v>
      </c>
      <c r="BX82" s="175">
        <f t="shared" si="52"/>
        <v>0</v>
      </c>
      <c r="BY82" s="175">
        <f t="shared" si="53"/>
        <v>0</v>
      </c>
      <c r="BZ82" s="175">
        <f t="shared" si="54"/>
        <v>0</v>
      </c>
      <c r="CA82" s="175">
        <f>(INDEX('SV calc_ignore'!$J$10:$J$1341,12*Output!A82-0))*BS82</f>
        <v>0</v>
      </c>
      <c r="CB82" s="175">
        <f t="shared" si="30"/>
        <v>0</v>
      </c>
      <c r="CC82" s="175">
        <f>(INDEX('SV calc_ignore'!$J$10:$J$1341,12*Output!A82-0))*BS82</f>
        <v>0</v>
      </c>
      <c r="CD82" s="175">
        <f t="shared" si="31"/>
        <v>0</v>
      </c>
      <c r="CE82" s="66">
        <f>(INDEX('SV calc_ignore'!$J$10:$J$1341,12*Output!A82-0))*($CE$21)</f>
        <v>0</v>
      </c>
      <c r="CF82" s="175">
        <f t="shared" si="32"/>
        <v>0</v>
      </c>
      <c r="CG82" s="175">
        <f>(INDEX('SV calc_ignore'!$J$10:$J$1341,12*Output!A82-0))*($CG$21)*(A82&gt;1)</f>
        <v>0</v>
      </c>
      <c r="CH82" s="175">
        <f>(INDEX('SV calc_ignore'!$J$10:$J$1341,12*Output!A82-0))*($CH$21)*(A82&gt;1)</f>
        <v>0</v>
      </c>
      <c r="CI82" s="175"/>
      <c r="CJ82" s="66">
        <f>(INDEX('SV calc_ignore'!$J$10:$J$1341,12*Output!A82-0))*($CJ$21)*(A82&gt;1)</f>
        <v>0</v>
      </c>
      <c r="CK82" s="66">
        <f>(INDEX('SV calc_ignore'!$Q$10:$Q$1341,12*Output!A82-0))*(AND(A82&gt;1,R82&lt;20))*($CK$21)</f>
        <v>0</v>
      </c>
      <c r="CL82" s="66">
        <f t="shared" si="33"/>
        <v>0</v>
      </c>
      <c r="CM82" s="175">
        <f>((INDEX('SV calc_ignore'!$J$10:$J$1341,12*Output!A82-0))+(INDEX('SV calc_ignore'!$O$10:$O$1341,12*Output!A82-0))*(A82&lt;'SV calc_ignore'!$Q$5))*(A82&gt;1)*($CM$21)</f>
        <v>0</v>
      </c>
      <c r="CN82" s="175">
        <v>0</v>
      </c>
      <c r="CO82" s="175">
        <f>(INDEX('SV calc_ignore'!$J$10:$J$1341,12*Output!A82-0))*(A82&gt;1)*($CO$21)</f>
        <v>0</v>
      </c>
      <c r="CP82" s="175">
        <v>0</v>
      </c>
      <c r="CQ82" s="175">
        <v>0</v>
      </c>
      <c r="CR82" s="175">
        <v>0</v>
      </c>
      <c r="CS82" s="175">
        <v>0</v>
      </c>
      <c r="CT82" s="175">
        <v>0</v>
      </c>
      <c r="CU82" s="175">
        <v>0</v>
      </c>
      <c r="CV82" s="175">
        <f>(INDEX('SV calc_ignore'!$J$10:$J$1341,12*Output!A82-0))*(A82&gt;1)*($CV$21)</f>
        <v>0</v>
      </c>
      <c r="CW82" s="66">
        <f>((INDEX('SV calc_ignore'!$J$10:$J$1341,12*Output!A82-0))+(INDEX('SV calc_ignore'!$O$10:$O$1351,12*Output!A82-0))*(A82&lt;'SV calc_ignore'!$Q$5))*(A82&gt;1)*($CW$21)</f>
        <v>0</v>
      </c>
      <c r="CX82" s="175">
        <f>(INDEX('SV calc_ignore'!$J$10:$J$1341,12*Output!A82-0))*(A82&gt;1)*($CX$21)</f>
        <v>0</v>
      </c>
      <c r="CY82" s="175">
        <f>(INDEX('SV calc_ignore'!$Q$10:$Q$1341,12*Output!A82-0))*(AND(A82&gt;1,R82&lt;20))*($CY$21)</f>
        <v>0</v>
      </c>
      <c r="CZ82" s="175">
        <f t="shared" si="34"/>
        <v>0</v>
      </c>
      <c r="DE82" s="43">
        <f>IF($DE$23,0,VLOOKUP(IF(A82&lt;=DP,DJ82,DI82),SSV!$B$6:$C$116,2,FALSE)*VLOOKUP(AnnuityOption,'All Options'!$AB$36:$AC$47,2,FALSE)*VLOOKUP('All Options'!$E$22,'Valid Data-GPG'!$B$130:$F$134,MATCH('All Options'!$E$17,'Valid Data-GPG'!$B$130:$F$130,0),0)*'All Options'!$E$17)*(IF(AND(Select="Deferred Annuity",AnnuityOption="Life Annuity"),A82&lt;=DP,1))</f>
        <v>3274327.0531593515</v>
      </c>
      <c r="DF82" s="43">
        <f>IF($DF$23,0,IF($DQ$25,DQ82,IF($DR$25,DR82,VLOOKUP(IF(A82&lt;=DP,DJ82,DI82),SSV!$G$6:$H$116,2,FALSE)*SUM($B$27:B82))))</f>
        <v>1006161.5</v>
      </c>
      <c r="DG82" s="43" t="e">
        <f>IF(A82&lt;=DP,VLOOKUP(DP-A81,SSV!$T$6:$U$15,2,FALSE),1)</f>
        <v>#N/A</v>
      </c>
      <c r="DH82" s="282" t="e">
        <f t="shared" si="46"/>
        <v>#VALUE!</v>
      </c>
      <c r="DI82" s="43">
        <f>IF($DM$26,MIN(Age,'All Options'!$E$21)+A81,IF($DN$26,(Age+A81)-Age+60,IF($DO$26,(Age+A81)-Age+55,Age+A81)))</f>
        <v>60</v>
      </c>
      <c r="DJ82" s="279">
        <f>IF($DM$26,MIN(Age+A82,'All Options'!$E$21+A82),IF($DN$26,(Age+A82)-(Age+$A$27)+60,IF($DO$26,(Age+A82)-(Age+$A$27)+55,Age+A82)))</f>
        <v>60</v>
      </c>
      <c r="DP82" s="43">
        <f t="shared" si="35"/>
        <v>0</v>
      </c>
      <c r="DQ82" s="43">
        <f>IFERROR(VLOOKUP(IF(A82&lt;=DP,DJ82,DI82),SSV!$K$6:$L$91,2,FALSE)*SUM($B$27:B82),0)*($DQ$25)</f>
        <v>0</v>
      </c>
      <c r="DR82" s="43">
        <f>IFERROR(VLOOKUP(IF(A82&lt;=DP,DJ82,DI82),SSV!$O$6:$P$95,2,FALSE)*SUM($B$27:B82),0)*($DR$25)</f>
        <v>0</v>
      </c>
      <c r="DU82" s="175">
        <f t="shared" si="47"/>
        <v>0</v>
      </c>
    </row>
    <row r="83" spans="1:127" ht="12.75" customHeight="1" x14ac:dyDescent="0.2">
      <c r="A83" s="146">
        <f t="shared" si="48"/>
        <v>0</v>
      </c>
      <c r="B83" s="670">
        <f>IF(PremiumType="Regular Premium",'All Options'!$E$18*'All Options'!$E$22*(AND(Output!A83&lt;=PPT,A83&gt;=1)),'All Options'!$E$18*(A83=1))</f>
        <v>0</v>
      </c>
      <c r="C83" s="671"/>
      <c r="D83" s="103" t="e">
        <f>((VLOOKUP(CONCATENATE($D$14,$D$15),'All Options'!$AB$36:$AC$47,4,0)*VLOOKUP('All Options'!$E$22,'Valid Data-GPG'!$B$130:$F$134,MATCH('All Options'!$E$17,'Valid Data-GPG'!$B$130:$F$130,0),0)*'All Options'!$E$17)*IF(Select="Deferred Annuity",A83&gt;DP,1)+AE83+AF83*AG83*$AG$21)*(A83&gt;0)</f>
        <v>#N/A</v>
      </c>
      <c r="E83" s="103">
        <v>0</v>
      </c>
      <c r="F83" s="103" t="e">
        <f t="shared" si="18"/>
        <v>#N/A</v>
      </c>
      <c r="G83" s="103">
        <f t="shared" si="37"/>
        <v>0</v>
      </c>
      <c r="H83" s="285">
        <f t="shared" si="19"/>
        <v>0</v>
      </c>
      <c r="I83" s="103">
        <f t="shared" si="20"/>
        <v>0</v>
      </c>
      <c r="J83" s="101"/>
      <c r="K83" s="175" t="str">
        <f t="shared" si="49"/>
        <v/>
      </c>
      <c r="L83" s="175"/>
      <c r="M83" s="175"/>
      <c r="N83" s="175"/>
      <c r="O83" s="175"/>
      <c r="P83" s="175"/>
      <c r="Q83" s="175"/>
      <c r="R83" s="175">
        <f t="shared" si="50"/>
        <v>0</v>
      </c>
      <c r="AB83" s="175" t="e">
        <f>(VLOOKUP(CONCATENATE($D$14,$D$15),'All Options'!$AB$36:$AC$47,4,0)*VLOOKUP('All Options'!$E$22,'Valid Data-GPG'!$B$130:$F$134,MATCH('All Options'!$E$17,'Valid Data-GPG'!$B$130:$F$130,0),0)*'All Options'!$E$17)*IF(Select="Deferred Annuity",A83&gt;DP,1)*(A83&gt;0)</f>
        <v>#N/A</v>
      </c>
      <c r="AC83" s="175">
        <f t="shared" si="38"/>
        <v>0</v>
      </c>
      <c r="AD83" s="175">
        <f>SUM($AC$26:AC83)</f>
        <v>0</v>
      </c>
      <c r="AE83" s="175">
        <f t="shared" si="39"/>
        <v>0</v>
      </c>
      <c r="AF83" s="175">
        <f t="shared" si="40"/>
        <v>0</v>
      </c>
      <c r="AG83" s="175" t="b">
        <f>(SUM($AF$26:AF83)&lt;=$AB$17)</f>
        <v>0</v>
      </c>
      <c r="AY83" s="175"/>
      <c r="AZ83" s="66">
        <f>((MAX((SUM($B$26:C83)+(VLOOKUP($AZ$25,'All Options'!$AB$36:$AC$46,2,0)*VLOOKUP('All Options'!$E$22,'Valid Data-GPG'!$B$130:$F$134,MATCH('All Options'!$E$17,'Valid Data-GPG'!$B$130:$F$130,0),0)*'All Options'!$E$17)*(IF(A83&lt;=DP,A83,0))),105%*SUM($B$26:C83)))*(AND(A83&lt;&gt;0,Output!A83&lt;=DP))+(0)*(A83&gt;DP))*$AZ$21</f>
        <v>0</v>
      </c>
      <c r="BA83" s="175" t="e">
        <f>((MAX((SUM($B$26:C83)+(VLOOKUP($BA$25,'All Options'!$AB$36:$AC$46,2,0)*VLOOKUP('All Options'!$E$22,'Valid Data-GPG'!$B$130:$F$134,MATCH('All Options'!$E$17,'Valid Data-GPG'!$B$130:$F$130,0),0)*'All Options'!$E$17)*(IF(A83&lt;=DP,A83,0))),105%*SUM($B$26:C83)))*(Output!A83&lt;=DP)
+MAX((SUM($B$26:C83)+(VLOOKUP($BA$25,'All Options'!$AB$36:$AC$46,2,0)*VLOOKUP('All Options'!$E$22,'Valid Data-GPG'!$B$130:$F$134,MATCH('All Options'!$E$17,'Valid Data-GPG'!$B$130:$F$130,0),0)*'All Options'!$E$17)*DP-D83*(A83-DP)),SUM($B$26:C83))*(A83&gt;DP))*$BA$21</f>
        <v>#N/A</v>
      </c>
      <c r="BB83" s="175">
        <f>((MAX(($AB$17+(VLOOKUP($BB$25,'All Options'!$AB$36:$AC$46,2,0)*VLOOKUP('All Options'!$E$22,'Valid Data-GPG'!$B$130:$F$134,MATCH('All Options'!$E$17,'Valid Data-GPG'!$B$130:$F$130,0),0)*'All Options'!$E$17)*(IF(A83&lt;=DP,A83,0))),105%*$AB$17))*(Output!A83&lt;=DP)+(0)*(A83&gt;DP))*$BB$21</f>
        <v>0</v>
      </c>
      <c r="BC83" s="175" t="e">
        <f>((MAX(($AB$17+(VLOOKUP($BC$25,'All Options'!$AB$36:$AC$46,2,0)*VLOOKUP('All Options'!$E$22,'Valid Data-GPG'!$B$130:$F$134,MATCH('All Options'!$E$17,'Valid Data-GPG'!$B$130:$F$130,0),0)*'All Options'!$E$17)*(IF(A83&lt;=DP,A83,0))),105%*$AB$17))*(Output!A83&lt;=DP)+
MAX(($AB$17+(VLOOKUP($BC$25,'All Options'!$AB$36:$AC$46,2,0)*VLOOKUP('All Options'!$E$22,'Valid Data-GPG'!$B$130:$F$134,MATCH('All Options'!$E$17,'Valid Data-GPG'!$B$130:$F$130,0),0)*'All Options'!$E$17)*DP-D83*(A83-DP)),$AB$17)*(A83&gt;DP))*$BC$21</f>
        <v>#N/A</v>
      </c>
      <c r="BD83" s="175">
        <f ca="1">IFERROR((MAX(($AB$17+(VLOOKUP($BD$25,'All Options'!$AB$36:$AC$46,2,0)*VLOOKUP('All Options'!$E$22,'Valid Data-GPG'!$B$130:$F$134,MATCH('All Options'!$E$17,'Valid Data-GPG'!$B$130:$F$130,0),0)*'All Options'!$E$17)*(IF(A83&lt;=DP,A83,0))),105%*$AB$17))*(Output!A83&lt;=DP)
+MAX(($AB$17+(VLOOKUP($BD$25,'All Options'!$AB$36:$AC$46,2,0)*VLOOKUP('All Options'!$E$22,'Valid Data-GPG'!$B$130:$F$134,MATCH('All Options'!$E$17,'Valid Data-GPG'!$B$130:$F$130,0),0)*'All Options'!$E$17)*DP-D83*(A83-DP)),$AB$17)*(A83&gt;DP),0)*$BD$21</f>
        <v>0</v>
      </c>
      <c r="BE83" s="66">
        <f>IFERROR((MAX(($AB$17+(VLOOKUP($BE$25,'All Options'!$AB$36:$AC$46,2,0)*VLOOKUP('All Options'!$E$22,'Valid Data-GPG'!$B$130:$F$134,MATCH('All Options'!$E$17,'Valid Data-GPG'!$B$130:$F$130,0),0)*'All Options'!$E$17)*(IF(A83&lt;=DP,A83,0))),105%*$AB$17))*(Output!A83&lt;=DP)
+(MAX($AB$17+(VLOOKUP($BE$25,'All Options'!$AB$36:$AC$46,2,0)*VLOOKUP('All Options'!$E$22,'Valid Data-GPG'!$B$130:$F$134,MATCH('All Options'!$E$17,'Valid Data-GPG'!$B$130:$F$130,0),0)*'All Options'!$E$17)*DP-AB83*(A83-DP),$AB$17)*(MAX(A83&lt;=25,K83&lt;85)))*(A83&gt;DP),0)*$BE$21</f>
        <v>0</v>
      </c>
      <c r="BF83" s="175">
        <f>IFERROR((MAX(($AB$17+(VLOOKUP($BF$25,'All Options'!$AB$36:$AC$46,2,0)*VLOOKUP('All Options'!$E$22,'Valid Data-GPG'!$B$130:$F$134,MATCH('All Options'!$E$17,'Valid Data-GPG'!$B$130:$F$130,0),0)*'All Options'!$E$17)*(IF(A83&lt;=DP,A83,0))),105%*$AB$17))*(Output!A83&lt;=DP)
+(MAX($AB$17+(VLOOKUP($BF$25,'All Options'!$AB$36:$AC$46,2,0)*VLOOKUP('All Options'!$E$22,'Valid Data-GPG'!$B$130:$F$134,MATCH('All Options'!$E$17,'Valid Data-GPG'!$B$130:$F$130,0),0)*'All Options'!$E$17)*DP-AB83*(A83-DP),$AB$17)-SUM($AF$26:AF83)*AG83)*(A83&gt;DP)*AG83,0)*$BF$21</f>
        <v>0</v>
      </c>
      <c r="BG83" s="175">
        <f t="shared" si="23"/>
        <v>0</v>
      </c>
      <c r="BH83" s="182">
        <f t="shared" si="41"/>
        <v>5000000</v>
      </c>
      <c r="BI83" s="175">
        <f t="shared" si="24"/>
        <v>0</v>
      </c>
      <c r="BJ83" s="175">
        <f t="shared" si="25"/>
        <v>0</v>
      </c>
      <c r="BK83" s="175">
        <f t="shared" si="26"/>
        <v>0</v>
      </c>
      <c r="BL83" s="175">
        <f t="shared" si="27"/>
        <v>0</v>
      </c>
      <c r="BM83" s="175">
        <f t="shared" si="28"/>
        <v>0</v>
      </c>
      <c r="BN83" s="175">
        <f t="shared" si="29"/>
        <v>0</v>
      </c>
      <c r="BO83" s="182">
        <f t="shared" si="42"/>
        <v>0</v>
      </c>
      <c r="BP83" s="182">
        <f t="shared" si="43"/>
        <v>0</v>
      </c>
      <c r="BQ83" s="182">
        <f>MAX($AB$17-SUM($AF$26:AF83),0)*$BQ$21</f>
        <v>0</v>
      </c>
      <c r="BS83" s="175">
        <f t="shared" si="44"/>
        <v>0</v>
      </c>
      <c r="BT83" s="175">
        <f>IFERROR(IF(A83&lt;=1,0,VLOOKUP(DP,'Valid Data-GPG'!$A$116:$J$122,MATCH(Output!A83,'Valid Data-GPG'!$A$116:$J$116,0),FALSE)*SUM($B$26:C83))*(A83&lt;=DP),0)*$BT$21</f>
        <v>0</v>
      </c>
      <c r="BU83" s="175">
        <f>IFERROR(IF(A83&lt;=1,0,VLOOKUP(DP,'Valid Data-GPG'!$A$116:$J$122,MATCH(Output!A83,'Valid Data-GPG'!$A$116:$J$116,0),FALSE)*SUM($B$26:C83))*(A83&lt;=DP),0)*$BU$21</f>
        <v>0</v>
      </c>
      <c r="BV83" s="175">
        <f t="shared" si="45"/>
        <v>0</v>
      </c>
      <c r="BW83" s="175">
        <f t="shared" si="51"/>
        <v>0</v>
      </c>
      <c r="BX83" s="175">
        <f t="shared" si="52"/>
        <v>0</v>
      </c>
      <c r="BY83" s="175">
        <f t="shared" si="53"/>
        <v>0</v>
      </c>
      <c r="BZ83" s="175">
        <f t="shared" si="54"/>
        <v>0</v>
      </c>
      <c r="CA83" s="175">
        <f>(INDEX('SV calc_ignore'!$J$10:$J$1341,12*Output!A83-0))*BS83</f>
        <v>0</v>
      </c>
      <c r="CB83" s="175">
        <f t="shared" si="30"/>
        <v>0</v>
      </c>
      <c r="CC83" s="175">
        <f>(INDEX('SV calc_ignore'!$J$10:$J$1341,12*Output!A83-0))*BS83</f>
        <v>0</v>
      </c>
      <c r="CD83" s="175">
        <f t="shared" si="31"/>
        <v>0</v>
      </c>
      <c r="CE83" s="66">
        <f>(INDEX('SV calc_ignore'!$J$10:$J$1341,12*Output!A83-0))*($CE$21)</f>
        <v>0</v>
      </c>
      <c r="CF83" s="175">
        <f t="shared" si="32"/>
        <v>0</v>
      </c>
      <c r="CG83" s="175">
        <f>(INDEX('SV calc_ignore'!$J$10:$J$1341,12*Output!A83-0))*($CG$21)*(A83&gt;1)</f>
        <v>0</v>
      </c>
      <c r="CH83" s="175">
        <f>(INDEX('SV calc_ignore'!$J$10:$J$1341,12*Output!A83-0))*($CH$21)*(A83&gt;1)</f>
        <v>0</v>
      </c>
      <c r="CI83" s="175"/>
      <c r="CJ83" s="66">
        <f>(INDEX('SV calc_ignore'!$J$10:$J$1341,12*Output!A83-0))*($CJ$21)*(A83&gt;1)</f>
        <v>0</v>
      </c>
      <c r="CK83" s="66">
        <f>(INDEX('SV calc_ignore'!$Q$10:$Q$1341,12*Output!A83-0))*(AND(A83&gt;1,R83&lt;20))*($CK$21)</f>
        <v>0</v>
      </c>
      <c r="CL83" s="66">
        <f t="shared" si="33"/>
        <v>0</v>
      </c>
      <c r="CM83" s="175">
        <f>((INDEX('SV calc_ignore'!$J$10:$J$1341,12*Output!A83-0))+(INDEX('SV calc_ignore'!$O$10:$O$1341,12*Output!A83-0))*(A83&lt;'SV calc_ignore'!$Q$5))*(A83&gt;1)*($CM$21)</f>
        <v>0</v>
      </c>
      <c r="CN83" s="175">
        <v>0</v>
      </c>
      <c r="CO83" s="175">
        <f>(INDEX('SV calc_ignore'!$J$10:$J$1341,12*Output!A83-0))*(A83&gt;1)*($CO$21)</f>
        <v>0</v>
      </c>
      <c r="CP83" s="175">
        <v>0</v>
      </c>
      <c r="CQ83" s="175">
        <v>0</v>
      </c>
      <c r="CR83" s="175">
        <v>0</v>
      </c>
      <c r="CS83" s="175">
        <v>0</v>
      </c>
      <c r="CT83" s="175">
        <v>0</v>
      </c>
      <c r="CU83" s="175">
        <v>0</v>
      </c>
      <c r="CV83" s="175">
        <f>(INDEX('SV calc_ignore'!$J$10:$J$1341,12*Output!A83-0))*(A83&gt;1)*($CV$21)</f>
        <v>0</v>
      </c>
      <c r="CW83" s="66">
        <f>((INDEX('SV calc_ignore'!$J$10:$J$1341,12*Output!A83-0))+(INDEX('SV calc_ignore'!$O$10:$O$1351,12*Output!A83-0))*(A83&lt;'SV calc_ignore'!$Q$5))*(A83&gt;1)*($CW$21)</f>
        <v>0</v>
      </c>
      <c r="CX83" s="175">
        <f>(INDEX('SV calc_ignore'!$J$10:$J$1341,12*Output!A83-0))*(A83&gt;1)*($CX$21)</f>
        <v>0</v>
      </c>
      <c r="CY83" s="175">
        <f>(INDEX('SV calc_ignore'!$Q$10:$Q$1341,12*Output!A83-0))*(AND(A83&gt;1,R83&lt;20))*($CY$21)</f>
        <v>0</v>
      </c>
      <c r="CZ83" s="175">
        <f t="shared" si="34"/>
        <v>0</v>
      </c>
      <c r="DE83" s="43">
        <f>IF($DE$23,0,VLOOKUP(IF(A83&lt;=DP,DJ83,DI83),SSV!$B$6:$C$116,2,FALSE)*VLOOKUP(AnnuityOption,'All Options'!$AB$36:$AC$47,2,FALSE)*VLOOKUP('All Options'!$E$22,'Valid Data-GPG'!$B$130:$F$134,MATCH('All Options'!$E$17,'Valid Data-GPG'!$B$130:$F$130,0),0)*'All Options'!$E$17)*(IF(AND(Select="Deferred Annuity",AnnuityOption="Life Annuity"),A83&lt;=DP,1))</f>
        <v>3274327.0531593515</v>
      </c>
      <c r="DF83" s="43">
        <f>IF($DF$23,0,IF($DQ$25,DQ83,IF($DR$25,DR83,VLOOKUP(IF(A83&lt;=DP,DJ83,DI83),SSV!$G$6:$H$116,2,FALSE)*SUM($B$27:B83))))</f>
        <v>1006161.5</v>
      </c>
      <c r="DG83" s="43" t="e">
        <f>IF(A83&lt;=DP,VLOOKUP(DP-A82,SSV!$T$6:$U$15,2,FALSE),1)</f>
        <v>#N/A</v>
      </c>
      <c r="DH83" s="282" t="e">
        <f t="shared" si="46"/>
        <v>#VALUE!</v>
      </c>
      <c r="DI83" s="43">
        <f>IF($DM$26,MIN(Age,'All Options'!$E$21)+A82,IF($DN$26,(Age+A82)-Age+60,IF($DO$26,(Age+A82)-Age+55,Age+A82)))</f>
        <v>60</v>
      </c>
      <c r="DJ83" s="279">
        <f>IF($DM$26,MIN(Age+A83,'All Options'!$E$21+A83),IF($DN$26,(Age+A83)-(Age+$A$27)+60,IF($DO$26,(Age+A83)-(Age+$A$27)+55,Age+A83)))</f>
        <v>60</v>
      </c>
      <c r="DP83" s="43">
        <f t="shared" si="35"/>
        <v>0</v>
      </c>
      <c r="DQ83" s="43">
        <f>IFERROR(VLOOKUP(IF(A83&lt;=DP,DJ83,DI83),SSV!$K$6:$L$91,2,FALSE)*SUM($B$27:B83),0)*($DQ$25)</f>
        <v>0</v>
      </c>
      <c r="DR83" s="43">
        <f>IFERROR(VLOOKUP(IF(A83&lt;=DP,DJ83,DI83),SSV!$O$6:$P$95,2,FALSE)*SUM($B$27:B83),0)*($DR$25)</f>
        <v>0</v>
      </c>
      <c r="DU83" s="175">
        <f t="shared" si="47"/>
        <v>0</v>
      </c>
    </row>
    <row r="84" spans="1:127" ht="12.75" customHeight="1" x14ac:dyDescent="0.2">
      <c r="A84" s="146">
        <f t="shared" si="48"/>
        <v>0</v>
      </c>
      <c r="B84" s="670">
        <f>IF(PremiumType="Regular Premium",'All Options'!$E$18*'All Options'!$E$22*(AND(Output!A84&lt;=PPT,A84&gt;=1)),'All Options'!$E$18*(A84=1))</f>
        <v>0</v>
      </c>
      <c r="C84" s="671"/>
      <c r="D84" s="103" t="e">
        <f>((VLOOKUP(CONCATENATE($D$14,$D$15),'All Options'!$AB$36:$AC$47,4,0)*VLOOKUP('All Options'!$E$22,'Valid Data-GPG'!$B$130:$F$134,MATCH('All Options'!$E$17,'Valid Data-GPG'!$B$130:$F$130,0),0)*'All Options'!$E$17)*IF(Select="Deferred Annuity",A84&gt;DP,1)+AE84+AF84*AG84*$AG$21)*(A84&gt;0)</f>
        <v>#N/A</v>
      </c>
      <c r="E84" s="103">
        <v>0</v>
      </c>
      <c r="F84" s="103" t="e">
        <f t="shared" si="18"/>
        <v>#N/A</v>
      </c>
      <c r="G84" s="103">
        <f t="shared" si="37"/>
        <v>0</v>
      </c>
      <c r="H84" s="285">
        <f t="shared" si="19"/>
        <v>0</v>
      </c>
      <c r="I84" s="103">
        <f t="shared" si="20"/>
        <v>0</v>
      </c>
      <c r="J84" s="101"/>
      <c r="K84" s="175" t="str">
        <f t="shared" si="49"/>
        <v/>
      </c>
      <c r="L84" s="175"/>
      <c r="M84" s="175"/>
      <c r="N84" s="175"/>
      <c r="O84" s="175"/>
      <c r="P84" s="175"/>
      <c r="Q84" s="175"/>
      <c r="R84" s="175">
        <f t="shared" si="50"/>
        <v>0</v>
      </c>
      <c r="AB84" s="175" t="e">
        <f>(VLOOKUP(CONCATENATE($D$14,$D$15),'All Options'!$AB$36:$AC$47,4,0)*VLOOKUP('All Options'!$E$22,'Valid Data-GPG'!$B$130:$F$134,MATCH('All Options'!$E$17,'Valid Data-GPG'!$B$130:$F$130,0),0)*'All Options'!$E$17)*IF(Select="Deferred Annuity",A84&gt;DP,1)*(A84&gt;0)</f>
        <v>#N/A</v>
      </c>
      <c r="AC84" s="175">
        <f t="shared" si="38"/>
        <v>0</v>
      </c>
      <c r="AD84" s="175">
        <f>SUM($AC$26:AC84)</f>
        <v>0</v>
      </c>
      <c r="AE84" s="175">
        <f t="shared" si="39"/>
        <v>0</v>
      </c>
      <c r="AF84" s="175">
        <f t="shared" si="40"/>
        <v>0</v>
      </c>
      <c r="AG84" s="175" t="b">
        <f>(SUM($AF$26:AF84)&lt;=$AB$17)</f>
        <v>0</v>
      </c>
      <c r="AY84" s="175"/>
      <c r="AZ84" s="66">
        <f>((MAX((SUM($B$26:C84)+(VLOOKUP($AZ$25,'All Options'!$AB$36:$AC$46,2,0)*VLOOKUP('All Options'!$E$22,'Valid Data-GPG'!$B$130:$F$134,MATCH('All Options'!$E$17,'Valid Data-GPG'!$B$130:$F$130,0),0)*'All Options'!$E$17)*(IF(A84&lt;=DP,A84,0))),105%*SUM($B$26:C84)))*(AND(A84&lt;&gt;0,Output!A84&lt;=DP))+(0)*(A84&gt;DP))*$AZ$21</f>
        <v>0</v>
      </c>
      <c r="BA84" s="175" t="e">
        <f>((MAX((SUM($B$26:C84)+(VLOOKUP($BA$25,'All Options'!$AB$36:$AC$46,2,0)*VLOOKUP('All Options'!$E$22,'Valid Data-GPG'!$B$130:$F$134,MATCH('All Options'!$E$17,'Valid Data-GPG'!$B$130:$F$130,0),0)*'All Options'!$E$17)*(IF(A84&lt;=DP,A84,0))),105%*SUM($B$26:C84)))*(Output!A84&lt;=DP)
+MAX((SUM($B$26:C84)+(VLOOKUP($BA$25,'All Options'!$AB$36:$AC$46,2,0)*VLOOKUP('All Options'!$E$22,'Valid Data-GPG'!$B$130:$F$134,MATCH('All Options'!$E$17,'Valid Data-GPG'!$B$130:$F$130,0),0)*'All Options'!$E$17)*DP-D84*(A84-DP)),SUM($B$26:C84))*(A84&gt;DP))*$BA$21</f>
        <v>#N/A</v>
      </c>
      <c r="BB84" s="175">
        <f>((MAX(($AB$17+(VLOOKUP($BB$25,'All Options'!$AB$36:$AC$46,2,0)*VLOOKUP('All Options'!$E$22,'Valid Data-GPG'!$B$130:$F$134,MATCH('All Options'!$E$17,'Valid Data-GPG'!$B$130:$F$130,0),0)*'All Options'!$E$17)*(IF(A84&lt;=DP,A84,0))),105%*$AB$17))*(Output!A84&lt;=DP)+(0)*(A84&gt;DP))*$BB$21</f>
        <v>0</v>
      </c>
      <c r="BC84" s="175" t="e">
        <f>((MAX(($AB$17+(VLOOKUP($BC$25,'All Options'!$AB$36:$AC$46,2,0)*VLOOKUP('All Options'!$E$22,'Valid Data-GPG'!$B$130:$F$134,MATCH('All Options'!$E$17,'Valid Data-GPG'!$B$130:$F$130,0),0)*'All Options'!$E$17)*(IF(A84&lt;=DP,A84,0))),105%*$AB$17))*(Output!A84&lt;=DP)+
MAX(($AB$17+(VLOOKUP($BC$25,'All Options'!$AB$36:$AC$46,2,0)*VLOOKUP('All Options'!$E$22,'Valid Data-GPG'!$B$130:$F$134,MATCH('All Options'!$E$17,'Valid Data-GPG'!$B$130:$F$130,0),0)*'All Options'!$E$17)*DP-D84*(A84-DP)),$AB$17)*(A84&gt;DP))*$BC$21</f>
        <v>#N/A</v>
      </c>
      <c r="BD84" s="175">
        <f ca="1">IFERROR((MAX(($AB$17+(VLOOKUP($BD$25,'All Options'!$AB$36:$AC$46,2,0)*VLOOKUP('All Options'!$E$22,'Valid Data-GPG'!$B$130:$F$134,MATCH('All Options'!$E$17,'Valid Data-GPG'!$B$130:$F$130,0),0)*'All Options'!$E$17)*(IF(A84&lt;=DP,A84,0))),105%*$AB$17))*(Output!A84&lt;=DP)
+MAX(($AB$17+(VLOOKUP($BD$25,'All Options'!$AB$36:$AC$46,2,0)*VLOOKUP('All Options'!$E$22,'Valid Data-GPG'!$B$130:$F$134,MATCH('All Options'!$E$17,'Valid Data-GPG'!$B$130:$F$130,0),0)*'All Options'!$E$17)*DP-D84*(A84-DP)),$AB$17)*(A84&gt;DP),0)*$BD$21</f>
        <v>0</v>
      </c>
      <c r="BE84" s="66">
        <f>IFERROR((MAX(($AB$17+(VLOOKUP($BE$25,'All Options'!$AB$36:$AC$46,2,0)*VLOOKUP('All Options'!$E$22,'Valid Data-GPG'!$B$130:$F$134,MATCH('All Options'!$E$17,'Valid Data-GPG'!$B$130:$F$130,0),0)*'All Options'!$E$17)*(IF(A84&lt;=DP,A84,0))),105%*$AB$17))*(Output!A84&lt;=DP)
+(MAX($AB$17+(VLOOKUP($BE$25,'All Options'!$AB$36:$AC$46,2,0)*VLOOKUP('All Options'!$E$22,'Valid Data-GPG'!$B$130:$F$134,MATCH('All Options'!$E$17,'Valid Data-GPG'!$B$130:$F$130,0),0)*'All Options'!$E$17)*DP-AB84*(A84-DP),$AB$17)*(MAX(A84&lt;=25,K84&lt;85)))*(A84&gt;DP),0)*$BE$21</f>
        <v>0</v>
      </c>
      <c r="BF84" s="175">
        <f>IFERROR((MAX(($AB$17+(VLOOKUP($BF$25,'All Options'!$AB$36:$AC$46,2,0)*VLOOKUP('All Options'!$E$22,'Valid Data-GPG'!$B$130:$F$134,MATCH('All Options'!$E$17,'Valid Data-GPG'!$B$130:$F$130,0),0)*'All Options'!$E$17)*(IF(A84&lt;=DP,A84,0))),105%*$AB$17))*(Output!A84&lt;=DP)
+(MAX($AB$17+(VLOOKUP($BF$25,'All Options'!$AB$36:$AC$46,2,0)*VLOOKUP('All Options'!$E$22,'Valid Data-GPG'!$B$130:$F$134,MATCH('All Options'!$E$17,'Valid Data-GPG'!$B$130:$F$130,0),0)*'All Options'!$E$17)*DP-AB84*(A84-DP),$AB$17)-SUM($AF$26:AF84)*AG84)*(A84&gt;DP)*AG84,0)*$BF$21</f>
        <v>0</v>
      </c>
      <c r="BG84" s="175">
        <f t="shared" si="23"/>
        <v>0</v>
      </c>
      <c r="BH84" s="182">
        <f t="shared" si="41"/>
        <v>5000000</v>
      </c>
      <c r="BI84" s="175">
        <f t="shared" si="24"/>
        <v>0</v>
      </c>
      <c r="BJ84" s="175">
        <f t="shared" si="25"/>
        <v>0</v>
      </c>
      <c r="BK84" s="175">
        <f t="shared" si="26"/>
        <v>0</v>
      </c>
      <c r="BL84" s="175">
        <f t="shared" si="27"/>
        <v>0</v>
      </c>
      <c r="BM84" s="175">
        <f t="shared" si="28"/>
        <v>0</v>
      </c>
      <c r="BN84" s="175">
        <f t="shared" si="29"/>
        <v>0</v>
      </c>
      <c r="BO84" s="182">
        <f t="shared" si="42"/>
        <v>0</v>
      </c>
      <c r="BP84" s="182">
        <f t="shared" si="43"/>
        <v>0</v>
      </c>
      <c r="BQ84" s="182">
        <f>MAX($AB$17-SUM($AF$26:AF84),0)*$BQ$21</f>
        <v>0</v>
      </c>
      <c r="BS84" s="175">
        <f t="shared" si="44"/>
        <v>0</v>
      </c>
      <c r="BT84" s="175">
        <f>IFERROR(IF(A84&lt;=1,0,VLOOKUP(DP,'Valid Data-GPG'!$A$116:$J$122,MATCH(Output!A84,'Valid Data-GPG'!$A$116:$J$116,0),FALSE)*SUM($B$26:C84))*(A84&lt;=DP),0)*$BT$21</f>
        <v>0</v>
      </c>
      <c r="BU84" s="175">
        <f>IFERROR(IF(A84&lt;=1,0,VLOOKUP(DP,'Valid Data-GPG'!$A$116:$J$122,MATCH(Output!A84,'Valid Data-GPG'!$A$116:$J$116,0),FALSE)*SUM($B$26:C84))*(A84&lt;=DP),0)*$BU$21</f>
        <v>0</v>
      </c>
      <c r="BV84" s="175">
        <f t="shared" si="45"/>
        <v>0</v>
      </c>
      <c r="BW84" s="175">
        <f t="shared" si="51"/>
        <v>0</v>
      </c>
      <c r="BX84" s="175">
        <f t="shared" si="52"/>
        <v>0</v>
      </c>
      <c r="BY84" s="175">
        <f t="shared" si="53"/>
        <v>0</v>
      </c>
      <c r="BZ84" s="175">
        <f t="shared" si="54"/>
        <v>0</v>
      </c>
      <c r="CA84" s="175">
        <f>(INDEX('SV calc_ignore'!$J$10:$J$1341,12*Output!A84-0))*BS84</f>
        <v>0</v>
      </c>
      <c r="CB84" s="175">
        <f t="shared" si="30"/>
        <v>0</v>
      </c>
      <c r="CC84" s="175">
        <f>(INDEX('SV calc_ignore'!$J$10:$J$1341,12*Output!A84-0))*BS84</f>
        <v>0</v>
      </c>
      <c r="CD84" s="175">
        <f t="shared" si="31"/>
        <v>0</v>
      </c>
      <c r="CE84" s="66">
        <f>(INDEX('SV calc_ignore'!$J$10:$J$1341,12*Output!A84-0))*($CE$21)</f>
        <v>0</v>
      </c>
      <c r="CF84" s="175">
        <f t="shared" si="32"/>
        <v>0</v>
      </c>
      <c r="CG84" s="175">
        <f>(INDEX('SV calc_ignore'!$J$10:$J$1341,12*Output!A84-0))*($CG$21)*(A84&gt;1)</f>
        <v>0</v>
      </c>
      <c r="CH84" s="175">
        <f>(INDEX('SV calc_ignore'!$J$10:$J$1341,12*Output!A84-0))*($CH$21)*(A84&gt;1)</f>
        <v>0</v>
      </c>
      <c r="CI84" s="175"/>
      <c r="CJ84" s="66">
        <f>(INDEX('SV calc_ignore'!$J$10:$J$1341,12*Output!A84-0))*($CJ$21)*(A84&gt;1)</f>
        <v>0</v>
      </c>
      <c r="CK84" s="66">
        <f>(INDEX('SV calc_ignore'!$Q$10:$Q$1341,12*Output!A84-0))*(AND(A84&gt;1,R84&lt;20))*($CK$21)</f>
        <v>0</v>
      </c>
      <c r="CL84" s="66">
        <f t="shared" si="33"/>
        <v>0</v>
      </c>
      <c r="CM84" s="175">
        <f>((INDEX('SV calc_ignore'!$J$10:$J$1341,12*Output!A84-0))+(INDEX('SV calc_ignore'!$O$10:$O$1341,12*Output!A84-0))*(A84&lt;'SV calc_ignore'!$Q$5))*(A84&gt;1)*($CM$21)</f>
        <v>0</v>
      </c>
      <c r="CN84" s="175">
        <v>0</v>
      </c>
      <c r="CO84" s="175">
        <f>(INDEX('SV calc_ignore'!$J$10:$J$1341,12*Output!A84-0))*(A84&gt;1)*($CO$21)</f>
        <v>0</v>
      </c>
      <c r="CP84" s="175">
        <v>0</v>
      </c>
      <c r="CQ84" s="175">
        <v>0</v>
      </c>
      <c r="CR84" s="175">
        <v>0</v>
      </c>
      <c r="CS84" s="175">
        <v>0</v>
      </c>
      <c r="CT84" s="175">
        <v>0</v>
      </c>
      <c r="CU84" s="175">
        <v>0</v>
      </c>
      <c r="CV84" s="175">
        <f>(INDEX('SV calc_ignore'!$J$10:$J$1341,12*Output!A84-0))*(A84&gt;1)*($CV$21)</f>
        <v>0</v>
      </c>
      <c r="CW84" s="66">
        <f>((INDEX('SV calc_ignore'!$J$10:$J$1341,12*Output!A84-0))+(INDEX('SV calc_ignore'!$O$10:$O$1351,12*Output!A84-0))*(A84&lt;'SV calc_ignore'!$Q$5))*(A84&gt;1)*($CW$21)</f>
        <v>0</v>
      </c>
      <c r="CX84" s="175">
        <f>(INDEX('SV calc_ignore'!$J$10:$J$1341,12*Output!A84-0))*(A84&gt;1)*($CX$21)</f>
        <v>0</v>
      </c>
      <c r="CY84" s="175">
        <f>(INDEX('SV calc_ignore'!$Q$10:$Q$1341,12*Output!A84-0))*(AND(A84&gt;1,R84&lt;20))*($CY$21)</f>
        <v>0</v>
      </c>
      <c r="CZ84" s="175">
        <f t="shared" si="34"/>
        <v>0</v>
      </c>
      <c r="DE84" s="43">
        <f>IF($DE$23,0,VLOOKUP(IF(A84&lt;=DP,DJ84,DI84),SSV!$B$6:$C$116,2,FALSE)*VLOOKUP(AnnuityOption,'All Options'!$AB$36:$AC$47,2,FALSE)*VLOOKUP('All Options'!$E$22,'Valid Data-GPG'!$B$130:$F$134,MATCH('All Options'!$E$17,'Valid Data-GPG'!$B$130:$F$130,0),0)*'All Options'!$E$17)*(IF(AND(Select="Deferred Annuity",AnnuityOption="Life Annuity"),A84&lt;=DP,1))</f>
        <v>3274327.0531593515</v>
      </c>
      <c r="DF84" s="43">
        <f>IF($DF$23,0,IF($DQ$25,DQ84,IF($DR$25,DR84,VLOOKUP(IF(A84&lt;=DP,DJ84,DI84),SSV!$G$6:$H$116,2,FALSE)*SUM($B$27:B84))))</f>
        <v>1006161.5</v>
      </c>
      <c r="DG84" s="43" t="e">
        <f>IF(A84&lt;=DP,VLOOKUP(DP-A83,SSV!$T$6:$U$15,2,FALSE),1)</f>
        <v>#N/A</v>
      </c>
      <c r="DH84" s="282" t="e">
        <f t="shared" si="46"/>
        <v>#VALUE!</v>
      </c>
      <c r="DI84" s="43">
        <f>IF($DM$26,MIN(Age,'All Options'!$E$21)+A83,IF($DN$26,(Age+A83)-Age+60,IF($DO$26,(Age+A83)-Age+55,Age+A83)))</f>
        <v>60</v>
      </c>
      <c r="DJ84" s="279">
        <f>IF($DM$26,MIN(Age+A84,'All Options'!$E$21+A84),IF($DN$26,(Age+A84)-(Age+$A$27)+60,IF($DO$26,(Age+A84)-(Age+$A$27)+55,Age+A84)))</f>
        <v>60</v>
      </c>
      <c r="DP84" s="43">
        <f t="shared" si="35"/>
        <v>0</v>
      </c>
      <c r="DQ84" s="43">
        <f>IFERROR(VLOOKUP(IF(A84&lt;=DP,DJ84,DI84),SSV!$K$6:$L$91,2,FALSE)*SUM($B$27:B84),0)*($DQ$25)</f>
        <v>0</v>
      </c>
      <c r="DR84" s="43">
        <f>IFERROR(VLOOKUP(IF(A84&lt;=DP,DJ84,DI84),SSV!$O$6:$P$95,2,FALSE)*SUM($B$27:B84),0)*($DR$25)</f>
        <v>0</v>
      </c>
      <c r="DU84" s="175">
        <f t="shared" si="47"/>
        <v>0</v>
      </c>
    </row>
    <row r="85" spans="1:127" ht="12.75" customHeight="1" x14ac:dyDescent="0.2">
      <c r="A85" s="146">
        <f t="shared" si="48"/>
        <v>0</v>
      </c>
      <c r="B85" s="670">
        <f>IF(PremiumType="Regular Premium",'All Options'!$E$18*'All Options'!$E$22*(AND(Output!A85&lt;=PPT,A85&gt;=1)),'All Options'!$E$18*(A85=1))</f>
        <v>0</v>
      </c>
      <c r="C85" s="671"/>
      <c r="D85" s="103" t="e">
        <f>((VLOOKUP(CONCATENATE($D$14,$D$15),'All Options'!$AB$36:$AC$47,4,0)*VLOOKUP('All Options'!$E$22,'Valid Data-GPG'!$B$130:$F$134,MATCH('All Options'!$E$17,'Valid Data-GPG'!$B$130:$F$130,0),0)*'All Options'!$E$17)*IF(Select="Deferred Annuity",A85&gt;DP,1)+AE85+AF85*AG85*$AG$21)*(A85&gt;0)</f>
        <v>#N/A</v>
      </c>
      <c r="E85" s="103">
        <v>0</v>
      </c>
      <c r="F85" s="103" t="e">
        <f t="shared" si="18"/>
        <v>#N/A</v>
      </c>
      <c r="G85" s="103">
        <f t="shared" si="37"/>
        <v>0</v>
      </c>
      <c r="H85" s="285">
        <f t="shared" si="19"/>
        <v>0</v>
      </c>
      <c r="I85" s="103">
        <f t="shared" si="20"/>
        <v>0</v>
      </c>
      <c r="J85" s="101"/>
      <c r="K85" s="175" t="str">
        <f t="shared" si="49"/>
        <v/>
      </c>
      <c r="L85" s="175"/>
      <c r="M85" s="175"/>
      <c r="N85" s="175"/>
      <c r="O85" s="175"/>
      <c r="P85" s="175"/>
      <c r="Q85" s="175"/>
      <c r="R85" s="175">
        <f t="shared" si="50"/>
        <v>0</v>
      </c>
      <c r="AB85" s="175" t="e">
        <f>(VLOOKUP(CONCATENATE($D$14,$D$15),'All Options'!$AB$36:$AC$47,4,0)*VLOOKUP('All Options'!$E$22,'Valid Data-GPG'!$B$130:$F$134,MATCH('All Options'!$E$17,'Valid Data-GPG'!$B$130:$F$130,0),0)*'All Options'!$E$17)*IF(Select="Deferred Annuity",A85&gt;DP,1)*(A85&gt;0)</f>
        <v>#N/A</v>
      </c>
      <c r="AC85" s="175">
        <f t="shared" si="38"/>
        <v>0</v>
      </c>
      <c r="AD85" s="175">
        <f>SUM($AC$26:AC85)</f>
        <v>0</v>
      </c>
      <c r="AE85" s="175">
        <f t="shared" si="39"/>
        <v>0</v>
      </c>
      <c r="AF85" s="175">
        <f t="shared" si="40"/>
        <v>0</v>
      </c>
      <c r="AG85" s="175" t="b">
        <f>(SUM($AF$26:AF85)&lt;=$AB$17)</f>
        <v>0</v>
      </c>
      <c r="AY85" s="175"/>
      <c r="AZ85" s="66">
        <f>((MAX((SUM($B$26:C85)+(VLOOKUP($AZ$25,'All Options'!$AB$36:$AC$46,2,0)*VLOOKUP('All Options'!$E$22,'Valid Data-GPG'!$B$130:$F$134,MATCH('All Options'!$E$17,'Valid Data-GPG'!$B$130:$F$130,0),0)*'All Options'!$E$17)*(IF(A85&lt;=DP,A85,0))),105%*SUM($B$26:C85)))*(AND(A85&lt;&gt;0,Output!A85&lt;=DP))+(0)*(A85&gt;DP))*$AZ$21</f>
        <v>0</v>
      </c>
      <c r="BA85" s="175" t="e">
        <f>((MAX((SUM($B$26:C85)+(VLOOKUP($BA$25,'All Options'!$AB$36:$AC$46,2,0)*VLOOKUP('All Options'!$E$22,'Valid Data-GPG'!$B$130:$F$134,MATCH('All Options'!$E$17,'Valid Data-GPG'!$B$130:$F$130,0),0)*'All Options'!$E$17)*(IF(A85&lt;=DP,A85,0))),105%*SUM($B$26:C85)))*(Output!A85&lt;=DP)
+MAX((SUM($B$26:C85)+(VLOOKUP($BA$25,'All Options'!$AB$36:$AC$46,2,0)*VLOOKUP('All Options'!$E$22,'Valid Data-GPG'!$B$130:$F$134,MATCH('All Options'!$E$17,'Valid Data-GPG'!$B$130:$F$130,0),0)*'All Options'!$E$17)*DP-D85*(A85-DP)),SUM($B$26:C85))*(A85&gt;DP))*$BA$21</f>
        <v>#N/A</v>
      </c>
      <c r="BB85" s="175">
        <f>((MAX(($AB$17+(VLOOKUP($BB$25,'All Options'!$AB$36:$AC$46,2,0)*VLOOKUP('All Options'!$E$22,'Valid Data-GPG'!$B$130:$F$134,MATCH('All Options'!$E$17,'Valid Data-GPG'!$B$130:$F$130,0),0)*'All Options'!$E$17)*(IF(A85&lt;=DP,A85,0))),105%*$AB$17))*(Output!A85&lt;=DP)+(0)*(A85&gt;DP))*$BB$21</f>
        <v>0</v>
      </c>
      <c r="BC85" s="175" t="e">
        <f>((MAX(($AB$17+(VLOOKUP($BC$25,'All Options'!$AB$36:$AC$46,2,0)*VLOOKUP('All Options'!$E$22,'Valid Data-GPG'!$B$130:$F$134,MATCH('All Options'!$E$17,'Valid Data-GPG'!$B$130:$F$130,0),0)*'All Options'!$E$17)*(IF(A85&lt;=DP,A85,0))),105%*$AB$17))*(Output!A85&lt;=DP)+
MAX(($AB$17+(VLOOKUP($BC$25,'All Options'!$AB$36:$AC$46,2,0)*VLOOKUP('All Options'!$E$22,'Valid Data-GPG'!$B$130:$F$134,MATCH('All Options'!$E$17,'Valid Data-GPG'!$B$130:$F$130,0),0)*'All Options'!$E$17)*DP-D85*(A85-DP)),$AB$17)*(A85&gt;DP))*$BC$21</f>
        <v>#N/A</v>
      </c>
      <c r="BD85" s="175">
        <f ca="1">IFERROR((MAX(($AB$17+(VLOOKUP($BD$25,'All Options'!$AB$36:$AC$46,2,0)*VLOOKUP('All Options'!$E$22,'Valid Data-GPG'!$B$130:$F$134,MATCH('All Options'!$E$17,'Valid Data-GPG'!$B$130:$F$130,0),0)*'All Options'!$E$17)*(IF(A85&lt;=DP,A85,0))),105%*$AB$17))*(Output!A85&lt;=DP)
+MAX(($AB$17+(VLOOKUP($BD$25,'All Options'!$AB$36:$AC$46,2,0)*VLOOKUP('All Options'!$E$22,'Valid Data-GPG'!$B$130:$F$134,MATCH('All Options'!$E$17,'Valid Data-GPG'!$B$130:$F$130,0),0)*'All Options'!$E$17)*DP-D85*(A85-DP)),$AB$17)*(A85&gt;DP),0)*$BD$21</f>
        <v>0</v>
      </c>
      <c r="BE85" s="66">
        <f>IFERROR((MAX(($AB$17+(VLOOKUP($BE$25,'All Options'!$AB$36:$AC$46,2,0)*VLOOKUP('All Options'!$E$22,'Valid Data-GPG'!$B$130:$F$134,MATCH('All Options'!$E$17,'Valid Data-GPG'!$B$130:$F$130,0),0)*'All Options'!$E$17)*(IF(A85&lt;=DP,A85,0))),105%*$AB$17))*(Output!A85&lt;=DP)
+(MAX($AB$17+(VLOOKUP($BE$25,'All Options'!$AB$36:$AC$46,2,0)*VLOOKUP('All Options'!$E$22,'Valid Data-GPG'!$B$130:$F$134,MATCH('All Options'!$E$17,'Valid Data-GPG'!$B$130:$F$130,0),0)*'All Options'!$E$17)*DP-AB85*(A85-DP),$AB$17)*(MAX(A85&lt;=25,K85&lt;85)))*(A85&gt;DP),0)*$BE$21</f>
        <v>0</v>
      </c>
      <c r="BF85" s="175">
        <f>IFERROR((MAX(($AB$17+(VLOOKUP($BF$25,'All Options'!$AB$36:$AC$46,2,0)*VLOOKUP('All Options'!$E$22,'Valid Data-GPG'!$B$130:$F$134,MATCH('All Options'!$E$17,'Valid Data-GPG'!$B$130:$F$130,0),0)*'All Options'!$E$17)*(IF(A85&lt;=DP,A85,0))),105%*$AB$17))*(Output!A85&lt;=DP)
+(MAX($AB$17+(VLOOKUP($BF$25,'All Options'!$AB$36:$AC$46,2,0)*VLOOKUP('All Options'!$E$22,'Valid Data-GPG'!$B$130:$F$134,MATCH('All Options'!$E$17,'Valid Data-GPG'!$B$130:$F$130,0),0)*'All Options'!$E$17)*DP-AB85*(A85-DP),$AB$17)-SUM($AF$26:AF85)*AG85)*(A85&gt;DP)*AG85,0)*$BF$21</f>
        <v>0</v>
      </c>
      <c r="BG85" s="175">
        <f t="shared" si="23"/>
        <v>0</v>
      </c>
      <c r="BH85" s="182">
        <f t="shared" si="41"/>
        <v>5000000</v>
      </c>
      <c r="BI85" s="175">
        <f t="shared" si="24"/>
        <v>0</v>
      </c>
      <c r="BJ85" s="175">
        <f t="shared" si="25"/>
        <v>0</v>
      </c>
      <c r="BK85" s="175">
        <f t="shared" si="26"/>
        <v>0</v>
      </c>
      <c r="BL85" s="175">
        <f t="shared" si="27"/>
        <v>0</v>
      </c>
      <c r="BM85" s="175">
        <f t="shared" si="28"/>
        <v>0</v>
      </c>
      <c r="BN85" s="175">
        <f t="shared" si="29"/>
        <v>0</v>
      </c>
      <c r="BO85" s="182">
        <f t="shared" si="42"/>
        <v>0</v>
      </c>
      <c r="BP85" s="182">
        <f t="shared" si="43"/>
        <v>0</v>
      </c>
      <c r="BQ85" s="182">
        <f>MAX($AB$17-SUM($AF$26:AF85),0)*$BQ$21</f>
        <v>0</v>
      </c>
      <c r="BS85" s="175">
        <f t="shared" si="44"/>
        <v>0</v>
      </c>
      <c r="BT85" s="175">
        <f>IFERROR(IF(A85&lt;=1,0,VLOOKUP(DP,'Valid Data-GPG'!$A$116:$J$122,MATCH(Output!A85,'Valid Data-GPG'!$A$116:$J$116,0),FALSE)*SUM($B$26:C85))*(A85&lt;=DP),0)*$BT$21</f>
        <v>0</v>
      </c>
      <c r="BU85" s="175">
        <f>IFERROR(IF(A85&lt;=1,0,VLOOKUP(DP,'Valid Data-GPG'!$A$116:$J$122,MATCH(Output!A85,'Valid Data-GPG'!$A$116:$J$116,0),FALSE)*SUM($B$26:C85))*(A85&lt;=DP),0)*$BU$21</f>
        <v>0</v>
      </c>
      <c r="BV85" s="175">
        <f t="shared" si="45"/>
        <v>0</v>
      </c>
      <c r="BW85" s="175">
        <f t="shared" si="51"/>
        <v>0</v>
      </c>
      <c r="BX85" s="175">
        <f t="shared" si="52"/>
        <v>0</v>
      </c>
      <c r="BY85" s="175">
        <f t="shared" si="53"/>
        <v>0</v>
      </c>
      <c r="BZ85" s="175">
        <f t="shared" si="54"/>
        <v>0</v>
      </c>
      <c r="CA85" s="175">
        <f>(INDEX('SV calc_ignore'!$J$10:$J$1341,12*Output!A85-0))*BS85</f>
        <v>0</v>
      </c>
      <c r="CB85" s="175">
        <f t="shared" si="30"/>
        <v>0</v>
      </c>
      <c r="CC85" s="175">
        <f>(INDEX('SV calc_ignore'!$J$10:$J$1341,12*Output!A85-0))*BS85</f>
        <v>0</v>
      </c>
      <c r="CD85" s="175">
        <f t="shared" si="31"/>
        <v>0</v>
      </c>
      <c r="CE85" s="66">
        <f>(INDEX('SV calc_ignore'!$J$10:$J$1341,12*Output!A85-0))*($CE$21)</f>
        <v>0</v>
      </c>
      <c r="CF85" s="175">
        <f t="shared" si="32"/>
        <v>0</v>
      </c>
      <c r="CG85" s="175">
        <f>(INDEX('SV calc_ignore'!$J$10:$J$1341,12*Output!A85-0))*($CG$21)*(A85&gt;1)</f>
        <v>0</v>
      </c>
      <c r="CH85" s="175">
        <f>(INDEX('SV calc_ignore'!$J$10:$J$1341,12*Output!A85-0))*($CH$21)*(A85&gt;1)</f>
        <v>0</v>
      </c>
      <c r="CI85" s="175"/>
      <c r="CJ85" s="66">
        <f>(INDEX('SV calc_ignore'!$J$10:$J$1341,12*Output!A85-0))*($CJ$21)*(A85&gt;1)</f>
        <v>0</v>
      </c>
      <c r="CK85" s="66">
        <f>(INDEX('SV calc_ignore'!$Q$10:$Q$1341,12*Output!A85-0))*(AND(A85&gt;1,R85&lt;20))*($CK$21)</f>
        <v>0</v>
      </c>
      <c r="CL85" s="66">
        <f t="shared" si="33"/>
        <v>0</v>
      </c>
      <c r="CM85" s="175">
        <f>((INDEX('SV calc_ignore'!$J$10:$J$1341,12*Output!A85-0))+(INDEX('SV calc_ignore'!$O$10:$O$1341,12*Output!A85-0))*(A85&lt;'SV calc_ignore'!$Q$5))*(A85&gt;1)*($CM$21)</f>
        <v>0</v>
      </c>
      <c r="CN85" s="175">
        <v>0</v>
      </c>
      <c r="CO85" s="175">
        <f>(INDEX('SV calc_ignore'!$J$10:$J$1341,12*Output!A85-0))*(A85&gt;1)*($CO$21)</f>
        <v>0</v>
      </c>
      <c r="CP85" s="175">
        <v>0</v>
      </c>
      <c r="CQ85" s="175">
        <v>0</v>
      </c>
      <c r="CR85" s="175">
        <v>0</v>
      </c>
      <c r="CS85" s="175">
        <v>0</v>
      </c>
      <c r="CT85" s="175">
        <v>0</v>
      </c>
      <c r="CU85" s="175">
        <v>0</v>
      </c>
      <c r="CV85" s="175">
        <f>(INDEX('SV calc_ignore'!$J$10:$J$1341,12*Output!A85-0))*(A85&gt;1)*($CV$21)</f>
        <v>0</v>
      </c>
      <c r="CW85" s="66">
        <f>((INDEX('SV calc_ignore'!$J$10:$J$1341,12*Output!A85-0))+(INDEX('SV calc_ignore'!$O$10:$O$1351,12*Output!A85-0))*(A85&lt;'SV calc_ignore'!$Q$5))*(A85&gt;1)*($CW$21)</f>
        <v>0</v>
      </c>
      <c r="CX85" s="175">
        <f>(INDEX('SV calc_ignore'!$J$10:$J$1341,12*Output!A85-0))*(A85&gt;1)*($CX$21)</f>
        <v>0</v>
      </c>
      <c r="CY85" s="175">
        <f>(INDEX('SV calc_ignore'!$Q$10:$Q$1341,12*Output!A85-0))*(AND(A85&gt;1,R85&lt;20))*($CY$21)</f>
        <v>0</v>
      </c>
      <c r="CZ85" s="175">
        <f t="shared" si="34"/>
        <v>0</v>
      </c>
      <c r="DE85" s="43">
        <f>IF($DE$23,0,VLOOKUP(IF(A85&lt;=DP,DJ85,DI85),SSV!$B$6:$C$116,2,FALSE)*VLOOKUP(AnnuityOption,'All Options'!$AB$36:$AC$47,2,FALSE)*VLOOKUP('All Options'!$E$22,'Valid Data-GPG'!$B$130:$F$134,MATCH('All Options'!$E$17,'Valid Data-GPG'!$B$130:$F$130,0),0)*'All Options'!$E$17)*(IF(AND(Select="Deferred Annuity",AnnuityOption="Life Annuity"),A85&lt;=DP,1))</f>
        <v>3274327.0531593515</v>
      </c>
      <c r="DF85" s="43">
        <f>IF($DF$23,0,IF($DQ$25,DQ85,IF($DR$25,DR85,VLOOKUP(IF(A85&lt;=DP,DJ85,DI85),SSV!$G$6:$H$116,2,FALSE)*SUM($B$27:B85))))</f>
        <v>1006161.5</v>
      </c>
      <c r="DG85" s="43" t="e">
        <f>IF(A85&lt;=DP,VLOOKUP(DP-A84,SSV!$T$6:$U$15,2,FALSE),1)</f>
        <v>#N/A</v>
      </c>
      <c r="DH85" s="282" t="e">
        <f t="shared" si="46"/>
        <v>#VALUE!</v>
      </c>
      <c r="DI85" s="43">
        <f>IF($DM$26,MIN(Age,'All Options'!$E$21)+A84,IF($DN$26,(Age+A84)-Age+60,IF($DO$26,(Age+A84)-Age+55,Age+A84)))</f>
        <v>60</v>
      </c>
      <c r="DJ85" s="279">
        <f>IF($DM$26,MIN(Age+A85,'All Options'!$E$21+A85),IF($DN$26,(Age+A85)-(Age+$A$27)+60,IF($DO$26,(Age+A85)-(Age+$A$27)+55,Age+A85)))</f>
        <v>60</v>
      </c>
      <c r="DP85" s="43">
        <f t="shared" si="35"/>
        <v>0</v>
      </c>
      <c r="DQ85" s="43">
        <f>IFERROR(VLOOKUP(IF(A85&lt;=DP,DJ85,DI85),SSV!$K$6:$L$91,2,FALSE)*SUM($B$27:B85),0)*($DQ$25)</f>
        <v>0</v>
      </c>
      <c r="DR85" s="43">
        <f>IFERROR(VLOOKUP(IF(A85&lt;=DP,DJ85,DI85),SSV!$O$6:$P$95,2,FALSE)*SUM($B$27:B85),0)*($DR$25)</f>
        <v>0</v>
      </c>
      <c r="DU85" s="175">
        <f t="shared" si="47"/>
        <v>0</v>
      </c>
    </row>
    <row r="86" spans="1:127" x14ac:dyDescent="0.2">
      <c r="A86" s="146">
        <f t="shared" si="48"/>
        <v>0</v>
      </c>
      <c r="B86" s="670">
        <f>IF(PremiumType="Regular Premium",'All Options'!$E$18*'All Options'!$E$22*(AND(Output!A86&lt;=PPT,A86&gt;=1)),'All Options'!$E$18*(A86=1))</f>
        <v>0</v>
      </c>
      <c r="C86" s="671"/>
      <c r="D86" s="103" t="e">
        <f>((VLOOKUP(CONCATENATE($D$14,$D$15),'All Options'!$AB$36:$AC$47,4,0)*VLOOKUP('All Options'!$E$22,'Valid Data-GPG'!$B$130:$F$134,MATCH('All Options'!$E$17,'Valid Data-GPG'!$B$130:$F$130,0),0)*'All Options'!$E$17)*IF(Select="Deferred Annuity",A86&gt;DP,1)+AE86+AF86*AG86*$AG$21)*(A86&gt;0)</f>
        <v>#N/A</v>
      </c>
      <c r="E86" s="103">
        <v>0</v>
      </c>
      <c r="F86" s="103" t="e">
        <f t="shared" si="18"/>
        <v>#N/A</v>
      </c>
      <c r="G86" s="103">
        <f t="shared" si="37"/>
        <v>0</v>
      </c>
      <c r="H86" s="285">
        <f t="shared" si="19"/>
        <v>0</v>
      </c>
      <c r="I86" s="103">
        <f t="shared" si="20"/>
        <v>0</v>
      </c>
      <c r="J86" s="101"/>
      <c r="K86" s="175" t="str">
        <f t="shared" si="49"/>
        <v/>
      </c>
      <c r="L86" s="175"/>
      <c r="M86" s="175"/>
      <c r="N86" s="175"/>
      <c r="O86" s="175"/>
      <c r="P86" s="175"/>
      <c r="Q86" s="175"/>
      <c r="R86" s="175">
        <f t="shared" si="50"/>
        <v>0</v>
      </c>
      <c r="AB86" s="175" t="e">
        <f>(VLOOKUP(CONCATENATE($D$14,$D$15),'All Options'!$AB$36:$AC$47,4,0)*VLOOKUP('All Options'!$E$22,'Valid Data-GPG'!$B$130:$F$134,MATCH('All Options'!$E$17,'Valid Data-GPG'!$B$130:$F$130,0),0)*'All Options'!$E$17)*IF(Select="Deferred Annuity",A86&gt;DP,1)*(A86&gt;0)</f>
        <v>#N/A</v>
      </c>
      <c r="AC86" s="175">
        <f t="shared" si="38"/>
        <v>0</v>
      </c>
      <c r="AD86" s="175">
        <f>SUM($AC$26:AC86)</f>
        <v>0</v>
      </c>
      <c r="AE86" s="175">
        <f t="shared" si="39"/>
        <v>0</v>
      </c>
      <c r="AF86" s="175">
        <f t="shared" si="40"/>
        <v>0</v>
      </c>
      <c r="AG86" s="175" t="b">
        <f>(SUM($AF$26:AF86)&lt;=$AB$17)</f>
        <v>0</v>
      </c>
      <c r="AY86" s="175"/>
      <c r="AZ86" s="66">
        <f>((MAX((SUM($B$26:C86)+(VLOOKUP($AZ$25,'All Options'!$AB$36:$AC$46,2,0)*VLOOKUP('All Options'!$E$22,'Valid Data-GPG'!$B$130:$F$134,MATCH('All Options'!$E$17,'Valid Data-GPG'!$B$130:$F$130,0),0)*'All Options'!$E$17)*(IF(A86&lt;=DP,A86,0))),105%*SUM($B$26:C86)))*(AND(A86&lt;&gt;0,Output!A86&lt;=DP))+(0)*(A86&gt;DP))*$AZ$21</f>
        <v>0</v>
      </c>
      <c r="BA86" s="175" t="e">
        <f>((MAX((SUM($B$26:C86)+(VLOOKUP($BA$25,'All Options'!$AB$36:$AC$46,2,0)*VLOOKUP('All Options'!$E$22,'Valid Data-GPG'!$B$130:$F$134,MATCH('All Options'!$E$17,'Valid Data-GPG'!$B$130:$F$130,0),0)*'All Options'!$E$17)*(IF(A86&lt;=DP,A86,0))),105%*SUM($B$26:C86)))*(Output!A86&lt;=DP)
+MAX((SUM($B$26:C86)+(VLOOKUP($BA$25,'All Options'!$AB$36:$AC$46,2,0)*VLOOKUP('All Options'!$E$22,'Valid Data-GPG'!$B$130:$F$134,MATCH('All Options'!$E$17,'Valid Data-GPG'!$B$130:$F$130,0),0)*'All Options'!$E$17)*DP-D86*(A86-DP)),SUM($B$26:C86))*(A86&gt;DP))*$BA$21</f>
        <v>#N/A</v>
      </c>
      <c r="BB86" s="175">
        <f>((MAX(($AB$17+(VLOOKUP($BB$25,'All Options'!$AB$36:$AC$46,2,0)*VLOOKUP('All Options'!$E$22,'Valid Data-GPG'!$B$130:$F$134,MATCH('All Options'!$E$17,'Valid Data-GPG'!$B$130:$F$130,0),0)*'All Options'!$E$17)*(IF(A86&lt;=DP,A86,0))),105%*$AB$17))*(Output!A86&lt;=DP)+(0)*(A86&gt;DP))*$BB$21</f>
        <v>0</v>
      </c>
      <c r="BC86" s="175" t="e">
        <f>((MAX(($AB$17+(VLOOKUP($BC$25,'All Options'!$AB$36:$AC$46,2,0)*VLOOKUP('All Options'!$E$22,'Valid Data-GPG'!$B$130:$F$134,MATCH('All Options'!$E$17,'Valid Data-GPG'!$B$130:$F$130,0),0)*'All Options'!$E$17)*(IF(A86&lt;=DP,A86,0))),105%*$AB$17))*(Output!A86&lt;=DP)+
MAX(($AB$17+(VLOOKUP($BC$25,'All Options'!$AB$36:$AC$46,2,0)*VLOOKUP('All Options'!$E$22,'Valid Data-GPG'!$B$130:$F$134,MATCH('All Options'!$E$17,'Valid Data-GPG'!$B$130:$F$130,0),0)*'All Options'!$E$17)*DP-D86*(A86-DP)),$AB$17)*(A86&gt;DP))*$BC$21</f>
        <v>#N/A</v>
      </c>
      <c r="BD86" s="175">
        <f ca="1">IFERROR((MAX(($AB$17+(VLOOKUP($BD$25,'All Options'!$AB$36:$AC$46,2,0)*VLOOKUP('All Options'!$E$22,'Valid Data-GPG'!$B$130:$F$134,MATCH('All Options'!$E$17,'Valid Data-GPG'!$B$130:$F$130,0),0)*'All Options'!$E$17)*(IF(A86&lt;=DP,A86,0))),105%*$AB$17))*(Output!A86&lt;=DP)
+MAX(($AB$17+(VLOOKUP($BD$25,'All Options'!$AB$36:$AC$46,2,0)*VLOOKUP('All Options'!$E$22,'Valid Data-GPG'!$B$130:$F$134,MATCH('All Options'!$E$17,'Valid Data-GPG'!$B$130:$F$130,0),0)*'All Options'!$E$17)*DP-D86*(A86-DP)),$AB$17)*(A86&gt;DP),0)*$BD$21</f>
        <v>0</v>
      </c>
      <c r="BE86" s="66">
        <f>IFERROR((MAX(($AB$17+(VLOOKUP($BE$25,'All Options'!$AB$36:$AC$46,2,0)*VLOOKUP('All Options'!$E$22,'Valid Data-GPG'!$B$130:$F$134,MATCH('All Options'!$E$17,'Valid Data-GPG'!$B$130:$F$130,0),0)*'All Options'!$E$17)*(IF(A86&lt;=DP,A86,0))),105%*$AB$17))*(Output!A86&lt;=DP)
+(MAX($AB$17+(VLOOKUP($BE$25,'All Options'!$AB$36:$AC$46,2,0)*VLOOKUP('All Options'!$E$22,'Valid Data-GPG'!$B$130:$F$134,MATCH('All Options'!$E$17,'Valid Data-GPG'!$B$130:$F$130,0),0)*'All Options'!$E$17)*DP-AB86*(A86-DP),$AB$17)*(MAX(A86&lt;=25,K86&lt;85)))*(A86&gt;DP),0)*$BE$21</f>
        <v>0</v>
      </c>
      <c r="BF86" s="175">
        <f>IFERROR((MAX(($AB$17+(VLOOKUP($BF$25,'All Options'!$AB$36:$AC$46,2,0)*VLOOKUP('All Options'!$E$22,'Valid Data-GPG'!$B$130:$F$134,MATCH('All Options'!$E$17,'Valid Data-GPG'!$B$130:$F$130,0),0)*'All Options'!$E$17)*(IF(A86&lt;=DP,A86,0))),105%*$AB$17))*(Output!A86&lt;=DP)
+(MAX($AB$17+(VLOOKUP($BF$25,'All Options'!$AB$36:$AC$46,2,0)*VLOOKUP('All Options'!$E$22,'Valid Data-GPG'!$B$130:$F$134,MATCH('All Options'!$E$17,'Valid Data-GPG'!$B$130:$F$130,0),0)*'All Options'!$E$17)*DP-AB86*(A86-DP),$AB$17)-SUM($AF$26:AF86)*AG86)*(A86&gt;DP)*AG86,0)*$BF$21</f>
        <v>0</v>
      </c>
      <c r="BG86" s="175">
        <f t="shared" si="23"/>
        <v>0</v>
      </c>
      <c r="BH86" s="182">
        <f t="shared" si="41"/>
        <v>5000000</v>
      </c>
      <c r="BI86" s="175">
        <f t="shared" si="24"/>
        <v>0</v>
      </c>
      <c r="BJ86" s="175">
        <f t="shared" si="25"/>
        <v>0</v>
      </c>
      <c r="BK86" s="175">
        <f t="shared" si="26"/>
        <v>0</v>
      </c>
      <c r="BL86" s="175">
        <f t="shared" si="27"/>
        <v>0</v>
      </c>
      <c r="BM86" s="175">
        <f t="shared" si="28"/>
        <v>0</v>
      </c>
      <c r="BN86" s="175">
        <f t="shared" si="29"/>
        <v>0</v>
      </c>
      <c r="BO86" s="182">
        <f t="shared" si="42"/>
        <v>0</v>
      </c>
      <c r="BP86" s="182">
        <f t="shared" si="43"/>
        <v>0</v>
      </c>
      <c r="BQ86" s="182">
        <f>MAX($AB$17-SUM($AF$26:AF86),0)*$BQ$21</f>
        <v>0</v>
      </c>
      <c r="BS86" s="175">
        <f t="shared" si="44"/>
        <v>0</v>
      </c>
      <c r="BT86" s="175">
        <f>IFERROR(IF(A86&lt;=1,0,VLOOKUP(DP,'Valid Data-GPG'!$A$116:$J$122,MATCH(Output!A86,'Valid Data-GPG'!$A$116:$J$116,0),FALSE)*SUM($B$26:C86))*(A86&lt;=DP),0)*$BT$21</f>
        <v>0</v>
      </c>
      <c r="BU86" s="175">
        <f>IFERROR(IF(A86&lt;=1,0,VLOOKUP(DP,'Valid Data-GPG'!$A$116:$J$122,MATCH(Output!A86,'Valid Data-GPG'!$A$116:$J$116,0),FALSE)*SUM($B$26:C86))*(A86&lt;=DP),0)*$BU$21</f>
        <v>0</v>
      </c>
      <c r="BV86" s="175">
        <f t="shared" si="45"/>
        <v>0</v>
      </c>
      <c r="BW86" s="175">
        <f t="shared" si="51"/>
        <v>0</v>
      </c>
      <c r="BX86" s="175">
        <f t="shared" si="52"/>
        <v>0</v>
      </c>
      <c r="BY86" s="175">
        <f t="shared" si="53"/>
        <v>0</v>
      </c>
      <c r="BZ86" s="175">
        <f t="shared" si="54"/>
        <v>0</v>
      </c>
      <c r="CA86" s="175">
        <f>(INDEX('SV calc_ignore'!$J$10:$J$1341,12*Output!A86-0))*BS86</f>
        <v>0</v>
      </c>
      <c r="CB86" s="175">
        <f t="shared" si="30"/>
        <v>0</v>
      </c>
      <c r="CC86" s="175">
        <f>(INDEX('SV calc_ignore'!$J$10:$J$1341,12*Output!A86-0))*BS86</f>
        <v>0</v>
      </c>
      <c r="CD86" s="175">
        <f t="shared" si="31"/>
        <v>0</v>
      </c>
      <c r="CE86" s="66">
        <f>(INDEX('SV calc_ignore'!$J$10:$J$1341,12*Output!A86-0))*($CE$21)</f>
        <v>0</v>
      </c>
      <c r="CF86" s="175">
        <f t="shared" si="32"/>
        <v>0</v>
      </c>
      <c r="CG86" s="175">
        <f>(INDEX('SV calc_ignore'!$J$10:$J$1341,12*Output!A86-0))*($CG$21)*(A86&gt;1)</f>
        <v>0</v>
      </c>
      <c r="CH86" s="175">
        <f>(INDEX('SV calc_ignore'!$J$10:$J$1341,12*Output!A86-0))*($CH$21)*(A86&gt;1)</f>
        <v>0</v>
      </c>
      <c r="CI86" s="175"/>
      <c r="CJ86" s="66">
        <f>(INDEX('SV calc_ignore'!$J$10:$J$1341,12*Output!A86-0))*($CJ$21)*(A86&gt;1)</f>
        <v>0</v>
      </c>
      <c r="CK86" s="66">
        <f>(INDEX('SV calc_ignore'!$Q$10:$Q$1341,12*Output!A86-0))*(AND(A86&gt;1,R86&lt;20))*($CK$21)</f>
        <v>0</v>
      </c>
      <c r="CL86" s="66">
        <f t="shared" si="33"/>
        <v>0</v>
      </c>
      <c r="CM86" s="175">
        <f>((INDEX('SV calc_ignore'!$J$10:$J$1341,12*Output!A86-0))+(INDEX('SV calc_ignore'!$O$10:$O$1341,12*Output!A86-0))*(A86&lt;'SV calc_ignore'!$Q$5))*(A86&gt;1)*($CM$21)</f>
        <v>0</v>
      </c>
      <c r="CN86" s="175">
        <v>0</v>
      </c>
      <c r="CO86" s="175">
        <f>(INDEX('SV calc_ignore'!$J$10:$J$1341,12*Output!A86-0))*(A86&gt;1)*($CO$21)</f>
        <v>0</v>
      </c>
      <c r="CP86" s="175">
        <v>0</v>
      </c>
      <c r="CQ86" s="175">
        <v>0</v>
      </c>
      <c r="CR86" s="175">
        <v>0</v>
      </c>
      <c r="CS86" s="175">
        <v>0</v>
      </c>
      <c r="CT86" s="175">
        <v>0</v>
      </c>
      <c r="CU86" s="175">
        <v>0</v>
      </c>
      <c r="CV86" s="175">
        <f>(INDEX('SV calc_ignore'!$J$10:$J$1341,12*Output!A86-0))*(A86&gt;1)*($CV$21)</f>
        <v>0</v>
      </c>
      <c r="CW86" s="66">
        <f>((INDEX('SV calc_ignore'!$J$10:$J$1341,12*Output!A86-0))+(INDEX('SV calc_ignore'!$O$10:$O$1351,12*Output!A86-0))*(A86&lt;'SV calc_ignore'!$Q$5))*(A86&gt;1)*($CW$21)</f>
        <v>0</v>
      </c>
      <c r="CX86" s="175">
        <f>(INDEX('SV calc_ignore'!$J$10:$J$1341,12*Output!A86-0))*(A86&gt;1)*($CX$21)</f>
        <v>0</v>
      </c>
      <c r="CY86" s="175">
        <f>(INDEX('SV calc_ignore'!$Q$10:$Q$1341,12*Output!A86-0))*(AND(A86&gt;1,R86&lt;20))*($CY$21)</f>
        <v>0</v>
      </c>
      <c r="CZ86" s="175">
        <f t="shared" si="34"/>
        <v>0</v>
      </c>
      <c r="DE86" s="43">
        <f>IF($DE$23,0,VLOOKUP(IF(A86&lt;=DP,DJ86,DI86),SSV!$B$6:$C$116,2,FALSE)*VLOOKUP(AnnuityOption,'All Options'!$AB$36:$AC$47,2,FALSE)*VLOOKUP('All Options'!$E$22,'Valid Data-GPG'!$B$130:$F$134,MATCH('All Options'!$E$17,'Valid Data-GPG'!$B$130:$F$130,0),0)*'All Options'!$E$17)*(IF(AND(Select="Deferred Annuity",AnnuityOption="Life Annuity"),A86&lt;=DP,1))</f>
        <v>3274327.0531593515</v>
      </c>
      <c r="DF86" s="43">
        <f>IF($DF$23,0,IF($DQ$25,DQ86,IF($DR$25,DR86,VLOOKUP(IF(A86&lt;=DP,DJ86,DI86),SSV!$G$6:$H$116,2,FALSE)*SUM($B$27:B86))))</f>
        <v>1006161.5</v>
      </c>
      <c r="DG86" s="43" t="e">
        <f>IF(A86&lt;=DP,VLOOKUP(DP-A85,SSV!$T$6:$U$15,2,FALSE),1)</f>
        <v>#N/A</v>
      </c>
      <c r="DH86" s="282" t="e">
        <f t="shared" si="46"/>
        <v>#VALUE!</v>
      </c>
      <c r="DI86" s="43">
        <f>IF($DM$26,MIN(Age,'All Options'!$E$21)+A85,IF($DN$26,(Age+A85)-Age+60,IF($DO$26,(Age+A85)-Age+55,Age+A85)))</f>
        <v>60</v>
      </c>
      <c r="DJ86" s="279">
        <f>IF($DM$26,MIN(Age+A86,'All Options'!$E$21+A86),IF($DN$26,(Age+A86)-(Age+$A$27)+60,IF($DO$26,(Age+A86)-(Age+$A$27)+55,Age+A86)))</f>
        <v>60</v>
      </c>
      <c r="DP86" s="43">
        <f t="shared" si="35"/>
        <v>0</v>
      </c>
      <c r="DQ86" s="43">
        <f>IFERROR(VLOOKUP(IF(A86&lt;=DP,DJ86,DI86),SSV!$K$6:$L$91,2,FALSE)*SUM($B$27:B86),0)*($DQ$25)</f>
        <v>0</v>
      </c>
      <c r="DR86" s="43">
        <f>IFERROR(VLOOKUP(IF(A86&lt;=DP,DJ86,DI86),SSV!$O$6:$P$95,2,FALSE)*SUM($B$27:B86),0)*($DR$25)</f>
        <v>0</v>
      </c>
      <c r="DU86" s="175">
        <f t="shared" si="47"/>
        <v>0</v>
      </c>
    </row>
    <row r="87" spans="1:127" x14ac:dyDescent="0.2">
      <c r="A87" s="146">
        <f t="shared" si="48"/>
        <v>0</v>
      </c>
      <c r="B87" s="670">
        <f>IF(PremiumType="Regular Premium",'All Options'!$E$18*'All Options'!$E$22*(AND(Output!A87&lt;=PPT,A87&gt;=1)),'All Options'!$E$18*(A87=1))</f>
        <v>0</v>
      </c>
      <c r="C87" s="671"/>
      <c r="D87" s="103" t="e">
        <f>((VLOOKUP(CONCATENATE($D$14,$D$15),'All Options'!$AB$36:$AC$47,4,0)*VLOOKUP('All Options'!$E$22,'Valid Data-GPG'!$B$130:$F$134,MATCH('All Options'!$E$17,'Valid Data-GPG'!$B$130:$F$130,0),0)*'All Options'!$E$17)*IF(Select="Deferred Annuity",A87&gt;DP,1)+AE87+AF87*AG87*$AG$21)*(A87&gt;0)</f>
        <v>#N/A</v>
      </c>
      <c r="E87" s="103">
        <v>0</v>
      </c>
      <c r="F87" s="103" t="e">
        <f t="shared" si="18"/>
        <v>#N/A</v>
      </c>
      <c r="G87" s="103">
        <f t="shared" si="37"/>
        <v>0</v>
      </c>
      <c r="H87" s="285">
        <f t="shared" si="19"/>
        <v>0</v>
      </c>
      <c r="I87" s="103">
        <f t="shared" si="20"/>
        <v>0</v>
      </c>
      <c r="J87" s="101"/>
      <c r="K87" s="175" t="str">
        <f t="shared" si="49"/>
        <v/>
      </c>
      <c r="L87" s="175"/>
      <c r="M87" s="175"/>
      <c r="N87" s="175"/>
      <c r="O87" s="175"/>
      <c r="P87" s="175"/>
      <c r="Q87" s="175"/>
      <c r="R87" s="175">
        <f t="shared" si="50"/>
        <v>0</v>
      </c>
      <c r="AB87" s="175" t="e">
        <f>(VLOOKUP(CONCATENATE($D$14,$D$15),'All Options'!$AB$36:$AC$47,4,0)*VLOOKUP('All Options'!$E$22,'Valid Data-GPG'!$B$130:$F$134,MATCH('All Options'!$E$17,'Valid Data-GPG'!$B$130:$F$130,0),0)*'All Options'!$E$17)*IF(Select="Deferred Annuity",A87&gt;DP,1)*(A87&gt;0)</f>
        <v>#N/A</v>
      </c>
      <c r="AC87" s="175">
        <f t="shared" si="38"/>
        <v>0</v>
      </c>
      <c r="AD87" s="175">
        <f>SUM($AC$26:AC87)</f>
        <v>0</v>
      </c>
      <c r="AE87" s="175">
        <f t="shared" si="39"/>
        <v>0</v>
      </c>
      <c r="AF87" s="175">
        <f t="shared" si="40"/>
        <v>0</v>
      </c>
      <c r="AG87" s="175" t="b">
        <f>(SUM($AF$26:AF87)&lt;=$AB$17)</f>
        <v>0</v>
      </c>
      <c r="AY87" s="175"/>
      <c r="AZ87" s="66">
        <f>((MAX((SUM($B$26:C87)+(VLOOKUP($AZ$25,'All Options'!$AB$36:$AC$46,2,0)*VLOOKUP('All Options'!$E$22,'Valid Data-GPG'!$B$130:$F$134,MATCH('All Options'!$E$17,'Valid Data-GPG'!$B$130:$F$130,0),0)*'All Options'!$E$17)*(IF(A87&lt;=DP,A87,0))),105%*SUM($B$26:C87)))*(AND(A87&lt;&gt;0,Output!A87&lt;=DP))+(0)*(A87&gt;DP))*$AZ$21</f>
        <v>0</v>
      </c>
      <c r="BA87" s="175" t="e">
        <f>((MAX((SUM($B$26:C87)+(VLOOKUP($BA$25,'All Options'!$AB$36:$AC$46,2,0)*VLOOKUP('All Options'!$E$22,'Valid Data-GPG'!$B$130:$F$134,MATCH('All Options'!$E$17,'Valid Data-GPG'!$B$130:$F$130,0),0)*'All Options'!$E$17)*(IF(A87&lt;=DP,A87,0))),105%*SUM($B$26:C87)))*(Output!A87&lt;=DP)
+MAX((SUM($B$26:C87)+(VLOOKUP($BA$25,'All Options'!$AB$36:$AC$46,2,0)*VLOOKUP('All Options'!$E$22,'Valid Data-GPG'!$B$130:$F$134,MATCH('All Options'!$E$17,'Valid Data-GPG'!$B$130:$F$130,0),0)*'All Options'!$E$17)*DP-D87*(A87-DP)),SUM($B$26:C87))*(A87&gt;DP))*$BA$21</f>
        <v>#N/A</v>
      </c>
      <c r="BB87" s="175">
        <f>((MAX(($AB$17+(VLOOKUP($BB$25,'All Options'!$AB$36:$AC$46,2,0)*VLOOKUP('All Options'!$E$22,'Valid Data-GPG'!$B$130:$F$134,MATCH('All Options'!$E$17,'Valid Data-GPG'!$B$130:$F$130,0),0)*'All Options'!$E$17)*(IF(A87&lt;=DP,A87,0))),105%*$AB$17))*(Output!A87&lt;=DP)+(0)*(A87&gt;DP))*$BB$21</f>
        <v>0</v>
      </c>
      <c r="BC87" s="175" t="e">
        <f>((MAX(($AB$17+(VLOOKUP($BC$25,'All Options'!$AB$36:$AC$46,2,0)*VLOOKUP('All Options'!$E$22,'Valid Data-GPG'!$B$130:$F$134,MATCH('All Options'!$E$17,'Valid Data-GPG'!$B$130:$F$130,0),0)*'All Options'!$E$17)*(IF(A87&lt;=DP,A87,0))),105%*$AB$17))*(Output!A87&lt;=DP)+
MAX(($AB$17+(VLOOKUP($BC$25,'All Options'!$AB$36:$AC$46,2,0)*VLOOKUP('All Options'!$E$22,'Valid Data-GPG'!$B$130:$F$134,MATCH('All Options'!$E$17,'Valid Data-GPG'!$B$130:$F$130,0),0)*'All Options'!$E$17)*DP-D87*(A87-DP)),$AB$17)*(A87&gt;DP))*$BC$21</f>
        <v>#N/A</v>
      </c>
      <c r="BD87" s="175">
        <f ca="1">IFERROR((MAX(($AB$17+(VLOOKUP($BD$25,'All Options'!$AB$36:$AC$46,2,0)*VLOOKUP('All Options'!$E$22,'Valid Data-GPG'!$B$130:$F$134,MATCH('All Options'!$E$17,'Valid Data-GPG'!$B$130:$F$130,0),0)*'All Options'!$E$17)*(IF(A87&lt;=DP,A87,0))),105%*$AB$17))*(Output!A87&lt;=DP)
+MAX(($AB$17+(VLOOKUP($BD$25,'All Options'!$AB$36:$AC$46,2,0)*VLOOKUP('All Options'!$E$22,'Valid Data-GPG'!$B$130:$F$134,MATCH('All Options'!$E$17,'Valid Data-GPG'!$B$130:$F$130,0),0)*'All Options'!$E$17)*DP-D87*(A87-DP)),$AB$17)*(A87&gt;DP),0)*$BD$21</f>
        <v>0</v>
      </c>
      <c r="BE87" s="66">
        <f>IFERROR((MAX(($AB$17+(VLOOKUP($BE$25,'All Options'!$AB$36:$AC$46,2,0)*VLOOKUP('All Options'!$E$22,'Valid Data-GPG'!$B$130:$F$134,MATCH('All Options'!$E$17,'Valid Data-GPG'!$B$130:$F$130,0),0)*'All Options'!$E$17)*(IF(A87&lt;=DP,A87,0))),105%*$AB$17))*(Output!A87&lt;=DP)
+(MAX($AB$17+(VLOOKUP($BE$25,'All Options'!$AB$36:$AC$46,2,0)*VLOOKUP('All Options'!$E$22,'Valid Data-GPG'!$B$130:$F$134,MATCH('All Options'!$E$17,'Valid Data-GPG'!$B$130:$F$130,0),0)*'All Options'!$E$17)*DP-AB87*(A87-DP),$AB$17)*(MAX(A87&lt;=25,K87&lt;85)))*(A87&gt;DP),0)*$BE$21</f>
        <v>0</v>
      </c>
      <c r="BF87" s="175">
        <f>IFERROR((MAX(($AB$17+(VLOOKUP($BF$25,'All Options'!$AB$36:$AC$46,2,0)*VLOOKUP('All Options'!$E$22,'Valid Data-GPG'!$B$130:$F$134,MATCH('All Options'!$E$17,'Valid Data-GPG'!$B$130:$F$130,0),0)*'All Options'!$E$17)*(IF(A87&lt;=DP,A87,0))),105%*$AB$17))*(Output!A87&lt;=DP)
+(MAX($AB$17+(VLOOKUP($BF$25,'All Options'!$AB$36:$AC$46,2,0)*VLOOKUP('All Options'!$E$22,'Valid Data-GPG'!$B$130:$F$134,MATCH('All Options'!$E$17,'Valid Data-GPG'!$B$130:$F$130,0),0)*'All Options'!$E$17)*DP-AB87*(A87-DP),$AB$17)-SUM($AF$26:AF87)*AG87)*(A87&gt;DP)*AG87,0)*$BF$21</f>
        <v>0</v>
      </c>
      <c r="BG87" s="175">
        <f t="shared" si="23"/>
        <v>0</v>
      </c>
      <c r="BH87" s="182">
        <f t="shared" si="41"/>
        <v>5000000</v>
      </c>
      <c r="BI87" s="175">
        <f t="shared" si="24"/>
        <v>0</v>
      </c>
      <c r="BJ87" s="175">
        <f t="shared" si="25"/>
        <v>0</v>
      </c>
      <c r="BK87" s="175">
        <f t="shared" si="26"/>
        <v>0</v>
      </c>
      <c r="BL87" s="175">
        <f t="shared" si="27"/>
        <v>0</v>
      </c>
      <c r="BM87" s="175">
        <f t="shared" si="28"/>
        <v>0</v>
      </c>
      <c r="BN87" s="175">
        <f t="shared" si="29"/>
        <v>0</v>
      </c>
      <c r="BO87" s="182">
        <f t="shared" si="42"/>
        <v>0</v>
      </c>
      <c r="BP87" s="182">
        <f t="shared" si="43"/>
        <v>0</v>
      </c>
      <c r="BQ87" s="182">
        <f>MAX($AB$17-SUM($AF$26:AF87),0)*$BQ$21</f>
        <v>0</v>
      </c>
      <c r="BS87" s="175">
        <f t="shared" si="44"/>
        <v>0</v>
      </c>
      <c r="BT87" s="175">
        <f>IFERROR(IF(A87&lt;=1,0,VLOOKUP(DP,'Valid Data-GPG'!$A$116:$J$122,MATCH(Output!A87,'Valid Data-GPG'!$A$116:$J$116,0),FALSE)*SUM($B$26:C87))*(A87&lt;=DP),0)*$BT$21</f>
        <v>0</v>
      </c>
      <c r="BU87" s="175">
        <f>IFERROR(IF(A87&lt;=1,0,VLOOKUP(DP,'Valid Data-GPG'!$A$116:$J$122,MATCH(Output!A87,'Valid Data-GPG'!$A$116:$J$116,0),FALSE)*SUM($B$26:C87))*(A87&lt;=DP),0)*$BU$21</f>
        <v>0</v>
      </c>
      <c r="BV87" s="175">
        <f t="shared" si="45"/>
        <v>0</v>
      </c>
      <c r="BW87" s="175">
        <f t="shared" si="51"/>
        <v>0</v>
      </c>
      <c r="BX87" s="175">
        <f t="shared" si="52"/>
        <v>0</v>
      </c>
      <c r="BY87" s="175">
        <f t="shared" si="53"/>
        <v>0</v>
      </c>
      <c r="BZ87" s="175">
        <f t="shared" si="54"/>
        <v>0</v>
      </c>
      <c r="CA87" s="175">
        <f>(INDEX('SV calc_ignore'!$J$10:$J$1341,12*Output!A87-0))*BS87</f>
        <v>0</v>
      </c>
      <c r="CB87" s="175">
        <f t="shared" si="30"/>
        <v>0</v>
      </c>
      <c r="CC87" s="175">
        <f>(INDEX('SV calc_ignore'!$J$10:$J$1341,12*Output!A87-0))*BS87</f>
        <v>0</v>
      </c>
      <c r="CD87" s="175">
        <f t="shared" si="31"/>
        <v>0</v>
      </c>
      <c r="CE87" s="66">
        <f>(INDEX('SV calc_ignore'!$J$10:$J$1341,12*Output!A87-0))*($CE$21)</f>
        <v>0</v>
      </c>
      <c r="CF87" s="175">
        <f t="shared" si="32"/>
        <v>0</v>
      </c>
      <c r="CG87" s="175">
        <f>(INDEX('SV calc_ignore'!$J$10:$J$1341,12*Output!A87-0))*($CG$21)*(A87&gt;1)</f>
        <v>0</v>
      </c>
      <c r="CH87" s="175">
        <f>(INDEX('SV calc_ignore'!$J$10:$J$1341,12*Output!A87-0))*($CH$21)*(A87&gt;1)</f>
        <v>0</v>
      </c>
      <c r="CI87" s="175"/>
      <c r="CJ87" s="66">
        <f>(INDEX('SV calc_ignore'!$J$10:$J$1341,12*Output!A87-0))*($CJ$21)*(A87&gt;1)</f>
        <v>0</v>
      </c>
      <c r="CK87" s="66">
        <f>(INDEX('SV calc_ignore'!$Q$10:$Q$1341,12*Output!A87-0))*(AND(A87&gt;1,R87&lt;20))*($CK$21)</f>
        <v>0</v>
      </c>
      <c r="CL87" s="66">
        <f t="shared" si="33"/>
        <v>0</v>
      </c>
      <c r="CM87" s="175">
        <f>((INDEX('SV calc_ignore'!$J$10:$J$1341,12*Output!A87-0))+(INDEX('SV calc_ignore'!$O$10:$O$1341,12*Output!A87-0))*(A87&lt;'SV calc_ignore'!$Q$5))*(A87&gt;1)*($CM$21)</f>
        <v>0</v>
      </c>
      <c r="CN87" s="175">
        <v>0</v>
      </c>
      <c r="CO87" s="175">
        <f>(INDEX('SV calc_ignore'!$J$10:$J$1341,12*Output!A87-0))*(A87&gt;1)*($CO$21)</f>
        <v>0</v>
      </c>
      <c r="CP87" s="175">
        <v>0</v>
      </c>
      <c r="CQ87" s="175">
        <v>0</v>
      </c>
      <c r="CR87" s="175">
        <v>0</v>
      </c>
      <c r="CS87" s="175">
        <v>0</v>
      </c>
      <c r="CT87" s="175">
        <v>0</v>
      </c>
      <c r="CU87" s="175">
        <v>0</v>
      </c>
      <c r="CV87" s="175">
        <f>(INDEX('SV calc_ignore'!$J$10:$J$1341,12*Output!A87-0))*(A87&gt;1)*($CV$21)</f>
        <v>0</v>
      </c>
      <c r="CW87" s="66">
        <f>((INDEX('SV calc_ignore'!$J$10:$J$1341,12*Output!A87-0))+(INDEX('SV calc_ignore'!$O$10:$O$1351,12*Output!A87-0))*(A87&lt;'SV calc_ignore'!$Q$5))*(A87&gt;1)*($CW$21)</f>
        <v>0</v>
      </c>
      <c r="CX87" s="175">
        <f>(INDEX('SV calc_ignore'!$J$10:$J$1341,12*Output!A87-0))*(A87&gt;1)*($CX$21)</f>
        <v>0</v>
      </c>
      <c r="CY87" s="175">
        <f>(INDEX('SV calc_ignore'!$Q$10:$Q$1341,12*Output!A87-0))*(AND(A87&gt;1,R87&lt;20))*($CY$21)</f>
        <v>0</v>
      </c>
      <c r="CZ87" s="175">
        <f t="shared" si="34"/>
        <v>0</v>
      </c>
      <c r="DE87" s="43">
        <f>IF($DE$23,0,VLOOKUP(IF(A87&lt;=DP,DJ87,DI87),SSV!$B$6:$C$116,2,FALSE)*VLOOKUP(AnnuityOption,'All Options'!$AB$36:$AC$47,2,FALSE)*VLOOKUP('All Options'!$E$22,'Valid Data-GPG'!$B$130:$F$134,MATCH('All Options'!$E$17,'Valid Data-GPG'!$B$130:$F$130,0),0)*'All Options'!$E$17)*(IF(AND(Select="Deferred Annuity",AnnuityOption="Life Annuity"),A87&lt;=DP,1))</f>
        <v>3274327.0531593515</v>
      </c>
      <c r="DF87" s="43">
        <f>IF($DF$23,0,IF($DQ$25,DQ87,IF($DR$25,DR87,VLOOKUP(IF(A87&lt;=DP,DJ87,DI87),SSV!$G$6:$H$116,2,FALSE)*SUM($B$27:B87))))</f>
        <v>1006161.5</v>
      </c>
      <c r="DG87" s="43" t="e">
        <f>IF(A87&lt;=DP,VLOOKUP(DP-A86,SSV!$T$6:$U$15,2,FALSE),1)</f>
        <v>#N/A</v>
      </c>
      <c r="DH87" s="282" t="e">
        <f t="shared" si="46"/>
        <v>#VALUE!</v>
      </c>
      <c r="DI87" s="43">
        <f>IF($DM$26,MIN(Age,'All Options'!$E$21)+A86,IF($DN$26,(Age+A86)-Age+60,IF($DO$26,(Age+A86)-Age+55,Age+A86)))</f>
        <v>60</v>
      </c>
      <c r="DJ87" s="279">
        <f>IF($DM$26,MIN(Age+A87,'All Options'!$E$21+A87),IF($DN$26,(Age+A87)-(Age+$A$27)+60,IF($DO$26,(Age+A87)-(Age+$A$27)+55,Age+A87)))</f>
        <v>60</v>
      </c>
      <c r="DP87" s="43">
        <f t="shared" si="35"/>
        <v>0</v>
      </c>
      <c r="DQ87" s="43">
        <f>IFERROR(VLOOKUP(IF(A87&lt;=DP,DJ87,DI87),SSV!$K$6:$L$91,2,FALSE)*SUM($B$27:B87),0)*($DQ$25)</f>
        <v>0</v>
      </c>
      <c r="DR87" s="43">
        <f>IFERROR(VLOOKUP(IF(A87&lt;=DP,DJ87,DI87),SSV!$O$6:$P$95,2,FALSE)*SUM($B$27:B87),0)*($DR$25)</f>
        <v>0</v>
      </c>
      <c r="DU87" s="175">
        <f t="shared" si="47"/>
        <v>0</v>
      </c>
    </row>
    <row r="88" spans="1:127" ht="12.75" customHeight="1" x14ac:dyDescent="0.2">
      <c r="A88" s="146">
        <f t="shared" si="48"/>
        <v>0</v>
      </c>
      <c r="B88" s="670">
        <f>IF(PremiumType="Regular Premium",'All Options'!$E$18*'All Options'!$E$22*(AND(Output!A88&lt;=PPT,A88&gt;=1)),'All Options'!$E$18*(A88=1))</f>
        <v>0</v>
      </c>
      <c r="C88" s="671"/>
      <c r="D88" s="103" t="e">
        <f>((VLOOKUP(CONCATENATE($D$14,$D$15),'All Options'!$AB$36:$AC$47,4,0)*VLOOKUP('All Options'!$E$22,'Valid Data-GPG'!$B$130:$F$134,MATCH('All Options'!$E$17,'Valid Data-GPG'!$B$130:$F$130,0),0)*'All Options'!$E$17)*IF(Select="Deferred Annuity",A88&gt;DP,1)+AE88+AF88*AG88*$AG$21)*(A88&gt;0)</f>
        <v>#N/A</v>
      </c>
      <c r="E88" s="103">
        <v>0</v>
      </c>
      <c r="F88" s="103" t="e">
        <f t="shared" si="18"/>
        <v>#N/A</v>
      </c>
      <c r="G88" s="103">
        <f t="shared" si="37"/>
        <v>0</v>
      </c>
      <c r="H88" s="285">
        <f t="shared" si="19"/>
        <v>0</v>
      </c>
      <c r="I88" s="103">
        <f t="shared" si="20"/>
        <v>0</v>
      </c>
      <c r="J88" s="44"/>
      <c r="K88" s="175" t="str">
        <f t="shared" si="49"/>
        <v/>
      </c>
      <c r="L88" s="175"/>
      <c r="M88" s="175"/>
      <c r="N88" s="175"/>
      <c r="O88" s="175"/>
      <c r="P88" s="175"/>
      <c r="Q88" s="175"/>
      <c r="R88" s="175">
        <f t="shared" si="50"/>
        <v>0</v>
      </c>
      <c r="S88" s="44"/>
      <c r="T88" s="44"/>
      <c r="AB88" s="175" t="e">
        <f>(VLOOKUP(CONCATENATE($D$14,$D$15),'All Options'!$AB$36:$AC$47,4,0)*VLOOKUP('All Options'!$E$22,'Valid Data-GPG'!$B$130:$F$134,MATCH('All Options'!$E$17,'Valid Data-GPG'!$B$130:$F$130,0),0)*'All Options'!$E$17)*IF(Select="Deferred Annuity",A88&gt;DP,1)*(A88&gt;0)</f>
        <v>#N/A</v>
      </c>
      <c r="AC88" s="175">
        <f t="shared" si="38"/>
        <v>0</v>
      </c>
      <c r="AD88" s="175">
        <f>SUM($AC$26:AC88)</f>
        <v>0</v>
      </c>
      <c r="AE88" s="175">
        <f t="shared" si="39"/>
        <v>0</v>
      </c>
      <c r="AF88" s="175">
        <f t="shared" si="40"/>
        <v>0</v>
      </c>
      <c r="AG88" s="175" t="b">
        <f>(SUM($AF$26:AF88)&lt;=$AB$17)</f>
        <v>0</v>
      </c>
      <c r="AK88" s="44"/>
      <c r="AL88" s="44"/>
      <c r="AM88" s="44"/>
      <c r="AN88" s="44"/>
      <c r="AO88" s="44"/>
      <c r="AP88" s="44"/>
      <c r="AQ88" s="44"/>
      <c r="AR88" s="44"/>
      <c r="AS88" s="44"/>
      <c r="AT88" s="44"/>
      <c r="AU88" s="44"/>
      <c r="AV88" s="44"/>
      <c r="AW88" s="44"/>
      <c r="AX88" s="44"/>
      <c r="AY88" s="175"/>
      <c r="AZ88" s="66">
        <f>((MAX((SUM($B$26:C88)+(VLOOKUP($AZ$25,'All Options'!$AB$36:$AC$46,2,0)*VLOOKUP('All Options'!$E$22,'Valid Data-GPG'!$B$130:$F$134,MATCH('All Options'!$E$17,'Valid Data-GPG'!$B$130:$F$130,0),0)*'All Options'!$E$17)*(IF(A88&lt;=DP,A88,0))),105%*SUM($B$26:C88)))*(AND(A88&lt;&gt;0,Output!A88&lt;=DP))+(0)*(A88&gt;DP))*$AZ$21</f>
        <v>0</v>
      </c>
      <c r="BA88" s="175" t="e">
        <f>((MAX((SUM($B$26:C88)+(VLOOKUP($BA$25,'All Options'!$AB$36:$AC$46,2,0)*VLOOKUP('All Options'!$E$22,'Valid Data-GPG'!$B$130:$F$134,MATCH('All Options'!$E$17,'Valid Data-GPG'!$B$130:$F$130,0),0)*'All Options'!$E$17)*(IF(A88&lt;=DP,A88,0))),105%*SUM($B$26:C88)))*(Output!A88&lt;=DP)
+MAX((SUM($B$26:C88)+(VLOOKUP($BA$25,'All Options'!$AB$36:$AC$46,2,0)*VLOOKUP('All Options'!$E$22,'Valid Data-GPG'!$B$130:$F$134,MATCH('All Options'!$E$17,'Valid Data-GPG'!$B$130:$F$130,0),0)*'All Options'!$E$17)*DP-D88*(A88-DP)),SUM($B$26:C88))*(A88&gt;DP))*$BA$21</f>
        <v>#N/A</v>
      </c>
      <c r="BB88" s="175">
        <f>((MAX(($AB$17+(VLOOKUP($BB$25,'All Options'!$AB$36:$AC$46,2,0)*VLOOKUP('All Options'!$E$22,'Valid Data-GPG'!$B$130:$F$134,MATCH('All Options'!$E$17,'Valid Data-GPG'!$B$130:$F$130,0),0)*'All Options'!$E$17)*(IF(A88&lt;=DP,A88,0))),105%*$AB$17))*(Output!A88&lt;=DP)+(0)*(A88&gt;DP))*$BB$21</f>
        <v>0</v>
      </c>
      <c r="BC88" s="175" t="e">
        <f>((MAX(($AB$17+(VLOOKUP($BC$25,'All Options'!$AB$36:$AC$46,2,0)*VLOOKUP('All Options'!$E$22,'Valid Data-GPG'!$B$130:$F$134,MATCH('All Options'!$E$17,'Valid Data-GPG'!$B$130:$F$130,0),0)*'All Options'!$E$17)*(IF(A88&lt;=DP,A88,0))),105%*$AB$17))*(Output!A88&lt;=DP)+
MAX(($AB$17+(VLOOKUP($BC$25,'All Options'!$AB$36:$AC$46,2,0)*VLOOKUP('All Options'!$E$22,'Valid Data-GPG'!$B$130:$F$134,MATCH('All Options'!$E$17,'Valid Data-GPG'!$B$130:$F$130,0),0)*'All Options'!$E$17)*DP-D88*(A88-DP)),$AB$17)*(A88&gt;DP))*$BC$21</f>
        <v>#N/A</v>
      </c>
      <c r="BD88" s="175">
        <f ca="1">IFERROR((MAX(($AB$17+(VLOOKUP($BD$25,'All Options'!$AB$36:$AC$46,2,0)*VLOOKUP('All Options'!$E$22,'Valid Data-GPG'!$B$130:$F$134,MATCH('All Options'!$E$17,'Valid Data-GPG'!$B$130:$F$130,0),0)*'All Options'!$E$17)*(IF(A88&lt;=DP,A88,0))),105%*$AB$17))*(Output!A88&lt;=DP)
+MAX(($AB$17+(VLOOKUP($BD$25,'All Options'!$AB$36:$AC$46,2,0)*VLOOKUP('All Options'!$E$22,'Valid Data-GPG'!$B$130:$F$134,MATCH('All Options'!$E$17,'Valid Data-GPG'!$B$130:$F$130,0),0)*'All Options'!$E$17)*DP-D88*(A88-DP)),$AB$17)*(A88&gt;DP),0)*$BD$21</f>
        <v>0</v>
      </c>
      <c r="BE88" s="66">
        <f>IFERROR((MAX(($AB$17+(VLOOKUP($BE$25,'All Options'!$AB$36:$AC$46,2,0)*VLOOKUP('All Options'!$E$22,'Valid Data-GPG'!$B$130:$F$134,MATCH('All Options'!$E$17,'Valid Data-GPG'!$B$130:$F$130,0),0)*'All Options'!$E$17)*(IF(A88&lt;=DP,A88,0))),105%*$AB$17))*(Output!A88&lt;=DP)
+(MAX($AB$17+(VLOOKUP($BE$25,'All Options'!$AB$36:$AC$46,2,0)*VLOOKUP('All Options'!$E$22,'Valid Data-GPG'!$B$130:$F$134,MATCH('All Options'!$E$17,'Valid Data-GPG'!$B$130:$F$130,0),0)*'All Options'!$E$17)*DP-AB88*(A88-DP),$AB$17)*(MAX(A88&lt;=25,K88&lt;85)))*(A88&gt;DP),0)*$BE$21</f>
        <v>0</v>
      </c>
      <c r="BF88" s="175">
        <f>IFERROR((MAX(($AB$17+(VLOOKUP($BF$25,'All Options'!$AB$36:$AC$46,2,0)*VLOOKUP('All Options'!$E$22,'Valid Data-GPG'!$B$130:$F$134,MATCH('All Options'!$E$17,'Valid Data-GPG'!$B$130:$F$130,0),0)*'All Options'!$E$17)*(IF(A88&lt;=DP,A88,0))),105%*$AB$17))*(Output!A88&lt;=DP)
+(MAX($AB$17+(VLOOKUP($BF$25,'All Options'!$AB$36:$AC$46,2,0)*VLOOKUP('All Options'!$E$22,'Valid Data-GPG'!$B$130:$F$134,MATCH('All Options'!$E$17,'Valid Data-GPG'!$B$130:$F$130,0),0)*'All Options'!$E$17)*DP-AB88*(A88-DP),$AB$17)-SUM($AF$26:AF88)*AG88)*(A88&gt;DP)*AG88,0)*$BF$21</f>
        <v>0</v>
      </c>
      <c r="BG88" s="175">
        <f t="shared" si="23"/>
        <v>0</v>
      </c>
      <c r="BH88" s="182">
        <f t="shared" si="41"/>
        <v>5000000</v>
      </c>
      <c r="BI88" s="175">
        <f t="shared" si="24"/>
        <v>0</v>
      </c>
      <c r="BJ88" s="175">
        <f t="shared" si="25"/>
        <v>0</v>
      </c>
      <c r="BK88" s="175">
        <f t="shared" si="26"/>
        <v>0</v>
      </c>
      <c r="BL88" s="175">
        <f t="shared" si="27"/>
        <v>0</v>
      </c>
      <c r="BM88" s="175">
        <f t="shared" si="28"/>
        <v>0</v>
      </c>
      <c r="BN88" s="175">
        <f t="shared" si="29"/>
        <v>0</v>
      </c>
      <c r="BO88" s="182">
        <f t="shared" si="42"/>
        <v>0</v>
      </c>
      <c r="BP88" s="182">
        <f t="shared" si="43"/>
        <v>0</v>
      </c>
      <c r="BQ88" s="182">
        <f>MAX($AB$17-SUM($AF$26:AF88),0)*$BQ$21</f>
        <v>0</v>
      </c>
      <c r="BS88" s="175">
        <f t="shared" si="44"/>
        <v>0</v>
      </c>
      <c r="BT88" s="175">
        <f>IFERROR(IF(A88&lt;=1,0,VLOOKUP(DP,'Valid Data-GPG'!$A$116:$J$122,MATCH(Output!A88,'Valid Data-GPG'!$A$116:$J$116,0),FALSE)*SUM($B$26:C88))*(A88&lt;=DP),0)*$BT$21</f>
        <v>0</v>
      </c>
      <c r="BU88" s="175">
        <f>IFERROR(IF(A88&lt;=1,0,VLOOKUP(DP,'Valid Data-GPG'!$A$116:$J$122,MATCH(Output!A88,'Valid Data-GPG'!$A$116:$J$116,0),FALSE)*SUM($B$26:C88))*(A88&lt;=DP),0)*$BU$21</f>
        <v>0</v>
      </c>
      <c r="BV88" s="175">
        <f t="shared" si="45"/>
        <v>0</v>
      </c>
      <c r="BW88" s="175">
        <f t="shared" si="51"/>
        <v>0</v>
      </c>
      <c r="BX88" s="175">
        <f t="shared" si="52"/>
        <v>0</v>
      </c>
      <c r="BY88" s="175">
        <f t="shared" si="53"/>
        <v>0</v>
      </c>
      <c r="BZ88" s="175">
        <f t="shared" si="54"/>
        <v>0</v>
      </c>
      <c r="CA88" s="175">
        <f>(INDEX('SV calc_ignore'!$J$10:$J$1341,12*Output!A88-0))*BS88</f>
        <v>0</v>
      </c>
      <c r="CB88" s="175">
        <f t="shared" si="30"/>
        <v>0</v>
      </c>
      <c r="CC88" s="175">
        <f>(INDEX('SV calc_ignore'!$J$10:$J$1341,12*Output!A88-0))*BS88</f>
        <v>0</v>
      </c>
      <c r="CD88" s="175">
        <f t="shared" si="31"/>
        <v>0</v>
      </c>
      <c r="CE88" s="66">
        <f>(INDEX('SV calc_ignore'!$J$10:$J$1341,12*Output!A88-0))*($CE$21)</f>
        <v>0</v>
      </c>
      <c r="CF88" s="175">
        <f t="shared" si="32"/>
        <v>0</v>
      </c>
      <c r="CG88" s="175">
        <f>(INDEX('SV calc_ignore'!$J$10:$J$1341,12*Output!A88-0))*($CG$21)*(A88&gt;1)</f>
        <v>0</v>
      </c>
      <c r="CH88" s="175">
        <f>(INDEX('SV calc_ignore'!$J$10:$J$1341,12*Output!A88-0))*($CH$21)*(A88&gt;1)</f>
        <v>0</v>
      </c>
      <c r="CI88" s="175"/>
      <c r="CJ88" s="66">
        <f>(INDEX('SV calc_ignore'!$J$10:$J$1341,12*Output!A88-0))*($CJ$21)*(A88&gt;1)</f>
        <v>0</v>
      </c>
      <c r="CK88" s="66">
        <f>(INDEX('SV calc_ignore'!$Q$10:$Q$1341,12*Output!A88-0))*(AND(A88&gt;1,R88&lt;20))*($CK$21)</f>
        <v>0</v>
      </c>
      <c r="CL88" s="66">
        <f t="shared" si="33"/>
        <v>0</v>
      </c>
      <c r="CM88" s="175">
        <f>((INDEX('SV calc_ignore'!$J$10:$J$1341,12*Output!A88-0))+(INDEX('SV calc_ignore'!$O$10:$O$1341,12*Output!A88-0))*(A88&lt;'SV calc_ignore'!$Q$5))*(A88&gt;1)*($CM$21)</f>
        <v>0</v>
      </c>
      <c r="CN88" s="175">
        <v>0</v>
      </c>
      <c r="CO88" s="175">
        <f>(INDEX('SV calc_ignore'!$J$10:$J$1341,12*Output!A88-0))*(A88&gt;1)*($CO$21)</f>
        <v>0</v>
      </c>
      <c r="CP88" s="175">
        <v>0</v>
      </c>
      <c r="CQ88" s="175">
        <v>0</v>
      </c>
      <c r="CR88" s="175">
        <v>0</v>
      </c>
      <c r="CS88" s="175">
        <v>0</v>
      </c>
      <c r="CT88" s="175">
        <v>0</v>
      </c>
      <c r="CU88" s="175">
        <v>0</v>
      </c>
      <c r="CV88" s="175">
        <f>(INDEX('SV calc_ignore'!$J$10:$J$1341,12*Output!A88-0))*(A88&gt;1)*($CV$21)</f>
        <v>0</v>
      </c>
      <c r="CW88" s="66">
        <f>((INDEX('SV calc_ignore'!$J$10:$J$1341,12*Output!A88-0))+(INDEX('SV calc_ignore'!$O$10:$O$1351,12*Output!A88-0))*(A88&lt;'SV calc_ignore'!$Q$5))*(A88&gt;1)*($CW$21)</f>
        <v>0</v>
      </c>
      <c r="CX88" s="175">
        <f>(INDEX('SV calc_ignore'!$J$10:$J$1341,12*Output!A88-0))*(A88&gt;1)*($CX$21)</f>
        <v>0</v>
      </c>
      <c r="CY88" s="175">
        <f>(INDEX('SV calc_ignore'!$Q$10:$Q$1341,12*Output!A88-0))*(AND(A88&gt;1,R88&lt;20))*($CY$21)</f>
        <v>0</v>
      </c>
      <c r="CZ88" s="175">
        <f t="shared" si="34"/>
        <v>0</v>
      </c>
      <c r="DA88" s="44"/>
      <c r="DB88" s="44"/>
      <c r="DC88" s="44"/>
      <c r="DE88" s="43">
        <f>IF($DE$23,0,VLOOKUP(IF(A88&lt;=DP,DJ88,DI88),SSV!$B$6:$C$116,2,FALSE)*VLOOKUP(AnnuityOption,'All Options'!$AB$36:$AC$47,2,FALSE)*VLOOKUP('All Options'!$E$22,'Valid Data-GPG'!$B$130:$F$134,MATCH('All Options'!$E$17,'Valid Data-GPG'!$B$130:$F$130,0),0)*'All Options'!$E$17)*(IF(AND(Select="Deferred Annuity",AnnuityOption="Life Annuity"),A88&lt;=DP,1))</f>
        <v>3274327.0531593515</v>
      </c>
      <c r="DF88" s="43">
        <f>IF($DF$23,0,IF($DQ$25,DQ88,IF($DR$25,DR88,VLOOKUP(IF(A88&lt;=DP,DJ88,DI88),SSV!$G$6:$H$116,2,FALSE)*SUM($B$27:B88))))</f>
        <v>1006161.5</v>
      </c>
      <c r="DG88" s="43" t="e">
        <f>IF(A88&lt;=DP,VLOOKUP(DP-A87,SSV!$T$6:$U$15,2,FALSE),1)</f>
        <v>#N/A</v>
      </c>
      <c r="DH88" s="282" t="e">
        <f t="shared" si="46"/>
        <v>#VALUE!</v>
      </c>
      <c r="DI88" s="43">
        <f>IF($DM$26,MIN(Age,'All Options'!$E$21)+A87,IF($DN$26,(Age+A87)-Age+60,IF($DO$26,(Age+A87)-Age+55,Age+A87)))</f>
        <v>60</v>
      </c>
      <c r="DJ88" s="279">
        <f>IF($DM$26,MIN(Age+A88,'All Options'!$E$21+A88),IF($DN$26,(Age+A88)-(Age+$A$27)+60,IF($DO$26,(Age+A88)-(Age+$A$27)+55,Age+A88)))</f>
        <v>60</v>
      </c>
      <c r="DK88" s="44"/>
      <c r="DL88" s="44"/>
      <c r="DM88" s="44"/>
      <c r="DN88" s="44"/>
      <c r="DO88" s="44"/>
      <c r="DP88" s="43">
        <f t="shared" si="35"/>
        <v>0</v>
      </c>
      <c r="DQ88" s="43">
        <f>IFERROR(VLOOKUP(IF(A88&lt;=DP,DJ88,DI88),SSV!$K$6:$L$91,2,FALSE)*SUM($B$27:B88),0)*($DQ$25)</f>
        <v>0</v>
      </c>
      <c r="DR88" s="43">
        <f>IFERROR(VLOOKUP(IF(A88&lt;=DP,DJ88,DI88),SSV!$O$6:$P$95,2,FALSE)*SUM($B$27:B88),0)*($DR$25)</f>
        <v>0</v>
      </c>
      <c r="DS88" s="44"/>
      <c r="DT88" s="44"/>
      <c r="DU88" s="175">
        <f t="shared" si="47"/>
        <v>0</v>
      </c>
      <c r="DV88" s="44"/>
      <c r="DW88" s="44"/>
    </row>
    <row r="89" spans="1:127" x14ac:dyDescent="0.2">
      <c r="A89" s="146">
        <f t="shared" si="48"/>
        <v>0</v>
      </c>
      <c r="B89" s="670">
        <f>IF(PremiumType="Regular Premium",'All Options'!$E$18*'All Options'!$E$22*(AND(Output!A89&lt;=PPT,A89&gt;=1)),'All Options'!$E$18*(A89=1))</f>
        <v>0</v>
      </c>
      <c r="C89" s="671"/>
      <c r="D89" s="103" t="e">
        <f>((VLOOKUP(CONCATENATE($D$14,$D$15),'All Options'!$AB$36:$AC$47,4,0)*VLOOKUP('All Options'!$E$22,'Valid Data-GPG'!$B$130:$F$134,MATCH('All Options'!$E$17,'Valid Data-GPG'!$B$130:$F$130,0),0)*'All Options'!$E$17)*IF(Select="Deferred Annuity",A89&gt;DP,1)+AE89+AF89*AG89*$AG$21)*(A89&gt;0)</f>
        <v>#N/A</v>
      </c>
      <c r="E89" s="103">
        <v>0</v>
      </c>
      <c r="F89" s="103" t="e">
        <f t="shared" si="18"/>
        <v>#N/A</v>
      </c>
      <c r="G89" s="103">
        <f t="shared" si="37"/>
        <v>0</v>
      </c>
      <c r="H89" s="285">
        <f t="shared" si="19"/>
        <v>0</v>
      </c>
      <c r="I89" s="103">
        <f t="shared" si="20"/>
        <v>0</v>
      </c>
      <c r="J89" s="44"/>
      <c r="K89" s="175" t="str">
        <f t="shared" si="49"/>
        <v/>
      </c>
      <c r="L89" s="175"/>
      <c r="M89" s="175"/>
      <c r="N89" s="175"/>
      <c r="O89" s="175"/>
      <c r="P89" s="175"/>
      <c r="Q89" s="175"/>
      <c r="R89" s="175">
        <f t="shared" si="50"/>
        <v>0</v>
      </c>
      <c r="S89" s="44"/>
      <c r="T89" s="44"/>
      <c r="AB89" s="175" t="e">
        <f>(VLOOKUP(CONCATENATE($D$14,$D$15),'All Options'!$AB$36:$AC$47,4,0)*VLOOKUP('All Options'!$E$22,'Valid Data-GPG'!$B$130:$F$134,MATCH('All Options'!$E$17,'Valid Data-GPG'!$B$130:$F$130,0),0)*'All Options'!$E$17)*IF(Select="Deferred Annuity",A89&gt;DP,1)*(A89&gt;0)</f>
        <v>#N/A</v>
      </c>
      <c r="AC89" s="175">
        <f t="shared" si="38"/>
        <v>0</v>
      </c>
      <c r="AD89" s="175">
        <f>SUM($AC$26:AC89)</f>
        <v>0</v>
      </c>
      <c r="AE89" s="175">
        <f t="shared" si="39"/>
        <v>0</v>
      </c>
      <c r="AF89" s="175">
        <f t="shared" si="40"/>
        <v>0</v>
      </c>
      <c r="AG89" s="175" t="b">
        <f>(SUM($AF$26:AF89)&lt;=$AB$17)</f>
        <v>0</v>
      </c>
      <c r="AK89" s="44"/>
      <c r="AL89" s="44"/>
      <c r="AM89" s="44"/>
      <c r="AN89" s="44"/>
      <c r="AO89" s="44"/>
      <c r="AP89" s="44"/>
      <c r="AQ89" s="44"/>
      <c r="AR89" s="44"/>
      <c r="AS89" s="44"/>
      <c r="AT89" s="44"/>
      <c r="AU89" s="44"/>
      <c r="AV89" s="44"/>
      <c r="AW89" s="44"/>
      <c r="AX89" s="44"/>
      <c r="AY89" s="175"/>
      <c r="AZ89" s="66">
        <f>((MAX((SUM($B$26:C89)+(VLOOKUP($AZ$25,'All Options'!$AB$36:$AC$46,2,0)*VLOOKUP('All Options'!$E$22,'Valid Data-GPG'!$B$130:$F$134,MATCH('All Options'!$E$17,'Valid Data-GPG'!$B$130:$F$130,0),0)*'All Options'!$E$17)*(IF(A89&lt;=DP,A89,0))),105%*SUM($B$26:C89)))*(AND(A89&lt;&gt;0,Output!A89&lt;=DP))+(0)*(A89&gt;DP))*$AZ$21</f>
        <v>0</v>
      </c>
      <c r="BA89" s="175" t="e">
        <f>((MAX((SUM($B$26:C89)+(VLOOKUP($BA$25,'All Options'!$AB$36:$AC$46,2,0)*VLOOKUP('All Options'!$E$22,'Valid Data-GPG'!$B$130:$F$134,MATCH('All Options'!$E$17,'Valid Data-GPG'!$B$130:$F$130,0),0)*'All Options'!$E$17)*(IF(A89&lt;=DP,A89,0))),105%*SUM($B$26:C89)))*(Output!A89&lt;=DP)
+MAX((SUM($B$26:C89)+(VLOOKUP($BA$25,'All Options'!$AB$36:$AC$46,2,0)*VLOOKUP('All Options'!$E$22,'Valid Data-GPG'!$B$130:$F$134,MATCH('All Options'!$E$17,'Valid Data-GPG'!$B$130:$F$130,0),0)*'All Options'!$E$17)*DP-D89*(A89-DP)),SUM($B$26:C89))*(A89&gt;DP))*$BA$21</f>
        <v>#N/A</v>
      </c>
      <c r="BB89" s="175">
        <f>((MAX(($AB$17+(VLOOKUP($BB$25,'All Options'!$AB$36:$AC$46,2,0)*VLOOKUP('All Options'!$E$22,'Valid Data-GPG'!$B$130:$F$134,MATCH('All Options'!$E$17,'Valid Data-GPG'!$B$130:$F$130,0),0)*'All Options'!$E$17)*(IF(A89&lt;=DP,A89,0))),105%*$AB$17))*(Output!A89&lt;=DP)+(0)*(A89&gt;DP))*$BB$21</f>
        <v>0</v>
      </c>
      <c r="BC89" s="175" t="e">
        <f>((MAX(($AB$17+(VLOOKUP($BC$25,'All Options'!$AB$36:$AC$46,2,0)*VLOOKUP('All Options'!$E$22,'Valid Data-GPG'!$B$130:$F$134,MATCH('All Options'!$E$17,'Valid Data-GPG'!$B$130:$F$130,0),0)*'All Options'!$E$17)*(IF(A89&lt;=DP,A89,0))),105%*$AB$17))*(Output!A89&lt;=DP)+
MAX(($AB$17+(VLOOKUP($BC$25,'All Options'!$AB$36:$AC$46,2,0)*VLOOKUP('All Options'!$E$22,'Valid Data-GPG'!$B$130:$F$134,MATCH('All Options'!$E$17,'Valid Data-GPG'!$B$130:$F$130,0),0)*'All Options'!$E$17)*DP-D89*(A89-DP)),$AB$17)*(A89&gt;DP))*$BC$21</f>
        <v>#N/A</v>
      </c>
      <c r="BD89" s="175">
        <f ca="1">IFERROR((MAX(($AB$17+(VLOOKUP($BD$25,'All Options'!$AB$36:$AC$46,2,0)*VLOOKUP('All Options'!$E$22,'Valid Data-GPG'!$B$130:$F$134,MATCH('All Options'!$E$17,'Valid Data-GPG'!$B$130:$F$130,0),0)*'All Options'!$E$17)*(IF(A89&lt;=DP,A89,0))),105%*$AB$17))*(Output!A89&lt;=DP)
+MAX(($AB$17+(VLOOKUP($BD$25,'All Options'!$AB$36:$AC$46,2,0)*VLOOKUP('All Options'!$E$22,'Valid Data-GPG'!$B$130:$F$134,MATCH('All Options'!$E$17,'Valid Data-GPG'!$B$130:$F$130,0),0)*'All Options'!$E$17)*DP-D89*(A89-DP)),$AB$17)*(A89&gt;DP),0)*$BD$21</f>
        <v>0</v>
      </c>
      <c r="BE89" s="66">
        <f>IFERROR((MAX(($AB$17+(VLOOKUP($BE$25,'All Options'!$AB$36:$AC$46,2,0)*VLOOKUP('All Options'!$E$22,'Valid Data-GPG'!$B$130:$F$134,MATCH('All Options'!$E$17,'Valid Data-GPG'!$B$130:$F$130,0),0)*'All Options'!$E$17)*(IF(A89&lt;=DP,A89,0))),105%*$AB$17))*(Output!A89&lt;=DP)
+(MAX($AB$17+(VLOOKUP($BE$25,'All Options'!$AB$36:$AC$46,2,0)*VLOOKUP('All Options'!$E$22,'Valid Data-GPG'!$B$130:$F$134,MATCH('All Options'!$E$17,'Valid Data-GPG'!$B$130:$F$130,0),0)*'All Options'!$E$17)*DP-AB89*(A89-DP),$AB$17)*(MAX(A89&lt;=25,K89&lt;85)))*(A89&gt;DP),0)*$BE$21</f>
        <v>0</v>
      </c>
      <c r="BF89" s="175">
        <f>IFERROR((MAX(($AB$17+(VLOOKUP($BF$25,'All Options'!$AB$36:$AC$46,2,0)*VLOOKUP('All Options'!$E$22,'Valid Data-GPG'!$B$130:$F$134,MATCH('All Options'!$E$17,'Valid Data-GPG'!$B$130:$F$130,0),0)*'All Options'!$E$17)*(IF(A89&lt;=DP,A89,0))),105%*$AB$17))*(Output!A89&lt;=DP)
+(MAX($AB$17+(VLOOKUP($BF$25,'All Options'!$AB$36:$AC$46,2,0)*VLOOKUP('All Options'!$E$22,'Valid Data-GPG'!$B$130:$F$134,MATCH('All Options'!$E$17,'Valid Data-GPG'!$B$130:$F$130,0),0)*'All Options'!$E$17)*DP-AB89*(A89-DP),$AB$17)-SUM($AF$26:AF89)*AG89)*(A89&gt;DP)*AG89,0)*$BF$21</f>
        <v>0</v>
      </c>
      <c r="BG89" s="175">
        <f t="shared" si="23"/>
        <v>0</v>
      </c>
      <c r="BH89" s="182">
        <f t="shared" si="41"/>
        <v>5000000</v>
      </c>
      <c r="BI89" s="175">
        <f t="shared" si="24"/>
        <v>0</v>
      </c>
      <c r="BJ89" s="175">
        <f t="shared" si="25"/>
        <v>0</v>
      </c>
      <c r="BK89" s="175">
        <f t="shared" si="26"/>
        <v>0</v>
      </c>
      <c r="BL89" s="175">
        <f t="shared" si="27"/>
        <v>0</v>
      </c>
      <c r="BM89" s="175">
        <f t="shared" si="28"/>
        <v>0</v>
      </c>
      <c r="BN89" s="175">
        <f t="shared" si="29"/>
        <v>0</v>
      </c>
      <c r="BO89" s="182">
        <f t="shared" si="42"/>
        <v>0</v>
      </c>
      <c r="BP89" s="182">
        <f t="shared" si="43"/>
        <v>0</v>
      </c>
      <c r="BQ89" s="182">
        <f>MAX($AB$17-SUM($AF$26:AF89),0)*$BQ$21</f>
        <v>0</v>
      </c>
      <c r="BS89" s="175">
        <f t="shared" si="44"/>
        <v>0</v>
      </c>
      <c r="BT89" s="175">
        <f>IFERROR(IF(A89&lt;=1,0,VLOOKUP(DP,'Valid Data-GPG'!$A$116:$J$122,MATCH(Output!A89,'Valid Data-GPG'!$A$116:$J$116,0),FALSE)*SUM($B$26:C89))*(A89&lt;=DP),0)*$BT$21</f>
        <v>0</v>
      </c>
      <c r="BU89" s="175">
        <f>IFERROR(IF(A89&lt;=1,0,VLOOKUP(DP,'Valid Data-GPG'!$A$116:$J$122,MATCH(Output!A89,'Valid Data-GPG'!$A$116:$J$116,0),FALSE)*SUM($B$26:C89))*(A89&lt;=DP),0)*$BU$21</f>
        <v>0</v>
      </c>
      <c r="BV89" s="175">
        <f t="shared" si="45"/>
        <v>0</v>
      </c>
      <c r="BW89" s="175">
        <f t="shared" si="51"/>
        <v>0</v>
      </c>
      <c r="BX89" s="175">
        <f t="shared" si="52"/>
        <v>0</v>
      </c>
      <c r="BY89" s="175">
        <f t="shared" si="53"/>
        <v>0</v>
      </c>
      <c r="BZ89" s="175">
        <f t="shared" si="54"/>
        <v>0</v>
      </c>
      <c r="CA89" s="175">
        <f>(INDEX('SV calc_ignore'!$J$10:$J$1341,12*Output!A89-0))*BS89</f>
        <v>0</v>
      </c>
      <c r="CB89" s="175">
        <f t="shared" si="30"/>
        <v>0</v>
      </c>
      <c r="CC89" s="175">
        <f>(INDEX('SV calc_ignore'!$J$10:$J$1341,12*Output!A89-0))*BS89</f>
        <v>0</v>
      </c>
      <c r="CD89" s="175">
        <f t="shared" si="31"/>
        <v>0</v>
      </c>
      <c r="CE89" s="66">
        <f>(INDEX('SV calc_ignore'!$J$10:$J$1341,12*Output!A89-0))*($CE$21)</f>
        <v>0</v>
      </c>
      <c r="CF89" s="175">
        <f t="shared" si="32"/>
        <v>0</v>
      </c>
      <c r="CG89" s="175">
        <f>(INDEX('SV calc_ignore'!$J$10:$J$1341,12*Output!A89-0))*($CG$21)*(A89&gt;1)</f>
        <v>0</v>
      </c>
      <c r="CH89" s="175">
        <f>(INDEX('SV calc_ignore'!$J$10:$J$1341,12*Output!A89-0))*($CH$21)*(A89&gt;1)</f>
        <v>0</v>
      </c>
      <c r="CI89" s="175"/>
      <c r="CJ89" s="66">
        <f>(INDEX('SV calc_ignore'!$J$10:$J$1341,12*Output!A89-0))*($CJ$21)*(A89&gt;1)</f>
        <v>0</v>
      </c>
      <c r="CK89" s="66">
        <f>(INDEX('SV calc_ignore'!$Q$10:$Q$1341,12*Output!A89-0))*(AND(A89&gt;1,R89&lt;20))*($CK$21)</f>
        <v>0</v>
      </c>
      <c r="CL89" s="66">
        <f t="shared" si="33"/>
        <v>0</v>
      </c>
      <c r="CM89" s="175">
        <f>((INDEX('SV calc_ignore'!$J$10:$J$1341,12*Output!A89-0))+(INDEX('SV calc_ignore'!$O$10:$O$1341,12*Output!A89-0))*(A89&lt;'SV calc_ignore'!$Q$5))*(A89&gt;1)*($CM$21)</f>
        <v>0</v>
      </c>
      <c r="CN89" s="175">
        <v>0</v>
      </c>
      <c r="CO89" s="175">
        <f>(INDEX('SV calc_ignore'!$J$10:$J$1341,12*Output!A89-0))*(A89&gt;1)*($CO$21)</f>
        <v>0</v>
      </c>
      <c r="CP89" s="175">
        <v>0</v>
      </c>
      <c r="CQ89" s="175">
        <v>0</v>
      </c>
      <c r="CR89" s="175">
        <v>0</v>
      </c>
      <c r="CS89" s="175">
        <v>0</v>
      </c>
      <c r="CT89" s="175">
        <v>0</v>
      </c>
      <c r="CU89" s="175">
        <v>0</v>
      </c>
      <c r="CV89" s="175">
        <f>(INDEX('SV calc_ignore'!$J$10:$J$1341,12*Output!A89-0))*(A89&gt;1)*($CV$21)</f>
        <v>0</v>
      </c>
      <c r="CW89" s="66">
        <f>((INDEX('SV calc_ignore'!$J$10:$J$1341,12*Output!A89-0))+(INDEX('SV calc_ignore'!$O$10:$O$1351,12*Output!A89-0))*(A89&lt;'SV calc_ignore'!$Q$5))*(A89&gt;1)*($CW$21)</f>
        <v>0</v>
      </c>
      <c r="CX89" s="175">
        <f>(INDEX('SV calc_ignore'!$J$10:$J$1341,12*Output!A89-0))*(A89&gt;1)*($CX$21)</f>
        <v>0</v>
      </c>
      <c r="CY89" s="175">
        <f>(INDEX('SV calc_ignore'!$Q$10:$Q$1341,12*Output!A89-0))*(AND(A89&gt;1,R89&lt;20))*($CY$21)</f>
        <v>0</v>
      </c>
      <c r="CZ89" s="175">
        <f t="shared" si="34"/>
        <v>0</v>
      </c>
      <c r="DA89" s="44"/>
      <c r="DB89" s="44"/>
      <c r="DC89" s="44"/>
      <c r="DE89" s="43">
        <f>IF($DE$23,0,VLOOKUP(IF(A89&lt;=DP,DJ89,DI89),SSV!$B$6:$C$116,2,FALSE)*VLOOKUP(AnnuityOption,'All Options'!$AB$36:$AC$47,2,FALSE)*VLOOKUP('All Options'!$E$22,'Valid Data-GPG'!$B$130:$F$134,MATCH('All Options'!$E$17,'Valid Data-GPG'!$B$130:$F$130,0),0)*'All Options'!$E$17)*(IF(AND(Select="Deferred Annuity",AnnuityOption="Life Annuity"),A89&lt;=DP,1))</f>
        <v>3274327.0531593515</v>
      </c>
      <c r="DF89" s="43">
        <f>IF($DF$23,0,IF($DQ$25,DQ89,IF($DR$25,DR89,VLOOKUP(IF(A89&lt;=DP,DJ89,DI89),SSV!$G$6:$H$116,2,FALSE)*SUM($B$27:B89))))</f>
        <v>1006161.5</v>
      </c>
      <c r="DG89" s="43" t="e">
        <f>IF(A89&lt;=DP,VLOOKUP(DP-A88,SSV!$T$6:$U$15,2,FALSE),1)</f>
        <v>#N/A</v>
      </c>
      <c r="DH89" s="282" t="e">
        <f t="shared" si="46"/>
        <v>#VALUE!</v>
      </c>
      <c r="DI89" s="43">
        <f>IF($DM$26,MIN(Age,'All Options'!$E$21)+A88,IF($DN$26,(Age+A88)-Age+60,IF($DO$26,(Age+A88)-Age+55,Age+A88)))</f>
        <v>60</v>
      </c>
      <c r="DJ89" s="279">
        <f>IF($DM$26,MIN(Age+A89,'All Options'!$E$21+A89),IF($DN$26,(Age+A89)-(Age+$A$27)+60,IF($DO$26,(Age+A89)-(Age+$A$27)+55,Age+A89)))</f>
        <v>60</v>
      </c>
      <c r="DK89" s="44"/>
      <c r="DL89" s="44"/>
      <c r="DM89" s="44"/>
      <c r="DN89" s="44"/>
      <c r="DO89" s="44"/>
      <c r="DP89" s="43">
        <f t="shared" si="35"/>
        <v>0</v>
      </c>
      <c r="DQ89" s="43">
        <f>IFERROR(VLOOKUP(IF(A89&lt;=DP,DJ89,DI89),SSV!$K$6:$L$91,2,FALSE)*SUM($B$27:B89),0)*($DQ$25)</f>
        <v>0</v>
      </c>
      <c r="DR89" s="43">
        <f>IFERROR(VLOOKUP(IF(A89&lt;=DP,DJ89,DI89),SSV!$O$6:$P$95,2,FALSE)*SUM($B$27:B89),0)*($DR$25)</f>
        <v>0</v>
      </c>
      <c r="DS89" s="44"/>
      <c r="DT89" s="44"/>
      <c r="DU89" s="175">
        <f t="shared" si="47"/>
        <v>0</v>
      </c>
      <c r="DV89" s="44"/>
      <c r="DW89" s="44"/>
    </row>
    <row r="90" spans="1:127" ht="12.75" customHeight="1" x14ac:dyDescent="0.2">
      <c r="A90" s="146">
        <f t="shared" si="48"/>
        <v>0</v>
      </c>
      <c r="B90" s="670">
        <f>IF(PremiumType="Regular Premium",'All Options'!$E$18*'All Options'!$E$22*(AND(Output!A90&lt;=PPT,A90&gt;=1)),'All Options'!$E$18*(A90=1))</f>
        <v>0</v>
      </c>
      <c r="C90" s="671"/>
      <c r="D90" s="103" t="e">
        <f>((VLOOKUP(CONCATENATE($D$14,$D$15),'All Options'!$AB$36:$AC$47,4,0)*VLOOKUP('All Options'!$E$22,'Valid Data-GPG'!$B$130:$F$134,MATCH('All Options'!$E$17,'Valid Data-GPG'!$B$130:$F$130,0),0)*'All Options'!$E$17)*IF(Select="Deferred Annuity",A90&gt;DP,1)+AE90+AF90*AG90*$AG$21)*(A90&gt;0)</f>
        <v>#N/A</v>
      </c>
      <c r="E90" s="103">
        <v>0</v>
      </c>
      <c r="F90" s="103" t="e">
        <f t="shared" si="18"/>
        <v>#N/A</v>
      </c>
      <c r="G90" s="103">
        <f t="shared" si="37"/>
        <v>0</v>
      </c>
      <c r="H90" s="285">
        <f t="shared" si="19"/>
        <v>0</v>
      </c>
      <c r="I90" s="103">
        <f t="shared" si="20"/>
        <v>0</v>
      </c>
      <c r="J90" s="44"/>
      <c r="K90" s="175" t="str">
        <f t="shared" si="49"/>
        <v/>
      </c>
      <c r="L90" s="175"/>
      <c r="M90" s="175"/>
      <c r="N90" s="175"/>
      <c r="O90" s="175"/>
      <c r="P90" s="175"/>
      <c r="Q90" s="175"/>
      <c r="R90" s="175">
        <f t="shared" si="50"/>
        <v>0</v>
      </c>
      <c r="S90" s="44"/>
      <c r="T90" s="44"/>
      <c r="AB90" s="175" t="e">
        <f>(VLOOKUP(CONCATENATE($D$14,$D$15),'All Options'!$AB$36:$AC$47,4,0)*VLOOKUP('All Options'!$E$22,'Valid Data-GPG'!$B$130:$F$134,MATCH('All Options'!$E$17,'Valid Data-GPG'!$B$130:$F$130,0),0)*'All Options'!$E$17)*IF(Select="Deferred Annuity",A90&gt;DP,1)*(A90&gt;0)</f>
        <v>#N/A</v>
      </c>
      <c r="AC90" s="175">
        <f t="shared" si="38"/>
        <v>0</v>
      </c>
      <c r="AD90" s="175">
        <f>SUM($AC$26:AC90)</f>
        <v>0</v>
      </c>
      <c r="AE90" s="175">
        <f t="shared" si="39"/>
        <v>0</v>
      </c>
      <c r="AF90" s="175">
        <f t="shared" si="40"/>
        <v>0</v>
      </c>
      <c r="AG90" s="175" t="b">
        <f>(SUM($AF$26:AF90)&lt;=$AB$17)</f>
        <v>0</v>
      </c>
      <c r="AK90" s="44"/>
      <c r="AL90" s="44"/>
      <c r="AM90" s="44"/>
      <c r="AN90" s="44"/>
      <c r="AO90" s="44"/>
      <c r="AP90" s="44"/>
      <c r="AQ90" s="44"/>
      <c r="AR90" s="44"/>
      <c r="AS90" s="44"/>
      <c r="AT90" s="44"/>
      <c r="AU90" s="44"/>
      <c r="AV90" s="44"/>
      <c r="AW90" s="44"/>
      <c r="AX90" s="44"/>
      <c r="AY90" s="175"/>
      <c r="AZ90" s="66">
        <f>((MAX((SUM($B$26:C90)+(VLOOKUP($AZ$25,'All Options'!$AB$36:$AC$46,2,0)*VLOOKUP('All Options'!$E$22,'Valid Data-GPG'!$B$130:$F$134,MATCH('All Options'!$E$17,'Valid Data-GPG'!$B$130:$F$130,0),0)*'All Options'!$E$17)*(IF(A90&lt;=DP,A90,0))),105%*SUM($B$26:C90)))*(AND(A90&lt;&gt;0,Output!A90&lt;=DP))+(0)*(A90&gt;DP))*$AZ$21</f>
        <v>0</v>
      </c>
      <c r="BA90" s="175" t="e">
        <f>((MAX((SUM($B$26:C90)+(VLOOKUP($BA$25,'All Options'!$AB$36:$AC$46,2,0)*VLOOKUP('All Options'!$E$22,'Valid Data-GPG'!$B$130:$F$134,MATCH('All Options'!$E$17,'Valid Data-GPG'!$B$130:$F$130,0),0)*'All Options'!$E$17)*(IF(A90&lt;=DP,A90,0))),105%*SUM($B$26:C90)))*(Output!A90&lt;=DP)
+MAX((SUM($B$26:C90)+(VLOOKUP($BA$25,'All Options'!$AB$36:$AC$46,2,0)*VLOOKUP('All Options'!$E$22,'Valid Data-GPG'!$B$130:$F$134,MATCH('All Options'!$E$17,'Valid Data-GPG'!$B$130:$F$130,0),0)*'All Options'!$E$17)*DP-D90*(A90-DP)),SUM($B$26:C90))*(A90&gt;DP))*$BA$21</f>
        <v>#N/A</v>
      </c>
      <c r="BB90" s="175">
        <f>((MAX(($AB$17+(VLOOKUP($BB$25,'All Options'!$AB$36:$AC$46,2,0)*VLOOKUP('All Options'!$E$22,'Valid Data-GPG'!$B$130:$F$134,MATCH('All Options'!$E$17,'Valid Data-GPG'!$B$130:$F$130,0),0)*'All Options'!$E$17)*(IF(A90&lt;=DP,A90,0))),105%*$AB$17))*(Output!A90&lt;=DP)+(0)*(A90&gt;DP))*$BB$21</f>
        <v>0</v>
      </c>
      <c r="BC90" s="175" t="e">
        <f>((MAX(($AB$17+(VLOOKUP($BC$25,'All Options'!$AB$36:$AC$46,2,0)*VLOOKUP('All Options'!$E$22,'Valid Data-GPG'!$B$130:$F$134,MATCH('All Options'!$E$17,'Valid Data-GPG'!$B$130:$F$130,0),0)*'All Options'!$E$17)*(IF(A90&lt;=DP,A90,0))),105%*$AB$17))*(Output!A90&lt;=DP)+
MAX(($AB$17+(VLOOKUP($BC$25,'All Options'!$AB$36:$AC$46,2,0)*VLOOKUP('All Options'!$E$22,'Valid Data-GPG'!$B$130:$F$134,MATCH('All Options'!$E$17,'Valid Data-GPG'!$B$130:$F$130,0),0)*'All Options'!$E$17)*DP-D90*(A90-DP)),$AB$17)*(A90&gt;DP))*$BC$21</f>
        <v>#N/A</v>
      </c>
      <c r="BD90" s="175">
        <f ca="1">IFERROR((MAX(($AB$17+(VLOOKUP($BD$25,'All Options'!$AB$36:$AC$46,2,0)*VLOOKUP('All Options'!$E$22,'Valid Data-GPG'!$B$130:$F$134,MATCH('All Options'!$E$17,'Valid Data-GPG'!$B$130:$F$130,0),0)*'All Options'!$E$17)*(IF(A90&lt;=DP,A90,0))),105%*$AB$17))*(Output!A90&lt;=DP)
+MAX(($AB$17+(VLOOKUP($BD$25,'All Options'!$AB$36:$AC$46,2,0)*VLOOKUP('All Options'!$E$22,'Valid Data-GPG'!$B$130:$F$134,MATCH('All Options'!$E$17,'Valid Data-GPG'!$B$130:$F$130,0),0)*'All Options'!$E$17)*DP-D90*(A90-DP)),$AB$17)*(A90&gt;DP),0)*$BD$21</f>
        <v>0</v>
      </c>
      <c r="BE90" s="66">
        <f>IFERROR((MAX(($AB$17+(VLOOKUP($BE$25,'All Options'!$AB$36:$AC$46,2,0)*VLOOKUP('All Options'!$E$22,'Valid Data-GPG'!$B$130:$F$134,MATCH('All Options'!$E$17,'Valid Data-GPG'!$B$130:$F$130,0),0)*'All Options'!$E$17)*(IF(A90&lt;=DP,A90,0))),105%*$AB$17))*(Output!A90&lt;=DP)
+(MAX($AB$17+(VLOOKUP($BE$25,'All Options'!$AB$36:$AC$46,2,0)*VLOOKUP('All Options'!$E$22,'Valid Data-GPG'!$B$130:$F$134,MATCH('All Options'!$E$17,'Valid Data-GPG'!$B$130:$F$130,0),0)*'All Options'!$E$17)*DP-AB90*(A90-DP),$AB$17)*(MAX(A90&lt;=25,K90&lt;85)))*(A90&gt;DP),0)*$BE$21</f>
        <v>0</v>
      </c>
      <c r="BF90" s="175">
        <f>IFERROR((MAX(($AB$17+(VLOOKUP($BF$25,'All Options'!$AB$36:$AC$46,2,0)*VLOOKUP('All Options'!$E$22,'Valid Data-GPG'!$B$130:$F$134,MATCH('All Options'!$E$17,'Valid Data-GPG'!$B$130:$F$130,0),0)*'All Options'!$E$17)*(IF(A90&lt;=DP,A90,0))),105%*$AB$17))*(Output!A90&lt;=DP)
+(MAX($AB$17+(VLOOKUP($BF$25,'All Options'!$AB$36:$AC$46,2,0)*VLOOKUP('All Options'!$E$22,'Valid Data-GPG'!$B$130:$F$134,MATCH('All Options'!$E$17,'Valid Data-GPG'!$B$130:$F$130,0),0)*'All Options'!$E$17)*DP-AB90*(A90-DP),$AB$17)-SUM($AF$26:AF90)*AG90)*(A90&gt;DP)*AG90,0)*$BF$21</f>
        <v>0</v>
      </c>
      <c r="BG90" s="175">
        <f t="shared" si="23"/>
        <v>0</v>
      </c>
      <c r="BH90" s="182">
        <f t="shared" si="41"/>
        <v>5000000</v>
      </c>
      <c r="BI90" s="175">
        <f t="shared" si="24"/>
        <v>0</v>
      </c>
      <c r="BJ90" s="175">
        <f t="shared" si="25"/>
        <v>0</v>
      </c>
      <c r="BK90" s="175">
        <f t="shared" si="26"/>
        <v>0</v>
      </c>
      <c r="BL90" s="175">
        <f t="shared" si="27"/>
        <v>0</v>
      </c>
      <c r="BM90" s="175">
        <f t="shared" si="28"/>
        <v>0</v>
      </c>
      <c r="BN90" s="175">
        <f t="shared" si="29"/>
        <v>0</v>
      </c>
      <c r="BO90" s="182">
        <f t="shared" si="42"/>
        <v>0</v>
      </c>
      <c r="BP90" s="182">
        <f t="shared" si="43"/>
        <v>0</v>
      </c>
      <c r="BQ90" s="182">
        <f>MAX($AB$17-SUM($AF$26:AF90),0)*$BQ$21</f>
        <v>0</v>
      </c>
      <c r="BS90" s="175">
        <f t="shared" si="44"/>
        <v>0</v>
      </c>
      <c r="BT90" s="175">
        <f>IFERROR(IF(A90&lt;=1,0,VLOOKUP(DP,'Valid Data-GPG'!$A$116:$J$122,MATCH(Output!A90,'Valid Data-GPG'!$A$116:$J$116,0),FALSE)*SUM($B$26:C90))*(A90&lt;=DP),0)*$BT$21</f>
        <v>0</v>
      </c>
      <c r="BU90" s="175">
        <f>IFERROR(IF(A90&lt;=1,0,VLOOKUP(DP,'Valid Data-GPG'!$A$116:$J$122,MATCH(Output!A90,'Valid Data-GPG'!$A$116:$J$116,0),FALSE)*SUM($B$26:C90))*(A90&lt;=DP),0)*$BU$21</f>
        <v>0</v>
      </c>
      <c r="BV90" s="175">
        <f t="shared" si="45"/>
        <v>0</v>
      </c>
      <c r="BW90" s="175">
        <f t="shared" si="51"/>
        <v>0</v>
      </c>
      <c r="BX90" s="175">
        <f t="shared" si="52"/>
        <v>0</v>
      </c>
      <c r="BY90" s="175">
        <f t="shared" si="53"/>
        <v>0</v>
      </c>
      <c r="BZ90" s="175">
        <f t="shared" si="54"/>
        <v>0</v>
      </c>
      <c r="CA90" s="175">
        <f>(INDEX('SV calc_ignore'!$J$10:$J$1341,12*Output!A90-0))*BS90</f>
        <v>0</v>
      </c>
      <c r="CB90" s="175">
        <f t="shared" si="30"/>
        <v>0</v>
      </c>
      <c r="CC90" s="175">
        <f>(INDEX('SV calc_ignore'!$J$10:$J$1341,12*Output!A90-0))*BS90</f>
        <v>0</v>
      </c>
      <c r="CD90" s="175">
        <f t="shared" si="31"/>
        <v>0</v>
      </c>
      <c r="CE90" s="66">
        <f>(INDEX('SV calc_ignore'!$J$10:$J$1341,12*Output!A90-0))*($CE$21)</f>
        <v>0</v>
      </c>
      <c r="CF90" s="175">
        <f t="shared" si="32"/>
        <v>0</v>
      </c>
      <c r="CG90" s="175">
        <f>(INDEX('SV calc_ignore'!$J$10:$J$1341,12*Output!A90-0))*($CG$21)*(A90&gt;1)</f>
        <v>0</v>
      </c>
      <c r="CH90" s="175">
        <f>(INDEX('SV calc_ignore'!$J$10:$J$1341,12*Output!A90-0))*($CH$21)*(A90&gt;1)</f>
        <v>0</v>
      </c>
      <c r="CI90" s="175"/>
      <c r="CJ90" s="66">
        <f>(INDEX('SV calc_ignore'!$J$10:$J$1341,12*Output!A90-0))*($CJ$21)*(A90&gt;1)</f>
        <v>0</v>
      </c>
      <c r="CK90" s="66">
        <f>(INDEX('SV calc_ignore'!$Q$10:$Q$1341,12*Output!A90-0))*(AND(A90&gt;1,R90&lt;20))*($CK$21)</f>
        <v>0</v>
      </c>
      <c r="CL90" s="66">
        <f t="shared" si="33"/>
        <v>0</v>
      </c>
      <c r="CM90" s="175">
        <f>((INDEX('SV calc_ignore'!$J$10:$J$1341,12*Output!A90-0))+(INDEX('SV calc_ignore'!$O$10:$O$1341,12*Output!A90-0))*(A90&lt;'SV calc_ignore'!$Q$5))*(A90&gt;1)*($CM$21)</f>
        <v>0</v>
      </c>
      <c r="CN90" s="175">
        <v>0</v>
      </c>
      <c r="CO90" s="175">
        <f>(INDEX('SV calc_ignore'!$J$10:$J$1341,12*Output!A90-0))*(A90&gt;1)*($CO$21)</f>
        <v>0</v>
      </c>
      <c r="CP90" s="175">
        <v>0</v>
      </c>
      <c r="CQ90" s="175">
        <v>0</v>
      </c>
      <c r="CR90" s="175">
        <v>0</v>
      </c>
      <c r="CS90" s="175">
        <v>0</v>
      </c>
      <c r="CT90" s="175">
        <v>0</v>
      </c>
      <c r="CU90" s="175">
        <v>0</v>
      </c>
      <c r="CV90" s="175">
        <f>(INDEX('SV calc_ignore'!$J$10:$J$1341,12*Output!A90-0))*(A90&gt;1)*($CV$21)</f>
        <v>0</v>
      </c>
      <c r="CW90" s="66">
        <f>((INDEX('SV calc_ignore'!$J$10:$J$1341,12*Output!A90-0))+(INDEX('SV calc_ignore'!$O$10:$O$1351,12*Output!A90-0))*(A90&lt;'SV calc_ignore'!$Q$5))*(A90&gt;1)*($CW$21)</f>
        <v>0</v>
      </c>
      <c r="CX90" s="175">
        <f>(INDEX('SV calc_ignore'!$J$10:$J$1341,12*Output!A90-0))*(A90&gt;1)*($CX$21)</f>
        <v>0</v>
      </c>
      <c r="CY90" s="175">
        <f>(INDEX('SV calc_ignore'!$Q$10:$Q$1341,12*Output!A90-0))*(AND(A90&gt;1,R90&lt;20))*($CY$21)</f>
        <v>0</v>
      </c>
      <c r="CZ90" s="175">
        <f t="shared" si="34"/>
        <v>0</v>
      </c>
      <c r="DA90" s="44"/>
      <c r="DB90" s="44"/>
      <c r="DC90" s="44"/>
      <c r="DE90" s="43">
        <f>IF($DE$23,0,VLOOKUP(IF(A90&lt;=DP,DJ90,DI90),SSV!$B$6:$C$116,2,FALSE)*VLOOKUP(AnnuityOption,'All Options'!$AB$36:$AC$47,2,FALSE)*VLOOKUP('All Options'!$E$22,'Valid Data-GPG'!$B$130:$F$134,MATCH('All Options'!$E$17,'Valid Data-GPG'!$B$130:$F$130,0),0)*'All Options'!$E$17)*(IF(AND(Select="Deferred Annuity",AnnuityOption="Life Annuity"),A90&lt;=DP,1))</f>
        <v>3274327.0531593515</v>
      </c>
      <c r="DF90" s="43">
        <f>IF($DF$23,0,IF($DQ$25,DQ90,IF($DR$25,DR90,VLOOKUP(IF(A90&lt;=DP,DJ90,DI90),SSV!$G$6:$H$116,2,FALSE)*SUM($B$27:B90))))</f>
        <v>1006161.5</v>
      </c>
      <c r="DG90" s="43" t="e">
        <f>IF(A90&lt;=DP,VLOOKUP(DP-A89,SSV!$T$6:$U$15,2,FALSE),1)</f>
        <v>#N/A</v>
      </c>
      <c r="DH90" s="282" t="e">
        <f t="shared" si="46"/>
        <v>#VALUE!</v>
      </c>
      <c r="DI90" s="43">
        <f>IF($DM$26,MIN(Age,'All Options'!$E$21)+A89,IF($DN$26,(Age+A89)-Age+60,IF($DO$26,(Age+A89)-Age+55,Age+A89)))</f>
        <v>60</v>
      </c>
      <c r="DJ90" s="279">
        <f>IF($DM$26,MIN(Age+A90,'All Options'!$E$21+A90),IF($DN$26,(Age+A90)-(Age+$A$27)+60,IF($DO$26,(Age+A90)-(Age+$A$27)+55,Age+A90)))</f>
        <v>60</v>
      </c>
      <c r="DK90" s="44"/>
      <c r="DL90" s="44"/>
      <c r="DM90" s="44"/>
      <c r="DN90" s="44"/>
      <c r="DO90" s="44"/>
      <c r="DP90" s="43">
        <f t="shared" si="35"/>
        <v>0</v>
      </c>
      <c r="DQ90" s="43">
        <f>IFERROR(VLOOKUP(IF(A90&lt;=DP,DJ90,DI90),SSV!$K$6:$L$91,2,FALSE)*SUM($B$27:B90),0)*($DQ$25)</f>
        <v>0</v>
      </c>
      <c r="DR90" s="43">
        <f>IFERROR(VLOOKUP(IF(A90&lt;=DP,DJ90,DI90),SSV!$O$6:$P$95,2,FALSE)*SUM($B$27:B90),0)*($DR$25)</f>
        <v>0</v>
      </c>
      <c r="DS90" s="44"/>
      <c r="DT90" s="44"/>
      <c r="DU90" s="175">
        <f t="shared" si="47"/>
        <v>0</v>
      </c>
      <c r="DV90" s="44"/>
      <c r="DW90" s="44"/>
    </row>
    <row r="91" spans="1:127" ht="12.75" customHeight="1" x14ac:dyDescent="0.2">
      <c r="A91" s="146">
        <f t="shared" si="48"/>
        <v>0</v>
      </c>
      <c r="B91" s="670">
        <f>IF(PremiumType="Regular Premium",'All Options'!$E$18*'All Options'!$E$22*(AND(Output!A91&lt;=PPT,A91&gt;=1)),'All Options'!$E$18*(A91=1))</f>
        <v>0</v>
      </c>
      <c r="C91" s="671"/>
      <c r="D91" s="103" t="e">
        <f>((VLOOKUP(CONCATENATE($D$14,$D$15),'All Options'!$AB$36:$AC$47,4,0)*VLOOKUP('All Options'!$E$22,'Valid Data-GPG'!$B$130:$F$134,MATCH('All Options'!$E$17,'Valid Data-GPG'!$B$130:$F$130,0),0)*'All Options'!$E$17)*IF(Select="Deferred Annuity",A91&gt;DP,1)+AE91+AF91*AG91*$AG$21)*(A91&gt;0)</f>
        <v>#N/A</v>
      </c>
      <c r="E91" s="103">
        <v>0</v>
      </c>
      <c r="F91" s="103" t="e">
        <f t="shared" si="18"/>
        <v>#N/A</v>
      </c>
      <c r="G91" s="103">
        <f t="shared" ref="G91:G122" si="55">IF(Select="Immediate Annuity",0,IF(AND(Select="Deferred Annuity",PremiumType="Regular Premium"),SUM(BT91:BU91),SUM(BV91:BZ91)))</f>
        <v>0</v>
      </c>
      <c r="H91" s="285">
        <f t="shared" si="19"/>
        <v>0</v>
      </c>
      <c r="I91" s="103">
        <f t="shared" si="20"/>
        <v>0</v>
      </c>
      <c r="J91" s="44"/>
      <c r="K91" s="175" t="str">
        <f t="shared" si="49"/>
        <v/>
      </c>
      <c r="L91" s="175"/>
      <c r="M91" s="175"/>
      <c r="N91" s="175"/>
      <c r="O91" s="175"/>
      <c r="P91" s="175"/>
      <c r="Q91" s="175"/>
      <c r="R91" s="175">
        <f t="shared" si="50"/>
        <v>0</v>
      </c>
      <c r="S91" s="44"/>
      <c r="T91" s="44"/>
      <c r="AB91" s="175" t="e">
        <f>(VLOOKUP(CONCATENATE($D$14,$D$15),'All Options'!$AB$36:$AC$47,4,0)*VLOOKUP('All Options'!$E$22,'Valid Data-GPG'!$B$130:$F$134,MATCH('All Options'!$E$17,'Valid Data-GPG'!$B$130:$F$130,0),0)*'All Options'!$E$17)*IF(Select="Deferred Annuity",A91&gt;DP,1)*(A91&gt;0)</f>
        <v>#N/A</v>
      </c>
      <c r="AC91" s="175">
        <f t="shared" ref="AC91:AC122" si="56">$AB$17*MIN(A91&gt;25,K91&gt;=85)*($AE$21)</f>
        <v>0</v>
      </c>
      <c r="AD91" s="175">
        <f>SUM($AC$26:AC91)</f>
        <v>0</v>
      </c>
      <c r="AE91" s="175">
        <f t="shared" ref="AE91:AE122" si="57">IF(AD91=$AB$17,AD91,0)</f>
        <v>0</v>
      </c>
      <c r="AF91" s="175">
        <f t="shared" ref="AF91:AF122" si="58">5%*$AB$17*(MIN(A91&gt;15,K91&gt;=70))</f>
        <v>0</v>
      </c>
      <c r="AG91" s="175" t="b">
        <f>(SUM($AF$26:AF91)&lt;=$AB$17)</f>
        <v>0</v>
      </c>
      <c r="AK91" s="44"/>
      <c r="AL91" s="44"/>
      <c r="AM91" s="44"/>
      <c r="AN91" s="44"/>
      <c r="AO91" s="44"/>
      <c r="AP91" s="44"/>
      <c r="AQ91" s="44"/>
      <c r="AR91" s="44"/>
      <c r="AS91" s="44"/>
      <c r="AT91" s="44"/>
      <c r="AU91" s="44"/>
      <c r="AV91" s="44"/>
      <c r="AW91" s="44"/>
      <c r="AX91" s="44"/>
      <c r="AY91" s="175"/>
      <c r="AZ91" s="66">
        <f>((MAX((SUM($B$26:C91)+(VLOOKUP($AZ$25,'All Options'!$AB$36:$AC$46,2,0)*VLOOKUP('All Options'!$E$22,'Valid Data-GPG'!$B$130:$F$134,MATCH('All Options'!$E$17,'Valid Data-GPG'!$B$130:$F$130,0),0)*'All Options'!$E$17)*(IF(A91&lt;=DP,A91,0))),105%*SUM($B$26:C91)))*(AND(A91&lt;&gt;0,Output!A91&lt;=DP))+(0)*(A91&gt;DP))*$AZ$21</f>
        <v>0</v>
      </c>
      <c r="BA91" s="175" t="e">
        <f>((MAX((SUM($B$26:C91)+(VLOOKUP($BA$25,'All Options'!$AB$36:$AC$46,2,0)*VLOOKUP('All Options'!$E$22,'Valid Data-GPG'!$B$130:$F$134,MATCH('All Options'!$E$17,'Valid Data-GPG'!$B$130:$F$130,0),0)*'All Options'!$E$17)*(IF(A91&lt;=DP,A91,0))),105%*SUM($B$26:C91)))*(Output!A91&lt;=DP)
+MAX((SUM($B$26:C91)+(VLOOKUP($BA$25,'All Options'!$AB$36:$AC$46,2,0)*VLOOKUP('All Options'!$E$22,'Valid Data-GPG'!$B$130:$F$134,MATCH('All Options'!$E$17,'Valid Data-GPG'!$B$130:$F$130,0),0)*'All Options'!$E$17)*DP-D91*(A91-DP)),SUM($B$26:C91))*(A91&gt;DP))*$BA$21</f>
        <v>#N/A</v>
      </c>
      <c r="BB91" s="175">
        <f>((MAX(($AB$17+(VLOOKUP($BB$25,'All Options'!$AB$36:$AC$46,2,0)*VLOOKUP('All Options'!$E$22,'Valid Data-GPG'!$B$130:$F$134,MATCH('All Options'!$E$17,'Valid Data-GPG'!$B$130:$F$130,0),0)*'All Options'!$E$17)*(IF(A91&lt;=DP,A91,0))),105%*$AB$17))*(Output!A91&lt;=DP)+(0)*(A91&gt;DP))*$BB$21</f>
        <v>0</v>
      </c>
      <c r="BC91" s="175" t="e">
        <f>((MAX(($AB$17+(VLOOKUP($BC$25,'All Options'!$AB$36:$AC$46,2,0)*VLOOKUP('All Options'!$E$22,'Valid Data-GPG'!$B$130:$F$134,MATCH('All Options'!$E$17,'Valid Data-GPG'!$B$130:$F$130,0),0)*'All Options'!$E$17)*(IF(A91&lt;=DP,A91,0))),105%*$AB$17))*(Output!A91&lt;=DP)+
MAX(($AB$17+(VLOOKUP($BC$25,'All Options'!$AB$36:$AC$46,2,0)*VLOOKUP('All Options'!$E$22,'Valid Data-GPG'!$B$130:$F$134,MATCH('All Options'!$E$17,'Valid Data-GPG'!$B$130:$F$130,0),0)*'All Options'!$E$17)*DP-D91*(A91-DP)),$AB$17)*(A91&gt;DP))*$BC$21</f>
        <v>#N/A</v>
      </c>
      <c r="BD91" s="175">
        <f ca="1">IFERROR((MAX(($AB$17+(VLOOKUP($BD$25,'All Options'!$AB$36:$AC$46,2,0)*VLOOKUP('All Options'!$E$22,'Valid Data-GPG'!$B$130:$F$134,MATCH('All Options'!$E$17,'Valid Data-GPG'!$B$130:$F$130,0),0)*'All Options'!$E$17)*(IF(A91&lt;=DP,A91,0))),105%*$AB$17))*(Output!A91&lt;=DP)
+MAX(($AB$17+(VLOOKUP($BD$25,'All Options'!$AB$36:$AC$46,2,0)*VLOOKUP('All Options'!$E$22,'Valid Data-GPG'!$B$130:$F$134,MATCH('All Options'!$E$17,'Valid Data-GPG'!$B$130:$F$130,0),0)*'All Options'!$E$17)*DP-D91*(A91-DP)),$AB$17)*(A91&gt;DP),0)*$BD$21</f>
        <v>0</v>
      </c>
      <c r="BE91" s="66">
        <f>IFERROR((MAX(($AB$17+(VLOOKUP($BE$25,'All Options'!$AB$36:$AC$46,2,0)*VLOOKUP('All Options'!$E$22,'Valid Data-GPG'!$B$130:$F$134,MATCH('All Options'!$E$17,'Valid Data-GPG'!$B$130:$F$130,0),0)*'All Options'!$E$17)*(IF(A91&lt;=DP,A91,0))),105%*$AB$17))*(Output!A91&lt;=DP)
+(MAX($AB$17+(VLOOKUP($BE$25,'All Options'!$AB$36:$AC$46,2,0)*VLOOKUP('All Options'!$E$22,'Valid Data-GPG'!$B$130:$F$134,MATCH('All Options'!$E$17,'Valid Data-GPG'!$B$130:$F$130,0),0)*'All Options'!$E$17)*DP-AB91*(A91-DP),$AB$17)*(MAX(A91&lt;=25,K91&lt;85)))*(A91&gt;DP),0)*$BE$21</f>
        <v>0</v>
      </c>
      <c r="BF91" s="175">
        <f>IFERROR((MAX(($AB$17+(VLOOKUP($BF$25,'All Options'!$AB$36:$AC$46,2,0)*VLOOKUP('All Options'!$E$22,'Valid Data-GPG'!$B$130:$F$134,MATCH('All Options'!$E$17,'Valid Data-GPG'!$B$130:$F$130,0),0)*'All Options'!$E$17)*(IF(A91&lt;=DP,A91,0))),105%*$AB$17))*(Output!A91&lt;=DP)
+(MAX($AB$17+(VLOOKUP($BF$25,'All Options'!$AB$36:$AC$46,2,0)*VLOOKUP('All Options'!$E$22,'Valid Data-GPG'!$B$130:$F$134,MATCH('All Options'!$E$17,'Valid Data-GPG'!$B$130:$F$130,0),0)*'All Options'!$E$17)*DP-AB91*(A91-DP),$AB$17)-SUM($AF$26:AF91)*AG91)*(A91&gt;DP)*AG91,0)*$BF$21</f>
        <v>0</v>
      </c>
      <c r="BG91" s="175">
        <f t="shared" si="23"/>
        <v>0</v>
      </c>
      <c r="BH91" s="182">
        <f t="shared" ref="BH91:BH122" si="59">$AB$17*$BH$21</f>
        <v>5000000</v>
      </c>
      <c r="BI91" s="175">
        <f t="shared" si="24"/>
        <v>0</v>
      </c>
      <c r="BJ91" s="175">
        <f t="shared" si="25"/>
        <v>0</v>
      </c>
      <c r="BK91" s="175">
        <f t="shared" si="26"/>
        <v>0</v>
      </c>
      <c r="BL91" s="175">
        <f t="shared" si="27"/>
        <v>0</v>
      </c>
      <c r="BM91" s="175">
        <f t="shared" si="28"/>
        <v>0</v>
      </c>
      <c r="BN91" s="175">
        <f t="shared" si="29"/>
        <v>0</v>
      </c>
      <c r="BO91" s="182">
        <f t="shared" ref="BO91:BO122" si="60">$AB$17*$BO$21</f>
        <v>0</v>
      </c>
      <c r="BP91" s="182">
        <f t="shared" ref="BP91:BP122" si="61">$B$27*(MAX(A91&lt;=25,K91&lt;85))*$BP$21</f>
        <v>0</v>
      </c>
      <c r="BQ91" s="182">
        <f>MAX($AB$17-SUM($AF$26:AF91),0)*$BQ$21</f>
        <v>0</v>
      </c>
      <c r="BS91" s="175">
        <f t="shared" ref="BS91:BS122" si="62">(MIN(A91,PPT)/PPT)*(A91&gt;=2)</f>
        <v>0</v>
      </c>
      <c r="BT91" s="175">
        <f>IFERROR(IF(A91&lt;=1,0,VLOOKUP(DP,'Valid Data-GPG'!$A$116:$J$122,MATCH(Output!A91,'Valid Data-GPG'!$A$116:$J$116,0),FALSE)*SUM($B$26:C91))*(A91&lt;=DP),0)*$BT$21</f>
        <v>0</v>
      </c>
      <c r="BU91" s="175">
        <f>IFERROR(IF(A91&lt;=1,0,VLOOKUP(DP,'Valid Data-GPG'!$A$116:$J$122,MATCH(Output!A91,'Valid Data-GPG'!$A$116:$J$116,0),FALSE)*SUM($B$26:C91))*(A91&lt;=DP),0)*$BU$21</f>
        <v>0</v>
      </c>
      <c r="BV91" s="175">
        <f t="shared" ref="BV91:BV122" si="63">((75%*$AB$17)*(IF(DP&lt;=3,A91&lt;=DP,A91&lt;=3))+(90%*$AB$17)*(AND(A91&gt;3,A91&lt;=DP)))*$BV$21</f>
        <v>0</v>
      </c>
      <c r="BW91" s="175">
        <f t="shared" ref="BW91:BW122" si="64">((75%*$AB$17)*(AND(A91&gt;1,A91&lt;=3))+(90%*$AB$17)*(AND(A91&gt;3,A91&lt;=DP)))*$BW$21</f>
        <v>0</v>
      </c>
      <c r="BX91" s="175">
        <f t="shared" ref="BX91:BX122" si="65">((75%*$AB$17)*(AND(A91&gt;1,A91&lt;=3))+(90%*$AB$17)*(AND(A91&gt;3,A91&lt;=DP)))*$BX$21</f>
        <v>0</v>
      </c>
      <c r="BY91" s="175">
        <f t="shared" ref="BY91:BY122" si="66">((75%*$AB$17)*(AND(A91&gt;1,A91&lt;=3))+(90%*$AB$17)*(AND(A91&gt;3,A91&lt;=DP)))*$BY$21</f>
        <v>0</v>
      </c>
      <c r="BZ91" s="175">
        <f t="shared" ref="BZ91:BZ122" si="67">((75%*$AB$17)*(AND(A91&gt;1,A91&lt;=3))+(90%*$AB$17)*(AND(A91&gt;3,A91&lt;=DP)))*$BZ$21</f>
        <v>0</v>
      </c>
      <c r="CA91" s="175">
        <f>(INDEX('SV calc_ignore'!$J$10:$J$1341,12*Output!A91-0))*BS91</f>
        <v>0</v>
      </c>
      <c r="CB91" s="175">
        <f t="shared" si="30"/>
        <v>0</v>
      </c>
      <c r="CC91" s="175">
        <f>(INDEX('SV calc_ignore'!$J$10:$J$1341,12*Output!A91-0))*BS91</f>
        <v>0</v>
      </c>
      <c r="CD91" s="175">
        <f t="shared" si="31"/>
        <v>0</v>
      </c>
      <c r="CE91" s="66">
        <f>(INDEX('SV calc_ignore'!$J$10:$J$1341,12*Output!A91-0))*($CE$21)</f>
        <v>0</v>
      </c>
      <c r="CF91" s="175">
        <f t="shared" si="32"/>
        <v>0</v>
      </c>
      <c r="CG91" s="175">
        <f>(INDEX('SV calc_ignore'!$J$10:$J$1341,12*Output!A91-0))*($CG$21)*(A91&gt;1)</f>
        <v>0</v>
      </c>
      <c r="CH91" s="175">
        <f>(INDEX('SV calc_ignore'!$J$10:$J$1341,12*Output!A91-0))*($CH$21)*(A91&gt;1)</f>
        <v>0</v>
      </c>
      <c r="CI91" s="175"/>
      <c r="CJ91" s="66">
        <f>(INDEX('SV calc_ignore'!$J$10:$J$1341,12*Output!A91-0))*($CJ$21)*(A91&gt;1)</f>
        <v>0</v>
      </c>
      <c r="CK91" s="66">
        <f>(INDEX('SV calc_ignore'!$Q$10:$Q$1341,12*Output!A91-0))*(AND(A91&gt;1,R91&lt;20))*($CK$21)</f>
        <v>0</v>
      </c>
      <c r="CL91" s="66">
        <f t="shared" si="33"/>
        <v>0</v>
      </c>
      <c r="CM91" s="175">
        <f>((INDEX('SV calc_ignore'!$J$10:$J$1341,12*Output!A91-0))+(INDEX('SV calc_ignore'!$O$10:$O$1341,12*Output!A91-0))*(A91&lt;'SV calc_ignore'!$Q$5))*(A91&gt;1)*($CM$21)</f>
        <v>0</v>
      </c>
      <c r="CN91" s="175">
        <v>0</v>
      </c>
      <c r="CO91" s="175">
        <f>(INDEX('SV calc_ignore'!$J$10:$J$1341,12*Output!A91-0))*(A91&gt;1)*($CO$21)</f>
        <v>0</v>
      </c>
      <c r="CP91" s="175">
        <v>0</v>
      </c>
      <c r="CQ91" s="175">
        <v>0</v>
      </c>
      <c r="CR91" s="175">
        <v>0</v>
      </c>
      <c r="CS91" s="175">
        <v>0</v>
      </c>
      <c r="CT91" s="175">
        <v>0</v>
      </c>
      <c r="CU91" s="175">
        <v>0</v>
      </c>
      <c r="CV91" s="175">
        <f>(INDEX('SV calc_ignore'!$J$10:$J$1341,12*Output!A91-0))*(A91&gt;1)*($CV$21)</f>
        <v>0</v>
      </c>
      <c r="CW91" s="66">
        <f>((INDEX('SV calc_ignore'!$J$10:$J$1341,12*Output!A91-0))+(INDEX('SV calc_ignore'!$O$10:$O$1351,12*Output!A91-0))*(A91&lt;'SV calc_ignore'!$Q$5))*(A91&gt;1)*($CW$21)</f>
        <v>0</v>
      </c>
      <c r="CX91" s="175">
        <f>(INDEX('SV calc_ignore'!$J$10:$J$1341,12*Output!A91-0))*(A91&gt;1)*($CX$21)</f>
        <v>0</v>
      </c>
      <c r="CY91" s="175">
        <f>(INDEX('SV calc_ignore'!$Q$10:$Q$1341,12*Output!A91-0))*(AND(A91&gt;1,R91&lt;20))*($CY$21)</f>
        <v>0</v>
      </c>
      <c r="CZ91" s="175">
        <f t="shared" si="34"/>
        <v>0</v>
      </c>
      <c r="DA91" s="44"/>
      <c r="DB91" s="44"/>
      <c r="DC91" s="44"/>
      <c r="DE91" s="43">
        <f>IF($DE$23,0,VLOOKUP(IF(A91&lt;=DP,DJ91,DI91),SSV!$B$6:$C$116,2,FALSE)*VLOOKUP(AnnuityOption,'All Options'!$AB$36:$AC$47,2,FALSE)*VLOOKUP('All Options'!$E$22,'Valid Data-GPG'!$B$130:$F$134,MATCH('All Options'!$E$17,'Valid Data-GPG'!$B$130:$F$130,0),0)*'All Options'!$E$17)*(IF(AND(Select="Deferred Annuity",AnnuityOption="Life Annuity"),A91&lt;=DP,1))</f>
        <v>3274327.0531593515</v>
      </c>
      <c r="DF91" s="43">
        <f>IF($DF$23,0,IF($DQ$25,DQ91,IF($DR$25,DR91,VLOOKUP(IF(A91&lt;=DP,DJ91,DI91),SSV!$G$6:$H$116,2,FALSE)*SUM($B$27:B91))))</f>
        <v>1006161.5</v>
      </c>
      <c r="DG91" s="43" t="e">
        <f>IF(A91&lt;=DP,VLOOKUP(DP-A90,SSV!$T$6:$U$15,2,FALSE),1)</f>
        <v>#N/A</v>
      </c>
      <c r="DH91" s="282" t="e">
        <f t="shared" ref="DH91:DH122" si="68">(IF(A91&lt;=DP,(INDEX($DE$27:$DE$67,DP)+INDEX($DF$27:$DF$67,DP))*IF(Select="Immediate Annuity",1,DG91),DE91+DF91))*(IF(PremiumType="Regular Premium",DU91,1))*(IF(PremiumType="Single Premium",A91&gt;0,A91&gt;=2))</f>
        <v>#VALUE!</v>
      </c>
      <c r="DI91" s="43">
        <f>IF($DM$26,MIN(Age,'All Options'!$E$21)+A90,IF($DN$26,(Age+A90)-Age+60,IF($DO$26,(Age+A90)-Age+55,Age+A90)))</f>
        <v>60</v>
      </c>
      <c r="DJ91" s="279">
        <f>IF($DM$26,MIN(Age+A91,'All Options'!$E$21+A91),IF($DN$26,(Age+A91)-(Age+$A$27)+60,IF($DO$26,(Age+A91)-(Age+$A$27)+55,Age+A91)))</f>
        <v>60</v>
      </c>
      <c r="DK91" s="44"/>
      <c r="DL91" s="44"/>
      <c r="DM91" s="44"/>
      <c r="DN91" s="44"/>
      <c r="DO91" s="44"/>
      <c r="DP91" s="43">
        <f t="shared" si="35"/>
        <v>0</v>
      </c>
      <c r="DQ91" s="43">
        <f>IFERROR(VLOOKUP(IF(A91&lt;=DP,DJ91,DI91),SSV!$K$6:$L$91,2,FALSE)*SUM($B$27:B91),0)*($DQ$25)</f>
        <v>0</v>
      </c>
      <c r="DR91" s="43">
        <f>IFERROR(VLOOKUP(IF(A91&lt;=DP,DJ91,DI91),SSV!$O$6:$P$95,2,FALSE)*SUM($B$27:B91),0)*($DR$25)</f>
        <v>0</v>
      </c>
      <c r="DS91" s="44"/>
      <c r="DT91" s="44"/>
      <c r="DU91" s="175">
        <f t="shared" ref="DU91:DU122" si="69">(MIN(A91,PPT)/PPT)*(A91&gt;=2)</f>
        <v>0</v>
      </c>
      <c r="DV91" s="44"/>
      <c r="DW91" s="44"/>
    </row>
    <row r="92" spans="1:127" ht="12.75" customHeight="1" x14ac:dyDescent="0.2">
      <c r="A92" s="146">
        <f t="shared" ref="A92:A123" si="70">(A91+1)*(K92&lt;=110)</f>
        <v>0</v>
      </c>
      <c r="B92" s="670">
        <f>IF(PremiumType="Regular Premium",'All Options'!$E$18*'All Options'!$E$22*(AND(Output!A92&lt;=PPT,A92&gt;=1)),'All Options'!$E$18*(A92=1))</f>
        <v>0</v>
      </c>
      <c r="C92" s="671"/>
      <c r="D92" s="103" t="e">
        <f>((VLOOKUP(CONCATENATE($D$14,$D$15),'All Options'!$AB$36:$AC$47,4,0)*VLOOKUP('All Options'!$E$22,'Valid Data-GPG'!$B$130:$F$134,MATCH('All Options'!$E$17,'Valid Data-GPG'!$B$130:$F$130,0),0)*'All Options'!$E$17)*IF(Select="Deferred Annuity",A92&gt;DP,1)+AE92+AF92*AG92*$AG$21)*(A92&gt;0)</f>
        <v>#N/A</v>
      </c>
      <c r="E92" s="103">
        <v>0</v>
      </c>
      <c r="F92" s="103" t="e">
        <f t="shared" ref="F92:F137" si="71">SUM(AZ92:BQ92)*(A92&gt;0)</f>
        <v>#N/A</v>
      </c>
      <c r="G92" s="103">
        <f t="shared" si="55"/>
        <v>0</v>
      </c>
      <c r="H92" s="285">
        <f t="shared" ref="H92:H137" si="72">IFERROR(DH92,0)</f>
        <v>0</v>
      </c>
      <c r="I92" s="103">
        <f t="shared" ref="I92:I137" si="73">MAX(G92,H92)</f>
        <v>0</v>
      </c>
      <c r="J92" s="44"/>
      <c r="K92" s="175" t="str">
        <f t="shared" ref="K92:K123" si="74">IF(K91="","",IF(K91+1&gt;110,"",K91+1))</f>
        <v/>
      </c>
      <c r="L92" s="175"/>
      <c r="M92" s="175"/>
      <c r="N92" s="175"/>
      <c r="O92" s="175"/>
      <c r="P92" s="175"/>
      <c r="Q92" s="175"/>
      <c r="R92" s="175">
        <f t="shared" ref="R92:R123" si="75">IF(AND(AG92,AF92&gt;0),R91+1,0)</f>
        <v>0</v>
      </c>
      <c r="S92" s="44"/>
      <c r="T92" s="44"/>
      <c r="AB92" s="175" t="e">
        <f>(VLOOKUP(CONCATENATE($D$14,$D$15),'All Options'!$AB$36:$AC$47,4,0)*VLOOKUP('All Options'!$E$22,'Valid Data-GPG'!$B$130:$F$134,MATCH('All Options'!$E$17,'Valid Data-GPG'!$B$130:$F$130,0),0)*'All Options'!$E$17)*IF(Select="Deferred Annuity",A92&gt;DP,1)*(A92&gt;0)</f>
        <v>#N/A</v>
      </c>
      <c r="AC92" s="175">
        <f t="shared" si="56"/>
        <v>0</v>
      </c>
      <c r="AD92" s="175">
        <f>SUM($AC$26:AC92)</f>
        <v>0</v>
      </c>
      <c r="AE92" s="175">
        <f t="shared" si="57"/>
        <v>0</v>
      </c>
      <c r="AF92" s="175">
        <f t="shared" si="58"/>
        <v>0</v>
      </c>
      <c r="AG92" s="175" t="b">
        <f>(SUM($AF$26:AF92)&lt;=$AB$17)</f>
        <v>0</v>
      </c>
      <c r="AK92" s="44"/>
      <c r="AL92" s="44"/>
      <c r="AM92" s="44"/>
      <c r="AN92" s="44"/>
      <c r="AO92" s="44"/>
      <c r="AP92" s="44"/>
      <c r="AQ92" s="44"/>
      <c r="AR92" s="44"/>
      <c r="AS92" s="44"/>
      <c r="AT92" s="44"/>
      <c r="AU92" s="44"/>
      <c r="AV92" s="44"/>
      <c r="AW92" s="44"/>
      <c r="AX92" s="44"/>
      <c r="AY92" s="175"/>
      <c r="AZ92" s="66">
        <f>((MAX((SUM($B$26:C92)+(VLOOKUP($AZ$25,'All Options'!$AB$36:$AC$46,2,0)*VLOOKUP('All Options'!$E$22,'Valid Data-GPG'!$B$130:$F$134,MATCH('All Options'!$E$17,'Valid Data-GPG'!$B$130:$F$130,0),0)*'All Options'!$E$17)*(IF(A92&lt;=DP,A92,0))),105%*SUM($B$26:C92)))*(AND(A92&lt;&gt;0,Output!A92&lt;=DP))+(0)*(A92&gt;DP))*$AZ$21</f>
        <v>0</v>
      </c>
      <c r="BA92" s="175" t="e">
        <f>((MAX((SUM($B$26:C92)+(VLOOKUP($BA$25,'All Options'!$AB$36:$AC$46,2,0)*VLOOKUP('All Options'!$E$22,'Valid Data-GPG'!$B$130:$F$134,MATCH('All Options'!$E$17,'Valid Data-GPG'!$B$130:$F$130,0),0)*'All Options'!$E$17)*(IF(A92&lt;=DP,A92,0))),105%*SUM($B$26:C92)))*(Output!A92&lt;=DP)
+MAX((SUM($B$26:C92)+(VLOOKUP($BA$25,'All Options'!$AB$36:$AC$46,2,0)*VLOOKUP('All Options'!$E$22,'Valid Data-GPG'!$B$130:$F$134,MATCH('All Options'!$E$17,'Valid Data-GPG'!$B$130:$F$130,0),0)*'All Options'!$E$17)*DP-D92*(A92-DP)),SUM($B$26:C92))*(A92&gt;DP))*$BA$21</f>
        <v>#N/A</v>
      </c>
      <c r="BB92" s="175">
        <f>((MAX(($AB$17+(VLOOKUP($BB$25,'All Options'!$AB$36:$AC$46,2,0)*VLOOKUP('All Options'!$E$22,'Valid Data-GPG'!$B$130:$F$134,MATCH('All Options'!$E$17,'Valid Data-GPG'!$B$130:$F$130,0),0)*'All Options'!$E$17)*(IF(A92&lt;=DP,A92,0))),105%*$AB$17))*(Output!A92&lt;=DP)+(0)*(A92&gt;DP))*$BB$21</f>
        <v>0</v>
      </c>
      <c r="BC92" s="175" t="e">
        <f>((MAX(($AB$17+(VLOOKUP($BC$25,'All Options'!$AB$36:$AC$46,2,0)*VLOOKUP('All Options'!$E$22,'Valid Data-GPG'!$B$130:$F$134,MATCH('All Options'!$E$17,'Valid Data-GPG'!$B$130:$F$130,0),0)*'All Options'!$E$17)*(IF(A92&lt;=DP,A92,0))),105%*$AB$17))*(Output!A92&lt;=DP)+
MAX(($AB$17+(VLOOKUP($BC$25,'All Options'!$AB$36:$AC$46,2,0)*VLOOKUP('All Options'!$E$22,'Valid Data-GPG'!$B$130:$F$134,MATCH('All Options'!$E$17,'Valid Data-GPG'!$B$130:$F$130,0),0)*'All Options'!$E$17)*DP-D92*(A92-DP)),$AB$17)*(A92&gt;DP))*$BC$21</f>
        <v>#N/A</v>
      </c>
      <c r="BD92" s="175">
        <f ca="1">IFERROR((MAX(($AB$17+(VLOOKUP($BD$25,'All Options'!$AB$36:$AC$46,2,0)*VLOOKUP('All Options'!$E$22,'Valid Data-GPG'!$B$130:$F$134,MATCH('All Options'!$E$17,'Valid Data-GPG'!$B$130:$F$130,0),0)*'All Options'!$E$17)*(IF(A92&lt;=DP,A92,0))),105%*$AB$17))*(Output!A92&lt;=DP)
+MAX(($AB$17+(VLOOKUP($BD$25,'All Options'!$AB$36:$AC$46,2,0)*VLOOKUP('All Options'!$E$22,'Valid Data-GPG'!$B$130:$F$134,MATCH('All Options'!$E$17,'Valid Data-GPG'!$B$130:$F$130,0),0)*'All Options'!$E$17)*DP-D92*(A92-DP)),$AB$17)*(A92&gt;DP),0)*$BD$21</f>
        <v>0</v>
      </c>
      <c r="BE92" s="66">
        <f>IFERROR((MAX(($AB$17+(VLOOKUP($BE$25,'All Options'!$AB$36:$AC$46,2,0)*VLOOKUP('All Options'!$E$22,'Valid Data-GPG'!$B$130:$F$134,MATCH('All Options'!$E$17,'Valid Data-GPG'!$B$130:$F$130,0),0)*'All Options'!$E$17)*(IF(A92&lt;=DP,A92,0))),105%*$AB$17))*(Output!A92&lt;=DP)
+(MAX($AB$17+(VLOOKUP($BE$25,'All Options'!$AB$36:$AC$46,2,0)*VLOOKUP('All Options'!$E$22,'Valid Data-GPG'!$B$130:$F$134,MATCH('All Options'!$E$17,'Valid Data-GPG'!$B$130:$F$130,0),0)*'All Options'!$E$17)*DP-AB92*(A92-DP),$AB$17)*(MAX(A92&lt;=25,K92&lt;85)))*(A92&gt;DP),0)*$BE$21</f>
        <v>0</v>
      </c>
      <c r="BF92" s="175">
        <f>IFERROR((MAX(($AB$17+(VLOOKUP($BF$25,'All Options'!$AB$36:$AC$46,2,0)*VLOOKUP('All Options'!$E$22,'Valid Data-GPG'!$B$130:$F$134,MATCH('All Options'!$E$17,'Valid Data-GPG'!$B$130:$F$130,0),0)*'All Options'!$E$17)*(IF(A92&lt;=DP,A92,0))),105%*$AB$17))*(Output!A92&lt;=DP)
+(MAX($AB$17+(VLOOKUP($BF$25,'All Options'!$AB$36:$AC$46,2,0)*VLOOKUP('All Options'!$E$22,'Valid Data-GPG'!$B$130:$F$134,MATCH('All Options'!$E$17,'Valid Data-GPG'!$B$130:$F$130,0),0)*'All Options'!$E$17)*DP-AB92*(A92-DP),$AB$17)-SUM($AF$26:AF92)*AG92)*(A92&gt;DP)*AG92,0)*$BF$21</f>
        <v>0</v>
      </c>
      <c r="BG92" s="175">
        <f t="shared" ref="BG92:BG137" si="76">0*$BG$21</f>
        <v>0</v>
      </c>
      <c r="BH92" s="182">
        <f t="shared" si="59"/>
        <v>5000000</v>
      </c>
      <c r="BI92" s="175">
        <f t="shared" ref="BI92:BI137" si="77">0*$BI$21</f>
        <v>0</v>
      </c>
      <c r="BJ92" s="175">
        <f t="shared" ref="BJ92:BJ137" si="78">0*$BJ$21</f>
        <v>0</v>
      </c>
      <c r="BK92" s="175">
        <f t="shared" ref="BK92:BK137" si="79">0*$BK$21</f>
        <v>0</v>
      </c>
      <c r="BL92" s="175">
        <f t="shared" ref="BL92:BL137" si="80">0*$BL$21</f>
        <v>0</v>
      </c>
      <c r="BM92" s="175">
        <f t="shared" ref="BM92:BM137" si="81">0*$BM$21</f>
        <v>0</v>
      </c>
      <c r="BN92" s="175">
        <f t="shared" ref="BN92:BN137" si="82">0*$BN$21</f>
        <v>0</v>
      </c>
      <c r="BO92" s="182">
        <f t="shared" si="60"/>
        <v>0</v>
      </c>
      <c r="BP92" s="182">
        <f t="shared" si="61"/>
        <v>0</v>
      </c>
      <c r="BQ92" s="182">
        <f>MAX($AB$17-SUM($AF$26:AF92),0)*$BQ$21</f>
        <v>0</v>
      </c>
      <c r="BS92" s="175">
        <f t="shared" si="62"/>
        <v>0</v>
      </c>
      <c r="BT92" s="175">
        <f>IFERROR(IF(A92&lt;=1,0,VLOOKUP(DP,'Valid Data-GPG'!$A$116:$J$122,MATCH(Output!A92,'Valid Data-GPG'!$A$116:$J$116,0),FALSE)*SUM($B$26:C92))*(A92&lt;=DP),0)*$BT$21</f>
        <v>0</v>
      </c>
      <c r="BU92" s="175">
        <f>IFERROR(IF(A92&lt;=1,0,VLOOKUP(DP,'Valid Data-GPG'!$A$116:$J$122,MATCH(Output!A92,'Valid Data-GPG'!$A$116:$J$116,0),FALSE)*SUM($B$26:C92))*(A92&lt;=DP),0)*$BU$21</f>
        <v>0</v>
      </c>
      <c r="BV92" s="175">
        <f t="shared" si="63"/>
        <v>0</v>
      </c>
      <c r="BW92" s="175">
        <f t="shared" si="64"/>
        <v>0</v>
      </c>
      <c r="BX92" s="175">
        <f t="shared" si="65"/>
        <v>0</v>
      </c>
      <c r="BY92" s="175">
        <f t="shared" si="66"/>
        <v>0</v>
      </c>
      <c r="BZ92" s="175">
        <f t="shared" si="67"/>
        <v>0</v>
      </c>
      <c r="CA92" s="175">
        <f>(INDEX('SV calc_ignore'!$J$10:$J$1341,12*Output!A92-0))*BS92</f>
        <v>0</v>
      </c>
      <c r="CB92" s="175">
        <f t="shared" ref="CB92:CB137" si="83">CA92*(AND(A92&gt;1,A92&lt;=DP))*($CA$21)</f>
        <v>0</v>
      </c>
      <c r="CC92" s="175">
        <f>(INDEX('SV calc_ignore'!$J$10:$J$1341,12*Output!A92-0))*BS92</f>
        <v>0</v>
      </c>
      <c r="CD92" s="175">
        <f t="shared" ref="CD92:CD137" si="84">CC92*$CD$21</f>
        <v>0</v>
      </c>
      <c r="CE92" s="66">
        <f>(INDEX('SV calc_ignore'!$J$10:$J$1341,12*Output!A92-0))*($CE$21)</f>
        <v>0</v>
      </c>
      <c r="CF92" s="175">
        <f t="shared" ref="CF92:CF137" si="85">CE92*(AND(A92&gt;1,A92&lt;=DP))</f>
        <v>0</v>
      </c>
      <c r="CG92" s="175">
        <f>(INDEX('SV calc_ignore'!$J$10:$J$1341,12*Output!A92-0))*($CG$21)*(A92&gt;1)</f>
        <v>0</v>
      </c>
      <c r="CH92" s="175">
        <f>(INDEX('SV calc_ignore'!$J$10:$J$1341,12*Output!A92-0))*($CH$21)*(A92&gt;1)</f>
        <v>0</v>
      </c>
      <c r="CI92" s="175"/>
      <c r="CJ92" s="66">
        <f>(INDEX('SV calc_ignore'!$J$10:$J$1341,12*Output!A92-0))*($CJ$21)*(A92&gt;1)</f>
        <v>0</v>
      </c>
      <c r="CK92" s="66">
        <f>(INDEX('SV calc_ignore'!$Q$10:$Q$1341,12*Output!A92-0))*(AND(A92&gt;1,R92&lt;20))*($CK$21)</f>
        <v>0</v>
      </c>
      <c r="CL92" s="66">
        <f t="shared" ref="CL92:CL137" si="86">CK92+CJ92</f>
        <v>0</v>
      </c>
      <c r="CM92" s="175">
        <f>((INDEX('SV calc_ignore'!$J$10:$J$1341,12*Output!A92-0))+(INDEX('SV calc_ignore'!$O$10:$O$1341,12*Output!A92-0))*(A92&lt;'SV calc_ignore'!$Q$5))*(A92&gt;1)*($CM$21)</f>
        <v>0</v>
      </c>
      <c r="CN92" s="175">
        <v>0</v>
      </c>
      <c r="CO92" s="175">
        <f>(INDEX('SV calc_ignore'!$J$10:$J$1341,12*Output!A92-0))*(A92&gt;1)*($CO$21)</f>
        <v>0</v>
      </c>
      <c r="CP92" s="175">
        <v>0</v>
      </c>
      <c r="CQ92" s="175">
        <v>0</v>
      </c>
      <c r="CR92" s="175">
        <v>0</v>
      </c>
      <c r="CS92" s="175">
        <v>0</v>
      </c>
      <c r="CT92" s="175">
        <v>0</v>
      </c>
      <c r="CU92" s="175">
        <v>0</v>
      </c>
      <c r="CV92" s="175">
        <f>(INDEX('SV calc_ignore'!$J$10:$J$1341,12*Output!A92-0))*(A92&gt;1)*($CV$21)</f>
        <v>0</v>
      </c>
      <c r="CW92" s="66">
        <f>((INDEX('SV calc_ignore'!$J$10:$J$1341,12*Output!A92-0))+(INDEX('SV calc_ignore'!$O$10:$O$1351,12*Output!A92-0))*(A92&lt;'SV calc_ignore'!$Q$5))*(A92&gt;1)*($CW$21)</f>
        <v>0</v>
      </c>
      <c r="CX92" s="175">
        <f>(INDEX('SV calc_ignore'!$J$10:$J$1341,12*Output!A92-0))*(A92&gt;1)*($CX$21)</f>
        <v>0</v>
      </c>
      <c r="CY92" s="175">
        <f>(INDEX('SV calc_ignore'!$Q$10:$Q$1341,12*Output!A92-0))*(AND(A92&gt;1,R92&lt;20))*($CY$21)</f>
        <v>0</v>
      </c>
      <c r="CZ92" s="175">
        <f t="shared" ref="CZ92:CZ137" si="87">CX92+CY92</f>
        <v>0</v>
      </c>
      <c r="DA92" s="44"/>
      <c r="DB92" s="44"/>
      <c r="DC92" s="44"/>
      <c r="DE92" s="43">
        <f>IF($DE$23,0,VLOOKUP(IF(A92&lt;=DP,DJ92,DI92),SSV!$B$6:$C$116,2,FALSE)*VLOOKUP(AnnuityOption,'All Options'!$AB$36:$AC$47,2,FALSE)*VLOOKUP('All Options'!$E$22,'Valid Data-GPG'!$B$130:$F$134,MATCH('All Options'!$E$17,'Valid Data-GPG'!$B$130:$F$130,0),0)*'All Options'!$E$17)*(IF(AND(Select="Deferred Annuity",AnnuityOption="Life Annuity"),A92&lt;=DP,1))</f>
        <v>3274327.0531593515</v>
      </c>
      <c r="DF92" s="43">
        <f>IF($DF$23,0,IF($DQ$25,DQ92,IF($DR$25,DR92,VLOOKUP(IF(A92&lt;=DP,DJ92,DI92),SSV!$G$6:$H$116,2,FALSE)*SUM($B$27:B92))))</f>
        <v>1006161.5</v>
      </c>
      <c r="DG92" s="43" t="e">
        <f>IF(A92&lt;=DP,VLOOKUP(DP-A91,SSV!$T$6:$U$15,2,FALSE),1)</f>
        <v>#N/A</v>
      </c>
      <c r="DH92" s="282" t="e">
        <f t="shared" si="68"/>
        <v>#VALUE!</v>
      </c>
      <c r="DI92" s="43">
        <f>IF($DM$26,MIN(Age,'All Options'!$E$21)+A91,IF($DN$26,(Age+A91)-Age+60,IF($DO$26,(Age+A91)-Age+55,Age+A91)))</f>
        <v>60</v>
      </c>
      <c r="DJ92" s="279">
        <f>IF($DM$26,MIN(Age+A92,'All Options'!$E$21+A92),IF($DN$26,(Age+A92)-(Age+$A$27)+60,IF($DO$26,(Age+A92)-(Age+$A$27)+55,Age+A92)))</f>
        <v>60</v>
      </c>
      <c r="DK92" s="44"/>
      <c r="DL92" s="44"/>
      <c r="DM92" s="44"/>
      <c r="DN92" s="44"/>
      <c r="DO92" s="44"/>
      <c r="DP92" s="43">
        <f t="shared" ref="DP92:DP137" si="88">0*$DP$25</f>
        <v>0</v>
      </c>
      <c r="DQ92" s="43">
        <f>IFERROR(VLOOKUP(IF(A92&lt;=DP,DJ92,DI92),SSV!$K$6:$L$91,2,FALSE)*SUM($B$27:B92),0)*($DQ$25)</f>
        <v>0</v>
      </c>
      <c r="DR92" s="43">
        <f>IFERROR(VLOOKUP(IF(A92&lt;=DP,DJ92,DI92),SSV!$O$6:$P$95,2,FALSE)*SUM($B$27:B92),0)*($DR$25)</f>
        <v>0</v>
      </c>
      <c r="DS92" s="44"/>
      <c r="DT92" s="44"/>
      <c r="DU92" s="175">
        <f t="shared" si="69"/>
        <v>0</v>
      </c>
      <c r="DV92" s="44"/>
      <c r="DW92" s="44"/>
    </row>
    <row r="93" spans="1:127" x14ac:dyDescent="0.2">
      <c r="A93" s="146">
        <f t="shared" si="70"/>
        <v>0</v>
      </c>
      <c r="B93" s="670">
        <f>IF(PremiumType="Regular Premium",'All Options'!$E$18*'All Options'!$E$22*(AND(Output!A93&lt;=PPT,A93&gt;=1)),'All Options'!$E$18*(A93=1))</f>
        <v>0</v>
      </c>
      <c r="C93" s="671"/>
      <c r="D93" s="103" t="e">
        <f>((VLOOKUP(CONCATENATE($D$14,$D$15),'All Options'!$AB$36:$AC$47,4,0)*VLOOKUP('All Options'!$E$22,'Valid Data-GPG'!$B$130:$F$134,MATCH('All Options'!$E$17,'Valid Data-GPG'!$B$130:$F$130,0),0)*'All Options'!$E$17)*IF(Select="Deferred Annuity",A93&gt;DP,1)+AE93+AF93*AG93*$AG$21)*(A93&gt;0)</f>
        <v>#N/A</v>
      </c>
      <c r="E93" s="103">
        <v>0</v>
      </c>
      <c r="F93" s="103" t="e">
        <f t="shared" si="71"/>
        <v>#N/A</v>
      </c>
      <c r="G93" s="103">
        <f t="shared" si="55"/>
        <v>0</v>
      </c>
      <c r="H93" s="285">
        <f t="shared" si="72"/>
        <v>0</v>
      </c>
      <c r="I93" s="103">
        <f t="shared" si="73"/>
        <v>0</v>
      </c>
      <c r="J93" s="44"/>
      <c r="K93" s="175" t="str">
        <f t="shared" si="74"/>
        <v/>
      </c>
      <c r="L93" s="175"/>
      <c r="M93" s="175"/>
      <c r="N93" s="175"/>
      <c r="O93" s="175"/>
      <c r="P93" s="175"/>
      <c r="Q93" s="175"/>
      <c r="R93" s="175">
        <f t="shared" si="75"/>
        <v>0</v>
      </c>
      <c r="S93" s="44"/>
      <c r="T93" s="44"/>
      <c r="AB93" s="175" t="e">
        <f>(VLOOKUP(CONCATENATE($D$14,$D$15),'All Options'!$AB$36:$AC$47,4,0)*VLOOKUP('All Options'!$E$22,'Valid Data-GPG'!$B$130:$F$134,MATCH('All Options'!$E$17,'Valid Data-GPG'!$B$130:$F$130,0),0)*'All Options'!$E$17)*IF(Select="Deferred Annuity",A93&gt;DP,1)*(A93&gt;0)</f>
        <v>#N/A</v>
      </c>
      <c r="AC93" s="175">
        <f t="shared" si="56"/>
        <v>0</v>
      </c>
      <c r="AD93" s="175">
        <f>SUM($AC$26:AC93)</f>
        <v>0</v>
      </c>
      <c r="AE93" s="175">
        <f t="shared" si="57"/>
        <v>0</v>
      </c>
      <c r="AF93" s="175">
        <f t="shared" si="58"/>
        <v>0</v>
      </c>
      <c r="AG93" s="175" t="b">
        <f>(SUM($AF$26:AF93)&lt;=$AB$17)</f>
        <v>0</v>
      </c>
      <c r="AK93" s="44"/>
      <c r="AL93" s="44"/>
      <c r="AM93" s="44"/>
      <c r="AN93" s="44"/>
      <c r="AO93" s="44"/>
      <c r="AP93" s="44"/>
      <c r="AQ93" s="44"/>
      <c r="AR93" s="44"/>
      <c r="AS93" s="44"/>
      <c r="AT93" s="44"/>
      <c r="AU93" s="44"/>
      <c r="AV93" s="44"/>
      <c r="AW93" s="44"/>
      <c r="AX93" s="44"/>
      <c r="AY93" s="175"/>
      <c r="AZ93" s="66">
        <f>((MAX((SUM($B$26:C93)+(VLOOKUP($AZ$25,'All Options'!$AB$36:$AC$46,2,0)*VLOOKUP('All Options'!$E$22,'Valid Data-GPG'!$B$130:$F$134,MATCH('All Options'!$E$17,'Valid Data-GPG'!$B$130:$F$130,0),0)*'All Options'!$E$17)*(IF(A93&lt;=DP,A93,0))),105%*SUM($B$26:C93)))*(AND(A93&lt;&gt;0,Output!A93&lt;=DP))+(0)*(A93&gt;DP))*$AZ$21</f>
        <v>0</v>
      </c>
      <c r="BA93" s="175" t="e">
        <f>((MAX((SUM($B$26:C93)+(VLOOKUP($BA$25,'All Options'!$AB$36:$AC$46,2,0)*VLOOKUP('All Options'!$E$22,'Valid Data-GPG'!$B$130:$F$134,MATCH('All Options'!$E$17,'Valid Data-GPG'!$B$130:$F$130,0),0)*'All Options'!$E$17)*(IF(A93&lt;=DP,A93,0))),105%*SUM($B$26:C93)))*(Output!A93&lt;=DP)
+MAX((SUM($B$26:C93)+(VLOOKUP($BA$25,'All Options'!$AB$36:$AC$46,2,0)*VLOOKUP('All Options'!$E$22,'Valid Data-GPG'!$B$130:$F$134,MATCH('All Options'!$E$17,'Valid Data-GPG'!$B$130:$F$130,0),0)*'All Options'!$E$17)*DP-D93*(A93-DP)),SUM($B$26:C93))*(A93&gt;DP))*$BA$21</f>
        <v>#N/A</v>
      </c>
      <c r="BB93" s="175">
        <f>((MAX(($AB$17+(VLOOKUP($BB$25,'All Options'!$AB$36:$AC$46,2,0)*VLOOKUP('All Options'!$E$22,'Valid Data-GPG'!$B$130:$F$134,MATCH('All Options'!$E$17,'Valid Data-GPG'!$B$130:$F$130,0),0)*'All Options'!$E$17)*(IF(A93&lt;=DP,A93,0))),105%*$AB$17))*(Output!A93&lt;=DP)+(0)*(A93&gt;DP))*$BB$21</f>
        <v>0</v>
      </c>
      <c r="BC93" s="175" t="e">
        <f>((MAX(($AB$17+(VLOOKUP($BC$25,'All Options'!$AB$36:$AC$46,2,0)*VLOOKUP('All Options'!$E$22,'Valid Data-GPG'!$B$130:$F$134,MATCH('All Options'!$E$17,'Valid Data-GPG'!$B$130:$F$130,0),0)*'All Options'!$E$17)*(IF(A93&lt;=DP,A93,0))),105%*$AB$17))*(Output!A93&lt;=DP)+
MAX(($AB$17+(VLOOKUP($BC$25,'All Options'!$AB$36:$AC$46,2,0)*VLOOKUP('All Options'!$E$22,'Valid Data-GPG'!$B$130:$F$134,MATCH('All Options'!$E$17,'Valid Data-GPG'!$B$130:$F$130,0),0)*'All Options'!$E$17)*DP-D93*(A93-DP)),$AB$17)*(A93&gt;DP))*$BC$21</f>
        <v>#N/A</v>
      </c>
      <c r="BD93" s="175">
        <f ca="1">IFERROR((MAX(($AB$17+(VLOOKUP($BD$25,'All Options'!$AB$36:$AC$46,2,0)*VLOOKUP('All Options'!$E$22,'Valid Data-GPG'!$B$130:$F$134,MATCH('All Options'!$E$17,'Valid Data-GPG'!$B$130:$F$130,0),0)*'All Options'!$E$17)*(IF(A93&lt;=DP,A93,0))),105%*$AB$17))*(Output!A93&lt;=DP)
+MAX(($AB$17+(VLOOKUP($BD$25,'All Options'!$AB$36:$AC$46,2,0)*VLOOKUP('All Options'!$E$22,'Valid Data-GPG'!$B$130:$F$134,MATCH('All Options'!$E$17,'Valid Data-GPG'!$B$130:$F$130,0),0)*'All Options'!$E$17)*DP-D93*(A93-DP)),$AB$17)*(A93&gt;DP),0)*$BD$21</f>
        <v>0</v>
      </c>
      <c r="BE93" s="66">
        <f>IFERROR((MAX(($AB$17+(VLOOKUP($BE$25,'All Options'!$AB$36:$AC$46,2,0)*VLOOKUP('All Options'!$E$22,'Valid Data-GPG'!$B$130:$F$134,MATCH('All Options'!$E$17,'Valid Data-GPG'!$B$130:$F$130,0),0)*'All Options'!$E$17)*(IF(A93&lt;=DP,A93,0))),105%*$AB$17))*(Output!A93&lt;=DP)
+(MAX($AB$17+(VLOOKUP($BE$25,'All Options'!$AB$36:$AC$46,2,0)*VLOOKUP('All Options'!$E$22,'Valid Data-GPG'!$B$130:$F$134,MATCH('All Options'!$E$17,'Valid Data-GPG'!$B$130:$F$130,0),0)*'All Options'!$E$17)*DP-AB93*(A93-DP),$AB$17)*(MAX(A93&lt;=25,K93&lt;85)))*(A93&gt;DP),0)*$BE$21</f>
        <v>0</v>
      </c>
      <c r="BF93" s="175">
        <f>IFERROR((MAX(($AB$17+(VLOOKUP($BF$25,'All Options'!$AB$36:$AC$46,2,0)*VLOOKUP('All Options'!$E$22,'Valid Data-GPG'!$B$130:$F$134,MATCH('All Options'!$E$17,'Valid Data-GPG'!$B$130:$F$130,0),0)*'All Options'!$E$17)*(IF(A93&lt;=DP,A93,0))),105%*$AB$17))*(Output!A93&lt;=DP)
+(MAX($AB$17+(VLOOKUP($BF$25,'All Options'!$AB$36:$AC$46,2,0)*VLOOKUP('All Options'!$E$22,'Valid Data-GPG'!$B$130:$F$134,MATCH('All Options'!$E$17,'Valid Data-GPG'!$B$130:$F$130,0),0)*'All Options'!$E$17)*DP-AB93*(A93-DP),$AB$17)-SUM($AF$26:AF93)*AG93)*(A93&gt;DP)*AG93,0)*$BF$21</f>
        <v>0</v>
      </c>
      <c r="BG93" s="175">
        <f t="shared" si="76"/>
        <v>0</v>
      </c>
      <c r="BH93" s="182">
        <f t="shared" si="59"/>
        <v>5000000</v>
      </c>
      <c r="BI93" s="175">
        <f t="shared" si="77"/>
        <v>0</v>
      </c>
      <c r="BJ93" s="175">
        <f t="shared" si="78"/>
        <v>0</v>
      </c>
      <c r="BK93" s="175">
        <f t="shared" si="79"/>
        <v>0</v>
      </c>
      <c r="BL93" s="175">
        <f t="shared" si="80"/>
        <v>0</v>
      </c>
      <c r="BM93" s="175">
        <f t="shared" si="81"/>
        <v>0</v>
      </c>
      <c r="BN93" s="175">
        <f t="shared" si="82"/>
        <v>0</v>
      </c>
      <c r="BO93" s="182">
        <f t="shared" si="60"/>
        <v>0</v>
      </c>
      <c r="BP93" s="182">
        <f t="shared" si="61"/>
        <v>0</v>
      </c>
      <c r="BQ93" s="182">
        <f>MAX($AB$17-SUM($AF$26:AF93),0)*$BQ$21</f>
        <v>0</v>
      </c>
      <c r="BS93" s="175">
        <f t="shared" si="62"/>
        <v>0</v>
      </c>
      <c r="BT93" s="175">
        <f>IFERROR(IF(A93&lt;=1,0,VLOOKUP(DP,'Valid Data-GPG'!$A$116:$J$122,MATCH(Output!A93,'Valid Data-GPG'!$A$116:$J$116,0),FALSE)*SUM($B$26:C93))*(A93&lt;=DP),0)*$BT$21</f>
        <v>0</v>
      </c>
      <c r="BU93" s="175">
        <f>IFERROR(IF(A93&lt;=1,0,VLOOKUP(DP,'Valid Data-GPG'!$A$116:$J$122,MATCH(Output!A93,'Valid Data-GPG'!$A$116:$J$116,0),FALSE)*SUM($B$26:C93))*(A93&lt;=DP),0)*$BU$21</f>
        <v>0</v>
      </c>
      <c r="BV93" s="175">
        <f t="shared" si="63"/>
        <v>0</v>
      </c>
      <c r="BW93" s="175">
        <f t="shared" si="64"/>
        <v>0</v>
      </c>
      <c r="BX93" s="175">
        <f t="shared" si="65"/>
        <v>0</v>
      </c>
      <c r="BY93" s="175">
        <f t="shared" si="66"/>
        <v>0</v>
      </c>
      <c r="BZ93" s="175">
        <f t="shared" si="67"/>
        <v>0</v>
      </c>
      <c r="CA93" s="175">
        <f>(INDEX('SV calc_ignore'!$J$10:$J$1341,12*Output!A93-0))*BS93</f>
        <v>0</v>
      </c>
      <c r="CB93" s="175">
        <f t="shared" si="83"/>
        <v>0</v>
      </c>
      <c r="CC93" s="175">
        <f>(INDEX('SV calc_ignore'!$J$10:$J$1341,12*Output!A93-0))*BS93</f>
        <v>0</v>
      </c>
      <c r="CD93" s="175">
        <f t="shared" si="84"/>
        <v>0</v>
      </c>
      <c r="CE93" s="66">
        <f>(INDEX('SV calc_ignore'!$J$10:$J$1341,12*Output!A93-0))*($CE$21)</f>
        <v>0</v>
      </c>
      <c r="CF93" s="175">
        <f t="shared" si="85"/>
        <v>0</v>
      </c>
      <c r="CG93" s="175">
        <f>(INDEX('SV calc_ignore'!$J$10:$J$1341,12*Output!A93-0))*($CG$21)*(A93&gt;1)</f>
        <v>0</v>
      </c>
      <c r="CH93" s="175">
        <f>(INDEX('SV calc_ignore'!$J$10:$J$1341,12*Output!A93-0))*($CH$21)*(A93&gt;1)</f>
        <v>0</v>
      </c>
      <c r="CI93" s="175"/>
      <c r="CJ93" s="66">
        <f>(INDEX('SV calc_ignore'!$J$10:$J$1341,12*Output!A93-0))*($CJ$21)*(A93&gt;1)</f>
        <v>0</v>
      </c>
      <c r="CK93" s="66">
        <f>(INDEX('SV calc_ignore'!$Q$10:$Q$1341,12*Output!A93-0))*(AND(A93&gt;1,R93&lt;20))*($CK$21)</f>
        <v>0</v>
      </c>
      <c r="CL93" s="66">
        <f t="shared" si="86"/>
        <v>0</v>
      </c>
      <c r="CM93" s="175">
        <f>((INDEX('SV calc_ignore'!$J$10:$J$1341,12*Output!A93-0))+(INDEX('SV calc_ignore'!$O$10:$O$1341,12*Output!A93-0))*(A93&lt;'SV calc_ignore'!$Q$5))*(A93&gt;1)*($CM$21)</f>
        <v>0</v>
      </c>
      <c r="CN93" s="175">
        <v>0</v>
      </c>
      <c r="CO93" s="175">
        <f>(INDEX('SV calc_ignore'!$J$10:$J$1341,12*Output!A93-0))*(A93&gt;1)*($CO$21)</f>
        <v>0</v>
      </c>
      <c r="CP93" s="175">
        <v>0</v>
      </c>
      <c r="CQ93" s="175">
        <v>0</v>
      </c>
      <c r="CR93" s="175">
        <v>0</v>
      </c>
      <c r="CS93" s="175">
        <v>0</v>
      </c>
      <c r="CT93" s="175">
        <v>0</v>
      </c>
      <c r="CU93" s="175">
        <v>0</v>
      </c>
      <c r="CV93" s="175">
        <f>(INDEX('SV calc_ignore'!$J$10:$J$1341,12*Output!A93-0))*(A93&gt;1)*($CV$21)</f>
        <v>0</v>
      </c>
      <c r="CW93" s="66">
        <f>((INDEX('SV calc_ignore'!$J$10:$J$1341,12*Output!A93-0))+(INDEX('SV calc_ignore'!$O$10:$O$1351,12*Output!A93-0))*(A93&lt;'SV calc_ignore'!$Q$5))*(A93&gt;1)*($CW$21)</f>
        <v>0</v>
      </c>
      <c r="CX93" s="175">
        <f>(INDEX('SV calc_ignore'!$J$10:$J$1341,12*Output!A93-0))*(A93&gt;1)*($CX$21)</f>
        <v>0</v>
      </c>
      <c r="CY93" s="175">
        <f>(INDEX('SV calc_ignore'!$Q$10:$Q$1341,12*Output!A93-0))*(AND(A93&gt;1,R93&lt;20))*($CY$21)</f>
        <v>0</v>
      </c>
      <c r="CZ93" s="175">
        <f t="shared" si="87"/>
        <v>0</v>
      </c>
      <c r="DA93" s="44"/>
      <c r="DB93" s="44"/>
      <c r="DC93" s="44"/>
      <c r="DE93" s="43">
        <f>IF($DE$23,0,VLOOKUP(IF(A93&lt;=DP,DJ93,DI93),SSV!$B$6:$C$116,2,FALSE)*VLOOKUP(AnnuityOption,'All Options'!$AB$36:$AC$47,2,FALSE)*VLOOKUP('All Options'!$E$22,'Valid Data-GPG'!$B$130:$F$134,MATCH('All Options'!$E$17,'Valid Data-GPG'!$B$130:$F$130,0),0)*'All Options'!$E$17)*(IF(AND(Select="Deferred Annuity",AnnuityOption="Life Annuity"),A93&lt;=DP,1))</f>
        <v>3274327.0531593515</v>
      </c>
      <c r="DF93" s="43">
        <f>IF($DF$23,0,IF($DQ$25,DQ93,IF($DR$25,DR93,VLOOKUP(IF(A93&lt;=DP,DJ93,DI93),SSV!$G$6:$H$116,2,FALSE)*SUM($B$27:B93))))</f>
        <v>1006161.5</v>
      </c>
      <c r="DG93" s="43" t="e">
        <f>IF(A93&lt;=DP,VLOOKUP(DP-A92,SSV!$T$6:$U$15,2,FALSE),1)</f>
        <v>#N/A</v>
      </c>
      <c r="DH93" s="282" t="e">
        <f t="shared" si="68"/>
        <v>#VALUE!</v>
      </c>
      <c r="DI93" s="43">
        <f>IF($DM$26,MIN(Age,'All Options'!$E$21)+A92,IF($DN$26,(Age+A92)-Age+60,IF($DO$26,(Age+A92)-Age+55,Age+A92)))</f>
        <v>60</v>
      </c>
      <c r="DJ93" s="279">
        <f>IF($DM$26,MIN(Age+A93,'All Options'!$E$21+A93),IF($DN$26,(Age+A93)-(Age+$A$27)+60,IF($DO$26,(Age+A93)-(Age+$A$27)+55,Age+A93)))</f>
        <v>60</v>
      </c>
      <c r="DK93" s="44"/>
      <c r="DL93" s="44"/>
      <c r="DM93" s="44"/>
      <c r="DN93" s="44"/>
      <c r="DO93" s="44"/>
      <c r="DP93" s="43">
        <f t="shared" si="88"/>
        <v>0</v>
      </c>
      <c r="DQ93" s="43">
        <f>IFERROR(VLOOKUP(IF(A93&lt;=DP,DJ93,DI93),SSV!$K$6:$L$91,2,FALSE)*SUM($B$27:B93),0)*($DQ$25)</f>
        <v>0</v>
      </c>
      <c r="DR93" s="43">
        <f>IFERROR(VLOOKUP(IF(A93&lt;=DP,DJ93,DI93),SSV!$O$6:$P$95,2,FALSE)*SUM($B$27:B93),0)*($DR$25)</f>
        <v>0</v>
      </c>
      <c r="DS93" s="44"/>
      <c r="DT93" s="44"/>
      <c r="DU93" s="175">
        <f t="shared" si="69"/>
        <v>0</v>
      </c>
      <c r="DV93" s="44"/>
      <c r="DW93" s="44"/>
    </row>
    <row r="94" spans="1:127" x14ac:dyDescent="0.2">
      <c r="A94" s="146">
        <f t="shared" si="70"/>
        <v>0</v>
      </c>
      <c r="B94" s="670">
        <f>IF(PremiumType="Regular Premium",'All Options'!$E$18*'All Options'!$E$22*(AND(Output!A94&lt;=PPT,A94&gt;=1)),'All Options'!$E$18*(A94=1))</f>
        <v>0</v>
      </c>
      <c r="C94" s="671"/>
      <c r="D94" s="103" t="e">
        <f>((VLOOKUP(CONCATENATE($D$14,$D$15),'All Options'!$AB$36:$AC$47,4,0)*VLOOKUP('All Options'!$E$22,'Valid Data-GPG'!$B$130:$F$134,MATCH('All Options'!$E$17,'Valid Data-GPG'!$B$130:$F$130,0),0)*'All Options'!$E$17)*IF(Select="Deferred Annuity",A94&gt;DP,1)+AE94+AF94*AG94*$AG$21)*(A94&gt;0)</f>
        <v>#N/A</v>
      </c>
      <c r="E94" s="103">
        <v>0</v>
      </c>
      <c r="F94" s="103" t="e">
        <f t="shared" si="71"/>
        <v>#N/A</v>
      </c>
      <c r="G94" s="103">
        <f t="shared" si="55"/>
        <v>0</v>
      </c>
      <c r="H94" s="285">
        <f t="shared" si="72"/>
        <v>0</v>
      </c>
      <c r="I94" s="103">
        <f t="shared" si="73"/>
        <v>0</v>
      </c>
      <c r="K94" s="175" t="str">
        <f t="shared" si="74"/>
        <v/>
      </c>
      <c r="L94" s="175"/>
      <c r="M94" s="175"/>
      <c r="N94" s="175"/>
      <c r="O94" s="175"/>
      <c r="P94" s="175"/>
      <c r="Q94" s="175"/>
      <c r="R94" s="175">
        <f t="shared" si="75"/>
        <v>0</v>
      </c>
      <c r="AB94" s="175" t="e">
        <f>(VLOOKUP(CONCATENATE($D$14,$D$15),'All Options'!$AB$36:$AC$47,4,0)*VLOOKUP('All Options'!$E$22,'Valid Data-GPG'!$B$130:$F$134,MATCH('All Options'!$E$17,'Valid Data-GPG'!$B$130:$F$130,0),0)*'All Options'!$E$17)*IF(Select="Deferred Annuity",A94&gt;DP,1)*(A94&gt;0)</f>
        <v>#N/A</v>
      </c>
      <c r="AC94" s="175">
        <f t="shared" si="56"/>
        <v>0</v>
      </c>
      <c r="AD94" s="175">
        <f>SUM($AC$26:AC94)</f>
        <v>0</v>
      </c>
      <c r="AE94" s="175">
        <f t="shared" si="57"/>
        <v>0</v>
      </c>
      <c r="AF94" s="175">
        <f t="shared" si="58"/>
        <v>0</v>
      </c>
      <c r="AG94" s="175" t="b">
        <f>(SUM($AF$26:AF94)&lt;=$AB$17)</f>
        <v>0</v>
      </c>
      <c r="AY94" s="175"/>
      <c r="AZ94" s="66">
        <f>((MAX((SUM($B$26:C94)+(VLOOKUP($AZ$25,'All Options'!$AB$36:$AC$46,2,0)*VLOOKUP('All Options'!$E$22,'Valid Data-GPG'!$B$130:$F$134,MATCH('All Options'!$E$17,'Valid Data-GPG'!$B$130:$F$130,0),0)*'All Options'!$E$17)*(IF(A94&lt;=DP,A94,0))),105%*SUM($B$26:C94)))*(AND(A94&lt;&gt;0,Output!A94&lt;=DP))+(0)*(A94&gt;DP))*$AZ$21</f>
        <v>0</v>
      </c>
      <c r="BA94" s="175" t="e">
        <f>((MAX((SUM($B$26:C94)+(VLOOKUP($BA$25,'All Options'!$AB$36:$AC$46,2,0)*VLOOKUP('All Options'!$E$22,'Valid Data-GPG'!$B$130:$F$134,MATCH('All Options'!$E$17,'Valid Data-GPG'!$B$130:$F$130,0),0)*'All Options'!$E$17)*(IF(A94&lt;=DP,A94,0))),105%*SUM($B$26:C94)))*(Output!A94&lt;=DP)
+MAX((SUM($B$26:C94)+(VLOOKUP($BA$25,'All Options'!$AB$36:$AC$46,2,0)*VLOOKUP('All Options'!$E$22,'Valid Data-GPG'!$B$130:$F$134,MATCH('All Options'!$E$17,'Valid Data-GPG'!$B$130:$F$130,0),0)*'All Options'!$E$17)*DP-D94*(A94-DP)),SUM($B$26:C94))*(A94&gt;DP))*$BA$21</f>
        <v>#N/A</v>
      </c>
      <c r="BB94" s="175">
        <f>((MAX(($AB$17+(VLOOKUP($BB$25,'All Options'!$AB$36:$AC$46,2,0)*VLOOKUP('All Options'!$E$22,'Valid Data-GPG'!$B$130:$F$134,MATCH('All Options'!$E$17,'Valid Data-GPG'!$B$130:$F$130,0),0)*'All Options'!$E$17)*(IF(A94&lt;=DP,A94,0))),105%*$AB$17))*(Output!A94&lt;=DP)+(0)*(A94&gt;DP))*$BB$21</f>
        <v>0</v>
      </c>
      <c r="BC94" s="175" t="e">
        <f>((MAX(($AB$17+(VLOOKUP($BC$25,'All Options'!$AB$36:$AC$46,2,0)*VLOOKUP('All Options'!$E$22,'Valid Data-GPG'!$B$130:$F$134,MATCH('All Options'!$E$17,'Valid Data-GPG'!$B$130:$F$130,0),0)*'All Options'!$E$17)*(IF(A94&lt;=DP,A94,0))),105%*$AB$17))*(Output!A94&lt;=DP)+
MAX(($AB$17+(VLOOKUP($BC$25,'All Options'!$AB$36:$AC$46,2,0)*VLOOKUP('All Options'!$E$22,'Valid Data-GPG'!$B$130:$F$134,MATCH('All Options'!$E$17,'Valid Data-GPG'!$B$130:$F$130,0),0)*'All Options'!$E$17)*DP-D94*(A94-DP)),$AB$17)*(A94&gt;DP))*$BC$21</f>
        <v>#N/A</v>
      </c>
      <c r="BD94" s="175">
        <f ca="1">IFERROR((MAX(($AB$17+(VLOOKUP($BD$25,'All Options'!$AB$36:$AC$46,2,0)*VLOOKUP('All Options'!$E$22,'Valid Data-GPG'!$B$130:$F$134,MATCH('All Options'!$E$17,'Valid Data-GPG'!$B$130:$F$130,0),0)*'All Options'!$E$17)*(IF(A94&lt;=DP,A94,0))),105%*$AB$17))*(Output!A94&lt;=DP)
+MAX(($AB$17+(VLOOKUP($BD$25,'All Options'!$AB$36:$AC$46,2,0)*VLOOKUP('All Options'!$E$22,'Valid Data-GPG'!$B$130:$F$134,MATCH('All Options'!$E$17,'Valid Data-GPG'!$B$130:$F$130,0),0)*'All Options'!$E$17)*DP-D94*(A94-DP)),$AB$17)*(A94&gt;DP),0)*$BD$21</f>
        <v>0</v>
      </c>
      <c r="BE94" s="66">
        <f>IFERROR((MAX(($AB$17+(VLOOKUP($BE$25,'All Options'!$AB$36:$AC$46,2,0)*VLOOKUP('All Options'!$E$22,'Valid Data-GPG'!$B$130:$F$134,MATCH('All Options'!$E$17,'Valid Data-GPG'!$B$130:$F$130,0),0)*'All Options'!$E$17)*(IF(A94&lt;=DP,A94,0))),105%*$AB$17))*(Output!A94&lt;=DP)
+(MAX($AB$17+(VLOOKUP($BE$25,'All Options'!$AB$36:$AC$46,2,0)*VLOOKUP('All Options'!$E$22,'Valid Data-GPG'!$B$130:$F$134,MATCH('All Options'!$E$17,'Valid Data-GPG'!$B$130:$F$130,0),0)*'All Options'!$E$17)*DP-AB94*(A94-DP),$AB$17)*(MAX(A94&lt;=25,K94&lt;85)))*(A94&gt;DP),0)*$BE$21</f>
        <v>0</v>
      </c>
      <c r="BF94" s="175">
        <f>IFERROR((MAX(($AB$17+(VLOOKUP($BF$25,'All Options'!$AB$36:$AC$46,2,0)*VLOOKUP('All Options'!$E$22,'Valid Data-GPG'!$B$130:$F$134,MATCH('All Options'!$E$17,'Valid Data-GPG'!$B$130:$F$130,0),0)*'All Options'!$E$17)*(IF(A94&lt;=DP,A94,0))),105%*$AB$17))*(Output!A94&lt;=DP)
+(MAX($AB$17+(VLOOKUP($BF$25,'All Options'!$AB$36:$AC$46,2,0)*VLOOKUP('All Options'!$E$22,'Valid Data-GPG'!$B$130:$F$134,MATCH('All Options'!$E$17,'Valid Data-GPG'!$B$130:$F$130,0),0)*'All Options'!$E$17)*DP-AB94*(A94-DP),$AB$17)-SUM($AF$26:AF94)*AG94)*(A94&gt;DP)*AG94,0)*$BF$21</f>
        <v>0</v>
      </c>
      <c r="BG94" s="175">
        <f t="shared" si="76"/>
        <v>0</v>
      </c>
      <c r="BH94" s="182">
        <f t="shared" si="59"/>
        <v>5000000</v>
      </c>
      <c r="BI94" s="175">
        <f t="shared" si="77"/>
        <v>0</v>
      </c>
      <c r="BJ94" s="175">
        <f t="shared" si="78"/>
        <v>0</v>
      </c>
      <c r="BK94" s="175">
        <f t="shared" si="79"/>
        <v>0</v>
      </c>
      <c r="BL94" s="175">
        <f t="shared" si="80"/>
        <v>0</v>
      </c>
      <c r="BM94" s="175">
        <f t="shared" si="81"/>
        <v>0</v>
      </c>
      <c r="BN94" s="175">
        <f t="shared" si="82"/>
        <v>0</v>
      </c>
      <c r="BO94" s="182">
        <f t="shared" si="60"/>
        <v>0</v>
      </c>
      <c r="BP94" s="182">
        <f t="shared" si="61"/>
        <v>0</v>
      </c>
      <c r="BQ94" s="182">
        <f>MAX($AB$17-SUM($AF$26:AF94),0)*$BQ$21</f>
        <v>0</v>
      </c>
      <c r="BS94" s="175">
        <f t="shared" si="62"/>
        <v>0</v>
      </c>
      <c r="BT94" s="175">
        <f>IFERROR(IF(A94&lt;=1,0,VLOOKUP(DP,'Valid Data-GPG'!$A$116:$J$122,MATCH(Output!A94,'Valid Data-GPG'!$A$116:$J$116,0),FALSE)*SUM($B$26:C94))*(A94&lt;=DP),0)*$BT$21</f>
        <v>0</v>
      </c>
      <c r="BU94" s="175">
        <f>IFERROR(IF(A94&lt;=1,0,VLOOKUP(DP,'Valid Data-GPG'!$A$116:$J$122,MATCH(Output!A94,'Valid Data-GPG'!$A$116:$J$116,0),FALSE)*SUM($B$26:C94))*(A94&lt;=DP),0)*$BU$21</f>
        <v>0</v>
      </c>
      <c r="BV94" s="175">
        <f t="shared" si="63"/>
        <v>0</v>
      </c>
      <c r="BW94" s="175">
        <f t="shared" si="64"/>
        <v>0</v>
      </c>
      <c r="BX94" s="175">
        <f t="shared" si="65"/>
        <v>0</v>
      </c>
      <c r="BY94" s="175">
        <f t="shared" si="66"/>
        <v>0</v>
      </c>
      <c r="BZ94" s="175">
        <f t="shared" si="67"/>
        <v>0</v>
      </c>
      <c r="CA94" s="175">
        <f>(INDEX('SV calc_ignore'!$J$10:$J$1341,12*Output!A94-0))*BS94</f>
        <v>0</v>
      </c>
      <c r="CB94" s="175">
        <f t="shared" si="83"/>
        <v>0</v>
      </c>
      <c r="CC94" s="175">
        <f>(INDEX('SV calc_ignore'!$J$10:$J$1341,12*Output!A94-0))*BS94</f>
        <v>0</v>
      </c>
      <c r="CD94" s="175">
        <f t="shared" si="84"/>
        <v>0</v>
      </c>
      <c r="CE94" s="66">
        <f>(INDEX('SV calc_ignore'!$J$10:$J$1341,12*Output!A94-0))*($CE$21)</f>
        <v>0</v>
      </c>
      <c r="CF94" s="175">
        <f t="shared" si="85"/>
        <v>0</v>
      </c>
      <c r="CG94" s="175">
        <f>(INDEX('SV calc_ignore'!$J$10:$J$1341,12*Output!A94-0))*($CG$21)*(A94&gt;1)</f>
        <v>0</v>
      </c>
      <c r="CH94" s="175">
        <f>(INDEX('SV calc_ignore'!$J$10:$J$1341,12*Output!A94-0))*($CH$21)*(A94&gt;1)</f>
        <v>0</v>
      </c>
      <c r="CI94" s="175"/>
      <c r="CJ94" s="66">
        <f>(INDEX('SV calc_ignore'!$J$10:$J$1341,12*Output!A94-0))*($CJ$21)*(A94&gt;1)</f>
        <v>0</v>
      </c>
      <c r="CK94" s="66">
        <f>(INDEX('SV calc_ignore'!$Q$10:$Q$1341,12*Output!A94-0))*(AND(A94&gt;1,R94&lt;20))*($CK$21)</f>
        <v>0</v>
      </c>
      <c r="CL94" s="66">
        <f t="shared" si="86"/>
        <v>0</v>
      </c>
      <c r="CM94" s="175">
        <f>((INDEX('SV calc_ignore'!$J$10:$J$1341,12*Output!A94-0))+(INDEX('SV calc_ignore'!$O$10:$O$1341,12*Output!A94-0))*(A94&lt;'SV calc_ignore'!$Q$5))*(A94&gt;1)*($CM$21)</f>
        <v>0</v>
      </c>
      <c r="CN94" s="175">
        <v>0</v>
      </c>
      <c r="CO94" s="175">
        <f>(INDEX('SV calc_ignore'!$J$10:$J$1341,12*Output!A94-0))*(A94&gt;1)*($CO$21)</f>
        <v>0</v>
      </c>
      <c r="CP94" s="175">
        <v>0</v>
      </c>
      <c r="CQ94" s="175">
        <v>0</v>
      </c>
      <c r="CR94" s="175">
        <v>0</v>
      </c>
      <c r="CS94" s="175">
        <v>0</v>
      </c>
      <c r="CT94" s="175">
        <v>0</v>
      </c>
      <c r="CU94" s="175">
        <v>0</v>
      </c>
      <c r="CV94" s="175">
        <f>(INDEX('SV calc_ignore'!$J$10:$J$1341,12*Output!A94-0))*(A94&gt;1)*($CV$21)</f>
        <v>0</v>
      </c>
      <c r="CW94" s="66">
        <f>((INDEX('SV calc_ignore'!$J$10:$J$1341,12*Output!A94-0))+(INDEX('SV calc_ignore'!$O$10:$O$1351,12*Output!A94-0))*(A94&lt;'SV calc_ignore'!$Q$5))*(A94&gt;1)*($CW$21)</f>
        <v>0</v>
      </c>
      <c r="CX94" s="175">
        <f>(INDEX('SV calc_ignore'!$J$10:$J$1341,12*Output!A94-0))*(A94&gt;1)*($CX$21)</f>
        <v>0</v>
      </c>
      <c r="CY94" s="175">
        <f>(INDEX('SV calc_ignore'!$Q$10:$Q$1341,12*Output!A94-0))*(AND(A94&gt;1,R94&lt;20))*($CY$21)</f>
        <v>0</v>
      </c>
      <c r="CZ94" s="175">
        <f t="shared" si="87"/>
        <v>0</v>
      </c>
      <c r="DE94" s="43">
        <f>IF($DE$23,0,VLOOKUP(IF(A94&lt;=DP,DJ94,DI94),SSV!$B$6:$C$116,2,FALSE)*VLOOKUP(AnnuityOption,'All Options'!$AB$36:$AC$47,2,FALSE)*VLOOKUP('All Options'!$E$22,'Valid Data-GPG'!$B$130:$F$134,MATCH('All Options'!$E$17,'Valid Data-GPG'!$B$130:$F$130,0),0)*'All Options'!$E$17)*(IF(AND(Select="Deferred Annuity",AnnuityOption="Life Annuity"),A94&lt;=DP,1))</f>
        <v>3274327.0531593515</v>
      </c>
      <c r="DF94" s="43">
        <f>IF($DF$23,0,IF($DQ$25,DQ94,IF($DR$25,DR94,VLOOKUP(IF(A94&lt;=DP,DJ94,DI94),SSV!$G$6:$H$116,2,FALSE)*SUM($B$27:B94))))</f>
        <v>1006161.5</v>
      </c>
      <c r="DG94" s="43" t="e">
        <f>IF(A94&lt;=DP,VLOOKUP(DP-A93,SSV!$T$6:$U$15,2,FALSE),1)</f>
        <v>#N/A</v>
      </c>
      <c r="DH94" s="282" t="e">
        <f t="shared" si="68"/>
        <v>#VALUE!</v>
      </c>
      <c r="DI94" s="43">
        <f>IF($DM$26,MIN(Age,'All Options'!$E$21)+A93,IF($DN$26,(Age+A93)-Age+60,IF($DO$26,(Age+A93)-Age+55,Age+A93)))</f>
        <v>60</v>
      </c>
      <c r="DJ94" s="279">
        <f>IF($DM$26,MIN(Age+A94,'All Options'!$E$21+A94),IF($DN$26,(Age+A94)-(Age+$A$27)+60,IF($DO$26,(Age+A94)-(Age+$A$27)+55,Age+A94)))</f>
        <v>60</v>
      </c>
      <c r="DP94" s="43">
        <f t="shared" si="88"/>
        <v>0</v>
      </c>
      <c r="DQ94" s="43">
        <f>IFERROR(VLOOKUP(IF(A94&lt;=DP,DJ94,DI94),SSV!$K$6:$L$91,2,FALSE)*SUM($B$27:B94),0)*($DQ$25)</f>
        <v>0</v>
      </c>
      <c r="DR94" s="43">
        <f>IFERROR(VLOOKUP(IF(A94&lt;=DP,DJ94,DI94),SSV!$O$6:$P$95,2,FALSE)*SUM($B$27:B94),0)*($DR$25)</f>
        <v>0</v>
      </c>
      <c r="DU94" s="175">
        <f t="shared" si="69"/>
        <v>0</v>
      </c>
    </row>
    <row r="95" spans="1:127" x14ac:dyDescent="0.2">
      <c r="A95" s="146">
        <f t="shared" si="70"/>
        <v>0</v>
      </c>
      <c r="B95" s="670">
        <f>IF(PremiumType="Regular Premium",'All Options'!$E$18*'All Options'!$E$22*(AND(Output!A95&lt;=PPT,A95&gt;=1)),'All Options'!$E$18*(A95=1))</f>
        <v>0</v>
      </c>
      <c r="C95" s="671"/>
      <c r="D95" s="103" t="e">
        <f>((VLOOKUP(CONCATENATE($D$14,$D$15),'All Options'!$AB$36:$AC$47,4,0)*VLOOKUP('All Options'!$E$22,'Valid Data-GPG'!$B$130:$F$134,MATCH('All Options'!$E$17,'Valid Data-GPG'!$B$130:$F$130,0),0)*'All Options'!$E$17)*IF(Select="Deferred Annuity",A95&gt;DP,1)+AE95+AF95*AG95*$AG$21)*(A95&gt;0)</f>
        <v>#N/A</v>
      </c>
      <c r="E95" s="103">
        <v>0</v>
      </c>
      <c r="F95" s="103" t="e">
        <f t="shared" si="71"/>
        <v>#N/A</v>
      </c>
      <c r="G95" s="103">
        <f t="shared" si="55"/>
        <v>0</v>
      </c>
      <c r="H95" s="285">
        <f t="shared" si="72"/>
        <v>0</v>
      </c>
      <c r="I95" s="103">
        <f t="shared" si="73"/>
        <v>0</v>
      </c>
      <c r="K95" s="175" t="str">
        <f t="shared" si="74"/>
        <v/>
      </c>
      <c r="L95" s="175"/>
      <c r="M95" s="175"/>
      <c r="N95" s="175"/>
      <c r="O95" s="175"/>
      <c r="P95" s="175"/>
      <c r="Q95" s="175"/>
      <c r="R95" s="175">
        <f t="shared" si="75"/>
        <v>0</v>
      </c>
      <c r="AB95" s="175" t="e">
        <f>(VLOOKUP(CONCATENATE($D$14,$D$15),'All Options'!$AB$36:$AC$47,4,0)*VLOOKUP('All Options'!$E$22,'Valid Data-GPG'!$B$130:$F$134,MATCH('All Options'!$E$17,'Valid Data-GPG'!$B$130:$F$130,0),0)*'All Options'!$E$17)*IF(Select="Deferred Annuity",A95&gt;DP,1)*(A95&gt;0)</f>
        <v>#N/A</v>
      </c>
      <c r="AC95" s="175">
        <f t="shared" si="56"/>
        <v>0</v>
      </c>
      <c r="AD95" s="175">
        <f>SUM($AC$26:AC95)</f>
        <v>0</v>
      </c>
      <c r="AE95" s="175">
        <f t="shared" si="57"/>
        <v>0</v>
      </c>
      <c r="AF95" s="175">
        <f t="shared" si="58"/>
        <v>0</v>
      </c>
      <c r="AG95" s="175" t="b">
        <f>(SUM($AF$26:AF95)&lt;=$AB$17)</f>
        <v>0</v>
      </c>
      <c r="AY95" s="175"/>
      <c r="AZ95" s="66">
        <f>((MAX((SUM($B$26:C95)+(VLOOKUP($AZ$25,'All Options'!$AB$36:$AC$46,2,0)*VLOOKUP('All Options'!$E$22,'Valid Data-GPG'!$B$130:$F$134,MATCH('All Options'!$E$17,'Valid Data-GPG'!$B$130:$F$130,0),0)*'All Options'!$E$17)*(IF(A95&lt;=DP,A95,0))),105%*SUM($B$26:C95)))*(AND(A95&lt;&gt;0,Output!A95&lt;=DP))+(0)*(A95&gt;DP))*$AZ$21</f>
        <v>0</v>
      </c>
      <c r="BA95" s="175" t="e">
        <f>((MAX((SUM($B$26:C95)+(VLOOKUP($BA$25,'All Options'!$AB$36:$AC$46,2,0)*VLOOKUP('All Options'!$E$22,'Valid Data-GPG'!$B$130:$F$134,MATCH('All Options'!$E$17,'Valid Data-GPG'!$B$130:$F$130,0),0)*'All Options'!$E$17)*(IF(A95&lt;=DP,A95,0))),105%*SUM($B$26:C95)))*(Output!A95&lt;=DP)
+MAX((SUM($B$26:C95)+(VLOOKUP($BA$25,'All Options'!$AB$36:$AC$46,2,0)*VLOOKUP('All Options'!$E$22,'Valid Data-GPG'!$B$130:$F$134,MATCH('All Options'!$E$17,'Valid Data-GPG'!$B$130:$F$130,0),0)*'All Options'!$E$17)*DP-D95*(A95-DP)),SUM($B$26:C95))*(A95&gt;DP))*$BA$21</f>
        <v>#N/A</v>
      </c>
      <c r="BB95" s="175">
        <f>((MAX(($AB$17+(VLOOKUP($BB$25,'All Options'!$AB$36:$AC$46,2,0)*VLOOKUP('All Options'!$E$22,'Valid Data-GPG'!$B$130:$F$134,MATCH('All Options'!$E$17,'Valid Data-GPG'!$B$130:$F$130,0),0)*'All Options'!$E$17)*(IF(A95&lt;=DP,A95,0))),105%*$AB$17))*(Output!A95&lt;=DP)+(0)*(A95&gt;DP))*$BB$21</f>
        <v>0</v>
      </c>
      <c r="BC95" s="175" t="e">
        <f>((MAX(($AB$17+(VLOOKUP($BC$25,'All Options'!$AB$36:$AC$46,2,0)*VLOOKUP('All Options'!$E$22,'Valid Data-GPG'!$B$130:$F$134,MATCH('All Options'!$E$17,'Valid Data-GPG'!$B$130:$F$130,0),0)*'All Options'!$E$17)*(IF(A95&lt;=DP,A95,0))),105%*$AB$17))*(Output!A95&lt;=DP)+
MAX(($AB$17+(VLOOKUP($BC$25,'All Options'!$AB$36:$AC$46,2,0)*VLOOKUP('All Options'!$E$22,'Valid Data-GPG'!$B$130:$F$134,MATCH('All Options'!$E$17,'Valid Data-GPG'!$B$130:$F$130,0),0)*'All Options'!$E$17)*DP-D95*(A95-DP)),$AB$17)*(A95&gt;DP))*$BC$21</f>
        <v>#N/A</v>
      </c>
      <c r="BD95" s="175">
        <f ca="1">IFERROR((MAX(($AB$17+(VLOOKUP($BD$25,'All Options'!$AB$36:$AC$46,2,0)*VLOOKUP('All Options'!$E$22,'Valid Data-GPG'!$B$130:$F$134,MATCH('All Options'!$E$17,'Valid Data-GPG'!$B$130:$F$130,0),0)*'All Options'!$E$17)*(IF(A95&lt;=DP,A95,0))),105%*$AB$17))*(Output!A95&lt;=DP)
+MAX(($AB$17+(VLOOKUP($BD$25,'All Options'!$AB$36:$AC$46,2,0)*VLOOKUP('All Options'!$E$22,'Valid Data-GPG'!$B$130:$F$134,MATCH('All Options'!$E$17,'Valid Data-GPG'!$B$130:$F$130,0),0)*'All Options'!$E$17)*DP-D95*(A95-DP)),$AB$17)*(A95&gt;DP),0)*$BD$21</f>
        <v>0</v>
      </c>
      <c r="BE95" s="66">
        <f>IFERROR((MAX(($AB$17+(VLOOKUP($BE$25,'All Options'!$AB$36:$AC$46,2,0)*VLOOKUP('All Options'!$E$22,'Valid Data-GPG'!$B$130:$F$134,MATCH('All Options'!$E$17,'Valid Data-GPG'!$B$130:$F$130,0),0)*'All Options'!$E$17)*(IF(A95&lt;=DP,A95,0))),105%*$AB$17))*(Output!A95&lt;=DP)
+(MAX($AB$17+(VLOOKUP($BE$25,'All Options'!$AB$36:$AC$46,2,0)*VLOOKUP('All Options'!$E$22,'Valid Data-GPG'!$B$130:$F$134,MATCH('All Options'!$E$17,'Valid Data-GPG'!$B$130:$F$130,0),0)*'All Options'!$E$17)*DP-AB95*(A95-DP),$AB$17)*(MAX(A95&lt;=25,K95&lt;85)))*(A95&gt;DP),0)*$BE$21</f>
        <v>0</v>
      </c>
      <c r="BF95" s="175">
        <f>IFERROR((MAX(($AB$17+(VLOOKUP($BF$25,'All Options'!$AB$36:$AC$46,2,0)*VLOOKUP('All Options'!$E$22,'Valid Data-GPG'!$B$130:$F$134,MATCH('All Options'!$E$17,'Valid Data-GPG'!$B$130:$F$130,0),0)*'All Options'!$E$17)*(IF(A95&lt;=DP,A95,0))),105%*$AB$17))*(Output!A95&lt;=DP)
+(MAX($AB$17+(VLOOKUP($BF$25,'All Options'!$AB$36:$AC$46,2,0)*VLOOKUP('All Options'!$E$22,'Valid Data-GPG'!$B$130:$F$134,MATCH('All Options'!$E$17,'Valid Data-GPG'!$B$130:$F$130,0),0)*'All Options'!$E$17)*DP-AB95*(A95-DP),$AB$17)-SUM($AF$26:AF95)*AG95)*(A95&gt;DP)*AG95,0)*$BF$21</f>
        <v>0</v>
      </c>
      <c r="BG95" s="175">
        <f t="shared" si="76"/>
        <v>0</v>
      </c>
      <c r="BH95" s="182">
        <f t="shared" si="59"/>
        <v>5000000</v>
      </c>
      <c r="BI95" s="175">
        <f t="shared" si="77"/>
        <v>0</v>
      </c>
      <c r="BJ95" s="175">
        <f t="shared" si="78"/>
        <v>0</v>
      </c>
      <c r="BK95" s="175">
        <f t="shared" si="79"/>
        <v>0</v>
      </c>
      <c r="BL95" s="175">
        <f t="shared" si="80"/>
        <v>0</v>
      </c>
      <c r="BM95" s="175">
        <f t="shared" si="81"/>
        <v>0</v>
      </c>
      <c r="BN95" s="175">
        <f t="shared" si="82"/>
        <v>0</v>
      </c>
      <c r="BO95" s="182">
        <f t="shared" si="60"/>
        <v>0</v>
      </c>
      <c r="BP95" s="182">
        <f t="shared" si="61"/>
        <v>0</v>
      </c>
      <c r="BQ95" s="182">
        <f>MAX($AB$17-SUM($AF$26:AF95),0)*$BQ$21</f>
        <v>0</v>
      </c>
      <c r="BS95" s="175">
        <f t="shared" si="62"/>
        <v>0</v>
      </c>
      <c r="BT95" s="175">
        <f>IFERROR(IF(A95&lt;=1,0,VLOOKUP(DP,'Valid Data-GPG'!$A$116:$J$122,MATCH(Output!A95,'Valid Data-GPG'!$A$116:$J$116,0),FALSE)*SUM($B$26:C95))*(A95&lt;=DP),0)*$BT$21</f>
        <v>0</v>
      </c>
      <c r="BU95" s="175">
        <f>IFERROR(IF(A95&lt;=1,0,VLOOKUP(DP,'Valid Data-GPG'!$A$116:$J$122,MATCH(Output!A95,'Valid Data-GPG'!$A$116:$J$116,0),FALSE)*SUM($B$26:C95))*(A95&lt;=DP),0)*$BU$21</f>
        <v>0</v>
      </c>
      <c r="BV95" s="175">
        <f t="shared" si="63"/>
        <v>0</v>
      </c>
      <c r="BW95" s="175">
        <f t="shared" si="64"/>
        <v>0</v>
      </c>
      <c r="BX95" s="175">
        <f t="shared" si="65"/>
        <v>0</v>
      </c>
      <c r="BY95" s="175">
        <f t="shared" si="66"/>
        <v>0</v>
      </c>
      <c r="BZ95" s="175">
        <f t="shared" si="67"/>
        <v>0</v>
      </c>
      <c r="CA95" s="175">
        <f>(INDEX('SV calc_ignore'!$J$10:$J$1341,12*Output!A95-0))*BS95</f>
        <v>0</v>
      </c>
      <c r="CB95" s="175">
        <f t="shared" si="83"/>
        <v>0</v>
      </c>
      <c r="CC95" s="175">
        <f>(INDEX('SV calc_ignore'!$J$10:$J$1341,12*Output!A95-0))*BS95</f>
        <v>0</v>
      </c>
      <c r="CD95" s="175">
        <f t="shared" si="84"/>
        <v>0</v>
      </c>
      <c r="CE95" s="66">
        <f>(INDEX('SV calc_ignore'!$J$10:$J$1341,12*Output!A95-0))*($CE$21)</f>
        <v>0</v>
      </c>
      <c r="CF95" s="175">
        <f t="shared" si="85"/>
        <v>0</v>
      </c>
      <c r="CG95" s="175">
        <f>(INDEX('SV calc_ignore'!$J$10:$J$1341,12*Output!A95-0))*($CG$21)*(A95&gt;1)</f>
        <v>0</v>
      </c>
      <c r="CH95" s="175">
        <f>(INDEX('SV calc_ignore'!$J$10:$J$1341,12*Output!A95-0))*($CH$21)*(A95&gt;1)</f>
        <v>0</v>
      </c>
      <c r="CI95" s="175"/>
      <c r="CJ95" s="66">
        <f>(INDEX('SV calc_ignore'!$J$10:$J$1341,12*Output!A95-0))*($CJ$21)*(A95&gt;1)</f>
        <v>0</v>
      </c>
      <c r="CK95" s="66">
        <f>(INDEX('SV calc_ignore'!$Q$10:$Q$1341,12*Output!A95-0))*(AND(A95&gt;1,R95&lt;20))*($CK$21)</f>
        <v>0</v>
      </c>
      <c r="CL95" s="66">
        <f t="shared" si="86"/>
        <v>0</v>
      </c>
      <c r="CM95" s="175">
        <f>((INDEX('SV calc_ignore'!$J$10:$J$1341,12*Output!A95-0))+(INDEX('SV calc_ignore'!$O$10:$O$1341,12*Output!A95-0))*(A95&lt;'SV calc_ignore'!$Q$5))*(A95&gt;1)*($CM$21)</f>
        <v>0</v>
      </c>
      <c r="CN95" s="175">
        <v>0</v>
      </c>
      <c r="CO95" s="175">
        <f>(INDEX('SV calc_ignore'!$J$10:$J$1341,12*Output!A95-0))*(A95&gt;1)*($CO$21)</f>
        <v>0</v>
      </c>
      <c r="CP95" s="175">
        <v>0</v>
      </c>
      <c r="CQ95" s="175">
        <v>0</v>
      </c>
      <c r="CR95" s="175">
        <v>0</v>
      </c>
      <c r="CS95" s="175">
        <v>0</v>
      </c>
      <c r="CT95" s="175">
        <v>0</v>
      </c>
      <c r="CU95" s="175">
        <v>0</v>
      </c>
      <c r="CV95" s="175">
        <f>(INDEX('SV calc_ignore'!$J$10:$J$1341,12*Output!A95-0))*(A95&gt;1)*($CV$21)</f>
        <v>0</v>
      </c>
      <c r="CW95" s="66">
        <f>((INDEX('SV calc_ignore'!$J$10:$J$1341,12*Output!A95-0))+(INDEX('SV calc_ignore'!$O$10:$O$1351,12*Output!A95-0))*(A95&lt;'SV calc_ignore'!$Q$5))*(A95&gt;1)*($CW$21)</f>
        <v>0</v>
      </c>
      <c r="CX95" s="175">
        <f>(INDEX('SV calc_ignore'!$J$10:$J$1341,12*Output!A95-0))*(A95&gt;1)*($CX$21)</f>
        <v>0</v>
      </c>
      <c r="CY95" s="175">
        <f>(INDEX('SV calc_ignore'!$Q$10:$Q$1341,12*Output!A95-0))*(AND(A95&gt;1,R95&lt;20))*($CY$21)</f>
        <v>0</v>
      </c>
      <c r="CZ95" s="175">
        <f t="shared" si="87"/>
        <v>0</v>
      </c>
      <c r="DE95" s="43">
        <f>IF($DE$23,0,VLOOKUP(IF(A95&lt;=DP,DJ95,DI95),SSV!$B$6:$C$116,2,FALSE)*VLOOKUP(AnnuityOption,'All Options'!$AB$36:$AC$47,2,FALSE)*VLOOKUP('All Options'!$E$22,'Valid Data-GPG'!$B$130:$F$134,MATCH('All Options'!$E$17,'Valid Data-GPG'!$B$130:$F$130,0),0)*'All Options'!$E$17)*(IF(AND(Select="Deferred Annuity",AnnuityOption="Life Annuity"),A95&lt;=DP,1))</f>
        <v>3274327.0531593515</v>
      </c>
      <c r="DF95" s="43">
        <f>IF($DF$23,0,IF($DQ$25,DQ95,IF($DR$25,DR95,VLOOKUP(IF(A95&lt;=DP,DJ95,DI95),SSV!$G$6:$H$116,2,FALSE)*SUM($B$27:B95))))</f>
        <v>1006161.5</v>
      </c>
      <c r="DG95" s="43" t="e">
        <f>IF(A95&lt;=DP,VLOOKUP(DP-A94,SSV!$T$6:$U$15,2,FALSE),1)</f>
        <v>#N/A</v>
      </c>
      <c r="DH95" s="282" t="e">
        <f t="shared" si="68"/>
        <v>#VALUE!</v>
      </c>
      <c r="DI95" s="43">
        <f>IF($DM$26,MIN(Age,'All Options'!$E$21)+A94,IF($DN$26,(Age+A94)-Age+60,IF($DO$26,(Age+A94)-Age+55,Age+A94)))</f>
        <v>60</v>
      </c>
      <c r="DJ95" s="279">
        <f>IF($DM$26,MIN(Age+A95,'All Options'!$E$21+A95),IF($DN$26,(Age+A95)-(Age+$A$27)+60,IF($DO$26,(Age+A95)-(Age+$A$27)+55,Age+A95)))</f>
        <v>60</v>
      </c>
      <c r="DP95" s="43">
        <f t="shared" si="88"/>
        <v>0</v>
      </c>
      <c r="DQ95" s="43">
        <f>IFERROR(VLOOKUP(IF(A95&lt;=DP,DJ95,DI95),SSV!$K$6:$L$91,2,FALSE)*SUM($B$27:B95),0)*($DQ$25)</f>
        <v>0</v>
      </c>
      <c r="DR95" s="43">
        <f>IFERROR(VLOOKUP(IF(A95&lt;=DP,DJ95,DI95),SSV!$O$6:$P$95,2,FALSE)*SUM($B$27:B95),0)*($DR$25)</f>
        <v>0</v>
      </c>
      <c r="DU95" s="175">
        <f t="shared" si="69"/>
        <v>0</v>
      </c>
    </row>
    <row r="96" spans="1:127" x14ac:dyDescent="0.2">
      <c r="A96" s="146">
        <f t="shared" si="70"/>
        <v>0</v>
      </c>
      <c r="B96" s="670">
        <f>IF(PremiumType="Regular Premium",'All Options'!$E$18*'All Options'!$E$22*(AND(Output!A96&lt;=PPT,A96&gt;=1)),'All Options'!$E$18*(A96=1))</f>
        <v>0</v>
      </c>
      <c r="C96" s="671"/>
      <c r="D96" s="103" t="e">
        <f>((VLOOKUP(CONCATENATE($D$14,$D$15),'All Options'!$AB$36:$AC$47,4,0)*VLOOKUP('All Options'!$E$22,'Valid Data-GPG'!$B$130:$F$134,MATCH('All Options'!$E$17,'Valid Data-GPG'!$B$130:$F$130,0),0)*'All Options'!$E$17)*IF(Select="Deferred Annuity",A96&gt;DP,1)+AE96+AF96*AG96*$AG$21)*(A96&gt;0)</f>
        <v>#N/A</v>
      </c>
      <c r="E96" s="103">
        <v>0</v>
      </c>
      <c r="F96" s="103" t="e">
        <f t="shared" si="71"/>
        <v>#N/A</v>
      </c>
      <c r="G96" s="103">
        <f t="shared" si="55"/>
        <v>0</v>
      </c>
      <c r="H96" s="285">
        <f t="shared" si="72"/>
        <v>0</v>
      </c>
      <c r="I96" s="103">
        <f t="shared" si="73"/>
        <v>0</v>
      </c>
      <c r="K96" s="175" t="str">
        <f t="shared" si="74"/>
        <v/>
      </c>
      <c r="L96" s="175"/>
      <c r="M96" s="175"/>
      <c r="N96" s="175"/>
      <c r="O96" s="175"/>
      <c r="P96" s="175"/>
      <c r="Q96" s="175"/>
      <c r="R96" s="175">
        <f t="shared" si="75"/>
        <v>0</v>
      </c>
      <c r="AB96" s="175" t="e">
        <f>(VLOOKUP(CONCATENATE($D$14,$D$15),'All Options'!$AB$36:$AC$47,4,0)*VLOOKUP('All Options'!$E$22,'Valid Data-GPG'!$B$130:$F$134,MATCH('All Options'!$E$17,'Valid Data-GPG'!$B$130:$F$130,0),0)*'All Options'!$E$17)*IF(Select="Deferred Annuity",A96&gt;DP,1)*(A96&gt;0)</f>
        <v>#N/A</v>
      </c>
      <c r="AC96" s="175">
        <f t="shared" si="56"/>
        <v>0</v>
      </c>
      <c r="AD96" s="175">
        <f>SUM($AC$26:AC96)</f>
        <v>0</v>
      </c>
      <c r="AE96" s="175">
        <f t="shared" si="57"/>
        <v>0</v>
      </c>
      <c r="AF96" s="175">
        <f t="shared" si="58"/>
        <v>0</v>
      </c>
      <c r="AG96" s="175" t="b">
        <f>(SUM($AF$26:AF96)&lt;=$AB$17)</f>
        <v>0</v>
      </c>
      <c r="AY96" s="175"/>
      <c r="AZ96" s="66">
        <f>((MAX((SUM($B$26:C96)+(VLOOKUP($AZ$25,'All Options'!$AB$36:$AC$46,2,0)*VLOOKUP('All Options'!$E$22,'Valid Data-GPG'!$B$130:$F$134,MATCH('All Options'!$E$17,'Valid Data-GPG'!$B$130:$F$130,0),0)*'All Options'!$E$17)*(IF(A96&lt;=DP,A96,0))),105%*SUM($B$26:C96)))*(AND(A96&lt;&gt;0,Output!A96&lt;=DP))+(0)*(A96&gt;DP))*$AZ$21</f>
        <v>0</v>
      </c>
      <c r="BA96" s="175" t="e">
        <f>((MAX((SUM($B$26:C96)+(VLOOKUP($BA$25,'All Options'!$AB$36:$AC$46,2,0)*VLOOKUP('All Options'!$E$22,'Valid Data-GPG'!$B$130:$F$134,MATCH('All Options'!$E$17,'Valid Data-GPG'!$B$130:$F$130,0),0)*'All Options'!$E$17)*(IF(A96&lt;=DP,A96,0))),105%*SUM($B$26:C96)))*(Output!A96&lt;=DP)
+MAX((SUM($B$26:C96)+(VLOOKUP($BA$25,'All Options'!$AB$36:$AC$46,2,0)*VLOOKUP('All Options'!$E$22,'Valid Data-GPG'!$B$130:$F$134,MATCH('All Options'!$E$17,'Valid Data-GPG'!$B$130:$F$130,0),0)*'All Options'!$E$17)*DP-D96*(A96-DP)),SUM($B$26:C96))*(A96&gt;DP))*$BA$21</f>
        <v>#N/A</v>
      </c>
      <c r="BB96" s="175">
        <f>((MAX(($AB$17+(VLOOKUP($BB$25,'All Options'!$AB$36:$AC$46,2,0)*VLOOKUP('All Options'!$E$22,'Valid Data-GPG'!$B$130:$F$134,MATCH('All Options'!$E$17,'Valid Data-GPG'!$B$130:$F$130,0),0)*'All Options'!$E$17)*(IF(A96&lt;=DP,A96,0))),105%*$AB$17))*(Output!A96&lt;=DP)+(0)*(A96&gt;DP))*$BB$21</f>
        <v>0</v>
      </c>
      <c r="BC96" s="175" t="e">
        <f>((MAX(($AB$17+(VLOOKUP($BC$25,'All Options'!$AB$36:$AC$46,2,0)*VLOOKUP('All Options'!$E$22,'Valid Data-GPG'!$B$130:$F$134,MATCH('All Options'!$E$17,'Valid Data-GPG'!$B$130:$F$130,0),0)*'All Options'!$E$17)*(IF(A96&lt;=DP,A96,0))),105%*$AB$17))*(Output!A96&lt;=DP)+
MAX(($AB$17+(VLOOKUP($BC$25,'All Options'!$AB$36:$AC$46,2,0)*VLOOKUP('All Options'!$E$22,'Valid Data-GPG'!$B$130:$F$134,MATCH('All Options'!$E$17,'Valid Data-GPG'!$B$130:$F$130,0),0)*'All Options'!$E$17)*DP-D96*(A96-DP)),$AB$17)*(A96&gt;DP))*$BC$21</f>
        <v>#N/A</v>
      </c>
      <c r="BD96" s="175">
        <f ca="1">IFERROR((MAX(($AB$17+(VLOOKUP($BD$25,'All Options'!$AB$36:$AC$46,2,0)*VLOOKUP('All Options'!$E$22,'Valid Data-GPG'!$B$130:$F$134,MATCH('All Options'!$E$17,'Valid Data-GPG'!$B$130:$F$130,0),0)*'All Options'!$E$17)*(IF(A96&lt;=DP,A96,0))),105%*$AB$17))*(Output!A96&lt;=DP)
+MAX(($AB$17+(VLOOKUP($BD$25,'All Options'!$AB$36:$AC$46,2,0)*VLOOKUP('All Options'!$E$22,'Valid Data-GPG'!$B$130:$F$134,MATCH('All Options'!$E$17,'Valid Data-GPG'!$B$130:$F$130,0),0)*'All Options'!$E$17)*DP-D96*(A96-DP)),$AB$17)*(A96&gt;DP),0)*$BD$21</f>
        <v>0</v>
      </c>
      <c r="BE96" s="66">
        <f>IFERROR((MAX(($AB$17+(VLOOKUP($BE$25,'All Options'!$AB$36:$AC$46,2,0)*VLOOKUP('All Options'!$E$22,'Valid Data-GPG'!$B$130:$F$134,MATCH('All Options'!$E$17,'Valid Data-GPG'!$B$130:$F$130,0),0)*'All Options'!$E$17)*(IF(A96&lt;=DP,A96,0))),105%*$AB$17))*(Output!A96&lt;=DP)
+(MAX($AB$17+(VLOOKUP($BE$25,'All Options'!$AB$36:$AC$46,2,0)*VLOOKUP('All Options'!$E$22,'Valid Data-GPG'!$B$130:$F$134,MATCH('All Options'!$E$17,'Valid Data-GPG'!$B$130:$F$130,0),0)*'All Options'!$E$17)*DP-AB96*(A96-DP),$AB$17)*(MAX(A96&lt;=25,K96&lt;85)))*(A96&gt;DP),0)*$BE$21</f>
        <v>0</v>
      </c>
      <c r="BF96" s="175">
        <f>IFERROR((MAX(($AB$17+(VLOOKUP($BF$25,'All Options'!$AB$36:$AC$46,2,0)*VLOOKUP('All Options'!$E$22,'Valid Data-GPG'!$B$130:$F$134,MATCH('All Options'!$E$17,'Valid Data-GPG'!$B$130:$F$130,0),0)*'All Options'!$E$17)*(IF(A96&lt;=DP,A96,0))),105%*$AB$17))*(Output!A96&lt;=DP)
+(MAX($AB$17+(VLOOKUP($BF$25,'All Options'!$AB$36:$AC$46,2,0)*VLOOKUP('All Options'!$E$22,'Valid Data-GPG'!$B$130:$F$134,MATCH('All Options'!$E$17,'Valid Data-GPG'!$B$130:$F$130,0),0)*'All Options'!$E$17)*DP-AB96*(A96-DP),$AB$17)-SUM($AF$26:AF96)*AG96)*(A96&gt;DP)*AG96,0)*$BF$21</f>
        <v>0</v>
      </c>
      <c r="BG96" s="175">
        <f t="shared" si="76"/>
        <v>0</v>
      </c>
      <c r="BH96" s="182">
        <f t="shared" si="59"/>
        <v>5000000</v>
      </c>
      <c r="BI96" s="175">
        <f t="shared" si="77"/>
        <v>0</v>
      </c>
      <c r="BJ96" s="175">
        <f t="shared" si="78"/>
        <v>0</v>
      </c>
      <c r="BK96" s="175">
        <f t="shared" si="79"/>
        <v>0</v>
      </c>
      <c r="BL96" s="175">
        <f t="shared" si="80"/>
        <v>0</v>
      </c>
      <c r="BM96" s="175">
        <f t="shared" si="81"/>
        <v>0</v>
      </c>
      <c r="BN96" s="175">
        <f t="shared" si="82"/>
        <v>0</v>
      </c>
      <c r="BO96" s="182">
        <f t="shared" si="60"/>
        <v>0</v>
      </c>
      <c r="BP96" s="182">
        <f t="shared" si="61"/>
        <v>0</v>
      </c>
      <c r="BQ96" s="182">
        <f>MAX($AB$17-SUM($AF$26:AF96),0)*$BQ$21</f>
        <v>0</v>
      </c>
      <c r="BS96" s="175">
        <f t="shared" si="62"/>
        <v>0</v>
      </c>
      <c r="BT96" s="175">
        <f>IFERROR(IF(A96&lt;=1,0,VLOOKUP(DP,'Valid Data-GPG'!$A$116:$J$122,MATCH(Output!A96,'Valid Data-GPG'!$A$116:$J$116,0),FALSE)*SUM($B$26:C96))*(A96&lt;=DP),0)*$BT$21</f>
        <v>0</v>
      </c>
      <c r="BU96" s="175">
        <f>IFERROR(IF(A96&lt;=1,0,VLOOKUP(DP,'Valid Data-GPG'!$A$116:$J$122,MATCH(Output!A96,'Valid Data-GPG'!$A$116:$J$116,0),FALSE)*SUM($B$26:C96))*(A96&lt;=DP),0)*$BU$21</f>
        <v>0</v>
      </c>
      <c r="BV96" s="175">
        <f t="shared" si="63"/>
        <v>0</v>
      </c>
      <c r="BW96" s="175">
        <f t="shared" si="64"/>
        <v>0</v>
      </c>
      <c r="BX96" s="175">
        <f t="shared" si="65"/>
        <v>0</v>
      </c>
      <c r="BY96" s="175">
        <f t="shared" si="66"/>
        <v>0</v>
      </c>
      <c r="BZ96" s="175">
        <f t="shared" si="67"/>
        <v>0</v>
      </c>
      <c r="CA96" s="175">
        <f>(INDEX('SV calc_ignore'!$J$10:$J$1341,12*Output!A96-0))*BS96</f>
        <v>0</v>
      </c>
      <c r="CB96" s="175">
        <f t="shared" si="83"/>
        <v>0</v>
      </c>
      <c r="CC96" s="175">
        <f>(INDEX('SV calc_ignore'!$J$10:$J$1341,12*Output!A96-0))*BS96</f>
        <v>0</v>
      </c>
      <c r="CD96" s="175">
        <f t="shared" si="84"/>
        <v>0</v>
      </c>
      <c r="CE96" s="66">
        <f>(INDEX('SV calc_ignore'!$J$10:$J$1341,12*Output!A96-0))*($CE$21)</f>
        <v>0</v>
      </c>
      <c r="CF96" s="175">
        <f t="shared" si="85"/>
        <v>0</v>
      </c>
      <c r="CG96" s="175">
        <f>(INDEX('SV calc_ignore'!$J$10:$J$1341,12*Output!A96-0))*($CG$21)*(A96&gt;1)</f>
        <v>0</v>
      </c>
      <c r="CH96" s="175">
        <f>(INDEX('SV calc_ignore'!$J$10:$J$1341,12*Output!A96-0))*($CH$21)*(A96&gt;1)</f>
        <v>0</v>
      </c>
      <c r="CI96" s="175"/>
      <c r="CJ96" s="66">
        <f>(INDEX('SV calc_ignore'!$J$10:$J$1341,12*Output!A96-0))*($CJ$21)*(A96&gt;1)</f>
        <v>0</v>
      </c>
      <c r="CK96" s="66">
        <f>(INDEX('SV calc_ignore'!$Q$10:$Q$1341,12*Output!A96-0))*(AND(A96&gt;1,R96&lt;20))*($CK$21)</f>
        <v>0</v>
      </c>
      <c r="CL96" s="66">
        <f t="shared" si="86"/>
        <v>0</v>
      </c>
      <c r="CM96" s="175">
        <f>((INDEX('SV calc_ignore'!$J$10:$J$1341,12*Output!A96-0))+(INDEX('SV calc_ignore'!$O$10:$O$1341,12*Output!A96-0))*(A96&lt;'SV calc_ignore'!$Q$5))*(A96&gt;1)*($CM$21)</f>
        <v>0</v>
      </c>
      <c r="CN96" s="175">
        <v>0</v>
      </c>
      <c r="CO96" s="175">
        <f>(INDEX('SV calc_ignore'!$J$10:$J$1341,12*Output!A96-0))*(A96&gt;1)*($CO$21)</f>
        <v>0</v>
      </c>
      <c r="CP96" s="175">
        <v>0</v>
      </c>
      <c r="CQ96" s="175">
        <v>0</v>
      </c>
      <c r="CR96" s="175">
        <v>0</v>
      </c>
      <c r="CS96" s="175">
        <v>0</v>
      </c>
      <c r="CT96" s="175">
        <v>0</v>
      </c>
      <c r="CU96" s="175">
        <v>0</v>
      </c>
      <c r="CV96" s="175">
        <f>(INDEX('SV calc_ignore'!$J$10:$J$1341,12*Output!A96-0))*(A96&gt;1)*($CV$21)</f>
        <v>0</v>
      </c>
      <c r="CW96" s="66">
        <f>((INDEX('SV calc_ignore'!$J$10:$J$1341,12*Output!A96-0))+(INDEX('SV calc_ignore'!$O$10:$O$1351,12*Output!A96-0))*(A96&lt;'SV calc_ignore'!$Q$5))*(A96&gt;1)*($CW$21)</f>
        <v>0</v>
      </c>
      <c r="CX96" s="175">
        <f>(INDEX('SV calc_ignore'!$J$10:$J$1341,12*Output!A96-0))*(A96&gt;1)*($CX$21)</f>
        <v>0</v>
      </c>
      <c r="CY96" s="175">
        <f>(INDEX('SV calc_ignore'!$Q$10:$Q$1341,12*Output!A96-0))*(AND(A96&gt;1,R96&lt;20))*($CY$21)</f>
        <v>0</v>
      </c>
      <c r="CZ96" s="175">
        <f t="shared" si="87"/>
        <v>0</v>
      </c>
      <c r="DE96" s="43">
        <f>IF($DE$23,0,VLOOKUP(IF(A96&lt;=DP,DJ96,DI96),SSV!$B$6:$C$116,2,FALSE)*VLOOKUP(AnnuityOption,'All Options'!$AB$36:$AC$47,2,FALSE)*VLOOKUP('All Options'!$E$22,'Valid Data-GPG'!$B$130:$F$134,MATCH('All Options'!$E$17,'Valid Data-GPG'!$B$130:$F$130,0),0)*'All Options'!$E$17)*(IF(AND(Select="Deferred Annuity",AnnuityOption="Life Annuity"),A96&lt;=DP,1))</f>
        <v>3274327.0531593515</v>
      </c>
      <c r="DF96" s="43">
        <f>IF($DF$23,0,IF($DQ$25,DQ96,IF($DR$25,DR96,VLOOKUP(IF(A96&lt;=DP,DJ96,DI96),SSV!$G$6:$H$116,2,FALSE)*SUM($B$27:B96))))</f>
        <v>1006161.5</v>
      </c>
      <c r="DG96" s="43" t="e">
        <f>IF(A96&lt;=DP,VLOOKUP(DP-A95,SSV!$T$6:$U$15,2,FALSE),1)</f>
        <v>#N/A</v>
      </c>
      <c r="DH96" s="282" t="e">
        <f t="shared" si="68"/>
        <v>#VALUE!</v>
      </c>
      <c r="DI96" s="43">
        <f>IF($DM$26,MIN(Age,'All Options'!$E$21)+A95,IF($DN$26,(Age+A95)-Age+60,IF($DO$26,(Age+A95)-Age+55,Age+A95)))</f>
        <v>60</v>
      </c>
      <c r="DJ96" s="279">
        <f>IF($DM$26,MIN(Age+A96,'All Options'!$E$21+A96),IF($DN$26,(Age+A96)-(Age+$A$27)+60,IF($DO$26,(Age+A96)-(Age+$A$27)+55,Age+A96)))</f>
        <v>60</v>
      </c>
      <c r="DP96" s="43">
        <f t="shared" si="88"/>
        <v>0</v>
      </c>
      <c r="DQ96" s="43">
        <f>IFERROR(VLOOKUP(IF(A96&lt;=DP,DJ96,DI96),SSV!$K$6:$L$91,2,FALSE)*SUM($B$27:B96),0)*($DQ$25)</f>
        <v>0</v>
      </c>
      <c r="DR96" s="43">
        <f>IFERROR(VLOOKUP(IF(A96&lt;=DP,DJ96,DI96),SSV!$O$6:$P$95,2,FALSE)*SUM($B$27:B96),0)*($DR$25)</f>
        <v>0</v>
      </c>
      <c r="DU96" s="175">
        <f t="shared" si="69"/>
        <v>0</v>
      </c>
    </row>
    <row r="97" spans="1:125" x14ac:dyDescent="0.2">
      <c r="A97" s="146">
        <f t="shared" si="70"/>
        <v>0</v>
      </c>
      <c r="B97" s="670">
        <f>IF(PremiumType="Regular Premium",'All Options'!$E$18*'All Options'!$E$22*(AND(Output!A97&lt;=PPT,A97&gt;=1)),'All Options'!$E$18*(A97=1))</f>
        <v>0</v>
      </c>
      <c r="C97" s="671"/>
      <c r="D97" s="103" t="e">
        <f>((VLOOKUP(CONCATENATE($D$14,$D$15),'All Options'!$AB$36:$AC$47,4,0)*VLOOKUP('All Options'!$E$22,'Valid Data-GPG'!$B$130:$F$134,MATCH('All Options'!$E$17,'Valid Data-GPG'!$B$130:$F$130,0),0)*'All Options'!$E$17)*IF(Select="Deferred Annuity",A97&gt;DP,1)+AE97+AF97*AG97*$AG$21)*(A97&gt;0)</f>
        <v>#N/A</v>
      </c>
      <c r="E97" s="103">
        <v>0</v>
      </c>
      <c r="F97" s="103" t="e">
        <f t="shared" si="71"/>
        <v>#N/A</v>
      </c>
      <c r="G97" s="103">
        <f t="shared" si="55"/>
        <v>0</v>
      </c>
      <c r="H97" s="285">
        <f t="shared" si="72"/>
        <v>0</v>
      </c>
      <c r="I97" s="103">
        <f t="shared" si="73"/>
        <v>0</v>
      </c>
      <c r="K97" s="175" t="str">
        <f t="shared" si="74"/>
        <v/>
      </c>
      <c r="L97" s="175"/>
      <c r="M97" s="175"/>
      <c r="N97" s="175"/>
      <c r="O97" s="175"/>
      <c r="P97" s="175"/>
      <c r="Q97" s="175"/>
      <c r="R97" s="175">
        <f t="shared" si="75"/>
        <v>0</v>
      </c>
      <c r="AB97" s="175" t="e">
        <f>(VLOOKUP(CONCATENATE($D$14,$D$15),'All Options'!$AB$36:$AC$47,4,0)*VLOOKUP('All Options'!$E$22,'Valid Data-GPG'!$B$130:$F$134,MATCH('All Options'!$E$17,'Valid Data-GPG'!$B$130:$F$130,0),0)*'All Options'!$E$17)*IF(Select="Deferred Annuity",A97&gt;DP,1)*(A97&gt;0)</f>
        <v>#N/A</v>
      </c>
      <c r="AC97" s="175">
        <f t="shared" si="56"/>
        <v>0</v>
      </c>
      <c r="AD97" s="175">
        <f>SUM($AC$26:AC97)</f>
        <v>0</v>
      </c>
      <c r="AE97" s="175">
        <f t="shared" si="57"/>
        <v>0</v>
      </c>
      <c r="AF97" s="175">
        <f t="shared" si="58"/>
        <v>0</v>
      </c>
      <c r="AG97" s="175" t="b">
        <f>(SUM($AF$26:AF97)&lt;=$AB$17)</f>
        <v>0</v>
      </c>
      <c r="AY97" s="175"/>
      <c r="AZ97" s="66">
        <f>((MAX((SUM($B$26:C97)+(VLOOKUP($AZ$25,'All Options'!$AB$36:$AC$46,2,0)*VLOOKUP('All Options'!$E$22,'Valid Data-GPG'!$B$130:$F$134,MATCH('All Options'!$E$17,'Valid Data-GPG'!$B$130:$F$130,0),0)*'All Options'!$E$17)*(IF(A97&lt;=DP,A97,0))),105%*SUM($B$26:C97)))*(AND(A97&lt;&gt;0,Output!A97&lt;=DP))+(0)*(A97&gt;DP))*$AZ$21</f>
        <v>0</v>
      </c>
      <c r="BA97" s="175" t="e">
        <f>((MAX((SUM($B$26:C97)+(VLOOKUP($BA$25,'All Options'!$AB$36:$AC$46,2,0)*VLOOKUP('All Options'!$E$22,'Valid Data-GPG'!$B$130:$F$134,MATCH('All Options'!$E$17,'Valid Data-GPG'!$B$130:$F$130,0),0)*'All Options'!$E$17)*(IF(A97&lt;=DP,A97,0))),105%*SUM($B$26:C97)))*(Output!A97&lt;=DP)
+MAX((SUM($B$26:C97)+(VLOOKUP($BA$25,'All Options'!$AB$36:$AC$46,2,0)*VLOOKUP('All Options'!$E$22,'Valid Data-GPG'!$B$130:$F$134,MATCH('All Options'!$E$17,'Valid Data-GPG'!$B$130:$F$130,0),0)*'All Options'!$E$17)*DP-D97*(A97-DP)),SUM($B$26:C97))*(A97&gt;DP))*$BA$21</f>
        <v>#N/A</v>
      </c>
      <c r="BB97" s="175">
        <f>((MAX(($AB$17+(VLOOKUP($BB$25,'All Options'!$AB$36:$AC$46,2,0)*VLOOKUP('All Options'!$E$22,'Valid Data-GPG'!$B$130:$F$134,MATCH('All Options'!$E$17,'Valid Data-GPG'!$B$130:$F$130,0),0)*'All Options'!$E$17)*(IF(A97&lt;=DP,A97,0))),105%*$AB$17))*(Output!A97&lt;=DP)+(0)*(A97&gt;DP))*$BB$21</f>
        <v>0</v>
      </c>
      <c r="BC97" s="175" t="e">
        <f>((MAX(($AB$17+(VLOOKUP($BC$25,'All Options'!$AB$36:$AC$46,2,0)*VLOOKUP('All Options'!$E$22,'Valid Data-GPG'!$B$130:$F$134,MATCH('All Options'!$E$17,'Valid Data-GPG'!$B$130:$F$130,0),0)*'All Options'!$E$17)*(IF(A97&lt;=DP,A97,0))),105%*$AB$17))*(Output!A97&lt;=DP)+
MAX(($AB$17+(VLOOKUP($BC$25,'All Options'!$AB$36:$AC$46,2,0)*VLOOKUP('All Options'!$E$22,'Valid Data-GPG'!$B$130:$F$134,MATCH('All Options'!$E$17,'Valid Data-GPG'!$B$130:$F$130,0),0)*'All Options'!$E$17)*DP-D97*(A97-DP)),$AB$17)*(A97&gt;DP))*$BC$21</f>
        <v>#N/A</v>
      </c>
      <c r="BD97" s="175">
        <f ca="1">IFERROR((MAX(($AB$17+(VLOOKUP($BD$25,'All Options'!$AB$36:$AC$46,2,0)*VLOOKUP('All Options'!$E$22,'Valid Data-GPG'!$B$130:$F$134,MATCH('All Options'!$E$17,'Valid Data-GPG'!$B$130:$F$130,0),0)*'All Options'!$E$17)*(IF(A97&lt;=DP,A97,0))),105%*$AB$17))*(Output!A97&lt;=DP)
+MAX(($AB$17+(VLOOKUP($BD$25,'All Options'!$AB$36:$AC$46,2,0)*VLOOKUP('All Options'!$E$22,'Valid Data-GPG'!$B$130:$F$134,MATCH('All Options'!$E$17,'Valid Data-GPG'!$B$130:$F$130,0),0)*'All Options'!$E$17)*DP-D97*(A97-DP)),$AB$17)*(A97&gt;DP),0)*$BD$21</f>
        <v>0</v>
      </c>
      <c r="BE97" s="66">
        <f>IFERROR((MAX(($AB$17+(VLOOKUP($BE$25,'All Options'!$AB$36:$AC$46,2,0)*VLOOKUP('All Options'!$E$22,'Valid Data-GPG'!$B$130:$F$134,MATCH('All Options'!$E$17,'Valid Data-GPG'!$B$130:$F$130,0),0)*'All Options'!$E$17)*(IF(A97&lt;=DP,A97,0))),105%*$AB$17))*(Output!A97&lt;=DP)
+(MAX($AB$17+(VLOOKUP($BE$25,'All Options'!$AB$36:$AC$46,2,0)*VLOOKUP('All Options'!$E$22,'Valid Data-GPG'!$B$130:$F$134,MATCH('All Options'!$E$17,'Valid Data-GPG'!$B$130:$F$130,0),0)*'All Options'!$E$17)*DP-AB97*(A97-DP),$AB$17)*(MAX(A97&lt;=25,K97&lt;85)))*(A97&gt;DP),0)*$BE$21</f>
        <v>0</v>
      </c>
      <c r="BF97" s="175">
        <f>IFERROR((MAX(($AB$17+(VLOOKUP($BF$25,'All Options'!$AB$36:$AC$46,2,0)*VLOOKUP('All Options'!$E$22,'Valid Data-GPG'!$B$130:$F$134,MATCH('All Options'!$E$17,'Valid Data-GPG'!$B$130:$F$130,0),0)*'All Options'!$E$17)*(IF(A97&lt;=DP,A97,0))),105%*$AB$17))*(Output!A97&lt;=DP)
+(MAX($AB$17+(VLOOKUP($BF$25,'All Options'!$AB$36:$AC$46,2,0)*VLOOKUP('All Options'!$E$22,'Valid Data-GPG'!$B$130:$F$134,MATCH('All Options'!$E$17,'Valid Data-GPG'!$B$130:$F$130,0),0)*'All Options'!$E$17)*DP-AB97*(A97-DP),$AB$17)-SUM($AF$26:AF97)*AG97)*(A97&gt;DP)*AG97,0)*$BF$21</f>
        <v>0</v>
      </c>
      <c r="BG97" s="175">
        <f t="shared" si="76"/>
        <v>0</v>
      </c>
      <c r="BH97" s="182">
        <f t="shared" si="59"/>
        <v>5000000</v>
      </c>
      <c r="BI97" s="175">
        <f t="shared" si="77"/>
        <v>0</v>
      </c>
      <c r="BJ97" s="175">
        <f t="shared" si="78"/>
        <v>0</v>
      </c>
      <c r="BK97" s="175">
        <f t="shared" si="79"/>
        <v>0</v>
      </c>
      <c r="BL97" s="175">
        <f t="shared" si="80"/>
        <v>0</v>
      </c>
      <c r="BM97" s="175">
        <f t="shared" si="81"/>
        <v>0</v>
      </c>
      <c r="BN97" s="175">
        <f t="shared" si="82"/>
        <v>0</v>
      </c>
      <c r="BO97" s="182">
        <f t="shared" si="60"/>
        <v>0</v>
      </c>
      <c r="BP97" s="182">
        <f t="shared" si="61"/>
        <v>0</v>
      </c>
      <c r="BQ97" s="182">
        <f>MAX($AB$17-SUM($AF$26:AF97),0)*$BQ$21</f>
        <v>0</v>
      </c>
      <c r="BS97" s="175">
        <f t="shared" si="62"/>
        <v>0</v>
      </c>
      <c r="BT97" s="175">
        <f>IFERROR(IF(A97&lt;=1,0,VLOOKUP(DP,'Valid Data-GPG'!$A$116:$J$122,MATCH(Output!A97,'Valid Data-GPG'!$A$116:$J$116,0),FALSE)*SUM($B$26:C97))*(A97&lt;=DP),0)*$BT$21</f>
        <v>0</v>
      </c>
      <c r="BU97" s="175">
        <f>IFERROR(IF(A97&lt;=1,0,VLOOKUP(DP,'Valid Data-GPG'!$A$116:$J$122,MATCH(Output!A97,'Valid Data-GPG'!$A$116:$J$116,0),FALSE)*SUM($B$26:C97))*(A97&lt;=DP),0)*$BU$21</f>
        <v>0</v>
      </c>
      <c r="BV97" s="175">
        <f t="shared" si="63"/>
        <v>0</v>
      </c>
      <c r="BW97" s="175">
        <f t="shared" si="64"/>
        <v>0</v>
      </c>
      <c r="BX97" s="175">
        <f t="shared" si="65"/>
        <v>0</v>
      </c>
      <c r="BY97" s="175">
        <f t="shared" si="66"/>
        <v>0</v>
      </c>
      <c r="BZ97" s="175">
        <f t="shared" si="67"/>
        <v>0</v>
      </c>
      <c r="CA97" s="175">
        <f>(INDEX('SV calc_ignore'!$J$10:$J$1341,12*Output!A97-0))*BS97</f>
        <v>0</v>
      </c>
      <c r="CB97" s="175">
        <f t="shared" si="83"/>
        <v>0</v>
      </c>
      <c r="CC97" s="175">
        <f>(INDEX('SV calc_ignore'!$J$10:$J$1341,12*Output!A97-0))*BS97</f>
        <v>0</v>
      </c>
      <c r="CD97" s="175">
        <f t="shared" si="84"/>
        <v>0</v>
      </c>
      <c r="CE97" s="66">
        <f>(INDEX('SV calc_ignore'!$J$10:$J$1341,12*Output!A97-0))*($CE$21)</f>
        <v>0</v>
      </c>
      <c r="CF97" s="175">
        <f t="shared" si="85"/>
        <v>0</v>
      </c>
      <c r="CG97" s="175">
        <f>(INDEX('SV calc_ignore'!$J$10:$J$1341,12*Output!A97-0))*($CG$21)*(A97&gt;1)</f>
        <v>0</v>
      </c>
      <c r="CH97" s="175">
        <f>(INDEX('SV calc_ignore'!$J$10:$J$1341,12*Output!A97-0))*($CH$21)*(A97&gt;1)</f>
        <v>0</v>
      </c>
      <c r="CI97" s="175"/>
      <c r="CJ97" s="66">
        <f>(INDEX('SV calc_ignore'!$J$10:$J$1341,12*Output!A97-0))*($CJ$21)*(A97&gt;1)</f>
        <v>0</v>
      </c>
      <c r="CK97" s="66">
        <f>(INDEX('SV calc_ignore'!$Q$10:$Q$1341,12*Output!A97-0))*(AND(A97&gt;1,R97&lt;20))*($CK$21)</f>
        <v>0</v>
      </c>
      <c r="CL97" s="66">
        <f t="shared" si="86"/>
        <v>0</v>
      </c>
      <c r="CM97" s="175">
        <f>((INDEX('SV calc_ignore'!$J$10:$J$1341,12*Output!A97-0))+(INDEX('SV calc_ignore'!$O$10:$O$1341,12*Output!A97-0))*(A97&lt;'SV calc_ignore'!$Q$5))*(A97&gt;1)*($CM$21)</f>
        <v>0</v>
      </c>
      <c r="CN97" s="175">
        <v>0</v>
      </c>
      <c r="CO97" s="175">
        <f>(INDEX('SV calc_ignore'!$J$10:$J$1341,12*Output!A97-0))*(A97&gt;1)*($CO$21)</f>
        <v>0</v>
      </c>
      <c r="CP97" s="175">
        <v>0</v>
      </c>
      <c r="CQ97" s="175">
        <v>0</v>
      </c>
      <c r="CR97" s="175">
        <v>0</v>
      </c>
      <c r="CS97" s="175">
        <v>0</v>
      </c>
      <c r="CT97" s="175">
        <v>0</v>
      </c>
      <c r="CU97" s="175">
        <v>0</v>
      </c>
      <c r="CV97" s="175">
        <f>(INDEX('SV calc_ignore'!$J$10:$J$1341,12*Output!A97-0))*(A97&gt;1)*($CV$21)</f>
        <v>0</v>
      </c>
      <c r="CW97" s="66">
        <f>((INDEX('SV calc_ignore'!$J$10:$J$1341,12*Output!A97-0))+(INDEX('SV calc_ignore'!$O$10:$O$1351,12*Output!A97-0))*(A97&lt;'SV calc_ignore'!$Q$5))*(A97&gt;1)*($CW$21)</f>
        <v>0</v>
      </c>
      <c r="CX97" s="175">
        <f>(INDEX('SV calc_ignore'!$J$10:$J$1341,12*Output!A97-0))*(A97&gt;1)*($CX$21)</f>
        <v>0</v>
      </c>
      <c r="CY97" s="175">
        <f>(INDEX('SV calc_ignore'!$Q$10:$Q$1341,12*Output!A97-0))*(AND(A97&gt;1,R97&lt;20))*($CY$21)</f>
        <v>0</v>
      </c>
      <c r="CZ97" s="175">
        <f t="shared" si="87"/>
        <v>0</v>
      </c>
      <c r="DE97" s="43">
        <f>IF($DE$23,0,VLOOKUP(IF(A97&lt;=DP,DJ97,DI97),SSV!$B$6:$C$116,2,FALSE)*VLOOKUP(AnnuityOption,'All Options'!$AB$36:$AC$47,2,FALSE)*VLOOKUP('All Options'!$E$22,'Valid Data-GPG'!$B$130:$F$134,MATCH('All Options'!$E$17,'Valid Data-GPG'!$B$130:$F$130,0),0)*'All Options'!$E$17)*(IF(AND(Select="Deferred Annuity",AnnuityOption="Life Annuity"),A97&lt;=DP,1))</f>
        <v>3274327.0531593515</v>
      </c>
      <c r="DF97" s="43">
        <f>IF($DF$23,0,IF($DQ$25,DQ97,IF($DR$25,DR97,VLOOKUP(IF(A97&lt;=DP,DJ97,DI97),SSV!$G$6:$H$116,2,FALSE)*SUM($B$27:B97))))</f>
        <v>1006161.5</v>
      </c>
      <c r="DG97" s="43" t="e">
        <f>IF(A97&lt;=DP,VLOOKUP(DP-A96,SSV!$T$6:$U$15,2,FALSE),1)</f>
        <v>#N/A</v>
      </c>
      <c r="DH97" s="282" t="e">
        <f t="shared" si="68"/>
        <v>#VALUE!</v>
      </c>
      <c r="DI97" s="43">
        <f>IF($DM$26,MIN(Age,'All Options'!$E$21)+A96,IF($DN$26,(Age+A96)-Age+60,IF($DO$26,(Age+A96)-Age+55,Age+A96)))</f>
        <v>60</v>
      </c>
      <c r="DJ97" s="279">
        <f>IF($DM$26,MIN(Age+A97,'All Options'!$E$21+A97),IF($DN$26,(Age+A97)-(Age+$A$27)+60,IF($DO$26,(Age+A97)-(Age+$A$27)+55,Age+A97)))</f>
        <v>60</v>
      </c>
      <c r="DP97" s="43">
        <f t="shared" si="88"/>
        <v>0</v>
      </c>
      <c r="DQ97" s="43">
        <f>IFERROR(VLOOKUP(IF(A97&lt;=DP,DJ97,DI97),SSV!$K$6:$L$91,2,FALSE)*SUM($B$27:B97),0)*($DQ$25)</f>
        <v>0</v>
      </c>
      <c r="DR97" s="43">
        <f>IFERROR(VLOOKUP(IF(A97&lt;=DP,DJ97,DI97),SSV!$O$6:$P$95,2,FALSE)*SUM($B$27:B97),0)*($DR$25)</f>
        <v>0</v>
      </c>
      <c r="DU97" s="175">
        <f t="shared" si="69"/>
        <v>0</v>
      </c>
    </row>
    <row r="98" spans="1:125" x14ac:dyDescent="0.2">
      <c r="A98" s="146">
        <f t="shared" si="70"/>
        <v>0</v>
      </c>
      <c r="B98" s="670">
        <f>IF(PremiumType="Regular Premium",'All Options'!$E$18*'All Options'!$E$22*(AND(Output!A98&lt;=PPT,A98&gt;=1)),'All Options'!$E$18*(A98=1))</f>
        <v>0</v>
      </c>
      <c r="C98" s="671"/>
      <c r="D98" s="103" t="e">
        <f>((VLOOKUP(CONCATENATE($D$14,$D$15),'All Options'!$AB$36:$AC$47,4,0)*VLOOKUP('All Options'!$E$22,'Valid Data-GPG'!$B$130:$F$134,MATCH('All Options'!$E$17,'Valid Data-GPG'!$B$130:$F$130,0),0)*'All Options'!$E$17)*IF(Select="Deferred Annuity",A98&gt;DP,1)+AE98+AF98*AG98*$AG$21)*(A98&gt;0)</f>
        <v>#N/A</v>
      </c>
      <c r="E98" s="103">
        <v>0</v>
      </c>
      <c r="F98" s="103" t="e">
        <f t="shared" si="71"/>
        <v>#N/A</v>
      </c>
      <c r="G98" s="103">
        <f t="shared" si="55"/>
        <v>0</v>
      </c>
      <c r="H98" s="285">
        <f t="shared" si="72"/>
        <v>0</v>
      </c>
      <c r="I98" s="103">
        <f t="shared" si="73"/>
        <v>0</v>
      </c>
      <c r="K98" s="175" t="str">
        <f t="shared" si="74"/>
        <v/>
      </c>
      <c r="L98" s="175"/>
      <c r="M98" s="175"/>
      <c r="N98" s="175"/>
      <c r="O98" s="175"/>
      <c r="P98" s="175"/>
      <c r="Q98" s="175"/>
      <c r="R98" s="175">
        <f t="shared" si="75"/>
        <v>0</v>
      </c>
      <c r="AB98" s="175" t="e">
        <f>(VLOOKUP(CONCATENATE($D$14,$D$15),'All Options'!$AB$36:$AC$47,4,0)*VLOOKUP('All Options'!$E$22,'Valid Data-GPG'!$B$130:$F$134,MATCH('All Options'!$E$17,'Valid Data-GPG'!$B$130:$F$130,0),0)*'All Options'!$E$17)*IF(Select="Deferred Annuity",A98&gt;DP,1)*(A98&gt;0)</f>
        <v>#N/A</v>
      </c>
      <c r="AC98" s="175">
        <f t="shared" si="56"/>
        <v>0</v>
      </c>
      <c r="AD98" s="175">
        <f>SUM($AC$26:AC98)</f>
        <v>0</v>
      </c>
      <c r="AE98" s="175">
        <f t="shared" si="57"/>
        <v>0</v>
      </c>
      <c r="AF98" s="175">
        <f t="shared" si="58"/>
        <v>0</v>
      </c>
      <c r="AG98" s="175" t="b">
        <f>(SUM($AF$26:AF98)&lt;=$AB$17)</f>
        <v>0</v>
      </c>
      <c r="AY98" s="175"/>
      <c r="AZ98" s="66">
        <f>((MAX((SUM($B$26:C98)+(VLOOKUP($AZ$25,'All Options'!$AB$36:$AC$46,2,0)*VLOOKUP('All Options'!$E$22,'Valid Data-GPG'!$B$130:$F$134,MATCH('All Options'!$E$17,'Valid Data-GPG'!$B$130:$F$130,0),0)*'All Options'!$E$17)*(IF(A98&lt;=DP,A98,0))),105%*SUM($B$26:C98)))*(AND(A98&lt;&gt;0,Output!A98&lt;=DP))+(0)*(A98&gt;DP))*$AZ$21</f>
        <v>0</v>
      </c>
      <c r="BA98" s="175" t="e">
        <f>((MAX((SUM($B$26:C98)+(VLOOKUP($BA$25,'All Options'!$AB$36:$AC$46,2,0)*VLOOKUP('All Options'!$E$22,'Valid Data-GPG'!$B$130:$F$134,MATCH('All Options'!$E$17,'Valid Data-GPG'!$B$130:$F$130,0),0)*'All Options'!$E$17)*(IF(A98&lt;=DP,A98,0))),105%*SUM($B$26:C98)))*(Output!A98&lt;=DP)
+MAX((SUM($B$26:C98)+(VLOOKUP($BA$25,'All Options'!$AB$36:$AC$46,2,0)*VLOOKUP('All Options'!$E$22,'Valid Data-GPG'!$B$130:$F$134,MATCH('All Options'!$E$17,'Valid Data-GPG'!$B$130:$F$130,0),0)*'All Options'!$E$17)*DP-D98*(A98-DP)),SUM($B$26:C98))*(A98&gt;DP))*$BA$21</f>
        <v>#N/A</v>
      </c>
      <c r="BB98" s="175">
        <f>((MAX(($AB$17+(VLOOKUP($BB$25,'All Options'!$AB$36:$AC$46,2,0)*VLOOKUP('All Options'!$E$22,'Valid Data-GPG'!$B$130:$F$134,MATCH('All Options'!$E$17,'Valid Data-GPG'!$B$130:$F$130,0),0)*'All Options'!$E$17)*(IF(A98&lt;=DP,A98,0))),105%*$AB$17))*(Output!A98&lt;=DP)+(0)*(A98&gt;DP))*$BB$21</f>
        <v>0</v>
      </c>
      <c r="BC98" s="175" t="e">
        <f>((MAX(($AB$17+(VLOOKUP($BC$25,'All Options'!$AB$36:$AC$46,2,0)*VLOOKUP('All Options'!$E$22,'Valid Data-GPG'!$B$130:$F$134,MATCH('All Options'!$E$17,'Valid Data-GPG'!$B$130:$F$130,0),0)*'All Options'!$E$17)*(IF(A98&lt;=DP,A98,0))),105%*$AB$17))*(Output!A98&lt;=DP)+
MAX(($AB$17+(VLOOKUP($BC$25,'All Options'!$AB$36:$AC$46,2,0)*VLOOKUP('All Options'!$E$22,'Valid Data-GPG'!$B$130:$F$134,MATCH('All Options'!$E$17,'Valid Data-GPG'!$B$130:$F$130,0),0)*'All Options'!$E$17)*DP-D98*(A98-DP)),$AB$17)*(A98&gt;DP))*$BC$21</f>
        <v>#N/A</v>
      </c>
      <c r="BD98" s="175">
        <f ca="1">IFERROR((MAX(($AB$17+(VLOOKUP($BD$25,'All Options'!$AB$36:$AC$46,2,0)*VLOOKUP('All Options'!$E$22,'Valid Data-GPG'!$B$130:$F$134,MATCH('All Options'!$E$17,'Valid Data-GPG'!$B$130:$F$130,0),0)*'All Options'!$E$17)*(IF(A98&lt;=DP,A98,0))),105%*$AB$17))*(Output!A98&lt;=DP)
+MAX(($AB$17+(VLOOKUP($BD$25,'All Options'!$AB$36:$AC$46,2,0)*VLOOKUP('All Options'!$E$22,'Valid Data-GPG'!$B$130:$F$134,MATCH('All Options'!$E$17,'Valid Data-GPG'!$B$130:$F$130,0),0)*'All Options'!$E$17)*DP-D98*(A98-DP)),$AB$17)*(A98&gt;DP),0)*$BD$21</f>
        <v>0</v>
      </c>
      <c r="BE98" s="66">
        <f>IFERROR((MAX(($AB$17+(VLOOKUP($BE$25,'All Options'!$AB$36:$AC$46,2,0)*VLOOKUP('All Options'!$E$22,'Valid Data-GPG'!$B$130:$F$134,MATCH('All Options'!$E$17,'Valid Data-GPG'!$B$130:$F$130,0),0)*'All Options'!$E$17)*(IF(A98&lt;=DP,A98,0))),105%*$AB$17))*(Output!A98&lt;=DP)
+(MAX($AB$17+(VLOOKUP($BE$25,'All Options'!$AB$36:$AC$46,2,0)*VLOOKUP('All Options'!$E$22,'Valid Data-GPG'!$B$130:$F$134,MATCH('All Options'!$E$17,'Valid Data-GPG'!$B$130:$F$130,0),0)*'All Options'!$E$17)*DP-AB98*(A98-DP),$AB$17)*(MAX(A98&lt;=25,K98&lt;85)))*(A98&gt;DP),0)*$BE$21</f>
        <v>0</v>
      </c>
      <c r="BF98" s="175">
        <f>IFERROR((MAX(($AB$17+(VLOOKUP($BF$25,'All Options'!$AB$36:$AC$46,2,0)*VLOOKUP('All Options'!$E$22,'Valid Data-GPG'!$B$130:$F$134,MATCH('All Options'!$E$17,'Valid Data-GPG'!$B$130:$F$130,0),0)*'All Options'!$E$17)*(IF(A98&lt;=DP,A98,0))),105%*$AB$17))*(Output!A98&lt;=DP)
+(MAX($AB$17+(VLOOKUP($BF$25,'All Options'!$AB$36:$AC$46,2,0)*VLOOKUP('All Options'!$E$22,'Valid Data-GPG'!$B$130:$F$134,MATCH('All Options'!$E$17,'Valid Data-GPG'!$B$130:$F$130,0),0)*'All Options'!$E$17)*DP-AB98*(A98-DP),$AB$17)-SUM($AF$26:AF98)*AG98)*(A98&gt;DP)*AG98,0)*$BF$21</f>
        <v>0</v>
      </c>
      <c r="BG98" s="175">
        <f t="shared" si="76"/>
        <v>0</v>
      </c>
      <c r="BH98" s="182">
        <f t="shared" si="59"/>
        <v>5000000</v>
      </c>
      <c r="BI98" s="175">
        <f t="shared" si="77"/>
        <v>0</v>
      </c>
      <c r="BJ98" s="175">
        <f t="shared" si="78"/>
        <v>0</v>
      </c>
      <c r="BK98" s="175">
        <f t="shared" si="79"/>
        <v>0</v>
      </c>
      <c r="BL98" s="175">
        <f t="shared" si="80"/>
        <v>0</v>
      </c>
      <c r="BM98" s="175">
        <f t="shared" si="81"/>
        <v>0</v>
      </c>
      <c r="BN98" s="175">
        <f t="shared" si="82"/>
        <v>0</v>
      </c>
      <c r="BO98" s="182">
        <f t="shared" si="60"/>
        <v>0</v>
      </c>
      <c r="BP98" s="182">
        <f t="shared" si="61"/>
        <v>0</v>
      </c>
      <c r="BQ98" s="182">
        <f>MAX($AB$17-SUM($AF$26:AF98),0)*$BQ$21</f>
        <v>0</v>
      </c>
      <c r="BS98" s="175">
        <f t="shared" si="62"/>
        <v>0</v>
      </c>
      <c r="BT98" s="175">
        <f>IFERROR(IF(A98&lt;=1,0,VLOOKUP(DP,'Valid Data-GPG'!$A$116:$J$122,MATCH(Output!A98,'Valid Data-GPG'!$A$116:$J$116,0),FALSE)*SUM($B$26:C98))*(A98&lt;=DP),0)*$BT$21</f>
        <v>0</v>
      </c>
      <c r="BU98" s="175">
        <f>IFERROR(IF(A98&lt;=1,0,VLOOKUP(DP,'Valid Data-GPG'!$A$116:$J$122,MATCH(Output!A98,'Valid Data-GPG'!$A$116:$J$116,0),FALSE)*SUM($B$26:C98))*(A98&lt;=DP),0)*$BU$21</f>
        <v>0</v>
      </c>
      <c r="BV98" s="175">
        <f t="shared" si="63"/>
        <v>0</v>
      </c>
      <c r="BW98" s="175">
        <f t="shared" si="64"/>
        <v>0</v>
      </c>
      <c r="BX98" s="175">
        <f t="shared" si="65"/>
        <v>0</v>
      </c>
      <c r="BY98" s="175">
        <f t="shared" si="66"/>
        <v>0</v>
      </c>
      <c r="BZ98" s="175">
        <f t="shared" si="67"/>
        <v>0</v>
      </c>
      <c r="CA98" s="175">
        <f>(INDEX('SV calc_ignore'!$J$10:$J$1341,12*Output!A98-0))*BS98</f>
        <v>0</v>
      </c>
      <c r="CB98" s="175">
        <f t="shared" si="83"/>
        <v>0</v>
      </c>
      <c r="CC98" s="175">
        <f>(INDEX('SV calc_ignore'!$J$10:$J$1341,12*Output!A98-0))*BS98</f>
        <v>0</v>
      </c>
      <c r="CD98" s="175">
        <f t="shared" si="84"/>
        <v>0</v>
      </c>
      <c r="CE98" s="66">
        <f>(INDEX('SV calc_ignore'!$J$10:$J$1341,12*Output!A98-0))*($CE$21)</f>
        <v>0</v>
      </c>
      <c r="CF98" s="175">
        <f t="shared" si="85"/>
        <v>0</v>
      </c>
      <c r="CG98" s="175">
        <f>(INDEX('SV calc_ignore'!$J$10:$J$1341,12*Output!A98-0))*($CG$21)*(A98&gt;1)</f>
        <v>0</v>
      </c>
      <c r="CH98" s="175">
        <f>(INDEX('SV calc_ignore'!$J$10:$J$1341,12*Output!A98-0))*($CH$21)*(A98&gt;1)</f>
        <v>0</v>
      </c>
      <c r="CI98" s="175"/>
      <c r="CJ98" s="66">
        <f>(INDEX('SV calc_ignore'!$J$10:$J$1341,12*Output!A98-0))*($CJ$21)*(A98&gt;1)</f>
        <v>0</v>
      </c>
      <c r="CK98" s="66">
        <f>(INDEX('SV calc_ignore'!$Q$10:$Q$1341,12*Output!A98-0))*(AND(A98&gt;1,R98&lt;20))*($CK$21)</f>
        <v>0</v>
      </c>
      <c r="CL98" s="66">
        <f t="shared" si="86"/>
        <v>0</v>
      </c>
      <c r="CM98" s="175">
        <f>((INDEX('SV calc_ignore'!$J$10:$J$1341,12*Output!A98-0))+(INDEX('SV calc_ignore'!$O$10:$O$1341,12*Output!A98-0))*(A98&lt;'SV calc_ignore'!$Q$5))*(A98&gt;1)*($CM$21)</f>
        <v>0</v>
      </c>
      <c r="CN98" s="175">
        <v>0</v>
      </c>
      <c r="CO98" s="175">
        <f>(INDEX('SV calc_ignore'!$J$10:$J$1341,12*Output!A98-0))*(A98&gt;1)*($CO$21)</f>
        <v>0</v>
      </c>
      <c r="CP98" s="175">
        <v>0</v>
      </c>
      <c r="CQ98" s="175">
        <v>0</v>
      </c>
      <c r="CR98" s="175">
        <v>0</v>
      </c>
      <c r="CS98" s="175">
        <v>0</v>
      </c>
      <c r="CT98" s="175">
        <v>0</v>
      </c>
      <c r="CU98" s="175">
        <v>0</v>
      </c>
      <c r="CV98" s="175">
        <f>(INDEX('SV calc_ignore'!$J$10:$J$1341,12*Output!A98-0))*(A98&gt;1)*($CV$21)</f>
        <v>0</v>
      </c>
      <c r="CW98" s="66">
        <f>((INDEX('SV calc_ignore'!$J$10:$J$1341,12*Output!A98-0))+(INDEX('SV calc_ignore'!$O$10:$O$1351,12*Output!A98-0))*(A98&lt;'SV calc_ignore'!$Q$5))*(A98&gt;1)*($CW$21)</f>
        <v>0</v>
      </c>
      <c r="CX98" s="175">
        <f>(INDEX('SV calc_ignore'!$J$10:$J$1341,12*Output!A98-0))*(A98&gt;1)*($CX$21)</f>
        <v>0</v>
      </c>
      <c r="CY98" s="175">
        <f>(INDEX('SV calc_ignore'!$Q$10:$Q$1341,12*Output!A98-0))*(AND(A98&gt;1,R98&lt;20))*($CY$21)</f>
        <v>0</v>
      </c>
      <c r="CZ98" s="175">
        <f t="shared" si="87"/>
        <v>0</v>
      </c>
      <c r="DE98" s="43">
        <f>IF($DE$23,0,VLOOKUP(IF(A98&lt;=DP,DJ98,DI98),SSV!$B$6:$C$116,2,FALSE)*VLOOKUP(AnnuityOption,'All Options'!$AB$36:$AC$47,2,FALSE)*VLOOKUP('All Options'!$E$22,'Valid Data-GPG'!$B$130:$F$134,MATCH('All Options'!$E$17,'Valid Data-GPG'!$B$130:$F$130,0),0)*'All Options'!$E$17)*(IF(AND(Select="Deferred Annuity",AnnuityOption="Life Annuity"),A98&lt;=DP,1))</f>
        <v>3274327.0531593515</v>
      </c>
      <c r="DF98" s="43">
        <f>IF($DF$23,0,IF($DQ$25,DQ98,IF($DR$25,DR98,VLOOKUP(IF(A98&lt;=DP,DJ98,DI98),SSV!$G$6:$H$116,2,FALSE)*SUM($B$27:B98))))</f>
        <v>1006161.5</v>
      </c>
      <c r="DG98" s="43" t="e">
        <f>IF(A98&lt;=DP,VLOOKUP(DP-A97,SSV!$T$6:$U$15,2,FALSE),1)</f>
        <v>#N/A</v>
      </c>
      <c r="DH98" s="282" t="e">
        <f t="shared" si="68"/>
        <v>#VALUE!</v>
      </c>
      <c r="DI98" s="43">
        <f>IF($DM$26,MIN(Age,'All Options'!$E$21)+A97,IF($DN$26,(Age+A97)-Age+60,IF($DO$26,(Age+A97)-Age+55,Age+A97)))</f>
        <v>60</v>
      </c>
      <c r="DJ98" s="279">
        <f>IF($DM$26,MIN(Age+A98,'All Options'!$E$21+A98),IF($DN$26,(Age+A98)-(Age+$A$27)+60,IF($DO$26,(Age+A98)-(Age+$A$27)+55,Age+A98)))</f>
        <v>60</v>
      </c>
      <c r="DP98" s="43">
        <f t="shared" si="88"/>
        <v>0</v>
      </c>
      <c r="DQ98" s="43">
        <f>IFERROR(VLOOKUP(IF(A98&lt;=DP,DJ98,DI98),SSV!$K$6:$L$91,2,FALSE)*SUM($B$27:B98),0)*($DQ$25)</f>
        <v>0</v>
      </c>
      <c r="DR98" s="43">
        <f>IFERROR(VLOOKUP(IF(A98&lt;=DP,DJ98,DI98),SSV!$O$6:$P$95,2,FALSE)*SUM($B$27:B98),0)*($DR$25)</f>
        <v>0</v>
      </c>
      <c r="DU98" s="175">
        <f t="shared" si="69"/>
        <v>0</v>
      </c>
    </row>
    <row r="99" spans="1:125" x14ac:dyDescent="0.2">
      <c r="A99" s="146">
        <f t="shared" si="70"/>
        <v>0</v>
      </c>
      <c r="B99" s="670">
        <f>IF(PremiumType="Regular Premium",'All Options'!$E$18*'All Options'!$E$22*(AND(Output!A99&lt;=PPT,A99&gt;=1)),'All Options'!$E$18*(A99=1))</f>
        <v>0</v>
      </c>
      <c r="C99" s="671"/>
      <c r="D99" s="103" t="e">
        <f>((VLOOKUP(CONCATENATE($D$14,$D$15),'All Options'!$AB$36:$AC$47,4,0)*VLOOKUP('All Options'!$E$22,'Valid Data-GPG'!$B$130:$F$134,MATCH('All Options'!$E$17,'Valid Data-GPG'!$B$130:$F$130,0),0)*'All Options'!$E$17)*IF(Select="Deferred Annuity",A99&gt;DP,1)+AE99+AF99*AG99*$AG$21)*(A99&gt;0)</f>
        <v>#N/A</v>
      </c>
      <c r="E99" s="103">
        <v>0</v>
      </c>
      <c r="F99" s="103" t="e">
        <f t="shared" si="71"/>
        <v>#N/A</v>
      </c>
      <c r="G99" s="103">
        <f t="shared" si="55"/>
        <v>0</v>
      </c>
      <c r="H99" s="285">
        <f t="shared" si="72"/>
        <v>0</v>
      </c>
      <c r="I99" s="103">
        <f t="shared" si="73"/>
        <v>0</v>
      </c>
      <c r="K99" s="175" t="str">
        <f t="shared" si="74"/>
        <v/>
      </c>
      <c r="L99" s="175"/>
      <c r="M99" s="175"/>
      <c r="N99" s="175"/>
      <c r="O99" s="175"/>
      <c r="P99" s="175"/>
      <c r="Q99" s="175"/>
      <c r="R99" s="175">
        <f t="shared" si="75"/>
        <v>0</v>
      </c>
      <c r="AB99" s="175" t="e">
        <f>(VLOOKUP(CONCATENATE($D$14,$D$15),'All Options'!$AB$36:$AC$47,4,0)*VLOOKUP('All Options'!$E$22,'Valid Data-GPG'!$B$130:$F$134,MATCH('All Options'!$E$17,'Valid Data-GPG'!$B$130:$F$130,0),0)*'All Options'!$E$17)*IF(Select="Deferred Annuity",A99&gt;DP,1)*(A99&gt;0)</f>
        <v>#N/A</v>
      </c>
      <c r="AC99" s="175">
        <f t="shared" si="56"/>
        <v>0</v>
      </c>
      <c r="AD99" s="175">
        <f>SUM($AC$26:AC99)</f>
        <v>0</v>
      </c>
      <c r="AE99" s="175">
        <f t="shared" si="57"/>
        <v>0</v>
      </c>
      <c r="AF99" s="175">
        <f t="shared" si="58"/>
        <v>0</v>
      </c>
      <c r="AG99" s="175" t="b">
        <f>(SUM($AF$26:AF99)&lt;=$AB$17)</f>
        <v>0</v>
      </c>
      <c r="AY99" s="175"/>
      <c r="AZ99" s="66">
        <f>((MAX((SUM($B$26:C99)+(VLOOKUP($AZ$25,'All Options'!$AB$36:$AC$46,2,0)*VLOOKUP('All Options'!$E$22,'Valid Data-GPG'!$B$130:$F$134,MATCH('All Options'!$E$17,'Valid Data-GPG'!$B$130:$F$130,0),0)*'All Options'!$E$17)*(IF(A99&lt;=DP,A99,0))),105%*SUM($B$26:C99)))*(AND(A99&lt;&gt;0,Output!A99&lt;=DP))+(0)*(A99&gt;DP))*$AZ$21</f>
        <v>0</v>
      </c>
      <c r="BA99" s="175" t="e">
        <f>((MAX((SUM($B$26:C99)+(VLOOKUP($BA$25,'All Options'!$AB$36:$AC$46,2,0)*VLOOKUP('All Options'!$E$22,'Valid Data-GPG'!$B$130:$F$134,MATCH('All Options'!$E$17,'Valid Data-GPG'!$B$130:$F$130,0),0)*'All Options'!$E$17)*(IF(A99&lt;=DP,A99,0))),105%*SUM($B$26:C99)))*(Output!A99&lt;=DP)
+MAX((SUM($B$26:C99)+(VLOOKUP($BA$25,'All Options'!$AB$36:$AC$46,2,0)*VLOOKUP('All Options'!$E$22,'Valid Data-GPG'!$B$130:$F$134,MATCH('All Options'!$E$17,'Valid Data-GPG'!$B$130:$F$130,0),0)*'All Options'!$E$17)*DP-D99*(A99-DP)),SUM($B$26:C99))*(A99&gt;DP))*$BA$21</f>
        <v>#N/A</v>
      </c>
      <c r="BB99" s="175">
        <f>((MAX(($AB$17+(VLOOKUP($BB$25,'All Options'!$AB$36:$AC$46,2,0)*VLOOKUP('All Options'!$E$22,'Valid Data-GPG'!$B$130:$F$134,MATCH('All Options'!$E$17,'Valid Data-GPG'!$B$130:$F$130,0),0)*'All Options'!$E$17)*(IF(A99&lt;=DP,A99,0))),105%*$AB$17))*(Output!A99&lt;=DP)+(0)*(A99&gt;DP))*$BB$21</f>
        <v>0</v>
      </c>
      <c r="BC99" s="175" t="e">
        <f>((MAX(($AB$17+(VLOOKUP($BC$25,'All Options'!$AB$36:$AC$46,2,0)*VLOOKUP('All Options'!$E$22,'Valid Data-GPG'!$B$130:$F$134,MATCH('All Options'!$E$17,'Valid Data-GPG'!$B$130:$F$130,0),0)*'All Options'!$E$17)*(IF(A99&lt;=DP,A99,0))),105%*$AB$17))*(Output!A99&lt;=DP)+
MAX(($AB$17+(VLOOKUP($BC$25,'All Options'!$AB$36:$AC$46,2,0)*VLOOKUP('All Options'!$E$22,'Valid Data-GPG'!$B$130:$F$134,MATCH('All Options'!$E$17,'Valid Data-GPG'!$B$130:$F$130,0),0)*'All Options'!$E$17)*DP-D99*(A99-DP)),$AB$17)*(A99&gt;DP))*$BC$21</f>
        <v>#N/A</v>
      </c>
      <c r="BD99" s="175">
        <f ca="1">IFERROR((MAX(($AB$17+(VLOOKUP($BD$25,'All Options'!$AB$36:$AC$46,2,0)*VLOOKUP('All Options'!$E$22,'Valid Data-GPG'!$B$130:$F$134,MATCH('All Options'!$E$17,'Valid Data-GPG'!$B$130:$F$130,0),0)*'All Options'!$E$17)*(IF(A99&lt;=DP,A99,0))),105%*$AB$17))*(Output!A99&lt;=DP)
+MAX(($AB$17+(VLOOKUP($BD$25,'All Options'!$AB$36:$AC$46,2,0)*VLOOKUP('All Options'!$E$22,'Valid Data-GPG'!$B$130:$F$134,MATCH('All Options'!$E$17,'Valid Data-GPG'!$B$130:$F$130,0),0)*'All Options'!$E$17)*DP-D99*(A99-DP)),$AB$17)*(A99&gt;DP),0)*$BD$21</f>
        <v>0</v>
      </c>
      <c r="BE99" s="66">
        <f>IFERROR((MAX(($AB$17+(VLOOKUP($BE$25,'All Options'!$AB$36:$AC$46,2,0)*VLOOKUP('All Options'!$E$22,'Valid Data-GPG'!$B$130:$F$134,MATCH('All Options'!$E$17,'Valid Data-GPG'!$B$130:$F$130,0),0)*'All Options'!$E$17)*(IF(A99&lt;=DP,A99,0))),105%*$AB$17))*(Output!A99&lt;=DP)
+(MAX($AB$17+(VLOOKUP($BE$25,'All Options'!$AB$36:$AC$46,2,0)*VLOOKUP('All Options'!$E$22,'Valid Data-GPG'!$B$130:$F$134,MATCH('All Options'!$E$17,'Valid Data-GPG'!$B$130:$F$130,0),0)*'All Options'!$E$17)*DP-AB99*(A99-DP),$AB$17)*(MAX(A99&lt;=25,K99&lt;85)))*(A99&gt;DP),0)*$BE$21</f>
        <v>0</v>
      </c>
      <c r="BF99" s="175">
        <f>IFERROR((MAX(($AB$17+(VLOOKUP($BF$25,'All Options'!$AB$36:$AC$46,2,0)*VLOOKUP('All Options'!$E$22,'Valid Data-GPG'!$B$130:$F$134,MATCH('All Options'!$E$17,'Valid Data-GPG'!$B$130:$F$130,0),0)*'All Options'!$E$17)*(IF(A99&lt;=DP,A99,0))),105%*$AB$17))*(Output!A99&lt;=DP)
+(MAX($AB$17+(VLOOKUP($BF$25,'All Options'!$AB$36:$AC$46,2,0)*VLOOKUP('All Options'!$E$22,'Valid Data-GPG'!$B$130:$F$134,MATCH('All Options'!$E$17,'Valid Data-GPG'!$B$130:$F$130,0),0)*'All Options'!$E$17)*DP-AB99*(A99-DP),$AB$17)-SUM($AF$26:AF99)*AG99)*(A99&gt;DP)*AG99,0)*$BF$21</f>
        <v>0</v>
      </c>
      <c r="BG99" s="175">
        <f t="shared" si="76"/>
        <v>0</v>
      </c>
      <c r="BH99" s="182">
        <f t="shared" si="59"/>
        <v>5000000</v>
      </c>
      <c r="BI99" s="175">
        <f t="shared" si="77"/>
        <v>0</v>
      </c>
      <c r="BJ99" s="175">
        <f t="shared" si="78"/>
        <v>0</v>
      </c>
      <c r="BK99" s="175">
        <f t="shared" si="79"/>
        <v>0</v>
      </c>
      <c r="BL99" s="175">
        <f t="shared" si="80"/>
        <v>0</v>
      </c>
      <c r="BM99" s="175">
        <f t="shared" si="81"/>
        <v>0</v>
      </c>
      <c r="BN99" s="175">
        <f t="shared" si="82"/>
        <v>0</v>
      </c>
      <c r="BO99" s="182">
        <f t="shared" si="60"/>
        <v>0</v>
      </c>
      <c r="BP99" s="182">
        <f t="shared" si="61"/>
        <v>0</v>
      </c>
      <c r="BQ99" s="182">
        <f>MAX($AB$17-SUM($AF$26:AF99),0)*$BQ$21</f>
        <v>0</v>
      </c>
      <c r="BS99" s="175">
        <f t="shared" si="62"/>
        <v>0</v>
      </c>
      <c r="BT99" s="175">
        <f>IFERROR(IF(A99&lt;=1,0,VLOOKUP(DP,'Valid Data-GPG'!$A$116:$J$122,MATCH(Output!A99,'Valid Data-GPG'!$A$116:$J$116,0),FALSE)*SUM($B$26:C99))*(A99&lt;=DP),0)*$BT$21</f>
        <v>0</v>
      </c>
      <c r="BU99" s="175">
        <f>IFERROR(IF(A99&lt;=1,0,VLOOKUP(DP,'Valid Data-GPG'!$A$116:$J$122,MATCH(Output!A99,'Valid Data-GPG'!$A$116:$J$116,0),FALSE)*SUM($B$26:C99))*(A99&lt;=DP),0)*$BU$21</f>
        <v>0</v>
      </c>
      <c r="BV99" s="175">
        <f t="shared" si="63"/>
        <v>0</v>
      </c>
      <c r="BW99" s="175">
        <f t="shared" si="64"/>
        <v>0</v>
      </c>
      <c r="BX99" s="175">
        <f t="shared" si="65"/>
        <v>0</v>
      </c>
      <c r="BY99" s="175">
        <f t="shared" si="66"/>
        <v>0</v>
      </c>
      <c r="BZ99" s="175">
        <f t="shared" si="67"/>
        <v>0</v>
      </c>
      <c r="CA99" s="175">
        <f>(INDEX('SV calc_ignore'!$J$10:$J$1341,12*Output!A99-0))*BS99</f>
        <v>0</v>
      </c>
      <c r="CB99" s="175">
        <f t="shared" si="83"/>
        <v>0</v>
      </c>
      <c r="CC99" s="175">
        <f>(INDEX('SV calc_ignore'!$J$10:$J$1341,12*Output!A99-0))*BS99</f>
        <v>0</v>
      </c>
      <c r="CD99" s="175">
        <f t="shared" si="84"/>
        <v>0</v>
      </c>
      <c r="CE99" s="66">
        <f>(INDEX('SV calc_ignore'!$J$10:$J$1341,12*Output!A99-0))*($CE$21)</f>
        <v>0</v>
      </c>
      <c r="CF99" s="175">
        <f t="shared" si="85"/>
        <v>0</v>
      </c>
      <c r="CG99" s="175">
        <f>(INDEX('SV calc_ignore'!$J$10:$J$1341,12*Output!A99-0))*($CG$21)*(A99&gt;1)</f>
        <v>0</v>
      </c>
      <c r="CH99" s="175">
        <f>(INDEX('SV calc_ignore'!$J$10:$J$1341,12*Output!A99-0))*($CH$21)*(A99&gt;1)</f>
        <v>0</v>
      </c>
      <c r="CI99" s="175"/>
      <c r="CJ99" s="66">
        <f>(INDEX('SV calc_ignore'!$J$10:$J$1341,12*Output!A99-0))*($CJ$21)*(A99&gt;1)</f>
        <v>0</v>
      </c>
      <c r="CK99" s="66">
        <f>(INDEX('SV calc_ignore'!$Q$10:$Q$1341,12*Output!A99-0))*(AND(A99&gt;1,R99&lt;20))*($CK$21)</f>
        <v>0</v>
      </c>
      <c r="CL99" s="66">
        <f t="shared" si="86"/>
        <v>0</v>
      </c>
      <c r="CM99" s="175">
        <f>((INDEX('SV calc_ignore'!$J$10:$J$1341,12*Output!A99-0))+(INDEX('SV calc_ignore'!$O$10:$O$1341,12*Output!A99-0))*(A99&lt;'SV calc_ignore'!$Q$5))*(A99&gt;1)*($CM$21)</f>
        <v>0</v>
      </c>
      <c r="CN99" s="175">
        <v>0</v>
      </c>
      <c r="CO99" s="175">
        <f>(INDEX('SV calc_ignore'!$J$10:$J$1341,12*Output!A99-0))*(A99&gt;1)*($CO$21)</f>
        <v>0</v>
      </c>
      <c r="CP99" s="175">
        <v>0</v>
      </c>
      <c r="CQ99" s="175">
        <v>0</v>
      </c>
      <c r="CR99" s="175">
        <v>0</v>
      </c>
      <c r="CS99" s="175">
        <v>0</v>
      </c>
      <c r="CT99" s="175">
        <v>0</v>
      </c>
      <c r="CU99" s="175">
        <v>0</v>
      </c>
      <c r="CV99" s="175">
        <f>(INDEX('SV calc_ignore'!$J$10:$J$1341,12*Output!A99-0))*(A99&gt;1)*($CV$21)</f>
        <v>0</v>
      </c>
      <c r="CW99" s="66">
        <f>((INDEX('SV calc_ignore'!$J$10:$J$1341,12*Output!A99-0))+(INDEX('SV calc_ignore'!$O$10:$O$1351,12*Output!A99-0))*(A99&lt;'SV calc_ignore'!$Q$5))*(A99&gt;1)*($CW$21)</f>
        <v>0</v>
      </c>
      <c r="CX99" s="175">
        <f>(INDEX('SV calc_ignore'!$J$10:$J$1341,12*Output!A99-0))*(A99&gt;1)*($CX$21)</f>
        <v>0</v>
      </c>
      <c r="CY99" s="175">
        <f>(INDEX('SV calc_ignore'!$Q$10:$Q$1341,12*Output!A99-0))*(AND(A99&gt;1,R99&lt;20))*($CY$21)</f>
        <v>0</v>
      </c>
      <c r="CZ99" s="175">
        <f t="shared" si="87"/>
        <v>0</v>
      </c>
      <c r="DE99" s="43">
        <f>IF($DE$23,0,VLOOKUP(IF(A99&lt;=DP,DJ99,DI99),SSV!$B$6:$C$116,2,FALSE)*VLOOKUP(AnnuityOption,'All Options'!$AB$36:$AC$47,2,FALSE)*VLOOKUP('All Options'!$E$22,'Valid Data-GPG'!$B$130:$F$134,MATCH('All Options'!$E$17,'Valid Data-GPG'!$B$130:$F$130,0),0)*'All Options'!$E$17)*(IF(AND(Select="Deferred Annuity",AnnuityOption="Life Annuity"),A99&lt;=DP,1))</f>
        <v>3274327.0531593515</v>
      </c>
      <c r="DF99" s="43">
        <f>IF($DF$23,0,IF($DQ$25,DQ99,IF($DR$25,DR99,VLOOKUP(IF(A99&lt;=DP,DJ99,DI99),SSV!$G$6:$H$116,2,FALSE)*SUM($B$27:B99))))</f>
        <v>1006161.5</v>
      </c>
      <c r="DG99" s="43" t="e">
        <f>IF(A99&lt;=DP,VLOOKUP(DP-A98,SSV!$T$6:$U$15,2,FALSE),1)</f>
        <v>#N/A</v>
      </c>
      <c r="DH99" s="282" t="e">
        <f t="shared" si="68"/>
        <v>#VALUE!</v>
      </c>
      <c r="DI99" s="43">
        <f>IF($DM$26,MIN(Age,'All Options'!$E$21)+A98,IF($DN$26,(Age+A98)-Age+60,IF($DO$26,(Age+A98)-Age+55,Age+A98)))</f>
        <v>60</v>
      </c>
      <c r="DJ99" s="279">
        <f>IF($DM$26,MIN(Age+A99,'All Options'!$E$21+A99),IF($DN$26,(Age+A99)-(Age+$A$27)+60,IF($DO$26,(Age+A99)-(Age+$A$27)+55,Age+A99)))</f>
        <v>60</v>
      </c>
      <c r="DP99" s="43">
        <f t="shared" si="88"/>
        <v>0</v>
      </c>
      <c r="DQ99" s="43">
        <f>IFERROR(VLOOKUP(IF(A99&lt;=DP,DJ99,DI99),SSV!$K$6:$L$91,2,FALSE)*SUM($B$27:B99),0)*($DQ$25)</f>
        <v>0</v>
      </c>
      <c r="DR99" s="43">
        <f>IFERROR(VLOOKUP(IF(A99&lt;=DP,DJ99,DI99),SSV!$O$6:$P$95,2,FALSE)*SUM($B$27:B99),0)*($DR$25)</f>
        <v>0</v>
      </c>
      <c r="DU99" s="175">
        <f t="shared" si="69"/>
        <v>0</v>
      </c>
    </row>
    <row r="100" spans="1:125" x14ac:dyDescent="0.2">
      <c r="A100" s="146">
        <f t="shared" si="70"/>
        <v>0</v>
      </c>
      <c r="B100" s="670">
        <f>IF(PremiumType="Regular Premium",'All Options'!$E$18*'All Options'!$E$22*(AND(Output!A100&lt;=PPT,A100&gt;=1)),'All Options'!$E$18*(A100=1))</f>
        <v>0</v>
      </c>
      <c r="C100" s="671"/>
      <c r="D100" s="103" t="e">
        <f>((VLOOKUP(CONCATENATE($D$14,$D$15),'All Options'!$AB$36:$AC$47,4,0)*VLOOKUP('All Options'!$E$22,'Valid Data-GPG'!$B$130:$F$134,MATCH('All Options'!$E$17,'Valid Data-GPG'!$B$130:$F$130,0),0)*'All Options'!$E$17)*IF(Select="Deferred Annuity",A100&gt;DP,1)+AE100+AF100*AG100*$AG$21)*(A100&gt;0)</f>
        <v>#N/A</v>
      </c>
      <c r="E100" s="103">
        <v>0</v>
      </c>
      <c r="F100" s="103" t="e">
        <f t="shared" si="71"/>
        <v>#N/A</v>
      </c>
      <c r="G100" s="103">
        <f t="shared" si="55"/>
        <v>0</v>
      </c>
      <c r="H100" s="285">
        <f t="shared" si="72"/>
        <v>0</v>
      </c>
      <c r="I100" s="103">
        <f t="shared" si="73"/>
        <v>0</v>
      </c>
      <c r="K100" s="175" t="str">
        <f t="shared" si="74"/>
        <v/>
      </c>
      <c r="L100" s="175"/>
      <c r="M100" s="175"/>
      <c r="N100" s="175"/>
      <c r="O100" s="175"/>
      <c r="P100" s="175"/>
      <c r="Q100" s="175"/>
      <c r="R100" s="175">
        <f t="shared" si="75"/>
        <v>0</v>
      </c>
      <c r="AB100" s="175" t="e">
        <f>(VLOOKUP(CONCATENATE($D$14,$D$15),'All Options'!$AB$36:$AC$47,4,0)*VLOOKUP('All Options'!$E$22,'Valid Data-GPG'!$B$130:$F$134,MATCH('All Options'!$E$17,'Valid Data-GPG'!$B$130:$F$130,0),0)*'All Options'!$E$17)*IF(Select="Deferred Annuity",A100&gt;DP,1)*(A100&gt;0)</f>
        <v>#N/A</v>
      </c>
      <c r="AC100" s="175">
        <f t="shared" si="56"/>
        <v>0</v>
      </c>
      <c r="AD100" s="175">
        <f>SUM($AC$26:AC100)</f>
        <v>0</v>
      </c>
      <c r="AE100" s="175">
        <f t="shared" si="57"/>
        <v>0</v>
      </c>
      <c r="AF100" s="175">
        <f t="shared" si="58"/>
        <v>0</v>
      </c>
      <c r="AG100" s="175" t="b">
        <f>(SUM($AF$26:AF100)&lt;=$AB$17)</f>
        <v>0</v>
      </c>
      <c r="AY100" s="175"/>
      <c r="AZ100" s="66">
        <f>((MAX((SUM($B$26:C100)+(VLOOKUP($AZ$25,'All Options'!$AB$36:$AC$46,2,0)*VLOOKUP('All Options'!$E$22,'Valid Data-GPG'!$B$130:$F$134,MATCH('All Options'!$E$17,'Valid Data-GPG'!$B$130:$F$130,0),0)*'All Options'!$E$17)*(IF(A100&lt;=DP,A100,0))),105%*SUM($B$26:C100)))*(AND(A100&lt;&gt;0,Output!A100&lt;=DP))+(0)*(A100&gt;DP))*$AZ$21</f>
        <v>0</v>
      </c>
      <c r="BA100" s="175" t="e">
        <f>((MAX((SUM($B$26:C100)+(VLOOKUP($BA$25,'All Options'!$AB$36:$AC$46,2,0)*VLOOKUP('All Options'!$E$22,'Valid Data-GPG'!$B$130:$F$134,MATCH('All Options'!$E$17,'Valid Data-GPG'!$B$130:$F$130,0),0)*'All Options'!$E$17)*(IF(A100&lt;=DP,A100,0))),105%*SUM($B$26:C100)))*(Output!A100&lt;=DP)
+MAX((SUM($B$26:C100)+(VLOOKUP($BA$25,'All Options'!$AB$36:$AC$46,2,0)*VLOOKUP('All Options'!$E$22,'Valid Data-GPG'!$B$130:$F$134,MATCH('All Options'!$E$17,'Valid Data-GPG'!$B$130:$F$130,0),0)*'All Options'!$E$17)*DP-D100*(A100-DP)),SUM($B$26:C100))*(A100&gt;DP))*$BA$21</f>
        <v>#N/A</v>
      </c>
      <c r="BB100" s="175">
        <f>((MAX(($AB$17+(VLOOKUP($BB$25,'All Options'!$AB$36:$AC$46,2,0)*VLOOKUP('All Options'!$E$22,'Valid Data-GPG'!$B$130:$F$134,MATCH('All Options'!$E$17,'Valid Data-GPG'!$B$130:$F$130,0),0)*'All Options'!$E$17)*(IF(A100&lt;=DP,A100,0))),105%*$AB$17))*(Output!A100&lt;=DP)+(0)*(A100&gt;DP))*$BB$21</f>
        <v>0</v>
      </c>
      <c r="BC100" s="175" t="e">
        <f>((MAX(($AB$17+(VLOOKUP($BC$25,'All Options'!$AB$36:$AC$46,2,0)*VLOOKUP('All Options'!$E$22,'Valid Data-GPG'!$B$130:$F$134,MATCH('All Options'!$E$17,'Valid Data-GPG'!$B$130:$F$130,0),0)*'All Options'!$E$17)*(IF(A100&lt;=DP,A100,0))),105%*$AB$17))*(Output!A100&lt;=DP)+
MAX(($AB$17+(VLOOKUP($BC$25,'All Options'!$AB$36:$AC$46,2,0)*VLOOKUP('All Options'!$E$22,'Valid Data-GPG'!$B$130:$F$134,MATCH('All Options'!$E$17,'Valid Data-GPG'!$B$130:$F$130,0),0)*'All Options'!$E$17)*DP-D100*(A100-DP)),$AB$17)*(A100&gt;DP))*$BC$21</f>
        <v>#N/A</v>
      </c>
      <c r="BD100" s="175">
        <f ca="1">IFERROR((MAX(($AB$17+(VLOOKUP($BD$25,'All Options'!$AB$36:$AC$46,2,0)*VLOOKUP('All Options'!$E$22,'Valid Data-GPG'!$B$130:$F$134,MATCH('All Options'!$E$17,'Valid Data-GPG'!$B$130:$F$130,0),0)*'All Options'!$E$17)*(IF(A100&lt;=DP,A100,0))),105%*$AB$17))*(Output!A100&lt;=DP)
+MAX(($AB$17+(VLOOKUP($BD$25,'All Options'!$AB$36:$AC$46,2,0)*VLOOKUP('All Options'!$E$22,'Valid Data-GPG'!$B$130:$F$134,MATCH('All Options'!$E$17,'Valid Data-GPG'!$B$130:$F$130,0),0)*'All Options'!$E$17)*DP-D100*(A100-DP)),$AB$17)*(A100&gt;DP),0)*$BD$21</f>
        <v>0</v>
      </c>
      <c r="BE100" s="66">
        <f>IFERROR((MAX(($AB$17+(VLOOKUP($BE$25,'All Options'!$AB$36:$AC$46,2,0)*VLOOKUP('All Options'!$E$22,'Valid Data-GPG'!$B$130:$F$134,MATCH('All Options'!$E$17,'Valid Data-GPG'!$B$130:$F$130,0),0)*'All Options'!$E$17)*(IF(A100&lt;=DP,A100,0))),105%*$AB$17))*(Output!A100&lt;=DP)
+(MAX($AB$17+(VLOOKUP($BE$25,'All Options'!$AB$36:$AC$46,2,0)*VLOOKUP('All Options'!$E$22,'Valid Data-GPG'!$B$130:$F$134,MATCH('All Options'!$E$17,'Valid Data-GPG'!$B$130:$F$130,0),0)*'All Options'!$E$17)*DP-AB100*(A100-DP),$AB$17)*(MAX(A100&lt;=25,K100&lt;85)))*(A100&gt;DP),0)*$BE$21</f>
        <v>0</v>
      </c>
      <c r="BF100" s="175">
        <f>IFERROR((MAX(($AB$17+(VLOOKUP($BF$25,'All Options'!$AB$36:$AC$46,2,0)*VLOOKUP('All Options'!$E$22,'Valid Data-GPG'!$B$130:$F$134,MATCH('All Options'!$E$17,'Valid Data-GPG'!$B$130:$F$130,0),0)*'All Options'!$E$17)*(IF(A100&lt;=DP,A100,0))),105%*$AB$17))*(Output!A100&lt;=DP)
+(MAX($AB$17+(VLOOKUP($BF$25,'All Options'!$AB$36:$AC$46,2,0)*VLOOKUP('All Options'!$E$22,'Valid Data-GPG'!$B$130:$F$134,MATCH('All Options'!$E$17,'Valid Data-GPG'!$B$130:$F$130,0),0)*'All Options'!$E$17)*DP-AB100*(A100-DP),$AB$17)-SUM($AF$26:AF100)*AG100)*(A100&gt;DP)*AG100,0)*$BF$21</f>
        <v>0</v>
      </c>
      <c r="BG100" s="175">
        <f t="shared" si="76"/>
        <v>0</v>
      </c>
      <c r="BH100" s="182">
        <f t="shared" si="59"/>
        <v>5000000</v>
      </c>
      <c r="BI100" s="175">
        <f t="shared" si="77"/>
        <v>0</v>
      </c>
      <c r="BJ100" s="175">
        <f t="shared" si="78"/>
        <v>0</v>
      </c>
      <c r="BK100" s="175">
        <f t="shared" si="79"/>
        <v>0</v>
      </c>
      <c r="BL100" s="175">
        <f t="shared" si="80"/>
        <v>0</v>
      </c>
      <c r="BM100" s="175">
        <f t="shared" si="81"/>
        <v>0</v>
      </c>
      <c r="BN100" s="175">
        <f t="shared" si="82"/>
        <v>0</v>
      </c>
      <c r="BO100" s="182">
        <f t="shared" si="60"/>
        <v>0</v>
      </c>
      <c r="BP100" s="182">
        <f t="shared" si="61"/>
        <v>0</v>
      </c>
      <c r="BQ100" s="182">
        <f>MAX($AB$17-SUM($AF$26:AF100),0)*$BQ$21</f>
        <v>0</v>
      </c>
      <c r="BS100" s="175">
        <f t="shared" si="62"/>
        <v>0</v>
      </c>
      <c r="BT100" s="175">
        <f>IFERROR(IF(A100&lt;=1,0,VLOOKUP(DP,'Valid Data-GPG'!$A$116:$J$122,MATCH(Output!A100,'Valid Data-GPG'!$A$116:$J$116,0),FALSE)*SUM($B$26:C100))*(A100&lt;=DP),0)*$BT$21</f>
        <v>0</v>
      </c>
      <c r="BU100" s="175">
        <f>IFERROR(IF(A100&lt;=1,0,VLOOKUP(DP,'Valid Data-GPG'!$A$116:$J$122,MATCH(Output!A100,'Valid Data-GPG'!$A$116:$J$116,0),FALSE)*SUM($B$26:C100))*(A100&lt;=DP),0)*$BU$21</f>
        <v>0</v>
      </c>
      <c r="BV100" s="175">
        <f t="shared" si="63"/>
        <v>0</v>
      </c>
      <c r="BW100" s="175">
        <f t="shared" si="64"/>
        <v>0</v>
      </c>
      <c r="BX100" s="175">
        <f t="shared" si="65"/>
        <v>0</v>
      </c>
      <c r="BY100" s="175">
        <f t="shared" si="66"/>
        <v>0</v>
      </c>
      <c r="BZ100" s="175">
        <f t="shared" si="67"/>
        <v>0</v>
      </c>
      <c r="CA100" s="175">
        <f>(INDEX('SV calc_ignore'!$J$10:$J$1341,12*Output!A100-0))*BS100</f>
        <v>0</v>
      </c>
      <c r="CB100" s="175">
        <f t="shared" si="83"/>
        <v>0</v>
      </c>
      <c r="CC100" s="175">
        <f>(INDEX('SV calc_ignore'!$J$10:$J$1341,12*Output!A100-0))*BS100</f>
        <v>0</v>
      </c>
      <c r="CD100" s="175">
        <f t="shared" si="84"/>
        <v>0</v>
      </c>
      <c r="CE100" s="66">
        <f>(INDEX('SV calc_ignore'!$J$10:$J$1341,12*Output!A100-0))*($CE$21)</f>
        <v>0</v>
      </c>
      <c r="CF100" s="175">
        <f t="shared" si="85"/>
        <v>0</v>
      </c>
      <c r="CG100" s="175">
        <f>(INDEX('SV calc_ignore'!$J$10:$J$1341,12*Output!A100-0))*($CG$21)*(A100&gt;1)</f>
        <v>0</v>
      </c>
      <c r="CH100" s="175">
        <f>(INDEX('SV calc_ignore'!$J$10:$J$1341,12*Output!A100-0))*($CH$21)*(A100&gt;1)</f>
        <v>0</v>
      </c>
      <c r="CI100" s="175"/>
      <c r="CJ100" s="66">
        <f>(INDEX('SV calc_ignore'!$J$10:$J$1341,12*Output!A100-0))*($CJ$21)*(A100&gt;1)</f>
        <v>0</v>
      </c>
      <c r="CK100" s="66">
        <f>(INDEX('SV calc_ignore'!$Q$10:$Q$1341,12*Output!A100-0))*(AND(A100&gt;1,R100&lt;20))*($CK$21)</f>
        <v>0</v>
      </c>
      <c r="CL100" s="66">
        <f t="shared" si="86"/>
        <v>0</v>
      </c>
      <c r="CM100" s="175">
        <f>((INDEX('SV calc_ignore'!$J$10:$J$1341,12*Output!A100-0))+(INDEX('SV calc_ignore'!$O$10:$O$1341,12*Output!A100-0))*(A100&lt;'SV calc_ignore'!$Q$5))*(A100&gt;1)*($CM$21)</f>
        <v>0</v>
      </c>
      <c r="CN100" s="175">
        <v>0</v>
      </c>
      <c r="CO100" s="175">
        <f>(INDEX('SV calc_ignore'!$J$10:$J$1341,12*Output!A100-0))*(A100&gt;1)*($CO$21)</f>
        <v>0</v>
      </c>
      <c r="CP100" s="175">
        <v>0</v>
      </c>
      <c r="CQ100" s="175">
        <v>0</v>
      </c>
      <c r="CR100" s="175">
        <v>0</v>
      </c>
      <c r="CS100" s="175">
        <v>0</v>
      </c>
      <c r="CT100" s="175">
        <v>0</v>
      </c>
      <c r="CU100" s="175">
        <v>0</v>
      </c>
      <c r="CV100" s="175">
        <f>(INDEX('SV calc_ignore'!$J$10:$J$1341,12*Output!A100-0))*(A100&gt;1)*($CV$21)</f>
        <v>0</v>
      </c>
      <c r="CW100" s="66">
        <f>((INDEX('SV calc_ignore'!$J$10:$J$1341,12*Output!A100-0))+(INDEX('SV calc_ignore'!$O$10:$O$1351,12*Output!A100-0))*(A100&lt;'SV calc_ignore'!$Q$5))*(A100&gt;1)*($CW$21)</f>
        <v>0</v>
      </c>
      <c r="CX100" s="175">
        <f>(INDEX('SV calc_ignore'!$J$10:$J$1341,12*Output!A100-0))*(A100&gt;1)*($CX$21)</f>
        <v>0</v>
      </c>
      <c r="CY100" s="175">
        <f>(INDEX('SV calc_ignore'!$Q$10:$Q$1341,12*Output!A100-0))*(AND(A100&gt;1,R100&lt;20))*($CY$21)</f>
        <v>0</v>
      </c>
      <c r="CZ100" s="175">
        <f t="shared" si="87"/>
        <v>0</v>
      </c>
      <c r="DE100" s="43">
        <f>IF($DE$23,0,VLOOKUP(IF(A100&lt;=DP,DJ100,DI100),SSV!$B$6:$C$116,2,FALSE)*VLOOKUP(AnnuityOption,'All Options'!$AB$36:$AC$47,2,FALSE)*VLOOKUP('All Options'!$E$22,'Valid Data-GPG'!$B$130:$F$134,MATCH('All Options'!$E$17,'Valid Data-GPG'!$B$130:$F$130,0),0)*'All Options'!$E$17)*(IF(AND(Select="Deferred Annuity",AnnuityOption="Life Annuity"),A100&lt;=DP,1))</f>
        <v>3274327.0531593515</v>
      </c>
      <c r="DF100" s="43">
        <f>IF($DF$23,0,IF($DQ$25,DQ100,IF($DR$25,DR100,VLOOKUP(IF(A100&lt;=DP,DJ100,DI100),SSV!$G$6:$H$116,2,FALSE)*SUM($B$27:B100))))</f>
        <v>1006161.5</v>
      </c>
      <c r="DG100" s="43" t="e">
        <f>IF(A100&lt;=DP,VLOOKUP(DP-A99,SSV!$T$6:$U$15,2,FALSE),1)</f>
        <v>#N/A</v>
      </c>
      <c r="DH100" s="282" t="e">
        <f t="shared" si="68"/>
        <v>#VALUE!</v>
      </c>
      <c r="DI100" s="43">
        <f>IF($DM$26,MIN(Age,'All Options'!$E$21)+A99,IF($DN$26,(Age+A99)-Age+60,IF($DO$26,(Age+A99)-Age+55,Age+A99)))</f>
        <v>60</v>
      </c>
      <c r="DJ100" s="279">
        <f>IF($DM$26,MIN(Age+A100,'All Options'!$E$21+A100),IF($DN$26,(Age+A100)-(Age+$A$27)+60,IF($DO$26,(Age+A100)-(Age+$A$27)+55,Age+A100)))</f>
        <v>60</v>
      </c>
      <c r="DP100" s="43">
        <f t="shared" si="88"/>
        <v>0</v>
      </c>
      <c r="DQ100" s="43">
        <f>IFERROR(VLOOKUP(IF(A100&lt;=DP,DJ100,DI100),SSV!$K$6:$L$91,2,FALSE)*SUM($B$27:B100),0)*($DQ$25)</f>
        <v>0</v>
      </c>
      <c r="DR100" s="43">
        <f>IFERROR(VLOOKUP(IF(A100&lt;=DP,DJ100,DI100),SSV!$O$6:$P$95,2,FALSE)*SUM($B$27:B100),0)*($DR$25)</f>
        <v>0</v>
      </c>
      <c r="DU100" s="175">
        <f t="shared" si="69"/>
        <v>0</v>
      </c>
    </row>
    <row r="101" spans="1:125" x14ac:dyDescent="0.2">
      <c r="A101" s="146">
        <f t="shared" si="70"/>
        <v>0</v>
      </c>
      <c r="B101" s="670">
        <f>IF(PremiumType="Regular Premium",'All Options'!$E$18*'All Options'!$E$22*(AND(Output!A101&lt;=PPT,A101&gt;=1)),'All Options'!$E$18*(A101=1))</f>
        <v>0</v>
      </c>
      <c r="C101" s="671"/>
      <c r="D101" s="103" t="e">
        <f>((VLOOKUP(CONCATENATE($D$14,$D$15),'All Options'!$AB$36:$AC$47,4,0)*VLOOKUP('All Options'!$E$22,'Valid Data-GPG'!$B$130:$F$134,MATCH('All Options'!$E$17,'Valid Data-GPG'!$B$130:$F$130,0),0)*'All Options'!$E$17)*IF(Select="Deferred Annuity",A101&gt;DP,1)+AE101+AF101*AG101*$AG$21)*(A101&gt;0)</f>
        <v>#N/A</v>
      </c>
      <c r="E101" s="103">
        <v>0</v>
      </c>
      <c r="F101" s="103" t="e">
        <f t="shared" si="71"/>
        <v>#N/A</v>
      </c>
      <c r="G101" s="103">
        <f t="shared" si="55"/>
        <v>0</v>
      </c>
      <c r="H101" s="285">
        <f t="shared" si="72"/>
        <v>0</v>
      </c>
      <c r="I101" s="103">
        <f t="shared" si="73"/>
        <v>0</v>
      </c>
      <c r="K101" s="175" t="str">
        <f t="shared" si="74"/>
        <v/>
      </c>
      <c r="L101" s="175"/>
      <c r="M101" s="175"/>
      <c r="N101" s="175"/>
      <c r="O101" s="175"/>
      <c r="P101" s="175"/>
      <c r="Q101" s="175"/>
      <c r="R101" s="175">
        <f t="shared" si="75"/>
        <v>0</v>
      </c>
      <c r="AB101" s="175" t="e">
        <f>(VLOOKUP(CONCATENATE($D$14,$D$15),'All Options'!$AB$36:$AC$47,4,0)*VLOOKUP('All Options'!$E$22,'Valid Data-GPG'!$B$130:$F$134,MATCH('All Options'!$E$17,'Valid Data-GPG'!$B$130:$F$130,0),0)*'All Options'!$E$17)*IF(Select="Deferred Annuity",A101&gt;DP,1)*(A101&gt;0)</f>
        <v>#N/A</v>
      </c>
      <c r="AC101" s="175">
        <f t="shared" si="56"/>
        <v>0</v>
      </c>
      <c r="AD101" s="175">
        <f>SUM($AC$26:AC101)</f>
        <v>0</v>
      </c>
      <c r="AE101" s="175">
        <f t="shared" si="57"/>
        <v>0</v>
      </c>
      <c r="AF101" s="175">
        <f t="shared" si="58"/>
        <v>0</v>
      </c>
      <c r="AG101" s="175" t="b">
        <f>(SUM($AF$26:AF101)&lt;=$AB$17)</f>
        <v>0</v>
      </c>
      <c r="AY101" s="175"/>
      <c r="AZ101" s="66">
        <f>((MAX((SUM($B$26:C101)+(VLOOKUP($AZ$25,'All Options'!$AB$36:$AC$46,2,0)*VLOOKUP('All Options'!$E$22,'Valid Data-GPG'!$B$130:$F$134,MATCH('All Options'!$E$17,'Valid Data-GPG'!$B$130:$F$130,0),0)*'All Options'!$E$17)*(IF(A101&lt;=DP,A101,0))),105%*SUM($B$26:C101)))*(AND(A101&lt;&gt;0,Output!A101&lt;=DP))+(0)*(A101&gt;DP))*$AZ$21</f>
        <v>0</v>
      </c>
      <c r="BA101" s="175" t="e">
        <f>((MAX((SUM($B$26:C101)+(VLOOKUP($BA$25,'All Options'!$AB$36:$AC$46,2,0)*VLOOKUP('All Options'!$E$22,'Valid Data-GPG'!$B$130:$F$134,MATCH('All Options'!$E$17,'Valid Data-GPG'!$B$130:$F$130,0),0)*'All Options'!$E$17)*(IF(A101&lt;=DP,A101,0))),105%*SUM($B$26:C101)))*(Output!A101&lt;=DP)
+MAX((SUM($B$26:C101)+(VLOOKUP($BA$25,'All Options'!$AB$36:$AC$46,2,0)*VLOOKUP('All Options'!$E$22,'Valid Data-GPG'!$B$130:$F$134,MATCH('All Options'!$E$17,'Valid Data-GPG'!$B$130:$F$130,0),0)*'All Options'!$E$17)*DP-D101*(A101-DP)),SUM($B$26:C101))*(A101&gt;DP))*$BA$21</f>
        <v>#N/A</v>
      </c>
      <c r="BB101" s="175">
        <f>((MAX(($AB$17+(VLOOKUP($BB$25,'All Options'!$AB$36:$AC$46,2,0)*VLOOKUP('All Options'!$E$22,'Valid Data-GPG'!$B$130:$F$134,MATCH('All Options'!$E$17,'Valid Data-GPG'!$B$130:$F$130,0),0)*'All Options'!$E$17)*(IF(A101&lt;=DP,A101,0))),105%*$AB$17))*(Output!A101&lt;=DP)+(0)*(A101&gt;DP))*$BB$21</f>
        <v>0</v>
      </c>
      <c r="BC101" s="175" t="e">
        <f>((MAX(($AB$17+(VLOOKUP($BC$25,'All Options'!$AB$36:$AC$46,2,0)*VLOOKUP('All Options'!$E$22,'Valid Data-GPG'!$B$130:$F$134,MATCH('All Options'!$E$17,'Valid Data-GPG'!$B$130:$F$130,0),0)*'All Options'!$E$17)*(IF(A101&lt;=DP,A101,0))),105%*$AB$17))*(Output!A101&lt;=DP)+
MAX(($AB$17+(VLOOKUP($BC$25,'All Options'!$AB$36:$AC$46,2,0)*VLOOKUP('All Options'!$E$22,'Valid Data-GPG'!$B$130:$F$134,MATCH('All Options'!$E$17,'Valid Data-GPG'!$B$130:$F$130,0),0)*'All Options'!$E$17)*DP-D101*(A101-DP)),$AB$17)*(A101&gt;DP))*$BC$21</f>
        <v>#N/A</v>
      </c>
      <c r="BD101" s="175">
        <f ca="1">IFERROR((MAX(($AB$17+(VLOOKUP($BD$25,'All Options'!$AB$36:$AC$46,2,0)*VLOOKUP('All Options'!$E$22,'Valid Data-GPG'!$B$130:$F$134,MATCH('All Options'!$E$17,'Valid Data-GPG'!$B$130:$F$130,0),0)*'All Options'!$E$17)*(IF(A101&lt;=DP,A101,0))),105%*$AB$17))*(Output!A101&lt;=DP)
+MAX(($AB$17+(VLOOKUP($BD$25,'All Options'!$AB$36:$AC$46,2,0)*VLOOKUP('All Options'!$E$22,'Valid Data-GPG'!$B$130:$F$134,MATCH('All Options'!$E$17,'Valid Data-GPG'!$B$130:$F$130,0),0)*'All Options'!$E$17)*DP-D101*(A101-DP)),$AB$17)*(A101&gt;DP),0)*$BD$21</f>
        <v>0</v>
      </c>
      <c r="BE101" s="66">
        <f>IFERROR((MAX(($AB$17+(VLOOKUP($BE$25,'All Options'!$AB$36:$AC$46,2,0)*VLOOKUP('All Options'!$E$22,'Valid Data-GPG'!$B$130:$F$134,MATCH('All Options'!$E$17,'Valid Data-GPG'!$B$130:$F$130,0),0)*'All Options'!$E$17)*(IF(A101&lt;=DP,A101,0))),105%*$AB$17))*(Output!A101&lt;=DP)
+(MAX($AB$17+(VLOOKUP($BE$25,'All Options'!$AB$36:$AC$46,2,0)*VLOOKUP('All Options'!$E$22,'Valid Data-GPG'!$B$130:$F$134,MATCH('All Options'!$E$17,'Valid Data-GPG'!$B$130:$F$130,0),0)*'All Options'!$E$17)*DP-AB101*(A101-DP),$AB$17)*(MAX(A101&lt;=25,K101&lt;85)))*(A101&gt;DP),0)*$BE$21</f>
        <v>0</v>
      </c>
      <c r="BF101" s="175">
        <f>IFERROR((MAX(($AB$17+(VLOOKUP($BF$25,'All Options'!$AB$36:$AC$46,2,0)*VLOOKUP('All Options'!$E$22,'Valid Data-GPG'!$B$130:$F$134,MATCH('All Options'!$E$17,'Valid Data-GPG'!$B$130:$F$130,0),0)*'All Options'!$E$17)*(IF(A101&lt;=DP,A101,0))),105%*$AB$17))*(Output!A101&lt;=DP)
+(MAX($AB$17+(VLOOKUP($BF$25,'All Options'!$AB$36:$AC$46,2,0)*VLOOKUP('All Options'!$E$22,'Valid Data-GPG'!$B$130:$F$134,MATCH('All Options'!$E$17,'Valid Data-GPG'!$B$130:$F$130,0),0)*'All Options'!$E$17)*DP-AB101*(A101-DP),$AB$17)-SUM($AF$26:AF101)*AG101)*(A101&gt;DP)*AG101,0)*$BF$21</f>
        <v>0</v>
      </c>
      <c r="BG101" s="175">
        <f t="shared" si="76"/>
        <v>0</v>
      </c>
      <c r="BH101" s="182">
        <f t="shared" si="59"/>
        <v>5000000</v>
      </c>
      <c r="BI101" s="175">
        <f t="shared" si="77"/>
        <v>0</v>
      </c>
      <c r="BJ101" s="175">
        <f t="shared" si="78"/>
        <v>0</v>
      </c>
      <c r="BK101" s="175">
        <f t="shared" si="79"/>
        <v>0</v>
      </c>
      <c r="BL101" s="175">
        <f t="shared" si="80"/>
        <v>0</v>
      </c>
      <c r="BM101" s="175">
        <f t="shared" si="81"/>
        <v>0</v>
      </c>
      <c r="BN101" s="175">
        <f t="shared" si="82"/>
        <v>0</v>
      </c>
      <c r="BO101" s="182">
        <f t="shared" si="60"/>
        <v>0</v>
      </c>
      <c r="BP101" s="182">
        <f t="shared" si="61"/>
        <v>0</v>
      </c>
      <c r="BQ101" s="182">
        <f>MAX($AB$17-SUM($AF$26:AF101),0)*$BQ$21</f>
        <v>0</v>
      </c>
      <c r="BS101" s="175">
        <f t="shared" si="62"/>
        <v>0</v>
      </c>
      <c r="BT101" s="175">
        <f>IFERROR(IF(A101&lt;=1,0,VLOOKUP(DP,'Valid Data-GPG'!$A$116:$J$122,MATCH(Output!A101,'Valid Data-GPG'!$A$116:$J$116,0),FALSE)*SUM($B$26:C101))*(A101&lt;=DP),0)*$BT$21</f>
        <v>0</v>
      </c>
      <c r="BU101" s="175">
        <f>IFERROR(IF(A101&lt;=1,0,VLOOKUP(DP,'Valid Data-GPG'!$A$116:$J$122,MATCH(Output!A101,'Valid Data-GPG'!$A$116:$J$116,0),FALSE)*SUM($B$26:C101))*(A101&lt;=DP),0)*$BU$21</f>
        <v>0</v>
      </c>
      <c r="BV101" s="175">
        <f t="shared" si="63"/>
        <v>0</v>
      </c>
      <c r="BW101" s="175">
        <f t="shared" si="64"/>
        <v>0</v>
      </c>
      <c r="BX101" s="175">
        <f t="shared" si="65"/>
        <v>0</v>
      </c>
      <c r="BY101" s="175">
        <f t="shared" si="66"/>
        <v>0</v>
      </c>
      <c r="BZ101" s="175">
        <f t="shared" si="67"/>
        <v>0</v>
      </c>
      <c r="CA101" s="175">
        <f>(INDEX('SV calc_ignore'!$J$10:$J$1341,12*Output!A101-0))*BS101</f>
        <v>0</v>
      </c>
      <c r="CB101" s="175">
        <f t="shared" si="83"/>
        <v>0</v>
      </c>
      <c r="CC101" s="175">
        <f>(INDEX('SV calc_ignore'!$J$10:$J$1341,12*Output!A101-0))*BS101</f>
        <v>0</v>
      </c>
      <c r="CD101" s="175">
        <f t="shared" si="84"/>
        <v>0</v>
      </c>
      <c r="CE101" s="66">
        <f>(INDEX('SV calc_ignore'!$J$10:$J$1341,12*Output!A101-0))*($CE$21)</f>
        <v>0</v>
      </c>
      <c r="CF101" s="175">
        <f t="shared" si="85"/>
        <v>0</v>
      </c>
      <c r="CG101" s="175">
        <f>(INDEX('SV calc_ignore'!$J$10:$J$1341,12*Output!A101-0))*($CG$21)*(A101&gt;1)</f>
        <v>0</v>
      </c>
      <c r="CH101" s="175">
        <f>(INDEX('SV calc_ignore'!$J$10:$J$1341,12*Output!A101-0))*($CH$21)*(A101&gt;1)</f>
        <v>0</v>
      </c>
      <c r="CI101" s="175"/>
      <c r="CJ101" s="66">
        <f>(INDEX('SV calc_ignore'!$J$10:$J$1341,12*Output!A101-0))*($CJ$21)*(A101&gt;1)</f>
        <v>0</v>
      </c>
      <c r="CK101" s="66">
        <f>(INDEX('SV calc_ignore'!$Q$10:$Q$1341,12*Output!A101-0))*(AND(A101&gt;1,R101&lt;20))*($CK$21)</f>
        <v>0</v>
      </c>
      <c r="CL101" s="66">
        <f t="shared" si="86"/>
        <v>0</v>
      </c>
      <c r="CM101" s="175">
        <f>((INDEX('SV calc_ignore'!$J$10:$J$1341,12*Output!A101-0))+(INDEX('SV calc_ignore'!$O$10:$O$1341,12*Output!A101-0))*(A101&lt;'SV calc_ignore'!$Q$5))*(A101&gt;1)*($CM$21)</f>
        <v>0</v>
      </c>
      <c r="CN101" s="175">
        <v>0</v>
      </c>
      <c r="CO101" s="175">
        <f>(INDEX('SV calc_ignore'!$J$10:$J$1341,12*Output!A101-0))*(A101&gt;1)*($CO$21)</f>
        <v>0</v>
      </c>
      <c r="CP101" s="175">
        <v>0</v>
      </c>
      <c r="CQ101" s="175">
        <v>0</v>
      </c>
      <c r="CR101" s="175">
        <v>0</v>
      </c>
      <c r="CS101" s="175">
        <v>0</v>
      </c>
      <c r="CT101" s="175">
        <v>0</v>
      </c>
      <c r="CU101" s="175">
        <v>0</v>
      </c>
      <c r="CV101" s="175">
        <f>(INDEX('SV calc_ignore'!$J$10:$J$1341,12*Output!A101-0))*(A101&gt;1)*($CV$21)</f>
        <v>0</v>
      </c>
      <c r="CW101" s="66">
        <f>((INDEX('SV calc_ignore'!$J$10:$J$1341,12*Output!A101-0))+(INDEX('SV calc_ignore'!$O$10:$O$1351,12*Output!A101-0))*(A101&lt;'SV calc_ignore'!$Q$5))*(A101&gt;1)*($CW$21)</f>
        <v>0</v>
      </c>
      <c r="CX101" s="175">
        <f>(INDEX('SV calc_ignore'!$J$10:$J$1341,12*Output!A101-0))*(A101&gt;1)*($CX$21)</f>
        <v>0</v>
      </c>
      <c r="CY101" s="175">
        <f>(INDEX('SV calc_ignore'!$Q$10:$Q$1341,12*Output!A101-0))*(AND(A101&gt;1,R101&lt;20))*($CY$21)</f>
        <v>0</v>
      </c>
      <c r="CZ101" s="175">
        <f t="shared" si="87"/>
        <v>0</v>
      </c>
      <c r="DE101" s="43">
        <f>IF($DE$23,0,VLOOKUP(IF(A101&lt;=DP,DJ101,DI101),SSV!$B$6:$C$116,2,FALSE)*VLOOKUP(AnnuityOption,'All Options'!$AB$36:$AC$47,2,FALSE)*VLOOKUP('All Options'!$E$22,'Valid Data-GPG'!$B$130:$F$134,MATCH('All Options'!$E$17,'Valid Data-GPG'!$B$130:$F$130,0),0)*'All Options'!$E$17)*(IF(AND(Select="Deferred Annuity",AnnuityOption="Life Annuity"),A101&lt;=DP,1))</f>
        <v>3274327.0531593515</v>
      </c>
      <c r="DF101" s="43">
        <f>IF($DF$23,0,IF($DQ$25,DQ101,IF($DR$25,DR101,VLOOKUP(IF(A101&lt;=DP,DJ101,DI101),SSV!$G$6:$H$116,2,FALSE)*SUM($B$27:B101))))</f>
        <v>1006161.5</v>
      </c>
      <c r="DG101" s="43" t="e">
        <f>IF(A101&lt;=DP,VLOOKUP(DP-A100,SSV!$T$6:$U$15,2,FALSE),1)</f>
        <v>#N/A</v>
      </c>
      <c r="DH101" s="282" t="e">
        <f t="shared" si="68"/>
        <v>#VALUE!</v>
      </c>
      <c r="DI101" s="43">
        <f>IF($DM$26,MIN(Age,'All Options'!$E$21)+A100,IF($DN$26,(Age+A100)-Age+60,IF($DO$26,(Age+A100)-Age+55,Age+A100)))</f>
        <v>60</v>
      </c>
      <c r="DJ101" s="279">
        <f>IF($DM$26,MIN(Age+A101,'All Options'!$E$21+A101),IF($DN$26,(Age+A101)-(Age+$A$27)+60,IF($DO$26,(Age+A101)-(Age+$A$27)+55,Age+A101)))</f>
        <v>60</v>
      </c>
      <c r="DP101" s="43">
        <f t="shared" si="88"/>
        <v>0</v>
      </c>
      <c r="DQ101" s="43">
        <f>IFERROR(VLOOKUP(IF(A101&lt;=DP,DJ101,DI101),SSV!$K$6:$L$91,2,FALSE)*SUM($B$27:B101),0)*($DQ$25)</f>
        <v>0</v>
      </c>
      <c r="DR101" s="43">
        <f>IFERROR(VLOOKUP(IF(A101&lt;=DP,DJ101,DI101),SSV!$O$6:$P$95,2,FALSE)*SUM($B$27:B101),0)*($DR$25)</f>
        <v>0</v>
      </c>
      <c r="DU101" s="175">
        <f t="shared" si="69"/>
        <v>0</v>
      </c>
    </row>
    <row r="102" spans="1:125" x14ac:dyDescent="0.2">
      <c r="A102" s="146">
        <f t="shared" si="70"/>
        <v>0</v>
      </c>
      <c r="B102" s="670">
        <f>IF(PremiumType="Regular Premium",'All Options'!$E$18*'All Options'!$E$22*(AND(Output!A102&lt;=PPT,A102&gt;=1)),'All Options'!$E$18*(A102=1))</f>
        <v>0</v>
      </c>
      <c r="C102" s="671"/>
      <c r="D102" s="103" t="e">
        <f>((VLOOKUP(CONCATENATE($D$14,$D$15),'All Options'!$AB$36:$AC$47,4,0)*VLOOKUP('All Options'!$E$22,'Valid Data-GPG'!$B$130:$F$134,MATCH('All Options'!$E$17,'Valid Data-GPG'!$B$130:$F$130,0),0)*'All Options'!$E$17)*IF(Select="Deferred Annuity",A102&gt;DP,1)+AE102+AF102*AG102*$AG$21)*(A102&gt;0)</f>
        <v>#N/A</v>
      </c>
      <c r="E102" s="103">
        <v>0</v>
      </c>
      <c r="F102" s="103" t="e">
        <f t="shared" si="71"/>
        <v>#N/A</v>
      </c>
      <c r="G102" s="103">
        <f t="shared" si="55"/>
        <v>0</v>
      </c>
      <c r="H102" s="285">
        <f t="shared" si="72"/>
        <v>0</v>
      </c>
      <c r="I102" s="103">
        <f t="shared" si="73"/>
        <v>0</v>
      </c>
      <c r="K102" s="175" t="str">
        <f t="shared" si="74"/>
        <v/>
      </c>
      <c r="L102" s="175"/>
      <c r="M102" s="175"/>
      <c r="N102" s="175"/>
      <c r="O102" s="175"/>
      <c r="P102" s="175"/>
      <c r="Q102" s="175"/>
      <c r="R102" s="175">
        <f t="shared" si="75"/>
        <v>0</v>
      </c>
      <c r="AB102" s="175" t="e">
        <f>(VLOOKUP(CONCATENATE($D$14,$D$15),'All Options'!$AB$36:$AC$47,4,0)*VLOOKUP('All Options'!$E$22,'Valid Data-GPG'!$B$130:$F$134,MATCH('All Options'!$E$17,'Valid Data-GPG'!$B$130:$F$130,0),0)*'All Options'!$E$17)*IF(Select="Deferred Annuity",A102&gt;DP,1)*(A102&gt;0)</f>
        <v>#N/A</v>
      </c>
      <c r="AC102" s="175">
        <f t="shared" si="56"/>
        <v>0</v>
      </c>
      <c r="AD102" s="175">
        <f>SUM($AC$26:AC102)</f>
        <v>0</v>
      </c>
      <c r="AE102" s="175">
        <f t="shared" si="57"/>
        <v>0</v>
      </c>
      <c r="AF102" s="175">
        <f t="shared" si="58"/>
        <v>0</v>
      </c>
      <c r="AG102" s="175" t="b">
        <f>(SUM($AF$26:AF102)&lt;=$AB$17)</f>
        <v>0</v>
      </c>
      <c r="AY102" s="175"/>
      <c r="AZ102" s="66">
        <f>((MAX((SUM($B$26:C102)+(VLOOKUP($AZ$25,'All Options'!$AB$36:$AC$46,2,0)*VLOOKUP('All Options'!$E$22,'Valid Data-GPG'!$B$130:$F$134,MATCH('All Options'!$E$17,'Valid Data-GPG'!$B$130:$F$130,0),0)*'All Options'!$E$17)*(IF(A102&lt;=DP,A102,0))),105%*SUM($B$26:C102)))*(AND(A102&lt;&gt;0,Output!A102&lt;=DP))+(0)*(A102&gt;DP))*$AZ$21</f>
        <v>0</v>
      </c>
      <c r="BA102" s="175" t="e">
        <f>((MAX((SUM($B$26:C102)+(VLOOKUP($BA$25,'All Options'!$AB$36:$AC$46,2,0)*VLOOKUP('All Options'!$E$22,'Valid Data-GPG'!$B$130:$F$134,MATCH('All Options'!$E$17,'Valid Data-GPG'!$B$130:$F$130,0),0)*'All Options'!$E$17)*(IF(A102&lt;=DP,A102,0))),105%*SUM($B$26:C102)))*(Output!A102&lt;=DP)
+MAX((SUM($B$26:C102)+(VLOOKUP($BA$25,'All Options'!$AB$36:$AC$46,2,0)*VLOOKUP('All Options'!$E$22,'Valid Data-GPG'!$B$130:$F$134,MATCH('All Options'!$E$17,'Valid Data-GPG'!$B$130:$F$130,0),0)*'All Options'!$E$17)*DP-D102*(A102-DP)),SUM($B$26:C102))*(A102&gt;DP))*$BA$21</f>
        <v>#N/A</v>
      </c>
      <c r="BB102" s="175">
        <f>((MAX(($AB$17+(VLOOKUP($BB$25,'All Options'!$AB$36:$AC$46,2,0)*VLOOKUP('All Options'!$E$22,'Valid Data-GPG'!$B$130:$F$134,MATCH('All Options'!$E$17,'Valid Data-GPG'!$B$130:$F$130,0),0)*'All Options'!$E$17)*(IF(A102&lt;=DP,A102,0))),105%*$AB$17))*(Output!A102&lt;=DP)+(0)*(A102&gt;DP))*$BB$21</f>
        <v>0</v>
      </c>
      <c r="BC102" s="175" t="e">
        <f>((MAX(($AB$17+(VLOOKUP($BC$25,'All Options'!$AB$36:$AC$46,2,0)*VLOOKUP('All Options'!$E$22,'Valid Data-GPG'!$B$130:$F$134,MATCH('All Options'!$E$17,'Valid Data-GPG'!$B$130:$F$130,0),0)*'All Options'!$E$17)*(IF(A102&lt;=DP,A102,0))),105%*$AB$17))*(Output!A102&lt;=DP)+
MAX(($AB$17+(VLOOKUP($BC$25,'All Options'!$AB$36:$AC$46,2,0)*VLOOKUP('All Options'!$E$22,'Valid Data-GPG'!$B$130:$F$134,MATCH('All Options'!$E$17,'Valid Data-GPG'!$B$130:$F$130,0),0)*'All Options'!$E$17)*DP-D102*(A102-DP)),$AB$17)*(A102&gt;DP))*$BC$21</f>
        <v>#N/A</v>
      </c>
      <c r="BD102" s="175">
        <f ca="1">IFERROR((MAX(($AB$17+(VLOOKUP($BD$25,'All Options'!$AB$36:$AC$46,2,0)*VLOOKUP('All Options'!$E$22,'Valid Data-GPG'!$B$130:$F$134,MATCH('All Options'!$E$17,'Valid Data-GPG'!$B$130:$F$130,0),0)*'All Options'!$E$17)*(IF(A102&lt;=DP,A102,0))),105%*$AB$17))*(Output!A102&lt;=DP)
+MAX(($AB$17+(VLOOKUP($BD$25,'All Options'!$AB$36:$AC$46,2,0)*VLOOKUP('All Options'!$E$22,'Valid Data-GPG'!$B$130:$F$134,MATCH('All Options'!$E$17,'Valid Data-GPG'!$B$130:$F$130,0),0)*'All Options'!$E$17)*DP-D102*(A102-DP)),$AB$17)*(A102&gt;DP),0)*$BD$21</f>
        <v>0</v>
      </c>
      <c r="BE102" s="66">
        <f>IFERROR((MAX(($AB$17+(VLOOKUP($BE$25,'All Options'!$AB$36:$AC$46,2,0)*VLOOKUP('All Options'!$E$22,'Valid Data-GPG'!$B$130:$F$134,MATCH('All Options'!$E$17,'Valid Data-GPG'!$B$130:$F$130,0),0)*'All Options'!$E$17)*(IF(A102&lt;=DP,A102,0))),105%*$AB$17))*(Output!A102&lt;=DP)
+(MAX($AB$17+(VLOOKUP($BE$25,'All Options'!$AB$36:$AC$46,2,0)*VLOOKUP('All Options'!$E$22,'Valid Data-GPG'!$B$130:$F$134,MATCH('All Options'!$E$17,'Valid Data-GPG'!$B$130:$F$130,0),0)*'All Options'!$E$17)*DP-AB102*(A102-DP),$AB$17)*(MAX(A102&lt;=25,K102&lt;85)))*(A102&gt;DP),0)*$BE$21</f>
        <v>0</v>
      </c>
      <c r="BF102" s="175">
        <f>IFERROR((MAX(($AB$17+(VLOOKUP($BF$25,'All Options'!$AB$36:$AC$46,2,0)*VLOOKUP('All Options'!$E$22,'Valid Data-GPG'!$B$130:$F$134,MATCH('All Options'!$E$17,'Valid Data-GPG'!$B$130:$F$130,0),0)*'All Options'!$E$17)*(IF(A102&lt;=DP,A102,0))),105%*$AB$17))*(Output!A102&lt;=DP)
+(MAX($AB$17+(VLOOKUP($BF$25,'All Options'!$AB$36:$AC$46,2,0)*VLOOKUP('All Options'!$E$22,'Valid Data-GPG'!$B$130:$F$134,MATCH('All Options'!$E$17,'Valid Data-GPG'!$B$130:$F$130,0),0)*'All Options'!$E$17)*DP-AB102*(A102-DP),$AB$17)-SUM($AF$26:AF102)*AG102)*(A102&gt;DP)*AG102,0)*$BF$21</f>
        <v>0</v>
      </c>
      <c r="BG102" s="175">
        <f t="shared" si="76"/>
        <v>0</v>
      </c>
      <c r="BH102" s="182">
        <f t="shared" si="59"/>
        <v>5000000</v>
      </c>
      <c r="BI102" s="175">
        <f t="shared" si="77"/>
        <v>0</v>
      </c>
      <c r="BJ102" s="175">
        <f t="shared" si="78"/>
        <v>0</v>
      </c>
      <c r="BK102" s="175">
        <f t="shared" si="79"/>
        <v>0</v>
      </c>
      <c r="BL102" s="175">
        <f t="shared" si="80"/>
        <v>0</v>
      </c>
      <c r="BM102" s="175">
        <f t="shared" si="81"/>
        <v>0</v>
      </c>
      <c r="BN102" s="175">
        <f t="shared" si="82"/>
        <v>0</v>
      </c>
      <c r="BO102" s="182">
        <f t="shared" si="60"/>
        <v>0</v>
      </c>
      <c r="BP102" s="182">
        <f t="shared" si="61"/>
        <v>0</v>
      </c>
      <c r="BQ102" s="182">
        <f>MAX($AB$17-SUM($AF$26:AF102),0)*$BQ$21</f>
        <v>0</v>
      </c>
      <c r="BS102" s="175">
        <f t="shared" si="62"/>
        <v>0</v>
      </c>
      <c r="BT102" s="175">
        <f>IFERROR(IF(A102&lt;=1,0,VLOOKUP(DP,'Valid Data-GPG'!$A$116:$J$122,MATCH(Output!A102,'Valid Data-GPG'!$A$116:$J$116,0),FALSE)*SUM($B$26:C102))*(A102&lt;=DP),0)*$BT$21</f>
        <v>0</v>
      </c>
      <c r="BU102" s="175">
        <f>IFERROR(IF(A102&lt;=1,0,VLOOKUP(DP,'Valid Data-GPG'!$A$116:$J$122,MATCH(Output!A102,'Valid Data-GPG'!$A$116:$J$116,0),FALSE)*SUM($B$26:C102))*(A102&lt;=DP),0)*$BU$21</f>
        <v>0</v>
      </c>
      <c r="BV102" s="175">
        <f t="shared" si="63"/>
        <v>0</v>
      </c>
      <c r="BW102" s="175">
        <f t="shared" si="64"/>
        <v>0</v>
      </c>
      <c r="BX102" s="175">
        <f t="shared" si="65"/>
        <v>0</v>
      </c>
      <c r="BY102" s="175">
        <f t="shared" si="66"/>
        <v>0</v>
      </c>
      <c r="BZ102" s="175">
        <f t="shared" si="67"/>
        <v>0</v>
      </c>
      <c r="CA102" s="175">
        <f>(INDEX('SV calc_ignore'!$J$10:$J$1341,12*Output!A102-0))*BS102</f>
        <v>0</v>
      </c>
      <c r="CB102" s="175">
        <f t="shared" si="83"/>
        <v>0</v>
      </c>
      <c r="CC102" s="175">
        <f>(INDEX('SV calc_ignore'!$J$10:$J$1341,12*Output!A102-0))*BS102</f>
        <v>0</v>
      </c>
      <c r="CD102" s="175">
        <f t="shared" si="84"/>
        <v>0</v>
      </c>
      <c r="CE102" s="66">
        <f>(INDEX('SV calc_ignore'!$J$10:$J$1341,12*Output!A102-0))*($CE$21)</f>
        <v>0</v>
      </c>
      <c r="CF102" s="175">
        <f t="shared" si="85"/>
        <v>0</v>
      </c>
      <c r="CG102" s="175">
        <f>(INDEX('SV calc_ignore'!$J$10:$J$1341,12*Output!A102-0))*($CG$21)*(A102&gt;1)</f>
        <v>0</v>
      </c>
      <c r="CH102" s="175">
        <f>(INDEX('SV calc_ignore'!$J$10:$J$1341,12*Output!A102-0))*($CH$21)*(A102&gt;1)</f>
        <v>0</v>
      </c>
      <c r="CI102" s="175"/>
      <c r="CJ102" s="66">
        <f>(INDEX('SV calc_ignore'!$J$10:$J$1341,12*Output!A102-0))*($CJ$21)*(A102&gt;1)</f>
        <v>0</v>
      </c>
      <c r="CK102" s="66">
        <f>(INDEX('SV calc_ignore'!$Q$10:$Q$1341,12*Output!A102-0))*(AND(A102&gt;1,R102&lt;20))*($CK$21)</f>
        <v>0</v>
      </c>
      <c r="CL102" s="66">
        <f t="shared" si="86"/>
        <v>0</v>
      </c>
      <c r="CM102" s="175">
        <f>((INDEX('SV calc_ignore'!$J$10:$J$1341,12*Output!A102-0))+(INDEX('SV calc_ignore'!$O$10:$O$1341,12*Output!A102-0))*(A102&lt;'SV calc_ignore'!$Q$5))*(A102&gt;1)*($CM$21)</f>
        <v>0</v>
      </c>
      <c r="CN102" s="175">
        <v>0</v>
      </c>
      <c r="CO102" s="175">
        <f>(INDEX('SV calc_ignore'!$J$10:$J$1341,12*Output!A102-0))*(A102&gt;1)*($CO$21)</f>
        <v>0</v>
      </c>
      <c r="CP102" s="175">
        <v>0</v>
      </c>
      <c r="CQ102" s="175">
        <v>0</v>
      </c>
      <c r="CR102" s="175">
        <v>0</v>
      </c>
      <c r="CS102" s="175">
        <v>0</v>
      </c>
      <c r="CT102" s="175">
        <v>0</v>
      </c>
      <c r="CU102" s="175">
        <v>0</v>
      </c>
      <c r="CV102" s="175">
        <f>(INDEX('SV calc_ignore'!$J$10:$J$1341,12*Output!A102-0))*(A102&gt;1)*($CV$21)</f>
        <v>0</v>
      </c>
      <c r="CW102" s="66">
        <f>((INDEX('SV calc_ignore'!$J$10:$J$1341,12*Output!A102-0))+(INDEX('SV calc_ignore'!$O$10:$O$1351,12*Output!A102-0))*(A102&lt;'SV calc_ignore'!$Q$5))*(A102&gt;1)*($CW$21)</f>
        <v>0</v>
      </c>
      <c r="CX102" s="175">
        <f>(INDEX('SV calc_ignore'!$J$10:$J$1341,12*Output!A102-0))*(A102&gt;1)*($CX$21)</f>
        <v>0</v>
      </c>
      <c r="CY102" s="175">
        <f>(INDEX('SV calc_ignore'!$Q$10:$Q$1341,12*Output!A102-0))*(AND(A102&gt;1,R102&lt;20))*($CY$21)</f>
        <v>0</v>
      </c>
      <c r="CZ102" s="175">
        <f t="shared" si="87"/>
        <v>0</v>
      </c>
      <c r="DE102" s="43">
        <f>IF($DE$23,0,VLOOKUP(IF(A102&lt;=DP,DJ102,DI102),SSV!$B$6:$C$116,2,FALSE)*VLOOKUP(AnnuityOption,'All Options'!$AB$36:$AC$47,2,FALSE)*VLOOKUP('All Options'!$E$22,'Valid Data-GPG'!$B$130:$F$134,MATCH('All Options'!$E$17,'Valid Data-GPG'!$B$130:$F$130,0),0)*'All Options'!$E$17)*(IF(AND(Select="Deferred Annuity",AnnuityOption="Life Annuity"),A102&lt;=DP,1))</f>
        <v>3274327.0531593515</v>
      </c>
      <c r="DF102" s="43">
        <f>IF($DF$23,0,IF($DQ$25,DQ102,IF($DR$25,DR102,VLOOKUP(IF(A102&lt;=DP,DJ102,DI102),SSV!$G$6:$H$116,2,FALSE)*SUM($B$27:B102))))</f>
        <v>1006161.5</v>
      </c>
      <c r="DG102" s="43" t="e">
        <f>IF(A102&lt;=DP,VLOOKUP(DP-A101,SSV!$T$6:$U$15,2,FALSE),1)</f>
        <v>#N/A</v>
      </c>
      <c r="DH102" s="282" t="e">
        <f t="shared" si="68"/>
        <v>#VALUE!</v>
      </c>
      <c r="DI102" s="43">
        <f>IF($DM$26,MIN(Age,'All Options'!$E$21)+A101,IF($DN$26,(Age+A101)-Age+60,IF($DO$26,(Age+A101)-Age+55,Age+A101)))</f>
        <v>60</v>
      </c>
      <c r="DJ102" s="279">
        <f>IF($DM$26,MIN(Age+A102,'All Options'!$E$21+A102),IF($DN$26,(Age+A102)-(Age+$A$27)+60,IF($DO$26,(Age+A102)-(Age+$A$27)+55,Age+A102)))</f>
        <v>60</v>
      </c>
      <c r="DP102" s="43">
        <f t="shared" si="88"/>
        <v>0</v>
      </c>
      <c r="DQ102" s="43">
        <f>IFERROR(VLOOKUP(IF(A102&lt;=DP,DJ102,DI102),SSV!$K$6:$L$91,2,FALSE)*SUM($B$27:B102),0)*($DQ$25)</f>
        <v>0</v>
      </c>
      <c r="DR102" s="43">
        <f>IFERROR(VLOOKUP(IF(A102&lt;=DP,DJ102,DI102),SSV!$O$6:$P$95,2,FALSE)*SUM($B$27:B102),0)*($DR$25)</f>
        <v>0</v>
      </c>
      <c r="DU102" s="175">
        <f t="shared" si="69"/>
        <v>0</v>
      </c>
    </row>
    <row r="103" spans="1:125" x14ac:dyDescent="0.2">
      <c r="A103" s="146">
        <f t="shared" si="70"/>
        <v>0</v>
      </c>
      <c r="B103" s="670">
        <f>IF(PremiumType="Regular Premium",'All Options'!$E$18*'All Options'!$E$22*(AND(Output!A103&lt;=PPT,A103&gt;=1)),'All Options'!$E$18*(A103=1))</f>
        <v>0</v>
      </c>
      <c r="C103" s="671"/>
      <c r="D103" s="103" t="e">
        <f>((VLOOKUP(CONCATENATE($D$14,$D$15),'All Options'!$AB$36:$AC$47,4,0)*VLOOKUP('All Options'!$E$22,'Valid Data-GPG'!$B$130:$F$134,MATCH('All Options'!$E$17,'Valid Data-GPG'!$B$130:$F$130,0),0)*'All Options'!$E$17)*IF(Select="Deferred Annuity",A103&gt;DP,1)+AE103+AF103*AG103*$AG$21)*(A103&gt;0)</f>
        <v>#N/A</v>
      </c>
      <c r="E103" s="103">
        <v>0</v>
      </c>
      <c r="F103" s="103" t="e">
        <f t="shared" si="71"/>
        <v>#N/A</v>
      </c>
      <c r="G103" s="103">
        <f t="shared" si="55"/>
        <v>0</v>
      </c>
      <c r="H103" s="285">
        <f t="shared" si="72"/>
        <v>0</v>
      </c>
      <c r="I103" s="103">
        <f t="shared" si="73"/>
        <v>0</v>
      </c>
      <c r="K103" s="175" t="str">
        <f t="shared" si="74"/>
        <v/>
      </c>
      <c r="L103" s="175"/>
      <c r="M103" s="175"/>
      <c r="N103" s="175"/>
      <c r="O103" s="175"/>
      <c r="P103" s="175"/>
      <c r="Q103" s="175"/>
      <c r="R103" s="175">
        <f t="shared" si="75"/>
        <v>0</v>
      </c>
      <c r="AB103" s="175" t="e">
        <f>(VLOOKUP(CONCATENATE($D$14,$D$15),'All Options'!$AB$36:$AC$47,4,0)*VLOOKUP('All Options'!$E$22,'Valid Data-GPG'!$B$130:$F$134,MATCH('All Options'!$E$17,'Valid Data-GPG'!$B$130:$F$130,0),0)*'All Options'!$E$17)*IF(Select="Deferred Annuity",A103&gt;DP,1)*(A103&gt;0)</f>
        <v>#N/A</v>
      </c>
      <c r="AC103" s="175">
        <f t="shared" si="56"/>
        <v>0</v>
      </c>
      <c r="AD103" s="175">
        <f>SUM($AC$26:AC103)</f>
        <v>0</v>
      </c>
      <c r="AE103" s="175">
        <f t="shared" si="57"/>
        <v>0</v>
      </c>
      <c r="AF103" s="175">
        <f t="shared" si="58"/>
        <v>0</v>
      </c>
      <c r="AG103" s="175" t="b">
        <f>(SUM($AF$26:AF103)&lt;=$AB$17)</f>
        <v>0</v>
      </c>
      <c r="AY103" s="175"/>
      <c r="AZ103" s="66">
        <f>((MAX((SUM($B$26:C103)+(VLOOKUP($AZ$25,'All Options'!$AB$36:$AC$46,2,0)*VLOOKUP('All Options'!$E$22,'Valid Data-GPG'!$B$130:$F$134,MATCH('All Options'!$E$17,'Valid Data-GPG'!$B$130:$F$130,0),0)*'All Options'!$E$17)*(IF(A103&lt;=DP,A103,0))),105%*SUM($B$26:C103)))*(AND(A103&lt;&gt;0,Output!A103&lt;=DP))+(0)*(A103&gt;DP))*$AZ$21</f>
        <v>0</v>
      </c>
      <c r="BA103" s="175" t="e">
        <f>((MAX((SUM($B$26:C103)+(VLOOKUP($BA$25,'All Options'!$AB$36:$AC$46,2,0)*VLOOKUP('All Options'!$E$22,'Valid Data-GPG'!$B$130:$F$134,MATCH('All Options'!$E$17,'Valid Data-GPG'!$B$130:$F$130,0),0)*'All Options'!$E$17)*(IF(A103&lt;=DP,A103,0))),105%*SUM($B$26:C103)))*(Output!A103&lt;=DP)
+MAX((SUM($B$26:C103)+(VLOOKUP($BA$25,'All Options'!$AB$36:$AC$46,2,0)*VLOOKUP('All Options'!$E$22,'Valid Data-GPG'!$B$130:$F$134,MATCH('All Options'!$E$17,'Valid Data-GPG'!$B$130:$F$130,0),0)*'All Options'!$E$17)*DP-D103*(A103-DP)),SUM($B$26:C103))*(A103&gt;DP))*$BA$21</f>
        <v>#N/A</v>
      </c>
      <c r="BB103" s="175">
        <f>((MAX(($AB$17+(VLOOKUP($BB$25,'All Options'!$AB$36:$AC$46,2,0)*VLOOKUP('All Options'!$E$22,'Valid Data-GPG'!$B$130:$F$134,MATCH('All Options'!$E$17,'Valid Data-GPG'!$B$130:$F$130,0),0)*'All Options'!$E$17)*(IF(A103&lt;=DP,A103,0))),105%*$AB$17))*(Output!A103&lt;=DP)+(0)*(A103&gt;DP))*$BB$21</f>
        <v>0</v>
      </c>
      <c r="BC103" s="175" t="e">
        <f>((MAX(($AB$17+(VLOOKUP($BC$25,'All Options'!$AB$36:$AC$46,2,0)*VLOOKUP('All Options'!$E$22,'Valid Data-GPG'!$B$130:$F$134,MATCH('All Options'!$E$17,'Valid Data-GPG'!$B$130:$F$130,0),0)*'All Options'!$E$17)*(IF(A103&lt;=DP,A103,0))),105%*$AB$17))*(Output!A103&lt;=DP)+
MAX(($AB$17+(VLOOKUP($BC$25,'All Options'!$AB$36:$AC$46,2,0)*VLOOKUP('All Options'!$E$22,'Valid Data-GPG'!$B$130:$F$134,MATCH('All Options'!$E$17,'Valid Data-GPG'!$B$130:$F$130,0),0)*'All Options'!$E$17)*DP-D103*(A103-DP)),$AB$17)*(A103&gt;DP))*$BC$21</f>
        <v>#N/A</v>
      </c>
      <c r="BD103" s="175">
        <f ca="1">IFERROR((MAX(($AB$17+(VLOOKUP($BD$25,'All Options'!$AB$36:$AC$46,2,0)*VLOOKUP('All Options'!$E$22,'Valid Data-GPG'!$B$130:$F$134,MATCH('All Options'!$E$17,'Valid Data-GPG'!$B$130:$F$130,0),0)*'All Options'!$E$17)*(IF(A103&lt;=DP,A103,0))),105%*$AB$17))*(Output!A103&lt;=DP)
+MAX(($AB$17+(VLOOKUP($BD$25,'All Options'!$AB$36:$AC$46,2,0)*VLOOKUP('All Options'!$E$22,'Valid Data-GPG'!$B$130:$F$134,MATCH('All Options'!$E$17,'Valid Data-GPG'!$B$130:$F$130,0),0)*'All Options'!$E$17)*DP-D103*(A103-DP)),$AB$17)*(A103&gt;DP),0)*$BD$21</f>
        <v>0</v>
      </c>
      <c r="BE103" s="66">
        <f>IFERROR((MAX(($AB$17+(VLOOKUP($BE$25,'All Options'!$AB$36:$AC$46,2,0)*VLOOKUP('All Options'!$E$22,'Valid Data-GPG'!$B$130:$F$134,MATCH('All Options'!$E$17,'Valid Data-GPG'!$B$130:$F$130,0),0)*'All Options'!$E$17)*(IF(A103&lt;=DP,A103,0))),105%*$AB$17))*(Output!A103&lt;=DP)
+(MAX($AB$17+(VLOOKUP($BE$25,'All Options'!$AB$36:$AC$46,2,0)*VLOOKUP('All Options'!$E$22,'Valid Data-GPG'!$B$130:$F$134,MATCH('All Options'!$E$17,'Valid Data-GPG'!$B$130:$F$130,0),0)*'All Options'!$E$17)*DP-AB103*(A103-DP),$AB$17)*(MAX(A103&lt;=25,K103&lt;85)))*(A103&gt;DP),0)*$BE$21</f>
        <v>0</v>
      </c>
      <c r="BF103" s="175">
        <f>IFERROR((MAX(($AB$17+(VLOOKUP($BF$25,'All Options'!$AB$36:$AC$46,2,0)*VLOOKUP('All Options'!$E$22,'Valid Data-GPG'!$B$130:$F$134,MATCH('All Options'!$E$17,'Valid Data-GPG'!$B$130:$F$130,0),0)*'All Options'!$E$17)*(IF(A103&lt;=DP,A103,0))),105%*$AB$17))*(Output!A103&lt;=DP)
+(MAX($AB$17+(VLOOKUP($BF$25,'All Options'!$AB$36:$AC$46,2,0)*VLOOKUP('All Options'!$E$22,'Valid Data-GPG'!$B$130:$F$134,MATCH('All Options'!$E$17,'Valid Data-GPG'!$B$130:$F$130,0),0)*'All Options'!$E$17)*DP-AB103*(A103-DP),$AB$17)-SUM($AF$26:AF103)*AG103)*(A103&gt;DP)*AG103,0)*$BF$21</f>
        <v>0</v>
      </c>
      <c r="BG103" s="175">
        <f t="shared" si="76"/>
        <v>0</v>
      </c>
      <c r="BH103" s="182">
        <f t="shared" si="59"/>
        <v>5000000</v>
      </c>
      <c r="BI103" s="175">
        <f t="shared" si="77"/>
        <v>0</v>
      </c>
      <c r="BJ103" s="175">
        <f t="shared" si="78"/>
        <v>0</v>
      </c>
      <c r="BK103" s="175">
        <f t="shared" si="79"/>
        <v>0</v>
      </c>
      <c r="BL103" s="175">
        <f t="shared" si="80"/>
        <v>0</v>
      </c>
      <c r="BM103" s="175">
        <f t="shared" si="81"/>
        <v>0</v>
      </c>
      <c r="BN103" s="175">
        <f t="shared" si="82"/>
        <v>0</v>
      </c>
      <c r="BO103" s="182">
        <f t="shared" si="60"/>
        <v>0</v>
      </c>
      <c r="BP103" s="182">
        <f t="shared" si="61"/>
        <v>0</v>
      </c>
      <c r="BQ103" s="182">
        <f>MAX($AB$17-SUM($AF$26:AF103),0)*$BQ$21</f>
        <v>0</v>
      </c>
      <c r="BS103" s="175">
        <f t="shared" si="62"/>
        <v>0</v>
      </c>
      <c r="BT103" s="175">
        <f>IFERROR(IF(A103&lt;=1,0,VLOOKUP(DP,'Valid Data-GPG'!$A$116:$J$122,MATCH(Output!A103,'Valid Data-GPG'!$A$116:$J$116,0),FALSE)*SUM($B$26:C103))*(A103&lt;=DP),0)*$BT$21</f>
        <v>0</v>
      </c>
      <c r="BU103" s="175">
        <f>IFERROR(IF(A103&lt;=1,0,VLOOKUP(DP,'Valid Data-GPG'!$A$116:$J$122,MATCH(Output!A103,'Valid Data-GPG'!$A$116:$J$116,0),FALSE)*SUM($B$26:C103))*(A103&lt;=DP),0)*$BU$21</f>
        <v>0</v>
      </c>
      <c r="BV103" s="175">
        <f t="shared" si="63"/>
        <v>0</v>
      </c>
      <c r="BW103" s="175">
        <f t="shared" si="64"/>
        <v>0</v>
      </c>
      <c r="BX103" s="175">
        <f t="shared" si="65"/>
        <v>0</v>
      </c>
      <c r="BY103" s="175">
        <f t="shared" si="66"/>
        <v>0</v>
      </c>
      <c r="BZ103" s="175">
        <f t="shared" si="67"/>
        <v>0</v>
      </c>
      <c r="CA103" s="175">
        <f>(INDEX('SV calc_ignore'!$J$10:$J$1341,12*Output!A103-0))*BS103</f>
        <v>0</v>
      </c>
      <c r="CB103" s="175">
        <f t="shared" si="83"/>
        <v>0</v>
      </c>
      <c r="CC103" s="175">
        <f>(INDEX('SV calc_ignore'!$J$10:$J$1341,12*Output!A103-0))*BS103</f>
        <v>0</v>
      </c>
      <c r="CD103" s="175">
        <f t="shared" si="84"/>
        <v>0</v>
      </c>
      <c r="CE103" s="66">
        <f>(INDEX('SV calc_ignore'!$J$10:$J$1341,12*Output!A103-0))*($CE$21)</f>
        <v>0</v>
      </c>
      <c r="CF103" s="175">
        <f t="shared" si="85"/>
        <v>0</v>
      </c>
      <c r="CG103" s="175">
        <f>(INDEX('SV calc_ignore'!$J$10:$J$1341,12*Output!A103-0))*($CG$21)*(A103&gt;1)</f>
        <v>0</v>
      </c>
      <c r="CH103" s="175">
        <f>(INDEX('SV calc_ignore'!$J$10:$J$1341,12*Output!A103-0))*($CH$21)*(A103&gt;1)</f>
        <v>0</v>
      </c>
      <c r="CI103" s="175"/>
      <c r="CJ103" s="66">
        <f>(INDEX('SV calc_ignore'!$J$10:$J$1341,12*Output!A103-0))*($CJ$21)*(A103&gt;1)</f>
        <v>0</v>
      </c>
      <c r="CK103" s="66">
        <f>(INDEX('SV calc_ignore'!$Q$10:$Q$1341,12*Output!A103-0))*(AND(A103&gt;1,R103&lt;20))*($CK$21)</f>
        <v>0</v>
      </c>
      <c r="CL103" s="66">
        <f t="shared" si="86"/>
        <v>0</v>
      </c>
      <c r="CM103" s="175">
        <f>((INDEX('SV calc_ignore'!$J$10:$J$1341,12*Output!A103-0))+(INDEX('SV calc_ignore'!$O$10:$O$1341,12*Output!A103-0))*(A103&lt;'SV calc_ignore'!$Q$5))*(A103&gt;1)*($CM$21)</f>
        <v>0</v>
      </c>
      <c r="CN103" s="175">
        <v>0</v>
      </c>
      <c r="CO103" s="175">
        <f>(INDEX('SV calc_ignore'!$J$10:$J$1341,12*Output!A103-0))*(A103&gt;1)*($CO$21)</f>
        <v>0</v>
      </c>
      <c r="CP103" s="175">
        <v>0</v>
      </c>
      <c r="CQ103" s="175">
        <v>0</v>
      </c>
      <c r="CR103" s="175">
        <v>0</v>
      </c>
      <c r="CS103" s="175">
        <v>0</v>
      </c>
      <c r="CT103" s="175">
        <v>0</v>
      </c>
      <c r="CU103" s="175">
        <v>0</v>
      </c>
      <c r="CV103" s="175">
        <f>(INDEX('SV calc_ignore'!$J$10:$J$1341,12*Output!A103-0))*(A103&gt;1)*($CV$21)</f>
        <v>0</v>
      </c>
      <c r="CW103" s="66">
        <f>((INDEX('SV calc_ignore'!$J$10:$J$1341,12*Output!A103-0))+(INDEX('SV calc_ignore'!$O$10:$O$1351,12*Output!A103-0))*(A103&lt;'SV calc_ignore'!$Q$5))*(A103&gt;1)*($CW$21)</f>
        <v>0</v>
      </c>
      <c r="CX103" s="175">
        <f>(INDEX('SV calc_ignore'!$J$10:$J$1341,12*Output!A103-0))*(A103&gt;1)*($CX$21)</f>
        <v>0</v>
      </c>
      <c r="CY103" s="175">
        <f>(INDEX('SV calc_ignore'!$Q$10:$Q$1341,12*Output!A103-0))*(AND(A103&gt;1,R103&lt;20))*($CY$21)</f>
        <v>0</v>
      </c>
      <c r="CZ103" s="175">
        <f t="shared" si="87"/>
        <v>0</v>
      </c>
      <c r="DE103" s="43">
        <f>IF($DE$23,0,VLOOKUP(IF(A103&lt;=DP,DJ103,DI103),SSV!$B$6:$C$116,2,FALSE)*VLOOKUP(AnnuityOption,'All Options'!$AB$36:$AC$47,2,FALSE)*VLOOKUP('All Options'!$E$22,'Valid Data-GPG'!$B$130:$F$134,MATCH('All Options'!$E$17,'Valid Data-GPG'!$B$130:$F$130,0),0)*'All Options'!$E$17)*(IF(AND(Select="Deferred Annuity",AnnuityOption="Life Annuity"),A103&lt;=DP,1))</f>
        <v>3274327.0531593515</v>
      </c>
      <c r="DF103" s="43">
        <f>IF($DF$23,0,IF($DQ$25,DQ103,IF($DR$25,DR103,VLOOKUP(IF(A103&lt;=DP,DJ103,DI103),SSV!$G$6:$H$116,2,FALSE)*SUM($B$27:B103))))</f>
        <v>1006161.5</v>
      </c>
      <c r="DG103" s="43" t="e">
        <f>IF(A103&lt;=DP,VLOOKUP(DP-A102,SSV!$T$6:$U$15,2,FALSE),1)</f>
        <v>#N/A</v>
      </c>
      <c r="DH103" s="282" t="e">
        <f t="shared" si="68"/>
        <v>#VALUE!</v>
      </c>
      <c r="DI103" s="43">
        <f>IF($DM$26,MIN(Age,'All Options'!$E$21)+A102,IF($DN$26,(Age+A102)-Age+60,IF($DO$26,(Age+A102)-Age+55,Age+A102)))</f>
        <v>60</v>
      </c>
      <c r="DJ103" s="279">
        <f>IF($DM$26,MIN(Age+A103,'All Options'!$E$21+A103),IF($DN$26,(Age+A103)-(Age+$A$27)+60,IF($DO$26,(Age+A103)-(Age+$A$27)+55,Age+A103)))</f>
        <v>60</v>
      </c>
      <c r="DP103" s="43">
        <f t="shared" si="88"/>
        <v>0</v>
      </c>
      <c r="DQ103" s="43">
        <f>IFERROR(VLOOKUP(IF(A103&lt;=DP,DJ103,DI103),SSV!$K$6:$L$91,2,FALSE)*SUM($B$27:B103),0)*($DQ$25)</f>
        <v>0</v>
      </c>
      <c r="DR103" s="43">
        <f>IFERROR(VLOOKUP(IF(A103&lt;=DP,DJ103,DI103),SSV!$O$6:$P$95,2,FALSE)*SUM($B$27:B103),0)*($DR$25)</f>
        <v>0</v>
      </c>
      <c r="DU103" s="175">
        <f t="shared" si="69"/>
        <v>0</v>
      </c>
    </row>
    <row r="104" spans="1:125" x14ac:dyDescent="0.2">
      <c r="A104" s="146">
        <f t="shared" si="70"/>
        <v>0</v>
      </c>
      <c r="B104" s="670">
        <f>IF(PremiumType="Regular Premium",'All Options'!$E$18*'All Options'!$E$22*(AND(Output!A104&lt;=PPT,A104&gt;=1)),'All Options'!$E$18*(A104=1))</f>
        <v>0</v>
      </c>
      <c r="C104" s="671"/>
      <c r="D104" s="103" t="e">
        <f>((VLOOKUP(CONCATENATE($D$14,$D$15),'All Options'!$AB$36:$AC$47,4,0)*VLOOKUP('All Options'!$E$22,'Valid Data-GPG'!$B$130:$F$134,MATCH('All Options'!$E$17,'Valid Data-GPG'!$B$130:$F$130,0),0)*'All Options'!$E$17)*IF(Select="Deferred Annuity",A104&gt;DP,1)+AE104+AF104*AG104*$AG$21)*(A104&gt;0)</f>
        <v>#N/A</v>
      </c>
      <c r="E104" s="103">
        <v>0</v>
      </c>
      <c r="F104" s="103" t="e">
        <f t="shared" si="71"/>
        <v>#N/A</v>
      </c>
      <c r="G104" s="103">
        <f t="shared" si="55"/>
        <v>0</v>
      </c>
      <c r="H104" s="285">
        <f t="shared" si="72"/>
        <v>0</v>
      </c>
      <c r="I104" s="103">
        <f t="shared" si="73"/>
        <v>0</v>
      </c>
      <c r="K104" s="175" t="str">
        <f t="shared" si="74"/>
        <v/>
      </c>
      <c r="L104" s="175"/>
      <c r="M104" s="175"/>
      <c r="N104" s="175"/>
      <c r="O104" s="175"/>
      <c r="P104" s="175"/>
      <c r="Q104" s="175"/>
      <c r="R104" s="175">
        <f t="shared" si="75"/>
        <v>0</v>
      </c>
      <c r="AB104" s="175" t="e">
        <f>(VLOOKUP(CONCATENATE($D$14,$D$15),'All Options'!$AB$36:$AC$47,4,0)*VLOOKUP('All Options'!$E$22,'Valid Data-GPG'!$B$130:$F$134,MATCH('All Options'!$E$17,'Valid Data-GPG'!$B$130:$F$130,0),0)*'All Options'!$E$17)*IF(Select="Deferred Annuity",A104&gt;DP,1)*(A104&gt;0)</f>
        <v>#N/A</v>
      </c>
      <c r="AC104" s="175">
        <f t="shared" si="56"/>
        <v>0</v>
      </c>
      <c r="AD104" s="175">
        <f>SUM($AC$26:AC104)</f>
        <v>0</v>
      </c>
      <c r="AE104" s="175">
        <f t="shared" si="57"/>
        <v>0</v>
      </c>
      <c r="AF104" s="175">
        <f t="shared" si="58"/>
        <v>0</v>
      </c>
      <c r="AG104" s="175" t="b">
        <f>(SUM($AF$26:AF104)&lt;=$AB$17)</f>
        <v>0</v>
      </c>
      <c r="AY104" s="175"/>
      <c r="AZ104" s="66">
        <f>((MAX((SUM($B$26:C104)+(VLOOKUP($AZ$25,'All Options'!$AB$36:$AC$46,2,0)*VLOOKUP('All Options'!$E$22,'Valid Data-GPG'!$B$130:$F$134,MATCH('All Options'!$E$17,'Valid Data-GPG'!$B$130:$F$130,0),0)*'All Options'!$E$17)*(IF(A104&lt;=DP,A104,0))),105%*SUM($B$26:C104)))*(AND(A104&lt;&gt;0,Output!A104&lt;=DP))+(0)*(A104&gt;DP))*$AZ$21</f>
        <v>0</v>
      </c>
      <c r="BA104" s="175" t="e">
        <f>((MAX((SUM($B$26:C104)+(VLOOKUP($BA$25,'All Options'!$AB$36:$AC$46,2,0)*VLOOKUP('All Options'!$E$22,'Valid Data-GPG'!$B$130:$F$134,MATCH('All Options'!$E$17,'Valid Data-GPG'!$B$130:$F$130,0),0)*'All Options'!$E$17)*(IF(A104&lt;=DP,A104,0))),105%*SUM($B$26:C104)))*(Output!A104&lt;=DP)
+MAX((SUM($B$26:C104)+(VLOOKUP($BA$25,'All Options'!$AB$36:$AC$46,2,0)*VLOOKUP('All Options'!$E$22,'Valid Data-GPG'!$B$130:$F$134,MATCH('All Options'!$E$17,'Valid Data-GPG'!$B$130:$F$130,0),0)*'All Options'!$E$17)*DP-D104*(A104-DP)),SUM($B$26:C104))*(A104&gt;DP))*$BA$21</f>
        <v>#N/A</v>
      </c>
      <c r="BB104" s="175">
        <f>((MAX(($AB$17+(VLOOKUP($BB$25,'All Options'!$AB$36:$AC$46,2,0)*VLOOKUP('All Options'!$E$22,'Valid Data-GPG'!$B$130:$F$134,MATCH('All Options'!$E$17,'Valid Data-GPG'!$B$130:$F$130,0),0)*'All Options'!$E$17)*(IF(A104&lt;=DP,A104,0))),105%*$AB$17))*(Output!A104&lt;=DP)+(0)*(A104&gt;DP))*$BB$21</f>
        <v>0</v>
      </c>
      <c r="BC104" s="175" t="e">
        <f>((MAX(($AB$17+(VLOOKUP($BC$25,'All Options'!$AB$36:$AC$46,2,0)*VLOOKUP('All Options'!$E$22,'Valid Data-GPG'!$B$130:$F$134,MATCH('All Options'!$E$17,'Valid Data-GPG'!$B$130:$F$130,0),0)*'All Options'!$E$17)*(IF(A104&lt;=DP,A104,0))),105%*$AB$17))*(Output!A104&lt;=DP)+
MAX(($AB$17+(VLOOKUP($BC$25,'All Options'!$AB$36:$AC$46,2,0)*VLOOKUP('All Options'!$E$22,'Valid Data-GPG'!$B$130:$F$134,MATCH('All Options'!$E$17,'Valid Data-GPG'!$B$130:$F$130,0),0)*'All Options'!$E$17)*DP-D104*(A104-DP)),$AB$17)*(A104&gt;DP))*$BC$21</f>
        <v>#N/A</v>
      </c>
      <c r="BD104" s="175">
        <f ca="1">IFERROR((MAX(($AB$17+(VLOOKUP($BD$25,'All Options'!$AB$36:$AC$46,2,0)*VLOOKUP('All Options'!$E$22,'Valid Data-GPG'!$B$130:$F$134,MATCH('All Options'!$E$17,'Valid Data-GPG'!$B$130:$F$130,0),0)*'All Options'!$E$17)*(IF(A104&lt;=DP,A104,0))),105%*$AB$17))*(Output!A104&lt;=DP)
+MAX(($AB$17+(VLOOKUP($BD$25,'All Options'!$AB$36:$AC$46,2,0)*VLOOKUP('All Options'!$E$22,'Valid Data-GPG'!$B$130:$F$134,MATCH('All Options'!$E$17,'Valid Data-GPG'!$B$130:$F$130,0),0)*'All Options'!$E$17)*DP-D104*(A104-DP)),$AB$17)*(A104&gt;DP),0)*$BD$21</f>
        <v>0</v>
      </c>
      <c r="BE104" s="66">
        <f>IFERROR((MAX(($AB$17+(VLOOKUP($BE$25,'All Options'!$AB$36:$AC$46,2,0)*VLOOKUP('All Options'!$E$22,'Valid Data-GPG'!$B$130:$F$134,MATCH('All Options'!$E$17,'Valid Data-GPG'!$B$130:$F$130,0),0)*'All Options'!$E$17)*(IF(A104&lt;=DP,A104,0))),105%*$AB$17))*(Output!A104&lt;=DP)
+(MAX($AB$17+(VLOOKUP($BE$25,'All Options'!$AB$36:$AC$46,2,0)*VLOOKUP('All Options'!$E$22,'Valid Data-GPG'!$B$130:$F$134,MATCH('All Options'!$E$17,'Valid Data-GPG'!$B$130:$F$130,0),0)*'All Options'!$E$17)*DP-AB104*(A104-DP),$AB$17)*(MAX(A104&lt;=25,K104&lt;85)))*(A104&gt;DP),0)*$BE$21</f>
        <v>0</v>
      </c>
      <c r="BF104" s="175">
        <f>IFERROR((MAX(($AB$17+(VLOOKUP($BF$25,'All Options'!$AB$36:$AC$46,2,0)*VLOOKUP('All Options'!$E$22,'Valid Data-GPG'!$B$130:$F$134,MATCH('All Options'!$E$17,'Valid Data-GPG'!$B$130:$F$130,0),0)*'All Options'!$E$17)*(IF(A104&lt;=DP,A104,0))),105%*$AB$17))*(Output!A104&lt;=DP)
+(MAX($AB$17+(VLOOKUP($BF$25,'All Options'!$AB$36:$AC$46,2,0)*VLOOKUP('All Options'!$E$22,'Valid Data-GPG'!$B$130:$F$134,MATCH('All Options'!$E$17,'Valid Data-GPG'!$B$130:$F$130,0),0)*'All Options'!$E$17)*DP-AB104*(A104-DP),$AB$17)-SUM($AF$26:AF104)*AG104)*(A104&gt;DP)*AG104,0)*$BF$21</f>
        <v>0</v>
      </c>
      <c r="BG104" s="175">
        <f t="shared" si="76"/>
        <v>0</v>
      </c>
      <c r="BH104" s="182">
        <f t="shared" si="59"/>
        <v>5000000</v>
      </c>
      <c r="BI104" s="175">
        <f t="shared" si="77"/>
        <v>0</v>
      </c>
      <c r="BJ104" s="175">
        <f t="shared" si="78"/>
        <v>0</v>
      </c>
      <c r="BK104" s="175">
        <f t="shared" si="79"/>
        <v>0</v>
      </c>
      <c r="BL104" s="175">
        <f t="shared" si="80"/>
        <v>0</v>
      </c>
      <c r="BM104" s="175">
        <f t="shared" si="81"/>
        <v>0</v>
      </c>
      <c r="BN104" s="175">
        <f t="shared" si="82"/>
        <v>0</v>
      </c>
      <c r="BO104" s="182">
        <f t="shared" si="60"/>
        <v>0</v>
      </c>
      <c r="BP104" s="182">
        <f t="shared" si="61"/>
        <v>0</v>
      </c>
      <c r="BQ104" s="182">
        <f>MAX($AB$17-SUM($AF$26:AF104),0)*$BQ$21</f>
        <v>0</v>
      </c>
      <c r="BS104" s="175">
        <f t="shared" si="62"/>
        <v>0</v>
      </c>
      <c r="BT104" s="175">
        <f>IFERROR(IF(A104&lt;=1,0,VLOOKUP(DP,'Valid Data-GPG'!$A$116:$J$122,MATCH(Output!A104,'Valid Data-GPG'!$A$116:$J$116,0),FALSE)*SUM($B$26:C104))*(A104&lt;=DP),0)*$BT$21</f>
        <v>0</v>
      </c>
      <c r="BU104" s="175">
        <f>IFERROR(IF(A104&lt;=1,0,VLOOKUP(DP,'Valid Data-GPG'!$A$116:$J$122,MATCH(Output!A104,'Valid Data-GPG'!$A$116:$J$116,0),FALSE)*SUM($B$26:C104))*(A104&lt;=DP),0)*$BU$21</f>
        <v>0</v>
      </c>
      <c r="BV104" s="175">
        <f t="shared" si="63"/>
        <v>0</v>
      </c>
      <c r="BW104" s="175">
        <f t="shared" si="64"/>
        <v>0</v>
      </c>
      <c r="BX104" s="175">
        <f t="shared" si="65"/>
        <v>0</v>
      </c>
      <c r="BY104" s="175">
        <f t="shared" si="66"/>
        <v>0</v>
      </c>
      <c r="BZ104" s="175">
        <f t="shared" si="67"/>
        <v>0</v>
      </c>
      <c r="CA104" s="175">
        <f>(INDEX('SV calc_ignore'!$J$10:$J$1341,12*Output!A104-0))*BS104</f>
        <v>0</v>
      </c>
      <c r="CB104" s="175">
        <f t="shared" si="83"/>
        <v>0</v>
      </c>
      <c r="CC104" s="175">
        <f>(INDEX('SV calc_ignore'!$J$10:$J$1341,12*Output!A104-0))*BS104</f>
        <v>0</v>
      </c>
      <c r="CD104" s="175">
        <f t="shared" si="84"/>
        <v>0</v>
      </c>
      <c r="CE104" s="66">
        <f>(INDEX('SV calc_ignore'!$J$10:$J$1341,12*Output!A104-0))*($CE$21)</f>
        <v>0</v>
      </c>
      <c r="CF104" s="175">
        <f t="shared" si="85"/>
        <v>0</v>
      </c>
      <c r="CG104" s="175">
        <f>(INDEX('SV calc_ignore'!$J$10:$J$1341,12*Output!A104-0))*($CG$21)*(A104&gt;1)</f>
        <v>0</v>
      </c>
      <c r="CH104" s="175">
        <f>(INDEX('SV calc_ignore'!$J$10:$J$1341,12*Output!A104-0))*($CH$21)*(A104&gt;1)</f>
        <v>0</v>
      </c>
      <c r="CI104" s="175"/>
      <c r="CJ104" s="66">
        <f>(INDEX('SV calc_ignore'!$J$10:$J$1341,12*Output!A104-0))*($CJ$21)*(A104&gt;1)</f>
        <v>0</v>
      </c>
      <c r="CK104" s="66">
        <f>(INDEX('SV calc_ignore'!$Q$10:$Q$1341,12*Output!A104-0))*(AND(A104&gt;1,R104&lt;20))*($CK$21)</f>
        <v>0</v>
      </c>
      <c r="CL104" s="66">
        <f t="shared" si="86"/>
        <v>0</v>
      </c>
      <c r="CM104" s="175">
        <f>((INDEX('SV calc_ignore'!$J$10:$J$1341,12*Output!A104-0))+(INDEX('SV calc_ignore'!$O$10:$O$1341,12*Output!A104-0))*(A104&lt;'SV calc_ignore'!$Q$5))*(A104&gt;1)*($CM$21)</f>
        <v>0</v>
      </c>
      <c r="CN104" s="175">
        <v>0</v>
      </c>
      <c r="CO104" s="175">
        <f>(INDEX('SV calc_ignore'!$J$10:$J$1341,12*Output!A104-0))*(A104&gt;1)*($CO$21)</f>
        <v>0</v>
      </c>
      <c r="CP104" s="175">
        <v>0</v>
      </c>
      <c r="CQ104" s="175">
        <v>0</v>
      </c>
      <c r="CR104" s="175">
        <v>0</v>
      </c>
      <c r="CS104" s="175">
        <v>0</v>
      </c>
      <c r="CT104" s="175">
        <v>0</v>
      </c>
      <c r="CU104" s="175">
        <v>0</v>
      </c>
      <c r="CV104" s="175">
        <f>(INDEX('SV calc_ignore'!$J$10:$J$1341,12*Output!A104-0))*(A104&gt;1)*($CV$21)</f>
        <v>0</v>
      </c>
      <c r="CW104" s="66">
        <f>((INDEX('SV calc_ignore'!$J$10:$J$1341,12*Output!A104-0))+(INDEX('SV calc_ignore'!$O$10:$O$1351,12*Output!A104-0))*(A104&lt;'SV calc_ignore'!$Q$5))*(A104&gt;1)*($CW$21)</f>
        <v>0</v>
      </c>
      <c r="CX104" s="175">
        <f>(INDEX('SV calc_ignore'!$J$10:$J$1341,12*Output!A104-0))*(A104&gt;1)*($CX$21)</f>
        <v>0</v>
      </c>
      <c r="CY104" s="175">
        <f>(INDEX('SV calc_ignore'!$Q$10:$Q$1341,12*Output!A104-0))*(AND(A104&gt;1,R104&lt;20))*($CY$21)</f>
        <v>0</v>
      </c>
      <c r="CZ104" s="175">
        <f t="shared" si="87"/>
        <v>0</v>
      </c>
      <c r="DE104" s="43">
        <f>IF($DE$23,0,VLOOKUP(IF(A104&lt;=DP,DJ104,DI104),SSV!$B$6:$C$116,2,FALSE)*VLOOKUP(AnnuityOption,'All Options'!$AB$36:$AC$47,2,FALSE)*VLOOKUP('All Options'!$E$22,'Valid Data-GPG'!$B$130:$F$134,MATCH('All Options'!$E$17,'Valid Data-GPG'!$B$130:$F$130,0),0)*'All Options'!$E$17)*(IF(AND(Select="Deferred Annuity",AnnuityOption="Life Annuity"),A104&lt;=DP,1))</f>
        <v>3274327.0531593515</v>
      </c>
      <c r="DF104" s="43">
        <f>IF($DF$23,0,IF($DQ$25,DQ104,IF($DR$25,DR104,VLOOKUP(IF(A104&lt;=DP,DJ104,DI104),SSV!$G$6:$H$116,2,FALSE)*SUM($B$27:B104))))</f>
        <v>1006161.5</v>
      </c>
      <c r="DG104" s="43" t="e">
        <f>IF(A104&lt;=DP,VLOOKUP(DP-A103,SSV!$T$6:$U$15,2,FALSE),1)</f>
        <v>#N/A</v>
      </c>
      <c r="DH104" s="282" t="e">
        <f t="shared" si="68"/>
        <v>#VALUE!</v>
      </c>
      <c r="DI104" s="43">
        <f>IF($DM$26,MIN(Age,'All Options'!$E$21)+A103,IF($DN$26,(Age+A103)-Age+60,IF($DO$26,(Age+A103)-Age+55,Age+A103)))</f>
        <v>60</v>
      </c>
      <c r="DJ104" s="279">
        <f>IF($DM$26,MIN(Age+A104,'All Options'!$E$21+A104),IF($DN$26,(Age+A104)-(Age+$A$27)+60,IF($DO$26,(Age+A104)-(Age+$A$27)+55,Age+A104)))</f>
        <v>60</v>
      </c>
      <c r="DP104" s="43">
        <f t="shared" si="88"/>
        <v>0</v>
      </c>
      <c r="DQ104" s="43">
        <f>IFERROR(VLOOKUP(IF(A104&lt;=DP,DJ104,DI104),SSV!$K$6:$L$91,2,FALSE)*SUM($B$27:B104),0)*($DQ$25)</f>
        <v>0</v>
      </c>
      <c r="DR104" s="43">
        <f>IFERROR(VLOOKUP(IF(A104&lt;=DP,DJ104,DI104),SSV!$O$6:$P$95,2,FALSE)*SUM($B$27:B104),0)*($DR$25)</f>
        <v>0</v>
      </c>
      <c r="DU104" s="175">
        <f t="shared" si="69"/>
        <v>0</v>
      </c>
    </row>
    <row r="105" spans="1:125" x14ac:dyDescent="0.2">
      <c r="A105" s="146">
        <f t="shared" si="70"/>
        <v>0</v>
      </c>
      <c r="B105" s="670">
        <f>IF(PremiumType="Regular Premium",'All Options'!$E$18*'All Options'!$E$22*(AND(Output!A105&lt;=PPT,A105&gt;=1)),'All Options'!$E$18*(A105=1))</f>
        <v>0</v>
      </c>
      <c r="C105" s="671"/>
      <c r="D105" s="103" t="e">
        <f>((VLOOKUP(CONCATENATE($D$14,$D$15),'All Options'!$AB$36:$AC$47,4,0)*VLOOKUP('All Options'!$E$22,'Valid Data-GPG'!$B$130:$F$134,MATCH('All Options'!$E$17,'Valid Data-GPG'!$B$130:$F$130,0),0)*'All Options'!$E$17)*IF(Select="Deferred Annuity",A105&gt;DP,1)+AE105+AF105*AG105*$AG$21)*(A105&gt;0)</f>
        <v>#N/A</v>
      </c>
      <c r="E105" s="103">
        <v>0</v>
      </c>
      <c r="F105" s="103" t="e">
        <f t="shared" si="71"/>
        <v>#N/A</v>
      </c>
      <c r="G105" s="103">
        <f t="shared" si="55"/>
        <v>0</v>
      </c>
      <c r="H105" s="285">
        <f t="shared" si="72"/>
        <v>0</v>
      </c>
      <c r="I105" s="103">
        <f t="shared" si="73"/>
        <v>0</v>
      </c>
      <c r="K105" s="175" t="str">
        <f t="shared" si="74"/>
        <v/>
      </c>
      <c r="L105" s="175"/>
      <c r="M105" s="175"/>
      <c r="N105" s="175"/>
      <c r="O105" s="175"/>
      <c r="P105" s="175"/>
      <c r="Q105" s="175"/>
      <c r="R105" s="175">
        <f t="shared" si="75"/>
        <v>0</v>
      </c>
      <c r="AB105" s="175" t="e">
        <f>(VLOOKUP(CONCATENATE($D$14,$D$15),'All Options'!$AB$36:$AC$47,4,0)*VLOOKUP('All Options'!$E$22,'Valid Data-GPG'!$B$130:$F$134,MATCH('All Options'!$E$17,'Valid Data-GPG'!$B$130:$F$130,0),0)*'All Options'!$E$17)*IF(Select="Deferred Annuity",A105&gt;DP,1)*(A105&gt;0)</f>
        <v>#N/A</v>
      </c>
      <c r="AC105" s="175">
        <f t="shared" si="56"/>
        <v>0</v>
      </c>
      <c r="AD105" s="175">
        <f>SUM($AC$26:AC105)</f>
        <v>0</v>
      </c>
      <c r="AE105" s="175">
        <f t="shared" si="57"/>
        <v>0</v>
      </c>
      <c r="AF105" s="175">
        <f t="shared" si="58"/>
        <v>0</v>
      </c>
      <c r="AG105" s="175" t="b">
        <f>(SUM($AF$26:AF105)&lt;=$AB$17)</f>
        <v>0</v>
      </c>
      <c r="AY105" s="175"/>
      <c r="AZ105" s="66">
        <f>((MAX((SUM($B$26:C105)+(VLOOKUP($AZ$25,'All Options'!$AB$36:$AC$46,2,0)*VLOOKUP('All Options'!$E$22,'Valid Data-GPG'!$B$130:$F$134,MATCH('All Options'!$E$17,'Valid Data-GPG'!$B$130:$F$130,0),0)*'All Options'!$E$17)*(IF(A105&lt;=DP,A105,0))),105%*SUM($B$26:C105)))*(AND(A105&lt;&gt;0,Output!A105&lt;=DP))+(0)*(A105&gt;DP))*$AZ$21</f>
        <v>0</v>
      </c>
      <c r="BA105" s="175" t="e">
        <f>((MAX((SUM($B$26:C105)+(VLOOKUP($BA$25,'All Options'!$AB$36:$AC$46,2,0)*VLOOKUP('All Options'!$E$22,'Valid Data-GPG'!$B$130:$F$134,MATCH('All Options'!$E$17,'Valid Data-GPG'!$B$130:$F$130,0),0)*'All Options'!$E$17)*(IF(A105&lt;=DP,A105,0))),105%*SUM($B$26:C105)))*(Output!A105&lt;=DP)
+MAX((SUM($B$26:C105)+(VLOOKUP($BA$25,'All Options'!$AB$36:$AC$46,2,0)*VLOOKUP('All Options'!$E$22,'Valid Data-GPG'!$B$130:$F$134,MATCH('All Options'!$E$17,'Valid Data-GPG'!$B$130:$F$130,0),0)*'All Options'!$E$17)*DP-D105*(A105-DP)),SUM($B$26:C105))*(A105&gt;DP))*$BA$21</f>
        <v>#N/A</v>
      </c>
      <c r="BB105" s="175">
        <f>((MAX(($AB$17+(VLOOKUP($BB$25,'All Options'!$AB$36:$AC$46,2,0)*VLOOKUP('All Options'!$E$22,'Valid Data-GPG'!$B$130:$F$134,MATCH('All Options'!$E$17,'Valid Data-GPG'!$B$130:$F$130,0),0)*'All Options'!$E$17)*(IF(A105&lt;=DP,A105,0))),105%*$AB$17))*(Output!A105&lt;=DP)+(0)*(A105&gt;DP))*$BB$21</f>
        <v>0</v>
      </c>
      <c r="BC105" s="175" t="e">
        <f>((MAX(($AB$17+(VLOOKUP($BC$25,'All Options'!$AB$36:$AC$46,2,0)*VLOOKUP('All Options'!$E$22,'Valid Data-GPG'!$B$130:$F$134,MATCH('All Options'!$E$17,'Valid Data-GPG'!$B$130:$F$130,0),0)*'All Options'!$E$17)*(IF(A105&lt;=DP,A105,0))),105%*$AB$17))*(Output!A105&lt;=DP)+
MAX(($AB$17+(VLOOKUP($BC$25,'All Options'!$AB$36:$AC$46,2,0)*VLOOKUP('All Options'!$E$22,'Valid Data-GPG'!$B$130:$F$134,MATCH('All Options'!$E$17,'Valid Data-GPG'!$B$130:$F$130,0),0)*'All Options'!$E$17)*DP-D105*(A105-DP)),$AB$17)*(A105&gt;DP))*$BC$21</f>
        <v>#N/A</v>
      </c>
      <c r="BD105" s="175">
        <f ca="1">IFERROR((MAX(($AB$17+(VLOOKUP($BD$25,'All Options'!$AB$36:$AC$46,2,0)*VLOOKUP('All Options'!$E$22,'Valid Data-GPG'!$B$130:$F$134,MATCH('All Options'!$E$17,'Valid Data-GPG'!$B$130:$F$130,0),0)*'All Options'!$E$17)*(IF(A105&lt;=DP,A105,0))),105%*$AB$17))*(Output!A105&lt;=DP)
+MAX(($AB$17+(VLOOKUP($BD$25,'All Options'!$AB$36:$AC$46,2,0)*VLOOKUP('All Options'!$E$22,'Valid Data-GPG'!$B$130:$F$134,MATCH('All Options'!$E$17,'Valid Data-GPG'!$B$130:$F$130,0),0)*'All Options'!$E$17)*DP-D105*(A105-DP)),$AB$17)*(A105&gt;DP),0)*$BD$21</f>
        <v>0</v>
      </c>
      <c r="BE105" s="66">
        <f>IFERROR((MAX(($AB$17+(VLOOKUP($BE$25,'All Options'!$AB$36:$AC$46,2,0)*VLOOKUP('All Options'!$E$22,'Valid Data-GPG'!$B$130:$F$134,MATCH('All Options'!$E$17,'Valid Data-GPG'!$B$130:$F$130,0),0)*'All Options'!$E$17)*(IF(A105&lt;=DP,A105,0))),105%*$AB$17))*(Output!A105&lt;=DP)
+(MAX($AB$17+(VLOOKUP($BE$25,'All Options'!$AB$36:$AC$46,2,0)*VLOOKUP('All Options'!$E$22,'Valid Data-GPG'!$B$130:$F$134,MATCH('All Options'!$E$17,'Valid Data-GPG'!$B$130:$F$130,0),0)*'All Options'!$E$17)*DP-AB105*(A105-DP),$AB$17)*(MAX(A105&lt;=25,K105&lt;85)))*(A105&gt;DP),0)*$BE$21</f>
        <v>0</v>
      </c>
      <c r="BF105" s="175">
        <f>IFERROR((MAX(($AB$17+(VLOOKUP($BF$25,'All Options'!$AB$36:$AC$46,2,0)*VLOOKUP('All Options'!$E$22,'Valid Data-GPG'!$B$130:$F$134,MATCH('All Options'!$E$17,'Valid Data-GPG'!$B$130:$F$130,0),0)*'All Options'!$E$17)*(IF(A105&lt;=DP,A105,0))),105%*$AB$17))*(Output!A105&lt;=DP)
+(MAX($AB$17+(VLOOKUP($BF$25,'All Options'!$AB$36:$AC$46,2,0)*VLOOKUP('All Options'!$E$22,'Valid Data-GPG'!$B$130:$F$134,MATCH('All Options'!$E$17,'Valid Data-GPG'!$B$130:$F$130,0),0)*'All Options'!$E$17)*DP-AB105*(A105-DP),$AB$17)-SUM($AF$26:AF105)*AG105)*(A105&gt;DP)*AG105,0)*$BF$21</f>
        <v>0</v>
      </c>
      <c r="BG105" s="175">
        <f t="shared" si="76"/>
        <v>0</v>
      </c>
      <c r="BH105" s="182">
        <f t="shared" si="59"/>
        <v>5000000</v>
      </c>
      <c r="BI105" s="175">
        <f t="shared" si="77"/>
        <v>0</v>
      </c>
      <c r="BJ105" s="175">
        <f t="shared" si="78"/>
        <v>0</v>
      </c>
      <c r="BK105" s="175">
        <f t="shared" si="79"/>
        <v>0</v>
      </c>
      <c r="BL105" s="175">
        <f t="shared" si="80"/>
        <v>0</v>
      </c>
      <c r="BM105" s="175">
        <f t="shared" si="81"/>
        <v>0</v>
      </c>
      <c r="BN105" s="175">
        <f t="shared" si="82"/>
        <v>0</v>
      </c>
      <c r="BO105" s="182">
        <f t="shared" si="60"/>
        <v>0</v>
      </c>
      <c r="BP105" s="182">
        <f t="shared" si="61"/>
        <v>0</v>
      </c>
      <c r="BQ105" s="182">
        <f>MAX($AB$17-SUM($AF$26:AF105),0)*$BQ$21</f>
        <v>0</v>
      </c>
      <c r="BS105" s="175">
        <f t="shared" si="62"/>
        <v>0</v>
      </c>
      <c r="BT105" s="175">
        <f>IFERROR(IF(A105&lt;=1,0,VLOOKUP(DP,'Valid Data-GPG'!$A$116:$J$122,MATCH(Output!A105,'Valid Data-GPG'!$A$116:$J$116,0),FALSE)*SUM($B$26:C105))*(A105&lt;=DP),0)*$BT$21</f>
        <v>0</v>
      </c>
      <c r="BU105" s="175">
        <f>IFERROR(IF(A105&lt;=1,0,VLOOKUP(DP,'Valid Data-GPG'!$A$116:$J$122,MATCH(Output!A105,'Valid Data-GPG'!$A$116:$J$116,0),FALSE)*SUM($B$26:C105))*(A105&lt;=DP),0)*$BU$21</f>
        <v>0</v>
      </c>
      <c r="BV105" s="175">
        <f t="shared" si="63"/>
        <v>0</v>
      </c>
      <c r="BW105" s="175">
        <f t="shared" si="64"/>
        <v>0</v>
      </c>
      <c r="BX105" s="175">
        <f t="shared" si="65"/>
        <v>0</v>
      </c>
      <c r="BY105" s="175">
        <f t="shared" si="66"/>
        <v>0</v>
      </c>
      <c r="BZ105" s="175">
        <f t="shared" si="67"/>
        <v>0</v>
      </c>
      <c r="CA105" s="175">
        <f>(INDEX('SV calc_ignore'!$J$10:$J$1341,12*Output!A105-0))*BS105</f>
        <v>0</v>
      </c>
      <c r="CB105" s="175">
        <f t="shared" si="83"/>
        <v>0</v>
      </c>
      <c r="CC105" s="175">
        <f>(INDEX('SV calc_ignore'!$J$10:$J$1341,12*Output!A105-0))*BS105</f>
        <v>0</v>
      </c>
      <c r="CD105" s="175">
        <f t="shared" si="84"/>
        <v>0</v>
      </c>
      <c r="CE105" s="66">
        <f>(INDEX('SV calc_ignore'!$J$10:$J$1341,12*Output!A105-0))*($CE$21)</f>
        <v>0</v>
      </c>
      <c r="CF105" s="175">
        <f t="shared" si="85"/>
        <v>0</v>
      </c>
      <c r="CG105" s="175">
        <f>(INDEX('SV calc_ignore'!$J$10:$J$1341,12*Output!A105-0))*($CG$21)*(A105&gt;1)</f>
        <v>0</v>
      </c>
      <c r="CH105" s="175">
        <f>(INDEX('SV calc_ignore'!$J$10:$J$1341,12*Output!A105-0))*($CH$21)*(A105&gt;1)</f>
        <v>0</v>
      </c>
      <c r="CI105" s="175"/>
      <c r="CJ105" s="66">
        <f>(INDEX('SV calc_ignore'!$J$10:$J$1341,12*Output!A105-0))*($CJ$21)*(A105&gt;1)</f>
        <v>0</v>
      </c>
      <c r="CK105" s="66">
        <f>(INDEX('SV calc_ignore'!$Q$10:$Q$1341,12*Output!A105-0))*(AND(A105&gt;1,R105&lt;20))*($CK$21)</f>
        <v>0</v>
      </c>
      <c r="CL105" s="66">
        <f t="shared" si="86"/>
        <v>0</v>
      </c>
      <c r="CM105" s="175">
        <f>((INDEX('SV calc_ignore'!$J$10:$J$1341,12*Output!A105-0))+(INDEX('SV calc_ignore'!$O$10:$O$1341,12*Output!A105-0))*(A105&lt;'SV calc_ignore'!$Q$5))*(A105&gt;1)*($CM$21)</f>
        <v>0</v>
      </c>
      <c r="CN105" s="175">
        <v>0</v>
      </c>
      <c r="CO105" s="175">
        <f>(INDEX('SV calc_ignore'!$J$10:$J$1341,12*Output!A105-0))*(A105&gt;1)*($CO$21)</f>
        <v>0</v>
      </c>
      <c r="CP105" s="175">
        <v>0</v>
      </c>
      <c r="CQ105" s="175">
        <v>0</v>
      </c>
      <c r="CR105" s="175">
        <v>0</v>
      </c>
      <c r="CS105" s="175">
        <v>0</v>
      </c>
      <c r="CT105" s="175">
        <v>0</v>
      </c>
      <c r="CU105" s="175">
        <v>0</v>
      </c>
      <c r="CV105" s="175">
        <f>(INDEX('SV calc_ignore'!$J$10:$J$1341,12*Output!A105-0))*(A105&gt;1)*($CV$21)</f>
        <v>0</v>
      </c>
      <c r="CW105" s="66">
        <f>((INDEX('SV calc_ignore'!$J$10:$J$1341,12*Output!A105-0))+(INDEX('SV calc_ignore'!$O$10:$O$1351,12*Output!A105-0))*(A105&lt;'SV calc_ignore'!$Q$5))*(A105&gt;1)*($CW$21)</f>
        <v>0</v>
      </c>
      <c r="CX105" s="175">
        <f>(INDEX('SV calc_ignore'!$J$10:$J$1341,12*Output!A105-0))*(A105&gt;1)*($CX$21)</f>
        <v>0</v>
      </c>
      <c r="CY105" s="175">
        <f>(INDEX('SV calc_ignore'!$Q$10:$Q$1341,12*Output!A105-0))*(AND(A105&gt;1,R105&lt;20))*($CY$21)</f>
        <v>0</v>
      </c>
      <c r="CZ105" s="175">
        <f t="shared" si="87"/>
        <v>0</v>
      </c>
      <c r="DE105" s="43">
        <f>IF($DE$23,0,VLOOKUP(IF(A105&lt;=DP,DJ105,DI105),SSV!$B$6:$C$116,2,FALSE)*VLOOKUP(AnnuityOption,'All Options'!$AB$36:$AC$47,2,FALSE)*VLOOKUP('All Options'!$E$22,'Valid Data-GPG'!$B$130:$F$134,MATCH('All Options'!$E$17,'Valid Data-GPG'!$B$130:$F$130,0),0)*'All Options'!$E$17)*(IF(AND(Select="Deferred Annuity",AnnuityOption="Life Annuity"),A105&lt;=DP,1))</f>
        <v>3274327.0531593515</v>
      </c>
      <c r="DF105" s="43">
        <f>IF($DF$23,0,IF($DQ$25,DQ105,IF($DR$25,DR105,VLOOKUP(IF(A105&lt;=DP,DJ105,DI105),SSV!$G$6:$H$116,2,FALSE)*SUM($B$27:B105))))</f>
        <v>1006161.5</v>
      </c>
      <c r="DG105" s="43" t="e">
        <f>IF(A105&lt;=DP,VLOOKUP(DP-A104,SSV!$T$6:$U$15,2,FALSE),1)</f>
        <v>#N/A</v>
      </c>
      <c r="DH105" s="282" t="e">
        <f t="shared" si="68"/>
        <v>#VALUE!</v>
      </c>
      <c r="DI105" s="43">
        <f>IF($DM$26,MIN(Age,'All Options'!$E$21)+A104,IF($DN$26,(Age+A104)-Age+60,IF($DO$26,(Age+A104)-Age+55,Age+A104)))</f>
        <v>60</v>
      </c>
      <c r="DJ105" s="279">
        <f>IF($DM$26,MIN(Age+A105,'All Options'!$E$21+A105),IF($DN$26,(Age+A105)-(Age+$A$27)+60,IF($DO$26,(Age+A105)-(Age+$A$27)+55,Age+A105)))</f>
        <v>60</v>
      </c>
      <c r="DP105" s="43">
        <f t="shared" si="88"/>
        <v>0</v>
      </c>
      <c r="DQ105" s="43">
        <f>IFERROR(VLOOKUP(IF(A105&lt;=DP,DJ105,DI105),SSV!$K$6:$L$91,2,FALSE)*SUM($B$27:B105),0)*($DQ$25)</f>
        <v>0</v>
      </c>
      <c r="DR105" s="43">
        <f>IFERROR(VLOOKUP(IF(A105&lt;=DP,DJ105,DI105),SSV!$O$6:$P$95,2,FALSE)*SUM($B$27:B105),0)*($DR$25)</f>
        <v>0</v>
      </c>
      <c r="DU105" s="175">
        <f t="shared" si="69"/>
        <v>0</v>
      </c>
    </row>
    <row r="106" spans="1:125" x14ac:dyDescent="0.2">
      <c r="A106" s="146">
        <f t="shared" si="70"/>
        <v>0</v>
      </c>
      <c r="B106" s="670">
        <f>IF(PremiumType="Regular Premium",'All Options'!$E$18*'All Options'!$E$22*(AND(Output!A106&lt;=PPT,A106&gt;=1)),'All Options'!$E$18*(A106=1))</f>
        <v>0</v>
      </c>
      <c r="C106" s="671"/>
      <c r="D106" s="103" t="e">
        <f>((VLOOKUP(CONCATENATE($D$14,$D$15),'All Options'!$AB$36:$AC$47,4,0)*VLOOKUP('All Options'!$E$22,'Valid Data-GPG'!$B$130:$F$134,MATCH('All Options'!$E$17,'Valid Data-GPG'!$B$130:$F$130,0),0)*'All Options'!$E$17)*IF(Select="Deferred Annuity",A106&gt;DP,1)+AE106+AF106*AG106*$AG$21)*(A106&gt;0)</f>
        <v>#N/A</v>
      </c>
      <c r="E106" s="103">
        <v>0</v>
      </c>
      <c r="F106" s="103" t="e">
        <f t="shared" si="71"/>
        <v>#N/A</v>
      </c>
      <c r="G106" s="103">
        <f t="shared" si="55"/>
        <v>0</v>
      </c>
      <c r="H106" s="285">
        <f t="shared" si="72"/>
        <v>0</v>
      </c>
      <c r="I106" s="103">
        <f t="shared" si="73"/>
        <v>0</v>
      </c>
      <c r="K106" s="175" t="str">
        <f t="shared" si="74"/>
        <v/>
      </c>
      <c r="L106" s="175"/>
      <c r="M106" s="175"/>
      <c r="N106" s="175"/>
      <c r="O106" s="175"/>
      <c r="P106" s="175"/>
      <c r="Q106" s="175"/>
      <c r="R106" s="175">
        <f t="shared" si="75"/>
        <v>0</v>
      </c>
      <c r="AB106" s="175" t="e">
        <f>(VLOOKUP(CONCATENATE($D$14,$D$15),'All Options'!$AB$36:$AC$47,4,0)*VLOOKUP('All Options'!$E$22,'Valid Data-GPG'!$B$130:$F$134,MATCH('All Options'!$E$17,'Valid Data-GPG'!$B$130:$F$130,0),0)*'All Options'!$E$17)*IF(Select="Deferred Annuity",A106&gt;DP,1)*(A106&gt;0)</f>
        <v>#N/A</v>
      </c>
      <c r="AC106" s="175">
        <f t="shared" si="56"/>
        <v>0</v>
      </c>
      <c r="AD106" s="175">
        <f>SUM($AC$26:AC106)</f>
        <v>0</v>
      </c>
      <c r="AE106" s="175">
        <f t="shared" si="57"/>
        <v>0</v>
      </c>
      <c r="AF106" s="175">
        <f t="shared" si="58"/>
        <v>0</v>
      </c>
      <c r="AG106" s="175" t="b">
        <f>(SUM($AF$26:AF106)&lt;=$AB$17)</f>
        <v>0</v>
      </c>
      <c r="AY106" s="175"/>
      <c r="AZ106" s="66">
        <f>((MAX((SUM($B$26:C106)+(VLOOKUP($AZ$25,'All Options'!$AB$36:$AC$46,2,0)*VLOOKUP('All Options'!$E$22,'Valid Data-GPG'!$B$130:$F$134,MATCH('All Options'!$E$17,'Valid Data-GPG'!$B$130:$F$130,0),0)*'All Options'!$E$17)*(IF(A106&lt;=DP,A106,0))),105%*SUM($B$26:C106)))*(AND(A106&lt;&gt;0,Output!A106&lt;=DP))+(0)*(A106&gt;DP))*$AZ$21</f>
        <v>0</v>
      </c>
      <c r="BA106" s="175" t="e">
        <f>((MAX((SUM($B$26:C106)+(VLOOKUP($BA$25,'All Options'!$AB$36:$AC$46,2,0)*VLOOKUP('All Options'!$E$22,'Valid Data-GPG'!$B$130:$F$134,MATCH('All Options'!$E$17,'Valid Data-GPG'!$B$130:$F$130,0),0)*'All Options'!$E$17)*(IF(A106&lt;=DP,A106,0))),105%*SUM($B$26:C106)))*(Output!A106&lt;=DP)
+MAX((SUM($B$26:C106)+(VLOOKUP($BA$25,'All Options'!$AB$36:$AC$46,2,0)*VLOOKUP('All Options'!$E$22,'Valid Data-GPG'!$B$130:$F$134,MATCH('All Options'!$E$17,'Valid Data-GPG'!$B$130:$F$130,0),0)*'All Options'!$E$17)*DP-D106*(A106-DP)),SUM($B$26:C106))*(A106&gt;DP))*$BA$21</f>
        <v>#N/A</v>
      </c>
      <c r="BB106" s="175">
        <f>((MAX(($AB$17+(VLOOKUP($BB$25,'All Options'!$AB$36:$AC$46,2,0)*VLOOKUP('All Options'!$E$22,'Valid Data-GPG'!$B$130:$F$134,MATCH('All Options'!$E$17,'Valid Data-GPG'!$B$130:$F$130,0),0)*'All Options'!$E$17)*(IF(A106&lt;=DP,A106,0))),105%*$AB$17))*(Output!A106&lt;=DP)+(0)*(A106&gt;DP))*$BB$21</f>
        <v>0</v>
      </c>
      <c r="BC106" s="175" t="e">
        <f>((MAX(($AB$17+(VLOOKUP($BC$25,'All Options'!$AB$36:$AC$46,2,0)*VLOOKUP('All Options'!$E$22,'Valid Data-GPG'!$B$130:$F$134,MATCH('All Options'!$E$17,'Valid Data-GPG'!$B$130:$F$130,0),0)*'All Options'!$E$17)*(IF(A106&lt;=DP,A106,0))),105%*$AB$17))*(Output!A106&lt;=DP)+
MAX(($AB$17+(VLOOKUP($BC$25,'All Options'!$AB$36:$AC$46,2,0)*VLOOKUP('All Options'!$E$22,'Valid Data-GPG'!$B$130:$F$134,MATCH('All Options'!$E$17,'Valid Data-GPG'!$B$130:$F$130,0),0)*'All Options'!$E$17)*DP-D106*(A106-DP)),$AB$17)*(A106&gt;DP))*$BC$21</f>
        <v>#N/A</v>
      </c>
      <c r="BD106" s="175">
        <f ca="1">IFERROR((MAX(($AB$17+(VLOOKUP($BD$25,'All Options'!$AB$36:$AC$46,2,0)*VLOOKUP('All Options'!$E$22,'Valid Data-GPG'!$B$130:$F$134,MATCH('All Options'!$E$17,'Valid Data-GPG'!$B$130:$F$130,0),0)*'All Options'!$E$17)*(IF(A106&lt;=DP,A106,0))),105%*$AB$17))*(Output!A106&lt;=DP)
+MAX(($AB$17+(VLOOKUP($BD$25,'All Options'!$AB$36:$AC$46,2,0)*VLOOKUP('All Options'!$E$22,'Valid Data-GPG'!$B$130:$F$134,MATCH('All Options'!$E$17,'Valid Data-GPG'!$B$130:$F$130,0),0)*'All Options'!$E$17)*DP-D106*(A106-DP)),$AB$17)*(A106&gt;DP),0)*$BD$21</f>
        <v>0</v>
      </c>
      <c r="BE106" s="66">
        <f>IFERROR((MAX(($AB$17+(VLOOKUP($BE$25,'All Options'!$AB$36:$AC$46,2,0)*VLOOKUP('All Options'!$E$22,'Valid Data-GPG'!$B$130:$F$134,MATCH('All Options'!$E$17,'Valid Data-GPG'!$B$130:$F$130,0),0)*'All Options'!$E$17)*(IF(A106&lt;=DP,A106,0))),105%*$AB$17))*(Output!A106&lt;=DP)
+(MAX($AB$17+(VLOOKUP($BE$25,'All Options'!$AB$36:$AC$46,2,0)*VLOOKUP('All Options'!$E$22,'Valid Data-GPG'!$B$130:$F$134,MATCH('All Options'!$E$17,'Valid Data-GPG'!$B$130:$F$130,0),0)*'All Options'!$E$17)*DP-AB106*(A106-DP),$AB$17)*(MAX(A106&lt;=25,K106&lt;85)))*(A106&gt;DP),0)*$BE$21</f>
        <v>0</v>
      </c>
      <c r="BF106" s="175">
        <f>IFERROR((MAX(($AB$17+(VLOOKUP($BF$25,'All Options'!$AB$36:$AC$46,2,0)*VLOOKUP('All Options'!$E$22,'Valid Data-GPG'!$B$130:$F$134,MATCH('All Options'!$E$17,'Valid Data-GPG'!$B$130:$F$130,0),0)*'All Options'!$E$17)*(IF(A106&lt;=DP,A106,0))),105%*$AB$17))*(Output!A106&lt;=DP)
+(MAX($AB$17+(VLOOKUP($BF$25,'All Options'!$AB$36:$AC$46,2,0)*VLOOKUP('All Options'!$E$22,'Valid Data-GPG'!$B$130:$F$134,MATCH('All Options'!$E$17,'Valid Data-GPG'!$B$130:$F$130,0),0)*'All Options'!$E$17)*DP-AB106*(A106-DP),$AB$17)-SUM($AF$26:AF106)*AG106)*(A106&gt;DP)*AG106,0)*$BF$21</f>
        <v>0</v>
      </c>
      <c r="BG106" s="175">
        <f t="shared" si="76"/>
        <v>0</v>
      </c>
      <c r="BH106" s="182">
        <f t="shared" si="59"/>
        <v>5000000</v>
      </c>
      <c r="BI106" s="175">
        <f t="shared" si="77"/>
        <v>0</v>
      </c>
      <c r="BJ106" s="175">
        <f t="shared" si="78"/>
        <v>0</v>
      </c>
      <c r="BK106" s="175">
        <f t="shared" si="79"/>
        <v>0</v>
      </c>
      <c r="BL106" s="175">
        <f t="shared" si="80"/>
        <v>0</v>
      </c>
      <c r="BM106" s="175">
        <f t="shared" si="81"/>
        <v>0</v>
      </c>
      <c r="BN106" s="175">
        <f t="shared" si="82"/>
        <v>0</v>
      </c>
      <c r="BO106" s="182">
        <f t="shared" si="60"/>
        <v>0</v>
      </c>
      <c r="BP106" s="182">
        <f t="shared" si="61"/>
        <v>0</v>
      </c>
      <c r="BQ106" s="182">
        <f>MAX($AB$17-SUM($AF$26:AF106),0)*$BQ$21</f>
        <v>0</v>
      </c>
      <c r="BS106" s="175">
        <f t="shared" si="62"/>
        <v>0</v>
      </c>
      <c r="BT106" s="175">
        <f>IFERROR(IF(A106&lt;=1,0,VLOOKUP(DP,'Valid Data-GPG'!$A$116:$J$122,MATCH(Output!A106,'Valid Data-GPG'!$A$116:$J$116,0),FALSE)*SUM($B$26:C106))*(A106&lt;=DP),0)*$BT$21</f>
        <v>0</v>
      </c>
      <c r="BU106" s="175">
        <f>IFERROR(IF(A106&lt;=1,0,VLOOKUP(DP,'Valid Data-GPG'!$A$116:$J$122,MATCH(Output!A106,'Valid Data-GPG'!$A$116:$J$116,0),FALSE)*SUM($B$26:C106))*(A106&lt;=DP),0)*$BU$21</f>
        <v>0</v>
      </c>
      <c r="BV106" s="175">
        <f t="shared" si="63"/>
        <v>0</v>
      </c>
      <c r="BW106" s="175">
        <f t="shared" si="64"/>
        <v>0</v>
      </c>
      <c r="BX106" s="175">
        <f t="shared" si="65"/>
        <v>0</v>
      </c>
      <c r="BY106" s="175">
        <f t="shared" si="66"/>
        <v>0</v>
      </c>
      <c r="BZ106" s="175">
        <f t="shared" si="67"/>
        <v>0</v>
      </c>
      <c r="CA106" s="175">
        <f>(INDEX('SV calc_ignore'!$J$10:$J$1341,12*Output!A106-0))*BS106</f>
        <v>0</v>
      </c>
      <c r="CB106" s="175">
        <f t="shared" si="83"/>
        <v>0</v>
      </c>
      <c r="CC106" s="175">
        <f>(INDEX('SV calc_ignore'!$J$10:$J$1341,12*Output!A106-0))*BS106</f>
        <v>0</v>
      </c>
      <c r="CD106" s="175">
        <f t="shared" si="84"/>
        <v>0</v>
      </c>
      <c r="CE106" s="66">
        <f>(INDEX('SV calc_ignore'!$J$10:$J$1341,12*Output!A106-0))*($CE$21)</f>
        <v>0</v>
      </c>
      <c r="CF106" s="175">
        <f t="shared" si="85"/>
        <v>0</v>
      </c>
      <c r="CG106" s="175">
        <f>(INDEX('SV calc_ignore'!$J$10:$J$1341,12*Output!A106-0))*($CG$21)*(A106&gt;1)</f>
        <v>0</v>
      </c>
      <c r="CH106" s="175">
        <f>(INDEX('SV calc_ignore'!$J$10:$J$1341,12*Output!A106-0))*($CH$21)*(A106&gt;1)</f>
        <v>0</v>
      </c>
      <c r="CI106" s="175"/>
      <c r="CJ106" s="66">
        <f>(INDEX('SV calc_ignore'!$J$10:$J$1341,12*Output!A106-0))*($CJ$21)*(A106&gt;1)</f>
        <v>0</v>
      </c>
      <c r="CK106" s="66">
        <f>(INDEX('SV calc_ignore'!$Q$10:$Q$1341,12*Output!A106-0))*(AND(A106&gt;1,R106&lt;20))*($CK$21)</f>
        <v>0</v>
      </c>
      <c r="CL106" s="66">
        <f t="shared" si="86"/>
        <v>0</v>
      </c>
      <c r="CM106" s="175">
        <f>((INDEX('SV calc_ignore'!$J$10:$J$1341,12*Output!A106-0))+(INDEX('SV calc_ignore'!$O$10:$O$1341,12*Output!A106-0))*(A106&lt;'SV calc_ignore'!$Q$5))*(A106&gt;1)*($CM$21)</f>
        <v>0</v>
      </c>
      <c r="CN106" s="175">
        <v>0</v>
      </c>
      <c r="CO106" s="175">
        <f>(INDEX('SV calc_ignore'!$J$10:$J$1341,12*Output!A106-0))*(A106&gt;1)*($CO$21)</f>
        <v>0</v>
      </c>
      <c r="CP106" s="175">
        <v>0</v>
      </c>
      <c r="CQ106" s="175">
        <v>0</v>
      </c>
      <c r="CR106" s="175">
        <v>0</v>
      </c>
      <c r="CS106" s="175">
        <v>0</v>
      </c>
      <c r="CT106" s="175">
        <v>0</v>
      </c>
      <c r="CU106" s="175">
        <v>0</v>
      </c>
      <c r="CV106" s="175">
        <f>(INDEX('SV calc_ignore'!$J$10:$J$1341,12*Output!A106-0))*(A106&gt;1)*($CV$21)</f>
        <v>0</v>
      </c>
      <c r="CW106" s="66">
        <f>((INDEX('SV calc_ignore'!$J$10:$J$1341,12*Output!A106-0))+(INDEX('SV calc_ignore'!$O$10:$O$1351,12*Output!A106-0))*(A106&lt;'SV calc_ignore'!$Q$5))*(A106&gt;1)*($CW$21)</f>
        <v>0</v>
      </c>
      <c r="CX106" s="175">
        <f>(INDEX('SV calc_ignore'!$J$10:$J$1341,12*Output!A106-0))*(A106&gt;1)*($CX$21)</f>
        <v>0</v>
      </c>
      <c r="CY106" s="175">
        <f>(INDEX('SV calc_ignore'!$Q$10:$Q$1341,12*Output!A106-0))*(AND(A106&gt;1,R106&lt;20))*($CY$21)</f>
        <v>0</v>
      </c>
      <c r="CZ106" s="175">
        <f t="shared" si="87"/>
        <v>0</v>
      </c>
      <c r="DE106" s="43">
        <f>IF($DE$23,0,VLOOKUP(IF(A106&lt;=DP,DJ106,DI106),SSV!$B$6:$C$116,2,FALSE)*VLOOKUP(AnnuityOption,'All Options'!$AB$36:$AC$47,2,FALSE)*VLOOKUP('All Options'!$E$22,'Valid Data-GPG'!$B$130:$F$134,MATCH('All Options'!$E$17,'Valid Data-GPG'!$B$130:$F$130,0),0)*'All Options'!$E$17)*(IF(AND(Select="Deferred Annuity",AnnuityOption="Life Annuity"),A106&lt;=DP,1))</f>
        <v>3274327.0531593515</v>
      </c>
      <c r="DF106" s="43">
        <f>IF($DF$23,0,IF($DQ$25,DQ106,IF($DR$25,DR106,VLOOKUP(IF(A106&lt;=DP,DJ106,DI106),SSV!$G$6:$H$116,2,FALSE)*SUM($B$27:B106))))</f>
        <v>1006161.5</v>
      </c>
      <c r="DG106" s="43" t="e">
        <f>IF(A106&lt;=DP,VLOOKUP(DP-A105,SSV!$T$6:$U$15,2,FALSE),1)</f>
        <v>#N/A</v>
      </c>
      <c r="DH106" s="282" t="e">
        <f t="shared" si="68"/>
        <v>#VALUE!</v>
      </c>
      <c r="DI106" s="43">
        <f>IF($DM$26,MIN(Age,'All Options'!$E$21)+A105,IF($DN$26,(Age+A105)-Age+60,IF($DO$26,(Age+A105)-Age+55,Age+A105)))</f>
        <v>60</v>
      </c>
      <c r="DJ106" s="279">
        <f>IF($DM$26,MIN(Age+A106,'All Options'!$E$21+A106),IF($DN$26,(Age+A106)-(Age+$A$27)+60,IF($DO$26,(Age+A106)-(Age+$A$27)+55,Age+A106)))</f>
        <v>60</v>
      </c>
      <c r="DP106" s="43">
        <f t="shared" si="88"/>
        <v>0</v>
      </c>
      <c r="DQ106" s="43">
        <f>IFERROR(VLOOKUP(IF(A106&lt;=DP,DJ106,DI106),SSV!$K$6:$L$91,2,FALSE)*SUM($B$27:B106),0)*($DQ$25)</f>
        <v>0</v>
      </c>
      <c r="DR106" s="43">
        <f>IFERROR(VLOOKUP(IF(A106&lt;=DP,DJ106,DI106),SSV!$O$6:$P$95,2,FALSE)*SUM($B$27:B106),0)*($DR$25)</f>
        <v>0</v>
      </c>
      <c r="DU106" s="175">
        <f t="shared" si="69"/>
        <v>0</v>
      </c>
    </row>
    <row r="107" spans="1:125" x14ac:dyDescent="0.2">
      <c r="A107" s="146">
        <f t="shared" si="70"/>
        <v>0</v>
      </c>
      <c r="B107" s="670">
        <f>IF(PremiumType="Regular Premium",'All Options'!$E$18*'All Options'!$E$22*(AND(Output!A107&lt;=PPT,A107&gt;=1)),'All Options'!$E$18*(A107=1))</f>
        <v>0</v>
      </c>
      <c r="C107" s="671"/>
      <c r="D107" s="103" t="e">
        <f>((VLOOKUP(CONCATENATE($D$14,$D$15),'All Options'!$AB$36:$AC$47,4,0)*VLOOKUP('All Options'!$E$22,'Valid Data-GPG'!$B$130:$F$134,MATCH('All Options'!$E$17,'Valid Data-GPG'!$B$130:$F$130,0),0)*'All Options'!$E$17)*IF(Select="Deferred Annuity",A107&gt;DP,1)+AE107+AF107*AG107*$AG$21)*(A107&gt;0)</f>
        <v>#N/A</v>
      </c>
      <c r="E107" s="103">
        <v>0</v>
      </c>
      <c r="F107" s="103" t="e">
        <f t="shared" si="71"/>
        <v>#N/A</v>
      </c>
      <c r="G107" s="103">
        <f t="shared" si="55"/>
        <v>0</v>
      </c>
      <c r="H107" s="285">
        <f t="shared" si="72"/>
        <v>0</v>
      </c>
      <c r="I107" s="103">
        <f t="shared" si="73"/>
        <v>0</v>
      </c>
      <c r="K107" s="175" t="str">
        <f t="shared" si="74"/>
        <v/>
      </c>
      <c r="L107" s="175"/>
      <c r="M107" s="175"/>
      <c r="N107" s="175"/>
      <c r="O107" s="175"/>
      <c r="P107" s="175"/>
      <c r="Q107" s="175"/>
      <c r="R107" s="175">
        <f t="shared" si="75"/>
        <v>0</v>
      </c>
      <c r="AB107" s="175" t="e">
        <f>(VLOOKUP(CONCATENATE($D$14,$D$15),'All Options'!$AB$36:$AC$47,4,0)*VLOOKUP('All Options'!$E$22,'Valid Data-GPG'!$B$130:$F$134,MATCH('All Options'!$E$17,'Valid Data-GPG'!$B$130:$F$130,0),0)*'All Options'!$E$17)*IF(Select="Deferred Annuity",A107&gt;DP,1)*(A107&gt;0)</f>
        <v>#N/A</v>
      </c>
      <c r="AC107" s="175">
        <f t="shared" si="56"/>
        <v>0</v>
      </c>
      <c r="AD107" s="175">
        <f>SUM($AC$26:AC107)</f>
        <v>0</v>
      </c>
      <c r="AE107" s="175">
        <f t="shared" si="57"/>
        <v>0</v>
      </c>
      <c r="AF107" s="175">
        <f t="shared" si="58"/>
        <v>0</v>
      </c>
      <c r="AG107" s="175" t="b">
        <f>(SUM($AF$26:AF107)&lt;=$AB$17)</f>
        <v>0</v>
      </c>
      <c r="AY107" s="175"/>
      <c r="AZ107" s="66">
        <f>((MAX((SUM($B$26:C107)+(VLOOKUP($AZ$25,'All Options'!$AB$36:$AC$46,2,0)*VLOOKUP('All Options'!$E$22,'Valid Data-GPG'!$B$130:$F$134,MATCH('All Options'!$E$17,'Valid Data-GPG'!$B$130:$F$130,0),0)*'All Options'!$E$17)*(IF(A107&lt;=DP,A107,0))),105%*SUM($B$26:C107)))*(AND(A107&lt;&gt;0,Output!A107&lt;=DP))+(0)*(A107&gt;DP))*$AZ$21</f>
        <v>0</v>
      </c>
      <c r="BA107" s="175" t="e">
        <f>((MAX((SUM($B$26:C107)+(VLOOKUP($BA$25,'All Options'!$AB$36:$AC$46,2,0)*VLOOKUP('All Options'!$E$22,'Valid Data-GPG'!$B$130:$F$134,MATCH('All Options'!$E$17,'Valid Data-GPG'!$B$130:$F$130,0),0)*'All Options'!$E$17)*(IF(A107&lt;=DP,A107,0))),105%*SUM($B$26:C107)))*(Output!A107&lt;=DP)
+MAX((SUM($B$26:C107)+(VLOOKUP($BA$25,'All Options'!$AB$36:$AC$46,2,0)*VLOOKUP('All Options'!$E$22,'Valid Data-GPG'!$B$130:$F$134,MATCH('All Options'!$E$17,'Valid Data-GPG'!$B$130:$F$130,0),0)*'All Options'!$E$17)*DP-D107*(A107-DP)),SUM($B$26:C107))*(A107&gt;DP))*$BA$21</f>
        <v>#N/A</v>
      </c>
      <c r="BB107" s="175">
        <f>((MAX(($AB$17+(VLOOKUP($BB$25,'All Options'!$AB$36:$AC$46,2,0)*VLOOKUP('All Options'!$E$22,'Valid Data-GPG'!$B$130:$F$134,MATCH('All Options'!$E$17,'Valid Data-GPG'!$B$130:$F$130,0),0)*'All Options'!$E$17)*(IF(A107&lt;=DP,A107,0))),105%*$AB$17))*(Output!A107&lt;=DP)+(0)*(A107&gt;DP))*$BB$21</f>
        <v>0</v>
      </c>
      <c r="BC107" s="175" t="e">
        <f>((MAX(($AB$17+(VLOOKUP($BC$25,'All Options'!$AB$36:$AC$46,2,0)*VLOOKUP('All Options'!$E$22,'Valid Data-GPG'!$B$130:$F$134,MATCH('All Options'!$E$17,'Valid Data-GPG'!$B$130:$F$130,0),0)*'All Options'!$E$17)*(IF(A107&lt;=DP,A107,0))),105%*$AB$17))*(Output!A107&lt;=DP)+
MAX(($AB$17+(VLOOKUP($BC$25,'All Options'!$AB$36:$AC$46,2,0)*VLOOKUP('All Options'!$E$22,'Valid Data-GPG'!$B$130:$F$134,MATCH('All Options'!$E$17,'Valid Data-GPG'!$B$130:$F$130,0),0)*'All Options'!$E$17)*DP-D107*(A107-DP)),$AB$17)*(A107&gt;DP))*$BC$21</f>
        <v>#N/A</v>
      </c>
      <c r="BD107" s="175">
        <f ca="1">IFERROR((MAX(($AB$17+(VLOOKUP($BD$25,'All Options'!$AB$36:$AC$46,2,0)*VLOOKUP('All Options'!$E$22,'Valid Data-GPG'!$B$130:$F$134,MATCH('All Options'!$E$17,'Valid Data-GPG'!$B$130:$F$130,0),0)*'All Options'!$E$17)*(IF(A107&lt;=DP,A107,0))),105%*$AB$17))*(Output!A107&lt;=DP)
+MAX(($AB$17+(VLOOKUP($BD$25,'All Options'!$AB$36:$AC$46,2,0)*VLOOKUP('All Options'!$E$22,'Valid Data-GPG'!$B$130:$F$134,MATCH('All Options'!$E$17,'Valid Data-GPG'!$B$130:$F$130,0),0)*'All Options'!$E$17)*DP-D107*(A107-DP)),$AB$17)*(A107&gt;DP),0)*$BD$21</f>
        <v>0</v>
      </c>
      <c r="BE107" s="66">
        <f>IFERROR((MAX(($AB$17+(VLOOKUP($BE$25,'All Options'!$AB$36:$AC$46,2,0)*VLOOKUP('All Options'!$E$22,'Valid Data-GPG'!$B$130:$F$134,MATCH('All Options'!$E$17,'Valid Data-GPG'!$B$130:$F$130,0),0)*'All Options'!$E$17)*(IF(A107&lt;=DP,A107,0))),105%*$AB$17))*(Output!A107&lt;=DP)
+(MAX($AB$17+(VLOOKUP($BE$25,'All Options'!$AB$36:$AC$46,2,0)*VLOOKUP('All Options'!$E$22,'Valid Data-GPG'!$B$130:$F$134,MATCH('All Options'!$E$17,'Valid Data-GPG'!$B$130:$F$130,0),0)*'All Options'!$E$17)*DP-AB107*(A107-DP),$AB$17)*(MAX(A107&lt;=25,K107&lt;85)))*(A107&gt;DP),0)*$BE$21</f>
        <v>0</v>
      </c>
      <c r="BF107" s="175">
        <f>IFERROR((MAX(($AB$17+(VLOOKUP($BF$25,'All Options'!$AB$36:$AC$46,2,0)*VLOOKUP('All Options'!$E$22,'Valid Data-GPG'!$B$130:$F$134,MATCH('All Options'!$E$17,'Valid Data-GPG'!$B$130:$F$130,0),0)*'All Options'!$E$17)*(IF(A107&lt;=DP,A107,0))),105%*$AB$17))*(Output!A107&lt;=DP)
+(MAX($AB$17+(VLOOKUP($BF$25,'All Options'!$AB$36:$AC$46,2,0)*VLOOKUP('All Options'!$E$22,'Valid Data-GPG'!$B$130:$F$134,MATCH('All Options'!$E$17,'Valid Data-GPG'!$B$130:$F$130,0),0)*'All Options'!$E$17)*DP-AB107*(A107-DP),$AB$17)-SUM($AF$26:AF107)*AG107)*(A107&gt;DP)*AG107,0)*$BF$21</f>
        <v>0</v>
      </c>
      <c r="BG107" s="175">
        <f t="shared" si="76"/>
        <v>0</v>
      </c>
      <c r="BH107" s="182">
        <f t="shared" si="59"/>
        <v>5000000</v>
      </c>
      <c r="BI107" s="175">
        <f t="shared" si="77"/>
        <v>0</v>
      </c>
      <c r="BJ107" s="175">
        <f t="shared" si="78"/>
        <v>0</v>
      </c>
      <c r="BK107" s="175">
        <f t="shared" si="79"/>
        <v>0</v>
      </c>
      <c r="BL107" s="175">
        <f t="shared" si="80"/>
        <v>0</v>
      </c>
      <c r="BM107" s="175">
        <f t="shared" si="81"/>
        <v>0</v>
      </c>
      <c r="BN107" s="175">
        <f t="shared" si="82"/>
        <v>0</v>
      </c>
      <c r="BO107" s="182">
        <f t="shared" si="60"/>
        <v>0</v>
      </c>
      <c r="BP107" s="182">
        <f t="shared" si="61"/>
        <v>0</v>
      </c>
      <c r="BQ107" s="182">
        <f>MAX($AB$17-SUM($AF$26:AF107),0)*$BQ$21</f>
        <v>0</v>
      </c>
      <c r="BS107" s="175">
        <f t="shared" si="62"/>
        <v>0</v>
      </c>
      <c r="BT107" s="175">
        <f>IFERROR(IF(A107&lt;=1,0,VLOOKUP(DP,'Valid Data-GPG'!$A$116:$J$122,MATCH(Output!A107,'Valid Data-GPG'!$A$116:$J$116,0),FALSE)*SUM($B$26:C107))*(A107&lt;=DP),0)*$BT$21</f>
        <v>0</v>
      </c>
      <c r="BU107" s="175">
        <f>IFERROR(IF(A107&lt;=1,0,VLOOKUP(DP,'Valid Data-GPG'!$A$116:$J$122,MATCH(Output!A107,'Valid Data-GPG'!$A$116:$J$116,0),FALSE)*SUM($B$26:C107))*(A107&lt;=DP),0)*$BU$21</f>
        <v>0</v>
      </c>
      <c r="BV107" s="175">
        <f t="shared" si="63"/>
        <v>0</v>
      </c>
      <c r="BW107" s="175">
        <f t="shared" si="64"/>
        <v>0</v>
      </c>
      <c r="BX107" s="175">
        <f t="shared" si="65"/>
        <v>0</v>
      </c>
      <c r="BY107" s="175">
        <f t="shared" si="66"/>
        <v>0</v>
      </c>
      <c r="BZ107" s="175">
        <f t="shared" si="67"/>
        <v>0</v>
      </c>
      <c r="CA107" s="175">
        <f>(INDEX('SV calc_ignore'!$J$10:$J$1341,12*Output!A107-0))*BS107</f>
        <v>0</v>
      </c>
      <c r="CB107" s="175">
        <f t="shared" si="83"/>
        <v>0</v>
      </c>
      <c r="CC107" s="175">
        <f>(INDEX('SV calc_ignore'!$J$10:$J$1341,12*Output!A107-0))*BS107</f>
        <v>0</v>
      </c>
      <c r="CD107" s="175">
        <f t="shared" si="84"/>
        <v>0</v>
      </c>
      <c r="CE107" s="66">
        <f>(INDEX('SV calc_ignore'!$J$10:$J$1341,12*Output!A107-0))*($CE$21)</f>
        <v>0</v>
      </c>
      <c r="CF107" s="175">
        <f t="shared" si="85"/>
        <v>0</v>
      </c>
      <c r="CG107" s="175">
        <f>(INDEX('SV calc_ignore'!$J$10:$J$1341,12*Output!A107-0))*($CG$21)*(A107&gt;1)</f>
        <v>0</v>
      </c>
      <c r="CH107" s="175">
        <f>(INDEX('SV calc_ignore'!$J$10:$J$1341,12*Output!A107-0))*($CH$21)*(A107&gt;1)</f>
        <v>0</v>
      </c>
      <c r="CI107" s="175"/>
      <c r="CJ107" s="66">
        <f>(INDEX('SV calc_ignore'!$J$10:$J$1341,12*Output!A107-0))*($CJ$21)*(A107&gt;1)</f>
        <v>0</v>
      </c>
      <c r="CK107" s="66">
        <f>(INDEX('SV calc_ignore'!$Q$10:$Q$1341,12*Output!A107-0))*(AND(A107&gt;1,R107&lt;20))*($CK$21)</f>
        <v>0</v>
      </c>
      <c r="CL107" s="66">
        <f t="shared" si="86"/>
        <v>0</v>
      </c>
      <c r="CM107" s="175">
        <f>((INDEX('SV calc_ignore'!$J$10:$J$1341,12*Output!A107-0))+(INDEX('SV calc_ignore'!$O$10:$O$1341,12*Output!A107-0))*(A107&lt;'SV calc_ignore'!$Q$5))*(A107&gt;1)*($CM$21)</f>
        <v>0</v>
      </c>
      <c r="CN107" s="175">
        <v>0</v>
      </c>
      <c r="CO107" s="175">
        <f>(INDEX('SV calc_ignore'!$J$10:$J$1341,12*Output!A107-0))*(A107&gt;1)*($CO$21)</f>
        <v>0</v>
      </c>
      <c r="CP107" s="175">
        <v>0</v>
      </c>
      <c r="CQ107" s="175">
        <v>0</v>
      </c>
      <c r="CR107" s="175">
        <v>0</v>
      </c>
      <c r="CS107" s="175">
        <v>0</v>
      </c>
      <c r="CT107" s="175">
        <v>0</v>
      </c>
      <c r="CU107" s="175">
        <v>0</v>
      </c>
      <c r="CV107" s="175">
        <f>(INDEX('SV calc_ignore'!$J$10:$J$1341,12*Output!A107-0))*(A107&gt;1)*($CV$21)</f>
        <v>0</v>
      </c>
      <c r="CW107" s="66">
        <f>((INDEX('SV calc_ignore'!$J$10:$J$1341,12*Output!A107-0))+(INDEX('SV calc_ignore'!$O$10:$O$1351,12*Output!A107-0))*(A107&lt;'SV calc_ignore'!$Q$5))*(A107&gt;1)*($CW$21)</f>
        <v>0</v>
      </c>
      <c r="CX107" s="175">
        <f>(INDEX('SV calc_ignore'!$J$10:$J$1341,12*Output!A107-0))*(A107&gt;1)*($CX$21)</f>
        <v>0</v>
      </c>
      <c r="CY107" s="175">
        <f>(INDEX('SV calc_ignore'!$Q$10:$Q$1341,12*Output!A107-0))*(AND(A107&gt;1,R107&lt;20))*($CY$21)</f>
        <v>0</v>
      </c>
      <c r="CZ107" s="175">
        <f t="shared" si="87"/>
        <v>0</v>
      </c>
      <c r="DE107" s="43">
        <f>IF($DE$23,0,VLOOKUP(IF(A107&lt;=DP,DJ107,DI107),SSV!$B$6:$C$116,2,FALSE)*VLOOKUP(AnnuityOption,'All Options'!$AB$36:$AC$47,2,FALSE)*VLOOKUP('All Options'!$E$22,'Valid Data-GPG'!$B$130:$F$134,MATCH('All Options'!$E$17,'Valid Data-GPG'!$B$130:$F$130,0),0)*'All Options'!$E$17)*(IF(AND(Select="Deferred Annuity",AnnuityOption="Life Annuity"),A107&lt;=DP,1))</f>
        <v>3274327.0531593515</v>
      </c>
      <c r="DF107" s="43">
        <f>IF($DF$23,0,IF($DQ$25,DQ107,IF($DR$25,DR107,VLOOKUP(IF(A107&lt;=DP,DJ107,DI107),SSV!$G$6:$H$116,2,FALSE)*SUM($B$27:B107))))</f>
        <v>1006161.5</v>
      </c>
      <c r="DG107" s="43" t="e">
        <f>IF(A107&lt;=DP,VLOOKUP(DP-A106,SSV!$T$6:$U$15,2,FALSE),1)</f>
        <v>#N/A</v>
      </c>
      <c r="DH107" s="282" t="e">
        <f t="shared" si="68"/>
        <v>#VALUE!</v>
      </c>
      <c r="DI107" s="43">
        <f>IF($DM$26,MIN(Age,'All Options'!$E$21)+A106,IF($DN$26,(Age+A106)-Age+60,IF($DO$26,(Age+A106)-Age+55,Age+A106)))</f>
        <v>60</v>
      </c>
      <c r="DJ107" s="279">
        <f>IF($DM$26,MIN(Age+A107,'All Options'!$E$21+A107),IF($DN$26,(Age+A107)-(Age+$A$27)+60,IF($DO$26,(Age+A107)-(Age+$A$27)+55,Age+A107)))</f>
        <v>60</v>
      </c>
      <c r="DP107" s="43">
        <f t="shared" si="88"/>
        <v>0</v>
      </c>
      <c r="DQ107" s="43">
        <f>IFERROR(VLOOKUP(IF(A107&lt;=DP,DJ107,DI107),SSV!$K$6:$L$91,2,FALSE)*SUM($B$27:B107),0)*($DQ$25)</f>
        <v>0</v>
      </c>
      <c r="DR107" s="43">
        <f>IFERROR(VLOOKUP(IF(A107&lt;=DP,DJ107,DI107),SSV!$O$6:$P$95,2,FALSE)*SUM($B$27:B107),0)*($DR$25)</f>
        <v>0</v>
      </c>
      <c r="DU107" s="175">
        <f t="shared" si="69"/>
        <v>0</v>
      </c>
    </row>
    <row r="108" spans="1:125" x14ac:dyDescent="0.2">
      <c r="A108" s="146">
        <f t="shared" si="70"/>
        <v>0</v>
      </c>
      <c r="B108" s="670">
        <f>IF(PremiumType="Regular Premium",'All Options'!$E$18*'All Options'!$E$22*(AND(Output!A108&lt;=PPT,A108&gt;=1)),'All Options'!$E$18*(A108=1))</f>
        <v>0</v>
      </c>
      <c r="C108" s="671"/>
      <c r="D108" s="103" t="e">
        <f>((VLOOKUP(CONCATENATE($D$14,$D$15),'All Options'!$AB$36:$AC$47,4,0)*VLOOKUP('All Options'!$E$22,'Valid Data-GPG'!$B$130:$F$134,MATCH('All Options'!$E$17,'Valid Data-GPG'!$B$130:$F$130,0),0)*'All Options'!$E$17)*IF(Select="Deferred Annuity",A108&gt;DP,1)+AE108+AF108*AG108*$AG$21)*(A108&gt;0)</f>
        <v>#N/A</v>
      </c>
      <c r="E108" s="103">
        <v>0</v>
      </c>
      <c r="F108" s="103" t="e">
        <f t="shared" si="71"/>
        <v>#N/A</v>
      </c>
      <c r="G108" s="103">
        <f t="shared" si="55"/>
        <v>0</v>
      </c>
      <c r="H108" s="285">
        <f t="shared" si="72"/>
        <v>0</v>
      </c>
      <c r="I108" s="103">
        <f t="shared" si="73"/>
        <v>0</v>
      </c>
      <c r="K108" s="175" t="str">
        <f t="shared" si="74"/>
        <v/>
      </c>
      <c r="L108" s="175"/>
      <c r="M108" s="175"/>
      <c r="N108" s="175"/>
      <c r="O108" s="175"/>
      <c r="P108" s="175"/>
      <c r="Q108" s="175"/>
      <c r="R108" s="175">
        <f t="shared" si="75"/>
        <v>0</v>
      </c>
      <c r="AB108" s="175" t="e">
        <f>(VLOOKUP(CONCATENATE($D$14,$D$15),'All Options'!$AB$36:$AC$47,4,0)*VLOOKUP('All Options'!$E$22,'Valid Data-GPG'!$B$130:$F$134,MATCH('All Options'!$E$17,'Valid Data-GPG'!$B$130:$F$130,0),0)*'All Options'!$E$17)*IF(Select="Deferred Annuity",A108&gt;DP,1)*(A108&gt;0)</f>
        <v>#N/A</v>
      </c>
      <c r="AC108" s="175">
        <f t="shared" si="56"/>
        <v>0</v>
      </c>
      <c r="AD108" s="175">
        <f>SUM($AC$26:AC108)</f>
        <v>0</v>
      </c>
      <c r="AE108" s="175">
        <f t="shared" si="57"/>
        <v>0</v>
      </c>
      <c r="AF108" s="175">
        <f t="shared" si="58"/>
        <v>0</v>
      </c>
      <c r="AG108" s="175" t="b">
        <f>(SUM($AF$26:AF108)&lt;=$AB$17)</f>
        <v>0</v>
      </c>
      <c r="AY108" s="175"/>
      <c r="AZ108" s="66">
        <f>((MAX((SUM($B$26:C108)+(VLOOKUP($AZ$25,'All Options'!$AB$36:$AC$46,2,0)*VLOOKUP('All Options'!$E$22,'Valid Data-GPG'!$B$130:$F$134,MATCH('All Options'!$E$17,'Valid Data-GPG'!$B$130:$F$130,0),0)*'All Options'!$E$17)*(IF(A108&lt;=DP,A108,0))),105%*SUM($B$26:C108)))*(AND(A108&lt;&gt;0,Output!A108&lt;=DP))+(0)*(A108&gt;DP))*$AZ$21</f>
        <v>0</v>
      </c>
      <c r="BA108" s="175" t="e">
        <f>((MAX((SUM($B$26:C108)+(VLOOKUP($BA$25,'All Options'!$AB$36:$AC$46,2,0)*VLOOKUP('All Options'!$E$22,'Valid Data-GPG'!$B$130:$F$134,MATCH('All Options'!$E$17,'Valid Data-GPG'!$B$130:$F$130,0),0)*'All Options'!$E$17)*(IF(A108&lt;=DP,A108,0))),105%*SUM($B$26:C108)))*(Output!A108&lt;=DP)
+MAX((SUM($B$26:C108)+(VLOOKUP($BA$25,'All Options'!$AB$36:$AC$46,2,0)*VLOOKUP('All Options'!$E$22,'Valid Data-GPG'!$B$130:$F$134,MATCH('All Options'!$E$17,'Valid Data-GPG'!$B$130:$F$130,0),0)*'All Options'!$E$17)*DP-D108*(A108-DP)),SUM($B$26:C108))*(A108&gt;DP))*$BA$21</f>
        <v>#N/A</v>
      </c>
      <c r="BB108" s="175">
        <f>((MAX(($AB$17+(VLOOKUP($BB$25,'All Options'!$AB$36:$AC$46,2,0)*VLOOKUP('All Options'!$E$22,'Valid Data-GPG'!$B$130:$F$134,MATCH('All Options'!$E$17,'Valid Data-GPG'!$B$130:$F$130,0),0)*'All Options'!$E$17)*(IF(A108&lt;=DP,A108,0))),105%*$AB$17))*(Output!A108&lt;=DP)+(0)*(A108&gt;DP))*$BB$21</f>
        <v>0</v>
      </c>
      <c r="BC108" s="175" t="e">
        <f>((MAX(($AB$17+(VLOOKUP($BC$25,'All Options'!$AB$36:$AC$46,2,0)*VLOOKUP('All Options'!$E$22,'Valid Data-GPG'!$B$130:$F$134,MATCH('All Options'!$E$17,'Valid Data-GPG'!$B$130:$F$130,0),0)*'All Options'!$E$17)*(IF(A108&lt;=DP,A108,0))),105%*$AB$17))*(Output!A108&lt;=DP)+
MAX(($AB$17+(VLOOKUP($BC$25,'All Options'!$AB$36:$AC$46,2,0)*VLOOKUP('All Options'!$E$22,'Valid Data-GPG'!$B$130:$F$134,MATCH('All Options'!$E$17,'Valid Data-GPG'!$B$130:$F$130,0),0)*'All Options'!$E$17)*DP-D108*(A108-DP)),$AB$17)*(A108&gt;DP))*$BC$21</f>
        <v>#N/A</v>
      </c>
      <c r="BD108" s="175">
        <f ca="1">IFERROR((MAX(($AB$17+(VLOOKUP($BD$25,'All Options'!$AB$36:$AC$46,2,0)*VLOOKUP('All Options'!$E$22,'Valid Data-GPG'!$B$130:$F$134,MATCH('All Options'!$E$17,'Valid Data-GPG'!$B$130:$F$130,0),0)*'All Options'!$E$17)*(IF(A108&lt;=DP,A108,0))),105%*$AB$17))*(Output!A108&lt;=DP)
+MAX(($AB$17+(VLOOKUP($BD$25,'All Options'!$AB$36:$AC$46,2,0)*VLOOKUP('All Options'!$E$22,'Valid Data-GPG'!$B$130:$F$134,MATCH('All Options'!$E$17,'Valid Data-GPG'!$B$130:$F$130,0),0)*'All Options'!$E$17)*DP-D108*(A108-DP)),$AB$17)*(A108&gt;DP),0)*$BD$21</f>
        <v>0</v>
      </c>
      <c r="BE108" s="66">
        <f>IFERROR((MAX(($AB$17+(VLOOKUP($BE$25,'All Options'!$AB$36:$AC$46,2,0)*VLOOKUP('All Options'!$E$22,'Valid Data-GPG'!$B$130:$F$134,MATCH('All Options'!$E$17,'Valid Data-GPG'!$B$130:$F$130,0),0)*'All Options'!$E$17)*(IF(A108&lt;=DP,A108,0))),105%*$AB$17))*(Output!A108&lt;=DP)
+(MAX($AB$17+(VLOOKUP($BE$25,'All Options'!$AB$36:$AC$46,2,0)*VLOOKUP('All Options'!$E$22,'Valid Data-GPG'!$B$130:$F$134,MATCH('All Options'!$E$17,'Valid Data-GPG'!$B$130:$F$130,0),0)*'All Options'!$E$17)*DP-AB108*(A108-DP),$AB$17)*(MAX(A108&lt;=25,K108&lt;85)))*(A108&gt;DP),0)*$BE$21</f>
        <v>0</v>
      </c>
      <c r="BF108" s="175">
        <f>IFERROR((MAX(($AB$17+(VLOOKUP($BF$25,'All Options'!$AB$36:$AC$46,2,0)*VLOOKUP('All Options'!$E$22,'Valid Data-GPG'!$B$130:$F$134,MATCH('All Options'!$E$17,'Valid Data-GPG'!$B$130:$F$130,0),0)*'All Options'!$E$17)*(IF(A108&lt;=DP,A108,0))),105%*$AB$17))*(Output!A108&lt;=DP)
+(MAX($AB$17+(VLOOKUP($BF$25,'All Options'!$AB$36:$AC$46,2,0)*VLOOKUP('All Options'!$E$22,'Valid Data-GPG'!$B$130:$F$134,MATCH('All Options'!$E$17,'Valid Data-GPG'!$B$130:$F$130,0),0)*'All Options'!$E$17)*DP-AB108*(A108-DP),$AB$17)-SUM($AF$26:AF108)*AG108)*(A108&gt;DP)*AG108,0)*$BF$21</f>
        <v>0</v>
      </c>
      <c r="BG108" s="175">
        <f t="shared" si="76"/>
        <v>0</v>
      </c>
      <c r="BH108" s="182">
        <f t="shared" si="59"/>
        <v>5000000</v>
      </c>
      <c r="BI108" s="175">
        <f t="shared" si="77"/>
        <v>0</v>
      </c>
      <c r="BJ108" s="175">
        <f t="shared" si="78"/>
        <v>0</v>
      </c>
      <c r="BK108" s="175">
        <f t="shared" si="79"/>
        <v>0</v>
      </c>
      <c r="BL108" s="175">
        <f t="shared" si="80"/>
        <v>0</v>
      </c>
      <c r="BM108" s="175">
        <f t="shared" si="81"/>
        <v>0</v>
      </c>
      <c r="BN108" s="175">
        <f t="shared" si="82"/>
        <v>0</v>
      </c>
      <c r="BO108" s="182">
        <f t="shared" si="60"/>
        <v>0</v>
      </c>
      <c r="BP108" s="182">
        <f t="shared" si="61"/>
        <v>0</v>
      </c>
      <c r="BQ108" s="182">
        <f>MAX($AB$17-SUM($AF$26:AF108),0)*$BQ$21</f>
        <v>0</v>
      </c>
      <c r="BS108" s="175">
        <f t="shared" si="62"/>
        <v>0</v>
      </c>
      <c r="BT108" s="175">
        <f>IFERROR(IF(A108&lt;=1,0,VLOOKUP(DP,'Valid Data-GPG'!$A$116:$J$122,MATCH(Output!A108,'Valid Data-GPG'!$A$116:$J$116,0),FALSE)*SUM($B$26:C108))*(A108&lt;=DP),0)*$BT$21</f>
        <v>0</v>
      </c>
      <c r="BU108" s="175">
        <f>IFERROR(IF(A108&lt;=1,0,VLOOKUP(DP,'Valid Data-GPG'!$A$116:$J$122,MATCH(Output!A108,'Valid Data-GPG'!$A$116:$J$116,0),FALSE)*SUM($B$26:C108))*(A108&lt;=DP),0)*$BU$21</f>
        <v>0</v>
      </c>
      <c r="BV108" s="175">
        <f t="shared" si="63"/>
        <v>0</v>
      </c>
      <c r="BW108" s="175">
        <f t="shared" si="64"/>
        <v>0</v>
      </c>
      <c r="BX108" s="175">
        <f t="shared" si="65"/>
        <v>0</v>
      </c>
      <c r="BY108" s="175">
        <f t="shared" si="66"/>
        <v>0</v>
      </c>
      <c r="BZ108" s="175">
        <f t="shared" si="67"/>
        <v>0</v>
      </c>
      <c r="CA108" s="175">
        <f>(INDEX('SV calc_ignore'!$J$10:$J$1341,12*Output!A108-0))*BS108</f>
        <v>0</v>
      </c>
      <c r="CB108" s="175">
        <f t="shared" si="83"/>
        <v>0</v>
      </c>
      <c r="CC108" s="175">
        <f>(INDEX('SV calc_ignore'!$J$10:$J$1341,12*Output!A108-0))*BS108</f>
        <v>0</v>
      </c>
      <c r="CD108" s="175">
        <f t="shared" si="84"/>
        <v>0</v>
      </c>
      <c r="CE108" s="66">
        <f>(INDEX('SV calc_ignore'!$J$10:$J$1341,12*Output!A108-0))*($CE$21)</f>
        <v>0</v>
      </c>
      <c r="CF108" s="175">
        <f t="shared" si="85"/>
        <v>0</v>
      </c>
      <c r="CG108" s="175">
        <f>(INDEX('SV calc_ignore'!$J$10:$J$1341,12*Output!A108-0))*($CG$21)*(A108&gt;1)</f>
        <v>0</v>
      </c>
      <c r="CH108" s="175">
        <f>(INDEX('SV calc_ignore'!$J$10:$J$1341,12*Output!A108-0))*($CH$21)*(A108&gt;1)</f>
        <v>0</v>
      </c>
      <c r="CI108" s="175"/>
      <c r="CJ108" s="66">
        <f>(INDEX('SV calc_ignore'!$J$10:$J$1341,12*Output!A108-0))*($CJ$21)*(A108&gt;1)</f>
        <v>0</v>
      </c>
      <c r="CK108" s="66">
        <f>(INDEX('SV calc_ignore'!$Q$10:$Q$1341,12*Output!A108-0))*(AND(A108&gt;1,R108&lt;20))*($CK$21)</f>
        <v>0</v>
      </c>
      <c r="CL108" s="66">
        <f t="shared" si="86"/>
        <v>0</v>
      </c>
      <c r="CM108" s="175">
        <f>((INDEX('SV calc_ignore'!$J$10:$J$1341,12*Output!A108-0))+(INDEX('SV calc_ignore'!$O$10:$O$1341,12*Output!A108-0))*(A108&lt;'SV calc_ignore'!$Q$5))*(A108&gt;1)*($CM$21)</f>
        <v>0</v>
      </c>
      <c r="CN108" s="175">
        <v>0</v>
      </c>
      <c r="CO108" s="175">
        <f>(INDEX('SV calc_ignore'!$J$10:$J$1341,12*Output!A108-0))*(A108&gt;1)*($CO$21)</f>
        <v>0</v>
      </c>
      <c r="CP108" s="175">
        <v>0</v>
      </c>
      <c r="CQ108" s="175">
        <v>0</v>
      </c>
      <c r="CR108" s="175">
        <v>0</v>
      </c>
      <c r="CS108" s="175">
        <v>0</v>
      </c>
      <c r="CT108" s="175">
        <v>0</v>
      </c>
      <c r="CU108" s="175">
        <v>0</v>
      </c>
      <c r="CV108" s="175">
        <f>(INDEX('SV calc_ignore'!$J$10:$J$1341,12*Output!A108-0))*(A108&gt;1)*($CV$21)</f>
        <v>0</v>
      </c>
      <c r="CW108" s="66">
        <f>((INDEX('SV calc_ignore'!$J$10:$J$1341,12*Output!A108-0))+(INDEX('SV calc_ignore'!$O$10:$O$1351,12*Output!A108-0))*(A108&lt;'SV calc_ignore'!$Q$5))*(A108&gt;1)*($CW$21)</f>
        <v>0</v>
      </c>
      <c r="CX108" s="175">
        <f>(INDEX('SV calc_ignore'!$J$10:$J$1341,12*Output!A108-0))*(A108&gt;1)*($CX$21)</f>
        <v>0</v>
      </c>
      <c r="CY108" s="175">
        <f>(INDEX('SV calc_ignore'!$Q$10:$Q$1341,12*Output!A108-0))*(AND(A108&gt;1,R108&lt;20))*($CY$21)</f>
        <v>0</v>
      </c>
      <c r="CZ108" s="175">
        <f t="shared" si="87"/>
        <v>0</v>
      </c>
      <c r="DE108" s="43">
        <f>IF($DE$23,0,VLOOKUP(IF(A108&lt;=DP,DJ108,DI108),SSV!$B$6:$C$116,2,FALSE)*VLOOKUP(AnnuityOption,'All Options'!$AB$36:$AC$47,2,FALSE)*VLOOKUP('All Options'!$E$22,'Valid Data-GPG'!$B$130:$F$134,MATCH('All Options'!$E$17,'Valid Data-GPG'!$B$130:$F$130,0),0)*'All Options'!$E$17)*(IF(AND(Select="Deferred Annuity",AnnuityOption="Life Annuity"),A108&lt;=DP,1))</f>
        <v>3274327.0531593515</v>
      </c>
      <c r="DF108" s="43">
        <f>IF($DF$23,0,IF($DQ$25,DQ108,IF($DR$25,DR108,VLOOKUP(IF(A108&lt;=DP,DJ108,DI108),SSV!$G$6:$H$116,2,FALSE)*SUM($B$27:B108))))</f>
        <v>1006161.5</v>
      </c>
      <c r="DG108" s="43" t="e">
        <f>IF(A108&lt;=DP,VLOOKUP(DP-A107,SSV!$T$6:$U$15,2,FALSE),1)</f>
        <v>#N/A</v>
      </c>
      <c r="DH108" s="282" t="e">
        <f t="shared" si="68"/>
        <v>#VALUE!</v>
      </c>
      <c r="DI108" s="43">
        <f>IF($DM$26,MIN(Age,'All Options'!$E$21)+A107,IF($DN$26,(Age+A107)-Age+60,IF($DO$26,(Age+A107)-Age+55,Age+A107)))</f>
        <v>60</v>
      </c>
      <c r="DJ108" s="279">
        <f>IF($DM$26,MIN(Age+A108,'All Options'!$E$21+A108),IF($DN$26,(Age+A108)-(Age+$A$27)+60,IF($DO$26,(Age+A108)-(Age+$A$27)+55,Age+A108)))</f>
        <v>60</v>
      </c>
      <c r="DP108" s="43">
        <f t="shared" si="88"/>
        <v>0</v>
      </c>
      <c r="DQ108" s="43">
        <f>IFERROR(VLOOKUP(IF(A108&lt;=DP,DJ108,DI108),SSV!$K$6:$L$91,2,FALSE)*SUM($B$27:B108),0)*($DQ$25)</f>
        <v>0</v>
      </c>
      <c r="DR108" s="43">
        <f>IFERROR(VLOOKUP(IF(A108&lt;=DP,DJ108,DI108),SSV!$O$6:$P$95,2,FALSE)*SUM($B$27:B108),0)*($DR$25)</f>
        <v>0</v>
      </c>
      <c r="DU108" s="175">
        <f t="shared" si="69"/>
        <v>0</v>
      </c>
    </row>
    <row r="109" spans="1:125" x14ac:dyDescent="0.2">
      <c r="A109" s="146">
        <f t="shared" si="70"/>
        <v>0</v>
      </c>
      <c r="B109" s="670">
        <f>IF(PremiumType="Regular Premium",'All Options'!$E$18*'All Options'!$E$22*(AND(Output!A109&lt;=PPT,A109&gt;=1)),'All Options'!$E$18*(A109=1))</f>
        <v>0</v>
      </c>
      <c r="C109" s="671"/>
      <c r="D109" s="103" t="e">
        <f>((VLOOKUP(CONCATENATE($D$14,$D$15),'All Options'!$AB$36:$AC$47,4,0)*VLOOKUP('All Options'!$E$22,'Valid Data-GPG'!$B$130:$F$134,MATCH('All Options'!$E$17,'Valid Data-GPG'!$B$130:$F$130,0),0)*'All Options'!$E$17)*IF(Select="Deferred Annuity",A109&gt;DP,1)+AE109+AF109*AG109*$AG$21)*(A109&gt;0)</f>
        <v>#N/A</v>
      </c>
      <c r="E109" s="103">
        <v>0</v>
      </c>
      <c r="F109" s="103" t="e">
        <f t="shared" si="71"/>
        <v>#N/A</v>
      </c>
      <c r="G109" s="103">
        <f t="shared" si="55"/>
        <v>0</v>
      </c>
      <c r="H109" s="285">
        <f t="shared" si="72"/>
        <v>0</v>
      </c>
      <c r="I109" s="103">
        <f t="shared" si="73"/>
        <v>0</v>
      </c>
      <c r="K109" s="175" t="str">
        <f t="shared" si="74"/>
        <v/>
      </c>
      <c r="L109" s="175"/>
      <c r="M109" s="175"/>
      <c r="N109" s="175"/>
      <c r="O109" s="175"/>
      <c r="P109" s="175"/>
      <c r="Q109" s="175"/>
      <c r="R109" s="175">
        <f t="shared" si="75"/>
        <v>0</v>
      </c>
      <c r="AB109" s="175" t="e">
        <f>(VLOOKUP(CONCATENATE($D$14,$D$15),'All Options'!$AB$36:$AC$47,4,0)*VLOOKUP('All Options'!$E$22,'Valid Data-GPG'!$B$130:$F$134,MATCH('All Options'!$E$17,'Valid Data-GPG'!$B$130:$F$130,0),0)*'All Options'!$E$17)*IF(Select="Deferred Annuity",A109&gt;DP,1)*(A109&gt;0)</f>
        <v>#N/A</v>
      </c>
      <c r="AC109" s="175">
        <f t="shared" si="56"/>
        <v>0</v>
      </c>
      <c r="AD109" s="175">
        <f>SUM($AC$26:AC109)</f>
        <v>0</v>
      </c>
      <c r="AE109" s="175">
        <f t="shared" si="57"/>
        <v>0</v>
      </c>
      <c r="AF109" s="175">
        <f t="shared" si="58"/>
        <v>0</v>
      </c>
      <c r="AG109" s="175" t="b">
        <f>(SUM($AF$26:AF109)&lt;=$AB$17)</f>
        <v>0</v>
      </c>
      <c r="AY109" s="175"/>
      <c r="AZ109" s="66">
        <f>((MAX((SUM($B$26:C109)+(VLOOKUP($AZ$25,'All Options'!$AB$36:$AC$46,2,0)*VLOOKUP('All Options'!$E$22,'Valid Data-GPG'!$B$130:$F$134,MATCH('All Options'!$E$17,'Valid Data-GPG'!$B$130:$F$130,0),0)*'All Options'!$E$17)*(IF(A109&lt;=DP,A109,0))),105%*SUM($B$26:C109)))*(AND(A109&lt;&gt;0,Output!A109&lt;=DP))+(0)*(A109&gt;DP))*$AZ$21</f>
        <v>0</v>
      </c>
      <c r="BA109" s="175" t="e">
        <f>((MAX((SUM($B$26:C109)+(VLOOKUP($BA$25,'All Options'!$AB$36:$AC$46,2,0)*VLOOKUP('All Options'!$E$22,'Valid Data-GPG'!$B$130:$F$134,MATCH('All Options'!$E$17,'Valid Data-GPG'!$B$130:$F$130,0),0)*'All Options'!$E$17)*(IF(A109&lt;=DP,A109,0))),105%*SUM($B$26:C109)))*(Output!A109&lt;=DP)
+MAX((SUM($B$26:C109)+(VLOOKUP($BA$25,'All Options'!$AB$36:$AC$46,2,0)*VLOOKUP('All Options'!$E$22,'Valid Data-GPG'!$B$130:$F$134,MATCH('All Options'!$E$17,'Valid Data-GPG'!$B$130:$F$130,0),0)*'All Options'!$E$17)*DP-D109*(A109-DP)),SUM($B$26:C109))*(A109&gt;DP))*$BA$21</f>
        <v>#N/A</v>
      </c>
      <c r="BB109" s="175">
        <f>((MAX(($AB$17+(VLOOKUP($BB$25,'All Options'!$AB$36:$AC$46,2,0)*VLOOKUP('All Options'!$E$22,'Valid Data-GPG'!$B$130:$F$134,MATCH('All Options'!$E$17,'Valid Data-GPG'!$B$130:$F$130,0),0)*'All Options'!$E$17)*(IF(A109&lt;=DP,A109,0))),105%*$AB$17))*(Output!A109&lt;=DP)+(0)*(A109&gt;DP))*$BB$21</f>
        <v>0</v>
      </c>
      <c r="BC109" s="175" t="e">
        <f>((MAX(($AB$17+(VLOOKUP($BC$25,'All Options'!$AB$36:$AC$46,2,0)*VLOOKUP('All Options'!$E$22,'Valid Data-GPG'!$B$130:$F$134,MATCH('All Options'!$E$17,'Valid Data-GPG'!$B$130:$F$130,0),0)*'All Options'!$E$17)*(IF(A109&lt;=DP,A109,0))),105%*$AB$17))*(Output!A109&lt;=DP)+
MAX(($AB$17+(VLOOKUP($BC$25,'All Options'!$AB$36:$AC$46,2,0)*VLOOKUP('All Options'!$E$22,'Valid Data-GPG'!$B$130:$F$134,MATCH('All Options'!$E$17,'Valid Data-GPG'!$B$130:$F$130,0),0)*'All Options'!$E$17)*DP-D109*(A109-DP)),$AB$17)*(A109&gt;DP))*$BC$21</f>
        <v>#N/A</v>
      </c>
      <c r="BD109" s="175">
        <f ca="1">IFERROR((MAX(($AB$17+(VLOOKUP($BD$25,'All Options'!$AB$36:$AC$46,2,0)*VLOOKUP('All Options'!$E$22,'Valid Data-GPG'!$B$130:$F$134,MATCH('All Options'!$E$17,'Valid Data-GPG'!$B$130:$F$130,0),0)*'All Options'!$E$17)*(IF(A109&lt;=DP,A109,0))),105%*$AB$17))*(Output!A109&lt;=DP)
+MAX(($AB$17+(VLOOKUP($BD$25,'All Options'!$AB$36:$AC$46,2,0)*VLOOKUP('All Options'!$E$22,'Valid Data-GPG'!$B$130:$F$134,MATCH('All Options'!$E$17,'Valid Data-GPG'!$B$130:$F$130,0),0)*'All Options'!$E$17)*DP-D109*(A109-DP)),$AB$17)*(A109&gt;DP),0)*$BD$21</f>
        <v>0</v>
      </c>
      <c r="BE109" s="66">
        <f>IFERROR((MAX(($AB$17+(VLOOKUP($BE$25,'All Options'!$AB$36:$AC$46,2,0)*VLOOKUP('All Options'!$E$22,'Valid Data-GPG'!$B$130:$F$134,MATCH('All Options'!$E$17,'Valid Data-GPG'!$B$130:$F$130,0),0)*'All Options'!$E$17)*(IF(A109&lt;=DP,A109,0))),105%*$AB$17))*(Output!A109&lt;=DP)
+(MAX($AB$17+(VLOOKUP($BE$25,'All Options'!$AB$36:$AC$46,2,0)*VLOOKUP('All Options'!$E$22,'Valid Data-GPG'!$B$130:$F$134,MATCH('All Options'!$E$17,'Valid Data-GPG'!$B$130:$F$130,0),0)*'All Options'!$E$17)*DP-AB109*(A109-DP),$AB$17)*(MAX(A109&lt;=25,K109&lt;85)))*(A109&gt;DP),0)*$BE$21</f>
        <v>0</v>
      </c>
      <c r="BF109" s="175">
        <f>IFERROR((MAX(($AB$17+(VLOOKUP($BF$25,'All Options'!$AB$36:$AC$46,2,0)*VLOOKUP('All Options'!$E$22,'Valid Data-GPG'!$B$130:$F$134,MATCH('All Options'!$E$17,'Valid Data-GPG'!$B$130:$F$130,0),0)*'All Options'!$E$17)*(IF(A109&lt;=DP,A109,0))),105%*$AB$17))*(Output!A109&lt;=DP)
+(MAX($AB$17+(VLOOKUP($BF$25,'All Options'!$AB$36:$AC$46,2,0)*VLOOKUP('All Options'!$E$22,'Valid Data-GPG'!$B$130:$F$134,MATCH('All Options'!$E$17,'Valid Data-GPG'!$B$130:$F$130,0),0)*'All Options'!$E$17)*DP-AB109*(A109-DP),$AB$17)-SUM($AF$26:AF109)*AG109)*(A109&gt;DP)*AG109,0)*$BF$21</f>
        <v>0</v>
      </c>
      <c r="BG109" s="175">
        <f t="shared" si="76"/>
        <v>0</v>
      </c>
      <c r="BH109" s="182">
        <f t="shared" si="59"/>
        <v>5000000</v>
      </c>
      <c r="BI109" s="175">
        <f t="shared" si="77"/>
        <v>0</v>
      </c>
      <c r="BJ109" s="175">
        <f t="shared" si="78"/>
        <v>0</v>
      </c>
      <c r="BK109" s="175">
        <f t="shared" si="79"/>
        <v>0</v>
      </c>
      <c r="BL109" s="175">
        <f t="shared" si="80"/>
        <v>0</v>
      </c>
      <c r="BM109" s="175">
        <f t="shared" si="81"/>
        <v>0</v>
      </c>
      <c r="BN109" s="175">
        <f t="shared" si="82"/>
        <v>0</v>
      </c>
      <c r="BO109" s="182">
        <f t="shared" si="60"/>
        <v>0</v>
      </c>
      <c r="BP109" s="182">
        <f t="shared" si="61"/>
        <v>0</v>
      </c>
      <c r="BQ109" s="182">
        <f>MAX($AB$17-SUM($AF$26:AF109),0)*$BQ$21</f>
        <v>0</v>
      </c>
      <c r="BS109" s="175">
        <f t="shared" si="62"/>
        <v>0</v>
      </c>
      <c r="BT109" s="175">
        <f>IFERROR(IF(A109&lt;=1,0,VLOOKUP(DP,'Valid Data-GPG'!$A$116:$J$122,MATCH(Output!A109,'Valid Data-GPG'!$A$116:$J$116,0),FALSE)*SUM($B$26:C109))*(A109&lt;=DP),0)*$BT$21</f>
        <v>0</v>
      </c>
      <c r="BU109" s="175">
        <f>IFERROR(IF(A109&lt;=1,0,VLOOKUP(DP,'Valid Data-GPG'!$A$116:$J$122,MATCH(Output!A109,'Valid Data-GPG'!$A$116:$J$116,0),FALSE)*SUM($B$26:C109))*(A109&lt;=DP),0)*$BU$21</f>
        <v>0</v>
      </c>
      <c r="BV109" s="175">
        <f t="shared" si="63"/>
        <v>0</v>
      </c>
      <c r="BW109" s="175">
        <f t="shared" si="64"/>
        <v>0</v>
      </c>
      <c r="BX109" s="175">
        <f t="shared" si="65"/>
        <v>0</v>
      </c>
      <c r="BY109" s="175">
        <f t="shared" si="66"/>
        <v>0</v>
      </c>
      <c r="BZ109" s="175">
        <f t="shared" si="67"/>
        <v>0</v>
      </c>
      <c r="CA109" s="175">
        <f>(INDEX('SV calc_ignore'!$J$10:$J$1341,12*Output!A109-0))*BS109</f>
        <v>0</v>
      </c>
      <c r="CB109" s="175">
        <f t="shared" si="83"/>
        <v>0</v>
      </c>
      <c r="CC109" s="175">
        <f>(INDEX('SV calc_ignore'!$J$10:$J$1341,12*Output!A109-0))*BS109</f>
        <v>0</v>
      </c>
      <c r="CD109" s="175">
        <f t="shared" si="84"/>
        <v>0</v>
      </c>
      <c r="CE109" s="66">
        <f>(INDEX('SV calc_ignore'!$J$10:$J$1341,12*Output!A109-0))*($CE$21)</f>
        <v>0</v>
      </c>
      <c r="CF109" s="175">
        <f t="shared" si="85"/>
        <v>0</v>
      </c>
      <c r="CG109" s="175">
        <f>(INDEX('SV calc_ignore'!$J$10:$J$1341,12*Output!A109-0))*($CG$21)*(A109&gt;1)</f>
        <v>0</v>
      </c>
      <c r="CH109" s="175">
        <f>(INDEX('SV calc_ignore'!$J$10:$J$1341,12*Output!A109-0))*($CH$21)*(A109&gt;1)</f>
        <v>0</v>
      </c>
      <c r="CI109" s="175"/>
      <c r="CJ109" s="66">
        <f>(INDEX('SV calc_ignore'!$J$10:$J$1341,12*Output!A109-0))*($CJ$21)*(A109&gt;1)</f>
        <v>0</v>
      </c>
      <c r="CK109" s="66">
        <f>(INDEX('SV calc_ignore'!$Q$10:$Q$1341,12*Output!A109-0))*(AND(A109&gt;1,R109&lt;20))*($CK$21)</f>
        <v>0</v>
      </c>
      <c r="CL109" s="66">
        <f t="shared" si="86"/>
        <v>0</v>
      </c>
      <c r="CM109" s="175">
        <f>((INDEX('SV calc_ignore'!$J$10:$J$1341,12*Output!A109-0))+(INDEX('SV calc_ignore'!$O$10:$O$1341,12*Output!A109-0))*(A109&lt;'SV calc_ignore'!$Q$5))*(A109&gt;1)*($CM$21)</f>
        <v>0</v>
      </c>
      <c r="CN109" s="175">
        <v>0</v>
      </c>
      <c r="CO109" s="175">
        <f>(INDEX('SV calc_ignore'!$J$10:$J$1341,12*Output!A109-0))*(A109&gt;1)*($CO$21)</f>
        <v>0</v>
      </c>
      <c r="CP109" s="175">
        <v>0</v>
      </c>
      <c r="CQ109" s="175">
        <v>0</v>
      </c>
      <c r="CR109" s="175">
        <v>0</v>
      </c>
      <c r="CS109" s="175">
        <v>0</v>
      </c>
      <c r="CT109" s="175">
        <v>0</v>
      </c>
      <c r="CU109" s="175">
        <v>0</v>
      </c>
      <c r="CV109" s="175">
        <f>(INDEX('SV calc_ignore'!$J$10:$J$1341,12*Output!A109-0))*(A109&gt;1)*($CV$21)</f>
        <v>0</v>
      </c>
      <c r="CW109" s="66">
        <f>((INDEX('SV calc_ignore'!$J$10:$J$1341,12*Output!A109-0))+(INDEX('SV calc_ignore'!$O$10:$O$1351,12*Output!A109-0))*(A109&lt;'SV calc_ignore'!$Q$5))*(A109&gt;1)*($CW$21)</f>
        <v>0</v>
      </c>
      <c r="CX109" s="175">
        <f>(INDEX('SV calc_ignore'!$J$10:$J$1341,12*Output!A109-0))*(A109&gt;1)*($CX$21)</f>
        <v>0</v>
      </c>
      <c r="CY109" s="175">
        <f>(INDEX('SV calc_ignore'!$Q$10:$Q$1341,12*Output!A109-0))*(AND(A109&gt;1,R109&lt;20))*($CY$21)</f>
        <v>0</v>
      </c>
      <c r="CZ109" s="175">
        <f t="shared" si="87"/>
        <v>0</v>
      </c>
      <c r="DE109" s="43">
        <f>IF($DE$23,0,VLOOKUP(IF(A109&lt;=DP,DJ109,DI109),SSV!$B$6:$C$116,2,FALSE)*VLOOKUP(AnnuityOption,'All Options'!$AB$36:$AC$47,2,FALSE)*VLOOKUP('All Options'!$E$22,'Valid Data-GPG'!$B$130:$F$134,MATCH('All Options'!$E$17,'Valid Data-GPG'!$B$130:$F$130,0),0)*'All Options'!$E$17)*(IF(AND(Select="Deferred Annuity",AnnuityOption="Life Annuity"),A109&lt;=DP,1))</f>
        <v>3274327.0531593515</v>
      </c>
      <c r="DF109" s="43">
        <f>IF($DF$23,0,IF($DQ$25,DQ109,IF($DR$25,DR109,VLOOKUP(IF(A109&lt;=DP,DJ109,DI109),SSV!$G$6:$H$116,2,FALSE)*SUM($B$27:B109))))</f>
        <v>1006161.5</v>
      </c>
      <c r="DG109" s="43" t="e">
        <f>IF(A109&lt;=DP,VLOOKUP(DP-A108,SSV!$T$6:$U$15,2,FALSE),1)</f>
        <v>#N/A</v>
      </c>
      <c r="DH109" s="282" t="e">
        <f t="shared" si="68"/>
        <v>#VALUE!</v>
      </c>
      <c r="DI109" s="43">
        <f>IF($DM$26,MIN(Age,'All Options'!$E$21)+A108,IF($DN$26,(Age+A108)-Age+60,IF($DO$26,(Age+A108)-Age+55,Age+A108)))</f>
        <v>60</v>
      </c>
      <c r="DJ109" s="279">
        <f>IF($DM$26,MIN(Age+A109,'All Options'!$E$21+A109),IF($DN$26,(Age+A109)-(Age+$A$27)+60,IF($DO$26,(Age+A109)-(Age+$A$27)+55,Age+A109)))</f>
        <v>60</v>
      </c>
      <c r="DP109" s="43">
        <f t="shared" si="88"/>
        <v>0</v>
      </c>
      <c r="DQ109" s="43">
        <f>IFERROR(VLOOKUP(IF(A109&lt;=DP,DJ109,DI109),SSV!$K$6:$L$91,2,FALSE)*SUM($B$27:B109),0)*($DQ$25)</f>
        <v>0</v>
      </c>
      <c r="DR109" s="43">
        <f>IFERROR(VLOOKUP(IF(A109&lt;=DP,DJ109,DI109),SSV!$O$6:$P$95,2,FALSE)*SUM($B$27:B109),0)*($DR$25)</f>
        <v>0</v>
      </c>
      <c r="DU109" s="175">
        <f t="shared" si="69"/>
        <v>0</v>
      </c>
    </row>
    <row r="110" spans="1:125" x14ac:dyDescent="0.2">
      <c r="A110" s="146">
        <f t="shared" si="70"/>
        <v>0</v>
      </c>
      <c r="B110" s="670">
        <f>IF(PremiumType="Regular Premium",'All Options'!$E$18*'All Options'!$E$22*(AND(Output!A110&lt;=PPT,A110&gt;=1)),'All Options'!$E$18*(A110=1))</f>
        <v>0</v>
      </c>
      <c r="C110" s="671"/>
      <c r="D110" s="103" t="e">
        <f>((VLOOKUP(CONCATENATE($D$14,$D$15),'All Options'!$AB$36:$AC$47,4,0)*VLOOKUP('All Options'!$E$22,'Valid Data-GPG'!$B$130:$F$134,MATCH('All Options'!$E$17,'Valid Data-GPG'!$B$130:$F$130,0),0)*'All Options'!$E$17)*IF(Select="Deferred Annuity",A110&gt;DP,1)+AE110+AF110*AG110*$AG$21)*(A110&gt;0)</f>
        <v>#N/A</v>
      </c>
      <c r="E110" s="103">
        <v>0</v>
      </c>
      <c r="F110" s="103" t="e">
        <f t="shared" si="71"/>
        <v>#N/A</v>
      </c>
      <c r="G110" s="103">
        <f t="shared" si="55"/>
        <v>0</v>
      </c>
      <c r="H110" s="285">
        <f t="shared" si="72"/>
        <v>0</v>
      </c>
      <c r="I110" s="103">
        <f t="shared" si="73"/>
        <v>0</v>
      </c>
      <c r="K110" s="175" t="str">
        <f t="shared" si="74"/>
        <v/>
      </c>
      <c r="L110" s="175"/>
      <c r="M110" s="175"/>
      <c r="N110" s="175"/>
      <c r="O110" s="175"/>
      <c r="P110" s="175"/>
      <c r="Q110" s="175"/>
      <c r="R110" s="175">
        <f t="shared" si="75"/>
        <v>0</v>
      </c>
      <c r="AB110" s="175" t="e">
        <f>(VLOOKUP(CONCATENATE($D$14,$D$15),'All Options'!$AB$36:$AC$47,4,0)*VLOOKUP('All Options'!$E$22,'Valid Data-GPG'!$B$130:$F$134,MATCH('All Options'!$E$17,'Valid Data-GPG'!$B$130:$F$130,0),0)*'All Options'!$E$17)*IF(Select="Deferred Annuity",A110&gt;DP,1)*(A110&gt;0)</f>
        <v>#N/A</v>
      </c>
      <c r="AC110" s="175">
        <f t="shared" si="56"/>
        <v>0</v>
      </c>
      <c r="AD110" s="175">
        <f>SUM($AC$26:AC110)</f>
        <v>0</v>
      </c>
      <c r="AE110" s="175">
        <f t="shared" si="57"/>
        <v>0</v>
      </c>
      <c r="AF110" s="175">
        <f t="shared" si="58"/>
        <v>0</v>
      </c>
      <c r="AG110" s="175" t="b">
        <f>(SUM($AF$26:AF110)&lt;=$AB$17)</f>
        <v>0</v>
      </c>
      <c r="AY110" s="175"/>
      <c r="AZ110" s="66">
        <f>((MAX((SUM($B$26:C110)+(VLOOKUP($AZ$25,'All Options'!$AB$36:$AC$46,2,0)*VLOOKUP('All Options'!$E$22,'Valid Data-GPG'!$B$130:$F$134,MATCH('All Options'!$E$17,'Valid Data-GPG'!$B$130:$F$130,0),0)*'All Options'!$E$17)*(IF(A110&lt;=DP,A110,0))),105%*SUM($B$26:C110)))*(AND(A110&lt;&gt;0,Output!A110&lt;=DP))+(0)*(A110&gt;DP))*$AZ$21</f>
        <v>0</v>
      </c>
      <c r="BA110" s="175" t="e">
        <f>((MAX((SUM($B$26:C110)+(VLOOKUP($BA$25,'All Options'!$AB$36:$AC$46,2,0)*VLOOKUP('All Options'!$E$22,'Valid Data-GPG'!$B$130:$F$134,MATCH('All Options'!$E$17,'Valid Data-GPG'!$B$130:$F$130,0),0)*'All Options'!$E$17)*(IF(A110&lt;=DP,A110,0))),105%*SUM($B$26:C110)))*(Output!A110&lt;=DP)
+MAX((SUM($B$26:C110)+(VLOOKUP($BA$25,'All Options'!$AB$36:$AC$46,2,0)*VLOOKUP('All Options'!$E$22,'Valid Data-GPG'!$B$130:$F$134,MATCH('All Options'!$E$17,'Valid Data-GPG'!$B$130:$F$130,0),0)*'All Options'!$E$17)*DP-D110*(A110-DP)),SUM($B$26:C110))*(A110&gt;DP))*$BA$21</f>
        <v>#N/A</v>
      </c>
      <c r="BB110" s="175">
        <f>((MAX(($AB$17+(VLOOKUP($BB$25,'All Options'!$AB$36:$AC$46,2,0)*VLOOKUP('All Options'!$E$22,'Valid Data-GPG'!$B$130:$F$134,MATCH('All Options'!$E$17,'Valid Data-GPG'!$B$130:$F$130,0),0)*'All Options'!$E$17)*(IF(A110&lt;=DP,A110,0))),105%*$AB$17))*(Output!A110&lt;=DP)+(0)*(A110&gt;DP))*$BB$21</f>
        <v>0</v>
      </c>
      <c r="BC110" s="175" t="e">
        <f>((MAX(($AB$17+(VLOOKUP($BC$25,'All Options'!$AB$36:$AC$46,2,0)*VLOOKUP('All Options'!$E$22,'Valid Data-GPG'!$B$130:$F$134,MATCH('All Options'!$E$17,'Valid Data-GPG'!$B$130:$F$130,0),0)*'All Options'!$E$17)*(IF(A110&lt;=DP,A110,0))),105%*$AB$17))*(Output!A110&lt;=DP)+
MAX(($AB$17+(VLOOKUP($BC$25,'All Options'!$AB$36:$AC$46,2,0)*VLOOKUP('All Options'!$E$22,'Valid Data-GPG'!$B$130:$F$134,MATCH('All Options'!$E$17,'Valid Data-GPG'!$B$130:$F$130,0),0)*'All Options'!$E$17)*DP-D110*(A110-DP)),$AB$17)*(A110&gt;DP))*$BC$21</f>
        <v>#N/A</v>
      </c>
      <c r="BD110" s="175">
        <f ca="1">IFERROR((MAX(($AB$17+(VLOOKUP($BD$25,'All Options'!$AB$36:$AC$46,2,0)*VLOOKUP('All Options'!$E$22,'Valid Data-GPG'!$B$130:$F$134,MATCH('All Options'!$E$17,'Valid Data-GPG'!$B$130:$F$130,0),0)*'All Options'!$E$17)*(IF(A110&lt;=DP,A110,0))),105%*$AB$17))*(Output!A110&lt;=DP)
+MAX(($AB$17+(VLOOKUP($BD$25,'All Options'!$AB$36:$AC$46,2,0)*VLOOKUP('All Options'!$E$22,'Valid Data-GPG'!$B$130:$F$134,MATCH('All Options'!$E$17,'Valid Data-GPG'!$B$130:$F$130,0),0)*'All Options'!$E$17)*DP-D110*(A110-DP)),$AB$17)*(A110&gt;DP),0)*$BD$21</f>
        <v>0</v>
      </c>
      <c r="BE110" s="66">
        <f>IFERROR((MAX(($AB$17+(VLOOKUP($BE$25,'All Options'!$AB$36:$AC$46,2,0)*VLOOKUP('All Options'!$E$22,'Valid Data-GPG'!$B$130:$F$134,MATCH('All Options'!$E$17,'Valid Data-GPG'!$B$130:$F$130,0),0)*'All Options'!$E$17)*(IF(A110&lt;=DP,A110,0))),105%*$AB$17))*(Output!A110&lt;=DP)
+(MAX($AB$17+(VLOOKUP($BE$25,'All Options'!$AB$36:$AC$46,2,0)*VLOOKUP('All Options'!$E$22,'Valid Data-GPG'!$B$130:$F$134,MATCH('All Options'!$E$17,'Valid Data-GPG'!$B$130:$F$130,0),0)*'All Options'!$E$17)*DP-AB110*(A110-DP),$AB$17)*(MAX(A110&lt;=25,K110&lt;85)))*(A110&gt;DP),0)*$BE$21</f>
        <v>0</v>
      </c>
      <c r="BF110" s="175">
        <f>IFERROR((MAX(($AB$17+(VLOOKUP($BF$25,'All Options'!$AB$36:$AC$46,2,0)*VLOOKUP('All Options'!$E$22,'Valid Data-GPG'!$B$130:$F$134,MATCH('All Options'!$E$17,'Valid Data-GPG'!$B$130:$F$130,0),0)*'All Options'!$E$17)*(IF(A110&lt;=DP,A110,0))),105%*$AB$17))*(Output!A110&lt;=DP)
+(MAX($AB$17+(VLOOKUP($BF$25,'All Options'!$AB$36:$AC$46,2,0)*VLOOKUP('All Options'!$E$22,'Valid Data-GPG'!$B$130:$F$134,MATCH('All Options'!$E$17,'Valid Data-GPG'!$B$130:$F$130,0),0)*'All Options'!$E$17)*DP-AB110*(A110-DP),$AB$17)-SUM($AF$26:AF110)*AG110)*(A110&gt;DP)*AG110,0)*$BF$21</f>
        <v>0</v>
      </c>
      <c r="BG110" s="175">
        <f t="shared" si="76"/>
        <v>0</v>
      </c>
      <c r="BH110" s="182">
        <f t="shared" si="59"/>
        <v>5000000</v>
      </c>
      <c r="BI110" s="175">
        <f t="shared" si="77"/>
        <v>0</v>
      </c>
      <c r="BJ110" s="175">
        <f t="shared" si="78"/>
        <v>0</v>
      </c>
      <c r="BK110" s="175">
        <f t="shared" si="79"/>
        <v>0</v>
      </c>
      <c r="BL110" s="175">
        <f t="shared" si="80"/>
        <v>0</v>
      </c>
      <c r="BM110" s="175">
        <f t="shared" si="81"/>
        <v>0</v>
      </c>
      <c r="BN110" s="175">
        <f t="shared" si="82"/>
        <v>0</v>
      </c>
      <c r="BO110" s="182">
        <f t="shared" si="60"/>
        <v>0</v>
      </c>
      <c r="BP110" s="182">
        <f t="shared" si="61"/>
        <v>0</v>
      </c>
      <c r="BQ110" s="182">
        <f>MAX($AB$17-SUM($AF$26:AF110),0)*$BQ$21</f>
        <v>0</v>
      </c>
      <c r="BS110" s="175">
        <f t="shared" si="62"/>
        <v>0</v>
      </c>
      <c r="BT110" s="175">
        <f>IFERROR(IF(A110&lt;=1,0,VLOOKUP(DP,'Valid Data-GPG'!$A$116:$J$122,MATCH(Output!A110,'Valid Data-GPG'!$A$116:$J$116,0),FALSE)*SUM($B$26:C110))*(A110&lt;=DP),0)*$BT$21</f>
        <v>0</v>
      </c>
      <c r="BU110" s="175">
        <f>IFERROR(IF(A110&lt;=1,0,VLOOKUP(DP,'Valid Data-GPG'!$A$116:$J$122,MATCH(Output!A110,'Valid Data-GPG'!$A$116:$J$116,0),FALSE)*SUM($B$26:C110))*(A110&lt;=DP),0)*$BU$21</f>
        <v>0</v>
      </c>
      <c r="BV110" s="175">
        <f t="shared" si="63"/>
        <v>0</v>
      </c>
      <c r="BW110" s="175">
        <f t="shared" si="64"/>
        <v>0</v>
      </c>
      <c r="BX110" s="175">
        <f t="shared" si="65"/>
        <v>0</v>
      </c>
      <c r="BY110" s="175">
        <f t="shared" si="66"/>
        <v>0</v>
      </c>
      <c r="BZ110" s="175">
        <f t="shared" si="67"/>
        <v>0</v>
      </c>
      <c r="CA110" s="175">
        <f>(INDEX('SV calc_ignore'!$J$10:$J$1341,12*Output!A110-0))*BS110</f>
        <v>0</v>
      </c>
      <c r="CB110" s="175">
        <f t="shared" si="83"/>
        <v>0</v>
      </c>
      <c r="CC110" s="175">
        <f>(INDEX('SV calc_ignore'!$J$10:$J$1341,12*Output!A110-0))*BS110</f>
        <v>0</v>
      </c>
      <c r="CD110" s="175">
        <f t="shared" si="84"/>
        <v>0</v>
      </c>
      <c r="CE110" s="66">
        <f>(INDEX('SV calc_ignore'!$J$10:$J$1341,12*Output!A110-0))*($CE$21)</f>
        <v>0</v>
      </c>
      <c r="CF110" s="175">
        <f t="shared" si="85"/>
        <v>0</v>
      </c>
      <c r="CG110" s="175">
        <f>(INDEX('SV calc_ignore'!$J$10:$J$1341,12*Output!A110-0))*($CG$21)*(A110&gt;1)</f>
        <v>0</v>
      </c>
      <c r="CH110" s="175">
        <f>(INDEX('SV calc_ignore'!$J$10:$J$1341,12*Output!A110-0))*($CH$21)*(A110&gt;1)</f>
        <v>0</v>
      </c>
      <c r="CI110" s="175"/>
      <c r="CJ110" s="66">
        <f>(INDEX('SV calc_ignore'!$J$10:$J$1341,12*Output!A110-0))*($CJ$21)*(A110&gt;1)</f>
        <v>0</v>
      </c>
      <c r="CK110" s="66">
        <f>(INDEX('SV calc_ignore'!$Q$10:$Q$1341,12*Output!A110-0))*(AND(A110&gt;1,R110&lt;20))*($CK$21)</f>
        <v>0</v>
      </c>
      <c r="CL110" s="66">
        <f t="shared" si="86"/>
        <v>0</v>
      </c>
      <c r="CM110" s="175">
        <f>((INDEX('SV calc_ignore'!$J$10:$J$1341,12*Output!A110-0))+(INDEX('SV calc_ignore'!$O$10:$O$1341,12*Output!A110-0))*(A110&lt;'SV calc_ignore'!$Q$5))*(A110&gt;1)*($CM$21)</f>
        <v>0</v>
      </c>
      <c r="CN110" s="175">
        <v>0</v>
      </c>
      <c r="CO110" s="175">
        <f>(INDEX('SV calc_ignore'!$J$10:$J$1341,12*Output!A110-0))*(A110&gt;1)*($CO$21)</f>
        <v>0</v>
      </c>
      <c r="CP110" s="175">
        <v>0</v>
      </c>
      <c r="CQ110" s="175">
        <v>0</v>
      </c>
      <c r="CR110" s="175">
        <v>0</v>
      </c>
      <c r="CS110" s="175">
        <v>0</v>
      </c>
      <c r="CT110" s="175">
        <v>0</v>
      </c>
      <c r="CU110" s="175">
        <v>0</v>
      </c>
      <c r="CV110" s="175">
        <f>(INDEX('SV calc_ignore'!$J$10:$J$1341,12*Output!A110-0))*(A110&gt;1)*($CV$21)</f>
        <v>0</v>
      </c>
      <c r="CW110" s="66">
        <f>((INDEX('SV calc_ignore'!$J$10:$J$1341,12*Output!A110-0))+(INDEX('SV calc_ignore'!$O$10:$O$1351,12*Output!A110-0))*(A110&lt;'SV calc_ignore'!$Q$5))*(A110&gt;1)*($CW$21)</f>
        <v>0</v>
      </c>
      <c r="CX110" s="175">
        <f>(INDEX('SV calc_ignore'!$J$10:$J$1341,12*Output!A110-0))*(A110&gt;1)*($CX$21)</f>
        <v>0</v>
      </c>
      <c r="CY110" s="175">
        <f>(INDEX('SV calc_ignore'!$Q$10:$Q$1341,12*Output!A110-0))*(AND(A110&gt;1,R110&lt;20))*($CY$21)</f>
        <v>0</v>
      </c>
      <c r="CZ110" s="175">
        <f t="shared" si="87"/>
        <v>0</v>
      </c>
      <c r="DE110" s="43">
        <f>IF($DE$23,0,VLOOKUP(IF(A110&lt;=DP,DJ110,DI110),SSV!$B$6:$C$116,2,FALSE)*VLOOKUP(AnnuityOption,'All Options'!$AB$36:$AC$47,2,FALSE)*VLOOKUP('All Options'!$E$22,'Valid Data-GPG'!$B$130:$F$134,MATCH('All Options'!$E$17,'Valid Data-GPG'!$B$130:$F$130,0),0)*'All Options'!$E$17)*(IF(AND(Select="Deferred Annuity",AnnuityOption="Life Annuity"),A110&lt;=DP,1))</f>
        <v>3274327.0531593515</v>
      </c>
      <c r="DF110" s="43">
        <f>IF($DF$23,0,IF($DQ$25,DQ110,IF($DR$25,DR110,VLOOKUP(IF(A110&lt;=DP,DJ110,DI110),SSV!$G$6:$H$116,2,FALSE)*SUM($B$27:B110))))</f>
        <v>1006161.5</v>
      </c>
      <c r="DG110" s="43" t="e">
        <f>IF(A110&lt;=DP,VLOOKUP(DP-A109,SSV!$T$6:$U$15,2,FALSE),1)</f>
        <v>#N/A</v>
      </c>
      <c r="DH110" s="282" t="e">
        <f t="shared" si="68"/>
        <v>#VALUE!</v>
      </c>
      <c r="DI110" s="43">
        <f>IF($DM$26,MIN(Age,'All Options'!$E$21)+A109,IF($DN$26,(Age+A109)-Age+60,IF($DO$26,(Age+A109)-Age+55,Age+A109)))</f>
        <v>60</v>
      </c>
      <c r="DJ110" s="279">
        <f>IF($DM$26,MIN(Age+A110,'All Options'!$E$21+A110),IF($DN$26,(Age+A110)-(Age+$A$27)+60,IF($DO$26,(Age+A110)-(Age+$A$27)+55,Age+A110)))</f>
        <v>60</v>
      </c>
      <c r="DP110" s="43">
        <f t="shared" si="88"/>
        <v>0</v>
      </c>
      <c r="DQ110" s="43">
        <f>IFERROR(VLOOKUP(IF(A110&lt;=DP,DJ110,DI110),SSV!$K$6:$L$91,2,FALSE)*SUM($B$27:B110),0)*($DQ$25)</f>
        <v>0</v>
      </c>
      <c r="DR110" s="43">
        <f>IFERROR(VLOOKUP(IF(A110&lt;=DP,DJ110,DI110),SSV!$O$6:$P$95,2,FALSE)*SUM($B$27:B110),0)*($DR$25)</f>
        <v>0</v>
      </c>
      <c r="DU110" s="175">
        <f t="shared" si="69"/>
        <v>0</v>
      </c>
    </row>
    <row r="111" spans="1:125" x14ac:dyDescent="0.2">
      <c r="A111" s="146">
        <f t="shared" si="70"/>
        <v>0</v>
      </c>
      <c r="B111" s="670">
        <f>IF(PremiumType="Regular Premium",'All Options'!$E$18*'All Options'!$E$22*(AND(Output!A111&lt;=PPT,A111&gt;=1)),'All Options'!$E$18*(A111=1))</f>
        <v>0</v>
      </c>
      <c r="C111" s="671"/>
      <c r="D111" s="103" t="e">
        <f>((VLOOKUP(CONCATENATE($D$14,$D$15),'All Options'!$AB$36:$AC$47,4,0)*VLOOKUP('All Options'!$E$22,'Valid Data-GPG'!$B$130:$F$134,MATCH('All Options'!$E$17,'Valid Data-GPG'!$B$130:$F$130,0),0)*'All Options'!$E$17)*IF(Select="Deferred Annuity",A111&gt;DP,1)+AE111+AF111*AG111*$AG$21)*(A111&gt;0)</f>
        <v>#N/A</v>
      </c>
      <c r="E111" s="103">
        <v>0</v>
      </c>
      <c r="F111" s="103" t="e">
        <f t="shared" si="71"/>
        <v>#N/A</v>
      </c>
      <c r="G111" s="103">
        <f t="shared" si="55"/>
        <v>0</v>
      </c>
      <c r="H111" s="285">
        <f t="shared" si="72"/>
        <v>0</v>
      </c>
      <c r="I111" s="103">
        <f t="shared" si="73"/>
        <v>0</v>
      </c>
      <c r="K111" s="175" t="str">
        <f t="shared" si="74"/>
        <v/>
      </c>
      <c r="L111" s="175"/>
      <c r="M111" s="175"/>
      <c r="N111" s="175"/>
      <c r="O111" s="175"/>
      <c r="P111" s="175"/>
      <c r="Q111" s="175"/>
      <c r="R111" s="175">
        <f t="shared" si="75"/>
        <v>0</v>
      </c>
      <c r="AB111" s="175" t="e">
        <f>(VLOOKUP(CONCATENATE($D$14,$D$15),'All Options'!$AB$36:$AC$47,4,0)*VLOOKUP('All Options'!$E$22,'Valid Data-GPG'!$B$130:$F$134,MATCH('All Options'!$E$17,'Valid Data-GPG'!$B$130:$F$130,0),0)*'All Options'!$E$17)*IF(Select="Deferred Annuity",A111&gt;DP,1)*(A111&gt;0)</f>
        <v>#N/A</v>
      </c>
      <c r="AC111" s="175">
        <f t="shared" si="56"/>
        <v>0</v>
      </c>
      <c r="AD111" s="175">
        <f>SUM($AC$26:AC111)</f>
        <v>0</v>
      </c>
      <c r="AE111" s="175">
        <f t="shared" si="57"/>
        <v>0</v>
      </c>
      <c r="AF111" s="175">
        <f t="shared" si="58"/>
        <v>0</v>
      </c>
      <c r="AG111" s="175" t="b">
        <f>(SUM($AF$26:AF111)&lt;=$AB$17)</f>
        <v>0</v>
      </c>
      <c r="AY111" s="175"/>
      <c r="AZ111" s="66">
        <f>((MAX((SUM($B$26:C111)+(VLOOKUP($AZ$25,'All Options'!$AB$36:$AC$46,2,0)*VLOOKUP('All Options'!$E$22,'Valid Data-GPG'!$B$130:$F$134,MATCH('All Options'!$E$17,'Valid Data-GPG'!$B$130:$F$130,0),0)*'All Options'!$E$17)*(IF(A111&lt;=DP,A111,0))),105%*SUM($B$26:C111)))*(AND(A111&lt;&gt;0,Output!A111&lt;=DP))+(0)*(A111&gt;DP))*$AZ$21</f>
        <v>0</v>
      </c>
      <c r="BA111" s="175" t="e">
        <f>((MAX((SUM($B$26:C111)+(VLOOKUP($BA$25,'All Options'!$AB$36:$AC$46,2,0)*VLOOKUP('All Options'!$E$22,'Valid Data-GPG'!$B$130:$F$134,MATCH('All Options'!$E$17,'Valid Data-GPG'!$B$130:$F$130,0),0)*'All Options'!$E$17)*(IF(A111&lt;=DP,A111,0))),105%*SUM($B$26:C111)))*(Output!A111&lt;=DP)
+MAX((SUM($B$26:C111)+(VLOOKUP($BA$25,'All Options'!$AB$36:$AC$46,2,0)*VLOOKUP('All Options'!$E$22,'Valid Data-GPG'!$B$130:$F$134,MATCH('All Options'!$E$17,'Valid Data-GPG'!$B$130:$F$130,0),0)*'All Options'!$E$17)*DP-D111*(A111-DP)),SUM($B$26:C111))*(A111&gt;DP))*$BA$21</f>
        <v>#N/A</v>
      </c>
      <c r="BB111" s="175">
        <f>((MAX(($AB$17+(VLOOKUP($BB$25,'All Options'!$AB$36:$AC$46,2,0)*VLOOKUP('All Options'!$E$22,'Valid Data-GPG'!$B$130:$F$134,MATCH('All Options'!$E$17,'Valid Data-GPG'!$B$130:$F$130,0),0)*'All Options'!$E$17)*(IF(A111&lt;=DP,A111,0))),105%*$AB$17))*(Output!A111&lt;=DP)+(0)*(A111&gt;DP))*$BB$21</f>
        <v>0</v>
      </c>
      <c r="BC111" s="175" t="e">
        <f>((MAX(($AB$17+(VLOOKUP($BC$25,'All Options'!$AB$36:$AC$46,2,0)*VLOOKUP('All Options'!$E$22,'Valid Data-GPG'!$B$130:$F$134,MATCH('All Options'!$E$17,'Valid Data-GPG'!$B$130:$F$130,0),0)*'All Options'!$E$17)*(IF(A111&lt;=DP,A111,0))),105%*$AB$17))*(Output!A111&lt;=DP)+
MAX(($AB$17+(VLOOKUP($BC$25,'All Options'!$AB$36:$AC$46,2,0)*VLOOKUP('All Options'!$E$22,'Valid Data-GPG'!$B$130:$F$134,MATCH('All Options'!$E$17,'Valid Data-GPG'!$B$130:$F$130,0),0)*'All Options'!$E$17)*DP-D111*(A111-DP)),$AB$17)*(A111&gt;DP))*$BC$21</f>
        <v>#N/A</v>
      </c>
      <c r="BD111" s="175">
        <f ca="1">IFERROR((MAX(($AB$17+(VLOOKUP($BD$25,'All Options'!$AB$36:$AC$46,2,0)*VLOOKUP('All Options'!$E$22,'Valid Data-GPG'!$B$130:$F$134,MATCH('All Options'!$E$17,'Valid Data-GPG'!$B$130:$F$130,0),0)*'All Options'!$E$17)*(IF(A111&lt;=DP,A111,0))),105%*$AB$17))*(Output!A111&lt;=DP)
+MAX(($AB$17+(VLOOKUP($BD$25,'All Options'!$AB$36:$AC$46,2,0)*VLOOKUP('All Options'!$E$22,'Valid Data-GPG'!$B$130:$F$134,MATCH('All Options'!$E$17,'Valid Data-GPG'!$B$130:$F$130,0),0)*'All Options'!$E$17)*DP-D111*(A111-DP)),$AB$17)*(A111&gt;DP),0)*$BD$21</f>
        <v>0</v>
      </c>
      <c r="BE111" s="66">
        <f>IFERROR((MAX(($AB$17+(VLOOKUP($BE$25,'All Options'!$AB$36:$AC$46,2,0)*VLOOKUP('All Options'!$E$22,'Valid Data-GPG'!$B$130:$F$134,MATCH('All Options'!$E$17,'Valid Data-GPG'!$B$130:$F$130,0),0)*'All Options'!$E$17)*(IF(A111&lt;=DP,A111,0))),105%*$AB$17))*(Output!A111&lt;=DP)
+(MAX($AB$17+(VLOOKUP($BE$25,'All Options'!$AB$36:$AC$46,2,0)*VLOOKUP('All Options'!$E$22,'Valid Data-GPG'!$B$130:$F$134,MATCH('All Options'!$E$17,'Valid Data-GPG'!$B$130:$F$130,0),0)*'All Options'!$E$17)*DP-AB111*(A111-DP),$AB$17)*(MAX(A111&lt;=25,K111&lt;85)))*(A111&gt;DP),0)*$BE$21</f>
        <v>0</v>
      </c>
      <c r="BF111" s="175">
        <f>IFERROR((MAX(($AB$17+(VLOOKUP($BF$25,'All Options'!$AB$36:$AC$46,2,0)*VLOOKUP('All Options'!$E$22,'Valid Data-GPG'!$B$130:$F$134,MATCH('All Options'!$E$17,'Valid Data-GPG'!$B$130:$F$130,0),0)*'All Options'!$E$17)*(IF(A111&lt;=DP,A111,0))),105%*$AB$17))*(Output!A111&lt;=DP)
+(MAX($AB$17+(VLOOKUP($BF$25,'All Options'!$AB$36:$AC$46,2,0)*VLOOKUP('All Options'!$E$22,'Valid Data-GPG'!$B$130:$F$134,MATCH('All Options'!$E$17,'Valid Data-GPG'!$B$130:$F$130,0),0)*'All Options'!$E$17)*DP-AB111*(A111-DP),$AB$17)-SUM($AF$26:AF111)*AG111)*(A111&gt;DP)*AG111,0)*$BF$21</f>
        <v>0</v>
      </c>
      <c r="BG111" s="175">
        <f t="shared" si="76"/>
        <v>0</v>
      </c>
      <c r="BH111" s="182">
        <f t="shared" si="59"/>
        <v>5000000</v>
      </c>
      <c r="BI111" s="175">
        <f t="shared" si="77"/>
        <v>0</v>
      </c>
      <c r="BJ111" s="175">
        <f t="shared" si="78"/>
        <v>0</v>
      </c>
      <c r="BK111" s="175">
        <f t="shared" si="79"/>
        <v>0</v>
      </c>
      <c r="BL111" s="175">
        <f t="shared" si="80"/>
        <v>0</v>
      </c>
      <c r="BM111" s="175">
        <f t="shared" si="81"/>
        <v>0</v>
      </c>
      <c r="BN111" s="175">
        <f t="shared" si="82"/>
        <v>0</v>
      </c>
      <c r="BO111" s="182">
        <f t="shared" si="60"/>
        <v>0</v>
      </c>
      <c r="BP111" s="182">
        <f t="shared" si="61"/>
        <v>0</v>
      </c>
      <c r="BQ111" s="182">
        <f>MAX($AB$17-SUM($AF$26:AF111),0)*$BQ$21</f>
        <v>0</v>
      </c>
      <c r="BS111" s="175">
        <f t="shared" si="62"/>
        <v>0</v>
      </c>
      <c r="BT111" s="175">
        <f>IFERROR(IF(A111&lt;=1,0,VLOOKUP(DP,'Valid Data-GPG'!$A$116:$J$122,MATCH(Output!A111,'Valid Data-GPG'!$A$116:$J$116,0),FALSE)*SUM($B$26:C111))*(A111&lt;=DP),0)*$BT$21</f>
        <v>0</v>
      </c>
      <c r="BU111" s="175">
        <f>IFERROR(IF(A111&lt;=1,0,VLOOKUP(DP,'Valid Data-GPG'!$A$116:$J$122,MATCH(Output!A111,'Valid Data-GPG'!$A$116:$J$116,0),FALSE)*SUM($B$26:C111))*(A111&lt;=DP),0)*$BU$21</f>
        <v>0</v>
      </c>
      <c r="BV111" s="175">
        <f t="shared" si="63"/>
        <v>0</v>
      </c>
      <c r="BW111" s="175">
        <f t="shared" si="64"/>
        <v>0</v>
      </c>
      <c r="BX111" s="175">
        <f t="shared" si="65"/>
        <v>0</v>
      </c>
      <c r="BY111" s="175">
        <f t="shared" si="66"/>
        <v>0</v>
      </c>
      <c r="BZ111" s="175">
        <f t="shared" si="67"/>
        <v>0</v>
      </c>
      <c r="CA111" s="175">
        <f>(INDEX('SV calc_ignore'!$J$10:$J$1341,12*Output!A111-0))*BS111</f>
        <v>0</v>
      </c>
      <c r="CB111" s="175">
        <f t="shared" si="83"/>
        <v>0</v>
      </c>
      <c r="CC111" s="175">
        <f>(INDEX('SV calc_ignore'!$J$10:$J$1341,12*Output!A111-0))*BS111</f>
        <v>0</v>
      </c>
      <c r="CD111" s="175">
        <f t="shared" si="84"/>
        <v>0</v>
      </c>
      <c r="CE111" s="66">
        <f>(INDEX('SV calc_ignore'!$J$10:$J$1341,12*Output!A111-0))*($CE$21)</f>
        <v>0</v>
      </c>
      <c r="CF111" s="175">
        <f t="shared" si="85"/>
        <v>0</v>
      </c>
      <c r="CG111" s="175">
        <f>(INDEX('SV calc_ignore'!$J$10:$J$1341,12*Output!A111-0))*($CG$21)*(A111&gt;1)</f>
        <v>0</v>
      </c>
      <c r="CH111" s="175">
        <f>(INDEX('SV calc_ignore'!$J$10:$J$1341,12*Output!A111-0))*($CH$21)*(A111&gt;1)</f>
        <v>0</v>
      </c>
      <c r="CI111" s="175"/>
      <c r="CJ111" s="66">
        <f>(INDEX('SV calc_ignore'!$J$10:$J$1341,12*Output!A111-0))*($CJ$21)*(A111&gt;1)</f>
        <v>0</v>
      </c>
      <c r="CK111" s="66">
        <f>(INDEX('SV calc_ignore'!$Q$10:$Q$1341,12*Output!A111-0))*(AND(A111&gt;1,R111&lt;20))*($CK$21)</f>
        <v>0</v>
      </c>
      <c r="CL111" s="66">
        <f t="shared" si="86"/>
        <v>0</v>
      </c>
      <c r="CM111" s="175">
        <f>((INDEX('SV calc_ignore'!$J$10:$J$1341,12*Output!A111-0))+(INDEX('SV calc_ignore'!$O$10:$O$1341,12*Output!A111-0))*(A111&lt;'SV calc_ignore'!$Q$5))*(A111&gt;1)*($CM$21)</f>
        <v>0</v>
      </c>
      <c r="CN111" s="175">
        <v>0</v>
      </c>
      <c r="CO111" s="175">
        <f>(INDEX('SV calc_ignore'!$J$10:$J$1341,12*Output!A111-0))*(A111&gt;1)*($CO$21)</f>
        <v>0</v>
      </c>
      <c r="CP111" s="175">
        <v>0</v>
      </c>
      <c r="CQ111" s="175">
        <v>0</v>
      </c>
      <c r="CR111" s="175">
        <v>0</v>
      </c>
      <c r="CS111" s="175">
        <v>0</v>
      </c>
      <c r="CT111" s="175">
        <v>0</v>
      </c>
      <c r="CU111" s="175">
        <v>0</v>
      </c>
      <c r="CV111" s="175">
        <f>(INDEX('SV calc_ignore'!$J$10:$J$1341,12*Output!A111-0))*(A111&gt;1)*($CV$21)</f>
        <v>0</v>
      </c>
      <c r="CW111" s="66">
        <f>((INDEX('SV calc_ignore'!$J$10:$J$1341,12*Output!A111-0))+(INDEX('SV calc_ignore'!$O$10:$O$1351,12*Output!A111-0))*(A111&lt;'SV calc_ignore'!$Q$5))*(A111&gt;1)*($CW$21)</f>
        <v>0</v>
      </c>
      <c r="CX111" s="175">
        <f>(INDEX('SV calc_ignore'!$J$10:$J$1341,12*Output!A111-0))*(A111&gt;1)*($CX$21)</f>
        <v>0</v>
      </c>
      <c r="CY111" s="175">
        <f>(INDEX('SV calc_ignore'!$Q$10:$Q$1341,12*Output!A111-0))*(AND(A111&gt;1,R111&lt;20))*($CY$21)</f>
        <v>0</v>
      </c>
      <c r="CZ111" s="175">
        <f t="shared" si="87"/>
        <v>0</v>
      </c>
      <c r="DE111" s="43">
        <f>IF($DE$23,0,VLOOKUP(IF(A111&lt;=DP,DJ111,DI111),SSV!$B$6:$C$116,2,FALSE)*VLOOKUP(AnnuityOption,'All Options'!$AB$36:$AC$47,2,FALSE)*VLOOKUP('All Options'!$E$22,'Valid Data-GPG'!$B$130:$F$134,MATCH('All Options'!$E$17,'Valid Data-GPG'!$B$130:$F$130,0),0)*'All Options'!$E$17)*(IF(AND(Select="Deferred Annuity",AnnuityOption="Life Annuity"),A111&lt;=DP,1))</f>
        <v>3274327.0531593515</v>
      </c>
      <c r="DF111" s="43">
        <f>IF($DF$23,0,IF($DQ$25,DQ111,IF($DR$25,DR111,VLOOKUP(IF(A111&lt;=DP,DJ111,DI111),SSV!$G$6:$H$116,2,FALSE)*SUM($B$27:B111))))</f>
        <v>1006161.5</v>
      </c>
      <c r="DG111" s="43" t="e">
        <f>IF(A111&lt;=DP,VLOOKUP(DP-A110,SSV!$T$6:$U$15,2,FALSE),1)</f>
        <v>#N/A</v>
      </c>
      <c r="DH111" s="282" t="e">
        <f t="shared" si="68"/>
        <v>#VALUE!</v>
      </c>
      <c r="DI111" s="43">
        <f>IF($DM$26,MIN(Age,'All Options'!$E$21)+A110,IF($DN$26,(Age+A110)-Age+60,IF($DO$26,(Age+A110)-Age+55,Age+A110)))</f>
        <v>60</v>
      </c>
      <c r="DJ111" s="279">
        <f>IF($DM$26,MIN(Age+A111,'All Options'!$E$21+A111),IF($DN$26,(Age+A111)-(Age+$A$27)+60,IF($DO$26,(Age+A111)-(Age+$A$27)+55,Age+A111)))</f>
        <v>60</v>
      </c>
      <c r="DP111" s="43">
        <f t="shared" si="88"/>
        <v>0</v>
      </c>
      <c r="DQ111" s="43">
        <f>IFERROR(VLOOKUP(IF(A111&lt;=DP,DJ111,DI111),SSV!$K$6:$L$91,2,FALSE)*SUM($B$27:B111),0)*($DQ$25)</f>
        <v>0</v>
      </c>
      <c r="DR111" s="43">
        <f>IFERROR(VLOOKUP(IF(A111&lt;=DP,DJ111,DI111),SSV!$O$6:$P$95,2,FALSE)*SUM($B$27:B111),0)*($DR$25)</f>
        <v>0</v>
      </c>
      <c r="DU111" s="175">
        <f t="shared" si="69"/>
        <v>0</v>
      </c>
    </row>
    <row r="112" spans="1:125" x14ac:dyDescent="0.2">
      <c r="A112" s="146">
        <f t="shared" si="70"/>
        <v>0</v>
      </c>
      <c r="B112" s="670">
        <f>IF(PremiumType="Regular Premium",'All Options'!$E$18*'All Options'!$E$22*(AND(Output!A112&lt;=PPT,A112&gt;=1)),'All Options'!$E$18*(A112=1))</f>
        <v>0</v>
      </c>
      <c r="C112" s="671"/>
      <c r="D112" s="103" t="e">
        <f>((VLOOKUP(CONCATENATE($D$14,$D$15),'All Options'!$AB$36:$AC$47,4,0)*VLOOKUP('All Options'!$E$22,'Valid Data-GPG'!$B$130:$F$134,MATCH('All Options'!$E$17,'Valid Data-GPG'!$B$130:$F$130,0),0)*'All Options'!$E$17)*IF(Select="Deferred Annuity",A112&gt;DP,1)+AE112+AF112*AG112*$AG$21)*(A112&gt;0)</f>
        <v>#N/A</v>
      </c>
      <c r="E112" s="103">
        <v>0</v>
      </c>
      <c r="F112" s="103" t="e">
        <f t="shared" si="71"/>
        <v>#N/A</v>
      </c>
      <c r="G112" s="103">
        <f t="shared" si="55"/>
        <v>0</v>
      </c>
      <c r="H112" s="285">
        <f t="shared" si="72"/>
        <v>0</v>
      </c>
      <c r="I112" s="103">
        <f t="shared" si="73"/>
        <v>0</v>
      </c>
      <c r="K112" s="175" t="str">
        <f t="shared" si="74"/>
        <v/>
      </c>
      <c r="L112" s="175"/>
      <c r="M112" s="175"/>
      <c r="N112" s="175"/>
      <c r="O112" s="175"/>
      <c r="P112" s="175"/>
      <c r="Q112" s="175"/>
      <c r="R112" s="175">
        <f t="shared" si="75"/>
        <v>0</v>
      </c>
      <c r="AB112" s="175" t="e">
        <f>(VLOOKUP(CONCATENATE($D$14,$D$15),'All Options'!$AB$36:$AC$47,4,0)*VLOOKUP('All Options'!$E$22,'Valid Data-GPG'!$B$130:$F$134,MATCH('All Options'!$E$17,'Valid Data-GPG'!$B$130:$F$130,0),0)*'All Options'!$E$17)*IF(Select="Deferred Annuity",A112&gt;DP,1)*(A112&gt;0)</f>
        <v>#N/A</v>
      </c>
      <c r="AC112" s="175">
        <f t="shared" si="56"/>
        <v>0</v>
      </c>
      <c r="AD112" s="175">
        <f>SUM($AC$26:AC112)</f>
        <v>0</v>
      </c>
      <c r="AE112" s="175">
        <f t="shared" si="57"/>
        <v>0</v>
      </c>
      <c r="AF112" s="175">
        <f t="shared" si="58"/>
        <v>0</v>
      </c>
      <c r="AG112" s="175" t="b">
        <f>(SUM($AF$26:AF112)&lt;=$AB$17)</f>
        <v>0</v>
      </c>
      <c r="AY112" s="175"/>
      <c r="AZ112" s="66">
        <f>((MAX((SUM($B$26:C112)+(VLOOKUP($AZ$25,'All Options'!$AB$36:$AC$46,2,0)*VLOOKUP('All Options'!$E$22,'Valid Data-GPG'!$B$130:$F$134,MATCH('All Options'!$E$17,'Valid Data-GPG'!$B$130:$F$130,0),0)*'All Options'!$E$17)*(IF(A112&lt;=DP,A112,0))),105%*SUM($B$26:C112)))*(AND(A112&lt;&gt;0,Output!A112&lt;=DP))+(0)*(A112&gt;DP))*$AZ$21</f>
        <v>0</v>
      </c>
      <c r="BA112" s="175" t="e">
        <f>((MAX((SUM($B$26:C112)+(VLOOKUP($BA$25,'All Options'!$AB$36:$AC$46,2,0)*VLOOKUP('All Options'!$E$22,'Valid Data-GPG'!$B$130:$F$134,MATCH('All Options'!$E$17,'Valid Data-GPG'!$B$130:$F$130,0),0)*'All Options'!$E$17)*(IF(A112&lt;=DP,A112,0))),105%*SUM($B$26:C112)))*(Output!A112&lt;=DP)
+MAX((SUM($B$26:C112)+(VLOOKUP($BA$25,'All Options'!$AB$36:$AC$46,2,0)*VLOOKUP('All Options'!$E$22,'Valid Data-GPG'!$B$130:$F$134,MATCH('All Options'!$E$17,'Valid Data-GPG'!$B$130:$F$130,0),0)*'All Options'!$E$17)*DP-D112*(A112-DP)),SUM($B$26:C112))*(A112&gt;DP))*$BA$21</f>
        <v>#N/A</v>
      </c>
      <c r="BB112" s="175">
        <f>((MAX(($AB$17+(VLOOKUP($BB$25,'All Options'!$AB$36:$AC$46,2,0)*VLOOKUP('All Options'!$E$22,'Valid Data-GPG'!$B$130:$F$134,MATCH('All Options'!$E$17,'Valid Data-GPG'!$B$130:$F$130,0),0)*'All Options'!$E$17)*(IF(A112&lt;=DP,A112,0))),105%*$AB$17))*(Output!A112&lt;=DP)+(0)*(A112&gt;DP))*$BB$21</f>
        <v>0</v>
      </c>
      <c r="BC112" s="175" t="e">
        <f>((MAX(($AB$17+(VLOOKUP($BC$25,'All Options'!$AB$36:$AC$46,2,0)*VLOOKUP('All Options'!$E$22,'Valid Data-GPG'!$B$130:$F$134,MATCH('All Options'!$E$17,'Valid Data-GPG'!$B$130:$F$130,0),0)*'All Options'!$E$17)*(IF(A112&lt;=DP,A112,0))),105%*$AB$17))*(Output!A112&lt;=DP)+
MAX(($AB$17+(VLOOKUP($BC$25,'All Options'!$AB$36:$AC$46,2,0)*VLOOKUP('All Options'!$E$22,'Valid Data-GPG'!$B$130:$F$134,MATCH('All Options'!$E$17,'Valid Data-GPG'!$B$130:$F$130,0),0)*'All Options'!$E$17)*DP-D112*(A112-DP)),$AB$17)*(A112&gt;DP))*$BC$21</f>
        <v>#N/A</v>
      </c>
      <c r="BD112" s="175">
        <f ca="1">IFERROR((MAX(($AB$17+(VLOOKUP($BD$25,'All Options'!$AB$36:$AC$46,2,0)*VLOOKUP('All Options'!$E$22,'Valid Data-GPG'!$B$130:$F$134,MATCH('All Options'!$E$17,'Valid Data-GPG'!$B$130:$F$130,0),0)*'All Options'!$E$17)*(IF(A112&lt;=DP,A112,0))),105%*$AB$17))*(Output!A112&lt;=DP)
+MAX(($AB$17+(VLOOKUP($BD$25,'All Options'!$AB$36:$AC$46,2,0)*VLOOKUP('All Options'!$E$22,'Valid Data-GPG'!$B$130:$F$134,MATCH('All Options'!$E$17,'Valid Data-GPG'!$B$130:$F$130,0),0)*'All Options'!$E$17)*DP-D112*(A112-DP)),$AB$17)*(A112&gt;DP),0)*$BD$21</f>
        <v>0</v>
      </c>
      <c r="BE112" s="66">
        <f>IFERROR((MAX(($AB$17+(VLOOKUP($BE$25,'All Options'!$AB$36:$AC$46,2,0)*VLOOKUP('All Options'!$E$22,'Valid Data-GPG'!$B$130:$F$134,MATCH('All Options'!$E$17,'Valid Data-GPG'!$B$130:$F$130,0),0)*'All Options'!$E$17)*(IF(A112&lt;=DP,A112,0))),105%*$AB$17))*(Output!A112&lt;=DP)
+(MAX($AB$17+(VLOOKUP($BE$25,'All Options'!$AB$36:$AC$46,2,0)*VLOOKUP('All Options'!$E$22,'Valid Data-GPG'!$B$130:$F$134,MATCH('All Options'!$E$17,'Valid Data-GPG'!$B$130:$F$130,0),0)*'All Options'!$E$17)*DP-AB112*(A112-DP),$AB$17)*(MAX(A112&lt;=25,K112&lt;85)))*(A112&gt;DP),0)*$BE$21</f>
        <v>0</v>
      </c>
      <c r="BF112" s="175">
        <f>IFERROR((MAX(($AB$17+(VLOOKUP($BF$25,'All Options'!$AB$36:$AC$46,2,0)*VLOOKUP('All Options'!$E$22,'Valid Data-GPG'!$B$130:$F$134,MATCH('All Options'!$E$17,'Valid Data-GPG'!$B$130:$F$130,0),0)*'All Options'!$E$17)*(IF(A112&lt;=DP,A112,0))),105%*$AB$17))*(Output!A112&lt;=DP)
+(MAX($AB$17+(VLOOKUP($BF$25,'All Options'!$AB$36:$AC$46,2,0)*VLOOKUP('All Options'!$E$22,'Valid Data-GPG'!$B$130:$F$134,MATCH('All Options'!$E$17,'Valid Data-GPG'!$B$130:$F$130,0),0)*'All Options'!$E$17)*DP-AB112*(A112-DP),$AB$17)-SUM($AF$26:AF112)*AG112)*(A112&gt;DP)*AG112,0)*$BF$21</f>
        <v>0</v>
      </c>
      <c r="BG112" s="175">
        <f t="shared" si="76"/>
        <v>0</v>
      </c>
      <c r="BH112" s="182">
        <f t="shared" si="59"/>
        <v>5000000</v>
      </c>
      <c r="BI112" s="175">
        <f t="shared" si="77"/>
        <v>0</v>
      </c>
      <c r="BJ112" s="175">
        <f t="shared" si="78"/>
        <v>0</v>
      </c>
      <c r="BK112" s="175">
        <f t="shared" si="79"/>
        <v>0</v>
      </c>
      <c r="BL112" s="175">
        <f t="shared" si="80"/>
        <v>0</v>
      </c>
      <c r="BM112" s="175">
        <f t="shared" si="81"/>
        <v>0</v>
      </c>
      <c r="BN112" s="175">
        <f t="shared" si="82"/>
        <v>0</v>
      </c>
      <c r="BO112" s="182">
        <f t="shared" si="60"/>
        <v>0</v>
      </c>
      <c r="BP112" s="182">
        <f t="shared" si="61"/>
        <v>0</v>
      </c>
      <c r="BQ112" s="182">
        <f>MAX($AB$17-SUM($AF$26:AF112),0)*$BQ$21</f>
        <v>0</v>
      </c>
      <c r="BS112" s="175">
        <f t="shared" si="62"/>
        <v>0</v>
      </c>
      <c r="BT112" s="175">
        <f>IFERROR(IF(A112&lt;=1,0,VLOOKUP(DP,'Valid Data-GPG'!$A$116:$J$122,MATCH(Output!A112,'Valid Data-GPG'!$A$116:$J$116,0),FALSE)*SUM($B$26:C112))*(A112&lt;=DP),0)*$BT$21</f>
        <v>0</v>
      </c>
      <c r="BU112" s="175">
        <f>IFERROR(IF(A112&lt;=1,0,VLOOKUP(DP,'Valid Data-GPG'!$A$116:$J$122,MATCH(Output!A112,'Valid Data-GPG'!$A$116:$J$116,0),FALSE)*SUM($B$26:C112))*(A112&lt;=DP),0)*$BU$21</f>
        <v>0</v>
      </c>
      <c r="BV112" s="175">
        <f t="shared" si="63"/>
        <v>0</v>
      </c>
      <c r="BW112" s="175">
        <f t="shared" si="64"/>
        <v>0</v>
      </c>
      <c r="BX112" s="175">
        <f t="shared" si="65"/>
        <v>0</v>
      </c>
      <c r="BY112" s="175">
        <f t="shared" si="66"/>
        <v>0</v>
      </c>
      <c r="BZ112" s="175">
        <f t="shared" si="67"/>
        <v>0</v>
      </c>
      <c r="CA112" s="175">
        <f>(INDEX('SV calc_ignore'!$J$10:$J$1341,12*Output!A112-0))*BS112</f>
        <v>0</v>
      </c>
      <c r="CB112" s="175">
        <f t="shared" si="83"/>
        <v>0</v>
      </c>
      <c r="CC112" s="175">
        <f>(INDEX('SV calc_ignore'!$J$10:$J$1341,12*Output!A112-0))*BS112</f>
        <v>0</v>
      </c>
      <c r="CD112" s="175">
        <f t="shared" si="84"/>
        <v>0</v>
      </c>
      <c r="CE112" s="66">
        <f>(INDEX('SV calc_ignore'!$J$10:$J$1341,12*Output!A112-0))*($CE$21)</f>
        <v>0</v>
      </c>
      <c r="CF112" s="175">
        <f t="shared" si="85"/>
        <v>0</v>
      </c>
      <c r="CG112" s="175">
        <f>(INDEX('SV calc_ignore'!$J$10:$J$1341,12*Output!A112-0))*($CG$21)*(A112&gt;1)</f>
        <v>0</v>
      </c>
      <c r="CH112" s="175">
        <f>(INDEX('SV calc_ignore'!$J$10:$J$1341,12*Output!A112-0))*($CH$21)*(A112&gt;1)</f>
        <v>0</v>
      </c>
      <c r="CI112" s="175"/>
      <c r="CJ112" s="66">
        <f>(INDEX('SV calc_ignore'!$J$10:$J$1341,12*Output!A112-0))*($CJ$21)*(A112&gt;1)</f>
        <v>0</v>
      </c>
      <c r="CK112" s="66">
        <f>(INDEX('SV calc_ignore'!$Q$10:$Q$1341,12*Output!A112-0))*(AND(A112&gt;1,R112&lt;20))*($CK$21)</f>
        <v>0</v>
      </c>
      <c r="CL112" s="66">
        <f t="shared" si="86"/>
        <v>0</v>
      </c>
      <c r="CM112" s="175">
        <f>((INDEX('SV calc_ignore'!$J$10:$J$1341,12*Output!A112-0))+(INDEX('SV calc_ignore'!$O$10:$O$1341,12*Output!A112-0))*(A112&lt;'SV calc_ignore'!$Q$5))*(A112&gt;1)*($CM$21)</f>
        <v>0</v>
      </c>
      <c r="CN112" s="175">
        <v>0</v>
      </c>
      <c r="CO112" s="175">
        <f>(INDEX('SV calc_ignore'!$J$10:$J$1341,12*Output!A112-0))*(A112&gt;1)*($CO$21)</f>
        <v>0</v>
      </c>
      <c r="CP112" s="175">
        <v>0</v>
      </c>
      <c r="CQ112" s="175">
        <v>0</v>
      </c>
      <c r="CR112" s="175">
        <v>0</v>
      </c>
      <c r="CS112" s="175">
        <v>0</v>
      </c>
      <c r="CT112" s="175">
        <v>0</v>
      </c>
      <c r="CU112" s="175">
        <v>0</v>
      </c>
      <c r="CV112" s="175">
        <f>(INDEX('SV calc_ignore'!$J$10:$J$1341,12*Output!A112-0))*(A112&gt;1)*($CV$21)</f>
        <v>0</v>
      </c>
      <c r="CW112" s="66">
        <f>((INDEX('SV calc_ignore'!$J$10:$J$1341,12*Output!A112-0))+(INDEX('SV calc_ignore'!$O$10:$O$1351,12*Output!A112-0))*(A112&lt;'SV calc_ignore'!$Q$5))*(A112&gt;1)*($CW$21)</f>
        <v>0</v>
      </c>
      <c r="CX112" s="175">
        <f>(INDEX('SV calc_ignore'!$J$10:$J$1341,12*Output!A112-0))*(A112&gt;1)*($CX$21)</f>
        <v>0</v>
      </c>
      <c r="CY112" s="175">
        <f>(INDEX('SV calc_ignore'!$Q$10:$Q$1341,12*Output!A112-0))*(AND(A112&gt;1,R112&lt;20))*($CY$21)</f>
        <v>0</v>
      </c>
      <c r="CZ112" s="175">
        <f t="shared" si="87"/>
        <v>0</v>
      </c>
      <c r="DE112" s="43">
        <f>IF($DE$23,0,VLOOKUP(IF(A112&lt;=DP,DJ112,DI112),SSV!$B$6:$C$116,2,FALSE)*VLOOKUP(AnnuityOption,'All Options'!$AB$36:$AC$47,2,FALSE)*VLOOKUP('All Options'!$E$22,'Valid Data-GPG'!$B$130:$F$134,MATCH('All Options'!$E$17,'Valid Data-GPG'!$B$130:$F$130,0),0)*'All Options'!$E$17)*(IF(AND(Select="Deferred Annuity",AnnuityOption="Life Annuity"),A112&lt;=DP,1))</f>
        <v>3274327.0531593515</v>
      </c>
      <c r="DF112" s="43">
        <f>IF($DF$23,0,IF($DQ$25,DQ112,IF($DR$25,DR112,VLOOKUP(IF(A112&lt;=DP,DJ112,DI112),SSV!$G$6:$H$116,2,FALSE)*SUM($B$27:B112))))</f>
        <v>1006161.5</v>
      </c>
      <c r="DG112" s="43" t="e">
        <f>IF(A112&lt;=DP,VLOOKUP(DP-A111,SSV!$T$6:$U$15,2,FALSE),1)</f>
        <v>#N/A</v>
      </c>
      <c r="DH112" s="282" t="e">
        <f t="shared" si="68"/>
        <v>#VALUE!</v>
      </c>
      <c r="DI112" s="43">
        <f>IF($DM$26,MIN(Age,'All Options'!$E$21)+A111,IF($DN$26,(Age+A111)-Age+60,IF($DO$26,(Age+A111)-Age+55,Age+A111)))</f>
        <v>60</v>
      </c>
      <c r="DJ112" s="279">
        <f>IF($DM$26,MIN(Age+A112,'All Options'!$E$21+A112),IF($DN$26,(Age+A112)-(Age+$A$27)+60,IF($DO$26,(Age+A112)-(Age+$A$27)+55,Age+A112)))</f>
        <v>60</v>
      </c>
      <c r="DP112" s="43">
        <f t="shared" si="88"/>
        <v>0</v>
      </c>
      <c r="DQ112" s="43">
        <f>IFERROR(VLOOKUP(IF(A112&lt;=DP,DJ112,DI112),SSV!$K$6:$L$91,2,FALSE)*SUM($B$27:B112),0)*($DQ$25)</f>
        <v>0</v>
      </c>
      <c r="DR112" s="43">
        <f>IFERROR(VLOOKUP(IF(A112&lt;=DP,DJ112,DI112),SSV!$O$6:$P$95,2,FALSE)*SUM($B$27:B112),0)*($DR$25)</f>
        <v>0</v>
      </c>
      <c r="DU112" s="175">
        <f t="shared" si="69"/>
        <v>0</v>
      </c>
    </row>
    <row r="113" spans="1:125" x14ac:dyDescent="0.2">
      <c r="A113" s="146">
        <f t="shared" si="70"/>
        <v>0</v>
      </c>
      <c r="B113" s="670">
        <f>IF(PremiumType="Regular Premium",'All Options'!$E$18*'All Options'!$E$22*(AND(Output!A113&lt;=PPT,A113&gt;=1)),'All Options'!$E$18*(A113=1))</f>
        <v>0</v>
      </c>
      <c r="C113" s="671"/>
      <c r="D113" s="103" t="e">
        <f>((VLOOKUP(CONCATENATE($D$14,$D$15),'All Options'!$AB$36:$AC$47,4,0)*VLOOKUP('All Options'!$E$22,'Valid Data-GPG'!$B$130:$F$134,MATCH('All Options'!$E$17,'Valid Data-GPG'!$B$130:$F$130,0),0)*'All Options'!$E$17)*IF(Select="Deferred Annuity",A113&gt;DP,1)+AE113+AF113*AG113*$AG$21)*(A113&gt;0)</f>
        <v>#N/A</v>
      </c>
      <c r="E113" s="103">
        <v>0</v>
      </c>
      <c r="F113" s="103" t="e">
        <f t="shared" si="71"/>
        <v>#N/A</v>
      </c>
      <c r="G113" s="103">
        <f t="shared" si="55"/>
        <v>0</v>
      </c>
      <c r="H113" s="285">
        <f t="shared" si="72"/>
        <v>0</v>
      </c>
      <c r="I113" s="103">
        <f t="shared" si="73"/>
        <v>0</v>
      </c>
      <c r="K113" s="175" t="str">
        <f t="shared" si="74"/>
        <v/>
      </c>
      <c r="L113" s="175"/>
      <c r="M113" s="175"/>
      <c r="N113" s="175"/>
      <c r="O113" s="175"/>
      <c r="P113" s="175"/>
      <c r="Q113" s="175"/>
      <c r="R113" s="175">
        <f t="shared" si="75"/>
        <v>0</v>
      </c>
      <c r="AB113" s="175" t="e">
        <f>(VLOOKUP(CONCATENATE($D$14,$D$15),'All Options'!$AB$36:$AC$47,4,0)*VLOOKUP('All Options'!$E$22,'Valid Data-GPG'!$B$130:$F$134,MATCH('All Options'!$E$17,'Valid Data-GPG'!$B$130:$F$130,0),0)*'All Options'!$E$17)*IF(Select="Deferred Annuity",A113&gt;DP,1)*(A113&gt;0)</f>
        <v>#N/A</v>
      </c>
      <c r="AC113" s="175">
        <f t="shared" si="56"/>
        <v>0</v>
      </c>
      <c r="AD113" s="175">
        <f>SUM($AC$26:AC113)</f>
        <v>0</v>
      </c>
      <c r="AE113" s="175">
        <f t="shared" si="57"/>
        <v>0</v>
      </c>
      <c r="AF113" s="175">
        <f t="shared" si="58"/>
        <v>0</v>
      </c>
      <c r="AG113" s="175" t="b">
        <f>(SUM($AF$26:AF113)&lt;=$AB$17)</f>
        <v>0</v>
      </c>
      <c r="AY113" s="175"/>
      <c r="AZ113" s="66">
        <f>((MAX((SUM($B$26:C113)+(VLOOKUP($AZ$25,'All Options'!$AB$36:$AC$46,2,0)*VLOOKUP('All Options'!$E$22,'Valid Data-GPG'!$B$130:$F$134,MATCH('All Options'!$E$17,'Valid Data-GPG'!$B$130:$F$130,0),0)*'All Options'!$E$17)*(IF(A113&lt;=DP,A113,0))),105%*SUM($B$26:C113)))*(AND(A113&lt;&gt;0,Output!A113&lt;=DP))+(0)*(A113&gt;DP))*$AZ$21</f>
        <v>0</v>
      </c>
      <c r="BA113" s="175" t="e">
        <f>((MAX((SUM($B$26:C113)+(VLOOKUP($BA$25,'All Options'!$AB$36:$AC$46,2,0)*VLOOKUP('All Options'!$E$22,'Valid Data-GPG'!$B$130:$F$134,MATCH('All Options'!$E$17,'Valid Data-GPG'!$B$130:$F$130,0),0)*'All Options'!$E$17)*(IF(A113&lt;=DP,A113,0))),105%*SUM($B$26:C113)))*(Output!A113&lt;=DP)
+MAX((SUM($B$26:C113)+(VLOOKUP($BA$25,'All Options'!$AB$36:$AC$46,2,0)*VLOOKUP('All Options'!$E$22,'Valid Data-GPG'!$B$130:$F$134,MATCH('All Options'!$E$17,'Valid Data-GPG'!$B$130:$F$130,0),0)*'All Options'!$E$17)*DP-D113*(A113-DP)),SUM($B$26:C113))*(A113&gt;DP))*$BA$21</f>
        <v>#N/A</v>
      </c>
      <c r="BB113" s="175">
        <f>((MAX(($AB$17+(VLOOKUP($BB$25,'All Options'!$AB$36:$AC$46,2,0)*VLOOKUP('All Options'!$E$22,'Valid Data-GPG'!$B$130:$F$134,MATCH('All Options'!$E$17,'Valid Data-GPG'!$B$130:$F$130,0),0)*'All Options'!$E$17)*(IF(A113&lt;=DP,A113,0))),105%*$AB$17))*(Output!A113&lt;=DP)+(0)*(A113&gt;DP))*$BB$21</f>
        <v>0</v>
      </c>
      <c r="BC113" s="175" t="e">
        <f>((MAX(($AB$17+(VLOOKUP($BC$25,'All Options'!$AB$36:$AC$46,2,0)*VLOOKUP('All Options'!$E$22,'Valid Data-GPG'!$B$130:$F$134,MATCH('All Options'!$E$17,'Valid Data-GPG'!$B$130:$F$130,0),0)*'All Options'!$E$17)*(IF(A113&lt;=DP,A113,0))),105%*$AB$17))*(Output!A113&lt;=DP)+
MAX(($AB$17+(VLOOKUP($BC$25,'All Options'!$AB$36:$AC$46,2,0)*VLOOKUP('All Options'!$E$22,'Valid Data-GPG'!$B$130:$F$134,MATCH('All Options'!$E$17,'Valid Data-GPG'!$B$130:$F$130,0),0)*'All Options'!$E$17)*DP-D113*(A113-DP)),$AB$17)*(A113&gt;DP))*$BC$21</f>
        <v>#N/A</v>
      </c>
      <c r="BD113" s="175">
        <f ca="1">IFERROR((MAX(($AB$17+(VLOOKUP($BD$25,'All Options'!$AB$36:$AC$46,2,0)*VLOOKUP('All Options'!$E$22,'Valid Data-GPG'!$B$130:$F$134,MATCH('All Options'!$E$17,'Valid Data-GPG'!$B$130:$F$130,0),0)*'All Options'!$E$17)*(IF(A113&lt;=DP,A113,0))),105%*$AB$17))*(Output!A113&lt;=DP)
+MAX(($AB$17+(VLOOKUP($BD$25,'All Options'!$AB$36:$AC$46,2,0)*VLOOKUP('All Options'!$E$22,'Valid Data-GPG'!$B$130:$F$134,MATCH('All Options'!$E$17,'Valid Data-GPG'!$B$130:$F$130,0),0)*'All Options'!$E$17)*DP-D113*(A113-DP)),$AB$17)*(A113&gt;DP),0)*$BD$21</f>
        <v>0</v>
      </c>
      <c r="BE113" s="66">
        <f>IFERROR((MAX(($AB$17+(VLOOKUP($BE$25,'All Options'!$AB$36:$AC$46,2,0)*VLOOKUP('All Options'!$E$22,'Valid Data-GPG'!$B$130:$F$134,MATCH('All Options'!$E$17,'Valid Data-GPG'!$B$130:$F$130,0),0)*'All Options'!$E$17)*(IF(A113&lt;=DP,A113,0))),105%*$AB$17))*(Output!A113&lt;=DP)
+(MAX($AB$17+(VLOOKUP($BE$25,'All Options'!$AB$36:$AC$46,2,0)*VLOOKUP('All Options'!$E$22,'Valid Data-GPG'!$B$130:$F$134,MATCH('All Options'!$E$17,'Valid Data-GPG'!$B$130:$F$130,0),0)*'All Options'!$E$17)*DP-AB113*(A113-DP),$AB$17)*(MAX(A113&lt;=25,K113&lt;85)))*(A113&gt;DP),0)*$BE$21</f>
        <v>0</v>
      </c>
      <c r="BF113" s="175">
        <f>IFERROR((MAX(($AB$17+(VLOOKUP($BF$25,'All Options'!$AB$36:$AC$46,2,0)*VLOOKUP('All Options'!$E$22,'Valid Data-GPG'!$B$130:$F$134,MATCH('All Options'!$E$17,'Valid Data-GPG'!$B$130:$F$130,0),0)*'All Options'!$E$17)*(IF(A113&lt;=DP,A113,0))),105%*$AB$17))*(Output!A113&lt;=DP)
+(MAX($AB$17+(VLOOKUP($BF$25,'All Options'!$AB$36:$AC$46,2,0)*VLOOKUP('All Options'!$E$22,'Valid Data-GPG'!$B$130:$F$134,MATCH('All Options'!$E$17,'Valid Data-GPG'!$B$130:$F$130,0),0)*'All Options'!$E$17)*DP-AB113*(A113-DP),$AB$17)-SUM($AF$26:AF113)*AG113)*(A113&gt;DP)*AG113,0)*$BF$21</f>
        <v>0</v>
      </c>
      <c r="BG113" s="175">
        <f t="shared" si="76"/>
        <v>0</v>
      </c>
      <c r="BH113" s="182">
        <f t="shared" si="59"/>
        <v>5000000</v>
      </c>
      <c r="BI113" s="175">
        <f t="shared" si="77"/>
        <v>0</v>
      </c>
      <c r="BJ113" s="175">
        <f t="shared" si="78"/>
        <v>0</v>
      </c>
      <c r="BK113" s="175">
        <f t="shared" si="79"/>
        <v>0</v>
      </c>
      <c r="BL113" s="175">
        <f t="shared" si="80"/>
        <v>0</v>
      </c>
      <c r="BM113" s="175">
        <f t="shared" si="81"/>
        <v>0</v>
      </c>
      <c r="BN113" s="175">
        <f t="shared" si="82"/>
        <v>0</v>
      </c>
      <c r="BO113" s="182">
        <f t="shared" si="60"/>
        <v>0</v>
      </c>
      <c r="BP113" s="182">
        <f t="shared" si="61"/>
        <v>0</v>
      </c>
      <c r="BQ113" s="182">
        <f>MAX($AB$17-SUM($AF$26:AF113),0)*$BQ$21</f>
        <v>0</v>
      </c>
      <c r="BS113" s="175">
        <f t="shared" si="62"/>
        <v>0</v>
      </c>
      <c r="BT113" s="175">
        <f>IFERROR(IF(A113&lt;=1,0,VLOOKUP(DP,'Valid Data-GPG'!$A$116:$J$122,MATCH(Output!A113,'Valid Data-GPG'!$A$116:$J$116,0),FALSE)*SUM($B$26:C113))*(A113&lt;=DP),0)*$BT$21</f>
        <v>0</v>
      </c>
      <c r="BU113" s="175">
        <f>IFERROR(IF(A113&lt;=1,0,VLOOKUP(DP,'Valid Data-GPG'!$A$116:$J$122,MATCH(Output!A113,'Valid Data-GPG'!$A$116:$J$116,0),FALSE)*SUM($B$26:C113))*(A113&lt;=DP),0)*$BU$21</f>
        <v>0</v>
      </c>
      <c r="BV113" s="175">
        <f t="shared" si="63"/>
        <v>0</v>
      </c>
      <c r="BW113" s="175">
        <f t="shared" si="64"/>
        <v>0</v>
      </c>
      <c r="BX113" s="175">
        <f t="shared" si="65"/>
        <v>0</v>
      </c>
      <c r="BY113" s="175">
        <f t="shared" si="66"/>
        <v>0</v>
      </c>
      <c r="BZ113" s="175">
        <f t="shared" si="67"/>
        <v>0</v>
      </c>
      <c r="CA113" s="175">
        <f>(INDEX('SV calc_ignore'!$J$10:$J$1341,12*Output!A113-0))*BS113</f>
        <v>0</v>
      </c>
      <c r="CB113" s="175">
        <f t="shared" si="83"/>
        <v>0</v>
      </c>
      <c r="CC113" s="175">
        <f>(INDEX('SV calc_ignore'!$J$10:$J$1341,12*Output!A113-0))*BS113</f>
        <v>0</v>
      </c>
      <c r="CD113" s="175">
        <f t="shared" si="84"/>
        <v>0</v>
      </c>
      <c r="CE113" s="66">
        <f>(INDEX('SV calc_ignore'!$J$10:$J$1341,12*Output!A113-0))*($CE$21)</f>
        <v>0</v>
      </c>
      <c r="CF113" s="175">
        <f t="shared" si="85"/>
        <v>0</v>
      </c>
      <c r="CG113" s="175">
        <f>(INDEX('SV calc_ignore'!$J$10:$J$1341,12*Output!A113-0))*($CG$21)*(A113&gt;1)</f>
        <v>0</v>
      </c>
      <c r="CH113" s="175">
        <f>(INDEX('SV calc_ignore'!$J$10:$J$1341,12*Output!A113-0))*($CH$21)*(A113&gt;1)</f>
        <v>0</v>
      </c>
      <c r="CI113" s="175"/>
      <c r="CJ113" s="66">
        <f>(INDEX('SV calc_ignore'!$J$10:$J$1341,12*Output!A113-0))*($CJ$21)*(A113&gt;1)</f>
        <v>0</v>
      </c>
      <c r="CK113" s="66">
        <f>(INDEX('SV calc_ignore'!$Q$10:$Q$1341,12*Output!A113-0))*(AND(A113&gt;1,R113&lt;20))*($CK$21)</f>
        <v>0</v>
      </c>
      <c r="CL113" s="66">
        <f t="shared" si="86"/>
        <v>0</v>
      </c>
      <c r="CM113" s="175">
        <f>((INDEX('SV calc_ignore'!$J$10:$J$1341,12*Output!A113-0))+(INDEX('SV calc_ignore'!$O$10:$O$1341,12*Output!A113-0))*(A113&lt;'SV calc_ignore'!$Q$5))*(A113&gt;1)*($CM$21)</f>
        <v>0</v>
      </c>
      <c r="CN113" s="175">
        <v>0</v>
      </c>
      <c r="CO113" s="175">
        <f>(INDEX('SV calc_ignore'!$J$10:$J$1341,12*Output!A113-0))*(A113&gt;1)*($CO$21)</f>
        <v>0</v>
      </c>
      <c r="CP113" s="175">
        <v>0</v>
      </c>
      <c r="CQ113" s="175">
        <v>0</v>
      </c>
      <c r="CR113" s="175">
        <v>0</v>
      </c>
      <c r="CS113" s="175">
        <v>0</v>
      </c>
      <c r="CT113" s="175">
        <v>0</v>
      </c>
      <c r="CU113" s="175">
        <v>0</v>
      </c>
      <c r="CV113" s="175">
        <f>(INDEX('SV calc_ignore'!$J$10:$J$1341,12*Output!A113-0))*(A113&gt;1)*($CV$21)</f>
        <v>0</v>
      </c>
      <c r="CW113" s="66">
        <f>((INDEX('SV calc_ignore'!$J$10:$J$1341,12*Output!A113-0))+(INDEX('SV calc_ignore'!$O$10:$O$1351,12*Output!A113-0))*(A113&lt;'SV calc_ignore'!$Q$5))*(A113&gt;1)*($CW$21)</f>
        <v>0</v>
      </c>
      <c r="CX113" s="175">
        <f>(INDEX('SV calc_ignore'!$J$10:$J$1341,12*Output!A113-0))*(A113&gt;1)*($CX$21)</f>
        <v>0</v>
      </c>
      <c r="CY113" s="175">
        <f>(INDEX('SV calc_ignore'!$Q$10:$Q$1341,12*Output!A113-0))*(AND(A113&gt;1,R113&lt;20))*($CY$21)</f>
        <v>0</v>
      </c>
      <c r="CZ113" s="175">
        <f t="shared" si="87"/>
        <v>0</v>
      </c>
      <c r="DE113" s="43">
        <f>IF($DE$23,0,VLOOKUP(IF(A113&lt;=DP,DJ113,DI113),SSV!$B$6:$C$116,2,FALSE)*VLOOKUP(AnnuityOption,'All Options'!$AB$36:$AC$47,2,FALSE)*VLOOKUP('All Options'!$E$22,'Valid Data-GPG'!$B$130:$F$134,MATCH('All Options'!$E$17,'Valid Data-GPG'!$B$130:$F$130,0),0)*'All Options'!$E$17)*(IF(AND(Select="Deferred Annuity",AnnuityOption="Life Annuity"),A113&lt;=DP,1))</f>
        <v>3274327.0531593515</v>
      </c>
      <c r="DF113" s="43">
        <f>IF($DF$23,0,IF($DQ$25,DQ113,IF($DR$25,DR113,VLOOKUP(IF(A113&lt;=DP,DJ113,DI113),SSV!$G$6:$H$116,2,FALSE)*SUM($B$27:B113))))</f>
        <v>1006161.5</v>
      </c>
      <c r="DG113" s="43" t="e">
        <f>IF(A113&lt;=DP,VLOOKUP(DP-A112,SSV!$T$6:$U$15,2,FALSE),1)</f>
        <v>#N/A</v>
      </c>
      <c r="DH113" s="282" t="e">
        <f t="shared" si="68"/>
        <v>#VALUE!</v>
      </c>
      <c r="DI113" s="43">
        <f>IF($DM$26,MIN(Age,'All Options'!$E$21)+A112,IF($DN$26,(Age+A112)-Age+60,IF($DO$26,(Age+A112)-Age+55,Age+A112)))</f>
        <v>60</v>
      </c>
      <c r="DJ113" s="279">
        <f>IF($DM$26,MIN(Age+A113,'All Options'!$E$21+A113),IF($DN$26,(Age+A113)-(Age+$A$27)+60,IF($DO$26,(Age+A113)-(Age+$A$27)+55,Age+A113)))</f>
        <v>60</v>
      </c>
      <c r="DP113" s="43">
        <f t="shared" si="88"/>
        <v>0</v>
      </c>
      <c r="DQ113" s="43">
        <f>IFERROR(VLOOKUP(IF(A113&lt;=DP,DJ113,DI113),SSV!$K$6:$L$91,2,FALSE)*SUM($B$27:B113),0)*($DQ$25)</f>
        <v>0</v>
      </c>
      <c r="DR113" s="43">
        <f>IFERROR(VLOOKUP(IF(A113&lt;=DP,DJ113,DI113),SSV!$O$6:$P$95,2,FALSE)*SUM($B$27:B113),0)*($DR$25)</f>
        <v>0</v>
      </c>
      <c r="DU113" s="175">
        <f t="shared" si="69"/>
        <v>0</v>
      </c>
    </row>
    <row r="114" spans="1:125" x14ac:dyDescent="0.2">
      <c r="A114" s="146">
        <f t="shared" si="70"/>
        <v>0</v>
      </c>
      <c r="B114" s="670">
        <f>IF(PremiumType="Regular Premium",'All Options'!$E$18*'All Options'!$E$22*(AND(Output!A114&lt;=PPT,A114&gt;=1)),'All Options'!$E$18*(A114=1))</f>
        <v>0</v>
      </c>
      <c r="C114" s="671"/>
      <c r="D114" s="103" t="e">
        <f>((VLOOKUP(CONCATENATE($D$14,$D$15),'All Options'!$AB$36:$AC$47,4,0)*VLOOKUP('All Options'!$E$22,'Valid Data-GPG'!$B$130:$F$134,MATCH('All Options'!$E$17,'Valid Data-GPG'!$B$130:$F$130,0),0)*'All Options'!$E$17)*IF(Select="Deferred Annuity",A114&gt;DP,1)+AE114+AF114*AG114*$AG$21)*(A114&gt;0)</f>
        <v>#N/A</v>
      </c>
      <c r="E114" s="103">
        <v>0</v>
      </c>
      <c r="F114" s="103" t="e">
        <f t="shared" si="71"/>
        <v>#N/A</v>
      </c>
      <c r="G114" s="103">
        <f t="shared" si="55"/>
        <v>0</v>
      </c>
      <c r="H114" s="285">
        <f t="shared" si="72"/>
        <v>0</v>
      </c>
      <c r="I114" s="103">
        <f t="shared" si="73"/>
        <v>0</v>
      </c>
      <c r="K114" s="175" t="str">
        <f t="shared" si="74"/>
        <v/>
      </c>
      <c r="L114" s="175"/>
      <c r="M114" s="175"/>
      <c r="N114" s="175"/>
      <c r="O114" s="175"/>
      <c r="P114" s="175"/>
      <c r="Q114" s="175"/>
      <c r="R114" s="175">
        <f t="shared" si="75"/>
        <v>0</v>
      </c>
      <c r="AB114" s="175" t="e">
        <f>(VLOOKUP(CONCATENATE($D$14,$D$15),'All Options'!$AB$36:$AC$47,4,0)*VLOOKUP('All Options'!$E$22,'Valid Data-GPG'!$B$130:$F$134,MATCH('All Options'!$E$17,'Valid Data-GPG'!$B$130:$F$130,0),0)*'All Options'!$E$17)*IF(Select="Deferred Annuity",A114&gt;DP,1)*(A114&gt;0)</f>
        <v>#N/A</v>
      </c>
      <c r="AC114" s="175">
        <f t="shared" si="56"/>
        <v>0</v>
      </c>
      <c r="AD114" s="175">
        <f>SUM($AC$26:AC114)</f>
        <v>0</v>
      </c>
      <c r="AE114" s="175">
        <f t="shared" si="57"/>
        <v>0</v>
      </c>
      <c r="AF114" s="175">
        <f t="shared" si="58"/>
        <v>0</v>
      </c>
      <c r="AG114" s="175" t="b">
        <f>(SUM($AF$26:AF114)&lt;=$AB$17)</f>
        <v>0</v>
      </c>
      <c r="AY114" s="175"/>
      <c r="AZ114" s="66">
        <f>((MAX((SUM($B$26:C114)+(VLOOKUP($AZ$25,'All Options'!$AB$36:$AC$46,2,0)*VLOOKUP('All Options'!$E$22,'Valid Data-GPG'!$B$130:$F$134,MATCH('All Options'!$E$17,'Valid Data-GPG'!$B$130:$F$130,0),0)*'All Options'!$E$17)*(IF(A114&lt;=DP,A114,0))),105%*SUM($B$26:C114)))*(AND(A114&lt;&gt;0,Output!A114&lt;=DP))+(0)*(A114&gt;DP))*$AZ$21</f>
        <v>0</v>
      </c>
      <c r="BA114" s="175" t="e">
        <f>((MAX((SUM($B$26:C114)+(VLOOKUP($BA$25,'All Options'!$AB$36:$AC$46,2,0)*VLOOKUP('All Options'!$E$22,'Valid Data-GPG'!$B$130:$F$134,MATCH('All Options'!$E$17,'Valid Data-GPG'!$B$130:$F$130,0),0)*'All Options'!$E$17)*(IF(A114&lt;=DP,A114,0))),105%*SUM($B$26:C114)))*(Output!A114&lt;=DP)
+MAX((SUM($B$26:C114)+(VLOOKUP($BA$25,'All Options'!$AB$36:$AC$46,2,0)*VLOOKUP('All Options'!$E$22,'Valid Data-GPG'!$B$130:$F$134,MATCH('All Options'!$E$17,'Valid Data-GPG'!$B$130:$F$130,0),0)*'All Options'!$E$17)*DP-D114*(A114-DP)),SUM($B$26:C114))*(A114&gt;DP))*$BA$21</f>
        <v>#N/A</v>
      </c>
      <c r="BB114" s="175">
        <f>((MAX(($AB$17+(VLOOKUP($BB$25,'All Options'!$AB$36:$AC$46,2,0)*VLOOKUP('All Options'!$E$22,'Valid Data-GPG'!$B$130:$F$134,MATCH('All Options'!$E$17,'Valid Data-GPG'!$B$130:$F$130,0),0)*'All Options'!$E$17)*(IF(A114&lt;=DP,A114,0))),105%*$AB$17))*(Output!A114&lt;=DP)+(0)*(A114&gt;DP))*$BB$21</f>
        <v>0</v>
      </c>
      <c r="BC114" s="175" t="e">
        <f>((MAX(($AB$17+(VLOOKUP($BC$25,'All Options'!$AB$36:$AC$46,2,0)*VLOOKUP('All Options'!$E$22,'Valid Data-GPG'!$B$130:$F$134,MATCH('All Options'!$E$17,'Valid Data-GPG'!$B$130:$F$130,0),0)*'All Options'!$E$17)*(IF(A114&lt;=DP,A114,0))),105%*$AB$17))*(Output!A114&lt;=DP)+
MAX(($AB$17+(VLOOKUP($BC$25,'All Options'!$AB$36:$AC$46,2,0)*VLOOKUP('All Options'!$E$22,'Valid Data-GPG'!$B$130:$F$134,MATCH('All Options'!$E$17,'Valid Data-GPG'!$B$130:$F$130,0),0)*'All Options'!$E$17)*DP-D114*(A114-DP)),$AB$17)*(A114&gt;DP))*$BC$21</f>
        <v>#N/A</v>
      </c>
      <c r="BD114" s="175">
        <f ca="1">IFERROR((MAX(($AB$17+(VLOOKUP($BD$25,'All Options'!$AB$36:$AC$46,2,0)*VLOOKUP('All Options'!$E$22,'Valid Data-GPG'!$B$130:$F$134,MATCH('All Options'!$E$17,'Valid Data-GPG'!$B$130:$F$130,0),0)*'All Options'!$E$17)*(IF(A114&lt;=DP,A114,0))),105%*$AB$17))*(Output!A114&lt;=DP)
+MAX(($AB$17+(VLOOKUP($BD$25,'All Options'!$AB$36:$AC$46,2,0)*VLOOKUP('All Options'!$E$22,'Valid Data-GPG'!$B$130:$F$134,MATCH('All Options'!$E$17,'Valid Data-GPG'!$B$130:$F$130,0),0)*'All Options'!$E$17)*DP-D114*(A114-DP)),$AB$17)*(A114&gt;DP),0)*$BD$21</f>
        <v>0</v>
      </c>
      <c r="BE114" s="66">
        <f>IFERROR((MAX(($AB$17+(VLOOKUP($BE$25,'All Options'!$AB$36:$AC$46,2,0)*VLOOKUP('All Options'!$E$22,'Valid Data-GPG'!$B$130:$F$134,MATCH('All Options'!$E$17,'Valid Data-GPG'!$B$130:$F$130,0),0)*'All Options'!$E$17)*(IF(A114&lt;=DP,A114,0))),105%*$AB$17))*(Output!A114&lt;=DP)
+(MAX($AB$17+(VLOOKUP($BE$25,'All Options'!$AB$36:$AC$46,2,0)*VLOOKUP('All Options'!$E$22,'Valid Data-GPG'!$B$130:$F$134,MATCH('All Options'!$E$17,'Valid Data-GPG'!$B$130:$F$130,0),0)*'All Options'!$E$17)*DP-AB114*(A114-DP),$AB$17)*(MAX(A114&lt;=25,K114&lt;85)))*(A114&gt;DP),0)*$BE$21</f>
        <v>0</v>
      </c>
      <c r="BF114" s="175">
        <f>IFERROR((MAX(($AB$17+(VLOOKUP($BF$25,'All Options'!$AB$36:$AC$46,2,0)*VLOOKUP('All Options'!$E$22,'Valid Data-GPG'!$B$130:$F$134,MATCH('All Options'!$E$17,'Valid Data-GPG'!$B$130:$F$130,0),0)*'All Options'!$E$17)*(IF(A114&lt;=DP,A114,0))),105%*$AB$17))*(Output!A114&lt;=DP)
+(MAX($AB$17+(VLOOKUP($BF$25,'All Options'!$AB$36:$AC$46,2,0)*VLOOKUP('All Options'!$E$22,'Valid Data-GPG'!$B$130:$F$134,MATCH('All Options'!$E$17,'Valid Data-GPG'!$B$130:$F$130,0),0)*'All Options'!$E$17)*DP-AB114*(A114-DP),$AB$17)-SUM($AF$26:AF114)*AG114)*(A114&gt;DP)*AG114,0)*$BF$21</f>
        <v>0</v>
      </c>
      <c r="BG114" s="175">
        <f t="shared" si="76"/>
        <v>0</v>
      </c>
      <c r="BH114" s="182">
        <f t="shared" si="59"/>
        <v>5000000</v>
      </c>
      <c r="BI114" s="175">
        <f t="shared" si="77"/>
        <v>0</v>
      </c>
      <c r="BJ114" s="175">
        <f t="shared" si="78"/>
        <v>0</v>
      </c>
      <c r="BK114" s="175">
        <f t="shared" si="79"/>
        <v>0</v>
      </c>
      <c r="BL114" s="175">
        <f t="shared" si="80"/>
        <v>0</v>
      </c>
      <c r="BM114" s="175">
        <f t="shared" si="81"/>
        <v>0</v>
      </c>
      <c r="BN114" s="175">
        <f t="shared" si="82"/>
        <v>0</v>
      </c>
      <c r="BO114" s="182">
        <f t="shared" si="60"/>
        <v>0</v>
      </c>
      <c r="BP114" s="182">
        <f t="shared" si="61"/>
        <v>0</v>
      </c>
      <c r="BQ114" s="182">
        <f>MAX($AB$17-SUM($AF$26:AF114),0)*$BQ$21</f>
        <v>0</v>
      </c>
      <c r="BS114" s="175">
        <f t="shared" si="62"/>
        <v>0</v>
      </c>
      <c r="BT114" s="175">
        <f>IFERROR(IF(A114&lt;=1,0,VLOOKUP(DP,'Valid Data-GPG'!$A$116:$J$122,MATCH(Output!A114,'Valid Data-GPG'!$A$116:$J$116,0),FALSE)*SUM($B$26:C114))*(A114&lt;=DP),0)*$BT$21</f>
        <v>0</v>
      </c>
      <c r="BU114" s="175">
        <f>IFERROR(IF(A114&lt;=1,0,VLOOKUP(DP,'Valid Data-GPG'!$A$116:$J$122,MATCH(Output!A114,'Valid Data-GPG'!$A$116:$J$116,0),FALSE)*SUM($B$26:C114))*(A114&lt;=DP),0)*$BU$21</f>
        <v>0</v>
      </c>
      <c r="BV114" s="175">
        <f t="shared" si="63"/>
        <v>0</v>
      </c>
      <c r="BW114" s="175">
        <f t="shared" si="64"/>
        <v>0</v>
      </c>
      <c r="BX114" s="175">
        <f t="shared" si="65"/>
        <v>0</v>
      </c>
      <c r="BY114" s="175">
        <f t="shared" si="66"/>
        <v>0</v>
      </c>
      <c r="BZ114" s="175">
        <f t="shared" si="67"/>
        <v>0</v>
      </c>
      <c r="CA114" s="175">
        <f>(INDEX('SV calc_ignore'!$J$10:$J$1341,12*Output!A114-0))*BS114</f>
        <v>0</v>
      </c>
      <c r="CB114" s="175">
        <f t="shared" si="83"/>
        <v>0</v>
      </c>
      <c r="CC114" s="175">
        <f>(INDEX('SV calc_ignore'!$J$10:$J$1341,12*Output!A114-0))*BS114</f>
        <v>0</v>
      </c>
      <c r="CD114" s="175">
        <f t="shared" si="84"/>
        <v>0</v>
      </c>
      <c r="CE114" s="66">
        <f>(INDEX('SV calc_ignore'!$J$10:$J$1341,12*Output!A114-0))*($CE$21)</f>
        <v>0</v>
      </c>
      <c r="CF114" s="175">
        <f t="shared" si="85"/>
        <v>0</v>
      </c>
      <c r="CG114" s="175">
        <f>(INDEX('SV calc_ignore'!$J$10:$J$1341,12*Output!A114-0))*($CG$21)*(A114&gt;1)</f>
        <v>0</v>
      </c>
      <c r="CH114" s="175">
        <f>(INDEX('SV calc_ignore'!$J$10:$J$1341,12*Output!A114-0))*($CH$21)*(A114&gt;1)</f>
        <v>0</v>
      </c>
      <c r="CI114" s="175"/>
      <c r="CJ114" s="66">
        <f>(INDEX('SV calc_ignore'!$J$10:$J$1341,12*Output!A114-0))*($CJ$21)*(A114&gt;1)</f>
        <v>0</v>
      </c>
      <c r="CK114" s="66">
        <f>(INDEX('SV calc_ignore'!$Q$10:$Q$1341,12*Output!A114-0))*(AND(A114&gt;1,R114&lt;20))*($CK$21)</f>
        <v>0</v>
      </c>
      <c r="CL114" s="66">
        <f t="shared" si="86"/>
        <v>0</v>
      </c>
      <c r="CM114" s="175">
        <f>((INDEX('SV calc_ignore'!$J$10:$J$1341,12*Output!A114-0))+(INDEX('SV calc_ignore'!$O$10:$O$1341,12*Output!A114-0))*(A114&lt;'SV calc_ignore'!$Q$5))*(A114&gt;1)*($CM$21)</f>
        <v>0</v>
      </c>
      <c r="CN114" s="175">
        <v>0</v>
      </c>
      <c r="CO114" s="175">
        <f>(INDEX('SV calc_ignore'!$J$10:$J$1341,12*Output!A114-0))*(A114&gt;1)*($CO$21)</f>
        <v>0</v>
      </c>
      <c r="CP114" s="175">
        <v>0</v>
      </c>
      <c r="CQ114" s="175">
        <v>0</v>
      </c>
      <c r="CR114" s="175">
        <v>0</v>
      </c>
      <c r="CS114" s="175">
        <v>0</v>
      </c>
      <c r="CT114" s="175">
        <v>0</v>
      </c>
      <c r="CU114" s="175">
        <v>0</v>
      </c>
      <c r="CV114" s="175">
        <f>(INDEX('SV calc_ignore'!$J$10:$J$1341,12*Output!A114-0))*(A114&gt;1)*($CV$21)</f>
        <v>0</v>
      </c>
      <c r="CW114" s="66">
        <f>((INDEX('SV calc_ignore'!$J$10:$J$1341,12*Output!A114-0))+(INDEX('SV calc_ignore'!$O$10:$O$1351,12*Output!A114-0))*(A114&lt;'SV calc_ignore'!$Q$5))*(A114&gt;1)*($CW$21)</f>
        <v>0</v>
      </c>
      <c r="CX114" s="175">
        <f>(INDEX('SV calc_ignore'!$J$10:$J$1341,12*Output!A114-0))*(A114&gt;1)*($CX$21)</f>
        <v>0</v>
      </c>
      <c r="CY114" s="175">
        <f>(INDEX('SV calc_ignore'!$Q$10:$Q$1341,12*Output!A114-0))*(AND(A114&gt;1,R114&lt;20))*($CY$21)</f>
        <v>0</v>
      </c>
      <c r="CZ114" s="175">
        <f t="shared" si="87"/>
        <v>0</v>
      </c>
      <c r="DE114" s="43">
        <f>IF($DE$23,0,VLOOKUP(IF(A114&lt;=DP,DJ114,DI114),SSV!$B$6:$C$116,2,FALSE)*VLOOKUP(AnnuityOption,'All Options'!$AB$36:$AC$47,2,FALSE)*VLOOKUP('All Options'!$E$22,'Valid Data-GPG'!$B$130:$F$134,MATCH('All Options'!$E$17,'Valid Data-GPG'!$B$130:$F$130,0),0)*'All Options'!$E$17)*(IF(AND(Select="Deferred Annuity",AnnuityOption="Life Annuity"),A114&lt;=DP,1))</f>
        <v>3274327.0531593515</v>
      </c>
      <c r="DF114" s="43">
        <f>IF($DF$23,0,IF($DQ$25,DQ114,IF($DR$25,DR114,VLOOKUP(IF(A114&lt;=DP,DJ114,DI114),SSV!$G$6:$H$116,2,FALSE)*SUM($B$27:B114))))</f>
        <v>1006161.5</v>
      </c>
      <c r="DG114" s="43" t="e">
        <f>IF(A114&lt;=DP,VLOOKUP(DP-A113,SSV!$T$6:$U$15,2,FALSE),1)</f>
        <v>#N/A</v>
      </c>
      <c r="DH114" s="282" t="e">
        <f t="shared" si="68"/>
        <v>#VALUE!</v>
      </c>
      <c r="DI114" s="43">
        <f>IF($DM$26,MIN(Age,'All Options'!$E$21)+A113,IF($DN$26,(Age+A113)-Age+60,IF($DO$26,(Age+A113)-Age+55,Age+A113)))</f>
        <v>60</v>
      </c>
      <c r="DJ114" s="279">
        <f>IF($DM$26,MIN(Age+A114,'All Options'!$E$21+A114),IF($DN$26,(Age+A114)-(Age+$A$27)+60,IF($DO$26,(Age+A114)-(Age+$A$27)+55,Age+A114)))</f>
        <v>60</v>
      </c>
      <c r="DP114" s="43">
        <f t="shared" si="88"/>
        <v>0</v>
      </c>
      <c r="DQ114" s="43">
        <f>IFERROR(VLOOKUP(IF(A114&lt;=DP,DJ114,DI114),SSV!$K$6:$L$91,2,FALSE)*SUM($B$27:B114),0)*($DQ$25)</f>
        <v>0</v>
      </c>
      <c r="DR114" s="43">
        <f>IFERROR(VLOOKUP(IF(A114&lt;=DP,DJ114,DI114),SSV!$O$6:$P$95,2,FALSE)*SUM($B$27:B114),0)*($DR$25)</f>
        <v>0</v>
      </c>
      <c r="DU114" s="175">
        <f t="shared" si="69"/>
        <v>0</v>
      </c>
    </row>
    <row r="115" spans="1:125" x14ac:dyDescent="0.2">
      <c r="A115" s="146">
        <f t="shared" si="70"/>
        <v>0</v>
      </c>
      <c r="B115" s="670">
        <f>IF(PremiumType="Regular Premium",'All Options'!$E$18*'All Options'!$E$22*(AND(Output!A115&lt;=PPT,A115&gt;=1)),'All Options'!$E$18*(A115=1))</f>
        <v>0</v>
      </c>
      <c r="C115" s="671"/>
      <c r="D115" s="103" t="e">
        <f>((VLOOKUP(CONCATENATE($D$14,$D$15),'All Options'!$AB$36:$AC$47,4,0)*VLOOKUP('All Options'!$E$22,'Valid Data-GPG'!$B$130:$F$134,MATCH('All Options'!$E$17,'Valid Data-GPG'!$B$130:$F$130,0),0)*'All Options'!$E$17)*IF(Select="Deferred Annuity",A115&gt;DP,1)+AE115+AF115*AG115*$AG$21)*(A115&gt;0)</f>
        <v>#N/A</v>
      </c>
      <c r="E115" s="103">
        <v>0</v>
      </c>
      <c r="F115" s="103" t="e">
        <f t="shared" si="71"/>
        <v>#N/A</v>
      </c>
      <c r="G115" s="103">
        <f t="shared" si="55"/>
        <v>0</v>
      </c>
      <c r="H115" s="285">
        <f t="shared" si="72"/>
        <v>0</v>
      </c>
      <c r="I115" s="103">
        <f t="shared" si="73"/>
        <v>0</v>
      </c>
      <c r="K115" s="175" t="str">
        <f t="shared" si="74"/>
        <v/>
      </c>
      <c r="L115" s="175"/>
      <c r="M115" s="175"/>
      <c r="N115" s="175"/>
      <c r="O115" s="175"/>
      <c r="P115" s="175"/>
      <c r="Q115" s="175"/>
      <c r="R115" s="175">
        <f t="shared" si="75"/>
        <v>0</v>
      </c>
      <c r="AB115" s="175" t="e">
        <f>(VLOOKUP(CONCATENATE($D$14,$D$15),'All Options'!$AB$36:$AC$47,4,0)*VLOOKUP('All Options'!$E$22,'Valid Data-GPG'!$B$130:$F$134,MATCH('All Options'!$E$17,'Valid Data-GPG'!$B$130:$F$130,0),0)*'All Options'!$E$17)*IF(Select="Deferred Annuity",A115&gt;DP,1)*(A115&gt;0)</f>
        <v>#N/A</v>
      </c>
      <c r="AC115" s="175">
        <f t="shared" si="56"/>
        <v>0</v>
      </c>
      <c r="AD115" s="175">
        <f>SUM($AC$26:AC115)</f>
        <v>0</v>
      </c>
      <c r="AE115" s="175">
        <f t="shared" si="57"/>
        <v>0</v>
      </c>
      <c r="AF115" s="175">
        <f t="shared" si="58"/>
        <v>0</v>
      </c>
      <c r="AG115" s="175" t="b">
        <f>(SUM($AF$26:AF115)&lt;=$AB$17)</f>
        <v>0</v>
      </c>
      <c r="AY115" s="175"/>
      <c r="AZ115" s="66">
        <f>((MAX((SUM($B$26:C115)+(VLOOKUP($AZ$25,'All Options'!$AB$36:$AC$46,2,0)*VLOOKUP('All Options'!$E$22,'Valid Data-GPG'!$B$130:$F$134,MATCH('All Options'!$E$17,'Valid Data-GPG'!$B$130:$F$130,0),0)*'All Options'!$E$17)*(IF(A115&lt;=DP,A115,0))),105%*SUM($B$26:C115)))*(AND(A115&lt;&gt;0,Output!A115&lt;=DP))+(0)*(A115&gt;DP))*$AZ$21</f>
        <v>0</v>
      </c>
      <c r="BA115" s="175" t="e">
        <f>((MAX((SUM($B$26:C115)+(VLOOKUP($BA$25,'All Options'!$AB$36:$AC$46,2,0)*VLOOKUP('All Options'!$E$22,'Valid Data-GPG'!$B$130:$F$134,MATCH('All Options'!$E$17,'Valid Data-GPG'!$B$130:$F$130,0),0)*'All Options'!$E$17)*(IF(A115&lt;=DP,A115,0))),105%*SUM($B$26:C115)))*(Output!A115&lt;=DP)
+MAX((SUM($B$26:C115)+(VLOOKUP($BA$25,'All Options'!$AB$36:$AC$46,2,0)*VLOOKUP('All Options'!$E$22,'Valid Data-GPG'!$B$130:$F$134,MATCH('All Options'!$E$17,'Valid Data-GPG'!$B$130:$F$130,0),0)*'All Options'!$E$17)*DP-D115*(A115-DP)),SUM($B$26:C115))*(A115&gt;DP))*$BA$21</f>
        <v>#N/A</v>
      </c>
      <c r="BB115" s="175">
        <f>((MAX(($AB$17+(VLOOKUP($BB$25,'All Options'!$AB$36:$AC$46,2,0)*VLOOKUP('All Options'!$E$22,'Valid Data-GPG'!$B$130:$F$134,MATCH('All Options'!$E$17,'Valid Data-GPG'!$B$130:$F$130,0),0)*'All Options'!$E$17)*(IF(A115&lt;=DP,A115,0))),105%*$AB$17))*(Output!A115&lt;=DP)+(0)*(A115&gt;DP))*$BB$21</f>
        <v>0</v>
      </c>
      <c r="BC115" s="175" t="e">
        <f>((MAX(($AB$17+(VLOOKUP($BC$25,'All Options'!$AB$36:$AC$46,2,0)*VLOOKUP('All Options'!$E$22,'Valid Data-GPG'!$B$130:$F$134,MATCH('All Options'!$E$17,'Valid Data-GPG'!$B$130:$F$130,0),0)*'All Options'!$E$17)*(IF(A115&lt;=DP,A115,0))),105%*$AB$17))*(Output!A115&lt;=DP)+
MAX(($AB$17+(VLOOKUP($BC$25,'All Options'!$AB$36:$AC$46,2,0)*VLOOKUP('All Options'!$E$22,'Valid Data-GPG'!$B$130:$F$134,MATCH('All Options'!$E$17,'Valid Data-GPG'!$B$130:$F$130,0),0)*'All Options'!$E$17)*DP-D115*(A115-DP)),$AB$17)*(A115&gt;DP))*$BC$21</f>
        <v>#N/A</v>
      </c>
      <c r="BD115" s="175">
        <f ca="1">IFERROR((MAX(($AB$17+(VLOOKUP($BD$25,'All Options'!$AB$36:$AC$46,2,0)*VLOOKUP('All Options'!$E$22,'Valid Data-GPG'!$B$130:$F$134,MATCH('All Options'!$E$17,'Valid Data-GPG'!$B$130:$F$130,0),0)*'All Options'!$E$17)*(IF(A115&lt;=DP,A115,0))),105%*$AB$17))*(Output!A115&lt;=DP)
+MAX(($AB$17+(VLOOKUP($BD$25,'All Options'!$AB$36:$AC$46,2,0)*VLOOKUP('All Options'!$E$22,'Valid Data-GPG'!$B$130:$F$134,MATCH('All Options'!$E$17,'Valid Data-GPG'!$B$130:$F$130,0),0)*'All Options'!$E$17)*DP-D115*(A115-DP)),$AB$17)*(A115&gt;DP),0)*$BD$21</f>
        <v>0</v>
      </c>
      <c r="BE115" s="66">
        <f>IFERROR((MAX(($AB$17+(VLOOKUP($BE$25,'All Options'!$AB$36:$AC$46,2,0)*VLOOKUP('All Options'!$E$22,'Valid Data-GPG'!$B$130:$F$134,MATCH('All Options'!$E$17,'Valid Data-GPG'!$B$130:$F$130,0),0)*'All Options'!$E$17)*(IF(A115&lt;=DP,A115,0))),105%*$AB$17))*(Output!A115&lt;=DP)
+(MAX($AB$17+(VLOOKUP($BE$25,'All Options'!$AB$36:$AC$46,2,0)*VLOOKUP('All Options'!$E$22,'Valid Data-GPG'!$B$130:$F$134,MATCH('All Options'!$E$17,'Valid Data-GPG'!$B$130:$F$130,0),0)*'All Options'!$E$17)*DP-AB115*(A115-DP),$AB$17)*(MAX(A115&lt;=25,K115&lt;85)))*(A115&gt;DP),0)*$BE$21</f>
        <v>0</v>
      </c>
      <c r="BF115" s="175">
        <f>IFERROR((MAX(($AB$17+(VLOOKUP($BF$25,'All Options'!$AB$36:$AC$46,2,0)*VLOOKUP('All Options'!$E$22,'Valid Data-GPG'!$B$130:$F$134,MATCH('All Options'!$E$17,'Valid Data-GPG'!$B$130:$F$130,0),0)*'All Options'!$E$17)*(IF(A115&lt;=DP,A115,0))),105%*$AB$17))*(Output!A115&lt;=DP)
+(MAX($AB$17+(VLOOKUP($BF$25,'All Options'!$AB$36:$AC$46,2,0)*VLOOKUP('All Options'!$E$22,'Valid Data-GPG'!$B$130:$F$134,MATCH('All Options'!$E$17,'Valid Data-GPG'!$B$130:$F$130,0),0)*'All Options'!$E$17)*DP-AB115*(A115-DP),$AB$17)-SUM($AF$26:AF115)*AG115)*(A115&gt;DP)*AG115,0)*$BF$21</f>
        <v>0</v>
      </c>
      <c r="BG115" s="175">
        <f t="shared" si="76"/>
        <v>0</v>
      </c>
      <c r="BH115" s="182">
        <f t="shared" si="59"/>
        <v>5000000</v>
      </c>
      <c r="BI115" s="175">
        <f t="shared" si="77"/>
        <v>0</v>
      </c>
      <c r="BJ115" s="175">
        <f t="shared" si="78"/>
        <v>0</v>
      </c>
      <c r="BK115" s="175">
        <f t="shared" si="79"/>
        <v>0</v>
      </c>
      <c r="BL115" s="175">
        <f t="shared" si="80"/>
        <v>0</v>
      </c>
      <c r="BM115" s="175">
        <f t="shared" si="81"/>
        <v>0</v>
      </c>
      <c r="BN115" s="175">
        <f t="shared" si="82"/>
        <v>0</v>
      </c>
      <c r="BO115" s="182">
        <f t="shared" si="60"/>
        <v>0</v>
      </c>
      <c r="BP115" s="182">
        <f t="shared" si="61"/>
        <v>0</v>
      </c>
      <c r="BQ115" s="182">
        <f>MAX($AB$17-SUM($AF$26:AF115),0)*$BQ$21</f>
        <v>0</v>
      </c>
      <c r="BS115" s="175">
        <f t="shared" si="62"/>
        <v>0</v>
      </c>
      <c r="BT115" s="175">
        <f>IFERROR(IF(A115&lt;=1,0,VLOOKUP(DP,'Valid Data-GPG'!$A$116:$J$122,MATCH(Output!A115,'Valid Data-GPG'!$A$116:$J$116,0),FALSE)*SUM($B$26:C115))*(A115&lt;=DP),0)*$BT$21</f>
        <v>0</v>
      </c>
      <c r="BU115" s="175">
        <f>IFERROR(IF(A115&lt;=1,0,VLOOKUP(DP,'Valid Data-GPG'!$A$116:$J$122,MATCH(Output!A115,'Valid Data-GPG'!$A$116:$J$116,0),FALSE)*SUM($B$26:C115))*(A115&lt;=DP),0)*$BU$21</f>
        <v>0</v>
      </c>
      <c r="BV115" s="175">
        <f t="shared" si="63"/>
        <v>0</v>
      </c>
      <c r="BW115" s="175">
        <f t="shared" si="64"/>
        <v>0</v>
      </c>
      <c r="BX115" s="175">
        <f t="shared" si="65"/>
        <v>0</v>
      </c>
      <c r="BY115" s="175">
        <f t="shared" si="66"/>
        <v>0</v>
      </c>
      <c r="BZ115" s="175">
        <f t="shared" si="67"/>
        <v>0</v>
      </c>
      <c r="CA115" s="175">
        <f>(INDEX('SV calc_ignore'!$J$10:$J$1341,12*Output!A115-0))*BS115</f>
        <v>0</v>
      </c>
      <c r="CB115" s="175">
        <f t="shared" si="83"/>
        <v>0</v>
      </c>
      <c r="CC115" s="175">
        <f>(INDEX('SV calc_ignore'!$J$10:$J$1341,12*Output!A115-0))*BS115</f>
        <v>0</v>
      </c>
      <c r="CD115" s="175">
        <f t="shared" si="84"/>
        <v>0</v>
      </c>
      <c r="CE115" s="66">
        <f>(INDEX('SV calc_ignore'!$J$10:$J$1341,12*Output!A115-0))*($CE$21)</f>
        <v>0</v>
      </c>
      <c r="CF115" s="175">
        <f t="shared" si="85"/>
        <v>0</v>
      </c>
      <c r="CG115" s="175">
        <f>(INDEX('SV calc_ignore'!$J$10:$J$1341,12*Output!A115-0))*($CG$21)*(A115&gt;1)</f>
        <v>0</v>
      </c>
      <c r="CH115" s="175">
        <f>(INDEX('SV calc_ignore'!$J$10:$J$1341,12*Output!A115-0))*($CH$21)*(A115&gt;1)</f>
        <v>0</v>
      </c>
      <c r="CI115" s="175"/>
      <c r="CJ115" s="66">
        <f>(INDEX('SV calc_ignore'!$J$10:$J$1341,12*Output!A115-0))*($CJ$21)*(A115&gt;1)</f>
        <v>0</v>
      </c>
      <c r="CK115" s="66">
        <f>(INDEX('SV calc_ignore'!$Q$10:$Q$1341,12*Output!A115-0))*(AND(A115&gt;1,R115&lt;20))*($CK$21)</f>
        <v>0</v>
      </c>
      <c r="CL115" s="66">
        <f t="shared" si="86"/>
        <v>0</v>
      </c>
      <c r="CM115" s="175">
        <f>((INDEX('SV calc_ignore'!$J$10:$J$1341,12*Output!A115-0))+(INDEX('SV calc_ignore'!$O$10:$O$1341,12*Output!A115-0))*(A115&lt;'SV calc_ignore'!$Q$5))*(A115&gt;1)*($CM$21)</f>
        <v>0</v>
      </c>
      <c r="CN115" s="175">
        <v>0</v>
      </c>
      <c r="CO115" s="175">
        <f>(INDEX('SV calc_ignore'!$J$10:$J$1341,12*Output!A115-0))*(A115&gt;1)*($CO$21)</f>
        <v>0</v>
      </c>
      <c r="CP115" s="175">
        <v>0</v>
      </c>
      <c r="CQ115" s="175">
        <v>0</v>
      </c>
      <c r="CR115" s="175">
        <v>0</v>
      </c>
      <c r="CS115" s="175">
        <v>0</v>
      </c>
      <c r="CT115" s="175">
        <v>0</v>
      </c>
      <c r="CU115" s="175">
        <v>0</v>
      </c>
      <c r="CV115" s="175">
        <f>(INDEX('SV calc_ignore'!$J$10:$J$1341,12*Output!A115-0))*(A115&gt;1)*($CV$21)</f>
        <v>0</v>
      </c>
      <c r="CW115" s="66">
        <f>((INDEX('SV calc_ignore'!$J$10:$J$1341,12*Output!A115-0))+(INDEX('SV calc_ignore'!$O$10:$O$1351,12*Output!A115-0))*(A115&lt;'SV calc_ignore'!$Q$5))*(A115&gt;1)*($CW$21)</f>
        <v>0</v>
      </c>
      <c r="CX115" s="175">
        <f>(INDEX('SV calc_ignore'!$J$10:$J$1341,12*Output!A115-0))*(A115&gt;1)*($CX$21)</f>
        <v>0</v>
      </c>
      <c r="CY115" s="175">
        <f>(INDEX('SV calc_ignore'!$Q$10:$Q$1341,12*Output!A115-0))*(AND(A115&gt;1,R115&lt;20))*($CY$21)</f>
        <v>0</v>
      </c>
      <c r="CZ115" s="175">
        <f t="shared" si="87"/>
        <v>0</v>
      </c>
      <c r="DE115" s="43">
        <f>IF($DE$23,0,VLOOKUP(IF(A115&lt;=DP,DJ115,DI115),SSV!$B$6:$C$116,2,FALSE)*VLOOKUP(AnnuityOption,'All Options'!$AB$36:$AC$47,2,FALSE)*VLOOKUP('All Options'!$E$22,'Valid Data-GPG'!$B$130:$F$134,MATCH('All Options'!$E$17,'Valid Data-GPG'!$B$130:$F$130,0),0)*'All Options'!$E$17)*(IF(AND(Select="Deferred Annuity",AnnuityOption="Life Annuity"),A115&lt;=DP,1))</f>
        <v>3274327.0531593515</v>
      </c>
      <c r="DF115" s="43">
        <f>IF($DF$23,0,IF($DQ$25,DQ115,IF($DR$25,DR115,VLOOKUP(IF(A115&lt;=DP,DJ115,DI115),SSV!$G$6:$H$116,2,FALSE)*SUM($B$27:B115))))</f>
        <v>1006161.5</v>
      </c>
      <c r="DG115" s="43" t="e">
        <f>IF(A115&lt;=DP,VLOOKUP(DP-A114,SSV!$T$6:$U$15,2,FALSE),1)</f>
        <v>#N/A</v>
      </c>
      <c r="DH115" s="282" t="e">
        <f t="shared" si="68"/>
        <v>#VALUE!</v>
      </c>
      <c r="DI115" s="43">
        <f>IF($DM$26,MIN(Age,'All Options'!$E$21)+A114,IF($DN$26,(Age+A114)-Age+60,IF($DO$26,(Age+A114)-Age+55,Age+A114)))</f>
        <v>60</v>
      </c>
      <c r="DJ115" s="279">
        <f>IF($DM$26,MIN(Age+A115,'All Options'!$E$21+A115),IF($DN$26,(Age+A115)-(Age+$A$27)+60,IF($DO$26,(Age+A115)-(Age+$A$27)+55,Age+A115)))</f>
        <v>60</v>
      </c>
      <c r="DP115" s="43">
        <f t="shared" si="88"/>
        <v>0</v>
      </c>
      <c r="DQ115" s="43">
        <f>IFERROR(VLOOKUP(IF(A115&lt;=DP,DJ115,DI115),SSV!$K$6:$L$91,2,FALSE)*SUM($B$27:B115),0)*($DQ$25)</f>
        <v>0</v>
      </c>
      <c r="DR115" s="43">
        <f>IFERROR(VLOOKUP(IF(A115&lt;=DP,DJ115,DI115),SSV!$O$6:$P$95,2,FALSE)*SUM($B$27:B115),0)*($DR$25)</f>
        <v>0</v>
      </c>
      <c r="DU115" s="175">
        <f t="shared" si="69"/>
        <v>0</v>
      </c>
    </row>
    <row r="116" spans="1:125" x14ac:dyDescent="0.2">
      <c r="A116" s="146">
        <f t="shared" si="70"/>
        <v>0</v>
      </c>
      <c r="B116" s="670">
        <f>IF(PremiumType="Regular Premium",'All Options'!$E$18*'All Options'!$E$22*(AND(Output!A116&lt;=PPT,A116&gt;=1)),'All Options'!$E$18*(A116=1))</f>
        <v>0</v>
      </c>
      <c r="C116" s="671"/>
      <c r="D116" s="103" t="e">
        <f>((VLOOKUP(CONCATENATE($D$14,$D$15),'All Options'!$AB$36:$AC$47,4,0)*VLOOKUP('All Options'!$E$22,'Valid Data-GPG'!$B$130:$F$134,MATCH('All Options'!$E$17,'Valid Data-GPG'!$B$130:$F$130,0),0)*'All Options'!$E$17)*IF(Select="Deferred Annuity",A116&gt;DP,1)+AE116+AF116*AG116*$AG$21)*(A116&gt;0)</f>
        <v>#N/A</v>
      </c>
      <c r="E116" s="103">
        <v>0</v>
      </c>
      <c r="F116" s="103" t="e">
        <f t="shared" si="71"/>
        <v>#N/A</v>
      </c>
      <c r="G116" s="103">
        <f t="shared" si="55"/>
        <v>0</v>
      </c>
      <c r="H116" s="285">
        <f t="shared" si="72"/>
        <v>0</v>
      </c>
      <c r="I116" s="103">
        <f t="shared" si="73"/>
        <v>0</v>
      </c>
      <c r="K116" s="175" t="str">
        <f t="shared" si="74"/>
        <v/>
      </c>
      <c r="L116" s="175"/>
      <c r="M116" s="175"/>
      <c r="N116" s="175"/>
      <c r="O116" s="175"/>
      <c r="P116" s="175"/>
      <c r="Q116" s="175"/>
      <c r="R116" s="175">
        <f t="shared" si="75"/>
        <v>0</v>
      </c>
      <c r="AB116" s="175" t="e">
        <f>(VLOOKUP(CONCATENATE($D$14,$D$15),'All Options'!$AB$36:$AC$47,4,0)*VLOOKUP('All Options'!$E$22,'Valid Data-GPG'!$B$130:$F$134,MATCH('All Options'!$E$17,'Valid Data-GPG'!$B$130:$F$130,0),0)*'All Options'!$E$17)*IF(Select="Deferred Annuity",A116&gt;DP,1)*(A116&gt;0)</f>
        <v>#N/A</v>
      </c>
      <c r="AC116" s="175">
        <f t="shared" si="56"/>
        <v>0</v>
      </c>
      <c r="AD116" s="175">
        <f>SUM($AC$26:AC116)</f>
        <v>0</v>
      </c>
      <c r="AE116" s="175">
        <f t="shared" si="57"/>
        <v>0</v>
      </c>
      <c r="AF116" s="175">
        <f t="shared" si="58"/>
        <v>0</v>
      </c>
      <c r="AG116" s="175" t="b">
        <f>(SUM($AF$26:AF116)&lt;=$AB$17)</f>
        <v>0</v>
      </c>
      <c r="AY116" s="175"/>
      <c r="AZ116" s="66">
        <f>((MAX((SUM($B$26:C116)+(VLOOKUP($AZ$25,'All Options'!$AB$36:$AC$46,2,0)*VLOOKUP('All Options'!$E$22,'Valid Data-GPG'!$B$130:$F$134,MATCH('All Options'!$E$17,'Valid Data-GPG'!$B$130:$F$130,0),0)*'All Options'!$E$17)*(IF(A116&lt;=DP,A116,0))),105%*SUM($B$26:C116)))*(AND(A116&lt;&gt;0,Output!A116&lt;=DP))+(0)*(A116&gt;DP))*$AZ$21</f>
        <v>0</v>
      </c>
      <c r="BA116" s="175" t="e">
        <f>((MAX((SUM($B$26:C116)+(VLOOKUP($BA$25,'All Options'!$AB$36:$AC$46,2,0)*VLOOKUP('All Options'!$E$22,'Valid Data-GPG'!$B$130:$F$134,MATCH('All Options'!$E$17,'Valid Data-GPG'!$B$130:$F$130,0),0)*'All Options'!$E$17)*(IF(A116&lt;=DP,A116,0))),105%*SUM($B$26:C116)))*(Output!A116&lt;=DP)
+MAX((SUM($B$26:C116)+(VLOOKUP($BA$25,'All Options'!$AB$36:$AC$46,2,0)*VLOOKUP('All Options'!$E$22,'Valid Data-GPG'!$B$130:$F$134,MATCH('All Options'!$E$17,'Valid Data-GPG'!$B$130:$F$130,0),0)*'All Options'!$E$17)*DP-D116*(A116-DP)),SUM($B$26:C116))*(A116&gt;DP))*$BA$21</f>
        <v>#N/A</v>
      </c>
      <c r="BB116" s="175">
        <f>((MAX(($AB$17+(VLOOKUP($BB$25,'All Options'!$AB$36:$AC$46,2,0)*VLOOKUP('All Options'!$E$22,'Valid Data-GPG'!$B$130:$F$134,MATCH('All Options'!$E$17,'Valid Data-GPG'!$B$130:$F$130,0),0)*'All Options'!$E$17)*(IF(A116&lt;=DP,A116,0))),105%*$AB$17))*(Output!A116&lt;=DP)+(0)*(A116&gt;DP))*$BB$21</f>
        <v>0</v>
      </c>
      <c r="BC116" s="175" t="e">
        <f>((MAX(($AB$17+(VLOOKUP($BC$25,'All Options'!$AB$36:$AC$46,2,0)*VLOOKUP('All Options'!$E$22,'Valid Data-GPG'!$B$130:$F$134,MATCH('All Options'!$E$17,'Valid Data-GPG'!$B$130:$F$130,0),0)*'All Options'!$E$17)*(IF(A116&lt;=DP,A116,0))),105%*$AB$17))*(Output!A116&lt;=DP)+
MAX(($AB$17+(VLOOKUP($BC$25,'All Options'!$AB$36:$AC$46,2,0)*VLOOKUP('All Options'!$E$22,'Valid Data-GPG'!$B$130:$F$134,MATCH('All Options'!$E$17,'Valid Data-GPG'!$B$130:$F$130,0),0)*'All Options'!$E$17)*DP-D116*(A116-DP)),$AB$17)*(A116&gt;DP))*$BC$21</f>
        <v>#N/A</v>
      </c>
      <c r="BD116" s="175">
        <f ca="1">IFERROR((MAX(($AB$17+(VLOOKUP($BD$25,'All Options'!$AB$36:$AC$46,2,0)*VLOOKUP('All Options'!$E$22,'Valid Data-GPG'!$B$130:$F$134,MATCH('All Options'!$E$17,'Valid Data-GPG'!$B$130:$F$130,0),0)*'All Options'!$E$17)*(IF(A116&lt;=DP,A116,0))),105%*$AB$17))*(Output!A116&lt;=DP)
+MAX(($AB$17+(VLOOKUP($BD$25,'All Options'!$AB$36:$AC$46,2,0)*VLOOKUP('All Options'!$E$22,'Valid Data-GPG'!$B$130:$F$134,MATCH('All Options'!$E$17,'Valid Data-GPG'!$B$130:$F$130,0),0)*'All Options'!$E$17)*DP-D116*(A116-DP)),$AB$17)*(A116&gt;DP),0)*$BD$21</f>
        <v>0</v>
      </c>
      <c r="BE116" s="66">
        <f>IFERROR((MAX(($AB$17+(VLOOKUP($BE$25,'All Options'!$AB$36:$AC$46,2,0)*VLOOKUP('All Options'!$E$22,'Valid Data-GPG'!$B$130:$F$134,MATCH('All Options'!$E$17,'Valid Data-GPG'!$B$130:$F$130,0),0)*'All Options'!$E$17)*(IF(A116&lt;=DP,A116,0))),105%*$AB$17))*(Output!A116&lt;=DP)
+(MAX($AB$17+(VLOOKUP($BE$25,'All Options'!$AB$36:$AC$46,2,0)*VLOOKUP('All Options'!$E$22,'Valid Data-GPG'!$B$130:$F$134,MATCH('All Options'!$E$17,'Valid Data-GPG'!$B$130:$F$130,0),0)*'All Options'!$E$17)*DP-AB116*(A116-DP),$AB$17)*(MAX(A116&lt;=25,K116&lt;85)))*(A116&gt;DP),0)*$BE$21</f>
        <v>0</v>
      </c>
      <c r="BF116" s="175">
        <f>IFERROR((MAX(($AB$17+(VLOOKUP($BF$25,'All Options'!$AB$36:$AC$46,2,0)*VLOOKUP('All Options'!$E$22,'Valid Data-GPG'!$B$130:$F$134,MATCH('All Options'!$E$17,'Valid Data-GPG'!$B$130:$F$130,0),0)*'All Options'!$E$17)*(IF(A116&lt;=DP,A116,0))),105%*$AB$17))*(Output!A116&lt;=DP)
+(MAX($AB$17+(VLOOKUP($BF$25,'All Options'!$AB$36:$AC$46,2,0)*VLOOKUP('All Options'!$E$22,'Valid Data-GPG'!$B$130:$F$134,MATCH('All Options'!$E$17,'Valid Data-GPG'!$B$130:$F$130,0),0)*'All Options'!$E$17)*DP-AB116*(A116-DP),$AB$17)-SUM($AF$26:AF116)*AG116)*(A116&gt;DP)*AG116,0)*$BF$21</f>
        <v>0</v>
      </c>
      <c r="BG116" s="175">
        <f t="shared" si="76"/>
        <v>0</v>
      </c>
      <c r="BH116" s="182">
        <f t="shared" si="59"/>
        <v>5000000</v>
      </c>
      <c r="BI116" s="175">
        <f t="shared" si="77"/>
        <v>0</v>
      </c>
      <c r="BJ116" s="175">
        <f t="shared" si="78"/>
        <v>0</v>
      </c>
      <c r="BK116" s="175">
        <f t="shared" si="79"/>
        <v>0</v>
      </c>
      <c r="BL116" s="175">
        <f t="shared" si="80"/>
        <v>0</v>
      </c>
      <c r="BM116" s="175">
        <f t="shared" si="81"/>
        <v>0</v>
      </c>
      <c r="BN116" s="175">
        <f t="shared" si="82"/>
        <v>0</v>
      </c>
      <c r="BO116" s="182">
        <f t="shared" si="60"/>
        <v>0</v>
      </c>
      <c r="BP116" s="182">
        <f t="shared" si="61"/>
        <v>0</v>
      </c>
      <c r="BQ116" s="182">
        <f>MAX($AB$17-SUM($AF$26:AF116),0)*$BQ$21</f>
        <v>0</v>
      </c>
      <c r="BS116" s="175">
        <f t="shared" si="62"/>
        <v>0</v>
      </c>
      <c r="BT116" s="175">
        <f>IFERROR(IF(A116&lt;=1,0,VLOOKUP(DP,'Valid Data-GPG'!$A$116:$J$122,MATCH(Output!A116,'Valid Data-GPG'!$A$116:$J$116,0),FALSE)*SUM($B$26:C116))*(A116&lt;=DP),0)*$BT$21</f>
        <v>0</v>
      </c>
      <c r="BU116" s="175">
        <f>IFERROR(IF(A116&lt;=1,0,VLOOKUP(DP,'Valid Data-GPG'!$A$116:$J$122,MATCH(Output!A116,'Valid Data-GPG'!$A$116:$J$116,0),FALSE)*SUM($B$26:C116))*(A116&lt;=DP),0)*$BU$21</f>
        <v>0</v>
      </c>
      <c r="BV116" s="175">
        <f t="shared" si="63"/>
        <v>0</v>
      </c>
      <c r="BW116" s="175">
        <f t="shared" si="64"/>
        <v>0</v>
      </c>
      <c r="BX116" s="175">
        <f t="shared" si="65"/>
        <v>0</v>
      </c>
      <c r="BY116" s="175">
        <f t="shared" si="66"/>
        <v>0</v>
      </c>
      <c r="BZ116" s="175">
        <f t="shared" si="67"/>
        <v>0</v>
      </c>
      <c r="CA116" s="175">
        <f>(INDEX('SV calc_ignore'!$J$10:$J$1341,12*Output!A116-0))*BS116</f>
        <v>0</v>
      </c>
      <c r="CB116" s="175">
        <f t="shared" si="83"/>
        <v>0</v>
      </c>
      <c r="CC116" s="175">
        <f>(INDEX('SV calc_ignore'!$J$10:$J$1341,12*Output!A116-0))*BS116</f>
        <v>0</v>
      </c>
      <c r="CD116" s="175">
        <f t="shared" si="84"/>
        <v>0</v>
      </c>
      <c r="CE116" s="66">
        <f>(INDEX('SV calc_ignore'!$J$10:$J$1341,12*Output!A116-0))*($CE$21)</f>
        <v>0</v>
      </c>
      <c r="CF116" s="175">
        <f t="shared" si="85"/>
        <v>0</v>
      </c>
      <c r="CG116" s="175">
        <f>(INDEX('SV calc_ignore'!$J$10:$J$1341,12*Output!A116-0))*($CG$21)*(A116&gt;1)</f>
        <v>0</v>
      </c>
      <c r="CH116" s="175">
        <f>(INDEX('SV calc_ignore'!$J$10:$J$1341,12*Output!A116-0))*($CH$21)*(A116&gt;1)</f>
        <v>0</v>
      </c>
      <c r="CI116" s="175"/>
      <c r="CJ116" s="66">
        <f>(INDEX('SV calc_ignore'!$J$10:$J$1341,12*Output!A116-0))*($CJ$21)*(A116&gt;1)</f>
        <v>0</v>
      </c>
      <c r="CK116" s="66">
        <f>(INDEX('SV calc_ignore'!$Q$10:$Q$1341,12*Output!A116-0))*(AND(A116&gt;1,R116&lt;20))*($CK$21)</f>
        <v>0</v>
      </c>
      <c r="CL116" s="66">
        <f t="shared" si="86"/>
        <v>0</v>
      </c>
      <c r="CM116" s="175">
        <f>((INDEX('SV calc_ignore'!$J$10:$J$1341,12*Output!A116-0))+(INDEX('SV calc_ignore'!$O$10:$O$1341,12*Output!A116-0))*(A116&lt;'SV calc_ignore'!$Q$5))*(A116&gt;1)*($CM$21)</f>
        <v>0</v>
      </c>
      <c r="CN116" s="175">
        <v>0</v>
      </c>
      <c r="CO116" s="175">
        <f>(INDEX('SV calc_ignore'!$J$10:$J$1341,12*Output!A116-0))*(A116&gt;1)*($CO$21)</f>
        <v>0</v>
      </c>
      <c r="CP116" s="175">
        <v>0</v>
      </c>
      <c r="CQ116" s="175">
        <v>0</v>
      </c>
      <c r="CR116" s="175">
        <v>0</v>
      </c>
      <c r="CS116" s="175">
        <v>0</v>
      </c>
      <c r="CT116" s="175">
        <v>0</v>
      </c>
      <c r="CU116" s="175">
        <v>0</v>
      </c>
      <c r="CV116" s="175">
        <f>(INDEX('SV calc_ignore'!$J$10:$J$1341,12*Output!A116-0))*(A116&gt;1)*($CV$21)</f>
        <v>0</v>
      </c>
      <c r="CW116" s="66">
        <f>((INDEX('SV calc_ignore'!$J$10:$J$1341,12*Output!A116-0))+(INDEX('SV calc_ignore'!$O$10:$O$1351,12*Output!A116-0))*(A116&lt;'SV calc_ignore'!$Q$5))*(A116&gt;1)*($CW$21)</f>
        <v>0</v>
      </c>
      <c r="CX116" s="175">
        <f>(INDEX('SV calc_ignore'!$J$10:$J$1341,12*Output!A116-0))*(A116&gt;1)*($CX$21)</f>
        <v>0</v>
      </c>
      <c r="CY116" s="175">
        <f>(INDEX('SV calc_ignore'!$Q$10:$Q$1341,12*Output!A116-0))*(AND(A116&gt;1,R116&lt;20))*($CY$21)</f>
        <v>0</v>
      </c>
      <c r="CZ116" s="175">
        <f t="shared" si="87"/>
        <v>0</v>
      </c>
      <c r="DE116" s="43">
        <f>IF($DE$23,0,VLOOKUP(IF(A116&lt;=DP,DJ116,DI116),SSV!$B$6:$C$116,2,FALSE)*VLOOKUP(AnnuityOption,'All Options'!$AB$36:$AC$47,2,FALSE)*VLOOKUP('All Options'!$E$22,'Valid Data-GPG'!$B$130:$F$134,MATCH('All Options'!$E$17,'Valid Data-GPG'!$B$130:$F$130,0),0)*'All Options'!$E$17)*(IF(AND(Select="Deferred Annuity",AnnuityOption="Life Annuity"),A116&lt;=DP,1))</f>
        <v>3274327.0531593515</v>
      </c>
      <c r="DF116" s="43">
        <f>IF($DF$23,0,IF($DQ$25,DQ116,IF($DR$25,DR116,VLOOKUP(IF(A116&lt;=DP,DJ116,DI116),SSV!$G$6:$H$116,2,FALSE)*SUM($B$27:B116))))</f>
        <v>1006161.5</v>
      </c>
      <c r="DG116" s="43" t="e">
        <f>IF(A116&lt;=DP,VLOOKUP(DP-A115,SSV!$T$6:$U$15,2,FALSE),1)</f>
        <v>#N/A</v>
      </c>
      <c r="DH116" s="282" t="e">
        <f t="shared" si="68"/>
        <v>#VALUE!</v>
      </c>
      <c r="DI116" s="43">
        <f>IF($DM$26,MIN(Age,'All Options'!$E$21)+A115,IF($DN$26,(Age+A115)-Age+60,IF($DO$26,(Age+A115)-Age+55,Age+A115)))</f>
        <v>60</v>
      </c>
      <c r="DJ116" s="279">
        <f>IF($DM$26,MIN(Age+A116,'All Options'!$E$21+A116),IF($DN$26,(Age+A116)-(Age+$A$27)+60,IF($DO$26,(Age+A116)-(Age+$A$27)+55,Age+A116)))</f>
        <v>60</v>
      </c>
      <c r="DP116" s="43">
        <f t="shared" si="88"/>
        <v>0</v>
      </c>
      <c r="DQ116" s="43">
        <f>IFERROR(VLOOKUP(IF(A116&lt;=DP,DJ116,DI116),SSV!$K$6:$L$91,2,FALSE)*SUM($B$27:B116),0)*($DQ$25)</f>
        <v>0</v>
      </c>
      <c r="DR116" s="43">
        <f>IFERROR(VLOOKUP(IF(A116&lt;=DP,DJ116,DI116),SSV!$O$6:$P$95,2,FALSE)*SUM($B$27:B116),0)*($DR$25)</f>
        <v>0</v>
      </c>
      <c r="DU116" s="175">
        <f t="shared" si="69"/>
        <v>0</v>
      </c>
    </row>
    <row r="117" spans="1:125" x14ac:dyDescent="0.2">
      <c r="A117" s="146">
        <f t="shared" si="70"/>
        <v>0</v>
      </c>
      <c r="B117" s="670">
        <f>IF(PremiumType="Regular Premium",'All Options'!$E$18*'All Options'!$E$22*(AND(Output!A117&lt;=PPT,A117&gt;=1)),'All Options'!$E$18*(A117=1))</f>
        <v>0</v>
      </c>
      <c r="C117" s="671"/>
      <c r="D117" s="103" t="e">
        <f>((VLOOKUP(CONCATENATE($D$14,$D$15),'All Options'!$AB$36:$AC$47,4,0)*VLOOKUP('All Options'!$E$22,'Valid Data-GPG'!$B$130:$F$134,MATCH('All Options'!$E$17,'Valid Data-GPG'!$B$130:$F$130,0),0)*'All Options'!$E$17)*IF(Select="Deferred Annuity",A117&gt;DP,1)+AE117+AF117*AG117*$AG$21)*(A117&gt;0)</f>
        <v>#N/A</v>
      </c>
      <c r="E117" s="103">
        <v>0</v>
      </c>
      <c r="F117" s="103" t="e">
        <f t="shared" si="71"/>
        <v>#N/A</v>
      </c>
      <c r="G117" s="103">
        <f t="shared" si="55"/>
        <v>0</v>
      </c>
      <c r="H117" s="285">
        <f t="shared" si="72"/>
        <v>0</v>
      </c>
      <c r="I117" s="103">
        <f t="shared" si="73"/>
        <v>0</v>
      </c>
      <c r="K117" s="175" t="str">
        <f t="shared" si="74"/>
        <v/>
      </c>
      <c r="L117" s="175"/>
      <c r="M117" s="175"/>
      <c r="N117" s="175"/>
      <c r="O117" s="175"/>
      <c r="P117" s="175"/>
      <c r="Q117" s="175"/>
      <c r="R117" s="175">
        <f t="shared" si="75"/>
        <v>0</v>
      </c>
      <c r="AB117" s="175" t="e">
        <f>(VLOOKUP(CONCATENATE($D$14,$D$15),'All Options'!$AB$36:$AC$47,4,0)*VLOOKUP('All Options'!$E$22,'Valid Data-GPG'!$B$130:$F$134,MATCH('All Options'!$E$17,'Valid Data-GPG'!$B$130:$F$130,0),0)*'All Options'!$E$17)*IF(Select="Deferred Annuity",A117&gt;DP,1)*(A117&gt;0)</f>
        <v>#N/A</v>
      </c>
      <c r="AC117" s="175">
        <f t="shared" si="56"/>
        <v>0</v>
      </c>
      <c r="AD117" s="175">
        <f>SUM($AC$26:AC117)</f>
        <v>0</v>
      </c>
      <c r="AE117" s="175">
        <f t="shared" si="57"/>
        <v>0</v>
      </c>
      <c r="AF117" s="175">
        <f t="shared" si="58"/>
        <v>0</v>
      </c>
      <c r="AG117" s="175" t="b">
        <f>(SUM($AF$26:AF117)&lt;=$AB$17)</f>
        <v>0</v>
      </c>
      <c r="AY117" s="175"/>
      <c r="AZ117" s="66">
        <f>((MAX((SUM($B$26:C117)+(VLOOKUP($AZ$25,'All Options'!$AB$36:$AC$46,2,0)*VLOOKUP('All Options'!$E$22,'Valid Data-GPG'!$B$130:$F$134,MATCH('All Options'!$E$17,'Valid Data-GPG'!$B$130:$F$130,0),0)*'All Options'!$E$17)*(IF(A117&lt;=DP,A117,0))),105%*SUM($B$26:C117)))*(AND(A117&lt;&gt;0,Output!A117&lt;=DP))+(0)*(A117&gt;DP))*$AZ$21</f>
        <v>0</v>
      </c>
      <c r="BA117" s="175" t="e">
        <f>((MAX((SUM($B$26:C117)+(VLOOKUP($BA$25,'All Options'!$AB$36:$AC$46,2,0)*VLOOKUP('All Options'!$E$22,'Valid Data-GPG'!$B$130:$F$134,MATCH('All Options'!$E$17,'Valid Data-GPG'!$B$130:$F$130,0),0)*'All Options'!$E$17)*(IF(A117&lt;=DP,A117,0))),105%*SUM($B$26:C117)))*(Output!A117&lt;=DP)
+MAX((SUM($B$26:C117)+(VLOOKUP($BA$25,'All Options'!$AB$36:$AC$46,2,0)*VLOOKUP('All Options'!$E$22,'Valid Data-GPG'!$B$130:$F$134,MATCH('All Options'!$E$17,'Valid Data-GPG'!$B$130:$F$130,0),0)*'All Options'!$E$17)*DP-D117*(A117-DP)),SUM($B$26:C117))*(A117&gt;DP))*$BA$21</f>
        <v>#N/A</v>
      </c>
      <c r="BB117" s="175">
        <f>((MAX(($AB$17+(VLOOKUP($BB$25,'All Options'!$AB$36:$AC$46,2,0)*VLOOKUP('All Options'!$E$22,'Valid Data-GPG'!$B$130:$F$134,MATCH('All Options'!$E$17,'Valid Data-GPG'!$B$130:$F$130,0),0)*'All Options'!$E$17)*(IF(A117&lt;=DP,A117,0))),105%*$AB$17))*(Output!A117&lt;=DP)+(0)*(A117&gt;DP))*$BB$21</f>
        <v>0</v>
      </c>
      <c r="BC117" s="175" t="e">
        <f>((MAX(($AB$17+(VLOOKUP($BC$25,'All Options'!$AB$36:$AC$46,2,0)*VLOOKUP('All Options'!$E$22,'Valid Data-GPG'!$B$130:$F$134,MATCH('All Options'!$E$17,'Valid Data-GPG'!$B$130:$F$130,0),0)*'All Options'!$E$17)*(IF(A117&lt;=DP,A117,0))),105%*$AB$17))*(Output!A117&lt;=DP)+
MAX(($AB$17+(VLOOKUP($BC$25,'All Options'!$AB$36:$AC$46,2,0)*VLOOKUP('All Options'!$E$22,'Valid Data-GPG'!$B$130:$F$134,MATCH('All Options'!$E$17,'Valid Data-GPG'!$B$130:$F$130,0),0)*'All Options'!$E$17)*DP-D117*(A117-DP)),$AB$17)*(A117&gt;DP))*$BC$21</f>
        <v>#N/A</v>
      </c>
      <c r="BD117" s="175">
        <f ca="1">IFERROR((MAX(($AB$17+(VLOOKUP($BD$25,'All Options'!$AB$36:$AC$46,2,0)*VLOOKUP('All Options'!$E$22,'Valid Data-GPG'!$B$130:$F$134,MATCH('All Options'!$E$17,'Valid Data-GPG'!$B$130:$F$130,0),0)*'All Options'!$E$17)*(IF(A117&lt;=DP,A117,0))),105%*$AB$17))*(Output!A117&lt;=DP)
+MAX(($AB$17+(VLOOKUP($BD$25,'All Options'!$AB$36:$AC$46,2,0)*VLOOKUP('All Options'!$E$22,'Valid Data-GPG'!$B$130:$F$134,MATCH('All Options'!$E$17,'Valid Data-GPG'!$B$130:$F$130,0),0)*'All Options'!$E$17)*DP-D117*(A117-DP)),$AB$17)*(A117&gt;DP),0)*$BD$21</f>
        <v>0</v>
      </c>
      <c r="BE117" s="66">
        <f>IFERROR((MAX(($AB$17+(VLOOKUP($BE$25,'All Options'!$AB$36:$AC$46,2,0)*VLOOKUP('All Options'!$E$22,'Valid Data-GPG'!$B$130:$F$134,MATCH('All Options'!$E$17,'Valid Data-GPG'!$B$130:$F$130,0),0)*'All Options'!$E$17)*(IF(A117&lt;=DP,A117,0))),105%*$AB$17))*(Output!A117&lt;=DP)
+(MAX($AB$17+(VLOOKUP($BE$25,'All Options'!$AB$36:$AC$46,2,0)*VLOOKUP('All Options'!$E$22,'Valid Data-GPG'!$B$130:$F$134,MATCH('All Options'!$E$17,'Valid Data-GPG'!$B$130:$F$130,0),0)*'All Options'!$E$17)*DP-AB117*(A117-DP),$AB$17)*(MAX(A117&lt;=25,K117&lt;85)))*(A117&gt;DP),0)*$BE$21</f>
        <v>0</v>
      </c>
      <c r="BF117" s="175">
        <f>IFERROR((MAX(($AB$17+(VLOOKUP($BF$25,'All Options'!$AB$36:$AC$46,2,0)*VLOOKUP('All Options'!$E$22,'Valid Data-GPG'!$B$130:$F$134,MATCH('All Options'!$E$17,'Valid Data-GPG'!$B$130:$F$130,0),0)*'All Options'!$E$17)*(IF(A117&lt;=DP,A117,0))),105%*$AB$17))*(Output!A117&lt;=DP)
+(MAX($AB$17+(VLOOKUP($BF$25,'All Options'!$AB$36:$AC$46,2,0)*VLOOKUP('All Options'!$E$22,'Valid Data-GPG'!$B$130:$F$134,MATCH('All Options'!$E$17,'Valid Data-GPG'!$B$130:$F$130,0),0)*'All Options'!$E$17)*DP-AB117*(A117-DP),$AB$17)-SUM($AF$26:AF117)*AG117)*(A117&gt;DP)*AG117,0)*$BF$21</f>
        <v>0</v>
      </c>
      <c r="BG117" s="175">
        <f t="shared" si="76"/>
        <v>0</v>
      </c>
      <c r="BH117" s="182">
        <f t="shared" si="59"/>
        <v>5000000</v>
      </c>
      <c r="BI117" s="175">
        <f t="shared" si="77"/>
        <v>0</v>
      </c>
      <c r="BJ117" s="175">
        <f t="shared" si="78"/>
        <v>0</v>
      </c>
      <c r="BK117" s="175">
        <f t="shared" si="79"/>
        <v>0</v>
      </c>
      <c r="BL117" s="175">
        <f t="shared" si="80"/>
        <v>0</v>
      </c>
      <c r="BM117" s="175">
        <f t="shared" si="81"/>
        <v>0</v>
      </c>
      <c r="BN117" s="175">
        <f t="shared" si="82"/>
        <v>0</v>
      </c>
      <c r="BO117" s="182">
        <f t="shared" si="60"/>
        <v>0</v>
      </c>
      <c r="BP117" s="182">
        <f t="shared" si="61"/>
        <v>0</v>
      </c>
      <c r="BQ117" s="182">
        <f>MAX($AB$17-SUM($AF$26:AF117),0)*$BQ$21</f>
        <v>0</v>
      </c>
      <c r="BS117" s="175">
        <f t="shared" si="62"/>
        <v>0</v>
      </c>
      <c r="BT117" s="175">
        <f>IFERROR(IF(A117&lt;=1,0,VLOOKUP(DP,'Valid Data-GPG'!$A$116:$J$122,MATCH(Output!A117,'Valid Data-GPG'!$A$116:$J$116,0),FALSE)*SUM($B$26:C117))*(A117&lt;=DP),0)*$BT$21</f>
        <v>0</v>
      </c>
      <c r="BU117" s="175">
        <f>IFERROR(IF(A117&lt;=1,0,VLOOKUP(DP,'Valid Data-GPG'!$A$116:$J$122,MATCH(Output!A117,'Valid Data-GPG'!$A$116:$J$116,0),FALSE)*SUM($B$26:C117))*(A117&lt;=DP),0)*$BU$21</f>
        <v>0</v>
      </c>
      <c r="BV117" s="175">
        <f t="shared" si="63"/>
        <v>0</v>
      </c>
      <c r="BW117" s="175">
        <f t="shared" si="64"/>
        <v>0</v>
      </c>
      <c r="BX117" s="175">
        <f t="shared" si="65"/>
        <v>0</v>
      </c>
      <c r="BY117" s="175">
        <f t="shared" si="66"/>
        <v>0</v>
      </c>
      <c r="BZ117" s="175">
        <f t="shared" si="67"/>
        <v>0</v>
      </c>
      <c r="CA117" s="175">
        <f>(INDEX('SV calc_ignore'!$J$10:$J$1341,12*Output!A117-0))*BS117</f>
        <v>0</v>
      </c>
      <c r="CB117" s="175">
        <f t="shared" si="83"/>
        <v>0</v>
      </c>
      <c r="CC117" s="175">
        <f>(INDEX('SV calc_ignore'!$J$10:$J$1341,12*Output!A117-0))*BS117</f>
        <v>0</v>
      </c>
      <c r="CD117" s="175">
        <f t="shared" si="84"/>
        <v>0</v>
      </c>
      <c r="CE117" s="66">
        <f>(INDEX('SV calc_ignore'!$J$10:$J$1341,12*Output!A117-0))*($CE$21)</f>
        <v>0</v>
      </c>
      <c r="CF117" s="175">
        <f t="shared" si="85"/>
        <v>0</v>
      </c>
      <c r="CG117" s="175">
        <f>(INDEX('SV calc_ignore'!$J$10:$J$1341,12*Output!A117-0))*($CG$21)*(A117&gt;1)</f>
        <v>0</v>
      </c>
      <c r="CH117" s="175">
        <f>(INDEX('SV calc_ignore'!$J$10:$J$1341,12*Output!A117-0))*($CH$21)*(A117&gt;1)</f>
        <v>0</v>
      </c>
      <c r="CI117" s="175"/>
      <c r="CJ117" s="66">
        <f>(INDEX('SV calc_ignore'!$J$10:$J$1341,12*Output!A117-0))*($CJ$21)*(A117&gt;1)</f>
        <v>0</v>
      </c>
      <c r="CK117" s="66">
        <f>(INDEX('SV calc_ignore'!$Q$10:$Q$1341,12*Output!A117-0))*(AND(A117&gt;1,R117&lt;20))*($CK$21)</f>
        <v>0</v>
      </c>
      <c r="CL117" s="66">
        <f t="shared" si="86"/>
        <v>0</v>
      </c>
      <c r="CM117" s="175">
        <f>((INDEX('SV calc_ignore'!$J$10:$J$1341,12*Output!A117-0))+(INDEX('SV calc_ignore'!$O$10:$O$1341,12*Output!A117-0))*(A117&lt;'SV calc_ignore'!$Q$5))*(A117&gt;1)*($CM$21)</f>
        <v>0</v>
      </c>
      <c r="CN117" s="175">
        <v>0</v>
      </c>
      <c r="CO117" s="175">
        <f>(INDEX('SV calc_ignore'!$J$10:$J$1341,12*Output!A117-0))*(A117&gt;1)*($CO$21)</f>
        <v>0</v>
      </c>
      <c r="CP117" s="175">
        <v>0</v>
      </c>
      <c r="CQ117" s="175">
        <v>0</v>
      </c>
      <c r="CR117" s="175">
        <v>0</v>
      </c>
      <c r="CS117" s="175">
        <v>0</v>
      </c>
      <c r="CT117" s="175">
        <v>0</v>
      </c>
      <c r="CU117" s="175">
        <v>0</v>
      </c>
      <c r="CV117" s="175">
        <f>(INDEX('SV calc_ignore'!$J$10:$J$1341,12*Output!A117-0))*(A117&gt;1)*($CV$21)</f>
        <v>0</v>
      </c>
      <c r="CW117" s="66">
        <f>((INDEX('SV calc_ignore'!$J$10:$J$1341,12*Output!A117-0))+(INDEX('SV calc_ignore'!$O$10:$O$1351,12*Output!A117-0))*(A117&lt;'SV calc_ignore'!$Q$5))*(A117&gt;1)*($CW$21)</f>
        <v>0</v>
      </c>
      <c r="CX117" s="175">
        <f>(INDEX('SV calc_ignore'!$J$10:$J$1341,12*Output!A117-0))*(A117&gt;1)*($CX$21)</f>
        <v>0</v>
      </c>
      <c r="CY117" s="175">
        <f>(INDEX('SV calc_ignore'!$Q$10:$Q$1341,12*Output!A117-0))*(AND(A117&gt;1,R117&lt;20))*($CY$21)</f>
        <v>0</v>
      </c>
      <c r="CZ117" s="175">
        <f t="shared" si="87"/>
        <v>0</v>
      </c>
      <c r="DE117" s="43">
        <f>IF($DE$23,0,VLOOKUP(IF(A117&lt;=DP,DJ117,DI117),SSV!$B$6:$C$116,2,FALSE)*VLOOKUP(AnnuityOption,'All Options'!$AB$36:$AC$47,2,FALSE)*VLOOKUP('All Options'!$E$22,'Valid Data-GPG'!$B$130:$F$134,MATCH('All Options'!$E$17,'Valid Data-GPG'!$B$130:$F$130,0),0)*'All Options'!$E$17)*(IF(AND(Select="Deferred Annuity",AnnuityOption="Life Annuity"),A117&lt;=DP,1))</f>
        <v>3274327.0531593515</v>
      </c>
      <c r="DF117" s="43">
        <f>IF($DF$23,0,IF($DQ$25,DQ117,IF($DR$25,DR117,VLOOKUP(IF(A117&lt;=DP,DJ117,DI117),SSV!$G$6:$H$116,2,FALSE)*SUM($B$27:B117))))</f>
        <v>1006161.5</v>
      </c>
      <c r="DG117" s="43" t="e">
        <f>IF(A117&lt;=DP,VLOOKUP(DP-A116,SSV!$T$6:$U$15,2,FALSE),1)</f>
        <v>#N/A</v>
      </c>
      <c r="DH117" s="282" t="e">
        <f t="shared" si="68"/>
        <v>#VALUE!</v>
      </c>
      <c r="DI117" s="43">
        <f>IF($DM$26,MIN(Age,'All Options'!$E$21)+A116,IF($DN$26,(Age+A116)-Age+60,IF($DO$26,(Age+A116)-Age+55,Age+A116)))</f>
        <v>60</v>
      </c>
      <c r="DJ117" s="279">
        <f>IF($DM$26,MIN(Age+A117,'All Options'!$E$21+A117),IF($DN$26,(Age+A117)-(Age+$A$27)+60,IF($DO$26,(Age+A117)-(Age+$A$27)+55,Age+A117)))</f>
        <v>60</v>
      </c>
      <c r="DP117" s="43">
        <f t="shared" si="88"/>
        <v>0</v>
      </c>
      <c r="DQ117" s="43">
        <f>IFERROR(VLOOKUP(IF(A117&lt;=DP,DJ117,DI117),SSV!$K$6:$L$91,2,FALSE)*SUM($B$27:B117),0)*($DQ$25)</f>
        <v>0</v>
      </c>
      <c r="DR117" s="43">
        <f>IFERROR(VLOOKUP(IF(A117&lt;=DP,DJ117,DI117),SSV!$O$6:$P$95,2,FALSE)*SUM($B$27:B117),0)*($DR$25)</f>
        <v>0</v>
      </c>
      <c r="DU117" s="175">
        <f t="shared" si="69"/>
        <v>0</v>
      </c>
    </row>
    <row r="118" spans="1:125" x14ac:dyDescent="0.2">
      <c r="A118" s="146">
        <f t="shared" si="70"/>
        <v>0</v>
      </c>
      <c r="B118" s="670">
        <f>IF(PremiumType="Regular Premium",'All Options'!$E$18*'All Options'!$E$22*(AND(Output!A118&lt;=PPT,A118&gt;=1)),'All Options'!$E$18*(A118=1))</f>
        <v>0</v>
      </c>
      <c r="C118" s="671"/>
      <c r="D118" s="103" t="e">
        <f>((VLOOKUP(CONCATENATE($D$14,$D$15),'All Options'!$AB$36:$AC$47,4,0)*VLOOKUP('All Options'!$E$22,'Valid Data-GPG'!$B$130:$F$134,MATCH('All Options'!$E$17,'Valid Data-GPG'!$B$130:$F$130,0),0)*'All Options'!$E$17)*IF(Select="Deferred Annuity",A118&gt;DP,1)+AE118+AF118*AG118*$AG$21)*(A118&gt;0)</f>
        <v>#N/A</v>
      </c>
      <c r="E118" s="103">
        <v>0</v>
      </c>
      <c r="F118" s="103" t="e">
        <f t="shared" si="71"/>
        <v>#N/A</v>
      </c>
      <c r="G118" s="103">
        <f t="shared" si="55"/>
        <v>0</v>
      </c>
      <c r="H118" s="285">
        <f t="shared" si="72"/>
        <v>0</v>
      </c>
      <c r="I118" s="103">
        <f t="shared" si="73"/>
        <v>0</v>
      </c>
      <c r="K118" s="175" t="str">
        <f t="shared" si="74"/>
        <v/>
      </c>
      <c r="L118" s="175"/>
      <c r="M118" s="175"/>
      <c r="N118" s="175"/>
      <c r="O118" s="175"/>
      <c r="P118" s="175"/>
      <c r="Q118" s="175"/>
      <c r="R118" s="175">
        <f t="shared" si="75"/>
        <v>0</v>
      </c>
      <c r="AB118" s="175" t="e">
        <f>(VLOOKUP(CONCATENATE($D$14,$D$15),'All Options'!$AB$36:$AC$47,4,0)*VLOOKUP('All Options'!$E$22,'Valid Data-GPG'!$B$130:$F$134,MATCH('All Options'!$E$17,'Valid Data-GPG'!$B$130:$F$130,0),0)*'All Options'!$E$17)*IF(Select="Deferred Annuity",A118&gt;DP,1)*(A118&gt;0)</f>
        <v>#N/A</v>
      </c>
      <c r="AC118" s="175">
        <f t="shared" si="56"/>
        <v>0</v>
      </c>
      <c r="AD118" s="175">
        <f>SUM($AC$26:AC118)</f>
        <v>0</v>
      </c>
      <c r="AE118" s="175">
        <f t="shared" si="57"/>
        <v>0</v>
      </c>
      <c r="AF118" s="175">
        <f t="shared" si="58"/>
        <v>0</v>
      </c>
      <c r="AG118" s="175" t="b">
        <f>(SUM($AF$26:AF118)&lt;=$AB$17)</f>
        <v>0</v>
      </c>
      <c r="AY118" s="175"/>
      <c r="AZ118" s="66">
        <f>((MAX((SUM($B$26:C118)+(VLOOKUP($AZ$25,'All Options'!$AB$36:$AC$46,2,0)*VLOOKUP('All Options'!$E$22,'Valid Data-GPG'!$B$130:$F$134,MATCH('All Options'!$E$17,'Valid Data-GPG'!$B$130:$F$130,0),0)*'All Options'!$E$17)*(IF(A118&lt;=DP,A118,0))),105%*SUM($B$26:C118)))*(AND(A118&lt;&gt;0,Output!A118&lt;=DP))+(0)*(A118&gt;DP))*$AZ$21</f>
        <v>0</v>
      </c>
      <c r="BA118" s="175" t="e">
        <f>((MAX((SUM($B$26:C118)+(VLOOKUP($BA$25,'All Options'!$AB$36:$AC$46,2,0)*VLOOKUP('All Options'!$E$22,'Valid Data-GPG'!$B$130:$F$134,MATCH('All Options'!$E$17,'Valid Data-GPG'!$B$130:$F$130,0),0)*'All Options'!$E$17)*(IF(A118&lt;=DP,A118,0))),105%*SUM($B$26:C118)))*(Output!A118&lt;=DP)
+MAX((SUM($B$26:C118)+(VLOOKUP($BA$25,'All Options'!$AB$36:$AC$46,2,0)*VLOOKUP('All Options'!$E$22,'Valid Data-GPG'!$B$130:$F$134,MATCH('All Options'!$E$17,'Valid Data-GPG'!$B$130:$F$130,0),0)*'All Options'!$E$17)*DP-D118*(A118-DP)),SUM($B$26:C118))*(A118&gt;DP))*$BA$21</f>
        <v>#N/A</v>
      </c>
      <c r="BB118" s="175">
        <f>((MAX(($AB$17+(VLOOKUP($BB$25,'All Options'!$AB$36:$AC$46,2,0)*VLOOKUP('All Options'!$E$22,'Valid Data-GPG'!$B$130:$F$134,MATCH('All Options'!$E$17,'Valid Data-GPG'!$B$130:$F$130,0),0)*'All Options'!$E$17)*(IF(A118&lt;=DP,A118,0))),105%*$AB$17))*(Output!A118&lt;=DP)+(0)*(A118&gt;DP))*$BB$21</f>
        <v>0</v>
      </c>
      <c r="BC118" s="175" t="e">
        <f>((MAX(($AB$17+(VLOOKUP($BC$25,'All Options'!$AB$36:$AC$46,2,0)*VLOOKUP('All Options'!$E$22,'Valid Data-GPG'!$B$130:$F$134,MATCH('All Options'!$E$17,'Valid Data-GPG'!$B$130:$F$130,0),0)*'All Options'!$E$17)*(IF(A118&lt;=DP,A118,0))),105%*$AB$17))*(Output!A118&lt;=DP)+
MAX(($AB$17+(VLOOKUP($BC$25,'All Options'!$AB$36:$AC$46,2,0)*VLOOKUP('All Options'!$E$22,'Valid Data-GPG'!$B$130:$F$134,MATCH('All Options'!$E$17,'Valid Data-GPG'!$B$130:$F$130,0),0)*'All Options'!$E$17)*DP-D118*(A118-DP)),$AB$17)*(A118&gt;DP))*$BC$21</f>
        <v>#N/A</v>
      </c>
      <c r="BD118" s="175">
        <f ca="1">IFERROR((MAX(($AB$17+(VLOOKUP($BD$25,'All Options'!$AB$36:$AC$46,2,0)*VLOOKUP('All Options'!$E$22,'Valid Data-GPG'!$B$130:$F$134,MATCH('All Options'!$E$17,'Valid Data-GPG'!$B$130:$F$130,0),0)*'All Options'!$E$17)*(IF(A118&lt;=DP,A118,0))),105%*$AB$17))*(Output!A118&lt;=DP)
+MAX(($AB$17+(VLOOKUP($BD$25,'All Options'!$AB$36:$AC$46,2,0)*VLOOKUP('All Options'!$E$22,'Valid Data-GPG'!$B$130:$F$134,MATCH('All Options'!$E$17,'Valid Data-GPG'!$B$130:$F$130,0),0)*'All Options'!$E$17)*DP-D118*(A118-DP)),$AB$17)*(A118&gt;DP),0)*$BD$21</f>
        <v>0</v>
      </c>
      <c r="BE118" s="66">
        <f>IFERROR((MAX(($AB$17+(VLOOKUP($BE$25,'All Options'!$AB$36:$AC$46,2,0)*VLOOKUP('All Options'!$E$22,'Valid Data-GPG'!$B$130:$F$134,MATCH('All Options'!$E$17,'Valid Data-GPG'!$B$130:$F$130,0),0)*'All Options'!$E$17)*(IF(A118&lt;=DP,A118,0))),105%*$AB$17))*(Output!A118&lt;=DP)
+(MAX($AB$17+(VLOOKUP($BE$25,'All Options'!$AB$36:$AC$46,2,0)*VLOOKUP('All Options'!$E$22,'Valid Data-GPG'!$B$130:$F$134,MATCH('All Options'!$E$17,'Valid Data-GPG'!$B$130:$F$130,0),0)*'All Options'!$E$17)*DP-AB118*(A118-DP),$AB$17)*(MAX(A118&lt;=25,K118&lt;85)))*(A118&gt;DP),0)*$BE$21</f>
        <v>0</v>
      </c>
      <c r="BF118" s="175">
        <f>IFERROR((MAX(($AB$17+(VLOOKUP($BF$25,'All Options'!$AB$36:$AC$46,2,0)*VLOOKUP('All Options'!$E$22,'Valid Data-GPG'!$B$130:$F$134,MATCH('All Options'!$E$17,'Valid Data-GPG'!$B$130:$F$130,0),0)*'All Options'!$E$17)*(IF(A118&lt;=DP,A118,0))),105%*$AB$17))*(Output!A118&lt;=DP)
+(MAX($AB$17+(VLOOKUP($BF$25,'All Options'!$AB$36:$AC$46,2,0)*VLOOKUP('All Options'!$E$22,'Valid Data-GPG'!$B$130:$F$134,MATCH('All Options'!$E$17,'Valid Data-GPG'!$B$130:$F$130,0),0)*'All Options'!$E$17)*DP-AB118*(A118-DP),$AB$17)-SUM($AF$26:AF118)*AG118)*(A118&gt;DP)*AG118,0)*$BF$21</f>
        <v>0</v>
      </c>
      <c r="BG118" s="175">
        <f t="shared" si="76"/>
        <v>0</v>
      </c>
      <c r="BH118" s="182">
        <f t="shared" si="59"/>
        <v>5000000</v>
      </c>
      <c r="BI118" s="175">
        <f t="shared" si="77"/>
        <v>0</v>
      </c>
      <c r="BJ118" s="175">
        <f t="shared" si="78"/>
        <v>0</v>
      </c>
      <c r="BK118" s="175">
        <f t="shared" si="79"/>
        <v>0</v>
      </c>
      <c r="BL118" s="175">
        <f t="shared" si="80"/>
        <v>0</v>
      </c>
      <c r="BM118" s="175">
        <f t="shared" si="81"/>
        <v>0</v>
      </c>
      <c r="BN118" s="175">
        <f t="shared" si="82"/>
        <v>0</v>
      </c>
      <c r="BO118" s="182">
        <f t="shared" si="60"/>
        <v>0</v>
      </c>
      <c r="BP118" s="182">
        <f t="shared" si="61"/>
        <v>0</v>
      </c>
      <c r="BQ118" s="182">
        <f>MAX($AB$17-SUM($AF$26:AF118),0)*$BQ$21</f>
        <v>0</v>
      </c>
      <c r="BS118" s="175">
        <f t="shared" si="62"/>
        <v>0</v>
      </c>
      <c r="BT118" s="175">
        <f>IFERROR(IF(A118&lt;=1,0,VLOOKUP(DP,'Valid Data-GPG'!$A$116:$J$122,MATCH(Output!A118,'Valid Data-GPG'!$A$116:$J$116,0),FALSE)*SUM($B$26:C118))*(A118&lt;=DP),0)*$BT$21</f>
        <v>0</v>
      </c>
      <c r="BU118" s="175">
        <f>IFERROR(IF(A118&lt;=1,0,VLOOKUP(DP,'Valid Data-GPG'!$A$116:$J$122,MATCH(Output!A118,'Valid Data-GPG'!$A$116:$J$116,0),FALSE)*SUM($B$26:C118))*(A118&lt;=DP),0)*$BU$21</f>
        <v>0</v>
      </c>
      <c r="BV118" s="175">
        <f t="shared" si="63"/>
        <v>0</v>
      </c>
      <c r="BW118" s="175">
        <f t="shared" si="64"/>
        <v>0</v>
      </c>
      <c r="BX118" s="175">
        <f t="shared" si="65"/>
        <v>0</v>
      </c>
      <c r="BY118" s="175">
        <f t="shared" si="66"/>
        <v>0</v>
      </c>
      <c r="BZ118" s="175">
        <f t="shared" si="67"/>
        <v>0</v>
      </c>
      <c r="CA118" s="175">
        <f>(INDEX('SV calc_ignore'!$J$10:$J$1341,12*Output!A118-0))*BS118</f>
        <v>0</v>
      </c>
      <c r="CB118" s="175">
        <f t="shared" si="83"/>
        <v>0</v>
      </c>
      <c r="CC118" s="175">
        <f>(INDEX('SV calc_ignore'!$J$10:$J$1341,12*Output!A118-0))*BS118</f>
        <v>0</v>
      </c>
      <c r="CD118" s="175">
        <f t="shared" si="84"/>
        <v>0</v>
      </c>
      <c r="CE118" s="66">
        <f>(INDEX('SV calc_ignore'!$J$10:$J$1341,12*Output!A118-0))*($CE$21)</f>
        <v>0</v>
      </c>
      <c r="CF118" s="175">
        <f t="shared" si="85"/>
        <v>0</v>
      </c>
      <c r="CG118" s="175">
        <f>(INDEX('SV calc_ignore'!$J$10:$J$1341,12*Output!A118-0))*($CG$21)*(A118&gt;1)</f>
        <v>0</v>
      </c>
      <c r="CH118" s="175">
        <f>(INDEX('SV calc_ignore'!$J$10:$J$1341,12*Output!A118-0))*($CH$21)*(A118&gt;1)</f>
        <v>0</v>
      </c>
      <c r="CI118" s="175"/>
      <c r="CJ118" s="66">
        <f>(INDEX('SV calc_ignore'!$J$10:$J$1341,12*Output!A118-0))*($CJ$21)*(A118&gt;1)</f>
        <v>0</v>
      </c>
      <c r="CK118" s="66">
        <f>(INDEX('SV calc_ignore'!$Q$10:$Q$1341,12*Output!A118-0))*(AND(A118&gt;1,R118&lt;20))*($CK$21)</f>
        <v>0</v>
      </c>
      <c r="CL118" s="66">
        <f t="shared" si="86"/>
        <v>0</v>
      </c>
      <c r="CM118" s="175">
        <f>((INDEX('SV calc_ignore'!$J$10:$J$1341,12*Output!A118-0))+(INDEX('SV calc_ignore'!$O$10:$O$1341,12*Output!A118-0))*(A118&lt;'SV calc_ignore'!$Q$5))*(A118&gt;1)*($CM$21)</f>
        <v>0</v>
      </c>
      <c r="CN118" s="175">
        <v>0</v>
      </c>
      <c r="CO118" s="175">
        <f>(INDEX('SV calc_ignore'!$J$10:$J$1341,12*Output!A118-0))*(A118&gt;1)*($CO$21)</f>
        <v>0</v>
      </c>
      <c r="CP118" s="175">
        <v>0</v>
      </c>
      <c r="CQ118" s="175">
        <v>0</v>
      </c>
      <c r="CR118" s="175">
        <v>0</v>
      </c>
      <c r="CS118" s="175">
        <v>0</v>
      </c>
      <c r="CT118" s="175">
        <v>0</v>
      </c>
      <c r="CU118" s="175">
        <v>0</v>
      </c>
      <c r="CV118" s="175">
        <f>(INDEX('SV calc_ignore'!$J$10:$J$1341,12*Output!A118-0))*(A118&gt;1)*($CV$21)</f>
        <v>0</v>
      </c>
      <c r="CW118" s="66">
        <f>((INDEX('SV calc_ignore'!$J$10:$J$1341,12*Output!A118-0))+(INDEX('SV calc_ignore'!$O$10:$O$1351,12*Output!A118-0))*(A118&lt;'SV calc_ignore'!$Q$5))*(A118&gt;1)*($CW$21)</f>
        <v>0</v>
      </c>
      <c r="CX118" s="175">
        <f>(INDEX('SV calc_ignore'!$J$10:$J$1341,12*Output!A118-0))*(A118&gt;1)*($CX$21)</f>
        <v>0</v>
      </c>
      <c r="CY118" s="175">
        <f>(INDEX('SV calc_ignore'!$Q$10:$Q$1341,12*Output!A118-0))*(AND(A118&gt;1,R118&lt;20))*($CY$21)</f>
        <v>0</v>
      </c>
      <c r="CZ118" s="175">
        <f t="shared" si="87"/>
        <v>0</v>
      </c>
      <c r="DE118" s="43">
        <f>IF($DE$23,0,VLOOKUP(IF(A118&lt;=DP,DJ118,DI118),SSV!$B$6:$C$116,2,FALSE)*VLOOKUP(AnnuityOption,'All Options'!$AB$36:$AC$47,2,FALSE)*VLOOKUP('All Options'!$E$22,'Valid Data-GPG'!$B$130:$F$134,MATCH('All Options'!$E$17,'Valid Data-GPG'!$B$130:$F$130,0),0)*'All Options'!$E$17)*(IF(AND(Select="Deferred Annuity",AnnuityOption="Life Annuity"),A118&lt;=DP,1))</f>
        <v>3274327.0531593515</v>
      </c>
      <c r="DF118" s="43">
        <f>IF($DF$23,0,IF($DQ$25,DQ118,IF($DR$25,DR118,VLOOKUP(IF(A118&lt;=DP,DJ118,DI118),SSV!$G$6:$H$116,2,FALSE)*SUM($B$27:B118))))</f>
        <v>1006161.5</v>
      </c>
      <c r="DG118" s="43" t="e">
        <f>IF(A118&lt;=DP,VLOOKUP(DP-A117,SSV!$T$6:$U$15,2,FALSE),1)</f>
        <v>#N/A</v>
      </c>
      <c r="DH118" s="282" t="e">
        <f t="shared" si="68"/>
        <v>#VALUE!</v>
      </c>
      <c r="DI118" s="43">
        <f>IF($DM$26,MIN(Age,'All Options'!$E$21)+A117,IF($DN$26,(Age+A117)-Age+60,IF($DO$26,(Age+A117)-Age+55,Age+A117)))</f>
        <v>60</v>
      </c>
      <c r="DJ118" s="279">
        <f>IF($DM$26,MIN(Age+A118,'All Options'!$E$21+A118),IF($DN$26,(Age+A118)-(Age+$A$27)+60,IF($DO$26,(Age+A118)-(Age+$A$27)+55,Age+A118)))</f>
        <v>60</v>
      </c>
      <c r="DP118" s="43">
        <f t="shared" si="88"/>
        <v>0</v>
      </c>
      <c r="DQ118" s="43">
        <f>IFERROR(VLOOKUP(IF(A118&lt;=DP,DJ118,DI118),SSV!$K$6:$L$91,2,FALSE)*SUM($B$27:B118),0)*($DQ$25)</f>
        <v>0</v>
      </c>
      <c r="DR118" s="43">
        <f>IFERROR(VLOOKUP(IF(A118&lt;=DP,DJ118,DI118),SSV!$O$6:$P$95,2,FALSE)*SUM($B$27:B118),0)*($DR$25)</f>
        <v>0</v>
      </c>
      <c r="DU118" s="175">
        <f t="shared" si="69"/>
        <v>0</v>
      </c>
    </row>
    <row r="119" spans="1:125" x14ac:dyDescent="0.2">
      <c r="A119" s="146">
        <f t="shared" si="70"/>
        <v>0</v>
      </c>
      <c r="B119" s="670">
        <f>IF(PremiumType="Regular Premium",'All Options'!$E$18*'All Options'!$E$22*(AND(Output!A119&lt;=PPT,A119&gt;=1)),'All Options'!$E$18*(A119=1))</f>
        <v>0</v>
      </c>
      <c r="C119" s="671"/>
      <c r="D119" s="103" t="e">
        <f>((VLOOKUP(CONCATENATE($D$14,$D$15),'All Options'!$AB$36:$AC$47,4,0)*VLOOKUP('All Options'!$E$22,'Valid Data-GPG'!$B$130:$F$134,MATCH('All Options'!$E$17,'Valid Data-GPG'!$B$130:$F$130,0),0)*'All Options'!$E$17)*IF(Select="Deferred Annuity",A119&gt;DP,1)+AE119+AF119*AG119*$AG$21)*(A119&gt;0)</f>
        <v>#N/A</v>
      </c>
      <c r="E119" s="103">
        <v>0</v>
      </c>
      <c r="F119" s="103" t="e">
        <f t="shared" si="71"/>
        <v>#N/A</v>
      </c>
      <c r="G119" s="103">
        <f t="shared" si="55"/>
        <v>0</v>
      </c>
      <c r="H119" s="285">
        <f t="shared" si="72"/>
        <v>0</v>
      </c>
      <c r="I119" s="103">
        <f t="shared" si="73"/>
        <v>0</v>
      </c>
      <c r="K119" s="175" t="str">
        <f t="shared" si="74"/>
        <v/>
      </c>
      <c r="L119" s="175"/>
      <c r="M119" s="175"/>
      <c r="N119" s="175"/>
      <c r="O119" s="175"/>
      <c r="P119" s="175"/>
      <c r="Q119" s="175"/>
      <c r="R119" s="175">
        <f t="shared" si="75"/>
        <v>0</v>
      </c>
      <c r="AB119" s="175" t="e">
        <f>(VLOOKUP(CONCATENATE($D$14,$D$15),'All Options'!$AB$36:$AC$47,4,0)*VLOOKUP('All Options'!$E$22,'Valid Data-GPG'!$B$130:$F$134,MATCH('All Options'!$E$17,'Valid Data-GPG'!$B$130:$F$130,0),0)*'All Options'!$E$17)*IF(Select="Deferred Annuity",A119&gt;DP,1)*(A119&gt;0)</f>
        <v>#N/A</v>
      </c>
      <c r="AC119" s="175">
        <f t="shared" si="56"/>
        <v>0</v>
      </c>
      <c r="AD119" s="175">
        <f>SUM($AC$26:AC119)</f>
        <v>0</v>
      </c>
      <c r="AE119" s="175">
        <f t="shared" si="57"/>
        <v>0</v>
      </c>
      <c r="AF119" s="175">
        <f t="shared" si="58"/>
        <v>0</v>
      </c>
      <c r="AG119" s="175" t="b">
        <f>(SUM($AF$26:AF119)&lt;=$AB$17)</f>
        <v>0</v>
      </c>
      <c r="AY119" s="175"/>
      <c r="AZ119" s="66">
        <f>((MAX((SUM($B$26:C119)+(VLOOKUP($AZ$25,'All Options'!$AB$36:$AC$46,2,0)*VLOOKUP('All Options'!$E$22,'Valid Data-GPG'!$B$130:$F$134,MATCH('All Options'!$E$17,'Valid Data-GPG'!$B$130:$F$130,0),0)*'All Options'!$E$17)*(IF(A119&lt;=DP,A119,0))),105%*SUM($B$26:C119)))*(AND(A119&lt;&gt;0,Output!A119&lt;=DP))+(0)*(A119&gt;DP))*$AZ$21</f>
        <v>0</v>
      </c>
      <c r="BA119" s="175" t="e">
        <f>((MAX((SUM($B$26:C119)+(VLOOKUP($BA$25,'All Options'!$AB$36:$AC$46,2,0)*VLOOKUP('All Options'!$E$22,'Valid Data-GPG'!$B$130:$F$134,MATCH('All Options'!$E$17,'Valid Data-GPG'!$B$130:$F$130,0),0)*'All Options'!$E$17)*(IF(A119&lt;=DP,A119,0))),105%*SUM($B$26:C119)))*(Output!A119&lt;=DP)
+MAX((SUM($B$26:C119)+(VLOOKUP($BA$25,'All Options'!$AB$36:$AC$46,2,0)*VLOOKUP('All Options'!$E$22,'Valid Data-GPG'!$B$130:$F$134,MATCH('All Options'!$E$17,'Valid Data-GPG'!$B$130:$F$130,0),0)*'All Options'!$E$17)*DP-D119*(A119-DP)),SUM($B$26:C119))*(A119&gt;DP))*$BA$21</f>
        <v>#N/A</v>
      </c>
      <c r="BB119" s="175">
        <f>((MAX(($AB$17+(VLOOKUP($BB$25,'All Options'!$AB$36:$AC$46,2,0)*VLOOKUP('All Options'!$E$22,'Valid Data-GPG'!$B$130:$F$134,MATCH('All Options'!$E$17,'Valid Data-GPG'!$B$130:$F$130,0),0)*'All Options'!$E$17)*(IF(A119&lt;=DP,A119,0))),105%*$AB$17))*(Output!A119&lt;=DP)+(0)*(A119&gt;DP))*$BB$21</f>
        <v>0</v>
      </c>
      <c r="BC119" s="175" t="e">
        <f>((MAX(($AB$17+(VLOOKUP($BC$25,'All Options'!$AB$36:$AC$46,2,0)*VLOOKUP('All Options'!$E$22,'Valid Data-GPG'!$B$130:$F$134,MATCH('All Options'!$E$17,'Valid Data-GPG'!$B$130:$F$130,0),0)*'All Options'!$E$17)*(IF(A119&lt;=DP,A119,0))),105%*$AB$17))*(Output!A119&lt;=DP)+
MAX(($AB$17+(VLOOKUP($BC$25,'All Options'!$AB$36:$AC$46,2,0)*VLOOKUP('All Options'!$E$22,'Valid Data-GPG'!$B$130:$F$134,MATCH('All Options'!$E$17,'Valid Data-GPG'!$B$130:$F$130,0),0)*'All Options'!$E$17)*DP-D119*(A119-DP)),$AB$17)*(A119&gt;DP))*$BC$21</f>
        <v>#N/A</v>
      </c>
      <c r="BD119" s="175">
        <f ca="1">IFERROR((MAX(($AB$17+(VLOOKUP($BD$25,'All Options'!$AB$36:$AC$46,2,0)*VLOOKUP('All Options'!$E$22,'Valid Data-GPG'!$B$130:$F$134,MATCH('All Options'!$E$17,'Valid Data-GPG'!$B$130:$F$130,0),0)*'All Options'!$E$17)*(IF(A119&lt;=DP,A119,0))),105%*$AB$17))*(Output!A119&lt;=DP)
+MAX(($AB$17+(VLOOKUP($BD$25,'All Options'!$AB$36:$AC$46,2,0)*VLOOKUP('All Options'!$E$22,'Valid Data-GPG'!$B$130:$F$134,MATCH('All Options'!$E$17,'Valid Data-GPG'!$B$130:$F$130,0),0)*'All Options'!$E$17)*DP-D119*(A119-DP)),$AB$17)*(A119&gt;DP),0)*$BD$21</f>
        <v>0</v>
      </c>
      <c r="BE119" s="66">
        <f>IFERROR((MAX(($AB$17+(VLOOKUP($BE$25,'All Options'!$AB$36:$AC$46,2,0)*VLOOKUP('All Options'!$E$22,'Valid Data-GPG'!$B$130:$F$134,MATCH('All Options'!$E$17,'Valid Data-GPG'!$B$130:$F$130,0),0)*'All Options'!$E$17)*(IF(A119&lt;=DP,A119,0))),105%*$AB$17))*(Output!A119&lt;=DP)
+(MAX($AB$17+(VLOOKUP($BE$25,'All Options'!$AB$36:$AC$46,2,0)*VLOOKUP('All Options'!$E$22,'Valid Data-GPG'!$B$130:$F$134,MATCH('All Options'!$E$17,'Valid Data-GPG'!$B$130:$F$130,0),0)*'All Options'!$E$17)*DP-AB119*(A119-DP),$AB$17)*(MAX(A119&lt;=25,K119&lt;85)))*(A119&gt;DP),0)*$BE$21</f>
        <v>0</v>
      </c>
      <c r="BF119" s="175">
        <f>IFERROR((MAX(($AB$17+(VLOOKUP($BF$25,'All Options'!$AB$36:$AC$46,2,0)*VLOOKUP('All Options'!$E$22,'Valid Data-GPG'!$B$130:$F$134,MATCH('All Options'!$E$17,'Valid Data-GPG'!$B$130:$F$130,0),0)*'All Options'!$E$17)*(IF(A119&lt;=DP,A119,0))),105%*$AB$17))*(Output!A119&lt;=DP)
+(MAX($AB$17+(VLOOKUP($BF$25,'All Options'!$AB$36:$AC$46,2,0)*VLOOKUP('All Options'!$E$22,'Valid Data-GPG'!$B$130:$F$134,MATCH('All Options'!$E$17,'Valid Data-GPG'!$B$130:$F$130,0),0)*'All Options'!$E$17)*DP-AB119*(A119-DP),$AB$17)-SUM($AF$26:AF119)*AG119)*(A119&gt;DP)*AG119,0)*$BF$21</f>
        <v>0</v>
      </c>
      <c r="BG119" s="175">
        <f t="shared" si="76"/>
        <v>0</v>
      </c>
      <c r="BH119" s="182">
        <f t="shared" si="59"/>
        <v>5000000</v>
      </c>
      <c r="BI119" s="175">
        <f t="shared" si="77"/>
        <v>0</v>
      </c>
      <c r="BJ119" s="175">
        <f t="shared" si="78"/>
        <v>0</v>
      </c>
      <c r="BK119" s="175">
        <f t="shared" si="79"/>
        <v>0</v>
      </c>
      <c r="BL119" s="175">
        <f t="shared" si="80"/>
        <v>0</v>
      </c>
      <c r="BM119" s="175">
        <f t="shared" si="81"/>
        <v>0</v>
      </c>
      <c r="BN119" s="175">
        <f t="shared" si="82"/>
        <v>0</v>
      </c>
      <c r="BO119" s="182">
        <f t="shared" si="60"/>
        <v>0</v>
      </c>
      <c r="BP119" s="182">
        <f t="shared" si="61"/>
        <v>0</v>
      </c>
      <c r="BQ119" s="182">
        <f>MAX($AB$17-SUM($AF$26:AF119),0)*$BQ$21</f>
        <v>0</v>
      </c>
      <c r="BS119" s="175">
        <f t="shared" si="62"/>
        <v>0</v>
      </c>
      <c r="BT119" s="175">
        <f>IFERROR(IF(A119&lt;=1,0,VLOOKUP(DP,'Valid Data-GPG'!$A$116:$J$122,MATCH(Output!A119,'Valid Data-GPG'!$A$116:$J$116,0),FALSE)*SUM($B$26:C119))*(A119&lt;=DP),0)*$BT$21</f>
        <v>0</v>
      </c>
      <c r="BU119" s="175">
        <f>IFERROR(IF(A119&lt;=1,0,VLOOKUP(DP,'Valid Data-GPG'!$A$116:$J$122,MATCH(Output!A119,'Valid Data-GPG'!$A$116:$J$116,0),FALSE)*SUM($B$26:C119))*(A119&lt;=DP),0)*$BU$21</f>
        <v>0</v>
      </c>
      <c r="BV119" s="175">
        <f t="shared" si="63"/>
        <v>0</v>
      </c>
      <c r="BW119" s="175">
        <f t="shared" si="64"/>
        <v>0</v>
      </c>
      <c r="BX119" s="175">
        <f t="shared" si="65"/>
        <v>0</v>
      </c>
      <c r="BY119" s="175">
        <f t="shared" si="66"/>
        <v>0</v>
      </c>
      <c r="BZ119" s="175">
        <f t="shared" si="67"/>
        <v>0</v>
      </c>
      <c r="CA119" s="175">
        <f>(INDEX('SV calc_ignore'!$J$10:$J$1341,12*Output!A119-0))*BS119</f>
        <v>0</v>
      </c>
      <c r="CB119" s="175">
        <f t="shared" si="83"/>
        <v>0</v>
      </c>
      <c r="CC119" s="175">
        <f>(INDEX('SV calc_ignore'!$J$10:$J$1341,12*Output!A119-0))*BS119</f>
        <v>0</v>
      </c>
      <c r="CD119" s="175">
        <f t="shared" si="84"/>
        <v>0</v>
      </c>
      <c r="CE119" s="66">
        <f>(INDEX('SV calc_ignore'!$J$10:$J$1341,12*Output!A119-0))*($CE$21)</f>
        <v>0</v>
      </c>
      <c r="CF119" s="175">
        <f t="shared" si="85"/>
        <v>0</v>
      </c>
      <c r="CG119" s="175">
        <f>(INDEX('SV calc_ignore'!$J$10:$J$1341,12*Output!A119-0))*($CG$21)*(A119&gt;1)</f>
        <v>0</v>
      </c>
      <c r="CH119" s="175">
        <f>(INDEX('SV calc_ignore'!$J$10:$J$1341,12*Output!A119-0))*($CH$21)*(A119&gt;1)</f>
        <v>0</v>
      </c>
      <c r="CI119" s="175"/>
      <c r="CJ119" s="66">
        <f>(INDEX('SV calc_ignore'!$J$10:$J$1341,12*Output!A119-0))*($CJ$21)*(A119&gt;1)</f>
        <v>0</v>
      </c>
      <c r="CK119" s="66">
        <f>(INDEX('SV calc_ignore'!$Q$10:$Q$1341,12*Output!A119-0))*(AND(A119&gt;1,R119&lt;20))*($CK$21)</f>
        <v>0</v>
      </c>
      <c r="CL119" s="66">
        <f t="shared" si="86"/>
        <v>0</v>
      </c>
      <c r="CM119" s="175">
        <f>((INDEX('SV calc_ignore'!$J$10:$J$1341,12*Output!A119-0))+(INDEX('SV calc_ignore'!$O$10:$O$1341,12*Output!A119-0))*(A119&lt;'SV calc_ignore'!$Q$5))*(A119&gt;1)*($CM$21)</f>
        <v>0</v>
      </c>
      <c r="CN119" s="175">
        <v>0</v>
      </c>
      <c r="CO119" s="175">
        <f>(INDEX('SV calc_ignore'!$J$10:$J$1341,12*Output!A119-0))*(A119&gt;1)*($CO$21)</f>
        <v>0</v>
      </c>
      <c r="CP119" s="175">
        <v>0</v>
      </c>
      <c r="CQ119" s="175">
        <v>0</v>
      </c>
      <c r="CR119" s="175">
        <v>0</v>
      </c>
      <c r="CS119" s="175">
        <v>0</v>
      </c>
      <c r="CT119" s="175">
        <v>0</v>
      </c>
      <c r="CU119" s="175">
        <v>0</v>
      </c>
      <c r="CV119" s="175">
        <f>(INDEX('SV calc_ignore'!$J$10:$J$1341,12*Output!A119-0))*(A119&gt;1)*($CV$21)</f>
        <v>0</v>
      </c>
      <c r="CW119" s="66">
        <f>((INDEX('SV calc_ignore'!$J$10:$J$1341,12*Output!A119-0))+(INDEX('SV calc_ignore'!$O$10:$O$1351,12*Output!A119-0))*(A119&lt;'SV calc_ignore'!$Q$5))*(A119&gt;1)*($CW$21)</f>
        <v>0</v>
      </c>
      <c r="CX119" s="175">
        <f>(INDEX('SV calc_ignore'!$J$10:$J$1341,12*Output!A119-0))*(A119&gt;1)*($CX$21)</f>
        <v>0</v>
      </c>
      <c r="CY119" s="175">
        <f>(INDEX('SV calc_ignore'!$Q$10:$Q$1341,12*Output!A119-0))*(AND(A119&gt;1,R119&lt;20))*($CY$21)</f>
        <v>0</v>
      </c>
      <c r="CZ119" s="175">
        <f t="shared" si="87"/>
        <v>0</v>
      </c>
      <c r="DE119" s="43">
        <f>IF($DE$23,0,VLOOKUP(IF(A119&lt;=DP,DJ119,DI119),SSV!$B$6:$C$116,2,FALSE)*VLOOKUP(AnnuityOption,'All Options'!$AB$36:$AC$47,2,FALSE)*VLOOKUP('All Options'!$E$22,'Valid Data-GPG'!$B$130:$F$134,MATCH('All Options'!$E$17,'Valid Data-GPG'!$B$130:$F$130,0),0)*'All Options'!$E$17)*(IF(AND(Select="Deferred Annuity",AnnuityOption="Life Annuity"),A119&lt;=DP,1))</f>
        <v>3274327.0531593515</v>
      </c>
      <c r="DF119" s="43">
        <f>IF($DF$23,0,IF($DQ$25,DQ119,IF($DR$25,DR119,VLOOKUP(IF(A119&lt;=DP,DJ119,DI119),SSV!$G$6:$H$116,2,FALSE)*SUM($B$27:B119))))</f>
        <v>1006161.5</v>
      </c>
      <c r="DG119" s="43" t="e">
        <f>IF(A119&lt;=DP,VLOOKUP(DP-A118,SSV!$T$6:$U$15,2,FALSE),1)</f>
        <v>#N/A</v>
      </c>
      <c r="DH119" s="282" t="e">
        <f t="shared" si="68"/>
        <v>#VALUE!</v>
      </c>
      <c r="DI119" s="43">
        <f>IF($DM$26,MIN(Age,'All Options'!$E$21)+A118,IF($DN$26,(Age+A118)-Age+60,IF($DO$26,(Age+A118)-Age+55,Age+A118)))</f>
        <v>60</v>
      </c>
      <c r="DJ119" s="279">
        <f>IF($DM$26,MIN(Age+A119,'All Options'!$E$21+A119),IF($DN$26,(Age+A119)-(Age+$A$27)+60,IF($DO$26,(Age+A119)-(Age+$A$27)+55,Age+A119)))</f>
        <v>60</v>
      </c>
      <c r="DP119" s="43">
        <f t="shared" si="88"/>
        <v>0</v>
      </c>
      <c r="DQ119" s="43">
        <f>IFERROR(VLOOKUP(IF(A119&lt;=DP,DJ119,DI119),SSV!$K$6:$L$91,2,FALSE)*SUM($B$27:B119),0)*($DQ$25)</f>
        <v>0</v>
      </c>
      <c r="DR119" s="43">
        <f>IFERROR(VLOOKUP(IF(A119&lt;=DP,DJ119,DI119),SSV!$O$6:$P$95,2,FALSE)*SUM($B$27:B119),0)*($DR$25)</f>
        <v>0</v>
      </c>
      <c r="DU119" s="175">
        <f t="shared" si="69"/>
        <v>0</v>
      </c>
    </row>
    <row r="120" spans="1:125" x14ac:dyDescent="0.2">
      <c r="A120" s="146">
        <f t="shared" si="70"/>
        <v>0</v>
      </c>
      <c r="B120" s="670">
        <f>IF(PremiumType="Regular Premium",'All Options'!$E$18*'All Options'!$E$22*(AND(Output!A120&lt;=PPT,A120&gt;=1)),'All Options'!$E$18*(A120=1))</f>
        <v>0</v>
      </c>
      <c r="C120" s="671"/>
      <c r="D120" s="103" t="e">
        <f>((VLOOKUP(CONCATENATE($D$14,$D$15),'All Options'!$AB$36:$AC$47,4,0)*VLOOKUP('All Options'!$E$22,'Valid Data-GPG'!$B$130:$F$134,MATCH('All Options'!$E$17,'Valid Data-GPG'!$B$130:$F$130,0),0)*'All Options'!$E$17)*IF(Select="Deferred Annuity",A120&gt;DP,1)+AE120+AF120*AG120*$AG$21)*(A120&gt;0)</f>
        <v>#N/A</v>
      </c>
      <c r="E120" s="103">
        <v>0</v>
      </c>
      <c r="F120" s="103" t="e">
        <f t="shared" si="71"/>
        <v>#N/A</v>
      </c>
      <c r="G120" s="103">
        <f t="shared" si="55"/>
        <v>0</v>
      </c>
      <c r="H120" s="285">
        <f t="shared" si="72"/>
        <v>0</v>
      </c>
      <c r="I120" s="103">
        <f t="shared" si="73"/>
        <v>0</v>
      </c>
      <c r="K120" s="175" t="str">
        <f t="shared" si="74"/>
        <v/>
      </c>
      <c r="L120" s="175"/>
      <c r="M120" s="175"/>
      <c r="N120" s="175"/>
      <c r="O120" s="175"/>
      <c r="P120" s="175"/>
      <c r="Q120" s="175"/>
      <c r="R120" s="175">
        <f t="shared" si="75"/>
        <v>0</v>
      </c>
      <c r="AB120" s="175" t="e">
        <f>(VLOOKUP(CONCATENATE($D$14,$D$15),'All Options'!$AB$36:$AC$47,4,0)*VLOOKUP('All Options'!$E$22,'Valid Data-GPG'!$B$130:$F$134,MATCH('All Options'!$E$17,'Valid Data-GPG'!$B$130:$F$130,0),0)*'All Options'!$E$17)*IF(Select="Deferred Annuity",A120&gt;DP,1)*(A120&gt;0)</f>
        <v>#N/A</v>
      </c>
      <c r="AC120" s="175">
        <f t="shared" si="56"/>
        <v>0</v>
      </c>
      <c r="AD120" s="175">
        <f>SUM($AC$26:AC120)</f>
        <v>0</v>
      </c>
      <c r="AE120" s="175">
        <f t="shared" si="57"/>
        <v>0</v>
      </c>
      <c r="AF120" s="175">
        <f t="shared" si="58"/>
        <v>0</v>
      </c>
      <c r="AG120" s="175" t="b">
        <f>(SUM($AF$26:AF120)&lt;=$AB$17)</f>
        <v>0</v>
      </c>
      <c r="AY120" s="175"/>
      <c r="AZ120" s="66">
        <f>((MAX((SUM($B$26:C120)+(VLOOKUP($AZ$25,'All Options'!$AB$36:$AC$46,2,0)*VLOOKUP('All Options'!$E$22,'Valid Data-GPG'!$B$130:$F$134,MATCH('All Options'!$E$17,'Valid Data-GPG'!$B$130:$F$130,0),0)*'All Options'!$E$17)*(IF(A120&lt;=DP,A120,0))),105%*SUM($B$26:C120)))*(AND(A120&lt;&gt;0,Output!A120&lt;=DP))+(0)*(A120&gt;DP))*$AZ$21</f>
        <v>0</v>
      </c>
      <c r="BA120" s="175" t="e">
        <f>((MAX((SUM($B$26:C120)+(VLOOKUP($BA$25,'All Options'!$AB$36:$AC$46,2,0)*VLOOKUP('All Options'!$E$22,'Valid Data-GPG'!$B$130:$F$134,MATCH('All Options'!$E$17,'Valid Data-GPG'!$B$130:$F$130,0),0)*'All Options'!$E$17)*(IF(A120&lt;=DP,A120,0))),105%*SUM($B$26:C120)))*(Output!A120&lt;=DP)
+MAX((SUM($B$26:C120)+(VLOOKUP($BA$25,'All Options'!$AB$36:$AC$46,2,0)*VLOOKUP('All Options'!$E$22,'Valid Data-GPG'!$B$130:$F$134,MATCH('All Options'!$E$17,'Valid Data-GPG'!$B$130:$F$130,0),0)*'All Options'!$E$17)*DP-D120*(A120-DP)),SUM($B$26:C120))*(A120&gt;DP))*$BA$21</f>
        <v>#N/A</v>
      </c>
      <c r="BB120" s="175">
        <f>((MAX(($AB$17+(VLOOKUP($BB$25,'All Options'!$AB$36:$AC$46,2,0)*VLOOKUP('All Options'!$E$22,'Valid Data-GPG'!$B$130:$F$134,MATCH('All Options'!$E$17,'Valid Data-GPG'!$B$130:$F$130,0),0)*'All Options'!$E$17)*(IF(A120&lt;=DP,A120,0))),105%*$AB$17))*(Output!A120&lt;=DP)+(0)*(A120&gt;DP))*$BB$21</f>
        <v>0</v>
      </c>
      <c r="BC120" s="175" t="e">
        <f>((MAX(($AB$17+(VLOOKUP($BC$25,'All Options'!$AB$36:$AC$46,2,0)*VLOOKUP('All Options'!$E$22,'Valid Data-GPG'!$B$130:$F$134,MATCH('All Options'!$E$17,'Valid Data-GPG'!$B$130:$F$130,0),0)*'All Options'!$E$17)*(IF(A120&lt;=DP,A120,0))),105%*$AB$17))*(Output!A120&lt;=DP)+
MAX(($AB$17+(VLOOKUP($BC$25,'All Options'!$AB$36:$AC$46,2,0)*VLOOKUP('All Options'!$E$22,'Valid Data-GPG'!$B$130:$F$134,MATCH('All Options'!$E$17,'Valid Data-GPG'!$B$130:$F$130,0),0)*'All Options'!$E$17)*DP-D120*(A120-DP)),$AB$17)*(A120&gt;DP))*$BC$21</f>
        <v>#N/A</v>
      </c>
      <c r="BD120" s="175">
        <f ca="1">IFERROR((MAX(($AB$17+(VLOOKUP($BD$25,'All Options'!$AB$36:$AC$46,2,0)*VLOOKUP('All Options'!$E$22,'Valid Data-GPG'!$B$130:$F$134,MATCH('All Options'!$E$17,'Valid Data-GPG'!$B$130:$F$130,0),0)*'All Options'!$E$17)*(IF(A120&lt;=DP,A120,0))),105%*$AB$17))*(Output!A120&lt;=DP)
+MAX(($AB$17+(VLOOKUP($BD$25,'All Options'!$AB$36:$AC$46,2,0)*VLOOKUP('All Options'!$E$22,'Valid Data-GPG'!$B$130:$F$134,MATCH('All Options'!$E$17,'Valid Data-GPG'!$B$130:$F$130,0),0)*'All Options'!$E$17)*DP-D120*(A120-DP)),$AB$17)*(A120&gt;DP),0)*$BD$21</f>
        <v>0</v>
      </c>
      <c r="BE120" s="66">
        <f>IFERROR((MAX(($AB$17+(VLOOKUP($BE$25,'All Options'!$AB$36:$AC$46,2,0)*VLOOKUP('All Options'!$E$22,'Valid Data-GPG'!$B$130:$F$134,MATCH('All Options'!$E$17,'Valid Data-GPG'!$B$130:$F$130,0),0)*'All Options'!$E$17)*(IF(A120&lt;=DP,A120,0))),105%*$AB$17))*(Output!A120&lt;=DP)
+(MAX($AB$17+(VLOOKUP($BE$25,'All Options'!$AB$36:$AC$46,2,0)*VLOOKUP('All Options'!$E$22,'Valid Data-GPG'!$B$130:$F$134,MATCH('All Options'!$E$17,'Valid Data-GPG'!$B$130:$F$130,0),0)*'All Options'!$E$17)*DP-AB120*(A120-DP),$AB$17)*(MAX(A120&lt;=25,K120&lt;85)))*(A120&gt;DP),0)*$BE$21</f>
        <v>0</v>
      </c>
      <c r="BF120" s="175">
        <f>IFERROR((MAX(($AB$17+(VLOOKUP($BF$25,'All Options'!$AB$36:$AC$46,2,0)*VLOOKUP('All Options'!$E$22,'Valid Data-GPG'!$B$130:$F$134,MATCH('All Options'!$E$17,'Valid Data-GPG'!$B$130:$F$130,0),0)*'All Options'!$E$17)*(IF(A120&lt;=DP,A120,0))),105%*$AB$17))*(Output!A120&lt;=DP)
+(MAX($AB$17+(VLOOKUP($BF$25,'All Options'!$AB$36:$AC$46,2,0)*VLOOKUP('All Options'!$E$22,'Valid Data-GPG'!$B$130:$F$134,MATCH('All Options'!$E$17,'Valid Data-GPG'!$B$130:$F$130,0),0)*'All Options'!$E$17)*DP-AB120*(A120-DP),$AB$17)-SUM($AF$26:AF120)*AG120)*(A120&gt;DP)*AG120,0)*$BF$21</f>
        <v>0</v>
      </c>
      <c r="BG120" s="175">
        <f t="shared" si="76"/>
        <v>0</v>
      </c>
      <c r="BH120" s="182">
        <f t="shared" si="59"/>
        <v>5000000</v>
      </c>
      <c r="BI120" s="175">
        <f t="shared" si="77"/>
        <v>0</v>
      </c>
      <c r="BJ120" s="175">
        <f t="shared" si="78"/>
        <v>0</v>
      </c>
      <c r="BK120" s="175">
        <f t="shared" si="79"/>
        <v>0</v>
      </c>
      <c r="BL120" s="175">
        <f t="shared" si="80"/>
        <v>0</v>
      </c>
      <c r="BM120" s="175">
        <f t="shared" si="81"/>
        <v>0</v>
      </c>
      <c r="BN120" s="175">
        <f t="shared" si="82"/>
        <v>0</v>
      </c>
      <c r="BO120" s="182">
        <f t="shared" si="60"/>
        <v>0</v>
      </c>
      <c r="BP120" s="182">
        <f t="shared" si="61"/>
        <v>0</v>
      </c>
      <c r="BQ120" s="182">
        <f>MAX($AB$17-SUM($AF$26:AF120),0)*$BQ$21</f>
        <v>0</v>
      </c>
      <c r="BS120" s="175">
        <f t="shared" si="62"/>
        <v>0</v>
      </c>
      <c r="BT120" s="175">
        <f>IFERROR(IF(A120&lt;=1,0,VLOOKUP(DP,'Valid Data-GPG'!$A$116:$J$122,MATCH(Output!A120,'Valid Data-GPG'!$A$116:$J$116,0),FALSE)*SUM($B$26:C120))*(A120&lt;=DP),0)*$BT$21</f>
        <v>0</v>
      </c>
      <c r="BU120" s="175">
        <f>IFERROR(IF(A120&lt;=1,0,VLOOKUP(DP,'Valid Data-GPG'!$A$116:$J$122,MATCH(Output!A120,'Valid Data-GPG'!$A$116:$J$116,0),FALSE)*SUM($B$26:C120))*(A120&lt;=DP),0)*$BU$21</f>
        <v>0</v>
      </c>
      <c r="BV120" s="175">
        <f t="shared" si="63"/>
        <v>0</v>
      </c>
      <c r="BW120" s="175">
        <f t="shared" si="64"/>
        <v>0</v>
      </c>
      <c r="BX120" s="175">
        <f t="shared" si="65"/>
        <v>0</v>
      </c>
      <c r="BY120" s="175">
        <f t="shared" si="66"/>
        <v>0</v>
      </c>
      <c r="BZ120" s="175">
        <f t="shared" si="67"/>
        <v>0</v>
      </c>
      <c r="CA120" s="175">
        <f>(INDEX('SV calc_ignore'!$J$10:$J$1341,12*Output!A120-0))*BS120</f>
        <v>0</v>
      </c>
      <c r="CB120" s="175">
        <f t="shared" si="83"/>
        <v>0</v>
      </c>
      <c r="CC120" s="175">
        <f>(INDEX('SV calc_ignore'!$J$10:$J$1341,12*Output!A120-0))*BS120</f>
        <v>0</v>
      </c>
      <c r="CD120" s="175">
        <f t="shared" si="84"/>
        <v>0</v>
      </c>
      <c r="CE120" s="66">
        <f>(INDEX('SV calc_ignore'!$J$10:$J$1341,12*Output!A120-0))*($CE$21)</f>
        <v>0</v>
      </c>
      <c r="CF120" s="175">
        <f t="shared" si="85"/>
        <v>0</v>
      </c>
      <c r="CG120" s="175">
        <f>(INDEX('SV calc_ignore'!$J$10:$J$1341,12*Output!A120-0))*($CG$21)*(A120&gt;1)</f>
        <v>0</v>
      </c>
      <c r="CH120" s="175">
        <f>(INDEX('SV calc_ignore'!$J$10:$J$1341,12*Output!A120-0))*($CH$21)*(A120&gt;1)</f>
        <v>0</v>
      </c>
      <c r="CI120" s="175"/>
      <c r="CJ120" s="66">
        <f>(INDEX('SV calc_ignore'!$J$10:$J$1341,12*Output!A120-0))*($CJ$21)*(A120&gt;1)</f>
        <v>0</v>
      </c>
      <c r="CK120" s="66">
        <f>(INDEX('SV calc_ignore'!$Q$10:$Q$1341,12*Output!A120-0))*(AND(A120&gt;1,R120&lt;20))*($CK$21)</f>
        <v>0</v>
      </c>
      <c r="CL120" s="66">
        <f t="shared" si="86"/>
        <v>0</v>
      </c>
      <c r="CM120" s="175">
        <f>((INDEX('SV calc_ignore'!$J$10:$J$1341,12*Output!A120-0))+(INDEX('SV calc_ignore'!$O$10:$O$1341,12*Output!A120-0))*(A120&lt;'SV calc_ignore'!$Q$5))*(A120&gt;1)*($CM$21)</f>
        <v>0</v>
      </c>
      <c r="CN120" s="175">
        <v>0</v>
      </c>
      <c r="CO120" s="175">
        <f>(INDEX('SV calc_ignore'!$J$10:$J$1341,12*Output!A120-0))*(A120&gt;1)*($CO$21)</f>
        <v>0</v>
      </c>
      <c r="CP120" s="175">
        <v>0</v>
      </c>
      <c r="CQ120" s="175">
        <v>0</v>
      </c>
      <c r="CR120" s="175">
        <v>0</v>
      </c>
      <c r="CS120" s="175">
        <v>0</v>
      </c>
      <c r="CT120" s="175">
        <v>0</v>
      </c>
      <c r="CU120" s="175">
        <v>0</v>
      </c>
      <c r="CV120" s="175">
        <f>(INDEX('SV calc_ignore'!$J$10:$J$1341,12*Output!A120-0))*(A120&gt;1)*($CV$21)</f>
        <v>0</v>
      </c>
      <c r="CW120" s="66">
        <f>((INDEX('SV calc_ignore'!$J$10:$J$1341,12*Output!A120-0))+(INDEX('SV calc_ignore'!$O$10:$O$1351,12*Output!A120-0))*(A120&lt;'SV calc_ignore'!$Q$5))*(A120&gt;1)*($CW$21)</f>
        <v>0</v>
      </c>
      <c r="CX120" s="175">
        <f>(INDEX('SV calc_ignore'!$J$10:$J$1341,12*Output!A120-0))*(A120&gt;1)*($CX$21)</f>
        <v>0</v>
      </c>
      <c r="CY120" s="175">
        <f>(INDEX('SV calc_ignore'!$Q$10:$Q$1341,12*Output!A120-0))*(AND(A120&gt;1,R120&lt;20))*($CY$21)</f>
        <v>0</v>
      </c>
      <c r="CZ120" s="175">
        <f t="shared" si="87"/>
        <v>0</v>
      </c>
      <c r="DE120" s="43">
        <f>IF($DE$23,0,VLOOKUP(IF(A120&lt;=DP,DJ120,DI120),SSV!$B$6:$C$116,2,FALSE)*VLOOKUP(AnnuityOption,'All Options'!$AB$36:$AC$47,2,FALSE)*VLOOKUP('All Options'!$E$22,'Valid Data-GPG'!$B$130:$F$134,MATCH('All Options'!$E$17,'Valid Data-GPG'!$B$130:$F$130,0),0)*'All Options'!$E$17)*(IF(AND(Select="Deferred Annuity",AnnuityOption="Life Annuity"),A120&lt;=DP,1))</f>
        <v>3274327.0531593515</v>
      </c>
      <c r="DF120" s="43">
        <f>IF($DF$23,0,IF($DQ$25,DQ120,IF($DR$25,DR120,VLOOKUP(IF(A120&lt;=DP,DJ120,DI120),SSV!$G$6:$H$116,2,FALSE)*SUM($B$27:B120))))</f>
        <v>1006161.5</v>
      </c>
      <c r="DG120" s="43" t="e">
        <f>IF(A120&lt;=DP,VLOOKUP(DP-A119,SSV!$T$6:$U$15,2,FALSE),1)</f>
        <v>#N/A</v>
      </c>
      <c r="DH120" s="282" t="e">
        <f t="shared" si="68"/>
        <v>#VALUE!</v>
      </c>
      <c r="DI120" s="43">
        <f>IF($DM$26,MIN(Age,'All Options'!$E$21)+A119,IF($DN$26,(Age+A119)-Age+60,IF($DO$26,(Age+A119)-Age+55,Age+A119)))</f>
        <v>60</v>
      </c>
      <c r="DJ120" s="279">
        <f>IF($DM$26,MIN(Age+A120,'All Options'!$E$21+A120),IF($DN$26,(Age+A120)-(Age+$A$27)+60,IF($DO$26,(Age+A120)-(Age+$A$27)+55,Age+A120)))</f>
        <v>60</v>
      </c>
      <c r="DP120" s="43">
        <f t="shared" si="88"/>
        <v>0</v>
      </c>
      <c r="DQ120" s="43">
        <f>IFERROR(VLOOKUP(IF(A120&lt;=DP,DJ120,DI120),SSV!$K$6:$L$91,2,FALSE)*SUM($B$27:B120),0)*($DQ$25)</f>
        <v>0</v>
      </c>
      <c r="DR120" s="43">
        <f>IFERROR(VLOOKUP(IF(A120&lt;=DP,DJ120,DI120),SSV!$O$6:$P$95,2,FALSE)*SUM($B$27:B120),0)*($DR$25)</f>
        <v>0</v>
      </c>
      <c r="DU120" s="175">
        <f t="shared" si="69"/>
        <v>0</v>
      </c>
    </row>
    <row r="121" spans="1:125" x14ac:dyDescent="0.2">
      <c r="A121" s="146">
        <f t="shared" si="70"/>
        <v>0</v>
      </c>
      <c r="B121" s="670">
        <f>IF(PremiumType="Regular Premium",'All Options'!$E$18*'All Options'!$E$22*(AND(Output!A121&lt;=PPT,A121&gt;=1)),'All Options'!$E$18*(A121=1))</f>
        <v>0</v>
      </c>
      <c r="C121" s="671"/>
      <c r="D121" s="103" t="e">
        <f>((VLOOKUP(CONCATENATE($D$14,$D$15),'All Options'!$AB$36:$AC$47,4,0)*VLOOKUP('All Options'!$E$22,'Valid Data-GPG'!$B$130:$F$134,MATCH('All Options'!$E$17,'Valid Data-GPG'!$B$130:$F$130,0),0)*'All Options'!$E$17)*IF(Select="Deferred Annuity",A121&gt;DP,1)+AE121+AF121*AG121*$AG$21)*(A121&gt;0)</f>
        <v>#N/A</v>
      </c>
      <c r="E121" s="103">
        <v>0</v>
      </c>
      <c r="F121" s="103" t="e">
        <f t="shared" si="71"/>
        <v>#N/A</v>
      </c>
      <c r="G121" s="103">
        <f t="shared" si="55"/>
        <v>0</v>
      </c>
      <c r="H121" s="285">
        <f t="shared" si="72"/>
        <v>0</v>
      </c>
      <c r="I121" s="103">
        <f t="shared" si="73"/>
        <v>0</v>
      </c>
      <c r="K121" s="175" t="str">
        <f t="shared" si="74"/>
        <v/>
      </c>
      <c r="L121" s="175"/>
      <c r="M121" s="175"/>
      <c r="N121" s="175"/>
      <c r="O121" s="175"/>
      <c r="P121" s="175"/>
      <c r="Q121" s="175"/>
      <c r="R121" s="175">
        <f t="shared" si="75"/>
        <v>0</v>
      </c>
      <c r="AB121" s="175" t="e">
        <f>(VLOOKUP(CONCATENATE($D$14,$D$15),'All Options'!$AB$36:$AC$47,4,0)*VLOOKUP('All Options'!$E$22,'Valid Data-GPG'!$B$130:$F$134,MATCH('All Options'!$E$17,'Valid Data-GPG'!$B$130:$F$130,0),0)*'All Options'!$E$17)*IF(Select="Deferred Annuity",A121&gt;DP,1)*(A121&gt;0)</f>
        <v>#N/A</v>
      </c>
      <c r="AC121" s="175">
        <f t="shared" si="56"/>
        <v>0</v>
      </c>
      <c r="AD121" s="175">
        <f>SUM($AC$26:AC121)</f>
        <v>0</v>
      </c>
      <c r="AE121" s="175">
        <f t="shared" si="57"/>
        <v>0</v>
      </c>
      <c r="AF121" s="175">
        <f t="shared" si="58"/>
        <v>0</v>
      </c>
      <c r="AG121" s="175" t="b">
        <f>(SUM($AF$26:AF121)&lt;=$AB$17)</f>
        <v>0</v>
      </c>
      <c r="AY121" s="175"/>
      <c r="AZ121" s="66">
        <f>((MAX((SUM($B$26:C121)+(VLOOKUP($AZ$25,'All Options'!$AB$36:$AC$46,2,0)*VLOOKUP('All Options'!$E$22,'Valid Data-GPG'!$B$130:$F$134,MATCH('All Options'!$E$17,'Valid Data-GPG'!$B$130:$F$130,0),0)*'All Options'!$E$17)*(IF(A121&lt;=DP,A121,0))),105%*SUM($B$26:C121)))*(AND(A121&lt;&gt;0,Output!A121&lt;=DP))+(0)*(A121&gt;DP))*$AZ$21</f>
        <v>0</v>
      </c>
      <c r="BA121" s="175" t="e">
        <f>((MAX((SUM($B$26:C121)+(VLOOKUP($BA$25,'All Options'!$AB$36:$AC$46,2,0)*VLOOKUP('All Options'!$E$22,'Valid Data-GPG'!$B$130:$F$134,MATCH('All Options'!$E$17,'Valid Data-GPG'!$B$130:$F$130,0),0)*'All Options'!$E$17)*(IF(A121&lt;=DP,A121,0))),105%*SUM($B$26:C121)))*(Output!A121&lt;=DP)
+MAX((SUM($B$26:C121)+(VLOOKUP($BA$25,'All Options'!$AB$36:$AC$46,2,0)*VLOOKUP('All Options'!$E$22,'Valid Data-GPG'!$B$130:$F$134,MATCH('All Options'!$E$17,'Valid Data-GPG'!$B$130:$F$130,0),0)*'All Options'!$E$17)*DP-D121*(A121-DP)),SUM($B$26:C121))*(A121&gt;DP))*$BA$21</f>
        <v>#N/A</v>
      </c>
      <c r="BB121" s="175">
        <f>((MAX(($AB$17+(VLOOKUP($BB$25,'All Options'!$AB$36:$AC$46,2,0)*VLOOKUP('All Options'!$E$22,'Valid Data-GPG'!$B$130:$F$134,MATCH('All Options'!$E$17,'Valid Data-GPG'!$B$130:$F$130,0),0)*'All Options'!$E$17)*(IF(A121&lt;=DP,A121,0))),105%*$AB$17))*(Output!A121&lt;=DP)+(0)*(A121&gt;DP))*$BB$21</f>
        <v>0</v>
      </c>
      <c r="BC121" s="175" t="e">
        <f>((MAX(($AB$17+(VLOOKUP($BC$25,'All Options'!$AB$36:$AC$46,2,0)*VLOOKUP('All Options'!$E$22,'Valid Data-GPG'!$B$130:$F$134,MATCH('All Options'!$E$17,'Valid Data-GPG'!$B$130:$F$130,0),0)*'All Options'!$E$17)*(IF(A121&lt;=DP,A121,0))),105%*$AB$17))*(Output!A121&lt;=DP)+
MAX(($AB$17+(VLOOKUP($BC$25,'All Options'!$AB$36:$AC$46,2,0)*VLOOKUP('All Options'!$E$22,'Valid Data-GPG'!$B$130:$F$134,MATCH('All Options'!$E$17,'Valid Data-GPG'!$B$130:$F$130,0),0)*'All Options'!$E$17)*DP-D121*(A121-DP)),$AB$17)*(A121&gt;DP))*$BC$21</f>
        <v>#N/A</v>
      </c>
      <c r="BD121" s="175">
        <f ca="1">IFERROR((MAX(($AB$17+(VLOOKUP($BD$25,'All Options'!$AB$36:$AC$46,2,0)*VLOOKUP('All Options'!$E$22,'Valid Data-GPG'!$B$130:$F$134,MATCH('All Options'!$E$17,'Valid Data-GPG'!$B$130:$F$130,0),0)*'All Options'!$E$17)*(IF(A121&lt;=DP,A121,0))),105%*$AB$17))*(Output!A121&lt;=DP)
+MAX(($AB$17+(VLOOKUP($BD$25,'All Options'!$AB$36:$AC$46,2,0)*VLOOKUP('All Options'!$E$22,'Valid Data-GPG'!$B$130:$F$134,MATCH('All Options'!$E$17,'Valid Data-GPG'!$B$130:$F$130,0),0)*'All Options'!$E$17)*DP-D121*(A121-DP)),$AB$17)*(A121&gt;DP),0)*$BD$21</f>
        <v>0</v>
      </c>
      <c r="BE121" s="66">
        <f>IFERROR((MAX(($AB$17+(VLOOKUP($BE$25,'All Options'!$AB$36:$AC$46,2,0)*VLOOKUP('All Options'!$E$22,'Valid Data-GPG'!$B$130:$F$134,MATCH('All Options'!$E$17,'Valid Data-GPG'!$B$130:$F$130,0),0)*'All Options'!$E$17)*(IF(A121&lt;=DP,A121,0))),105%*$AB$17))*(Output!A121&lt;=DP)
+(MAX($AB$17+(VLOOKUP($BE$25,'All Options'!$AB$36:$AC$46,2,0)*VLOOKUP('All Options'!$E$22,'Valid Data-GPG'!$B$130:$F$134,MATCH('All Options'!$E$17,'Valid Data-GPG'!$B$130:$F$130,0),0)*'All Options'!$E$17)*DP-AB121*(A121-DP),$AB$17)*(MAX(A121&lt;=25,K121&lt;85)))*(A121&gt;DP),0)*$BE$21</f>
        <v>0</v>
      </c>
      <c r="BF121" s="175">
        <f>IFERROR((MAX(($AB$17+(VLOOKUP($BF$25,'All Options'!$AB$36:$AC$46,2,0)*VLOOKUP('All Options'!$E$22,'Valid Data-GPG'!$B$130:$F$134,MATCH('All Options'!$E$17,'Valid Data-GPG'!$B$130:$F$130,0),0)*'All Options'!$E$17)*(IF(A121&lt;=DP,A121,0))),105%*$AB$17))*(Output!A121&lt;=DP)
+(MAX($AB$17+(VLOOKUP($BF$25,'All Options'!$AB$36:$AC$46,2,0)*VLOOKUP('All Options'!$E$22,'Valid Data-GPG'!$B$130:$F$134,MATCH('All Options'!$E$17,'Valid Data-GPG'!$B$130:$F$130,0),0)*'All Options'!$E$17)*DP-AB121*(A121-DP),$AB$17)-SUM($AF$26:AF121)*AG121)*(A121&gt;DP)*AG121,0)*$BF$21</f>
        <v>0</v>
      </c>
      <c r="BG121" s="175">
        <f t="shared" si="76"/>
        <v>0</v>
      </c>
      <c r="BH121" s="182">
        <f t="shared" si="59"/>
        <v>5000000</v>
      </c>
      <c r="BI121" s="175">
        <f t="shared" si="77"/>
        <v>0</v>
      </c>
      <c r="BJ121" s="175">
        <f t="shared" si="78"/>
        <v>0</v>
      </c>
      <c r="BK121" s="175">
        <f t="shared" si="79"/>
        <v>0</v>
      </c>
      <c r="BL121" s="175">
        <f t="shared" si="80"/>
        <v>0</v>
      </c>
      <c r="BM121" s="175">
        <f t="shared" si="81"/>
        <v>0</v>
      </c>
      <c r="BN121" s="175">
        <f t="shared" si="82"/>
        <v>0</v>
      </c>
      <c r="BO121" s="182">
        <f t="shared" si="60"/>
        <v>0</v>
      </c>
      <c r="BP121" s="182">
        <f t="shared" si="61"/>
        <v>0</v>
      </c>
      <c r="BQ121" s="182">
        <f>MAX($AB$17-SUM($AF$26:AF121),0)*$BQ$21</f>
        <v>0</v>
      </c>
      <c r="BS121" s="175">
        <f t="shared" si="62"/>
        <v>0</v>
      </c>
      <c r="BT121" s="175">
        <f>IFERROR(IF(A121&lt;=1,0,VLOOKUP(DP,'Valid Data-GPG'!$A$116:$J$122,MATCH(Output!A121,'Valid Data-GPG'!$A$116:$J$116,0),FALSE)*SUM($B$26:C121))*(A121&lt;=DP),0)*$BT$21</f>
        <v>0</v>
      </c>
      <c r="BU121" s="175">
        <f>IFERROR(IF(A121&lt;=1,0,VLOOKUP(DP,'Valid Data-GPG'!$A$116:$J$122,MATCH(Output!A121,'Valid Data-GPG'!$A$116:$J$116,0),FALSE)*SUM($B$26:C121))*(A121&lt;=DP),0)*$BU$21</f>
        <v>0</v>
      </c>
      <c r="BV121" s="175">
        <f t="shared" si="63"/>
        <v>0</v>
      </c>
      <c r="BW121" s="175">
        <f t="shared" si="64"/>
        <v>0</v>
      </c>
      <c r="BX121" s="175">
        <f t="shared" si="65"/>
        <v>0</v>
      </c>
      <c r="BY121" s="175">
        <f t="shared" si="66"/>
        <v>0</v>
      </c>
      <c r="BZ121" s="175">
        <f t="shared" si="67"/>
        <v>0</v>
      </c>
      <c r="CA121" s="175">
        <f>(INDEX('SV calc_ignore'!$J$10:$J$1341,12*Output!A121-0))*BS121</f>
        <v>0</v>
      </c>
      <c r="CB121" s="175">
        <f t="shared" si="83"/>
        <v>0</v>
      </c>
      <c r="CC121" s="175">
        <f>(INDEX('SV calc_ignore'!$J$10:$J$1341,12*Output!A121-0))*BS121</f>
        <v>0</v>
      </c>
      <c r="CD121" s="175">
        <f t="shared" si="84"/>
        <v>0</v>
      </c>
      <c r="CE121" s="66">
        <f>(INDEX('SV calc_ignore'!$J$10:$J$1341,12*Output!A121-0))*($CE$21)</f>
        <v>0</v>
      </c>
      <c r="CF121" s="175">
        <f t="shared" si="85"/>
        <v>0</v>
      </c>
      <c r="CG121" s="175">
        <f>(INDEX('SV calc_ignore'!$J$10:$J$1341,12*Output!A121-0))*($CG$21)*(A121&gt;1)</f>
        <v>0</v>
      </c>
      <c r="CH121" s="175">
        <f>(INDEX('SV calc_ignore'!$J$10:$J$1341,12*Output!A121-0))*($CH$21)*(A121&gt;1)</f>
        <v>0</v>
      </c>
      <c r="CI121" s="175"/>
      <c r="CJ121" s="66">
        <f>(INDEX('SV calc_ignore'!$J$10:$J$1341,12*Output!A121-0))*($CJ$21)*(A121&gt;1)</f>
        <v>0</v>
      </c>
      <c r="CK121" s="66">
        <f>(INDEX('SV calc_ignore'!$Q$10:$Q$1341,12*Output!A121-0))*(AND(A121&gt;1,R121&lt;20))*($CK$21)</f>
        <v>0</v>
      </c>
      <c r="CL121" s="66">
        <f t="shared" si="86"/>
        <v>0</v>
      </c>
      <c r="CM121" s="175">
        <f>((INDEX('SV calc_ignore'!$J$10:$J$1341,12*Output!A121-0))+(INDEX('SV calc_ignore'!$O$10:$O$1341,12*Output!A121-0))*(A121&lt;'SV calc_ignore'!$Q$5))*(A121&gt;1)*($CM$21)</f>
        <v>0</v>
      </c>
      <c r="CN121" s="175">
        <v>0</v>
      </c>
      <c r="CO121" s="175">
        <f>(INDEX('SV calc_ignore'!$J$10:$J$1341,12*Output!A121-0))*(A121&gt;1)*($CO$21)</f>
        <v>0</v>
      </c>
      <c r="CP121" s="175">
        <v>0</v>
      </c>
      <c r="CQ121" s="175">
        <v>0</v>
      </c>
      <c r="CR121" s="175">
        <v>0</v>
      </c>
      <c r="CS121" s="175">
        <v>0</v>
      </c>
      <c r="CT121" s="175">
        <v>0</v>
      </c>
      <c r="CU121" s="175">
        <v>0</v>
      </c>
      <c r="CV121" s="175">
        <f>(INDEX('SV calc_ignore'!$J$10:$J$1341,12*Output!A121-0))*(A121&gt;1)*($CV$21)</f>
        <v>0</v>
      </c>
      <c r="CW121" s="66">
        <f>((INDEX('SV calc_ignore'!$J$10:$J$1341,12*Output!A121-0))+(INDEX('SV calc_ignore'!$O$10:$O$1351,12*Output!A121-0))*(A121&lt;'SV calc_ignore'!$Q$5))*(A121&gt;1)*($CW$21)</f>
        <v>0</v>
      </c>
      <c r="CX121" s="175">
        <f>(INDEX('SV calc_ignore'!$J$10:$J$1341,12*Output!A121-0))*(A121&gt;1)*($CX$21)</f>
        <v>0</v>
      </c>
      <c r="CY121" s="175">
        <f>(INDEX('SV calc_ignore'!$Q$10:$Q$1341,12*Output!A121-0))*(AND(A121&gt;1,R121&lt;20))*($CY$21)</f>
        <v>0</v>
      </c>
      <c r="CZ121" s="175">
        <f t="shared" si="87"/>
        <v>0</v>
      </c>
      <c r="DE121" s="43">
        <f>IF($DE$23,0,VLOOKUP(IF(A121&lt;=DP,DJ121,DI121),SSV!$B$6:$C$116,2,FALSE)*VLOOKUP(AnnuityOption,'All Options'!$AB$36:$AC$47,2,FALSE)*VLOOKUP('All Options'!$E$22,'Valid Data-GPG'!$B$130:$F$134,MATCH('All Options'!$E$17,'Valid Data-GPG'!$B$130:$F$130,0),0)*'All Options'!$E$17)*(IF(AND(Select="Deferred Annuity",AnnuityOption="Life Annuity"),A121&lt;=DP,1))</f>
        <v>3274327.0531593515</v>
      </c>
      <c r="DF121" s="43">
        <f>IF($DF$23,0,IF($DQ$25,DQ121,IF($DR$25,DR121,VLOOKUP(IF(A121&lt;=DP,DJ121,DI121),SSV!$G$6:$H$116,2,FALSE)*SUM($B$27:B121))))</f>
        <v>1006161.5</v>
      </c>
      <c r="DG121" s="43" t="e">
        <f>IF(A121&lt;=DP,VLOOKUP(DP-A120,SSV!$T$6:$U$15,2,FALSE),1)</f>
        <v>#N/A</v>
      </c>
      <c r="DH121" s="282" t="e">
        <f t="shared" si="68"/>
        <v>#VALUE!</v>
      </c>
      <c r="DI121" s="43">
        <f>IF($DM$26,MIN(Age,'All Options'!$E$21)+A120,IF($DN$26,(Age+A120)-Age+60,IF($DO$26,(Age+A120)-Age+55,Age+A120)))</f>
        <v>60</v>
      </c>
      <c r="DJ121" s="279">
        <f>IF($DM$26,MIN(Age+A121,'All Options'!$E$21+A121),IF($DN$26,(Age+A121)-(Age+$A$27)+60,IF($DO$26,(Age+A121)-(Age+$A$27)+55,Age+A121)))</f>
        <v>60</v>
      </c>
      <c r="DP121" s="43">
        <f t="shared" si="88"/>
        <v>0</v>
      </c>
      <c r="DQ121" s="43">
        <f>IFERROR(VLOOKUP(IF(A121&lt;=DP,DJ121,DI121),SSV!$K$6:$L$91,2,FALSE)*SUM($B$27:B121),0)*($DQ$25)</f>
        <v>0</v>
      </c>
      <c r="DR121" s="43">
        <f>IFERROR(VLOOKUP(IF(A121&lt;=DP,DJ121,DI121),SSV!$O$6:$P$95,2,FALSE)*SUM($B$27:B121),0)*($DR$25)</f>
        <v>0</v>
      </c>
      <c r="DU121" s="175">
        <f t="shared" si="69"/>
        <v>0</v>
      </c>
    </row>
    <row r="122" spans="1:125" x14ac:dyDescent="0.2">
      <c r="A122" s="146">
        <f t="shared" si="70"/>
        <v>0</v>
      </c>
      <c r="B122" s="670">
        <f>IF(PremiumType="Regular Premium",'All Options'!$E$18*'All Options'!$E$22*(AND(Output!A122&lt;=PPT,A122&gt;=1)),'All Options'!$E$18*(A122=1))</f>
        <v>0</v>
      </c>
      <c r="C122" s="671"/>
      <c r="D122" s="103" t="e">
        <f>((VLOOKUP(CONCATENATE($D$14,$D$15),'All Options'!$AB$36:$AC$47,4,0)*VLOOKUP('All Options'!$E$22,'Valid Data-GPG'!$B$130:$F$134,MATCH('All Options'!$E$17,'Valid Data-GPG'!$B$130:$F$130,0),0)*'All Options'!$E$17)*IF(Select="Deferred Annuity",A122&gt;DP,1)+AE122+AF122*AG122*$AG$21)*(A122&gt;0)</f>
        <v>#N/A</v>
      </c>
      <c r="E122" s="103">
        <v>0</v>
      </c>
      <c r="F122" s="103" t="e">
        <f t="shared" si="71"/>
        <v>#N/A</v>
      </c>
      <c r="G122" s="103">
        <f t="shared" si="55"/>
        <v>0</v>
      </c>
      <c r="H122" s="285">
        <f t="shared" si="72"/>
        <v>0</v>
      </c>
      <c r="I122" s="103">
        <f t="shared" si="73"/>
        <v>0</v>
      </c>
      <c r="K122" s="175" t="str">
        <f t="shared" si="74"/>
        <v/>
      </c>
      <c r="L122" s="175"/>
      <c r="M122" s="175"/>
      <c r="N122" s="175"/>
      <c r="O122" s="175"/>
      <c r="P122" s="175"/>
      <c r="Q122" s="175"/>
      <c r="R122" s="175">
        <f t="shared" si="75"/>
        <v>0</v>
      </c>
      <c r="AB122" s="175" t="e">
        <f>(VLOOKUP(CONCATENATE($D$14,$D$15),'All Options'!$AB$36:$AC$47,4,0)*VLOOKUP('All Options'!$E$22,'Valid Data-GPG'!$B$130:$F$134,MATCH('All Options'!$E$17,'Valid Data-GPG'!$B$130:$F$130,0),0)*'All Options'!$E$17)*IF(Select="Deferred Annuity",A122&gt;DP,1)*(A122&gt;0)</f>
        <v>#N/A</v>
      </c>
      <c r="AC122" s="175">
        <f t="shared" si="56"/>
        <v>0</v>
      </c>
      <c r="AD122" s="175">
        <f>SUM($AC$26:AC122)</f>
        <v>0</v>
      </c>
      <c r="AE122" s="175">
        <f t="shared" si="57"/>
        <v>0</v>
      </c>
      <c r="AF122" s="175">
        <f t="shared" si="58"/>
        <v>0</v>
      </c>
      <c r="AG122" s="175" t="b">
        <f>(SUM($AF$26:AF122)&lt;=$AB$17)</f>
        <v>0</v>
      </c>
      <c r="AY122" s="175"/>
      <c r="AZ122" s="66">
        <f>((MAX((SUM($B$26:C122)+(VLOOKUP($AZ$25,'All Options'!$AB$36:$AC$46,2,0)*VLOOKUP('All Options'!$E$22,'Valid Data-GPG'!$B$130:$F$134,MATCH('All Options'!$E$17,'Valid Data-GPG'!$B$130:$F$130,0),0)*'All Options'!$E$17)*(IF(A122&lt;=DP,A122,0))),105%*SUM($B$26:C122)))*(AND(A122&lt;&gt;0,Output!A122&lt;=DP))+(0)*(A122&gt;DP))*$AZ$21</f>
        <v>0</v>
      </c>
      <c r="BA122" s="175" t="e">
        <f>((MAX((SUM($B$26:C122)+(VLOOKUP($BA$25,'All Options'!$AB$36:$AC$46,2,0)*VLOOKUP('All Options'!$E$22,'Valid Data-GPG'!$B$130:$F$134,MATCH('All Options'!$E$17,'Valid Data-GPG'!$B$130:$F$130,0),0)*'All Options'!$E$17)*(IF(A122&lt;=DP,A122,0))),105%*SUM($B$26:C122)))*(Output!A122&lt;=DP)
+MAX((SUM($B$26:C122)+(VLOOKUP($BA$25,'All Options'!$AB$36:$AC$46,2,0)*VLOOKUP('All Options'!$E$22,'Valid Data-GPG'!$B$130:$F$134,MATCH('All Options'!$E$17,'Valid Data-GPG'!$B$130:$F$130,0),0)*'All Options'!$E$17)*DP-D122*(A122-DP)),SUM($B$26:C122))*(A122&gt;DP))*$BA$21</f>
        <v>#N/A</v>
      </c>
      <c r="BB122" s="175">
        <f>((MAX(($AB$17+(VLOOKUP($BB$25,'All Options'!$AB$36:$AC$46,2,0)*VLOOKUP('All Options'!$E$22,'Valid Data-GPG'!$B$130:$F$134,MATCH('All Options'!$E$17,'Valid Data-GPG'!$B$130:$F$130,0),0)*'All Options'!$E$17)*(IF(A122&lt;=DP,A122,0))),105%*$AB$17))*(Output!A122&lt;=DP)+(0)*(A122&gt;DP))*$BB$21</f>
        <v>0</v>
      </c>
      <c r="BC122" s="175" t="e">
        <f>((MAX(($AB$17+(VLOOKUP($BC$25,'All Options'!$AB$36:$AC$46,2,0)*VLOOKUP('All Options'!$E$22,'Valid Data-GPG'!$B$130:$F$134,MATCH('All Options'!$E$17,'Valid Data-GPG'!$B$130:$F$130,0),0)*'All Options'!$E$17)*(IF(A122&lt;=DP,A122,0))),105%*$AB$17))*(Output!A122&lt;=DP)+
MAX(($AB$17+(VLOOKUP($BC$25,'All Options'!$AB$36:$AC$46,2,0)*VLOOKUP('All Options'!$E$22,'Valid Data-GPG'!$B$130:$F$134,MATCH('All Options'!$E$17,'Valid Data-GPG'!$B$130:$F$130,0),0)*'All Options'!$E$17)*DP-D122*(A122-DP)),$AB$17)*(A122&gt;DP))*$BC$21</f>
        <v>#N/A</v>
      </c>
      <c r="BD122" s="175">
        <f ca="1">IFERROR((MAX(($AB$17+(VLOOKUP($BD$25,'All Options'!$AB$36:$AC$46,2,0)*VLOOKUP('All Options'!$E$22,'Valid Data-GPG'!$B$130:$F$134,MATCH('All Options'!$E$17,'Valid Data-GPG'!$B$130:$F$130,0),0)*'All Options'!$E$17)*(IF(A122&lt;=DP,A122,0))),105%*$AB$17))*(Output!A122&lt;=DP)
+MAX(($AB$17+(VLOOKUP($BD$25,'All Options'!$AB$36:$AC$46,2,0)*VLOOKUP('All Options'!$E$22,'Valid Data-GPG'!$B$130:$F$134,MATCH('All Options'!$E$17,'Valid Data-GPG'!$B$130:$F$130,0),0)*'All Options'!$E$17)*DP-D122*(A122-DP)),$AB$17)*(A122&gt;DP),0)*$BD$21</f>
        <v>0</v>
      </c>
      <c r="BE122" s="66">
        <f>IFERROR((MAX(($AB$17+(VLOOKUP($BE$25,'All Options'!$AB$36:$AC$46,2,0)*VLOOKUP('All Options'!$E$22,'Valid Data-GPG'!$B$130:$F$134,MATCH('All Options'!$E$17,'Valid Data-GPG'!$B$130:$F$130,0),0)*'All Options'!$E$17)*(IF(A122&lt;=DP,A122,0))),105%*$AB$17))*(Output!A122&lt;=DP)
+(MAX($AB$17+(VLOOKUP($BE$25,'All Options'!$AB$36:$AC$46,2,0)*VLOOKUP('All Options'!$E$22,'Valid Data-GPG'!$B$130:$F$134,MATCH('All Options'!$E$17,'Valid Data-GPG'!$B$130:$F$130,0),0)*'All Options'!$E$17)*DP-AB122*(A122-DP),$AB$17)*(MAX(A122&lt;=25,K122&lt;85)))*(A122&gt;DP),0)*$BE$21</f>
        <v>0</v>
      </c>
      <c r="BF122" s="175">
        <f>IFERROR((MAX(($AB$17+(VLOOKUP($BF$25,'All Options'!$AB$36:$AC$46,2,0)*VLOOKUP('All Options'!$E$22,'Valid Data-GPG'!$B$130:$F$134,MATCH('All Options'!$E$17,'Valid Data-GPG'!$B$130:$F$130,0),0)*'All Options'!$E$17)*(IF(A122&lt;=DP,A122,0))),105%*$AB$17))*(Output!A122&lt;=DP)
+(MAX($AB$17+(VLOOKUP($BF$25,'All Options'!$AB$36:$AC$46,2,0)*VLOOKUP('All Options'!$E$22,'Valid Data-GPG'!$B$130:$F$134,MATCH('All Options'!$E$17,'Valid Data-GPG'!$B$130:$F$130,0),0)*'All Options'!$E$17)*DP-AB122*(A122-DP),$AB$17)-SUM($AF$26:AF122)*AG122)*(A122&gt;DP)*AG122,0)*$BF$21</f>
        <v>0</v>
      </c>
      <c r="BG122" s="175">
        <f t="shared" si="76"/>
        <v>0</v>
      </c>
      <c r="BH122" s="182">
        <f t="shared" si="59"/>
        <v>5000000</v>
      </c>
      <c r="BI122" s="175">
        <f t="shared" si="77"/>
        <v>0</v>
      </c>
      <c r="BJ122" s="175">
        <f t="shared" si="78"/>
        <v>0</v>
      </c>
      <c r="BK122" s="175">
        <f t="shared" si="79"/>
        <v>0</v>
      </c>
      <c r="BL122" s="175">
        <f t="shared" si="80"/>
        <v>0</v>
      </c>
      <c r="BM122" s="175">
        <f t="shared" si="81"/>
        <v>0</v>
      </c>
      <c r="BN122" s="175">
        <f t="shared" si="82"/>
        <v>0</v>
      </c>
      <c r="BO122" s="182">
        <f t="shared" si="60"/>
        <v>0</v>
      </c>
      <c r="BP122" s="182">
        <f t="shared" si="61"/>
        <v>0</v>
      </c>
      <c r="BQ122" s="182">
        <f>MAX($AB$17-SUM($AF$26:AF122),0)*$BQ$21</f>
        <v>0</v>
      </c>
      <c r="BS122" s="175">
        <f t="shared" si="62"/>
        <v>0</v>
      </c>
      <c r="BT122" s="175">
        <f>IFERROR(IF(A122&lt;=1,0,VLOOKUP(DP,'Valid Data-GPG'!$A$116:$J$122,MATCH(Output!A122,'Valid Data-GPG'!$A$116:$J$116,0),FALSE)*SUM($B$26:C122))*(A122&lt;=DP),0)*$BT$21</f>
        <v>0</v>
      </c>
      <c r="BU122" s="175">
        <f>IFERROR(IF(A122&lt;=1,0,VLOOKUP(DP,'Valid Data-GPG'!$A$116:$J$122,MATCH(Output!A122,'Valid Data-GPG'!$A$116:$J$116,0),FALSE)*SUM($B$26:C122))*(A122&lt;=DP),0)*$BU$21</f>
        <v>0</v>
      </c>
      <c r="BV122" s="175">
        <f t="shared" si="63"/>
        <v>0</v>
      </c>
      <c r="BW122" s="175">
        <f t="shared" si="64"/>
        <v>0</v>
      </c>
      <c r="BX122" s="175">
        <f t="shared" si="65"/>
        <v>0</v>
      </c>
      <c r="BY122" s="175">
        <f t="shared" si="66"/>
        <v>0</v>
      </c>
      <c r="BZ122" s="175">
        <f t="shared" si="67"/>
        <v>0</v>
      </c>
      <c r="CA122" s="175">
        <f>(INDEX('SV calc_ignore'!$J$10:$J$1341,12*Output!A122-0))*BS122</f>
        <v>0</v>
      </c>
      <c r="CB122" s="175">
        <f t="shared" si="83"/>
        <v>0</v>
      </c>
      <c r="CC122" s="175">
        <f>(INDEX('SV calc_ignore'!$J$10:$J$1341,12*Output!A122-0))*BS122</f>
        <v>0</v>
      </c>
      <c r="CD122" s="175">
        <f t="shared" si="84"/>
        <v>0</v>
      </c>
      <c r="CE122" s="66">
        <f>(INDEX('SV calc_ignore'!$J$10:$J$1341,12*Output!A122-0))*($CE$21)</f>
        <v>0</v>
      </c>
      <c r="CF122" s="175">
        <f t="shared" si="85"/>
        <v>0</v>
      </c>
      <c r="CG122" s="175">
        <f>(INDEX('SV calc_ignore'!$J$10:$J$1341,12*Output!A122-0))*($CG$21)*(A122&gt;1)</f>
        <v>0</v>
      </c>
      <c r="CH122" s="175">
        <f>(INDEX('SV calc_ignore'!$J$10:$J$1341,12*Output!A122-0))*($CH$21)*(A122&gt;1)</f>
        <v>0</v>
      </c>
      <c r="CI122" s="175"/>
      <c r="CJ122" s="66">
        <f>(INDEX('SV calc_ignore'!$J$10:$J$1341,12*Output!A122-0))*($CJ$21)*(A122&gt;1)</f>
        <v>0</v>
      </c>
      <c r="CK122" s="66">
        <f>(INDEX('SV calc_ignore'!$Q$10:$Q$1341,12*Output!A122-0))*(AND(A122&gt;1,R122&lt;20))*($CK$21)</f>
        <v>0</v>
      </c>
      <c r="CL122" s="66">
        <f t="shared" si="86"/>
        <v>0</v>
      </c>
      <c r="CM122" s="175">
        <f>((INDEX('SV calc_ignore'!$J$10:$J$1341,12*Output!A122-0))+(INDEX('SV calc_ignore'!$O$10:$O$1341,12*Output!A122-0))*(A122&lt;'SV calc_ignore'!$Q$5))*(A122&gt;1)*($CM$21)</f>
        <v>0</v>
      </c>
      <c r="CN122" s="175">
        <v>0</v>
      </c>
      <c r="CO122" s="175">
        <f>(INDEX('SV calc_ignore'!$J$10:$J$1341,12*Output!A122-0))*(A122&gt;1)*($CO$21)</f>
        <v>0</v>
      </c>
      <c r="CP122" s="175">
        <v>0</v>
      </c>
      <c r="CQ122" s="175">
        <v>0</v>
      </c>
      <c r="CR122" s="175">
        <v>0</v>
      </c>
      <c r="CS122" s="175">
        <v>0</v>
      </c>
      <c r="CT122" s="175">
        <v>0</v>
      </c>
      <c r="CU122" s="175">
        <v>0</v>
      </c>
      <c r="CV122" s="175">
        <f>(INDEX('SV calc_ignore'!$J$10:$J$1341,12*Output!A122-0))*(A122&gt;1)*($CV$21)</f>
        <v>0</v>
      </c>
      <c r="CW122" s="66">
        <f>((INDEX('SV calc_ignore'!$J$10:$J$1341,12*Output!A122-0))+(INDEX('SV calc_ignore'!$O$10:$O$1351,12*Output!A122-0))*(A122&lt;'SV calc_ignore'!$Q$5))*(A122&gt;1)*($CW$21)</f>
        <v>0</v>
      </c>
      <c r="CX122" s="175">
        <f>(INDEX('SV calc_ignore'!$J$10:$J$1341,12*Output!A122-0))*(A122&gt;1)*($CX$21)</f>
        <v>0</v>
      </c>
      <c r="CY122" s="175">
        <f>(INDEX('SV calc_ignore'!$Q$10:$Q$1341,12*Output!A122-0))*(AND(A122&gt;1,R122&lt;20))*($CY$21)</f>
        <v>0</v>
      </c>
      <c r="CZ122" s="175">
        <f t="shared" si="87"/>
        <v>0</v>
      </c>
      <c r="DE122" s="43">
        <f>IF($DE$23,0,VLOOKUP(IF(A122&lt;=DP,DJ122,DI122),SSV!$B$6:$C$116,2,FALSE)*VLOOKUP(AnnuityOption,'All Options'!$AB$36:$AC$47,2,FALSE)*VLOOKUP('All Options'!$E$22,'Valid Data-GPG'!$B$130:$F$134,MATCH('All Options'!$E$17,'Valid Data-GPG'!$B$130:$F$130,0),0)*'All Options'!$E$17)*(IF(AND(Select="Deferred Annuity",AnnuityOption="Life Annuity"),A122&lt;=DP,1))</f>
        <v>3274327.0531593515</v>
      </c>
      <c r="DF122" s="43">
        <f>IF($DF$23,0,IF($DQ$25,DQ122,IF($DR$25,DR122,VLOOKUP(IF(A122&lt;=DP,DJ122,DI122),SSV!$G$6:$H$116,2,FALSE)*SUM($B$27:B122))))</f>
        <v>1006161.5</v>
      </c>
      <c r="DG122" s="43" t="e">
        <f>IF(A122&lt;=DP,VLOOKUP(DP-A121,SSV!$T$6:$U$15,2,FALSE),1)</f>
        <v>#N/A</v>
      </c>
      <c r="DH122" s="282" t="e">
        <f t="shared" si="68"/>
        <v>#VALUE!</v>
      </c>
      <c r="DI122" s="43">
        <f>IF($DM$26,MIN(Age,'All Options'!$E$21)+A121,IF($DN$26,(Age+A121)-Age+60,IF($DO$26,(Age+A121)-Age+55,Age+A121)))</f>
        <v>60</v>
      </c>
      <c r="DJ122" s="279">
        <f>IF($DM$26,MIN(Age+A122,'All Options'!$E$21+A122),IF($DN$26,(Age+A122)-(Age+$A$27)+60,IF($DO$26,(Age+A122)-(Age+$A$27)+55,Age+A122)))</f>
        <v>60</v>
      </c>
      <c r="DP122" s="43">
        <f t="shared" si="88"/>
        <v>0</v>
      </c>
      <c r="DQ122" s="43">
        <f>IFERROR(VLOOKUP(IF(A122&lt;=DP,DJ122,DI122),SSV!$K$6:$L$91,2,FALSE)*SUM($B$27:B122),0)*($DQ$25)</f>
        <v>0</v>
      </c>
      <c r="DR122" s="43">
        <f>IFERROR(VLOOKUP(IF(A122&lt;=DP,DJ122,DI122),SSV!$O$6:$P$95,2,FALSE)*SUM($B$27:B122),0)*($DR$25)</f>
        <v>0</v>
      </c>
      <c r="DU122" s="175">
        <f t="shared" si="69"/>
        <v>0</v>
      </c>
    </row>
    <row r="123" spans="1:125" x14ac:dyDescent="0.2">
      <c r="A123" s="146">
        <f t="shared" si="70"/>
        <v>0</v>
      </c>
      <c r="B123" s="670">
        <f>IF(PremiumType="Regular Premium",'All Options'!$E$18*'All Options'!$E$22*(AND(Output!A123&lt;=PPT,A123&gt;=1)),'All Options'!$E$18*(A123=1))</f>
        <v>0</v>
      </c>
      <c r="C123" s="671"/>
      <c r="D123" s="103" t="e">
        <f>((VLOOKUP(CONCATENATE($D$14,$D$15),'All Options'!$AB$36:$AC$47,4,0)*VLOOKUP('All Options'!$E$22,'Valid Data-GPG'!$B$130:$F$134,MATCH('All Options'!$E$17,'Valid Data-GPG'!$B$130:$F$130,0),0)*'All Options'!$E$17)*IF(Select="Deferred Annuity",A123&gt;DP,1)+AE123+AF123*AG123*$AG$21)*(A123&gt;0)</f>
        <v>#N/A</v>
      </c>
      <c r="E123" s="103">
        <v>0</v>
      </c>
      <c r="F123" s="103" t="e">
        <f t="shared" si="71"/>
        <v>#N/A</v>
      </c>
      <c r="G123" s="103">
        <f t="shared" ref="G123:G137" si="89">IF(Select="Immediate Annuity",0,IF(AND(Select="Deferred Annuity",PremiumType="Regular Premium"),SUM(BT123:BU123),SUM(BV123:BZ123)))</f>
        <v>0</v>
      </c>
      <c r="H123" s="285">
        <f t="shared" si="72"/>
        <v>0</v>
      </c>
      <c r="I123" s="103">
        <f t="shared" si="73"/>
        <v>0</v>
      </c>
      <c r="K123" s="175" t="str">
        <f t="shared" si="74"/>
        <v/>
      </c>
      <c r="L123" s="175"/>
      <c r="M123" s="175"/>
      <c r="N123" s="175"/>
      <c r="O123" s="175"/>
      <c r="P123" s="175"/>
      <c r="Q123" s="175"/>
      <c r="R123" s="175">
        <f t="shared" si="75"/>
        <v>0</v>
      </c>
      <c r="AB123" s="175" t="e">
        <f>(VLOOKUP(CONCATENATE($D$14,$D$15),'All Options'!$AB$36:$AC$47,4,0)*VLOOKUP('All Options'!$E$22,'Valid Data-GPG'!$B$130:$F$134,MATCH('All Options'!$E$17,'Valid Data-GPG'!$B$130:$F$130,0),0)*'All Options'!$E$17)*IF(Select="Deferred Annuity",A123&gt;DP,1)*(A123&gt;0)</f>
        <v>#N/A</v>
      </c>
      <c r="AC123" s="175">
        <f t="shared" ref="AC123:AC137" si="90">$AB$17*MIN(A123&gt;25,K123&gt;=85)*($AE$21)</f>
        <v>0</v>
      </c>
      <c r="AD123" s="175">
        <f>SUM($AC$26:AC123)</f>
        <v>0</v>
      </c>
      <c r="AE123" s="175">
        <f t="shared" ref="AE123:AE137" si="91">IF(AD123=$AB$17,AD123,0)</f>
        <v>0</v>
      </c>
      <c r="AF123" s="175">
        <f t="shared" ref="AF123:AF137" si="92">5%*$AB$17*(MIN(A123&gt;15,K123&gt;=70))</f>
        <v>0</v>
      </c>
      <c r="AG123" s="175" t="b">
        <f>(SUM($AF$26:AF123)&lt;=$AB$17)</f>
        <v>0</v>
      </c>
      <c r="AY123" s="175"/>
      <c r="AZ123" s="66">
        <f>((MAX((SUM($B$26:C123)+(VLOOKUP($AZ$25,'All Options'!$AB$36:$AC$46,2,0)*VLOOKUP('All Options'!$E$22,'Valid Data-GPG'!$B$130:$F$134,MATCH('All Options'!$E$17,'Valid Data-GPG'!$B$130:$F$130,0),0)*'All Options'!$E$17)*(IF(A123&lt;=DP,A123,0))),105%*SUM($B$26:C123)))*(AND(A123&lt;&gt;0,Output!A123&lt;=DP))+(0)*(A123&gt;DP))*$AZ$21</f>
        <v>0</v>
      </c>
      <c r="BA123" s="175" t="e">
        <f>((MAX((SUM($B$26:C123)+(VLOOKUP($BA$25,'All Options'!$AB$36:$AC$46,2,0)*VLOOKUP('All Options'!$E$22,'Valid Data-GPG'!$B$130:$F$134,MATCH('All Options'!$E$17,'Valid Data-GPG'!$B$130:$F$130,0),0)*'All Options'!$E$17)*(IF(A123&lt;=DP,A123,0))),105%*SUM($B$26:C123)))*(Output!A123&lt;=DP)
+MAX((SUM($B$26:C123)+(VLOOKUP($BA$25,'All Options'!$AB$36:$AC$46,2,0)*VLOOKUP('All Options'!$E$22,'Valid Data-GPG'!$B$130:$F$134,MATCH('All Options'!$E$17,'Valid Data-GPG'!$B$130:$F$130,0),0)*'All Options'!$E$17)*DP-D123*(A123-DP)),SUM($B$26:C123))*(A123&gt;DP))*$BA$21</f>
        <v>#N/A</v>
      </c>
      <c r="BB123" s="175">
        <f>((MAX(($AB$17+(VLOOKUP($BB$25,'All Options'!$AB$36:$AC$46,2,0)*VLOOKUP('All Options'!$E$22,'Valid Data-GPG'!$B$130:$F$134,MATCH('All Options'!$E$17,'Valid Data-GPG'!$B$130:$F$130,0),0)*'All Options'!$E$17)*(IF(A123&lt;=DP,A123,0))),105%*$AB$17))*(Output!A123&lt;=DP)+(0)*(A123&gt;DP))*$BB$21</f>
        <v>0</v>
      </c>
      <c r="BC123" s="175" t="e">
        <f>((MAX(($AB$17+(VLOOKUP($BC$25,'All Options'!$AB$36:$AC$46,2,0)*VLOOKUP('All Options'!$E$22,'Valid Data-GPG'!$B$130:$F$134,MATCH('All Options'!$E$17,'Valid Data-GPG'!$B$130:$F$130,0),0)*'All Options'!$E$17)*(IF(A123&lt;=DP,A123,0))),105%*$AB$17))*(Output!A123&lt;=DP)+
MAX(($AB$17+(VLOOKUP($BC$25,'All Options'!$AB$36:$AC$46,2,0)*VLOOKUP('All Options'!$E$22,'Valid Data-GPG'!$B$130:$F$134,MATCH('All Options'!$E$17,'Valid Data-GPG'!$B$130:$F$130,0),0)*'All Options'!$E$17)*DP-D123*(A123-DP)),$AB$17)*(A123&gt;DP))*$BC$21</f>
        <v>#N/A</v>
      </c>
      <c r="BD123" s="175">
        <f ca="1">IFERROR((MAX(($AB$17+(VLOOKUP($BD$25,'All Options'!$AB$36:$AC$46,2,0)*VLOOKUP('All Options'!$E$22,'Valid Data-GPG'!$B$130:$F$134,MATCH('All Options'!$E$17,'Valid Data-GPG'!$B$130:$F$130,0),0)*'All Options'!$E$17)*(IF(A123&lt;=DP,A123,0))),105%*$AB$17))*(Output!A123&lt;=DP)
+MAX(($AB$17+(VLOOKUP($BD$25,'All Options'!$AB$36:$AC$46,2,0)*VLOOKUP('All Options'!$E$22,'Valid Data-GPG'!$B$130:$F$134,MATCH('All Options'!$E$17,'Valid Data-GPG'!$B$130:$F$130,0),0)*'All Options'!$E$17)*DP-D123*(A123-DP)),$AB$17)*(A123&gt;DP),0)*$BD$21</f>
        <v>0</v>
      </c>
      <c r="BE123" s="66">
        <f>IFERROR((MAX(($AB$17+(VLOOKUP($BE$25,'All Options'!$AB$36:$AC$46,2,0)*VLOOKUP('All Options'!$E$22,'Valid Data-GPG'!$B$130:$F$134,MATCH('All Options'!$E$17,'Valid Data-GPG'!$B$130:$F$130,0),0)*'All Options'!$E$17)*(IF(A123&lt;=DP,A123,0))),105%*$AB$17))*(Output!A123&lt;=DP)
+(MAX($AB$17+(VLOOKUP($BE$25,'All Options'!$AB$36:$AC$46,2,0)*VLOOKUP('All Options'!$E$22,'Valid Data-GPG'!$B$130:$F$134,MATCH('All Options'!$E$17,'Valid Data-GPG'!$B$130:$F$130,0),0)*'All Options'!$E$17)*DP-AB123*(A123-DP),$AB$17)*(MAX(A123&lt;=25,K123&lt;85)))*(A123&gt;DP),0)*$BE$21</f>
        <v>0</v>
      </c>
      <c r="BF123" s="175">
        <f>IFERROR((MAX(($AB$17+(VLOOKUP($BF$25,'All Options'!$AB$36:$AC$46,2,0)*VLOOKUP('All Options'!$E$22,'Valid Data-GPG'!$B$130:$F$134,MATCH('All Options'!$E$17,'Valid Data-GPG'!$B$130:$F$130,0),0)*'All Options'!$E$17)*(IF(A123&lt;=DP,A123,0))),105%*$AB$17))*(Output!A123&lt;=DP)
+(MAX($AB$17+(VLOOKUP($BF$25,'All Options'!$AB$36:$AC$46,2,0)*VLOOKUP('All Options'!$E$22,'Valid Data-GPG'!$B$130:$F$134,MATCH('All Options'!$E$17,'Valid Data-GPG'!$B$130:$F$130,0),0)*'All Options'!$E$17)*DP-AB123*(A123-DP),$AB$17)-SUM($AF$26:AF123)*AG123)*(A123&gt;DP)*AG123,0)*$BF$21</f>
        <v>0</v>
      </c>
      <c r="BG123" s="175">
        <f t="shared" si="76"/>
        <v>0</v>
      </c>
      <c r="BH123" s="182">
        <f t="shared" ref="BH123:BH137" si="93">$AB$17*$BH$21</f>
        <v>5000000</v>
      </c>
      <c r="BI123" s="175">
        <f t="shared" si="77"/>
        <v>0</v>
      </c>
      <c r="BJ123" s="175">
        <f t="shared" si="78"/>
        <v>0</v>
      </c>
      <c r="BK123" s="175">
        <f t="shared" si="79"/>
        <v>0</v>
      </c>
      <c r="BL123" s="175">
        <f t="shared" si="80"/>
        <v>0</v>
      </c>
      <c r="BM123" s="175">
        <f t="shared" si="81"/>
        <v>0</v>
      </c>
      <c r="BN123" s="175">
        <f t="shared" si="82"/>
        <v>0</v>
      </c>
      <c r="BO123" s="182">
        <f t="shared" ref="BO123:BO137" si="94">$AB$17*$BO$21</f>
        <v>0</v>
      </c>
      <c r="BP123" s="182">
        <f t="shared" ref="BP123:BP137" si="95">$B$27*(MAX(A123&lt;=25,K123&lt;85))*$BP$21</f>
        <v>0</v>
      </c>
      <c r="BQ123" s="182">
        <f>MAX($AB$17-SUM($AF$26:AF123),0)*$BQ$21</f>
        <v>0</v>
      </c>
      <c r="BS123" s="175">
        <f t="shared" ref="BS123:BS137" si="96">(MIN(A123,PPT)/PPT)*(A123&gt;=2)</f>
        <v>0</v>
      </c>
      <c r="BT123" s="175">
        <f>IFERROR(IF(A123&lt;=1,0,VLOOKUP(DP,'Valid Data-GPG'!$A$116:$J$122,MATCH(Output!A123,'Valid Data-GPG'!$A$116:$J$116,0),FALSE)*SUM($B$26:C123))*(A123&lt;=DP),0)*$BT$21</f>
        <v>0</v>
      </c>
      <c r="BU123" s="175">
        <f>IFERROR(IF(A123&lt;=1,0,VLOOKUP(DP,'Valid Data-GPG'!$A$116:$J$122,MATCH(Output!A123,'Valid Data-GPG'!$A$116:$J$116,0),FALSE)*SUM($B$26:C123))*(A123&lt;=DP),0)*$BU$21</f>
        <v>0</v>
      </c>
      <c r="BV123" s="175">
        <f t="shared" ref="BV123:BV137" si="97">((75%*$AB$17)*(IF(DP&lt;=3,A123&lt;=DP,A123&lt;=3))+(90%*$AB$17)*(AND(A123&gt;3,A123&lt;=DP)))*$BV$21</f>
        <v>0</v>
      </c>
      <c r="BW123" s="175">
        <f t="shared" ref="BW123:BW137" si="98">((75%*$AB$17)*(AND(A123&gt;1,A123&lt;=3))+(90%*$AB$17)*(AND(A123&gt;3,A123&lt;=DP)))*$BW$21</f>
        <v>0</v>
      </c>
      <c r="BX123" s="175">
        <f t="shared" ref="BX123:BX137" si="99">((75%*$AB$17)*(AND(A123&gt;1,A123&lt;=3))+(90%*$AB$17)*(AND(A123&gt;3,A123&lt;=DP)))*$BX$21</f>
        <v>0</v>
      </c>
      <c r="BY123" s="175">
        <f t="shared" ref="BY123:BY137" si="100">((75%*$AB$17)*(AND(A123&gt;1,A123&lt;=3))+(90%*$AB$17)*(AND(A123&gt;3,A123&lt;=DP)))*$BY$21</f>
        <v>0</v>
      </c>
      <c r="BZ123" s="175">
        <f t="shared" ref="BZ123:BZ137" si="101">((75%*$AB$17)*(AND(A123&gt;1,A123&lt;=3))+(90%*$AB$17)*(AND(A123&gt;3,A123&lt;=DP)))*$BZ$21</f>
        <v>0</v>
      </c>
      <c r="CA123" s="175">
        <f>(INDEX('SV calc_ignore'!$J$10:$J$1341,12*Output!A123-0))*BS123</f>
        <v>0</v>
      </c>
      <c r="CB123" s="175">
        <f t="shared" si="83"/>
        <v>0</v>
      </c>
      <c r="CC123" s="175">
        <f>(INDEX('SV calc_ignore'!$J$10:$J$1341,12*Output!A123-0))*BS123</f>
        <v>0</v>
      </c>
      <c r="CD123" s="175">
        <f t="shared" si="84"/>
        <v>0</v>
      </c>
      <c r="CE123" s="66">
        <f>(INDEX('SV calc_ignore'!$J$10:$J$1341,12*Output!A123-0))*($CE$21)</f>
        <v>0</v>
      </c>
      <c r="CF123" s="175">
        <f t="shared" si="85"/>
        <v>0</v>
      </c>
      <c r="CG123" s="175">
        <f>(INDEX('SV calc_ignore'!$J$10:$J$1341,12*Output!A123-0))*($CG$21)*(A123&gt;1)</f>
        <v>0</v>
      </c>
      <c r="CH123" s="175">
        <f>(INDEX('SV calc_ignore'!$J$10:$J$1341,12*Output!A123-0))*($CH$21)*(A123&gt;1)</f>
        <v>0</v>
      </c>
      <c r="CI123" s="175"/>
      <c r="CJ123" s="66">
        <f>(INDEX('SV calc_ignore'!$J$10:$J$1341,12*Output!A123-0))*($CJ$21)*(A123&gt;1)</f>
        <v>0</v>
      </c>
      <c r="CK123" s="66">
        <f>(INDEX('SV calc_ignore'!$Q$10:$Q$1341,12*Output!A123-0))*(AND(A123&gt;1,R123&lt;20))*($CK$21)</f>
        <v>0</v>
      </c>
      <c r="CL123" s="66">
        <f t="shared" si="86"/>
        <v>0</v>
      </c>
      <c r="CM123" s="175">
        <f>((INDEX('SV calc_ignore'!$J$10:$J$1341,12*Output!A123-0))+(INDEX('SV calc_ignore'!$O$10:$O$1341,12*Output!A123-0))*(A123&lt;'SV calc_ignore'!$Q$5))*(A123&gt;1)*($CM$21)</f>
        <v>0</v>
      </c>
      <c r="CN123" s="175">
        <v>0</v>
      </c>
      <c r="CO123" s="175">
        <f>(INDEX('SV calc_ignore'!$J$10:$J$1341,12*Output!A123-0))*(A123&gt;1)*($CO$21)</f>
        <v>0</v>
      </c>
      <c r="CP123" s="175">
        <v>0</v>
      </c>
      <c r="CQ123" s="175">
        <v>0</v>
      </c>
      <c r="CR123" s="175">
        <v>0</v>
      </c>
      <c r="CS123" s="175">
        <v>0</v>
      </c>
      <c r="CT123" s="175">
        <v>0</v>
      </c>
      <c r="CU123" s="175">
        <v>0</v>
      </c>
      <c r="CV123" s="175">
        <f>(INDEX('SV calc_ignore'!$J$10:$J$1341,12*Output!A123-0))*(A123&gt;1)*($CV$21)</f>
        <v>0</v>
      </c>
      <c r="CW123" s="66">
        <f>((INDEX('SV calc_ignore'!$J$10:$J$1341,12*Output!A123-0))+(INDEX('SV calc_ignore'!$O$10:$O$1351,12*Output!A123-0))*(A123&lt;'SV calc_ignore'!$Q$5))*(A123&gt;1)*($CW$21)</f>
        <v>0</v>
      </c>
      <c r="CX123" s="175">
        <f>(INDEX('SV calc_ignore'!$J$10:$J$1341,12*Output!A123-0))*(A123&gt;1)*($CX$21)</f>
        <v>0</v>
      </c>
      <c r="CY123" s="175">
        <f>(INDEX('SV calc_ignore'!$Q$10:$Q$1341,12*Output!A123-0))*(AND(A123&gt;1,R123&lt;20))*($CY$21)</f>
        <v>0</v>
      </c>
      <c r="CZ123" s="175">
        <f t="shared" si="87"/>
        <v>0</v>
      </c>
      <c r="DE123" s="43">
        <f>IF($DE$23,0,VLOOKUP(IF(A123&lt;=DP,DJ123,DI123),SSV!$B$6:$C$116,2,FALSE)*VLOOKUP(AnnuityOption,'All Options'!$AB$36:$AC$47,2,FALSE)*VLOOKUP('All Options'!$E$22,'Valid Data-GPG'!$B$130:$F$134,MATCH('All Options'!$E$17,'Valid Data-GPG'!$B$130:$F$130,0),0)*'All Options'!$E$17)*(IF(AND(Select="Deferred Annuity",AnnuityOption="Life Annuity"),A123&lt;=DP,1))</f>
        <v>3274327.0531593515</v>
      </c>
      <c r="DF123" s="43">
        <f>IF($DF$23,0,IF($DQ$25,DQ123,IF($DR$25,DR123,VLOOKUP(IF(A123&lt;=DP,DJ123,DI123),SSV!$G$6:$H$116,2,FALSE)*SUM($B$27:B123))))</f>
        <v>1006161.5</v>
      </c>
      <c r="DG123" s="43" t="e">
        <f>IF(A123&lt;=DP,VLOOKUP(DP-A122,SSV!$T$6:$U$15,2,FALSE),1)</f>
        <v>#N/A</v>
      </c>
      <c r="DH123" s="282" t="e">
        <f t="shared" ref="DH123:DH137" si="102">(IF(A123&lt;=DP,(INDEX($DE$27:$DE$67,DP)+INDEX($DF$27:$DF$67,DP))*IF(Select="Immediate Annuity",1,DG123),DE123+DF123))*(IF(PremiumType="Regular Premium",DU123,1))*(IF(PremiumType="Single Premium",A123&gt;0,A123&gt;=2))</f>
        <v>#VALUE!</v>
      </c>
      <c r="DI123" s="43">
        <f>IF($DM$26,MIN(Age,'All Options'!$E$21)+A122,IF($DN$26,(Age+A122)-Age+60,IF($DO$26,(Age+A122)-Age+55,Age+A122)))</f>
        <v>60</v>
      </c>
      <c r="DJ123" s="279">
        <f>IF($DM$26,MIN(Age+A123,'All Options'!$E$21+A123),IF($DN$26,(Age+A123)-(Age+$A$27)+60,IF($DO$26,(Age+A123)-(Age+$A$27)+55,Age+A123)))</f>
        <v>60</v>
      </c>
      <c r="DP123" s="43">
        <f t="shared" si="88"/>
        <v>0</v>
      </c>
      <c r="DQ123" s="43">
        <f>IFERROR(VLOOKUP(IF(A123&lt;=DP,DJ123,DI123),SSV!$K$6:$L$91,2,FALSE)*SUM($B$27:B123),0)*($DQ$25)</f>
        <v>0</v>
      </c>
      <c r="DR123" s="43">
        <f>IFERROR(VLOOKUP(IF(A123&lt;=DP,DJ123,DI123),SSV!$O$6:$P$95,2,FALSE)*SUM($B$27:B123),0)*($DR$25)</f>
        <v>0</v>
      </c>
      <c r="DU123" s="175">
        <f t="shared" ref="DU123:DU137" si="103">(MIN(A123,PPT)/PPT)*(A123&gt;=2)</f>
        <v>0</v>
      </c>
    </row>
    <row r="124" spans="1:125" x14ac:dyDescent="0.2">
      <c r="A124" s="146">
        <f t="shared" ref="A124:A137" si="104">(A123+1)*(K124&lt;=110)</f>
        <v>0</v>
      </c>
      <c r="B124" s="670">
        <f>IF(PremiumType="Regular Premium",'All Options'!$E$18*'All Options'!$E$22*(AND(Output!A124&lt;=PPT,A124&gt;=1)),'All Options'!$E$18*(A124=1))</f>
        <v>0</v>
      </c>
      <c r="C124" s="671"/>
      <c r="D124" s="103" t="e">
        <f>((VLOOKUP(CONCATENATE($D$14,$D$15),'All Options'!$AB$36:$AC$47,4,0)*VLOOKUP('All Options'!$E$22,'Valid Data-GPG'!$B$130:$F$134,MATCH('All Options'!$E$17,'Valid Data-GPG'!$B$130:$F$130,0),0)*'All Options'!$E$17)*IF(Select="Deferred Annuity",A124&gt;DP,1)+AE124+AF124*AG124*$AG$21)*(A124&gt;0)</f>
        <v>#N/A</v>
      </c>
      <c r="E124" s="103">
        <v>0</v>
      </c>
      <c r="F124" s="103" t="e">
        <f t="shared" si="71"/>
        <v>#N/A</v>
      </c>
      <c r="G124" s="103">
        <f t="shared" si="89"/>
        <v>0</v>
      </c>
      <c r="H124" s="285">
        <f t="shared" si="72"/>
        <v>0</v>
      </c>
      <c r="I124" s="103">
        <f t="shared" si="73"/>
        <v>0</v>
      </c>
      <c r="K124" s="175" t="str">
        <f t="shared" ref="K124:K137" si="105">IF(K123="","",IF(K123+1&gt;110,"",K123+1))</f>
        <v/>
      </c>
      <c r="L124" s="175"/>
      <c r="M124" s="175"/>
      <c r="N124" s="175"/>
      <c r="O124" s="175"/>
      <c r="P124" s="175"/>
      <c r="Q124" s="175"/>
      <c r="R124" s="175">
        <f t="shared" ref="R124:R137" si="106">IF(AND(AG124,AF124&gt;0),R123+1,0)</f>
        <v>0</v>
      </c>
      <c r="AB124" s="175" t="e">
        <f>(VLOOKUP(CONCATENATE($D$14,$D$15),'All Options'!$AB$36:$AC$47,4,0)*VLOOKUP('All Options'!$E$22,'Valid Data-GPG'!$B$130:$F$134,MATCH('All Options'!$E$17,'Valid Data-GPG'!$B$130:$F$130,0),0)*'All Options'!$E$17)*IF(Select="Deferred Annuity",A124&gt;DP,1)*(A124&gt;0)</f>
        <v>#N/A</v>
      </c>
      <c r="AC124" s="175">
        <f t="shared" si="90"/>
        <v>0</v>
      </c>
      <c r="AD124" s="175">
        <f>SUM($AC$26:AC124)</f>
        <v>0</v>
      </c>
      <c r="AE124" s="175">
        <f t="shared" si="91"/>
        <v>0</v>
      </c>
      <c r="AF124" s="175">
        <f t="shared" si="92"/>
        <v>0</v>
      </c>
      <c r="AG124" s="175" t="b">
        <f>(SUM($AF$26:AF124)&lt;=$AB$17)</f>
        <v>0</v>
      </c>
      <c r="AY124" s="175"/>
      <c r="AZ124" s="66">
        <f>((MAX((SUM($B$26:C124)+(VLOOKUP($AZ$25,'All Options'!$AB$36:$AC$46,2,0)*VLOOKUP('All Options'!$E$22,'Valid Data-GPG'!$B$130:$F$134,MATCH('All Options'!$E$17,'Valid Data-GPG'!$B$130:$F$130,0),0)*'All Options'!$E$17)*(IF(A124&lt;=DP,A124,0))),105%*SUM($B$26:C124)))*(AND(A124&lt;&gt;0,Output!A124&lt;=DP))+(0)*(A124&gt;DP))*$AZ$21</f>
        <v>0</v>
      </c>
      <c r="BA124" s="175" t="e">
        <f>((MAX((SUM($B$26:C124)+(VLOOKUP($BA$25,'All Options'!$AB$36:$AC$46,2,0)*VLOOKUP('All Options'!$E$22,'Valid Data-GPG'!$B$130:$F$134,MATCH('All Options'!$E$17,'Valid Data-GPG'!$B$130:$F$130,0),0)*'All Options'!$E$17)*(IF(A124&lt;=DP,A124,0))),105%*SUM($B$26:C124)))*(Output!A124&lt;=DP)
+MAX((SUM($B$26:C124)+(VLOOKUP($BA$25,'All Options'!$AB$36:$AC$46,2,0)*VLOOKUP('All Options'!$E$22,'Valid Data-GPG'!$B$130:$F$134,MATCH('All Options'!$E$17,'Valid Data-GPG'!$B$130:$F$130,0),0)*'All Options'!$E$17)*DP-D124*(A124-DP)),SUM($B$26:C124))*(A124&gt;DP))*$BA$21</f>
        <v>#N/A</v>
      </c>
      <c r="BB124" s="175">
        <f>((MAX(($AB$17+(VLOOKUP($BB$25,'All Options'!$AB$36:$AC$46,2,0)*VLOOKUP('All Options'!$E$22,'Valid Data-GPG'!$B$130:$F$134,MATCH('All Options'!$E$17,'Valid Data-GPG'!$B$130:$F$130,0),0)*'All Options'!$E$17)*(IF(A124&lt;=DP,A124,0))),105%*$AB$17))*(Output!A124&lt;=DP)+(0)*(A124&gt;DP))*$BB$21</f>
        <v>0</v>
      </c>
      <c r="BC124" s="175" t="e">
        <f>((MAX(($AB$17+(VLOOKUP($BC$25,'All Options'!$AB$36:$AC$46,2,0)*VLOOKUP('All Options'!$E$22,'Valid Data-GPG'!$B$130:$F$134,MATCH('All Options'!$E$17,'Valid Data-GPG'!$B$130:$F$130,0),0)*'All Options'!$E$17)*(IF(A124&lt;=DP,A124,0))),105%*$AB$17))*(Output!A124&lt;=DP)+
MAX(($AB$17+(VLOOKUP($BC$25,'All Options'!$AB$36:$AC$46,2,0)*VLOOKUP('All Options'!$E$22,'Valid Data-GPG'!$B$130:$F$134,MATCH('All Options'!$E$17,'Valid Data-GPG'!$B$130:$F$130,0),0)*'All Options'!$E$17)*DP-D124*(A124-DP)),$AB$17)*(A124&gt;DP))*$BC$21</f>
        <v>#N/A</v>
      </c>
      <c r="BD124" s="175">
        <f ca="1">IFERROR((MAX(($AB$17+(VLOOKUP($BD$25,'All Options'!$AB$36:$AC$46,2,0)*VLOOKUP('All Options'!$E$22,'Valid Data-GPG'!$B$130:$F$134,MATCH('All Options'!$E$17,'Valid Data-GPG'!$B$130:$F$130,0),0)*'All Options'!$E$17)*(IF(A124&lt;=DP,A124,0))),105%*$AB$17))*(Output!A124&lt;=DP)
+MAX(($AB$17+(VLOOKUP($BD$25,'All Options'!$AB$36:$AC$46,2,0)*VLOOKUP('All Options'!$E$22,'Valid Data-GPG'!$B$130:$F$134,MATCH('All Options'!$E$17,'Valid Data-GPG'!$B$130:$F$130,0),0)*'All Options'!$E$17)*DP-D124*(A124-DP)),$AB$17)*(A124&gt;DP),0)*$BD$21</f>
        <v>0</v>
      </c>
      <c r="BE124" s="66">
        <f>IFERROR((MAX(($AB$17+(VLOOKUP($BE$25,'All Options'!$AB$36:$AC$46,2,0)*VLOOKUP('All Options'!$E$22,'Valid Data-GPG'!$B$130:$F$134,MATCH('All Options'!$E$17,'Valid Data-GPG'!$B$130:$F$130,0),0)*'All Options'!$E$17)*(IF(A124&lt;=DP,A124,0))),105%*$AB$17))*(Output!A124&lt;=DP)
+(MAX($AB$17+(VLOOKUP($BE$25,'All Options'!$AB$36:$AC$46,2,0)*VLOOKUP('All Options'!$E$22,'Valid Data-GPG'!$B$130:$F$134,MATCH('All Options'!$E$17,'Valid Data-GPG'!$B$130:$F$130,0),0)*'All Options'!$E$17)*DP-AB124*(A124-DP),$AB$17)*(MAX(A124&lt;=25,K124&lt;85)))*(A124&gt;DP),0)*$BE$21</f>
        <v>0</v>
      </c>
      <c r="BF124" s="175">
        <f>IFERROR((MAX(($AB$17+(VLOOKUP($BF$25,'All Options'!$AB$36:$AC$46,2,0)*VLOOKUP('All Options'!$E$22,'Valid Data-GPG'!$B$130:$F$134,MATCH('All Options'!$E$17,'Valid Data-GPG'!$B$130:$F$130,0),0)*'All Options'!$E$17)*(IF(A124&lt;=DP,A124,0))),105%*$AB$17))*(Output!A124&lt;=DP)
+(MAX($AB$17+(VLOOKUP($BF$25,'All Options'!$AB$36:$AC$46,2,0)*VLOOKUP('All Options'!$E$22,'Valid Data-GPG'!$B$130:$F$134,MATCH('All Options'!$E$17,'Valid Data-GPG'!$B$130:$F$130,0),0)*'All Options'!$E$17)*DP-AB124*(A124-DP),$AB$17)-SUM($AF$26:AF124)*AG124)*(A124&gt;DP)*AG124,0)*$BF$21</f>
        <v>0</v>
      </c>
      <c r="BG124" s="175">
        <f t="shared" si="76"/>
        <v>0</v>
      </c>
      <c r="BH124" s="182">
        <f t="shared" si="93"/>
        <v>5000000</v>
      </c>
      <c r="BI124" s="175">
        <f t="shared" si="77"/>
        <v>0</v>
      </c>
      <c r="BJ124" s="175">
        <f t="shared" si="78"/>
        <v>0</v>
      </c>
      <c r="BK124" s="175">
        <f t="shared" si="79"/>
        <v>0</v>
      </c>
      <c r="BL124" s="175">
        <f t="shared" si="80"/>
        <v>0</v>
      </c>
      <c r="BM124" s="175">
        <f t="shared" si="81"/>
        <v>0</v>
      </c>
      <c r="BN124" s="175">
        <f t="shared" si="82"/>
        <v>0</v>
      </c>
      <c r="BO124" s="182">
        <f t="shared" si="94"/>
        <v>0</v>
      </c>
      <c r="BP124" s="182">
        <f t="shared" si="95"/>
        <v>0</v>
      </c>
      <c r="BQ124" s="182">
        <f>MAX($AB$17-SUM($AF$26:AF124),0)*$BQ$21</f>
        <v>0</v>
      </c>
      <c r="BS124" s="175">
        <f t="shared" si="96"/>
        <v>0</v>
      </c>
      <c r="BT124" s="175">
        <f>IFERROR(IF(A124&lt;=1,0,VLOOKUP(DP,'Valid Data-GPG'!$A$116:$J$122,MATCH(Output!A124,'Valid Data-GPG'!$A$116:$J$116,0),FALSE)*SUM($B$26:C124))*(A124&lt;=DP),0)*$BT$21</f>
        <v>0</v>
      </c>
      <c r="BU124" s="175">
        <f>IFERROR(IF(A124&lt;=1,0,VLOOKUP(DP,'Valid Data-GPG'!$A$116:$J$122,MATCH(Output!A124,'Valid Data-GPG'!$A$116:$J$116,0),FALSE)*SUM($B$26:C124))*(A124&lt;=DP),0)*$BU$21</f>
        <v>0</v>
      </c>
      <c r="BV124" s="175">
        <f t="shared" si="97"/>
        <v>0</v>
      </c>
      <c r="BW124" s="175">
        <f t="shared" si="98"/>
        <v>0</v>
      </c>
      <c r="BX124" s="175">
        <f t="shared" si="99"/>
        <v>0</v>
      </c>
      <c r="BY124" s="175">
        <f t="shared" si="100"/>
        <v>0</v>
      </c>
      <c r="BZ124" s="175">
        <f t="shared" si="101"/>
        <v>0</v>
      </c>
      <c r="CA124" s="175">
        <f>(INDEX('SV calc_ignore'!$J$10:$J$1341,12*Output!A124-0))*BS124</f>
        <v>0</v>
      </c>
      <c r="CB124" s="175">
        <f t="shared" si="83"/>
        <v>0</v>
      </c>
      <c r="CC124" s="175">
        <f>(INDEX('SV calc_ignore'!$J$10:$J$1341,12*Output!A124-0))*BS124</f>
        <v>0</v>
      </c>
      <c r="CD124" s="175">
        <f t="shared" si="84"/>
        <v>0</v>
      </c>
      <c r="CE124" s="66">
        <f>(INDEX('SV calc_ignore'!$J$10:$J$1341,12*Output!A124-0))*($CE$21)</f>
        <v>0</v>
      </c>
      <c r="CF124" s="175">
        <f t="shared" si="85"/>
        <v>0</v>
      </c>
      <c r="CG124" s="175">
        <f>(INDEX('SV calc_ignore'!$J$10:$J$1341,12*Output!A124-0))*($CG$21)*(A124&gt;1)</f>
        <v>0</v>
      </c>
      <c r="CH124" s="175">
        <f>(INDEX('SV calc_ignore'!$J$10:$J$1341,12*Output!A124-0))*($CH$21)*(A124&gt;1)</f>
        <v>0</v>
      </c>
      <c r="CI124" s="175"/>
      <c r="CJ124" s="66">
        <f>(INDEX('SV calc_ignore'!$J$10:$J$1341,12*Output!A124-0))*($CJ$21)*(A124&gt;1)</f>
        <v>0</v>
      </c>
      <c r="CK124" s="66">
        <f>(INDEX('SV calc_ignore'!$Q$10:$Q$1341,12*Output!A124-0))*(AND(A124&gt;1,R124&lt;20))*($CK$21)</f>
        <v>0</v>
      </c>
      <c r="CL124" s="66">
        <f t="shared" si="86"/>
        <v>0</v>
      </c>
      <c r="CM124" s="175">
        <f>((INDEX('SV calc_ignore'!$J$10:$J$1341,12*Output!A124-0))+(INDEX('SV calc_ignore'!$O$10:$O$1341,12*Output!A124-0))*(A124&lt;'SV calc_ignore'!$Q$5))*(A124&gt;1)*($CM$21)</f>
        <v>0</v>
      </c>
      <c r="CN124" s="175">
        <v>0</v>
      </c>
      <c r="CO124" s="175">
        <f>(INDEX('SV calc_ignore'!$J$10:$J$1341,12*Output!A124-0))*(A124&gt;1)*($CO$21)</f>
        <v>0</v>
      </c>
      <c r="CP124" s="175">
        <v>0</v>
      </c>
      <c r="CQ124" s="175">
        <v>0</v>
      </c>
      <c r="CR124" s="175">
        <v>0</v>
      </c>
      <c r="CS124" s="175">
        <v>0</v>
      </c>
      <c r="CT124" s="175">
        <v>0</v>
      </c>
      <c r="CU124" s="175">
        <v>0</v>
      </c>
      <c r="CV124" s="175">
        <f>(INDEX('SV calc_ignore'!$J$10:$J$1341,12*Output!A124-0))*(A124&gt;1)*($CV$21)</f>
        <v>0</v>
      </c>
      <c r="CW124" s="66">
        <f>((INDEX('SV calc_ignore'!$J$10:$J$1341,12*Output!A124-0))+(INDEX('SV calc_ignore'!$O$10:$O$1351,12*Output!A124-0))*(A124&lt;'SV calc_ignore'!$Q$5))*(A124&gt;1)*($CW$21)</f>
        <v>0</v>
      </c>
      <c r="CX124" s="175">
        <f>(INDEX('SV calc_ignore'!$J$10:$J$1341,12*Output!A124-0))*(A124&gt;1)*($CX$21)</f>
        <v>0</v>
      </c>
      <c r="CY124" s="175">
        <f>(INDEX('SV calc_ignore'!$Q$10:$Q$1341,12*Output!A124-0))*(AND(A124&gt;1,R124&lt;20))*($CY$21)</f>
        <v>0</v>
      </c>
      <c r="CZ124" s="175">
        <f t="shared" si="87"/>
        <v>0</v>
      </c>
      <c r="DE124" s="43">
        <f>IF($DE$23,0,VLOOKUP(IF(A124&lt;=DP,DJ124,DI124),SSV!$B$6:$C$116,2,FALSE)*VLOOKUP(AnnuityOption,'All Options'!$AB$36:$AC$47,2,FALSE)*VLOOKUP('All Options'!$E$22,'Valid Data-GPG'!$B$130:$F$134,MATCH('All Options'!$E$17,'Valid Data-GPG'!$B$130:$F$130,0),0)*'All Options'!$E$17)*(IF(AND(Select="Deferred Annuity",AnnuityOption="Life Annuity"),A124&lt;=DP,1))</f>
        <v>3274327.0531593515</v>
      </c>
      <c r="DF124" s="43">
        <f>IF($DF$23,0,IF($DQ$25,DQ124,IF($DR$25,DR124,VLOOKUP(IF(A124&lt;=DP,DJ124,DI124),SSV!$G$6:$H$116,2,FALSE)*SUM($B$27:B124))))</f>
        <v>1006161.5</v>
      </c>
      <c r="DG124" s="43" t="e">
        <f>IF(A124&lt;=DP,VLOOKUP(DP-A123,SSV!$T$6:$U$15,2,FALSE),1)</f>
        <v>#N/A</v>
      </c>
      <c r="DH124" s="282" t="e">
        <f t="shared" si="102"/>
        <v>#VALUE!</v>
      </c>
      <c r="DI124" s="43">
        <f>IF($DM$26,MIN(Age,'All Options'!$E$21)+A123,IF($DN$26,(Age+A123)-Age+60,IF($DO$26,(Age+A123)-Age+55,Age+A123)))</f>
        <v>60</v>
      </c>
      <c r="DJ124" s="279">
        <f>IF($DM$26,MIN(Age+A124,'All Options'!$E$21+A124),IF($DN$26,(Age+A124)-(Age+$A$27)+60,IF($DO$26,(Age+A124)-(Age+$A$27)+55,Age+A124)))</f>
        <v>60</v>
      </c>
      <c r="DP124" s="43">
        <f t="shared" si="88"/>
        <v>0</v>
      </c>
      <c r="DQ124" s="43">
        <f>IFERROR(VLOOKUP(IF(A124&lt;=DP,DJ124,DI124),SSV!$K$6:$L$91,2,FALSE)*SUM($B$27:B124),0)*($DQ$25)</f>
        <v>0</v>
      </c>
      <c r="DR124" s="43">
        <f>IFERROR(VLOOKUP(IF(A124&lt;=DP,DJ124,DI124),SSV!$O$6:$P$95,2,FALSE)*SUM($B$27:B124),0)*($DR$25)</f>
        <v>0</v>
      </c>
      <c r="DU124" s="175">
        <f t="shared" si="103"/>
        <v>0</v>
      </c>
    </row>
    <row r="125" spans="1:125" x14ac:dyDescent="0.2">
      <c r="A125" s="146">
        <f t="shared" si="104"/>
        <v>0</v>
      </c>
      <c r="B125" s="670">
        <f>IF(PremiumType="Regular Premium",'All Options'!$E$18*'All Options'!$E$22*(AND(Output!A125&lt;=PPT,A125&gt;=1)),'All Options'!$E$18*(A125=1))</f>
        <v>0</v>
      </c>
      <c r="C125" s="671"/>
      <c r="D125" s="103" t="e">
        <f>((VLOOKUP(CONCATENATE($D$14,$D$15),'All Options'!$AB$36:$AC$47,4,0)*VLOOKUP('All Options'!$E$22,'Valid Data-GPG'!$B$130:$F$134,MATCH('All Options'!$E$17,'Valid Data-GPG'!$B$130:$F$130,0),0)*'All Options'!$E$17)*IF(Select="Deferred Annuity",A125&gt;DP,1)+AE125+AF125*AG125*$AG$21)*(A125&gt;0)</f>
        <v>#N/A</v>
      </c>
      <c r="E125" s="103">
        <v>0</v>
      </c>
      <c r="F125" s="103" t="e">
        <f t="shared" si="71"/>
        <v>#N/A</v>
      </c>
      <c r="G125" s="103">
        <f t="shared" si="89"/>
        <v>0</v>
      </c>
      <c r="H125" s="285">
        <f t="shared" si="72"/>
        <v>0</v>
      </c>
      <c r="I125" s="103">
        <f t="shared" si="73"/>
        <v>0</v>
      </c>
      <c r="K125" s="175" t="str">
        <f t="shared" si="105"/>
        <v/>
      </c>
      <c r="L125" s="175"/>
      <c r="M125" s="175"/>
      <c r="N125" s="175"/>
      <c r="O125" s="175"/>
      <c r="P125" s="175"/>
      <c r="Q125" s="175"/>
      <c r="R125" s="175">
        <f t="shared" si="106"/>
        <v>0</v>
      </c>
      <c r="AB125" s="175" t="e">
        <f>(VLOOKUP(CONCATENATE($D$14,$D$15),'All Options'!$AB$36:$AC$47,4,0)*VLOOKUP('All Options'!$E$22,'Valid Data-GPG'!$B$130:$F$134,MATCH('All Options'!$E$17,'Valid Data-GPG'!$B$130:$F$130,0),0)*'All Options'!$E$17)*IF(Select="Deferred Annuity",A125&gt;DP,1)*(A125&gt;0)</f>
        <v>#N/A</v>
      </c>
      <c r="AC125" s="175">
        <f t="shared" si="90"/>
        <v>0</v>
      </c>
      <c r="AD125" s="175">
        <f>SUM($AC$26:AC125)</f>
        <v>0</v>
      </c>
      <c r="AE125" s="175">
        <f t="shared" si="91"/>
        <v>0</v>
      </c>
      <c r="AF125" s="175">
        <f t="shared" si="92"/>
        <v>0</v>
      </c>
      <c r="AG125" s="175" t="b">
        <f>(SUM($AF$26:AF125)&lt;=$AB$17)</f>
        <v>0</v>
      </c>
      <c r="AY125" s="175"/>
      <c r="AZ125" s="66">
        <f>((MAX((SUM($B$26:C125)+(VLOOKUP($AZ$25,'All Options'!$AB$36:$AC$46,2,0)*VLOOKUP('All Options'!$E$22,'Valid Data-GPG'!$B$130:$F$134,MATCH('All Options'!$E$17,'Valid Data-GPG'!$B$130:$F$130,0),0)*'All Options'!$E$17)*(IF(A125&lt;=DP,A125,0))),105%*SUM($B$26:C125)))*(AND(A125&lt;&gt;0,Output!A125&lt;=DP))+(0)*(A125&gt;DP))*$AZ$21</f>
        <v>0</v>
      </c>
      <c r="BA125" s="175" t="e">
        <f>((MAX((SUM($B$26:C125)+(VLOOKUP($BA$25,'All Options'!$AB$36:$AC$46,2,0)*VLOOKUP('All Options'!$E$22,'Valid Data-GPG'!$B$130:$F$134,MATCH('All Options'!$E$17,'Valid Data-GPG'!$B$130:$F$130,0),0)*'All Options'!$E$17)*(IF(A125&lt;=DP,A125,0))),105%*SUM($B$26:C125)))*(Output!A125&lt;=DP)
+MAX((SUM($B$26:C125)+(VLOOKUP($BA$25,'All Options'!$AB$36:$AC$46,2,0)*VLOOKUP('All Options'!$E$22,'Valid Data-GPG'!$B$130:$F$134,MATCH('All Options'!$E$17,'Valid Data-GPG'!$B$130:$F$130,0),0)*'All Options'!$E$17)*DP-D125*(A125-DP)),SUM($B$26:C125))*(A125&gt;DP))*$BA$21</f>
        <v>#N/A</v>
      </c>
      <c r="BB125" s="175">
        <f>((MAX(($AB$17+(VLOOKUP($BB$25,'All Options'!$AB$36:$AC$46,2,0)*VLOOKUP('All Options'!$E$22,'Valid Data-GPG'!$B$130:$F$134,MATCH('All Options'!$E$17,'Valid Data-GPG'!$B$130:$F$130,0),0)*'All Options'!$E$17)*(IF(A125&lt;=DP,A125,0))),105%*$AB$17))*(Output!A125&lt;=DP)+(0)*(A125&gt;DP))*$BB$21</f>
        <v>0</v>
      </c>
      <c r="BC125" s="175" t="e">
        <f>((MAX(($AB$17+(VLOOKUP($BC$25,'All Options'!$AB$36:$AC$46,2,0)*VLOOKUP('All Options'!$E$22,'Valid Data-GPG'!$B$130:$F$134,MATCH('All Options'!$E$17,'Valid Data-GPG'!$B$130:$F$130,0),0)*'All Options'!$E$17)*(IF(A125&lt;=DP,A125,0))),105%*$AB$17))*(Output!A125&lt;=DP)+
MAX(($AB$17+(VLOOKUP($BC$25,'All Options'!$AB$36:$AC$46,2,0)*VLOOKUP('All Options'!$E$22,'Valid Data-GPG'!$B$130:$F$134,MATCH('All Options'!$E$17,'Valid Data-GPG'!$B$130:$F$130,0),0)*'All Options'!$E$17)*DP-D125*(A125-DP)),$AB$17)*(A125&gt;DP))*$BC$21</f>
        <v>#N/A</v>
      </c>
      <c r="BD125" s="175">
        <f ca="1">IFERROR((MAX(($AB$17+(VLOOKUP($BD$25,'All Options'!$AB$36:$AC$46,2,0)*VLOOKUP('All Options'!$E$22,'Valid Data-GPG'!$B$130:$F$134,MATCH('All Options'!$E$17,'Valid Data-GPG'!$B$130:$F$130,0),0)*'All Options'!$E$17)*(IF(A125&lt;=DP,A125,0))),105%*$AB$17))*(Output!A125&lt;=DP)
+MAX(($AB$17+(VLOOKUP($BD$25,'All Options'!$AB$36:$AC$46,2,0)*VLOOKUP('All Options'!$E$22,'Valid Data-GPG'!$B$130:$F$134,MATCH('All Options'!$E$17,'Valid Data-GPG'!$B$130:$F$130,0),0)*'All Options'!$E$17)*DP-D125*(A125-DP)),$AB$17)*(A125&gt;DP),0)*$BD$21</f>
        <v>0</v>
      </c>
      <c r="BE125" s="66">
        <f>IFERROR((MAX(($AB$17+(VLOOKUP($BE$25,'All Options'!$AB$36:$AC$46,2,0)*VLOOKUP('All Options'!$E$22,'Valid Data-GPG'!$B$130:$F$134,MATCH('All Options'!$E$17,'Valid Data-GPG'!$B$130:$F$130,0),0)*'All Options'!$E$17)*(IF(A125&lt;=DP,A125,0))),105%*$AB$17))*(Output!A125&lt;=DP)
+(MAX($AB$17+(VLOOKUP($BE$25,'All Options'!$AB$36:$AC$46,2,0)*VLOOKUP('All Options'!$E$22,'Valid Data-GPG'!$B$130:$F$134,MATCH('All Options'!$E$17,'Valid Data-GPG'!$B$130:$F$130,0),0)*'All Options'!$E$17)*DP-AB125*(A125-DP),$AB$17)*(MAX(A125&lt;=25,K125&lt;85)))*(A125&gt;DP),0)*$BE$21</f>
        <v>0</v>
      </c>
      <c r="BF125" s="175">
        <f>IFERROR((MAX(($AB$17+(VLOOKUP($BF$25,'All Options'!$AB$36:$AC$46,2,0)*VLOOKUP('All Options'!$E$22,'Valid Data-GPG'!$B$130:$F$134,MATCH('All Options'!$E$17,'Valid Data-GPG'!$B$130:$F$130,0),0)*'All Options'!$E$17)*(IF(A125&lt;=DP,A125,0))),105%*$AB$17))*(Output!A125&lt;=DP)
+(MAX($AB$17+(VLOOKUP($BF$25,'All Options'!$AB$36:$AC$46,2,0)*VLOOKUP('All Options'!$E$22,'Valid Data-GPG'!$B$130:$F$134,MATCH('All Options'!$E$17,'Valid Data-GPG'!$B$130:$F$130,0),0)*'All Options'!$E$17)*DP-AB125*(A125-DP),$AB$17)-SUM($AF$26:AF125)*AG125)*(A125&gt;DP)*AG125,0)*$BF$21</f>
        <v>0</v>
      </c>
      <c r="BG125" s="175">
        <f t="shared" si="76"/>
        <v>0</v>
      </c>
      <c r="BH125" s="182">
        <f t="shared" si="93"/>
        <v>5000000</v>
      </c>
      <c r="BI125" s="175">
        <f t="shared" si="77"/>
        <v>0</v>
      </c>
      <c r="BJ125" s="175">
        <f t="shared" si="78"/>
        <v>0</v>
      </c>
      <c r="BK125" s="175">
        <f t="shared" si="79"/>
        <v>0</v>
      </c>
      <c r="BL125" s="175">
        <f t="shared" si="80"/>
        <v>0</v>
      </c>
      <c r="BM125" s="175">
        <f t="shared" si="81"/>
        <v>0</v>
      </c>
      <c r="BN125" s="175">
        <f t="shared" si="82"/>
        <v>0</v>
      </c>
      <c r="BO125" s="182">
        <f t="shared" si="94"/>
        <v>0</v>
      </c>
      <c r="BP125" s="182">
        <f t="shared" si="95"/>
        <v>0</v>
      </c>
      <c r="BQ125" s="182">
        <f>MAX($AB$17-SUM($AF$26:AF125),0)*$BQ$21</f>
        <v>0</v>
      </c>
      <c r="BS125" s="175">
        <f t="shared" si="96"/>
        <v>0</v>
      </c>
      <c r="BT125" s="175">
        <f>IFERROR(IF(A125&lt;=1,0,VLOOKUP(DP,'Valid Data-GPG'!$A$116:$J$122,MATCH(Output!A125,'Valid Data-GPG'!$A$116:$J$116,0),FALSE)*SUM($B$26:C125))*(A125&lt;=DP),0)*$BT$21</f>
        <v>0</v>
      </c>
      <c r="BU125" s="175">
        <f>IFERROR(IF(A125&lt;=1,0,VLOOKUP(DP,'Valid Data-GPG'!$A$116:$J$122,MATCH(Output!A125,'Valid Data-GPG'!$A$116:$J$116,0),FALSE)*SUM($B$26:C125))*(A125&lt;=DP),0)*$BU$21</f>
        <v>0</v>
      </c>
      <c r="BV125" s="175">
        <f t="shared" si="97"/>
        <v>0</v>
      </c>
      <c r="BW125" s="175">
        <f t="shared" si="98"/>
        <v>0</v>
      </c>
      <c r="BX125" s="175">
        <f t="shared" si="99"/>
        <v>0</v>
      </c>
      <c r="BY125" s="175">
        <f t="shared" si="100"/>
        <v>0</v>
      </c>
      <c r="BZ125" s="175">
        <f t="shared" si="101"/>
        <v>0</v>
      </c>
      <c r="CA125" s="175">
        <f>(INDEX('SV calc_ignore'!$J$10:$J$1341,12*Output!A125-0))*BS125</f>
        <v>0</v>
      </c>
      <c r="CB125" s="175">
        <f t="shared" si="83"/>
        <v>0</v>
      </c>
      <c r="CC125" s="175">
        <f>(INDEX('SV calc_ignore'!$J$10:$J$1341,12*Output!A125-0))*BS125</f>
        <v>0</v>
      </c>
      <c r="CD125" s="175">
        <f t="shared" si="84"/>
        <v>0</v>
      </c>
      <c r="CE125" s="66">
        <f>(INDEX('SV calc_ignore'!$J$10:$J$1341,12*Output!A125-0))*($CE$21)</f>
        <v>0</v>
      </c>
      <c r="CF125" s="175">
        <f t="shared" si="85"/>
        <v>0</v>
      </c>
      <c r="CG125" s="175">
        <f>(INDEX('SV calc_ignore'!$J$10:$J$1341,12*Output!A125-0))*($CG$21)*(A125&gt;1)</f>
        <v>0</v>
      </c>
      <c r="CH125" s="175">
        <f>(INDEX('SV calc_ignore'!$J$10:$J$1341,12*Output!A125-0))*($CH$21)*(A125&gt;1)</f>
        <v>0</v>
      </c>
      <c r="CI125" s="175"/>
      <c r="CJ125" s="66">
        <f>(INDEX('SV calc_ignore'!$J$10:$J$1341,12*Output!A125-0))*($CJ$21)*(A125&gt;1)</f>
        <v>0</v>
      </c>
      <c r="CK125" s="66">
        <f>(INDEX('SV calc_ignore'!$Q$10:$Q$1341,12*Output!A125-0))*(AND(A125&gt;1,R125&lt;20))*($CK$21)</f>
        <v>0</v>
      </c>
      <c r="CL125" s="66">
        <f t="shared" si="86"/>
        <v>0</v>
      </c>
      <c r="CM125" s="175">
        <f>((INDEX('SV calc_ignore'!$J$10:$J$1341,12*Output!A125-0))+(INDEX('SV calc_ignore'!$O$10:$O$1341,12*Output!A125-0))*(A125&lt;'SV calc_ignore'!$Q$5))*(A125&gt;1)*($CM$21)</f>
        <v>0</v>
      </c>
      <c r="CN125" s="175">
        <v>0</v>
      </c>
      <c r="CO125" s="175">
        <f>(INDEX('SV calc_ignore'!$J$10:$J$1341,12*Output!A125-0))*(A125&gt;1)*($CO$21)</f>
        <v>0</v>
      </c>
      <c r="CP125" s="175">
        <v>0</v>
      </c>
      <c r="CQ125" s="175">
        <v>0</v>
      </c>
      <c r="CR125" s="175">
        <v>0</v>
      </c>
      <c r="CS125" s="175">
        <v>0</v>
      </c>
      <c r="CT125" s="175">
        <v>0</v>
      </c>
      <c r="CU125" s="175">
        <v>0</v>
      </c>
      <c r="CV125" s="175">
        <f>(INDEX('SV calc_ignore'!$J$10:$J$1341,12*Output!A125-0))*(A125&gt;1)*($CV$21)</f>
        <v>0</v>
      </c>
      <c r="CW125" s="66">
        <f>((INDEX('SV calc_ignore'!$J$10:$J$1341,12*Output!A125-0))+(INDEX('SV calc_ignore'!$O$10:$O$1351,12*Output!A125-0))*(A125&lt;'SV calc_ignore'!$Q$5))*(A125&gt;1)*($CW$21)</f>
        <v>0</v>
      </c>
      <c r="CX125" s="175">
        <f>(INDEX('SV calc_ignore'!$J$10:$J$1341,12*Output!A125-0))*(A125&gt;1)*($CX$21)</f>
        <v>0</v>
      </c>
      <c r="CY125" s="175">
        <f>(INDEX('SV calc_ignore'!$Q$10:$Q$1341,12*Output!A125-0))*(AND(A125&gt;1,R125&lt;20))*($CY$21)</f>
        <v>0</v>
      </c>
      <c r="CZ125" s="175">
        <f t="shared" si="87"/>
        <v>0</v>
      </c>
      <c r="DE125" s="43">
        <f>IF($DE$23,0,VLOOKUP(IF(A125&lt;=DP,DJ125,DI125),SSV!$B$6:$C$116,2,FALSE)*VLOOKUP(AnnuityOption,'All Options'!$AB$36:$AC$47,2,FALSE)*VLOOKUP('All Options'!$E$22,'Valid Data-GPG'!$B$130:$F$134,MATCH('All Options'!$E$17,'Valid Data-GPG'!$B$130:$F$130,0),0)*'All Options'!$E$17)*(IF(AND(Select="Deferred Annuity",AnnuityOption="Life Annuity"),A125&lt;=DP,1))</f>
        <v>3274327.0531593515</v>
      </c>
      <c r="DF125" s="43">
        <f>IF($DF$23,0,IF($DQ$25,DQ125,IF($DR$25,DR125,VLOOKUP(IF(A125&lt;=DP,DJ125,DI125),SSV!$G$6:$H$116,2,FALSE)*SUM($B$27:B125))))</f>
        <v>1006161.5</v>
      </c>
      <c r="DG125" s="43" t="e">
        <f>IF(A125&lt;=DP,VLOOKUP(DP-A124,SSV!$T$6:$U$15,2,FALSE),1)</f>
        <v>#N/A</v>
      </c>
      <c r="DH125" s="282" t="e">
        <f t="shared" si="102"/>
        <v>#VALUE!</v>
      </c>
      <c r="DI125" s="43">
        <f>IF($DM$26,MIN(Age,'All Options'!$E$21)+A124,IF($DN$26,(Age+A124)-Age+60,IF($DO$26,(Age+A124)-Age+55,Age+A124)))</f>
        <v>60</v>
      </c>
      <c r="DJ125" s="279">
        <f>IF($DM$26,MIN(Age+A125,'All Options'!$E$21+A125),IF($DN$26,(Age+A125)-(Age+$A$27)+60,IF($DO$26,(Age+A125)-(Age+$A$27)+55,Age+A125)))</f>
        <v>60</v>
      </c>
      <c r="DP125" s="43">
        <f t="shared" si="88"/>
        <v>0</v>
      </c>
      <c r="DQ125" s="43">
        <f>IFERROR(VLOOKUP(IF(A125&lt;=DP,DJ125,DI125),SSV!$K$6:$L$91,2,FALSE)*SUM($B$27:B125),0)*($DQ$25)</f>
        <v>0</v>
      </c>
      <c r="DR125" s="43">
        <f>IFERROR(VLOOKUP(IF(A125&lt;=DP,DJ125,DI125),SSV!$O$6:$P$95,2,FALSE)*SUM($B$27:B125),0)*($DR$25)</f>
        <v>0</v>
      </c>
      <c r="DU125" s="175">
        <f t="shared" si="103"/>
        <v>0</v>
      </c>
    </row>
    <row r="126" spans="1:125" x14ac:dyDescent="0.2">
      <c r="A126" s="146">
        <f t="shared" si="104"/>
        <v>0</v>
      </c>
      <c r="B126" s="670">
        <f>IF(PremiumType="Regular Premium",'All Options'!$E$18*'All Options'!$E$22*(AND(Output!A126&lt;=PPT,A126&gt;=1)),'All Options'!$E$18*(A126=1))</f>
        <v>0</v>
      </c>
      <c r="C126" s="671"/>
      <c r="D126" s="103" t="e">
        <f>((VLOOKUP(CONCATENATE($D$14,$D$15),'All Options'!$AB$36:$AC$47,4,0)*VLOOKUP('All Options'!$E$22,'Valid Data-GPG'!$B$130:$F$134,MATCH('All Options'!$E$17,'Valid Data-GPG'!$B$130:$F$130,0),0)*'All Options'!$E$17)*IF(Select="Deferred Annuity",A126&gt;DP,1)+AE126+AF126*AG126*$AG$21)*(A126&gt;0)</f>
        <v>#N/A</v>
      </c>
      <c r="E126" s="103">
        <v>0</v>
      </c>
      <c r="F126" s="103" t="e">
        <f t="shared" si="71"/>
        <v>#N/A</v>
      </c>
      <c r="G126" s="103">
        <f t="shared" si="89"/>
        <v>0</v>
      </c>
      <c r="H126" s="285">
        <f t="shared" si="72"/>
        <v>0</v>
      </c>
      <c r="I126" s="103">
        <f t="shared" si="73"/>
        <v>0</v>
      </c>
      <c r="K126" s="175" t="str">
        <f t="shared" si="105"/>
        <v/>
      </c>
      <c r="L126" s="175"/>
      <c r="M126" s="175"/>
      <c r="N126" s="175"/>
      <c r="O126" s="175"/>
      <c r="P126" s="175"/>
      <c r="Q126" s="175"/>
      <c r="R126" s="175">
        <f t="shared" si="106"/>
        <v>0</v>
      </c>
      <c r="AB126" s="175" t="e">
        <f>(VLOOKUP(CONCATENATE($D$14,$D$15),'All Options'!$AB$36:$AC$47,4,0)*VLOOKUP('All Options'!$E$22,'Valid Data-GPG'!$B$130:$F$134,MATCH('All Options'!$E$17,'Valid Data-GPG'!$B$130:$F$130,0),0)*'All Options'!$E$17)*IF(Select="Deferred Annuity",A126&gt;DP,1)*(A126&gt;0)</f>
        <v>#N/A</v>
      </c>
      <c r="AC126" s="175">
        <f t="shared" si="90"/>
        <v>0</v>
      </c>
      <c r="AD126" s="175">
        <f>SUM($AC$26:AC126)</f>
        <v>0</v>
      </c>
      <c r="AE126" s="175">
        <f t="shared" si="91"/>
        <v>0</v>
      </c>
      <c r="AF126" s="175">
        <f t="shared" si="92"/>
        <v>0</v>
      </c>
      <c r="AG126" s="175" t="b">
        <f>(SUM($AF$26:AF126)&lt;=$AB$17)</f>
        <v>0</v>
      </c>
      <c r="AY126" s="175"/>
      <c r="AZ126" s="66">
        <f>((MAX((SUM($B$26:C126)+(VLOOKUP($AZ$25,'All Options'!$AB$36:$AC$46,2,0)*VLOOKUP('All Options'!$E$22,'Valid Data-GPG'!$B$130:$F$134,MATCH('All Options'!$E$17,'Valid Data-GPG'!$B$130:$F$130,0),0)*'All Options'!$E$17)*(IF(A126&lt;=DP,A126,0))),105%*SUM($B$26:C126)))*(AND(A126&lt;&gt;0,Output!A126&lt;=DP))+(0)*(A126&gt;DP))*$AZ$21</f>
        <v>0</v>
      </c>
      <c r="BA126" s="175" t="e">
        <f>((MAX((SUM($B$26:C126)+(VLOOKUP($BA$25,'All Options'!$AB$36:$AC$46,2,0)*VLOOKUP('All Options'!$E$22,'Valid Data-GPG'!$B$130:$F$134,MATCH('All Options'!$E$17,'Valid Data-GPG'!$B$130:$F$130,0),0)*'All Options'!$E$17)*(IF(A126&lt;=DP,A126,0))),105%*SUM($B$26:C126)))*(Output!A126&lt;=DP)
+MAX((SUM($B$26:C126)+(VLOOKUP($BA$25,'All Options'!$AB$36:$AC$46,2,0)*VLOOKUP('All Options'!$E$22,'Valid Data-GPG'!$B$130:$F$134,MATCH('All Options'!$E$17,'Valid Data-GPG'!$B$130:$F$130,0),0)*'All Options'!$E$17)*DP-D126*(A126-DP)),SUM($B$26:C126))*(A126&gt;DP))*$BA$21</f>
        <v>#N/A</v>
      </c>
      <c r="BB126" s="175">
        <f>((MAX(($AB$17+(VLOOKUP($BB$25,'All Options'!$AB$36:$AC$46,2,0)*VLOOKUP('All Options'!$E$22,'Valid Data-GPG'!$B$130:$F$134,MATCH('All Options'!$E$17,'Valid Data-GPG'!$B$130:$F$130,0),0)*'All Options'!$E$17)*(IF(A126&lt;=DP,A126,0))),105%*$AB$17))*(Output!A126&lt;=DP)+(0)*(A126&gt;DP))*$BB$21</f>
        <v>0</v>
      </c>
      <c r="BC126" s="175" t="e">
        <f>((MAX(($AB$17+(VLOOKUP($BC$25,'All Options'!$AB$36:$AC$46,2,0)*VLOOKUP('All Options'!$E$22,'Valid Data-GPG'!$B$130:$F$134,MATCH('All Options'!$E$17,'Valid Data-GPG'!$B$130:$F$130,0),0)*'All Options'!$E$17)*(IF(A126&lt;=DP,A126,0))),105%*$AB$17))*(Output!A126&lt;=DP)+
MAX(($AB$17+(VLOOKUP($BC$25,'All Options'!$AB$36:$AC$46,2,0)*VLOOKUP('All Options'!$E$22,'Valid Data-GPG'!$B$130:$F$134,MATCH('All Options'!$E$17,'Valid Data-GPG'!$B$130:$F$130,0),0)*'All Options'!$E$17)*DP-D126*(A126-DP)),$AB$17)*(A126&gt;DP))*$BC$21</f>
        <v>#N/A</v>
      </c>
      <c r="BD126" s="175">
        <f ca="1">IFERROR((MAX(($AB$17+(VLOOKUP($BD$25,'All Options'!$AB$36:$AC$46,2,0)*VLOOKUP('All Options'!$E$22,'Valid Data-GPG'!$B$130:$F$134,MATCH('All Options'!$E$17,'Valid Data-GPG'!$B$130:$F$130,0),0)*'All Options'!$E$17)*(IF(A126&lt;=DP,A126,0))),105%*$AB$17))*(Output!A126&lt;=DP)
+MAX(($AB$17+(VLOOKUP($BD$25,'All Options'!$AB$36:$AC$46,2,0)*VLOOKUP('All Options'!$E$22,'Valid Data-GPG'!$B$130:$F$134,MATCH('All Options'!$E$17,'Valid Data-GPG'!$B$130:$F$130,0),0)*'All Options'!$E$17)*DP-D126*(A126-DP)),$AB$17)*(A126&gt;DP),0)*$BD$21</f>
        <v>0</v>
      </c>
      <c r="BE126" s="66">
        <f>IFERROR((MAX(($AB$17+(VLOOKUP($BE$25,'All Options'!$AB$36:$AC$46,2,0)*VLOOKUP('All Options'!$E$22,'Valid Data-GPG'!$B$130:$F$134,MATCH('All Options'!$E$17,'Valid Data-GPG'!$B$130:$F$130,0),0)*'All Options'!$E$17)*(IF(A126&lt;=DP,A126,0))),105%*$AB$17))*(Output!A126&lt;=DP)
+(MAX($AB$17+(VLOOKUP($BE$25,'All Options'!$AB$36:$AC$46,2,0)*VLOOKUP('All Options'!$E$22,'Valid Data-GPG'!$B$130:$F$134,MATCH('All Options'!$E$17,'Valid Data-GPG'!$B$130:$F$130,0),0)*'All Options'!$E$17)*DP-AB126*(A126-DP),$AB$17)*(MAX(A126&lt;=25,K126&lt;85)))*(A126&gt;DP),0)*$BE$21</f>
        <v>0</v>
      </c>
      <c r="BF126" s="175">
        <f>IFERROR((MAX(($AB$17+(VLOOKUP($BF$25,'All Options'!$AB$36:$AC$46,2,0)*VLOOKUP('All Options'!$E$22,'Valid Data-GPG'!$B$130:$F$134,MATCH('All Options'!$E$17,'Valid Data-GPG'!$B$130:$F$130,0),0)*'All Options'!$E$17)*(IF(A126&lt;=DP,A126,0))),105%*$AB$17))*(Output!A126&lt;=DP)
+(MAX($AB$17+(VLOOKUP($BF$25,'All Options'!$AB$36:$AC$46,2,0)*VLOOKUP('All Options'!$E$22,'Valid Data-GPG'!$B$130:$F$134,MATCH('All Options'!$E$17,'Valid Data-GPG'!$B$130:$F$130,0),0)*'All Options'!$E$17)*DP-AB126*(A126-DP),$AB$17)-SUM($AF$26:AF126)*AG126)*(A126&gt;DP)*AG126,0)*$BF$21</f>
        <v>0</v>
      </c>
      <c r="BG126" s="175">
        <f t="shared" si="76"/>
        <v>0</v>
      </c>
      <c r="BH126" s="182">
        <f t="shared" si="93"/>
        <v>5000000</v>
      </c>
      <c r="BI126" s="175">
        <f t="shared" si="77"/>
        <v>0</v>
      </c>
      <c r="BJ126" s="175">
        <f t="shared" si="78"/>
        <v>0</v>
      </c>
      <c r="BK126" s="175">
        <f t="shared" si="79"/>
        <v>0</v>
      </c>
      <c r="BL126" s="175">
        <f t="shared" si="80"/>
        <v>0</v>
      </c>
      <c r="BM126" s="175">
        <f t="shared" si="81"/>
        <v>0</v>
      </c>
      <c r="BN126" s="175">
        <f t="shared" si="82"/>
        <v>0</v>
      </c>
      <c r="BO126" s="182">
        <f t="shared" si="94"/>
        <v>0</v>
      </c>
      <c r="BP126" s="182">
        <f t="shared" si="95"/>
        <v>0</v>
      </c>
      <c r="BQ126" s="182">
        <f>MAX($AB$17-SUM($AF$26:AF126),0)*$BQ$21</f>
        <v>0</v>
      </c>
      <c r="BS126" s="175">
        <f t="shared" si="96"/>
        <v>0</v>
      </c>
      <c r="BT126" s="175">
        <f>IFERROR(IF(A126&lt;=1,0,VLOOKUP(DP,'Valid Data-GPG'!$A$116:$J$122,MATCH(Output!A126,'Valid Data-GPG'!$A$116:$J$116,0),FALSE)*SUM($B$26:C126))*(A126&lt;=DP),0)*$BT$21</f>
        <v>0</v>
      </c>
      <c r="BU126" s="175">
        <f>IFERROR(IF(A126&lt;=1,0,VLOOKUP(DP,'Valid Data-GPG'!$A$116:$J$122,MATCH(Output!A126,'Valid Data-GPG'!$A$116:$J$116,0),FALSE)*SUM($B$26:C126))*(A126&lt;=DP),0)*$BU$21</f>
        <v>0</v>
      </c>
      <c r="BV126" s="175">
        <f t="shared" si="97"/>
        <v>0</v>
      </c>
      <c r="BW126" s="175">
        <f t="shared" si="98"/>
        <v>0</v>
      </c>
      <c r="BX126" s="175">
        <f t="shared" si="99"/>
        <v>0</v>
      </c>
      <c r="BY126" s="175">
        <f t="shared" si="100"/>
        <v>0</v>
      </c>
      <c r="BZ126" s="175">
        <f t="shared" si="101"/>
        <v>0</v>
      </c>
      <c r="CA126" s="175">
        <f>(INDEX('SV calc_ignore'!$J$10:$J$1341,12*Output!A126-0))*BS126</f>
        <v>0</v>
      </c>
      <c r="CB126" s="175">
        <f t="shared" si="83"/>
        <v>0</v>
      </c>
      <c r="CC126" s="175">
        <f>(INDEX('SV calc_ignore'!$J$10:$J$1341,12*Output!A126-0))*BS126</f>
        <v>0</v>
      </c>
      <c r="CD126" s="175">
        <f t="shared" si="84"/>
        <v>0</v>
      </c>
      <c r="CE126" s="66">
        <f>(INDEX('SV calc_ignore'!$J$10:$J$1341,12*Output!A126-0))*($CE$21)</f>
        <v>0</v>
      </c>
      <c r="CF126" s="175">
        <f t="shared" si="85"/>
        <v>0</v>
      </c>
      <c r="CG126" s="175">
        <f>(INDEX('SV calc_ignore'!$J$10:$J$1341,12*Output!A126-0))*($CG$21)*(A126&gt;1)</f>
        <v>0</v>
      </c>
      <c r="CH126" s="175">
        <f>(INDEX('SV calc_ignore'!$J$10:$J$1341,12*Output!A126-0))*($CH$21)*(A126&gt;1)</f>
        <v>0</v>
      </c>
      <c r="CI126" s="175"/>
      <c r="CJ126" s="66">
        <f>(INDEX('SV calc_ignore'!$J$10:$J$1341,12*Output!A126-0))*($CJ$21)*(A126&gt;1)</f>
        <v>0</v>
      </c>
      <c r="CK126" s="66">
        <f>(INDEX('SV calc_ignore'!$Q$10:$Q$1341,12*Output!A126-0))*(AND(A126&gt;1,R126&lt;20))*($CK$21)</f>
        <v>0</v>
      </c>
      <c r="CL126" s="66">
        <f t="shared" si="86"/>
        <v>0</v>
      </c>
      <c r="CM126" s="175">
        <f>((INDEX('SV calc_ignore'!$J$10:$J$1341,12*Output!A126-0))+(INDEX('SV calc_ignore'!$O$10:$O$1341,12*Output!A126-0))*(A126&lt;'SV calc_ignore'!$Q$5))*(A126&gt;1)*($CM$21)</f>
        <v>0</v>
      </c>
      <c r="CN126" s="175">
        <v>0</v>
      </c>
      <c r="CO126" s="175">
        <f>(INDEX('SV calc_ignore'!$J$10:$J$1341,12*Output!A126-0))*(A126&gt;1)*($CO$21)</f>
        <v>0</v>
      </c>
      <c r="CP126" s="175">
        <v>0</v>
      </c>
      <c r="CQ126" s="175">
        <v>0</v>
      </c>
      <c r="CR126" s="175">
        <v>0</v>
      </c>
      <c r="CS126" s="175">
        <v>0</v>
      </c>
      <c r="CT126" s="175">
        <v>0</v>
      </c>
      <c r="CU126" s="175">
        <v>0</v>
      </c>
      <c r="CV126" s="175">
        <f>(INDEX('SV calc_ignore'!$J$10:$J$1341,12*Output!A126-0))*(A126&gt;1)*($CV$21)</f>
        <v>0</v>
      </c>
      <c r="CW126" s="66">
        <f>((INDEX('SV calc_ignore'!$J$10:$J$1341,12*Output!A126-0))+(INDEX('SV calc_ignore'!$O$10:$O$1351,12*Output!A126-0))*(A126&lt;'SV calc_ignore'!$Q$5))*(A126&gt;1)*($CW$21)</f>
        <v>0</v>
      </c>
      <c r="CX126" s="175">
        <f>(INDEX('SV calc_ignore'!$J$10:$J$1341,12*Output!A126-0))*(A126&gt;1)*($CX$21)</f>
        <v>0</v>
      </c>
      <c r="CY126" s="175">
        <f>(INDEX('SV calc_ignore'!$Q$10:$Q$1341,12*Output!A126-0))*(AND(A126&gt;1,R126&lt;20))*($CY$21)</f>
        <v>0</v>
      </c>
      <c r="CZ126" s="175">
        <f t="shared" si="87"/>
        <v>0</v>
      </c>
      <c r="DE126" s="43">
        <f>IF($DE$23,0,VLOOKUP(IF(A126&lt;=DP,DJ126,DI126),SSV!$B$6:$C$116,2,FALSE)*VLOOKUP(AnnuityOption,'All Options'!$AB$36:$AC$47,2,FALSE)*VLOOKUP('All Options'!$E$22,'Valid Data-GPG'!$B$130:$F$134,MATCH('All Options'!$E$17,'Valid Data-GPG'!$B$130:$F$130,0),0)*'All Options'!$E$17)*(IF(AND(Select="Deferred Annuity",AnnuityOption="Life Annuity"),A126&lt;=DP,1))</f>
        <v>3274327.0531593515</v>
      </c>
      <c r="DF126" s="43">
        <f>IF($DF$23,0,IF($DQ$25,DQ126,IF($DR$25,DR126,VLOOKUP(IF(A126&lt;=DP,DJ126,DI126),SSV!$G$6:$H$116,2,FALSE)*SUM($B$27:B126))))</f>
        <v>1006161.5</v>
      </c>
      <c r="DG126" s="43" t="e">
        <f>IF(A126&lt;=DP,VLOOKUP(DP-A125,SSV!$T$6:$U$15,2,FALSE),1)</f>
        <v>#N/A</v>
      </c>
      <c r="DH126" s="282" t="e">
        <f t="shared" si="102"/>
        <v>#VALUE!</v>
      </c>
      <c r="DI126" s="43">
        <f>IF($DM$26,MIN(Age,'All Options'!$E$21)+A125,IF($DN$26,(Age+A125)-Age+60,IF($DO$26,(Age+A125)-Age+55,Age+A125)))</f>
        <v>60</v>
      </c>
      <c r="DJ126" s="279">
        <f>IF($DM$26,MIN(Age+A126,'All Options'!$E$21+A126),IF($DN$26,(Age+A126)-(Age+$A$27)+60,IF($DO$26,(Age+A126)-(Age+$A$27)+55,Age+A126)))</f>
        <v>60</v>
      </c>
      <c r="DP126" s="43">
        <f t="shared" si="88"/>
        <v>0</v>
      </c>
      <c r="DQ126" s="43">
        <f>IFERROR(VLOOKUP(IF(A126&lt;=DP,DJ126,DI126),SSV!$K$6:$L$91,2,FALSE)*SUM($B$27:B126),0)*($DQ$25)</f>
        <v>0</v>
      </c>
      <c r="DR126" s="43">
        <f>IFERROR(VLOOKUP(IF(A126&lt;=DP,DJ126,DI126),SSV!$O$6:$P$95,2,FALSE)*SUM($B$27:B126),0)*($DR$25)</f>
        <v>0</v>
      </c>
      <c r="DU126" s="175">
        <f t="shared" si="103"/>
        <v>0</v>
      </c>
    </row>
    <row r="127" spans="1:125" x14ac:dyDescent="0.2">
      <c r="A127" s="146">
        <f t="shared" si="104"/>
        <v>0</v>
      </c>
      <c r="B127" s="670">
        <f>IF(PremiumType="Regular Premium",'All Options'!$E$18*'All Options'!$E$22*(AND(Output!A127&lt;=PPT,A127&gt;=1)),'All Options'!$E$18*(A127=1))</f>
        <v>0</v>
      </c>
      <c r="C127" s="671"/>
      <c r="D127" s="103" t="e">
        <f>((VLOOKUP(CONCATENATE($D$14,$D$15),'All Options'!$AB$36:$AC$47,4,0)*VLOOKUP('All Options'!$E$22,'Valid Data-GPG'!$B$130:$F$134,MATCH('All Options'!$E$17,'Valid Data-GPG'!$B$130:$F$130,0),0)*'All Options'!$E$17)*IF(Select="Deferred Annuity",A127&gt;DP,1)+AE127+AF127*AG127*$AG$21)*(A127&gt;0)</f>
        <v>#N/A</v>
      </c>
      <c r="E127" s="103">
        <v>0</v>
      </c>
      <c r="F127" s="103" t="e">
        <f t="shared" si="71"/>
        <v>#N/A</v>
      </c>
      <c r="G127" s="103">
        <f t="shared" si="89"/>
        <v>0</v>
      </c>
      <c r="H127" s="285">
        <f t="shared" si="72"/>
        <v>0</v>
      </c>
      <c r="I127" s="103">
        <f t="shared" si="73"/>
        <v>0</v>
      </c>
      <c r="K127" s="175" t="str">
        <f t="shared" si="105"/>
        <v/>
      </c>
      <c r="L127" s="175"/>
      <c r="M127" s="175"/>
      <c r="N127" s="175"/>
      <c r="O127" s="175"/>
      <c r="P127" s="175"/>
      <c r="Q127" s="175"/>
      <c r="R127" s="175">
        <f t="shared" si="106"/>
        <v>0</v>
      </c>
      <c r="AB127" s="175" t="e">
        <f>(VLOOKUP(CONCATENATE($D$14,$D$15),'All Options'!$AB$36:$AC$47,4,0)*VLOOKUP('All Options'!$E$22,'Valid Data-GPG'!$B$130:$F$134,MATCH('All Options'!$E$17,'Valid Data-GPG'!$B$130:$F$130,0),0)*'All Options'!$E$17)*IF(Select="Deferred Annuity",A127&gt;DP,1)*(A127&gt;0)</f>
        <v>#N/A</v>
      </c>
      <c r="AC127" s="175">
        <f t="shared" si="90"/>
        <v>0</v>
      </c>
      <c r="AD127" s="175">
        <f>SUM($AC$26:AC127)</f>
        <v>0</v>
      </c>
      <c r="AE127" s="175">
        <f t="shared" si="91"/>
        <v>0</v>
      </c>
      <c r="AF127" s="175">
        <f t="shared" si="92"/>
        <v>0</v>
      </c>
      <c r="AG127" s="175" t="b">
        <f>(SUM($AF$26:AF127)&lt;=$AB$17)</f>
        <v>0</v>
      </c>
      <c r="AY127" s="175"/>
      <c r="AZ127" s="66">
        <f>((MAX((SUM($B$26:C127)+(VLOOKUP($AZ$25,'All Options'!$AB$36:$AC$46,2,0)*VLOOKUP('All Options'!$E$22,'Valid Data-GPG'!$B$130:$F$134,MATCH('All Options'!$E$17,'Valid Data-GPG'!$B$130:$F$130,0),0)*'All Options'!$E$17)*(IF(A127&lt;=DP,A127,0))),105%*SUM($B$26:C127)))*(AND(A127&lt;&gt;0,Output!A127&lt;=DP))+(0)*(A127&gt;DP))*$AZ$21</f>
        <v>0</v>
      </c>
      <c r="BA127" s="175" t="e">
        <f>((MAX((SUM($B$26:C127)+(VLOOKUP($BA$25,'All Options'!$AB$36:$AC$46,2,0)*VLOOKUP('All Options'!$E$22,'Valid Data-GPG'!$B$130:$F$134,MATCH('All Options'!$E$17,'Valid Data-GPG'!$B$130:$F$130,0),0)*'All Options'!$E$17)*(IF(A127&lt;=DP,A127,0))),105%*SUM($B$26:C127)))*(Output!A127&lt;=DP)
+MAX((SUM($B$26:C127)+(VLOOKUP($BA$25,'All Options'!$AB$36:$AC$46,2,0)*VLOOKUP('All Options'!$E$22,'Valid Data-GPG'!$B$130:$F$134,MATCH('All Options'!$E$17,'Valid Data-GPG'!$B$130:$F$130,0),0)*'All Options'!$E$17)*DP-D127*(A127-DP)),SUM($B$26:C127))*(A127&gt;DP))*$BA$21</f>
        <v>#N/A</v>
      </c>
      <c r="BB127" s="175">
        <f>((MAX(($AB$17+(VLOOKUP($BB$25,'All Options'!$AB$36:$AC$46,2,0)*VLOOKUP('All Options'!$E$22,'Valid Data-GPG'!$B$130:$F$134,MATCH('All Options'!$E$17,'Valid Data-GPG'!$B$130:$F$130,0),0)*'All Options'!$E$17)*(IF(A127&lt;=DP,A127,0))),105%*$AB$17))*(Output!A127&lt;=DP)+(0)*(A127&gt;DP))*$BB$21</f>
        <v>0</v>
      </c>
      <c r="BC127" s="175" t="e">
        <f>((MAX(($AB$17+(VLOOKUP($BC$25,'All Options'!$AB$36:$AC$46,2,0)*VLOOKUP('All Options'!$E$22,'Valid Data-GPG'!$B$130:$F$134,MATCH('All Options'!$E$17,'Valid Data-GPG'!$B$130:$F$130,0),0)*'All Options'!$E$17)*(IF(A127&lt;=DP,A127,0))),105%*$AB$17))*(Output!A127&lt;=DP)+
MAX(($AB$17+(VLOOKUP($BC$25,'All Options'!$AB$36:$AC$46,2,0)*VLOOKUP('All Options'!$E$22,'Valid Data-GPG'!$B$130:$F$134,MATCH('All Options'!$E$17,'Valid Data-GPG'!$B$130:$F$130,0),0)*'All Options'!$E$17)*DP-D127*(A127-DP)),$AB$17)*(A127&gt;DP))*$BC$21</f>
        <v>#N/A</v>
      </c>
      <c r="BD127" s="175">
        <f ca="1">IFERROR((MAX(($AB$17+(VLOOKUP($BD$25,'All Options'!$AB$36:$AC$46,2,0)*VLOOKUP('All Options'!$E$22,'Valid Data-GPG'!$B$130:$F$134,MATCH('All Options'!$E$17,'Valid Data-GPG'!$B$130:$F$130,0),0)*'All Options'!$E$17)*(IF(A127&lt;=DP,A127,0))),105%*$AB$17))*(Output!A127&lt;=DP)
+MAX(($AB$17+(VLOOKUP($BD$25,'All Options'!$AB$36:$AC$46,2,0)*VLOOKUP('All Options'!$E$22,'Valid Data-GPG'!$B$130:$F$134,MATCH('All Options'!$E$17,'Valid Data-GPG'!$B$130:$F$130,0),0)*'All Options'!$E$17)*DP-D127*(A127-DP)),$AB$17)*(A127&gt;DP),0)*$BD$21</f>
        <v>0</v>
      </c>
      <c r="BE127" s="66">
        <f>IFERROR((MAX(($AB$17+(VLOOKUP($BE$25,'All Options'!$AB$36:$AC$46,2,0)*VLOOKUP('All Options'!$E$22,'Valid Data-GPG'!$B$130:$F$134,MATCH('All Options'!$E$17,'Valid Data-GPG'!$B$130:$F$130,0),0)*'All Options'!$E$17)*(IF(A127&lt;=DP,A127,0))),105%*$AB$17))*(Output!A127&lt;=DP)
+(MAX($AB$17+(VLOOKUP($BE$25,'All Options'!$AB$36:$AC$46,2,0)*VLOOKUP('All Options'!$E$22,'Valid Data-GPG'!$B$130:$F$134,MATCH('All Options'!$E$17,'Valid Data-GPG'!$B$130:$F$130,0),0)*'All Options'!$E$17)*DP-AB127*(A127-DP),$AB$17)*(MAX(A127&lt;=25,K127&lt;85)))*(A127&gt;DP),0)*$BE$21</f>
        <v>0</v>
      </c>
      <c r="BF127" s="175">
        <f>IFERROR((MAX(($AB$17+(VLOOKUP($BF$25,'All Options'!$AB$36:$AC$46,2,0)*VLOOKUP('All Options'!$E$22,'Valid Data-GPG'!$B$130:$F$134,MATCH('All Options'!$E$17,'Valid Data-GPG'!$B$130:$F$130,0),0)*'All Options'!$E$17)*(IF(A127&lt;=DP,A127,0))),105%*$AB$17))*(Output!A127&lt;=DP)
+(MAX($AB$17+(VLOOKUP($BF$25,'All Options'!$AB$36:$AC$46,2,0)*VLOOKUP('All Options'!$E$22,'Valid Data-GPG'!$B$130:$F$134,MATCH('All Options'!$E$17,'Valid Data-GPG'!$B$130:$F$130,0),0)*'All Options'!$E$17)*DP-AB127*(A127-DP),$AB$17)-SUM($AF$26:AF127)*AG127)*(A127&gt;DP)*AG127,0)*$BF$21</f>
        <v>0</v>
      </c>
      <c r="BG127" s="175">
        <f t="shared" si="76"/>
        <v>0</v>
      </c>
      <c r="BH127" s="182">
        <f t="shared" si="93"/>
        <v>5000000</v>
      </c>
      <c r="BI127" s="175">
        <f t="shared" si="77"/>
        <v>0</v>
      </c>
      <c r="BJ127" s="175">
        <f t="shared" si="78"/>
        <v>0</v>
      </c>
      <c r="BK127" s="175">
        <f t="shared" si="79"/>
        <v>0</v>
      </c>
      <c r="BL127" s="175">
        <f t="shared" si="80"/>
        <v>0</v>
      </c>
      <c r="BM127" s="175">
        <f t="shared" si="81"/>
        <v>0</v>
      </c>
      <c r="BN127" s="175">
        <f t="shared" si="82"/>
        <v>0</v>
      </c>
      <c r="BO127" s="182">
        <f t="shared" si="94"/>
        <v>0</v>
      </c>
      <c r="BP127" s="182">
        <f t="shared" si="95"/>
        <v>0</v>
      </c>
      <c r="BQ127" s="182">
        <f>MAX($AB$17-SUM($AF$26:AF127),0)*$BQ$21</f>
        <v>0</v>
      </c>
      <c r="BS127" s="175">
        <f t="shared" si="96"/>
        <v>0</v>
      </c>
      <c r="BT127" s="175">
        <f>IFERROR(IF(A127&lt;=1,0,VLOOKUP(DP,'Valid Data-GPG'!$A$116:$J$122,MATCH(Output!A127,'Valid Data-GPG'!$A$116:$J$116,0),FALSE)*SUM($B$26:C127))*(A127&lt;=DP),0)*$BT$21</f>
        <v>0</v>
      </c>
      <c r="BU127" s="175">
        <f>IFERROR(IF(A127&lt;=1,0,VLOOKUP(DP,'Valid Data-GPG'!$A$116:$J$122,MATCH(Output!A127,'Valid Data-GPG'!$A$116:$J$116,0),FALSE)*SUM($B$26:C127))*(A127&lt;=DP),0)*$BU$21</f>
        <v>0</v>
      </c>
      <c r="BV127" s="175">
        <f t="shared" si="97"/>
        <v>0</v>
      </c>
      <c r="BW127" s="175">
        <f t="shared" si="98"/>
        <v>0</v>
      </c>
      <c r="BX127" s="175">
        <f t="shared" si="99"/>
        <v>0</v>
      </c>
      <c r="BY127" s="175">
        <f t="shared" si="100"/>
        <v>0</v>
      </c>
      <c r="BZ127" s="175">
        <f t="shared" si="101"/>
        <v>0</v>
      </c>
      <c r="CA127" s="175">
        <f>(INDEX('SV calc_ignore'!$J$10:$J$1341,12*Output!A127-0))*BS127</f>
        <v>0</v>
      </c>
      <c r="CB127" s="175">
        <f t="shared" si="83"/>
        <v>0</v>
      </c>
      <c r="CC127" s="175">
        <f>(INDEX('SV calc_ignore'!$J$10:$J$1341,12*Output!A127-0))*BS127</f>
        <v>0</v>
      </c>
      <c r="CD127" s="175">
        <f t="shared" si="84"/>
        <v>0</v>
      </c>
      <c r="CE127" s="66">
        <f>(INDEX('SV calc_ignore'!$J$10:$J$1341,12*Output!A127-0))*($CE$21)</f>
        <v>0</v>
      </c>
      <c r="CF127" s="175">
        <f t="shared" si="85"/>
        <v>0</v>
      </c>
      <c r="CG127" s="175">
        <f>(INDEX('SV calc_ignore'!$J$10:$J$1341,12*Output!A127-0))*($CG$21)*(A127&gt;1)</f>
        <v>0</v>
      </c>
      <c r="CH127" s="175">
        <f>(INDEX('SV calc_ignore'!$J$10:$J$1341,12*Output!A127-0))*($CH$21)*(A127&gt;1)</f>
        <v>0</v>
      </c>
      <c r="CI127" s="175"/>
      <c r="CJ127" s="66">
        <f>(INDEX('SV calc_ignore'!$J$10:$J$1341,12*Output!A127-0))*($CJ$21)*(A127&gt;1)</f>
        <v>0</v>
      </c>
      <c r="CK127" s="66">
        <f>(INDEX('SV calc_ignore'!$Q$10:$Q$1341,12*Output!A127-0))*(AND(A127&gt;1,R127&lt;20))*($CK$21)</f>
        <v>0</v>
      </c>
      <c r="CL127" s="66">
        <f t="shared" si="86"/>
        <v>0</v>
      </c>
      <c r="CM127" s="175">
        <f>((INDEX('SV calc_ignore'!$J$10:$J$1341,12*Output!A127-0))+(INDEX('SV calc_ignore'!$O$10:$O$1341,12*Output!A127-0))*(A127&lt;'SV calc_ignore'!$Q$5))*(A127&gt;1)*($CM$21)</f>
        <v>0</v>
      </c>
      <c r="CN127" s="175">
        <v>0</v>
      </c>
      <c r="CO127" s="175">
        <f>(INDEX('SV calc_ignore'!$J$10:$J$1341,12*Output!A127-0))*(A127&gt;1)*($CO$21)</f>
        <v>0</v>
      </c>
      <c r="CP127" s="175">
        <v>0</v>
      </c>
      <c r="CQ127" s="175">
        <v>0</v>
      </c>
      <c r="CR127" s="175">
        <v>0</v>
      </c>
      <c r="CS127" s="175">
        <v>0</v>
      </c>
      <c r="CT127" s="175">
        <v>0</v>
      </c>
      <c r="CU127" s="175">
        <v>0</v>
      </c>
      <c r="CV127" s="175">
        <f>(INDEX('SV calc_ignore'!$J$10:$J$1341,12*Output!A127-0))*(A127&gt;1)*($CV$21)</f>
        <v>0</v>
      </c>
      <c r="CW127" s="66">
        <f>((INDEX('SV calc_ignore'!$J$10:$J$1341,12*Output!A127-0))+(INDEX('SV calc_ignore'!$O$10:$O$1351,12*Output!A127-0))*(A127&lt;'SV calc_ignore'!$Q$5))*(A127&gt;1)*($CW$21)</f>
        <v>0</v>
      </c>
      <c r="CX127" s="175">
        <f>(INDEX('SV calc_ignore'!$J$10:$J$1341,12*Output!A127-0))*(A127&gt;1)*($CX$21)</f>
        <v>0</v>
      </c>
      <c r="CY127" s="175">
        <f>(INDEX('SV calc_ignore'!$Q$10:$Q$1341,12*Output!A127-0))*(AND(A127&gt;1,R127&lt;20))*($CY$21)</f>
        <v>0</v>
      </c>
      <c r="CZ127" s="175">
        <f t="shared" si="87"/>
        <v>0</v>
      </c>
      <c r="DE127" s="43">
        <f>IF($DE$23,0,VLOOKUP(IF(A127&lt;=DP,DJ127,DI127),SSV!$B$6:$C$116,2,FALSE)*VLOOKUP(AnnuityOption,'All Options'!$AB$36:$AC$47,2,FALSE)*VLOOKUP('All Options'!$E$22,'Valid Data-GPG'!$B$130:$F$134,MATCH('All Options'!$E$17,'Valid Data-GPG'!$B$130:$F$130,0),0)*'All Options'!$E$17)*(IF(AND(Select="Deferred Annuity",AnnuityOption="Life Annuity"),A127&lt;=DP,1))</f>
        <v>3274327.0531593515</v>
      </c>
      <c r="DF127" s="43">
        <f>IF($DF$23,0,IF($DQ$25,DQ127,IF($DR$25,DR127,VLOOKUP(IF(A127&lt;=DP,DJ127,DI127),SSV!$G$6:$H$116,2,FALSE)*SUM($B$27:B127))))</f>
        <v>1006161.5</v>
      </c>
      <c r="DG127" s="43" t="e">
        <f>IF(A127&lt;=DP,VLOOKUP(DP-A126,SSV!$T$6:$U$15,2,FALSE),1)</f>
        <v>#N/A</v>
      </c>
      <c r="DH127" s="282" t="e">
        <f t="shared" si="102"/>
        <v>#VALUE!</v>
      </c>
      <c r="DI127" s="43">
        <f>IF($DM$26,MIN(Age,'All Options'!$E$21)+A126,IF($DN$26,(Age+A126)-Age+60,IF($DO$26,(Age+A126)-Age+55,Age+A126)))</f>
        <v>60</v>
      </c>
      <c r="DJ127" s="279">
        <f>IF($DM$26,MIN(Age+A127,'All Options'!$E$21+A127),IF($DN$26,(Age+A127)-(Age+$A$27)+60,IF($DO$26,(Age+A127)-(Age+$A$27)+55,Age+A127)))</f>
        <v>60</v>
      </c>
      <c r="DP127" s="43">
        <f t="shared" si="88"/>
        <v>0</v>
      </c>
      <c r="DQ127" s="43">
        <f>IFERROR(VLOOKUP(IF(A127&lt;=DP,DJ127,DI127),SSV!$K$6:$L$91,2,FALSE)*SUM($B$27:B127),0)*($DQ$25)</f>
        <v>0</v>
      </c>
      <c r="DR127" s="43">
        <f>IFERROR(VLOOKUP(IF(A127&lt;=DP,DJ127,DI127),SSV!$O$6:$P$95,2,FALSE)*SUM($B$27:B127),0)*($DR$25)</f>
        <v>0</v>
      </c>
      <c r="DU127" s="175">
        <f t="shared" si="103"/>
        <v>0</v>
      </c>
    </row>
    <row r="128" spans="1:125" x14ac:dyDescent="0.2">
      <c r="A128" s="146">
        <f t="shared" si="104"/>
        <v>0</v>
      </c>
      <c r="B128" s="670">
        <f>IF(PremiumType="Regular Premium",'All Options'!$E$18*'All Options'!$E$22*(AND(Output!A128&lt;=PPT,A128&gt;=1)),'All Options'!$E$18*(A128=1))</f>
        <v>0</v>
      </c>
      <c r="C128" s="671"/>
      <c r="D128" s="103" t="e">
        <f>((VLOOKUP(CONCATENATE($D$14,$D$15),'All Options'!$AB$36:$AC$47,4,0)*VLOOKUP('All Options'!$E$22,'Valid Data-GPG'!$B$130:$F$134,MATCH('All Options'!$E$17,'Valid Data-GPG'!$B$130:$F$130,0),0)*'All Options'!$E$17)*IF(Select="Deferred Annuity",A128&gt;DP,1)+AE128+AF128*AG128*$AG$21)*(A128&gt;0)</f>
        <v>#N/A</v>
      </c>
      <c r="E128" s="103">
        <v>0</v>
      </c>
      <c r="F128" s="103" t="e">
        <f t="shared" si="71"/>
        <v>#N/A</v>
      </c>
      <c r="G128" s="103">
        <f t="shared" si="89"/>
        <v>0</v>
      </c>
      <c r="H128" s="285">
        <f t="shared" si="72"/>
        <v>0</v>
      </c>
      <c r="I128" s="103">
        <f t="shared" si="73"/>
        <v>0</v>
      </c>
      <c r="K128" s="175" t="str">
        <f t="shared" si="105"/>
        <v/>
      </c>
      <c r="L128" s="175"/>
      <c r="M128" s="175"/>
      <c r="N128" s="175"/>
      <c r="O128" s="175"/>
      <c r="P128" s="175"/>
      <c r="Q128" s="175"/>
      <c r="R128" s="175">
        <f t="shared" si="106"/>
        <v>0</v>
      </c>
      <c r="AB128" s="175" t="e">
        <f>(VLOOKUP(CONCATENATE($D$14,$D$15),'All Options'!$AB$36:$AC$47,4,0)*VLOOKUP('All Options'!$E$22,'Valid Data-GPG'!$B$130:$F$134,MATCH('All Options'!$E$17,'Valid Data-GPG'!$B$130:$F$130,0),0)*'All Options'!$E$17)*IF(Select="Deferred Annuity",A128&gt;DP,1)*(A128&gt;0)</f>
        <v>#N/A</v>
      </c>
      <c r="AC128" s="175">
        <f t="shared" si="90"/>
        <v>0</v>
      </c>
      <c r="AD128" s="175">
        <f>SUM($AC$26:AC128)</f>
        <v>0</v>
      </c>
      <c r="AE128" s="175">
        <f t="shared" si="91"/>
        <v>0</v>
      </c>
      <c r="AF128" s="175">
        <f t="shared" si="92"/>
        <v>0</v>
      </c>
      <c r="AG128" s="175" t="b">
        <f>(SUM($AF$26:AF128)&lt;=$AB$17)</f>
        <v>0</v>
      </c>
      <c r="AY128" s="175"/>
      <c r="AZ128" s="66">
        <f>((MAX((SUM($B$26:C128)+(VLOOKUP($AZ$25,'All Options'!$AB$36:$AC$46,2,0)*VLOOKUP('All Options'!$E$22,'Valid Data-GPG'!$B$130:$F$134,MATCH('All Options'!$E$17,'Valid Data-GPG'!$B$130:$F$130,0),0)*'All Options'!$E$17)*(IF(A128&lt;=DP,A128,0))),105%*SUM($B$26:C128)))*(AND(A128&lt;&gt;0,Output!A128&lt;=DP))+(0)*(A128&gt;DP))*$AZ$21</f>
        <v>0</v>
      </c>
      <c r="BA128" s="175" t="e">
        <f>((MAX((SUM($B$26:C128)+(VLOOKUP($BA$25,'All Options'!$AB$36:$AC$46,2,0)*VLOOKUP('All Options'!$E$22,'Valid Data-GPG'!$B$130:$F$134,MATCH('All Options'!$E$17,'Valid Data-GPG'!$B$130:$F$130,0),0)*'All Options'!$E$17)*(IF(A128&lt;=DP,A128,0))),105%*SUM($B$26:C128)))*(Output!A128&lt;=DP)
+MAX((SUM($B$26:C128)+(VLOOKUP($BA$25,'All Options'!$AB$36:$AC$46,2,0)*VLOOKUP('All Options'!$E$22,'Valid Data-GPG'!$B$130:$F$134,MATCH('All Options'!$E$17,'Valid Data-GPG'!$B$130:$F$130,0),0)*'All Options'!$E$17)*DP-D128*(A128-DP)),SUM($B$26:C128))*(A128&gt;DP))*$BA$21</f>
        <v>#N/A</v>
      </c>
      <c r="BB128" s="175">
        <f>((MAX(($AB$17+(VLOOKUP($BB$25,'All Options'!$AB$36:$AC$46,2,0)*VLOOKUP('All Options'!$E$22,'Valid Data-GPG'!$B$130:$F$134,MATCH('All Options'!$E$17,'Valid Data-GPG'!$B$130:$F$130,0),0)*'All Options'!$E$17)*(IF(A128&lt;=DP,A128,0))),105%*$AB$17))*(Output!A128&lt;=DP)+(0)*(A128&gt;DP))*$BB$21</f>
        <v>0</v>
      </c>
      <c r="BC128" s="175" t="e">
        <f>((MAX(($AB$17+(VLOOKUP($BC$25,'All Options'!$AB$36:$AC$46,2,0)*VLOOKUP('All Options'!$E$22,'Valid Data-GPG'!$B$130:$F$134,MATCH('All Options'!$E$17,'Valid Data-GPG'!$B$130:$F$130,0),0)*'All Options'!$E$17)*(IF(A128&lt;=DP,A128,0))),105%*$AB$17))*(Output!A128&lt;=DP)+
MAX(($AB$17+(VLOOKUP($BC$25,'All Options'!$AB$36:$AC$46,2,0)*VLOOKUP('All Options'!$E$22,'Valid Data-GPG'!$B$130:$F$134,MATCH('All Options'!$E$17,'Valid Data-GPG'!$B$130:$F$130,0),0)*'All Options'!$E$17)*DP-D128*(A128-DP)),$AB$17)*(A128&gt;DP))*$BC$21</f>
        <v>#N/A</v>
      </c>
      <c r="BD128" s="175">
        <f ca="1">IFERROR((MAX(($AB$17+(VLOOKUP($BD$25,'All Options'!$AB$36:$AC$46,2,0)*VLOOKUP('All Options'!$E$22,'Valid Data-GPG'!$B$130:$F$134,MATCH('All Options'!$E$17,'Valid Data-GPG'!$B$130:$F$130,0),0)*'All Options'!$E$17)*(IF(A128&lt;=DP,A128,0))),105%*$AB$17))*(Output!A128&lt;=DP)
+MAX(($AB$17+(VLOOKUP($BD$25,'All Options'!$AB$36:$AC$46,2,0)*VLOOKUP('All Options'!$E$22,'Valid Data-GPG'!$B$130:$F$134,MATCH('All Options'!$E$17,'Valid Data-GPG'!$B$130:$F$130,0),0)*'All Options'!$E$17)*DP-D128*(A128-DP)),$AB$17)*(A128&gt;DP),0)*$BD$21</f>
        <v>0</v>
      </c>
      <c r="BE128" s="66">
        <f>IFERROR((MAX(($AB$17+(VLOOKUP($BE$25,'All Options'!$AB$36:$AC$46,2,0)*VLOOKUP('All Options'!$E$22,'Valid Data-GPG'!$B$130:$F$134,MATCH('All Options'!$E$17,'Valid Data-GPG'!$B$130:$F$130,0),0)*'All Options'!$E$17)*(IF(A128&lt;=DP,A128,0))),105%*$AB$17))*(Output!A128&lt;=DP)
+(MAX($AB$17+(VLOOKUP($BE$25,'All Options'!$AB$36:$AC$46,2,0)*VLOOKUP('All Options'!$E$22,'Valid Data-GPG'!$B$130:$F$134,MATCH('All Options'!$E$17,'Valid Data-GPG'!$B$130:$F$130,0),0)*'All Options'!$E$17)*DP-AB128*(A128-DP),$AB$17)*(MAX(A128&lt;=25,K128&lt;85)))*(A128&gt;DP),0)*$BE$21</f>
        <v>0</v>
      </c>
      <c r="BF128" s="175">
        <f>IFERROR((MAX(($AB$17+(VLOOKUP($BF$25,'All Options'!$AB$36:$AC$46,2,0)*VLOOKUP('All Options'!$E$22,'Valid Data-GPG'!$B$130:$F$134,MATCH('All Options'!$E$17,'Valid Data-GPG'!$B$130:$F$130,0),0)*'All Options'!$E$17)*(IF(A128&lt;=DP,A128,0))),105%*$AB$17))*(Output!A128&lt;=DP)
+(MAX($AB$17+(VLOOKUP($BF$25,'All Options'!$AB$36:$AC$46,2,0)*VLOOKUP('All Options'!$E$22,'Valid Data-GPG'!$B$130:$F$134,MATCH('All Options'!$E$17,'Valid Data-GPG'!$B$130:$F$130,0),0)*'All Options'!$E$17)*DP-AB128*(A128-DP),$AB$17)-SUM($AF$26:AF128)*AG128)*(A128&gt;DP)*AG128,0)*$BF$21</f>
        <v>0</v>
      </c>
      <c r="BG128" s="175">
        <f t="shared" si="76"/>
        <v>0</v>
      </c>
      <c r="BH128" s="182">
        <f t="shared" si="93"/>
        <v>5000000</v>
      </c>
      <c r="BI128" s="175">
        <f t="shared" si="77"/>
        <v>0</v>
      </c>
      <c r="BJ128" s="175">
        <f t="shared" si="78"/>
        <v>0</v>
      </c>
      <c r="BK128" s="175">
        <f t="shared" si="79"/>
        <v>0</v>
      </c>
      <c r="BL128" s="175">
        <f t="shared" si="80"/>
        <v>0</v>
      </c>
      <c r="BM128" s="175">
        <f t="shared" si="81"/>
        <v>0</v>
      </c>
      <c r="BN128" s="175">
        <f t="shared" si="82"/>
        <v>0</v>
      </c>
      <c r="BO128" s="182">
        <f t="shared" si="94"/>
        <v>0</v>
      </c>
      <c r="BP128" s="182">
        <f t="shared" si="95"/>
        <v>0</v>
      </c>
      <c r="BQ128" s="182">
        <f>MAX($AB$17-SUM($AF$26:AF128),0)*$BQ$21</f>
        <v>0</v>
      </c>
      <c r="BS128" s="175">
        <f t="shared" si="96"/>
        <v>0</v>
      </c>
      <c r="BT128" s="175">
        <f>IFERROR(IF(A128&lt;=1,0,VLOOKUP(DP,'Valid Data-GPG'!$A$116:$J$122,MATCH(Output!A128,'Valid Data-GPG'!$A$116:$J$116,0),FALSE)*SUM($B$26:C128))*(A128&lt;=DP),0)*$BT$21</f>
        <v>0</v>
      </c>
      <c r="BU128" s="175">
        <f>IFERROR(IF(A128&lt;=1,0,VLOOKUP(DP,'Valid Data-GPG'!$A$116:$J$122,MATCH(Output!A128,'Valid Data-GPG'!$A$116:$J$116,0),FALSE)*SUM($B$26:C128))*(A128&lt;=DP),0)*$BU$21</f>
        <v>0</v>
      </c>
      <c r="BV128" s="175">
        <f t="shared" si="97"/>
        <v>0</v>
      </c>
      <c r="BW128" s="175">
        <f t="shared" si="98"/>
        <v>0</v>
      </c>
      <c r="BX128" s="175">
        <f t="shared" si="99"/>
        <v>0</v>
      </c>
      <c r="BY128" s="175">
        <f t="shared" si="100"/>
        <v>0</v>
      </c>
      <c r="BZ128" s="175">
        <f t="shared" si="101"/>
        <v>0</v>
      </c>
      <c r="CA128" s="175">
        <f>(INDEX('SV calc_ignore'!$J$10:$J$1341,12*Output!A128-0))*BS128</f>
        <v>0</v>
      </c>
      <c r="CB128" s="175">
        <f t="shared" si="83"/>
        <v>0</v>
      </c>
      <c r="CC128" s="175">
        <f>(INDEX('SV calc_ignore'!$J$10:$J$1341,12*Output!A128-0))*BS128</f>
        <v>0</v>
      </c>
      <c r="CD128" s="175">
        <f t="shared" si="84"/>
        <v>0</v>
      </c>
      <c r="CE128" s="66">
        <f>(INDEX('SV calc_ignore'!$J$10:$J$1341,12*Output!A128-0))*($CE$21)</f>
        <v>0</v>
      </c>
      <c r="CF128" s="175">
        <f t="shared" si="85"/>
        <v>0</v>
      </c>
      <c r="CG128" s="175">
        <f>(INDEX('SV calc_ignore'!$J$10:$J$1341,12*Output!A128-0))*($CG$21)*(A128&gt;1)</f>
        <v>0</v>
      </c>
      <c r="CH128" s="175">
        <f>(INDEX('SV calc_ignore'!$J$10:$J$1341,12*Output!A128-0))*($CH$21)*(A128&gt;1)</f>
        <v>0</v>
      </c>
      <c r="CI128" s="175"/>
      <c r="CJ128" s="66">
        <f>(INDEX('SV calc_ignore'!$J$10:$J$1341,12*Output!A128-0))*($CJ$21)*(A128&gt;1)</f>
        <v>0</v>
      </c>
      <c r="CK128" s="66">
        <f>(INDEX('SV calc_ignore'!$Q$10:$Q$1341,12*Output!A128-0))*(AND(A128&gt;1,R128&lt;20))*($CK$21)</f>
        <v>0</v>
      </c>
      <c r="CL128" s="66">
        <f t="shared" si="86"/>
        <v>0</v>
      </c>
      <c r="CM128" s="175">
        <f>((INDEX('SV calc_ignore'!$J$10:$J$1341,12*Output!A128-0))+(INDEX('SV calc_ignore'!$O$10:$O$1341,12*Output!A128-0))*(A128&lt;'SV calc_ignore'!$Q$5))*(A128&gt;1)*($CM$21)</f>
        <v>0</v>
      </c>
      <c r="CN128" s="175">
        <v>0</v>
      </c>
      <c r="CO128" s="175">
        <f>(INDEX('SV calc_ignore'!$J$10:$J$1341,12*Output!A128-0))*(A128&gt;1)*($CO$21)</f>
        <v>0</v>
      </c>
      <c r="CP128" s="175">
        <v>0</v>
      </c>
      <c r="CQ128" s="175">
        <v>0</v>
      </c>
      <c r="CR128" s="175">
        <v>0</v>
      </c>
      <c r="CS128" s="175">
        <v>0</v>
      </c>
      <c r="CT128" s="175">
        <v>0</v>
      </c>
      <c r="CU128" s="175">
        <v>0</v>
      </c>
      <c r="CV128" s="175">
        <f>(INDEX('SV calc_ignore'!$J$10:$J$1341,12*Output!A128-0))*(A128&gt;1)*($CV$21)</f>
        <v>0</v>
      </c>
      <c r="CW128" s="66">
        <f>((INDEX('SV calc_ignore'!$J$10:$J$1341,12*Output!A128-0))+(INDEX('SV calc_ignore'!$O$10:$O$1351,12*Output!A128-0))*(A128&lt;'SV calc_ignore'!$Q$5))*(A128&gt;1)*($CW$21)</f>
        <v>0</v>
      </c>
      <c r="CX128" s="175">
        <f>(INDEX('SV calc_ignore'!$J$10:$J$1341,12*Output!A128-0))*(A128&gt;1)*($CX$21)</f>
        <v>0</v>
      </c>
      <c r="CY128" s="175">
        <f>(INDEX('SV calc_ignore'!$Q$10:$Q$1341,12*Output!A128-0))*(AND(A128&gt;1,R128&lt;20))*($CY$21)</f>
        <v>0</v>
      </c>
      <c r="CZ128" s="175">
        <f t="shared" si="87"/>
        <v>0</v>
      </c>
      <c r="DE128" s="43">
        <f>IF($DE$23,0,VLOOKUP(IF(A128&lt;=DP,DJ128,DI128),SSV!$B$6:$C$116,2,FALSE)*VLOOKUP(AnnuityOption,'All Options'!$AB$36:$AC$47,2,FALSE)*VLOOKUP('All Options'!$E$22,'Valid Data-GPG'!$B$130:$F$134,MATCH('All Options'!$E$17,'Valid Data-GPG'!$B$130:$F$130,0),0)*'All Options'!$E$17)*(IF(AND(Select="Deferred Annuity",AnnuityOption="Life Annuity"),A128&lt;=DP,1))</f>
        <v>3274327.0531593515</v>
      </c>
      <c r="DF128" s="43">
        <f>IF($DF$23,0,IF($DQ$25,DQ128,IF($DR$25,DR128,VLOOKUP(IF(A128&lt;=DP,DJ128,DI128),SSV!$G$6:$H$116,2,FALSE)*SUM($B$27:B128))))</f>
        <v>1006161.5</v>
      </c>
      <c r="DG128" s="43" t="e">
        <f>IF(A128&lt;=DP,VLOOKUP(DP-A127,SSV!$T$6:$U$15,2,FALSE),1)</f>
        <v>#N/A</v>
      </c>
      <c r="DH128" s="282" t="e">
        <f t="shared" si="102"/>
        <v>#VALUE!</v>
      </c>
      <c r="DI128" s="43">
        <f>IF($DM$26,MIN(Age,'All Options'!$E$21)+A127,IF($DN$26,(Age+A127)-Age+60,IF($DO$26,(Age+A127)-Age+55,Age+A127)))</f>
        <v>60</v>
      </c>
      <c r="DJ128" s="279">
        <f>IF($DM$26,MIN(Age+A128,'All Options'!$E$21+A128),IF($DN$26,(Age+A128)-(Age+$A$27)+60,IF($DO$26,(Age+A128)-(Age+$A$27)+55,Age+A128)))</f>
        <v>60</v>
      </c>
      <c r="DP128" s="43">
        <f t="shared" si="88"/>
        <v>0</v>
      </c>
      <c r="DQ128" s="43">
        <f>IFERROR(VLOOKUP(IF(A128&lt;=DP,DJ128,DI128),SSV!$K$6:$L$91,2,FALSE)*SUM($B$27:B128),0)*($DQ$25)</f>
        <v>0</v>
      </c>
      <c r="DR128" s="43">
        <f>IFERROR(VLOOKUP(IF(A128&lt;=DP,DJ128,DI128),SSV!$O$6:$P$95,2,FALSE)*SUM($B$27:B128),0)*($DR$25)</f>
        <v>0</v>
      </c>
      <c r="DU128" s="175">
        <f t="shared" si="103"/>
        <v>0</v>
      </c>
    </row>
    <row r="129" spans="1:125" x14ac:dyDescent="0.2">
      <c r="A129" s="146">
        <f t="shared" si="104"/>
        <v>0</v>
      </c>
      <c r="B129" s="670">
        <f>IF(PremiumType="Regular Premium",'All Options'!$E$18*'All Options'!$E$22*(AND(Output!A129&lt;=PPT,A129&gt;=1)),'All Options'!$E$18*(A129=1))</f>
        <v>0</v>
      </c>
      <c r="C129" s="671"/>
      <c r="D129" s="103" t="e">
        <f>((VLOOKUP(CONCATENATE($D$14,$D$15),'All Options'!$AB$36:$AC$47,4,0)*VLOOKUP('All Options'!$E$22,'Valid Data-GPG'!$B$130:$F$134,MATCH('All Options'!$E$17,'Valid Data-GPG'!$B$130:$F$130,0),0)*'All Options'!$E$17)*IF(Select="Deferred Annuity",A129&gt;DP,1)+AE129+AF129*AG129*$AG$21)*(A129&gt;0)</f>
        <v>#N/A</v>
      </c>
      <c r="E129" s="103">
        <v>0</v>
      </c>
      <c r="F129" s="103" t="e">
        <f t="shared" si="71"/>
        <v>#N/A</v>
      </c>
      <c r="G129" s="103">
        <f t="shared" si="89"/>
        <v>0</v>
      </c>
      <c r="H129" s="285">
        <f t="shared" si="72"/>
        <v>0</v>
      </c>
      <c r="I129" s="103">
        <f t="shared" si="73"/>
        <v>0</v>
      </c>
      <c r="K129" s="175" t="str">
        <f t="shared" si="105"/>
        <v/>
      </c>
      <c r="L129" s="175"/>
      <c r="M129" s="175"/>
      <c r="N129" s="175"/>
      <c r="O129" s="175"/>
      <c r="P129" s="175"/>
      <c r="Q129" s="175"/>
      <c r="R129" s="175">
        <f t="shared" si="106"/>
        <v>0</v>
      </c>
      <c r="AB129" s="175" t="e">
        <f>(VLOOKUP(CONCATENATE($D$14,$D$15),'All Options'!$AB$36:$AC$47,4,0)*VLOOKUP('All Options'!$E$22,'Valid Data-GPG'!$B$130:$F$134,MATCH('All Options'!$E$17,'Valid Data-GPG'!$B$130:$F$130,0),0)*'All Options'!$E$17)*IF(Select="Deferred Annuity",A129&gt;DP,1)*(A129&gt;0)</f>
        <v>#N/A</v>
      </c>
      <c r="AC129" s="175">
        <f t="shared" si="90"/>
        <v>0</v>
      </c>
      <c r="AD129" s="175">
        <f>SUM($AC$26:AC129)</f>
        <v>0</v>
      </c>
      <c r="AE129" s="175">
        <f t="shared" si="91"/>
        <v>0</v>
      </c>
      <c r="AF129" s="175">
        <f t="shared" si="92"/>
        <v>0</v>
      </c>
      <c r="AG129" s="175" t="b">
        <f>(SUM($AF$26:AF129)&lt;=$AB$17)</f>
        <v>0</v>
      </c>
      <c r="AY129" s="175"/>
      <c r="AZ129" s="66">
        <f>((MAX((SUM($B$26:C129)+(VLOOKUP($AZ$25,'All Options'!$AB$36:$AC$46,2,0)*VLOOKUP('All Options'!$E$22,'Valid Data-GPG'!$B$130:$F$134,MATCH('All Options'!$E$17,'Valid Data-GPG'!$B$130:$F$130,0),0)*'All Options'!$E$17)*(IF(A129&lt;=DP,A129,0))),105%*SUM($B$26:C129)))*(AND(A129&lt;&gt;0,Output!A129&lt;=DP))+(0)*(A129&gt;DP))*$AZ$21</f>
        <v>0</v>
      </c>
      <c r="BA129" s="175" t="e">
        <f>((MAX((SUM($B$26:C129)+(VLOOKUP($BA$25,'All Options'!$AB$36:$AC$46,2,0)*VLOOKUP('All Options'!$E$22,'Valid Data-GPG'!$B$130:$F$134,MATCH('All Options'!$E$17,'Valid Data-GPG'!$B$130:$F$130,0),0)*'All Options'!$E$17)*(IF(A129&lt;=DP,A129,0))),105%*SUM($B$26:C129)))*(Output!A129&lt;=DP)
+MAX((SUM($B$26:C129)+(VLOOKUP($BA$25,'All Options'!$AB$36:$AC$46,2,0)*VLOOKUP('All Options'!$E$22,'Valid Data-GPG'!$B$130:$F$134,MATCH('All Options'!$E$17,'Valid Data-GPG'!$B$130:$F$130,0),0)*'All Options'!$E$17)*DP-D129*(A129-DP)),SUM($B$26:C129))*(A129&gt;DP))*$BA$21</f>
        <v>#N/A</v>
      </c>
      <c r="BB129" s="175">
        <f>((MAX(($AB$17+(VLOOKUP($BB$25,'All Options'!$AB$36:$AC$46,2,0)*VLOOKUP('All Options'!$E$22,'Valid Data-GPG'!$B$130:$F$134,MATCH('All Options'!$E$17,'Valid Data-GPG'!$B$130:$F$130,0),0)*'All Options'!$E$17)*(IF(A129&lt;=DP,A129,0))),105%*$AB$17))*(Output!A129&lt;=DP)+(0)*(A129&gt;DP))*$BB$21</f>
        <v>0</v>
      </c>
      <c r="BC129" s="175" t="e">
        <f>((MAX(($AB$17+(VLOOKUP($BC$25,'All Options'!$AB$36:$AC$46,2,0)*VLOOKUP('All Options'!$E$22,'Valid Data-GPG'!$B$130:$F$134,MATCH('All Options'!$E$17,'Valid Data-GPG'!$B$130:$F$130,0),0)*'All Options'!$E$17)*(IF(A129&lt;=DP,A129,0))),105%*$AB$17))*(Output!A129&lt;=DP)+
MAX(($AB$17+(VLOOKUP($BC$25,'All Options'!$AB$36:$AC$46,2,0)*VLOOKUP('All Options'!$E$22,'Valid Data-GPG'!$B$130:$F$134,MATCH('All Options'!$E$17,'Valid Data-GPG'!$B$130:$F$130,0),0)*'All Options'!$E$17)*DP-D129*(A129-DP)),$AB$17)*(A129&gt;DP))*$BC$21</f>
        <v>#N/A</v>
      </c>
      <c r="BD129" s="175">
        <f ca="1">IFERROR((MAX(($AB$17+(VLOOKUP($BD$25,'All Options'!$AB$36:$AC$46,2,0)*VLOOKUP('All Options'!$E$22,'Valid Data-GPG'!$B$130:$F$134,MATCH('All Options'!$E$17,'Valid Data-GPG'!$B$130:$F$130,0),0)*'All Options'!$E$17)*(IF(A129&lt;=DP,A129,0))),105%*$AB$17))*(Output!A129&lt;=DP)
+MAX(($AB$17+(VLOOKUP($BD$25,'All Options'!$AB$36:$AC$46,2,0)*VLOOKUP('All Options'!$E$22,'Valid Data-GPG'!$B$130:$F$134,MATCH('All Options'!$E$17,'Valid Data-GPG'!$B$130:$F$130,0),0)*'All Options'!$E$17)*DP-D129*(A129-DP)),$AB$17)*(A129&gt;DP),0)*$BD$21</f>
        <v>0</v>
      </c>
      <c r="BE129" s="66">
        <f>IFERROR((MAX(($AB$17+(VLOOKUP($BE$25,'All Options'!$AB$36:$AC$46,2,0)*VLOOKUP('All Options'!$E$22,'Valid Data-GPG'!$B$130:$F$134,MATCH('All Options'!$E$17,'Valid Data-GPG'!$B$130:$F$130,0),0)*'All Options'!$E$17)*(IF(A129&lt;=DP,A129,0))),105%*$AB$17))*(Output!A129&lt;=DP)
+(MAX($AB$17+(VLOOKUP($BE$25,'All Options'!$AB$36:$AC$46,2,0)*VLOOKUP('All Options'!$E$22,'Valid Data-GPG'!$B$130:$F$134,MATCH('All Options'!$E$17,'Valid Data-GPG'!$B$130:$F$130,0),0)*'All Options'!$E$17)*DP-AB129*(A129-DP),$AB$17)*(MAX(A129&lt;=25,K129&lt;85)))*(A129&gt;DP),0)*$BE$21</f>
        <v>0</v>
      </c>
      <c r="BF129" s="175">
        <f>IFERROR((MAX(($AB$17+(VLOOKUP($BF$25,'All Options'!$AB$36:$AC$46,2,0)*VLOOKUP('All Options'!$E$22,'Valid Data-GPG'!$B$130:$F$134,MATCH('All Options'!$E$17,'Valid Data-GPG'!$B$130:$F$130,0),0)*'All Options'!$E$17)*(IF(A129&lt;=DP,A129,0))),105%*$AB$17))*(Output!A129&lt;=DP)
+(MAX($AB$17+(VLOOKUP($BF$25,'All Options'!$AB$36:$AC$46,2,0)*VLOOKUP('All Options'!$E$22,'Valid Data-GPG'!$B$130:$F$134,MATCH('All Options'!$E$17,'Valid Data-GPG'!$B$130:$F$130,0),0)*'All Options'!$E$17)*DP-AB129*(A129-DP),$AB$17)-SUM($AF$26:AF129)*AG129)*(A129&gt;DP)*AG129,0)*$BF$21</f>
        <v>0</v>
      </c>
      <c r="BG129" s="175">
        <f t="shared" si="76"/>
        <v>0</v>
      </c>
      <c r="BH129" s="182">
        <f t="shared" si="93"/>
        <v>5000000</v>
      </c>
      <c r="BI129" s="175">
        <f t="shared" si="77"/>
        <v>0</v>
      </c>
      <c r="BJ129" s="175">
        <f t="shared" si="78"/>
        <v>0</v>
      </c>
      <c r="BK129" s="175">
        <f t="shared" si="79"/>
        <v>0</v>
      </c>
      <c r="BL129" s="175">
        <f t="shared" si="80"/>
        <v>0</v>
      </c>
      <c r="BM129" s="175">
        <f t="shared" si="81"/>
        <v>0</v>
      </c>
      <c r="BN129" s="175">
        <f t="shared" si="82"/>
        <v>0</v>
      </c>
      <c r="BO129" s="182">
        <f t="shared" si="94"/>
        <v>0</v>
      </c>
      <c r="BP129" s="182">
        <f t="shared" si="95"/>
        <v>0</v>
      </c>
      <c r="BQ129" s="182">
        <f>MAX($AB$17-SUM($AF$26:AF129),0)*$BQ$21</f>
        <v>0</v>
      </c>
      <c r="BS129" s="175">
        <f t="shared" si="96"/>
        <v>0</v>
      </c>
      <c r="BT129" s="175">
        <f>IFERROR(IF(A129&lt;=1,0,VLOOKUP(DP,'Valid Data-GPG'!$A$116:$J$122,MATCH(Output!A129,'Valid Data-GPG'!$A$116:$J$116,0),FALSE)*SUM($B$26:C129))*(A129&lt;=DP),0)*$BT$21</f>
        <v>0</v>
      </c>
      <c r="BU129" s="175">
        <f>IFERROR(IF(A129&lt;=1,0,VLOOKUP(DP,'Valid Data-GPG'!$A$116:$J$122,MATCH(Output!A129,'Valid Data-GPG'!$A$116:$J$116,0),FALSE)*SUM($B$26:C129))*(A129&lt;=DP),0)*$BU$21</f>
        <v>0</v>
      </c>
      <c r="BV129" s="175">
        <f t="shared" si="97"/>
        <v>0</v>
      </c>
      <c r="BW129" s="175">
        <f t="shared" si="98"/>
        <v>0</v>
      </c>
      <c r="BX129" s="175">
        <f t="shared" si="99"/>
        <v>0</v>
      </c>
      <c r="BY129" s="175">
        <f t="shared" si="100"/>
        <v>0</v>
      </c>
      <c r="BZ129" s="175">
        <f t="shared" si="101"/>
        <v>0</v>
      </c>
      <c r="CA129" s="175">
        <f>(INDEX('SV calc_ignore'!$J$10:$J$1341,12*Output!A129-0))*BS129</f>
        <v>0</v>
      </c>
      <c r="CB129" s="175">
        <f t="shared" si="83"/>
        <v>0</v>
      </c>
      <c r="CC129" s="175">
        <f>(INDEX('SV calc_ignore'!$J$10:$J$1341,12*Output!A129-0))*BS129</f>
        <v>0</v>
      </c>
      <c r="CD129" s="175">
        <f t="shared" si="84"/>
        <v>0</v>
      </c>
      <c r="CE129" s="66">
        <f>(INDEX('SV calc_ignore'!$J$10:$J$1341,12*Output!A129-0))*($CE$21)</f>
        <v>0</v>
      </c>
      <c r="CF129" s="175">
        <f t="shared" si="85"/>
        <v>0</v>
      </c>
      <c r="CG129" s="175">
        <f>(INDEX('SV calc_ignore'!$J$10:$J$1341,12*Output!A129-0))*($CG$21)*(A129&gt;1)</f>
        <v>0</v>
      </c>
      <c r="CH129" s="175">
        <f>(INDEX('SV calc_ignore'!$J$10:$J$1341,12*Output!A129-0))*($CH$21)*(A129&gt;1)</f>
        <v>0</v>
      </c>
      <c r="CI129" s="175"/>
      <c r="CJ129" s="66">
        <f>(INDEX('SV calc_ignore'!$J$10:$J$1341,12*Output!A129-0))*($CJ$21)*(A129&gt;1)</f>
        <v>0</v>
      </c>
      <c r="CK129" s="66">
        <f>(INDEX('SV calc_ignore'!$Q$10:$Q$1341,12*Output!A129-0))*(AND(A129&gt;1,R129&lt;20))*($CK$21)</f>
        <v>0</v>
      </c>
      <c r="CL129" s="66">
        <f t="shared" si="86"/>
        <v>0</v>
      </c>
      <c r="CM129" s="175">
        <f>((INDEX('SV calc_ignore'!$J$10:$J$1341,12*Output!A129-0))+(INDEX('SV calc_ignore'!$O$10:$O$1341,12*Output!A129-0))*(A129&lt;'SV calc_ignore'!$Q$5))*(A129&gt;1)*($CM$21)</f>
        <v>0</v>
      </c>
      <c r="CN129" s="175">
        <v>0</v>
      </c>
      <c r="CO129" s="175">
        <f>(INDEX('SV calc_ignore'!$J$10:$J$1341,12*Output!A129-0))*(A129&gt;1)*($CO$21)</f>
        <v>0</v>
      </c>
      <c r="CP129" s="175">
        <v>0</v>
      </c>
      <c r="CQ129" s="175">
        <v>0</v>
      </c>
      <c r="CR129" s="175">
        <v>0</v>
      </c>
      <c r="CS129" s="175">
        <v>0</v>
      </c>
      <c r="CT129" s="175">
        <v>0</v>
      </c>
      <c r="CU129" s="175">
        <v>0</v>
      </c>
      <c r="CV129" s="175">
        <f>(INDEX('SV calc_ignore'!$J$10:$J$1341,12*Output!A129-0))*(A129&gt;1)*($CV$21)</f>
        <v>0</v>
      </c>
      <c r="CW129" s="66">
        <f>((INDEX('SV calc_ignore'!$J$10:$J$1341,12*Output!A129-0))+(INDEX('SV calc_ignore'!$O$10:$O$1351,12*Output!A129-0))*(A129&lt;'SV calc_ignore'!$Q$5))*(A129&gt;1)*($CW$21)</f>
        <v>0</v>
      </c>
      <c r="CX129" s="175">
        <f>(INDEX('SV calc_ignore'!$J$10:$J$1341,12*Output!A129-0))*(A129&gt;1)*($CX$21)</f>
        <v>0</v>
      </c>
      <c r="CY129" s="175">
        <f>(INDEX('SV calc_ignore'!$Q$10:$Q$1341,12*Output!A129-0))*(AND(A129&gt;1,R129&lt;20))*($CY$21)</f>
        <v>0</v>
      </c>
      <c r="CZ129" s="175">
        <f t="shared" si="87"/>
        <v>0</v>
      </c>
      <c r="DE129" s="43">
        <f>IF($DE$23,0,VLOOKUP(IF(A129&lt;=DP,DJ129,DI129),SSV!$B$6:$C$116,2,FALSE)*VLOOKUP(AnnuityOption,'All Options'!$AB$36:$AC$47,2,FALSE)*VLOOKUP('All Options'!$E$22,'Valid Data-GPG'!$B$130:$F$134,MATCH('All Options'!$E$17,'Valid Data-GPG'!$B$130:$F$130,0),0)*'All Options'!$E$17)*(IF(AND(Select="Deferred Annuity",AnnuityOption="Life Annuity"),A129&lt;=DP,1))</f>
        <v>3274327.0531593515</v>
      </c>
      <c r="DF129" s="43">
        <f>IF($DF$23,0,IF($DQ$25,DQ129,IF($DR$25,DR129,VLOOKUP(IF(A129&lt;=DP,DJ129,DI129),SSV!$G$6:$H$116,2,FALSE)*SUM($B$27:B129))))</f>
        <v>1006161.5</v>
      </c>
      <c r="DG129" s="43" t="e">
        <f>IF(A129&lt;=DP,VLOOKUP(DP-A128,SSV!$T$6:$U$15,2,FALSE),1)</f>
        <v>#N/A</v>
      </c>
      <c r="DH129" s="282" t="e">
        <f t="shared" si="102"/>
        <v>#VALUE!</v>
      </c>
      <c r="DI129" s="43">
        <f>IF($DM$26,MIN(Age,'All Options'!$E$21)+A128,IF($DN$26,(Age+A128)-Age+60,IF($DO$26,(Age+A128)-Age+55,Age+A128)))</f>
        <v>60</v>
      </c>
      <c r="DJ129" s="279">
        <f>IF($DM$26,MIN(Age+A129,'All Options'!$E$21+A129),IF($DN$26,(Age+A129)-(Age+$A$27)+60,IF($DO$26,(Age+A129)-(Age+$A$27)+55,Age+A129)))</f>
        <v>60</v>
      </c>
      <c r="DP129" s="43">
        <f t="shared" si="88"/>
        <v>0</v>
      </c>
      <c r="DQ129" s="43">
        <f>IFERROR(VLOOKUP(IF(A129&lt;=DP,DJ129,DI129),SSV!$K$6:$L$91,2,FALSE)*SUM($B$27:B129),0)*($DQ$25)</f>
        <v>0</v>
      </c>
      <c r="DR129" s="43">
        <f>IFERROR(VLOOKUP(IF(A129&lt;=DP,DJ129,DI129),SSV!$O$6:$P$95,2,FALSE)*SUM($B$27:B129),0)*($DR$25)</f>
        <v>0</v>
      </c>
      <c r="DU129" s="175">
        <f t="shared" si="103"/>
        <v>0</v>
      </c>
    </row>
    <row r="130" spans="1:125" x14ac:dyDescent="0.2">
      <c r="A130" s="146">
        <f t="shared" si="104"/>
        <v>0</v>
      </c>
      <c r="B130" s="670">
        <f>IF(PremiumType="Regular Premium",'All Options'!$E$18*'All Options'!$E$22*(AND(Output!A130&lt;=PPT,A130&gt;=1)),'All Options'!$E$18*(A130=1))</f>
        <v>0</v>
      </c>
      <c r="C130" s="671"/>
      <c r="D130" s="103" t="e">
        <f>((VLOOKUP(CONCATENATE($D$14,$D$15),'All Options'!$AB$36:$AC$47,4,0)*VLOOKUP('All Options'!$E$22,'Valid Data-GPG'!$B$130:$F$134,MATCH('All Options'!$E$17,'Valid Data-GPG'!$B$130:$F$130,0),0)*'All Options'!$E$17)*IF(Select="Deferred Annuity",A130&gt;DP,1)+AE130+AF130*AG130*$AG$21)*(A130&gt;0)</f>
        <v>#N/A</v>
      </c>
      <c r="E130" s="103">
        <v>0</v>
      </c>
      <c r="F130" s="103" t="e">
        <f t="shared" si="71"/>
        <v>#N/A</v>
      </c>
      <c r="G130" s="103">
        <f t="shared" si="89"/>
        <v>0</v>
      </c>
      <c r="H130" s="285">
        <f t="shared" si="72"/>
        <v>0</v>
      </c>
      <c r="I130" s="103">
        <f t="shared" si="73"/>
        <v>0</v>
      </c>
      <c r="K130" s="175" t="str">
        <f t="shared" si="105"/>
        <v/>
      </c>
      <c r="L130" s="175"/>
      <c r="M130" s="175"/>
      <c r="N130" s="175"/>
      <c r="O130" s="175"/>
      <c r="P130" s="175"/>
      <c r="Q130" s="175"/>
      <c r="R130" s="175">
        <f t="shared" si="106"/>
        <v>0</v>
      </c>
      <c r="AB130" s="175" t="e">
        <f>(VLOOKUP(CONCATENATE($D$14,$D$15),'All Options'!$AB$36:$AC$47,4,0)*VLOOKUP('All Options'!$E$22,'Valid Data-GPG'!$B$130:$F$134,MATCH('All Options'!$E$17,'Valid Data-GPG'!$B$130:$F$130,0),0)*'All Options'!$E$17)*IF(Select="Deferred Annuity",A130&gt;DP,1)*(A130&gt;0)</f>
        <v>#N/A</v>
      </c>
      <c r="AC130" s="175">
        <f t="shared" si="90"/>
        <v>0</v>
      </c>
      <c r="AD130" s="175">
        <f>SUM($AC$26:AC130)</f>
        <v>0</v>
      </c>
      <c r="AE130" s="175">
        <f t="shared" si="91"/>
        <v>0</v>
      </c>
      <c r="AF130" s="175">
        <f t="shared" si="92"/>
        <v>0</v>
      </c>
      <c r="AG130" s="175" t="b">
        <f>(SUM($AF$26:AF130)&lt;=$AB$17)</f>
        <v>0</v>
      </c>
      <c r="AY130" s="175"/>
      <c r="AZ130" s="66">
        <f>((MAX((SUM($B$26:C130)+(VLOOKUP($AZ$25,'All Options'!$AB$36:$AC$46,2,0)*VLOOKUP('All Options'!$E$22,'Valid Data-GPG'!$B$130:$F$134,MATCH('All Options'!$E$17,'Valid Data-GPG'!$B$130:$F$130,0),0)*'All Options'!$E$17)*(IF(A130&lt;=DP,A130,0))),105%*SUM($B$26:C130)))*(AND(A130&lt;&gt;0,Output!A130&lt;=DP))+(0)*(A130&gt;DP))*$AZ$21</f>
        <v>0</v>
      </c>
      <c r="BA130" s="175" t="e">
        <f>((MAX((SUM($B$26:C130)+(VLOOKUP($BA$25,'All Options'!$AB$36:$AC$46,2,0)*VLOOKUP('All Options'!$E$22,'Valid Data-GPG'!$B$130:$F$134,MATCH('All Options'!$E$17,'Valid Data-GPG'!$B$130:$F$130,0),0)*'All Options'!$E$17)*(IF(A130&lt;=DP,A130,0))),105%*SUM($B$26:C130)))*(Output!A130&lt;=DP)
+MAX((SUM($B$26:C130)+(VLOOKUP($BA$25,'All Options'!$AB$36:$AC$46,2,0)*VLOOKUP('All Options'!$E$22,'Valid Data-GPG'!$B$130:$F$134,MATCH('All Options'!$E$17,'Valid Data-GPG'!$B$130:$F$130,0),0)*'All Options'!$E$17)*DP-D130*(A130-DP)),SUM($B$26:C130))*(A130&gt;DP))*$BA$21</f>
        <v>#N/A</v>
      </c>
      <c r="BB130" s="175">
        <f>((MAX(($AB$17+(VLOOKUP($BB$25,'All Options'!$AB$36:$AC$46,2,0)*VLOOKUP('All Options'!$E$22,'Valid Data-GPG'!$B$130:$F$134,MATCH('All Options'!$E$17,'Valid Data-GPG'!$B$130:$F$130,0),0)*'All Options'!$E$17)*(IF(A130&lt;=DP,A130,0))),105%*$AB$17))*(Output!A130&lt;=DP)+(0)*(A130&gt;DP))*$BB$21</f>
        <v>0</v>
      </c>
      <c r="BC130" s="175" t="e">
        <f>((MAX(($AB$17+(VLOOKUP($BC$25,'All Options'!$AB$36:$AC$46,2,0)*VLOOKUP('All Options'!$E$22,'Valid Data-GPG'!$B$130:$F$134,MATCH('All Options'!$E$17,'Valid Data-GPG'!$B$130:$F$130,0),0)*'All Options'!$E$17)*(IF(A130&lt;=DP,A130,0))),105%*$AB$17))*(Output!A130&lt;=DP)+
MAX(($AB$17+(VLOOKUP($BC$25,'All Options'!$AB$36:$AC$46,2,0)*VLOOKUP('All Options'!$E$22,'Valid Data-GPG'!$B$130:$F$134,MATCH('All Options'!$E$17,'Valid Data-GPG'!$B$130:$F$130,0),0)*'All Options'!$E$17)*DP-D130*(A130-DP)),$AB$17)*(A130&gt;DP))*$BC$21</f>
        <v>#N/A</v>
      </c>
      <c r="BD130" s="175">
        <f ca="1">IFERROR((MAX(($AB$17+(VLOOKUP($BD$25,'All Options'!$AB$36:$AC$46,2,0)*VLOOKUP('All Options'!$E$22,'Valid Data-GPG'!$B$130:$F$134,MATCH('All Options'!$E$17,'Valid Data-GPG'!$B$130:$F$130,0),0)*'All Options'!$E$17)*(IF(A130&lt;=DP,A130,0))),105%*$AB$17))*(Output!A130&lt;=DP)
+MAX(($AB$17+(VLOOKUP($BD$25,'All Options'!$AB$36:$AC$46,2,0)*VLOOKUP('All Options'!$E$22,'Valid Data-GPG'!$B$130:$F$134,MATCH('All Options'!$E$17,'Valid Data-GPG'!$B$130:$F$130,0),0)*'All Options'!$E$17)*DP-D130*(A130-DP)),$AB$17)*(A130&gt;DP),0)*$BD$21</f>
        <v>0</v>
      </c>
      <c r="BE130" s="66">
        <f>IFERROR((MAX(($AB$17+(VLOOKUP($BE$25,'All Options'!$AB$36:$AC$46,2,0)*VLOOKUP('All Options'!$E$22,'Valid Data-GPG'!$B$130:$F$134,MATCH('All Options'!$E$17,'Valid Data-GPG'!$B$130:$F$130,0),0)*'All Options'!$E$17)*(IF(A130&lt;=DP,A130,0))),105%*$AB$17))*(Output!A130&lt;=DP)
+(MAX($AB$17+(VLOOKUP($BE$25,'All Options'!$AB$36:$AC$46,2,0)*VLOOKUP('All Options'!$E$22,'Valid Data-GPG'!$B$130:$F$134,MATCH('All Options'!$E$17,'Valid Data-GPG'!$B$130:$F$130,0),0)*'All Options'!$E$17)*DP-AB130*(A130-DP),$AB$17)*(MAX(A130&lt;=25,K130&lt;85)))*(A130&gt;DP),0)*$BE$21</f>
        <v>0</v>
      </c>
      <c r="BF130" s="175">
        <f>IFERROR((MAX(($AB$17+(VLOOKUP($BF$25,'All Options'!$AB$36:$AC$46,2,0)*VLOOKUP('All Options'!$E$22,'Valid Data-GPG'!$B$130:$F$134,MATCH('All Options'!$E$17,'Valid Data-GPG'!$B$130:$F$130,0),0)*'All Options'!$E$17)*(IF(A130&lt;=DP,A130,0))),105%*$AB$17))*(Output!A130&lt;=DP)
+(MAX($AB$17+(VLOOKUP($BF$25,'All Options'!$AB$36:$AC$46,2,0)*VLOOKUP('All Options'!$E$22,'Valid Data-GPG'!$B$130:$F$134,MATCH('All Options'!$E$17,'Valid Data-GPG'!$B$130:$F$130,0),0)*'All Options'!$E$17)*DP-AB130*(A130-DP),$AB$17)-SUM($AF$26:AF130)*AG130)*(A130&gt;DP)*AG130,0)*$BF$21</f>
        <v>0</v>
      </c>
      <c r="BG130" s="175">
        <f t="shared" si="76"/>
        <v>0</v>
      </c>
      <c r="BH130" s="182">
        <f t="shared" si="93"/>
        <v>5000000</v>
      </c>
      <c r="BI130" s="175">
        <f t="shared" si="77"/>
        <v>0</v>
      </c>
      <c r="BJ130" s="175">
        <f t="shared" si="78"/>
        <v>0</v>
      </c>
      <c r="BK130" s="175">
        <f t="shared" si="79"/>
        <v>0</v>
      </c>
      <c r="BL130" s="175">
        <f t="shared" si="80"/>
        <v>0</v>
      </c>
      <c r="BM130" s="175">
        <f t="shared" si="81"/>
        <v>0</v>
      </c>
      <c r="BN130" s="175">
        <f t="shared" si="82"/>
        <v>0</v>
      </c>
      <c r="BO130" s="182">
        <f t="shared" si="94"/>
        <v>0</v>
      </c>
      <c r="BP130" s="182">
        <f t="shared" si="95"/>
        <v>0</v>
      </c>
      <c r="BQ130" s="182">
        <f>MAX($AB$17-SUM($AF$26:AF130),0)*$BQ$21</f>
        <v>0</v>
      </c>
      <c r="BS130" s="175">
        <f t="shared" si="96"/>
        <v>0</v>
      </c>
      <c r="BT130" s="175">
        <f>IFERROR(IF(A130&lt;=1,0,VLOOKUP(DP,'Valid Data-GPG'!$A$116:$J$122,MATCH(Output!A130,'Valid Data-GPG'!$A$116:$J$116,0),FALSE)*SUM($B$26:C130))*(A130&lt;=DP),0)*$BT$21</f>
        <v>0</v>
      </c>
      <c r="BU130" s="175">
        <f>IFERROR(IF(A130&lt;=1,0,VLOOKUP(DP,'Valid Data-GPG'!$A$116:$J$122,MATCH(Output!A130,'Valid Data-GPG'!$A$116:$J$116,0),FALSE)*SUM($B$26:C130))*(A130&lt;=DP),0)*$BU$21</f>
        <v>0</v>
      </c>
      <c r="BV130" s="175">
        <f t="shared" si="97"/>
        <v>0</v>
      </c>
      <c r="BW130" s="175">
        <f t="shared" si="98"/>
        <v>0</v>
      </c>
      <c r="BX130" s="175">
        <f t="shared" si="99"/>
        <v>0</v>
      </c>
      <c r="BY130" s="175">
        <f t="shared" si="100"/>
        <v>0</v>
      </c>
      <c r="BZ130" s="175">
        <f t="shared" si="101"/>
        <v>0</v>
      </c>
      <c r="CA130" s="175">
        <f>(INDEX('SV calc_ignore'!$J$10:$J$1341,12*Output!A130-0))*BS130</f>
        <v>0</v>
      </c>
      <c r="CB130" s="175">
        <f t="shared" si="83"/>
        <v>0</v>
      </c>
      <c r="CC130" s="175">
        <f>(INDEX('SV calc_ignore'!$J$10:$J$1341,12*Output!A130-0))*BS130</f>
        <v>0</v>
      </c>
      <c r="CD130" s="175">
        <f t="shared" si="84"/>
        <v>0</v>
      </c>
      <c r="CE130" s="66">
        <f>(INDEX('SV calc_ignore'!$J$10:$J$1341,12*Output!A130-0))*($CE$21)</f>
        <v>0</v>
      </c>
      <c r="CF130" s="175">
        <f t="shared" si="85"/>
        <v>0</v>
      </c>
      <c r="CG130" s="175">
        <f>(INDEX('SV calc_ignore'!$J$10:$J$1341,12*Output!A130-0))*($CG$21)*(A130&gt;1)</f>
        <v>0</v>
      </c>
      <c r="CH130" s="175">
        <f>(INDEX('SV calc_ignore'!$J$10:$J$1341,12*Output!A130-0))*($CH$21)*(A130&gt;1)</f>
        <v>0</v>
      </c>
      <c r="CI130" s="175"/>
      <c r="CJ130" s="66">
        <f>(INDEX('SV calc_ignore'!$J$10:$J$1341,12*Output!A130-0))*($CJ$21)*(A130&gt;1)</f>
        <v>0</v>
      </c>
      <c r="CK130" s="66">
        <f>(INDEX('SV calc_ignore'!$Q$10:$Q$1341,12*Output!A130-0))*(AND(A130&gt;1,R130&lt;20))*($CK$21)</f>
        <v>0</v>
      </c>
      <c r="CL130" s="66">
        <f t="shared" si="86"/>
        <v>0</v>
      </c>
      <c r="CM130" s="175">
        <f>((INDEX('SV calc_ignore'!$J$10:$J$1341,12*Output!A130-0))+(INDEX('SV calc_ignore'!$O$10:$O$1341,12*Output!A130-0))*(A130&lt;'SV calc_ignore'!$Q$5))*(A130&gt;1)*($CM$21)</f>
        <v>0</v>
      </c>
      <c r="CN130" s="175">
        <v>0</v>
      </c>
      <c r="CO130" s="175">
        <f>(INDEX('SV calc_ignore'!$J$10:$J$1341,12*Output!A130-0))*(A130&gt;1)*($CO$21)</f>
        <v>0</v>
      </c>
      <c r="CP130" s="175">
        <v>0</v>
      </c>
      <c r="CQ130" s="175">
        <v>0</v>
      </c>
      <c r="CR130" s="175">
        <v>0</v>
      </c>
      <c r="CS130" s="175">
        <v>0</v>
      </c>
      <c r="CT130" s="175">
        <v>0</v>
      </c>
      <c r="CU130" s="175">
        <v>0</v>
      </c>
      <c r="CV130" s="175">
        <f>(INDEX('SV calc_ignore'!$J$10:$J$1341,12*Output!A130-0))*(A130&gt;1)*($CV$21)</f>
        <v>0</v>
      </c>
      <c r="CW130" s="66">
        <f>((INDEX('SV calc_ignore'!$J$10:$J$1341,12*Output!A130-0))+(INDEX('SV calc_ignore'!$O$10:$O$1351,12*Output!A130-0))*(A130&lt;'SV calc_ignore'!$Q$5))*(A130&gt;1)*($CW$21)</f>
        <v>0</v>
      </c>
      <c r="CX130" s="175">
        <f>(INDEX('SV calc_ignore'!$J$10:$J$1341,12*Output!A130-0))*(A130&gt;1)*($CX$21)</f>
        <v>0</v>
      </c>
      <c r="CY130" s="175">
        <f>(INDEX('SV calc_ignore'!$Q$10:$Q$1341,12*Output!A130-0))*(AND(A130&gt;1,R130&lt;20))*($CY$21)</f>
        <v>0</v>
      </c>
      <c r="CZ130" s="175">
        <f t="shared" si="87"/>
        <v>0</v>
      </c>
      <c r="DE130" s="43">
        <f>IF($DE$23,0,VLOOKUP(IF(A130&lt;=DP,DJ130,DI130),SSV!$B$6:$C$116,2,FALSE)*VLOOKUP(AnnuityOption,'All Options'!$AB$36:$AC$47,2,FALSE)*VLOOKUP('All Options'!$E$22,'Valid Data-GPG'!$B$130:$F$134,MATCH('All Options'!$E$17,'Valid Data-GPG'!$B$130:$F$130,0),0)*'All Options'!$E$17)*(IF(AND(Select="Deferred Annuity",AnnuityOption="Life Annuity"),A130&lt;=DP,1))</f>
        <v>3274327.0531593515</v>
      </c>
      <c r="DF130" s="43">
        <f>IF($DF$23,0,IF($DQ$25,DQ130,IF($DR$25,DR130,VLOOKUP(IF(A130&lt;=DP,DJ130,DI130),SSV!$G$6:$H$116,2,FALSE)*SUM($B$27:B130))))</f>
        <v>1006161.5</v>
      </c>
      <c r="DG130" s="43" t="e">
        <f>IF(A130&lt;=DP,VLOOKUP(DP-A129,SSV!$T$6:$U$15,2,FALSE),1)</f>
        <v>#N/A</v>
      </c>
      <c r="DH130" s="282" t="e">
        <f t="shared" si="102"/>
        <v>#VALUE!</v>
      </c>
      <c r="DI130" s="43">
        <f>IF($DM$26,MIN(Age,'All Options'!$E$21)+A129,IF($DN$26,(Age+A129)-Age+60,IF($DO$26,(Age+A129)-Age+55,Age+A129)))</f>
        <v>60</v>
      </c>
      <c r="DJ130" s="279">
        <f>IF($DM$26,MIN(Age+A130,'All Options'!$E$21+A130),IF($DN$26,(Age+A130)-(Age+$A$27)+60,IF($DO$26,(Age+A130)-(Age+$A$27)+55,Age+A130)))</f>
        <v>60</v>
      </c>
      <c r="DP130" s="43">
        <f t="shared" si="88"/>
        <v>0</v>
      </c>
      <c r="DQ130" s="43">
        <f>IFERROR(VLOOKUP(IF(A130&lt;=DP,DJ130,DI130),SSV!$K$6:$L$91,2,FALSE)*SUM($B$27:B130),0)*($DQ$25)</f>
        <v>0</v>
      </c>
      <c r="DR130" s="43">
        <f>IFERROR(VLOOKUP(IF(A130&lt;=DP,DJ130,DI130),SSV!$O$6:$P$95,2,FALSE)*SUM($B$27:B130),0)*($DR$25)</f>
        <v>0</v>
      </c>
      <c r="DU130" s="175">
        <f t="shared" si="103"/>
        <v>0</v>
      </c>
    </row>
    <row r="131" spans="1:125" x14ac:dyDescent="0.2">
      <c r="A131" s="146">
        <f t="shared" si="104"/>
        <v>0</v>
      </c>
      <c r="B131" s="670">
        <f>IF(PremiumType="Regular Premium",'All Options'!$E$18*'All Options'!$E$22*(AND(Output!A131&lt;=PPT,A131&gt;=1)),'All Options'!$E$18*(A131=1))</f>
        <v>0</v>
      </c>
      <c r="C131" s="671"/>
      <c r="D131" s="103" t="e">
        <f>((VLOOKUP(CONCATENATE($D$14,$D$15),'All Options'!$AB$36:$AC$47,4,0)*VLOOKUP('All Options'!$E$22,'Valid Data-GPG'!$B$130:$F$134,MATCH('All Options'!$E$17,'Valid Data-GPG'!$B$130:$F$130,0),0)*'All Options'!$E$17)*IF(Select="Deferred Annuity",A131&gt;DP,1)+AE131+AF131*AG131*$AG$21)*(A131&gt;0)</f>
        <v>#N/A</v>
      </c>
      <c r="E131" s="103">
        <v>0</v>
      </c>
      <c r="F131" s="103" t="e">
        <f t="shared" si="71"/>
        <v>#N/A</v>
      </c>
      <c r="G131" s="103">
        <f t="shared" si="89"/>
        <v>0</v>
      </c>
      <c r="H131" s="285">
        <f t="shared" si="72"/>
        <v>0</v>
      </c>
      <c r="I131" s="103">
        <f t="shared" si="73"/>
        <v>0</v>
      </c>
      <c r="K131" s="175" t="str">
        <f t="shared" si="105"/>
        <v/>
      </c>
      <c r="L131" s="175"/>
      <c r="M131" s="175"/>
      <c r="N131" s="175"/>
      <c r="O131" s="175"/>
      <c r="P131" s="175"/>
      <c r="Q131" s="175"/>
      <c r="R131" s="175">
        <f t="shared" si="106"/>
        <v>0</v>
      </c>
      <c r="AB131" s="175" t="e">
        <f>(VLOOKUP(CONCATENATE($D$14,$D$15),'All Options'!$AB$36:$AC$47,4,0)*VLOOKUP('All Options'!$E$22,'Valid Data-GPG'!$B$130:$F$134,MATCH('All Options'!$E$17,'Valid Data-GPG'!$B$130:$F$130,0),0)*'All Options'!$E$17)*IF(Select="Deferred Annuity",A131&gt;DP,1)*(A131&gt;0)</f>
        <v>#N/A</v>
      </c>
      <c r="AC131" s="175">
        <f t="shared" si="90"/>
        <v>0</v>
      </c>
      <c r="AD131" s="175">
        <f>SUM($AC$26:AC131)</f>
        <v>0</v>
      </c>
      <c r="AE131" s="175">
        <f t="shared" si="91"/>
        <v>0</v>
      </c>
      <c r="AF131" s="175">
        <f t="shared" si="92"/>
        <v>0</v>
      </c>
      <c r="AG131" s="175" t="b">
        <f>(SUM($AF$26:AF131)&lt;=$AB$17)</f>
        <v>0</v>
      </c>
      <c r="AY131" s="175"/>
      <c r="AZ131" s="66">
        <f>((MAX((SUM($B$26:C131)+(VLOOKUP($AZ$25,'All Options'!$AB$36:$AC$46,2,0)*VLOOKUP('All Options'!$E$22,'Valid Data-GPG'!$B$130:$F$134,MATCH('All Options'!$E$17,'Valid Data-GPG'!$B$130:$F$130,0),0)*'All Options'!$E$17)*(IF(A131&lt;=DP,A131,0))),105%*SUM($B$26:C131)))*(AND(A131&lt;&gt;0,Output!A131&lt;=DP))+(0)*(A131&gt;DP))*$AZ$21</f>
        <v>0</v>
      </c>
      <c r="BA131" s="175" t="e">
        <f>((MAX((SUM($B$26:C131)+(VLOOKUP($BA$25,'All Options'!$AB$36:$AC$46,2,0)*VLOOKUP('All Options'!$E$22,'Valid Data-GPG'!$B$130:$F$134,MATCH('All Options'!$E$17,'Valid Data-GPG'!$B$130:$F$130,0),0)*'All Options'!$E$17)*(IF(A131&lt;=DP,A131,0))),105%*SUM($B$26:C131)))*(Output!A131&lt;=DP)
+MAX((SUM($B$26:C131)+(VLOOKUP($BA$25,'All Options'!$AB$36:$AC$46,2,0)*VLOOKUP('All Options'!$E$22,'Valid Data-GPG'!$B$130:$F$134,MATCH('All Options'!$E$17,'Valid Data-GPG'!$B$130:$F$130,0),0)*'All Options'!$E$17)*DP-D131*(A131-DP)),SUM($B$26:C131))*(A131&gt;DP))*$BA$21</f>
        <v>#N/A</v>
      </c>
      <c r="BB131" s="175">
        <f>((MAX(($AB$17+(VLOOKUP($BB$25,'All Options'!$AB$36:$AC$46,2,0)*VLOOKUP('All Options'!$E$22,'Valid Data-GPG'!$B$130:$F$134,MATCH('All Options'!$E$17,'Valid Data-GPG'!$B$130:$F$130,0),0)*'All Options'!$E$17)*(IF(A131&lt;=DP,A131,0))),105%*$AB$17))*(Output!A131&lt;=DP)+(0)*(A131&gt;DP))*$BB$21</f>
        <v>0</v>
      </c>
      <c r="BC131" s="175" t="e">
        <f>((MAX(($AB$17+(VLOOKUP($BC$25,'All Options'!$AB$36:$AC$46,2,0)*VLOOKUP('All Options'!$E$22,'Valid Data-GPG'!$B$130:$F$134,MATCH('All Options'!$E$17,'Valid Data-GPG'!$B$130:$F$130,0),0)*'All Options'!$E$17)*(IF(A131&lt;=DP,A131,0))),105%*$AB$17))*(Output!A131&lt;=DP)+
MAX(($AB$17+(VLOOKUP($BC$25,'All Options'!$AB$36:$AC$46,2,0)*VLOOKUP('All Options'!$E$22,'Valid Data-GPG'!$B$130:$F$134,MATCH('All Options'!$E$17,'Valid Data-GPG'!$B$130:$F$130,0),0)*'All Options'!$E$17)*DP-D131*(A131-DP)),$AB$17)*(A131&gt;DP))*$BC$21</f>
        <v>#N/A</v>
      </c>
      <c r="BD131" s="175">
        <f ca="1">IFERROR((MAX(($AB$17+(VLOOKUP($BD$25,'All Options'!$AB$36:$AC$46,2,0)*VLOOKUP('All Options'!$E$22,'Valid Data-GPG'!$B$130:$F$134,MATCH('All Options'!$E$17,'Valid Data-GPG'!$B$130:$F$130,0),0)*'All Options'!$E$17)*(IF(A131&lt;=DP,A131,0))),105%*$AB$17))*(Output!A131&lt;=DP)
+MAX(($AB$17+(VLOOKUP($BD$25,'All Options'!$AB$36:$AC$46,2,0)*VLOOKUP('All Options'!$E$22,'Valid Data-GPG'!$B$130:$F$134,MATCH('All Options'!$E$17,'Valid Data-GPG'!$B$130:$F$130,0),0)*'All Options'!$E$17)*DP-D131*(A131-DP)),$AB$17)*(A131&gt;DP),0)*$BD$21</f>
        <v>0</v>
      </c>
      <c r="BE131" s="66">
        <f>IFERROR((MAX(($AB$17+(VLOOKUP($BE$25,'All Options'!$AB$36:$AC$46,2,0)*VLOOKUP('All Options'!$E$22,'Valid Data-GPG'!$B$130:$F$134,MATCH('All Options'!$E$17,'Valid Data-GPG'!$B$130:$F$130,0),0)*'All Options'!$E$17)*(IF(A131&lt;=DP,A131,0))),105%*$AB$17))*(Output!A131&lt;=DP)
+(MAX($AB$17+(VLOOKUP($BE$25,'All Options'!$AB$36:$AC$46,2,0)*VLOOKUP('All Options'!$E$22,'Valid Data-GPG'!$B$130:$F$134,MATCH('All Options'!$E$17,'Valid Data-GPG'!$B$130:$F$130,0),0)*'All Options'!$E$17)*DP-AB131*(A131-DP),$AB$17)*(MAX(A131&lt;=25,K131&lt;85)))*(A131&gt;DP),0)*$BE$21</f>
        <v>0</v>
      </c>
      <c r="BF131" s="175">
        <f>IFERROR((MAX(($AB$17+(VLOOKUP($BF$25,'All Options'!$AB$36:$AC$46,2,0)*VLOOKUP('All Options'!$E$22,'Valid Data-GPG'!$B$130:$F$134,MATCH('All Options'!$E$17,'Valid Data-GPG'!$B$130:$F$130,0),0)*'All Options'!$E$17)*(IF(A131&lt;=DP,A131,0))),105%*$AB$17))*(Output!A131&lt;=DP)
+(MAX($AB$17+(VLOOKUP($BF$25,'All Options'!$AB$36:$AC$46,2,0)*VLOOKUP('All Options'!$E$22,'Valid Data-GPG'!$B$130:$F$134,MATCH('All Options'!$E$17,'Valid Data-GPG'!$B$130:$F$130,0),0)*'All Options'!$E$17)*DP-AB131*(A131-DP),$AB$17)-SUM($AF$26:AF131)*AG131)*(A131&gt;DP)*AG131,0)*$BF$21</f>
        <v>0</v>
      </c>
      <c r="BG131" s="175">
        <f t="shared" si="76"/>
        <v>0</v>
      </c>
      <c r="BH131" s="182">
        <f t="shared" si="93"/>
        <v>5000000</v>
      </c>
      <c r="BI131" s="175">
        <f t="shared" si="77"/>
        <v>0</v>
      </c>
      <c r="BJ131" s="175">
        <f t="shared" si="78"/>
        <v>0</v>
      </c>
      <c r="BK131" s="175">
        <f t="shared" si="79"/>
        <v>0</v>
      </c>
      <c r="BL131" s="175">
        <f t="shared" si="80"/>
        <v>0</v>
      </c>
      <c r="BM131" s="175">
        <f t="shared" si="81"/>
        <v>0</v>
      </c>
      <c r="BN131" s="175">
        <f t="shared" si="82"/>
        <v>0</v>
      </c>
      <c r="BO131" s="182">
        <f t="shared" si="94"/>
        <v>0</v>
      </c>
      <c r="BP131" s="182">
        <f t="shared" si="95"/>
        <v>0</v>
      </c>
      <c r="BQ131" s="182">
        <f>MAX($AB$17-SUM($AF$26:AF131),0)*$BQ$21</f>
        <v>0</v>
      </c>
      <c r="BS131" s="175">
        <f t="shared" si="96"/>
        <v>0</v>
      </c>
      <c r="BT131" s="175">
        <f>IFERROR(IF(A131&lt;=1,0,VLOOKUP(DP,'Valid Data-GPG'!$A$116:$J$122,MATCH(Output!A131,'Valid Data-GPG'!$A$116:$J$116,0),FALSE)*SUM($B$26:C131))*(A131&lt;=DP),0)*$BT$21</f>
        <v>0</v>
      </c>
      <c r="BU131" s="175">
        <f>IFERROR(IF(A131&lt;=1,0,VLOOKUP(DP,'Valid Data-GPG'!$A$116:$J$122,MATCH(Output!A131,'Valid Data-GPG'!$A$116:$J$116,0),FALSE)*SUM($B$26:C131))*(A131&lt;=DP),0)*$BU$21</f>
        <v>0</v>
      </c>
      <c r="BV131" s="175">
        <f t="shared" si="97"/>
        <v>0</v>
      </c>
      <c r="BW131" s="175">
        <f t="shared" si="98"/>
        <v>0</v>
      </c>
      <c r="BX131" s="175">
        <f t="shared" si="99"/>
        <v>0</v>
      </c>
      <c r="BY131" s="175">
        <f t="shared" si="100"/>
        <v>0</v>
      </c>
      <c r="BZ131" s="175">
        <f t="shared" si="101"/>
        <v>0</v>
      </c>
      <c r="CA131" s="175">
        <f>(INDEX('SV calc_ignore'!$J$10:$J$1341,12*Output!A131-0))*BS131</f>
        <v>0</v>
      </c>
      <c r="CB131" s="175">
        <f t="shared" si="83"/>
        <v>0</v>
      </c>
      <c r="CC131" s="175">
        <f>(INDEX('SV calc_ignore'!$J$10:$J$1341,12*Output!A131-0))*BS131</f>
        <v>0</v>
      </c>
      <c r="CD131" s="175">
        <f t="shared" si="84"/>
        <v>0</v>
      </c>
      <c r="CE131" s="66">
        <f>(INDEX('SV calc_ignore'!$J$10:$J$1341,12*Output!A131-0))*($CE$21)</f>
        <v>0</v>
      </c>
      <c r="CF131" s="175">
        <f t="shared" si="85"/>
        <v>0</v>
      </c>
      <c r="CG131" s="175">
        <f>(INDEX('SV calc_ignore'!$J$10:$J$1341,12*Output!A131-0))*($CG$21)*(A131&gt;1)</f>
        <v>0</v>
      </c>
      <c r="CH131" s="175">
        <f>(INDEX('SV calc_ignore'!$J$10:$J$1341,12*Output!A131-0))*($CH$21)*(A131&gt;1)</f>
        <v>0</v>
      </c>
      <c r="CI131" s="175"/>
      <c r="CJ131" s="66">
        <f>(INDEX('SV calc_ignore'!$J$10:$J$1341,12*Output!A131-0))*($CJ$21)*(A131&gt;1)</f>
        <v>0</v>
      </c>
      <c r="CK131" s="66">
        <f>(INDEX('SV calc_ignore'!$Q$10:$Q$1341,12*Output!A131-0))*(AND(A131&gt;1,R131&lt;20))*($CK$21)</f>
        <v>0</v>
      </c>
      <c r="CL131" s="66">
        <f t="shared" si="86"/>
        <v>0</v>
      </c>
      <c r="CM131" s="175">
        <f>((INDEX('SV calc_ignore'!$J$10:$J$1341,12*Output!A131-0))+(INDEX('SV calc_ignore'!$O$10:$O$1341,12*Output!A131-0))*(A131&lt;'SV calc_ignore'!$Q$5))*(A131&gt;1)*($CM$21)</f>
        <v>0</v>
      </c>
      <c r="CN131" s="175">
        <v>0</v>
      </c>
      <c r="CO131" s="175">
        <f>(INDEX('SV calc_ignore'!$J$10:$J$1341,12*Output!A131-0))*(A131&gt;1)*($CO$21)</f>
        <v>0</v>
      </c>
      <c r="CP131" s="175">
        <v>0</v>
      </c>
      <c r="CQ131" s="175">
        <v>0</v>
      </c>
      <c r="CR131" s="175">
        <v>0</v>
      </c>
      <c r="CS131" s="175">
        <v>0</v>
      </c>
      <c r="CT131" s="175">
        <v>0</v>
      </c>
      <c r="CU131" s="175">
        <v>0</v>
      </c>
      <c r="CV131" s="175">
        <f>(INDEX('SV calc_ignore'!$J$10:$J$1341,12*Output!A131-0))*(A131&gt;1)*($CV$21)</f>
        <v>0</v>
      </c>
      <c r="CW131" s="66">
        <f>((INDEX('SV calc_ignore'!$J$10:$J$1341,12*Output!A131-0))+(INDEX('SV calc_ignore'!$O$10:$O$1351,12*Output!A131-0))*(A131&lt;'SV calc_ignore'!$Q$5))*(A131&gt;1)*($CW$21)</f>
        <v>0</v>
      </c>
      <c r="CX131" s="175">
        <f>(INDEX('SV calc_ignore'!$J$10:$J$1341,12*Output!A131-0))*(A131&gt;1)*($CX$21)</f>
        <v>0</v>
      </c>
      <c r="CY131" s="175">
        <f>(INDEX('SV calc_ignore'!$Q$10:$Q$1341,12*Output!A131-0))*(AND(A131&gt;1,R131&lt;20))*($CY$21)</f>
        <v>0</v>
      </c>
      <c r="CZ131" s="175">
        <f t="shared" si="87"/>
        <v>0</v>
      </c>
      <c r="DE131" s="43">
        <f>IF($DE$23,0,VLOOKUP(IF(A131&lt;=DP,DJ131,DI131),SSV!$B$6:$C$116,2,FALSE)*VLOOKUP(AnnuityOption,'All Options'!$AB$36:$AC$47,2,FALSE)*VLOOKUP('All Options'!$E$22,'Valid Data-GPG'!$B$130:$F$134,MATCH('All Options'!$E$17,'Valid Data-GPG'!$B$130:$F$130,0),0)*'All Options'!$E$17)*(IF(AND(Select="Deferred Annuity",AnnuityOption="Life Annuity"),A131&lt;=DP,1))</f>
        <v>3274327.0531593515</v>
      </c>
      <c r="DF131" s="43">
        <f>IF($DF$23,0,IF($DQ$25,DQ131,IF($DR$25,DR131,VLOOKUP(IF(A131&lt;=DP,DJ131,DI131),SSV!$G$6:$H$116,2,FALSE)*SUM($B$27:B131))))</f>
        <v>1006161.5</v>
      </c>
      <c r="DG131" s="43" t="e">
        <f>IF(A131&lt;=DP,VLOOKUP(DP-A130,SSV!$T$6:$U$15,2,FALSE),1)</f>
        <v>#N/A</v>
      </c>
      <c r="DH131" s="282" t="e">
        <f t="shared" si="102"/>
        <v>#VALUE!</v>
      </c>
      <c r="DI131" s="43">
        <f>IF($DM$26,MIN(Age,'All Options'!$E$21)+A130,IF($DN$26,(Age+A130)-Age+60,IF($DO$26,(Age+A130)-Age+55,Age+A130)))</f>
        <v>60</v>
      </c>
      <c r="DJ131" s="279">
        <f>IF($DM$26,MIN(Age+A131,'All Options'!$E$21+A131),IF($DN$26,(Age+A131)-(Age+$A$27)+60,IF($DO$26,(Age+A131)-(Age+$A$27)+55,Age+A131)))</f>
        <v>60</v>
      </c>
      <c r="DP131" s="43">
        <f t="shared" si="88"/>
        <v>0</v>
      </c>
      <c r="DQ131" s="43">
        <f>IFERROR(VLOOKUP(IF(A131&lt;=DP,DJ131,DI131),SSV!$K$6:$L$91,2,FALSE)*SUM($B$27:B131),0)*($DQ$25)</f>
        <v>0</v>
      </c>
      <c r="DR131" s="43">
        <f>IFERROR(VLOOKUP(IF(A131&lt;=DP,DJ131,DI131),SSV!$O$6:$P$95,2,FALSE)*SUM($B$27:B131),0)*($DR$25)</f>
        <v>0</v>
      </c>
      <c r="DU131" s="175">
        <f t="shared" si="103"/>
        <v>0</v>
      </c>
    </row>
    <row r="132" spans="1:125" x14ac:dyDescent="0.2">
      <c r="A132" s="146">
        <f t="shared" si="104"/>
        <v>0</v>
      </c>
      <c r="B132" s="670">
        <f>IF(PremiumType="Regular Premium",'All Options'!$E$18*'All Options'!$E$22*(AND(Output!A132&lt;=PPT,A132&gt;=1)),'All Options'!$E$18*(A132=1))</f>
        <v>0</v>
      </c>
      <c r="C132" s="671"/>
      <c r="D132" s="103" t="e">
        <f>((VLOOKUP(CONCATENATE($D$14,$D$15),'All Options'!$AB$36:$AC$47,4,0)*VLOOKUP('All Options'!$E$22,'Valid Data-GPG'!$B$130:$F$134,MATCH('All Options'!$E$17,'Valid Data-GPG'!$B$130:$F$130,0),0)*'All Options'!$E$17)*IF(Select="Deferred Annuity",A132&gt;DP,1)+AE132+AF132*AG132*$AG$21)*(A132&gt;0)</f>
        <v>#N/A</v>
      </c>
      <c r="E132" s="103">
        <v>0</v>
      </c>
      <c r="F132" s="103" t="e">
        <f t="shared" si="71"/>
        <v>#N/A</v>
      </c>
      <c r="G132" s="103">
        <f t="shared" si="89"/>
        <v>0</v>
      </c>
      <c r="H132" s="285">
        <f t="shared" si="72"/>
        <v>0</v>
      </c>
      <c r="I132" s="103">
        <f t="shared" si="73"/>
        <v>0</v>
      </c>
      <c r="K132" s="175" t="str">
        <f t="shared" si="105"/>
        <v/>
      </c>
      <c r="L132" s="175"/>
      <c r="M132" s="175"/>
      <c r="N132" s="175"/>
      <c r="O132" s="175"/>
      <c r="P132" s="175"/>
      <c r="Q132" s="175"/>
      <c r="R132" s="175">
        <f t="shared" si="106"/>
        <v>0</v>
      </c>
      <c r="AB132" s="175" t="e">
        <f>(VLOOKUP(CONCATENATE($D$14,$D$15),'All Options'!$AB$36:$AC$47,4,0)*VLOOKUP('All Options'!$E$22,'Valid Data-GPG'!$B$130:$F$134,MATCH('All Options'!$E$17,'Valid Data-GPG'!$B$130:$F$130,0),0)*'All Options'!$E$17)*IF(Select="Deferred Annuity",A132&gt;DP,1)*(A132&gt;0)</f>
        <v>#N/A</v>
      </c>
      <c r="AC132" s="175">
        <f t="shared" si="90"/>
        <v>0</v>
      </c>
      <c r="AD132" s="175">
        <f>SUM($AC$26:AC132)</f>
        <v>0</v>
      </c>
      <c r="AE132" s="175">
        <f t="shared" si="91"/>
        <v>0</v>
      </c>
      <c r="AF132" s="175">
        <f t="shared" si="92"/>
        <v>0</v>
      </c>
      <c r="AG132" s="175" t="b">
        <f>(SUM($AF$26:AF132)&lt;=$AB$17)</f>
        <v>0</v>
      </c>
      <c r="AY132" s="175"/>
      <c r="AZ132" s="66">
        <f>((MAX((SUM($B$26:C132)+(VLOOKUP($AZ$25,'All Options'!$AB$36:$AC$46,2,0)*VLOOKUP('All Options'!$E$22,'Valid Data-GPG'!$B$130:$F$134,MATCH('All Options'!$E$17,'Valid Data-GPG'!$B$130:$F$130,0),0)*'All Options'!$E$17)*(IF(A132&lt;=DP,A132,0))),105%*SUM($B$26:C132)))*(AND(A132&lt;&gt;0,Output!A132&lt;=DP))+(0)*(A132&gt;DP))*$AZ$21</f>
        <v>0</v>
      </c>
      <c r="BA132" s="175" t="e">
        <f>((MAX((SUM($B$26:C132)+(VLOOKUP($BA$25,'All Options'!$AB$36:$AC$46,2,0)*VLOOKUP('All Options'!$E$22,'Valid Data-GPG'!$B$130:$F$134,MATCH('All Options'!$E$17,'Valid Data-GPG'!$B$130:$F$130,0),0)*'All Options'!$E$17)*(IF(A132&lt;=DP,A132,0))),105%*SUM($B$26:C132)))*(Output!A132&lt;=DP)
+MAX((SUM($B$26:C132)+(VLOOKUP($BA$25,'All Options'!$AB$36:$AC$46,2,0)*VLOOKUP('All Options'!$E$22,'Valid Data-GPG'!$B$130:$F$134,MATCH('All Options'!$E$17,'Valid Data-GPG'!$B$130:$F$130,0),0)*'All Options'!$E$17)*DP-D132*(A132-DP)),SUM($B$26:C132))*(A132&gt;DP))*$BA$21</f>
        <v>#N/A</v>
      </c>
      <c r="BB132" s="175">
        <f>((MAX(($AB$17+(VLOOKUP($BB$25,'All Options'!$AB$36:$AC$46,2,0)*VLOOKUP('All Options'!$E$22,'Valid Data-GPG'!$B$130:$F$134,MATCH('All Options'!$E$17,'Valid Data-GPG'!$B$130:$F$130,0),0)*'All Options'!$E$17)*(IF(A132&lt;=DP,A132,0))),105%*$AB$17))*(Output!A132&lt;=DP)+(0)*(A132&gt;DP))*$BB$21</f>
        <v>0</v>
      </c>
      <c r="BC132" s="175" t="e">
        <f>((MAX(($AB$17+(VLOOKUP($BC$25,'All Options'!$AB$36:$AC$46,2,0)*VLOOKUP('All Options'!$E$22,'Valid Data-GPG'!$B$130:$F$134,MATCH('All Options'!$E$17,'Valid Data-GPG'!$B$130:$F$130,0),0)*'All Options'!$E$17)*(IF(A132&lt;=DP,A132,0))),105%*$AB$17))*(Output!A132&lt;=DP)+
MAX(($AB$17+(VLOOKUP($BC$25,'All Options'!$AB$36:$AC$46,2,0)*VLOOKUP('All Options'!$E$22,'Valid Data-GPG'!$B$130:$F$134,MATCH('All Options'!$E$17,'Valid Data-GPG'!$B$130:$F$130,0),0)*'All Options'!$E$17)*DP-D132*(A132-DP)),$AB$17)*(A132&gt;DP))*$BC$21</f>
        <v>#N/A</v>
      </c>
      <c r="BD132" s="175">
        <f ca="1">IFERROR((MAX(($AB$17+(VLOOKUP($BD$25,'All Options'!$AB$36:$AC$46,2,0)*VLOOKUP('All Options'!$E$22,'Valid Data-GPG'!$B$130:$F$134,MATCH('All Options'!$E$17,'Valid Data-GPG'!$B$130:$F$130,0),0)*'All Options'!$E$17)*(IF(A132&lt;=DP,A132,0))),105%*$AB$17))*(Output!A132&lt;=DP)
+MAX(($AB$17+(VLOOKUP($BD$25,'All Options'!$AB$36:$AC$46,2,0)*VLOOKUP('All Options'!$E$22,'Valid Data-GPG'!$B$130:$F$134,MATCH('All Options'!$E$17,'Valid Data-GPG'!$B$130:$F$130,0),0)*'All Options'!$E$17)*DP-D132*(A132-DP)),$AB$17)*(A132&gt;DP),0)*$BD$21</f>
        <v>0</v>
      </c>
      <c r="BE132" s="66">
        <f>IFERROR((MAX(($AB$17+(VLOOKUP($BE$25,'All Options'!$AB$36:$AC$46,2,0)*VLOOKUP('All Options'!$E$22,'Valid Data-GPG'!$B$130:$F$134,MATCH('All Options'!$E$17,'Valid Data-GPG'!$B$130:$F$130,0),0)*'All Options'!$E$17)*(IF(A132&lt;=DP,A132,0))),105%*$AB$17))*(Output!A132&lt;=DP)
+(MAX($AB$17+(VLOOKUP($BE$25,'All Options'!$AB$36:$AC$46,2,0)*VLOOKUP('All Options'!$E$22,'Valid Data-GPG'!$B$130:$F$134,MATCH('All Options'!$E$17,'Valid Data-GPG'!$B$130:$F$130,0),0)*'All Options'!$E$17)*DP-AB132*(A132-DP),$AB$17)*(MAX(A132&lt;=25,K132&lt;85)))*(A132&gt;DP),0)*$BE$21</f>
        <v>0</v>
      </c>
      <c r="BF132" s="175">
        <f>IFERROR((MAX(($AB$17+(VLOOKUP($BF$25,'All Options'!$AB$36:$AC$46,2,0)*VLOOKUP('All Options'!$E$22,'Valid Data-GPG'!$B$130:$F$134,MATCH('All Options'!$E$17,'Valid Data-GPG'!$B$130:$F$130,0),0)*'All Options'!$E$17)*(IF(A132&lt;=DP,A132,0))),105%*$AB$17))*(Output!A132&lt;=DP)
+(MAX($AB$17+(VLOOKUP($BF$25,'All Options'!$AB$36:$AC$46,2,0)*VLOOKUP('All Options'!$E$22,'Valid Data-GPG'!$B$130:$F$134,MATCH('All Options'!$E$17,'Valid Data-GPG'!$B$130:$F$130,0),0)*'All Options'!$E$17)*DP-AB132*(A132-DP),$AB$17)-SUM($AF$26:AF132)*AG132)*(A132&gt;DP)*AG132,0)*$BF$21</f>
        <v>0</v>
      </c>
      <c r="BG132" s="175">
        <f t="shared" si="76"/>
        <v>0</v>
      </c>
      <c r="BH132" s="182">
        <f t="shared" si="93"/>
        <v>5000000</v>
      </c>
      <c r="BI132" s="175">
        <f t="shared" si="77"/>
        <v>0</v>
      </c>
      <c r="BJ132" s="175">
        <f t="shared" si="78"/>
        <v>0</v>
      </c>
      <c r="BK132" s="175">
        <f t="shared" si="79"/>
        <v>0</v>
      </c>
      <c r="BL132" s="175">
        <f t="shared" si="80"/>
        <v>0</v>
      </c>
      <c r="BM132" s="175">
        <f t="shared" si="81"/>
        <v>0</v>
      </c>
      <c r="BN132" s="175">
        <f t="shared" si="82"/>
        <v>0</v>
      </c>
      <c r="BO132" s="182">
        <f t="shared" si="94"/>
        <v>0</v>
      </c>
      <c r="BP132" s="182">
        <f t="shared" si="95"/>
        <v>0</v>
      </c>
      <c r="BQ132" s="182">
        <f>MAX($AB$17-SUM($AF$26:AF132),0)*$BQ$21</f>
        <v>0</v>
      </c>
      <c r="BS132" s="175">
        <f t="shared" si="96"/>
        <v>0</v>
      </c>
      <c r="BT132" s="175">
        <f>IFERROR(IF(A132&lt;=1,0,VLOOKUP(DP,'Valid Data-GPG'!$A$116:$J$122,MATCH(Output!A132,'Valid Data-GPG'!$A$116:$J$116,0),FALSE)*SUM($B$26:C132))*(A132&lt;=DP),0)*$BT$21</f>
        <v>0</v>
      </c>
      <c r="BU132" s="175">
        <f>IFERROR(IF(A132&lt;=1,0,VLOOKUP(DP,'Valid Data-GPG'!$A$116:$J$122,MATCH(Output!A132,'Valid Data-GPG'!$A$116:$J$116,0),FALSE)*SUM($B$26:C132))*(A132&lt;=DP),0)*$BU$21</f>
        <v>0</v>
      </c>
      <c r="BV132" s="175">
        <f t="shared" si="97"/>
        <v>0</v>
      </c>
      <c r="BW132" s="175">
        <f t="shared" si="98"/>
        <v>0</v>
      </c>
      <c r="BX132" s="175">
        <f t="shared" si="99"/>
        <v>0</v>
      </c>
      <c r="BY132" s="175">
        <f t="shared" si="100"/>
        <v>0</v>
      </c>
      <c r="BZ132" s="175">
        <f t="shared" si="101"/>
        <v>0</v>
      </c>
      <c r="CA132" s="175">
        <f>(INDEX('SV calc_ignore'!$J$10:$J$1341,12*Output!A132-0))*BS132</f>
        <v>0</v>
      </c>
      <c r="CB132" s="175">
        <f t="shared" si="83"/>
        <v>0</v>
      </c>
      <c r="CC132" s="175">
        <f>(INDEX('SV calc_ignore'!$J$10:$J$1341,12*Output!A132-0))*BS132</f>
        <v>0</v>
      </c>
      <c r="CD132" s="175">
        <f t="shared" si="84"/>
        <v>0</v>
      </c>
      <c r="CE132" s="66">
        <f>(INDEX('SV calc_ignore'!$J$10:$J$1341,12*Output!A132-0))*($CE$21)</f>
        <v>0</v>
      </c>
      <c r="CF132" s="175">
        <f t="shared" si="85"/>
        <v>0</v>
      </c>
      <c r="CG132" s="175">
        <f>(INDEX('SV calc_ignore'!$J$10:$J$1341,12*Output!A132-0))*($CG$21)*(A132&gt;1)</f>
        <v>0</v>
      </c>
      <c r="CH132" s="175">
        <f>(INDEX('SV calc_ignore'!$J$10:$J$1341,12*Output!A132-0))*($CH$21)*(A132&gt;1)</f>
        <v>0</v>
      </c>
      <c r="CI132" s="175"/>
      <c r="CJ132" s="66">
        <f>(INDEX('SV calc_ignore'!$J$10:$J$1341,12*Output!A132-0))*($CJ$21)*(A132&gt;1)</f>
        <v>0</v>
      </c>
      <c r="CK132" s="66">
        <f>(INDEX('SV calc_ignore'!$Q$10:$Q$1341,12*Output!A132-0))*(AND(A132&gt;1,R132&lt;20))*($CK$21)</f>
        <v>0</v>
      </c>
      <c r="CL132" s="66">
        <f t="shared" si="86"/>
        <v>0</v>
      </c>
      <c r="CM132" s="175">
        <f>((INDEX('SV calc_ignore'!$J$10:$J$1341,12*Output!A132-0))+(INDEX('SV calc_ignore'!$O$10:$O$1341,12*Output!A132-0))*(A132&lt;'SV calc_ignore'!$Q$5))*(A132&gt;1)*($CM$21)</f>
        <v>0</v>
      </c>
      <c r="CN132" s="175">
        <v>0</v>
      </c>
      <c r="CO132" s="175">
        <f>(INDEX('SV calc_ignore'!$J$10:$J$1341,12*Output!A132-0))*(A132&gt;1)*($CO$21)</f>
        <v>0</v>
      </c>
      <c r="CP132" s="175">
        <v>0</v>
      </c>
      <c r="CQ132" s="175">
        <v>0</v>
      </c>
      <c r="CR132" s="175">
        <v>0</v>
      </c>
      <c r="CS132" s="175">
        <v>0</v>
      </c>
      <c r="CT132" s="175">
        <v>0</v>
      </c>
      <c r="CU132" s="175">
        <v>0</v>
      </c>
      <c r="CV132" s="175">
        <f>(INDEX('SV calc_ignore'!$J$10:$J$1341,12*Output!A132-0))*(A132&gt;1)*($CV$21)</f>
        <v>0</v>
      </c>
      <c r="CW132" s="66">
        <f>((INDEX('SV calc_ignore'!$J$10:$J$1341,12*Output!A132-0))+(INDEX('SV calc_ignore'!$O$10:$O$1351,12*Output!A132-0))*(A132&lt;'SV calc_ignore'!$Q$5))*(A132&gt;1)*($CW$21)</f>
        <v>0</v>
      </c>
      <c r="CX132" s="175">
        <f>(INDEX('SV calc_ignore'!$J$10:$J$1341,12*Output!A132-0))*(A132&gt;1)*($CX$21)</f>
        <v>0</v>
      </c>
      <c r="CY132" s="175">
        <f>(INDEX('SV calc_ignore'!$Q$10:$Q$1341,12*Output!A132-0))*(AND(A132&gt;1,R132&lt;20))*($CY$21)</f>
        <v>0</v>
      </c>
      <c r="CZ132" s="175">
        <f t="shared" si="87"/>
        <v>0</v>
      </c>
      <c r="DE132" s="43">
        <f>IF($DE$23,0,VLOOKUP(IF(A132&lt;=DP,DJ132,DI132),SSV!$B$6:$C$116,2,FALSE)*VLOOKUP(AnnuityOption,'All Options'!$AB$36:$AC$47,2,FALSE)*VLOOKUP('All Options'!$E$22,'Valid Data-GPG'!$B$130:$F$134,MATCH('All Options'!$E$17,'Valid Data-GPG'!$B$130:$F$130,0),0)*'All Options'!$E$17)*(IF(AND(Select="Deferred Annuity",AnnuityOption="Life Annuity"),A132&lt;=DP,1))</f>
        <v>3274327.0531593515</v>
      </c>
      <c r="DF132" s="43">
        <f>IF($DF$23,0,IF($DQ$25,DQ132,IF($DR$25,DR132,VLOOKUP(IF(A132&lt;=DP,DJ132,DI132),SSV!$G$6:$H$116,2,FALSE)*SUM($B$27:B132))))</f>
        <v>1006161.5</v>
      </c>
      <c r="DG132" s="43" t="e">
        <f>IF(A132&lt;=DP,VLOOKUP(DP-A131,SSV!$T$6:$U$15,2,FALSE),1)</f>
        <v>#N/A</v>
      </c>
      <c r="DH132" s="282" t="e">
        <f t="shared" si="102"/>
        <v>#VALUE!</v>
      </c>
      <c r="DI132" s="43">
        <f>IF($DM$26,MIN(Age,'All Options'!$E$21)+A131,IF($DN$26,(Age+A131)-Age+60,IF($DO$26,(Age+A131)-Age+55,Age+A131)))</f>
        <v>60</v>
      </c>
      <c r="DJ132" s="279">
        <f>IF($DM$26,MIN(Age+A132,'All Options'!$E$21+A132),IF($DN$26,(Age+A132)-(Age+$A$27)+60,IF($DO$26,(Age+A132)-(Age+$A$27)+55,Age+A132)))</f>
        <v>60</v>
      </c>
      <c r="DP132" s="43">
        <f t="shared" si="88"/>
        <v>0</v>
      </c>
      <c r="DQ132" s="43">
        <f>IFERROR(VLOOKUP(IF(A132&lt;=DP,DJ132,DI132),SSV!$K$6:$L$91,2,FALSE)*SUM($B$27:B132),0)*($DQ$25)</f>
        <v>0</v>
      </c>
      <c r="DR132" s="43">
        <f>IFERROR(VLOOKUP(IF(A132&lt;=DP,DJ132,DI132),SSV!$O$6:$P$95,2,FALSE)*SUM($B$27:B132),0)*($DR$25)</f>
        <v>0</v>
      </c>
      <c r="DU132" s="175">
        <f t="shared" si="103"/>
        <v>0</v>
      </c>
    </row>
    <row r="133" spans="1:125" x14ac:dyDescent="0.2">
      <c r="A133" s="146">
        <f t="shared" si="104"/>
        <v>0</v>
      </c>
      <c r="B133" s="670">
        <f>IF(PremiumType="Regular Premium",'All Options'!$E$18*'All Options'!$E$22*(AND(Output!A133&lt;=PPT,A133&gt;=1)),'All Options'!$E$18*(A133=1))</f>
        <v>0</v>
      </c>
      <c r="C133" s="671"/>
      <c r="D133" s="103" t="e">
        <f>((VLOOKUP(CONCATENATE($D$14,$D$15),'All Options'!$AB$36:$AC$47,4,0)*VLOOKUP('All Options'!$E$22,'Valid Data-GPG'!$B$130:$F$134,MATCH('All Options'!$E$17,'Valid Data-GPG'!$B$130:$F$130,0),0)*'All Options'!$E$17)*IF(Select="Deferred Annuity",A133&gt;DP,1)+AE133+AF133*AG133*$AG$21)*(A133&gt;0)</f>
        <v>#N/A</v>
      </c>
      <c r="E133" s="103">
        <v>0</v>
      </c>
      <c r="F133" s="103" t="e">
        <f t="shared" si="71"/>
        <v>#N/A</v>
      </c>
      <c r="G133" s="103">
        <f t="shared" si="89"/>
        <v>0</v>
      </c>
      <c r="H133" s="285">
        <f t="shared" si="72"/>
        <v>0</v>
      </c>
      <c r="I133" s="103">
        <f t="shared" si="73"/>
        <v>0</v>
      </c>
      <c r="K133" s="175" t="str">
        <f t="shared" si="105"/>
        <v/>
      </c>
      <c r="L133" s="175"/>
      <c r="M133" s="175"/>
      <c r="N133" s="175"/>
      <c r="O133" s="175"/>
      <c r="P133" s="175"/>
      <c r="Q133" s="175"/>
      <c r="R133" s="175">
        <f t="shared" si="106"/>
        <v>0</v>
      </c>
      <c r="AB133" s="175" t="e">
        <f>(VLOOKUP(CONCATENATE($D$14,$D$15),'All Options'!$AB$36:$AC$47,4,0)*VLOOKUP('All Options'!$E$22,'Valid Data-GPG'!$B$130:$F$134,MATCH('All Options'!$E$17,'Valid Data-GPG'!$B$130:$F$130,0),0)*'All Options'!$E$17)*IF(Select="Deferred Annuity",A133&gt;DP,1)*(A133&gt;0)</f>
        <v>#N/A</v>
      </c>
      <c r="AC133" s="175">
        <f t="shared" si="90"/>
        <v>0</v>
      </c>
      <c r="AD133" s="175">
        <f>SUM($AC$26:AC133)</f>
        <v>0</v>
      </c>
      <c r="AE133" s="175">
        <f t="shared" si="91"/>
        <v>0</v>
      </c>
      <c r="AF133" s="175">
        <f t="shared" si="92"/>
        <v>0</v>
      </c>
      <c r="AG133" s="175" t="b">
        <f>(SUM($AF$26:AF133)&lt;=$AB$17)</f>
        <v>0</v>
      </c>
      <c r="AY133" s="175"/>
      <c r="AZ133" s="66">
        <f>((MAX((SUM($B$26:C133)+(VLOOKUP($AZ$25,'All Options'!$AB$36:$AC$46,2,0)*VLOOKUP('All Options'!$E$22,'Valid Data-GPG'!$B$130:$F$134,MATCH('All Options'!$E$17,'Valid Data-GPG'!$B$130:$F$130,0),0)*'All Options'!$E$17)*(IF(A133&lt;=DP,A133,0))),105%*SUM($B$26:C133)))*(AND(A133&lt;&gt;0,Output!A133&lt;=DP))+(0)*(A133&gt;DP))*$AZ$21</f>
        <v>0</v>
      </c>
      <c r="BA133" s="175" t="e">
        <f>((MAX((SUM($B$26:C133)+(VLOOKUP($BA$25,'All Options'!$AB$36:$AC$46,2,0)*VLOOKUP('All Options'!$E$22,'Valid Data-GPG'!$B$130:$F$134,MATCH('All Options'!$E$17,'Valid Data-GPG'!$B$130:$F$130,0),0)*'All Options'!$E$17)*(IF(A133&lt;=DP,A133,0))),105%*SUM($B$26:C133)))*(Output!A133&lt;=DP)
+MAX((SUM($B$26:C133)+(VLOOKUP($BA$25,'All Options'!$AB$36:$AC$46,2,0)*VLOOKUP('All Options'!$E$22,'Valid Data-GPG'!$B$130:$F$134,MATCH('All Options'!$E$17,'Valid Data-GPG'!$B$130:$F$130,0),0)*'All Options'!$E$17)*DP-D133*(A133-DP)),SUM($B$26:C133))*(A133&gt;DP))*$BA$21</f>
        <v>#N/A</v>
      </c>
      <c r="BB133" s="175">
        <f>((MAX(($AB$17+(VLOOKUP($BB$25,'All Options'!$AB$36:$AC$46,2,0)*VLOOKUP('All Options'!$E$22,'Valid Data-GPG'!$B$130:$F$134,MATCH('All Options'!$E$17,'Valid Data-GPG'!$B$130:$F$130,0),0)*'All Options'!$E$17)*(IF(A133&lt;=DP,A133,0))),105%*$AB$17))*(Output!A133&lt;=DP)+(0)*(A133&gt;DP))*$BB$21</f>
        <v>0</v>
      </c>
      <c r="BC133" s="175" t="e">
        <f>((MAX(($AB$17+(VLOOKUP($BC$25,'All Options'!$AB$36:$AC$46,2,0)*VLOOKUP('All Options'!$E$22,'Valid Data-GPG'!$B$130:$F$134,MATCH('All Options'!$E$17,'Valid Data-GPG'!$B$130:$F$130,0),0)*'All Options'!$E$17)*(IF(A133&lt;=DP,A133,0))),105%*$AB$17))*(Output!A133&lt;=DP)+
MAX(($AB$17+(VLOOKUP($BC$25,'All Options'!$AB$36:$AC$46,2,0)*VLOOKUP('All Options'!$E$22,'Valid Data-GPG'!$B$130:$F$134,MATCH('All Options'!$E$17,'Valid Data-GPG'!$B$130:$F$130,0),0)*'All Options'!$E$17)*DP-D133*(A133-DP)),$AB$17)*(A133&gt;DP))*$BC$21</f>
        <v>#N/A</v>
      </c>
      <c r="BD133" s="175">
        <f ca="1">IFERROR((MAX(($AB$17+(VLOOKUP($BD$25,'All Options'!$AB$36:$AC$46,2,0)*VLOOKUP('All Options'!$E$22,'Valid Data-GPG'!$B$130:$F$134,MATCH('All Options'!$E$17,'Valid Data-GPG'!$B$130:$F$130,0),0)*'All Options'!$E$17)*(IF(A133&lt;=DP,A133,0))),105%*$AB$17))*(Output!A133&lt;=DP)
+MAX(($AB$17+(VLOOKUP($BD$25,'All Options'!$AB$36:$AC$46,2,0)*VLOOKUP('All Options'!$E$22,'Valid Data-GPG'!$B$130:$F$134,MATCH('All Options'!$E$17,'Valid Data-GPG'!$B$130:$F$130,0),0)*'All Options'!$E$17)*DP-D133*(A133-DP)),$AB$17)*(A133&gt;DP),0)*$BD$21</f>
        <v>0</v>
      </c>
      <c r="BE133" s="66">
        <f>IFERROR((MAX(($AB$17+(VLOOKUP($BE$25,'All Options'!$AB$36:$AC$46,2,0)*VLOOKUP('All Options'!$E$22,'Valid Data-GPG'!$B$130:$F$134,MATCH('All Options'!$E$17,'Valid Data-GPG'!$B$130:$F$130,0),0)*'All Options'!$E$17)*(IF(A133&lt;=DP,A133,0))),105%*$AB$17))*(Output!A133&lt;=DP)
+(MAX($AB$17+(VLOOKUP($BE$25,'All Options'!$AB$36:$AC$46,2,0)*VLOOKUP('All Options'!$E$22,'Valid Data-GPG'!$B$130:$F$134,MATCH('All Options'!$E$17,'Valid Data-GPG'!$B$130:$F$130,0),0)*'All Options'!$E$17)*DP-AB133*(A133-DP),$AB$17)*(MAX(A133&lt;=25,K133&lt;85)))*(A133&gt;DP),0)*$BE$21</f>
        <v>0</v>
      </c>
      <c r="BF133" s="175">
        <f>IFERROR((MAX(($AB$17+(VLOOKUP($BF$25,'All Options'!$AB$36:$AC$46,2,0)*VLOOKUP('All Options'!$E$22,'Valid Data-GPG'!$B$130:$F$134,MATCH('All Options'!$E$17,'Valid Data-GPG'!$B$130:$F$130,0),0)*'All Options'!$E$17)*(IF(A133&lt;=DP,A133,0))),105%*$AB$17))*(Output!A133&lt;=DP)
+(MAX($AB$17+(VLOOKUP($BF$25,'All Options'!$AB$36:$AC$46,2,0)*VLOOKUP('All Options'!$E$22,'Valid Data-GPG'!$B$130:$F$134,MATCH('All Options'!$E$17,'Valid Data-GPG'!$B$130:$F$130,0),0)*'All Options'!$E$17)*DP-AB133*(A133-DP),$AB$17)-SUM($AF$26:AF133)*AG133)*(A133&gt;DP)*AG133,0)*$BF$21</f>
        <v>0</v>
      </c>
      <c r="BG133" s="175">
        <f t="shared" si="76"/>
        <v>0</v>
      </c>
      <c r="BH133" s="182">
        <f t="shared" si="93"/>
        <v>5000000</v>
      </c>
      <c r="BI133" s="175">
        <f t="shared" si="77"/>
        <v>0</v>
      </c>
      <c r="BJ133" s="175">
        <f t="shared" si="78"/>
        <v>0</v>
      </c>
      <c r="BK133" s="175">
        <f t="shared" si="79"/>
        <v>0</v>
      </c>
      <c r="BL133" s="175">
        <f t="shared" si="80"/>
        <v>0</v>
      </c>
      <c r="BM133" s="175">
        <f t="shared" si="81"/>
        <v>0</v>
      </c>
      <c r="BN133" s="175">
        <f t="shared" si="82"/>
        <v>0</v>
      </c>
      <c r="BO133" s="182">
        <f t="shared" si="94"/>
        <v>0</v>
      </c>
      <c r="BP133" s="182">
        <f t="shared" si="95"/>
        <v>0</v>
      </c>
      <c r="BQ133" s="182">
        <f>MAX($AB$17-SUM($AF$26:AF133),0)*$BQ$21</f>
        <v>0</v>
      </c>
      <c r="BS133" s="175">
        <f t="shared" si="96"/>
        <v>0</v>
      </c>
      <c r="BT133" s="175">
        <f>IFERROR(IF(A133&lt;=1,0,VLOOKUP(DP,'Valid Data-GPG'!$A$116:$J$122,MATCH(Output!A133,'Valid Data-GPG'!$A$116:$J$116,0),FALSE)*SUM($B$26:C133))*(A133&lt;=DP),0)*$BT$21</f>
        <v>0</v>
      </c>
      <c r="BU133" s="175">
        <f>IFERROR(IF(A133&lt;=1,0,VLOOKUP(DP,'Valid Data-GPG'!$A$116:$J$122,MATCH(Output!A133,'Valid Data-GPG'!$A$116:$J$116,0),FALSE)*SUM($B$26:C133))*(A133&lt;=DP),0)*$BU$21</f>
        <v>0</v>
      </c>
      <c r="BV133" s="175">
        <f t="shared" si="97"/>
        <v>0</v>
      </c>
      <c r="BW133" s="175">
        <f t="shared" si="98"/>
        <v>0</v>
      </c>
      <c r="BX133" s="175">
        <f t="shared" si="99"/>
        <v>0</v>
      </c>
      <c r="BY133" s="175">
        <f t="shared" si="100"/>
        <v>0</v>
      </c>
      <c r="BZ133" s="175">
        <f t="shared" si="101"/>
        <v>0</v>
      </c>
      <c r="CA133" s="175">
        <f>(INDEX('SV calc_ignore'!$J$10:$J$1341,12*Output!A133-0))*BS133</f>
        <v>0</v>
      </c>
      <c r="CB133" s="175">
        <f t="shared" si="83"/>
        <v>0</v>
      </c>
      <c r="CC133" s="175">
        <f>(INDEX('SV calc_ignore'!$J$10:$J$1341,12*Output!A133-0))*BS133</f>
        <v>0</v>
      </c>
      <c r="CD133" s="175">
        <f t="shared" si="84"/>
        <v>0</v>
      </c>
      <c r="CE133" s="66">
        <f>(INDEX('SV calc_ignore'!$J$10:$J$1341,12*Output!A133-0))*($CE$21)</f>
        <v>0</v>
      </c>
      <c r="CF133" s="175">
        <f t="shared" si="85"/>
        <v>0</v>
      </c>
      <c r="CG133" s="175">
        <f>(INDEX('SV calc_ignore'!$J$10:$J$1341,12*Output!A133-0))*($CG$21)*(A133&gt;1)</f>
        <v>0</v>
      </c>
      <c r="CH133" s="175">
        <f>(INDEX('SV calc_ignore'!$J$10:$J$1341,12*Output!A133-0))*($CH$21)*(A133&gt;1)</f>
        <v>0</v>
      </c>
      <c r="CI133" s="175"/>
      <c r="CJ133" s="66">
        <f>(INDEX('SV calc_ignore'!$J$10:$J$1341,12*Output!A133-0))*($CJ$21)*(A133&gt;1)</f>
        <v>0</v>
      </c>
      <c r="CK133" s="66">
        <f>(INDEX('SV calc_ignore'!$Q$10:$Q$1341,12*Output!A133-0))*(AND(A133&gt;1,R133&lt;20))*($CK$21)</f>
        <v>0</v>
      </c>
      <c r="CL133" s="66">
        <f t="shared" si="86"/>
        <v>0</v>
      </c>
      <c r="CM133" s="175">
        <f>((INDEX('SV calc_ignore'!$J$10:$J$1341,12*Output!A133-0))+(INDEX('SV calc_ignore'!$O$10:$O$1341,12*Output!A133-0))*(A133&lt;'SV calc_ignore'!$Q$5))*(A133&gt;1)*($CM$21)</f>
        <v>0</v>
      </c>
      <c r="CN133" s="175">
        <v>0</v>
      </c>
      <c r="CO133" s="175">
        <f>(INDEX('SV calc_ignore'!$J$10:$J$1341,12*Output!A133-0))*(A133&gt;1)*($CO$21)</f>
        <v>0</v>
      </c>
      <c r="CP133" s="175">
        <v>0</v>
      </c>
      <c r="CQ133" s="175">
        <v>0</v>
      </c>
      <c r="CR133" s="175">
        <v>0</v>
      </c>
      <c r="CS133" s="175">
        <v>0</v>
      </c>
      <c r="CT133" s="175">
        <v>0</v>
      </c>
      <c r="CU133" s="175">
        <v>0</v>
      </c>
      <c r="CV133" s="175">
        <f>(INDEX('SV calc_ignore'!$J$10:$J$1341,12*Output!A133-0))*(A133&gt;1)*($CV$21)</f>
        <v>0</v>
      </c>
      <c r="CW133" s="66">
        <f>((INDEX('SV calc_ignore'!$J$10:$J$1341,12*Output!A133-0))+(INDEX('SV calc_ignore'!$O$10:$O$1351,12*Output!A133-0))*(A133&lt;'SV calc_ignore'!$Q$5))*(A133&gt;1)*($CW$21)</f>
        <v>0</v>
      </c>
      <c r="CX133" s="175">
        <f>(INDEX('SV calc_ignore'!$J$10:$J$1341,12*Output!A133-0))*(A133&gt;1)*($CX$21)</f>
        <v>0</v>
      </c>
      <c r="CY133" s="175">
        <f>(INDEX('SV calc_ignore'!$Q$10:$Q$1341,12*Output!A133-0))*(AND(A133&gt;1,R133&lt;20))*($CY$21)</f>
        <v>0</v>
      </c>
      <c r="CZ133" s="175">
        <f t="shared" si="87"/>
        <v>0</v>
      </c>
      <c r="DE133" s="43">
        <f>IF($DE$23,0,VLOOKUP(IF(A133&lt;=DP,DJ133,DI133),SSV!$B$6:$C$116,2,FALSE)*VLOOKUP(AnnuityOption,'All Options'!$AB$36:$AC$47,2,FALSE)*VLOOKUP('All Options'!$E$22,'Valid Data-GPG'!$B$130:$F$134,MATCH('All Options'!$E$17,'Valid Data-GPG'!$B$130:$F$130,0),0)*'All Options'!$E$17)*(IF(AND(Select="Deferred Annuity",AnnuityOption="Life Annuity"),A133&lt;=DP,1))</f>
        <v>3274327.0531593515</v>
      </c>
      <c r="DF133" s="43">
        <f>IF($DF$23,0,IF($DQ$25,DQ133,IF($DR$25,DR133,VLOOKUP(IF(A133&lt;=DP,DJ133,DI133),SSV!$G$6:$H$116,2,FALSE)*SUM($B$27:B133))))</f>
        <v>1006161.5</v>
      </c>
      <c r="DG133" s="43" t="e">
        <f>IF(A133&lt;=DP,VLOOKUP(DP-A132,SSV!$T$6:$U$15,2,FALSE),1)</f>
        <v>#N/A</v>
      </c>
      <c r="DH133" s="282" t="e">
        <f t="shared" si="102"/>
        <v>#VALUE!</v>
      </c>
      <c r="DI133" s="43">
        <f>IF($DM$26,MIN(Age,'All Options'!$E$21)+A132,IF($DN$26,(Age+A132)-Age+60,IF($DO$26,(Age+A132)-Age+55,Age+A132)))</f>
        <v>60</v>
      </c>
      <c r="DJ133" s="279">
        <f>IF($DM$26,MIN(Age+A133,'All Options'!$E$21+A133),IF($DN$26,(Age+A133)-(Age+$A$27)+60,IF($DO$26,(Age+A133)-(Age+$A$27)+55,Age+A133)))</f>
        <v>60</v>
      </c>
      <c r="DP133" s="43">
        <f t="shared" si="88"/>
        <v>0</v>
      </c>
      <c r="DQ133" s="43">
        <f>IFERROR(VLOOKUP(IF(A133&lt;=DP,DJ133,DI133),SSV!$K$6:$L$91,2,FALSE)*SUM($B$27:B133),0)*($DQ$25)</f>
        <v>0</v>
      </c>
      <c r="DR133" s="43">
        <f>IFERROR(VLOOKUP(IF(A133&lt;=DP,DJ133,DI133),SSV!$O$6:$P$95,2,FALSE)*SUM($B$27:B133),0)*($DR$25)</f>
        <v>0</v>
      </c>
      <c r="DU133" s="175">
        <f t="shared" si="103"/>
        <v>0</v>
      </c>
    </row>
    <row r="134" spans="1:125" x14ac:dyDescent="0.2">
      <c r="A134" s="146">
        <f t="shared" si="104"/>
        <v>0</v>
      </c>
      <c r="B134" s="670">
        <f>IF(PremiumType="Regular Premium",'All Options'!$E$18*'All Options'!$E$22*(AND(Output!A134&lt;=PPT,A134&gt;=1)),'All Options'!$E$18*(A134=1))</f>
        <v>0</v>
      </c>
      <c r="C134" s="671"/>
      <c r="D134" s="103" t="e">
        <f>((VLOOKUP(CONCATENATE($D$14,$D$15),'All Options'!$AB$36:$AC$47,4,0)*VLOOKUP('All Options'!$E$22,'Valid Data-GPG'!$B$130:$F$134,MATCH('All Options'!$E$17,'Valid Data-GPG'!$B$130:$F$130,0),0)*'All Options'!$E$17)*IF(Select="Deferred Annuity",A134&gt;DP,1)+AE134+AF134*AG134*$AG$21)*(A134&gt;0)</f>
        <v>#N/A</v>
      </c>
      <c r="E134" s="103">
        <v>0</v>
      </c>
      <c r="F134" s="103" t="e">
        <f t="shared" si="71"/>
        <v>#N/A</v>
      </c>
      <c r="G134" s="103">
        <f t="shared" si="89"/>
        <v>0</v>
      </c>
      <c r="H134" s="285">
        <f t="shared" si="72"/>
        <v>0</v>
      </c>
      <c r="I134" s="103">
        <f t="shared" si="73"/>
        <v>0</v>
      </c>
      <c r="K134" s="175" t="str">
        <f t="shared" si="105"/>
        <v/>
      </c>
      <c r="L134" s="175"/>
      <c r="M134" s="175"/>
      <c r="N134" s="175"/>
      <c r="O134" s="175"/>
      <c r="P134" s="175"/>
      <c r="Q134" s="175"/>
      <c r="R134" s="175">
        <f t="shared" si="106"/>
        <v>0</v>
      </c>
      <c r="AB134" s="175" t="e">
        <f>(VLOOKUP(CONCATENATE($D$14,$D$15),'All Options'!$AB$36:$AC$47,4,0)*VLOOKUP('All Options'!$E$22,'Valid Data-GPG'!$B$130:$F$134,MATCH('All Options'!$E$17,'Valid Data-GPG'!$B$130:$F$130,0),0)*'All Options'!$E$17)*IF(Select="Deferred Annuity",A134&gt;DP,1)*(A134&gt;0)</f>
        <v>#N/A</v>
      </c>
      <c r="AC134" s="175">
        <f t="shared" si="90"/>
        <v>0</v>
      </c>
      <c r="AD134" s="175">
        <f>SUM($AC$26:AC134)</f>
        <v>0</v>
      </c>
      <c r="AE134" s="175">
        <f t="shared" si="91"/>
        <v>0</v>
      </c>
      <c r="AF134" s="175">
        <f t="shared" si="92"/>
        <v>0</v>
      </c>
      <c r="AG134" s="175" t="b">
        <f>(SUM($AF$26:AF134)&lt;=$AB$17)</f>
        <v>0</v>
      </c>
      <c r="AY134" s="175"/>
      <c r="AZ134" s="66">
        <f>((MAX((SUM($B$26:C134)+(VLOOKUP($AZ$25,'All Options'!$AB$36:$AC$46,2,0)*VLOOKUP('All Options'!$E$22,'Valid Data-GPG'!$B$130:$F$134,MATCH('All Options'!$E$17,'Valid Data-GPG'!$B$130:$F$130,0),0)*'All Options'!$E$17)*(IF(A134&lt;=DP,A134,0))),105%*SUM($B$26:C134)))*(AND(A134&lt;&gt;0,Output!A134&lt;=DP))+(0)*(A134&gt;DP))*$AZ$21</f>
        <v>0</v>
      </c>
      <c r="BA134" s="175" t="e">
        <f>((MAX((SUM($B$26:C134)+(VLOOKUP($BA$25,'All Options'!$AB$36:$AC$46,2,0)*VLOOKUP('All Options'!$E$22,'Valid Data-GPG'!$B$130:$F$134,MATCH('All Options'!$E$17,'Valid Data-GPG'!$B$130:$F$130,0),0)*'All Options'!$E$17)*(IF(A134&lt;=DP,A134,0))),105%*SUM($B$26:C134)))*(Output!A134&lt;=DP)
+MAX((SUM($B$26:C134)+(VLOOKUP($BA$25,'All Options'!$AB$36:$AC$46,2,0)*VLOOKUP('All Options'!$E$22,'Valid Data-GPG'!$B$130:$F$134,MATCH('All Options'!$E$17,'Valid Data-GPG'!$B$130:$F$130,0),0)*'All Options'!$E$17)*DP-D134*(A134-DP)),SUM($B$26:C134))*(A134&gt;DP))*$BA$21</f>
        <v>#N/A</v>
      </c>
      <c r="BB134" s="175">
        <f>((MAX(($AB$17+(VLOOKUP($BB$25,'All Options'!$AB$36:$AC$46,2,0)*VLOOKUP('All Options'!$E$22,'Valid Data-GPG'!$B$130:$F$134,MATCH('All Options'!$E$17,'Valid Data-GPG'!$B$130:$F$130,0),0)*'All Options'!$E$17)*(IF(A134&lt;=DP,A134,0))),105%*$AB$17))*(Output!A134&lt;=DP)+(0)*(A134&gt;DP))*$BB$21</f>
        <v>0</v>
      </c>
      <c r="BC134" s="175" t="e">
        <f>((MAX(($AB$17+(VLOOKUP($BC$25,'All Options'!$AB$36:$AC$46,2,0)*VLOOKUP('All Options'!$E$22,'Valid Data-GPG'!$B$130:$F$134,MATCH('All Options'!$E$17,'Valid Data-GPG'!$B$130:$F$130,0),0)*'All Options'!$E$17)*(IF(A134&lt;=DP,A134,0))),105%*$AB$17))*(Output!A134&lt;=DP)+
MAX(($AB$17+(VLOOKUP($BC$25,'All Options'!$AB$36:$AC$46,2,0)*VLOOKUP('All Options'!$E$22,'Valid Data-GPG'!$B$130:$F$134,MATCH('All Options'!$E$17,'Valid Data-GPG'!$B$130:$F$130,0),0)*'All Options'!$E$17)*DP-D134*(A134-DP)),$AB$17)*(A134&gt;DP))*$BC$21</f>
        <v>#N/A</v>
      </c>
      <c r="BD134" s="175">
        <f ca="1">IFERROR((MAX(($AB$17+(VLOOKUP($BD$25,'All Options'!$AB$36:$AC$46,2,0)*VLOOKUP('All Options'!$E$22,'Valid Data-GPG'!$B$130:$F$134,MATCH('All Options'!$E$17,'Valid Data-GPG'!$B$130:$F$130,0),0)*'All Options'!$E$17)*(IF(A134&lt;=DP,A134,0))),105%*$AB$17))*(Output!A134&lt;=DP)
+MAX(($AB$17+(VLOOKUP($BD$25,'All Options'!$AB$36:$AC$46,2,0)*VLOOKUP('All Options'!$E$22,'Valid Data-GPG'!$B$130:$F$134,MATCH('All Options'!$E$17,'Valid Data-GPG'!$B$130:$F$130,0),0)*'All Options'!$E$17)*DP-D134*(A134-DP)),$AB$17)*(A134&gt;DP),0)*$BD$21</f>
        <v>0</v>
      </c>
      <c r="BE134" s="66">
        <f>IFERROR((MAX(($AB$17+(VLOOKUP($BE$25,'All Options'!$AB$36:$AC$46,2,0)*VLOOKUP('All Options'!$E$22,'Valid Data-GPG'!$B$130:$F$134,MATCH('All Options'!$E$17,'Valid Data-GPG'!$B$130:$F$130,0),0)*'All Options'!$E$17)*(IF(A134&lt;=DP,A134,0))),105%*$AB$17))*(Output!A134&lt;=DP)
+(MAX($AB$17+(VLOOKUP($BE$25,'All Options'!$AB$36:$AC$46,2,0)*VLOOKUP('All Options'!$E$22,'Valid Data-GPG'!$B$130:$F$134,MATCH('All Options'!$E$17,'Valid Data-GPG'!$B$130:$F$130,0),0)*'All Options'!$E$17)*DP-AB134*(A134-DP),$AB$17)*(MAX(A134&lt;=25,K134&lt;85)))*(A134&gt;DP),0)*$BE$21</f>
        <v>0</v>
      </c>
      <c r="BF134" s="175">
        <f>IFERROR((MAX(($AB$17+(VLOOKUP($BF$25,'All Options'!$AB$36:$AC$46,2,0)*VLOOKUP('All Options'!$E$22,'Valid Data-GPG'!$B$130:$F$134,MATCH('All Options'!$E$17,'Valid Data-GPG'!$B$130:$F$130,0),0)*'All Options'!$E$17)*(IF(A134&lt;=DP,A134,0))),105%*$AB$17))*(Output!A134&lt;=DP)
+(MAX($AB$17+(VLOOKUP($BF$25,'All Options'!$AB$36:$AC$46,2,0)*VLOOKUP('All Options'!$E$22,'Valid Data-GPG'!$B$130:$F$134,MATCH('All Options'!$E$17,'Valid Data-GPG'!$B$130:$F$130,0),0)*'All Options'!$E$17)*DP-AB134*(A134-DP),$AB$17)-SUM($AF$26:AF134)*AG134)*(A134&gt;DP)*AG134,0)*$BF$21</f>
        <v>0</v>
      </c>
      <c r="BG134" s="175">
        <f t="shared" si="76"/>
        <v>0</v>
      </c>
      <c r="BH134" s="182">
        <f t="shared" si="93"/>
        <v>5000000</v>
      </c>
      <c r="BI134" s="175">
        <f t="shared" si="77"/>
        <v>0</v>
      </c>
      <c r="BJ134" s="175">
        <f t="shared" si="78"/>
        <v>0</v>
      </c>
      <c r="BK134" s="175">
        <f t="shared" si="79"/>
        <v>0</v>
      </c>
      <c r="BL134" s="175">
        <f t="shared" si="80"/>
        <v>0</v>
      </c>
      <c r="BM134" s="175">
        <f t="shared" si="81"/>
        <v>0</v>
      </c>
      <c r="BN134" s="175">
        <f t="shared" si="82"/>
        <v>0</v>
      </c>
      <c r="BO134" s="182">
        <f t="shared" si="94"/>
        <v>0</v>
      </c>
      <c r="BP134" s="182">
        <f t="shared" si="95"/>
        <v>0</v>
      </c>
      <c r="BQ134" s="182">
        <f>MAX($AB$17-SUM($AF$26:AF134),0)*$BQ$21</f>
        <v>0</v>
      </c>
      <c r="BS134" s="175">
        <f t="shared" si="96"/>
        <v>0</v>
      </c>
      <c r="BT134" s="175">
        <f>IFERROR(IF(A134&lt;=1,0,VLOOKUP(DP,'Valid Data-GPG'!$A$116:$J$122,MATCH(Output!A134,'Valid Data-GPG'!$A$116:$J$116,0),FALSE)*SUM($B$26:C134))*(A134&lt;=DP),0)*$BT$21</f>
        <v>0</v>
      </c>
      <c r="BU134" s="175">
        <f>IFERROR(IF(A134&lt;=1,0,VLOOKUP(DP,'Valid Data-GPG'!$A$116:$J$122,MATCH(Output!A134,'Valid Data-GPG'!$A$116:$J$116,0),FALSE)*SUM($B$26:C134))*(A134&lt;=DP),0)*$BU$21</f>
        <v>0</v>
      </c>
      <c r="BV134" s="175">
        <f t="shared" si="97"/>
        <v>0</v>
      </c>
      <c r="BW134" s="175">
        <f t="shared" si="98"/>
        <v>0</v>
      </c>
      <c r="BX134" s="175">
        <f t="shared" si="99"/>
        <v>0</v>
      </c>
      <c r="BY134" s="175">
        <f t="shared" si="100"/>
        <v>0</v>
      </c>
      <c r="BZ134" s="175">
        <f t="shared" si="101"/>
        <v>0</v>
      </c>
      <c r="CA134" s="175">
        <f>(INDEX('SV calc_ignore'!$J$10:$J$1341,12*Output!A134-0))*BS134</f>
        <v>0</v>
      </c>
      <c r="CB134" s="175">
        <f t="shared" si="83"/>
        <v>0</v>
      </c>
      <c r="CC134" s="175">
        <f>(INDEX('SV calc_ignore'!$J$10:$J$1341,12*Output!A134-0))*BS134</f>
        <v>0</v>
      </c>
      <c r="CD134" s="175">
        <f t="shared" si="84"/>
        <v>0</v>
      </c>
      <c r="CE134" s="66">
        <f>(INDEX('SV calc_ignore'!$J$10:$J$1341,12*Output!A134-0))*($CE$21)</f>
        <v>0</v>
      </c>
      <c r="CF134" s="175">
        <f t="shared" si="85"/>
        <v>0</v>
      </c>
      <c r="CG134" s="175">
        <f>(INDEX('SV calc_ignore'!$J$10:$J$1341,12*Output!A134-0))*($CG$21)*(A134&gt;1)</f>
        <v>0</v>
      </c>
      <c r="CH134" s="175">
        <f>(INDEX('SV calc_ignore'!$J$10:$J$1341,12*Output!A134-0))*($CH$21)*(A134&gt;1)</f>
        <v>0</v>
      </c>
      <c r="CI134" s="175"/>
      <c r="CJ134" s="66">
        <f>(INDEX('SV calc_ignore'!$J$10:$J$1341,12*Output!A134-0))*($CJ$21)*(A134&gt;1)</f>
        <v>0</v>
      </c>
      <c r="CK134" s="66">
        <f>(INDEX('SV calc_ignore'!$Q$10:$Q$1341,12*Output!A134-0))*(AND(A134&gt;1,R134&lt;20))*($CK$21)</f>
        <v>0</v>
      </c>
      <c r="CL134" s="66">
        <f t="shared" si="86"/>
        <v>0</v>
      </c>
      <c r="CM134" s="175">
        <f>((INDEX('SV calc_ignore'!$J$10:$J$1341,12*Output!A134-0))+(INDEX('SV calc_ignore'!$O$10:$O$1341,12*Output!A134-0))*(A134&lt;'SV calc_ignore'!$Q$5))*(A134&gt;1)*($CM$21)</f>
        <v>0</v>
      </c>
      <c r="CN134" s="175">
        <v>0</v>
      </c>
      <c r="CO134" s="175">
        <f>(INDEX('SV calc_ignore'!$J$10:$J$1341,12*Output!A134-0))*(A134&gt;1)*($CO$21)</f>
        <v>0</v>
      </c>
      <c r="CP134" s="175">
        <v>0</v>
      </c>
      <c r="CQ134" s="175">
        <v>0</v>
      </c>
      <c r="CR134" s="175">
        <v>0</v>
      </c>
      <c r="CS134" s="175">
        <v>0</v>
      </c>
      <c r="CT134" s="175">
        <v>0</v>
      </c>
      <c r="CU134" s="175">
        <v>0</v>
      </c>
      <c r="CV134" s="175">
        <f>(INDEX('SV calc_ignore'!$J$10:$J$1341,12*Output!A134-0))*(A134&gt;1)*($CV$21)</f>
        <v>0</v>
      </c>
      <c r="CW134" s="66">
        <f>((INDEX('SV calc_ignore'!$J$10:$J$1341,12*Output!A134-0))+(INDEX('SV calc_ignore'!$O$10:$O$1351,12*Output!A134-0))*(A134&lt;'SV calc_ignore'!$Q$5))*(A134&gt;1)*($CW$21)</f>
        <v>0</v>
      </c>
      <c r="CX134" s="175">
        <f>(INDEX('SV calc_ignore'!$J$10:$J$1341,12*Output!A134-0))*(A134&gt;1)*($CX$21)</f>
        <v>0</v>
      </c>
      <c r="CY134" s="175">
        <f>(INDEX('SV calc_ignore'!$Q$10:$Q$1341,12*Output!A134-0))*(AND(A134&gt;1,R134&lt;20))*($CY$21)</f>
        <v>0</v>
      </c>
      <c r="CZ134" s="175">
        <f t="shared" si="87"/>
        <v>0</v>
      </c>
      <c r="DE134" s="43">
        <f>IF($DE$23,0,VLOOKUP(IF(A134&lt;=DP,DJ134,DI134),SSV!$B$6:$C$116,2,FALSE)*VLOOKUP(AnnuityOption,'All Options'!$AB$36:$AC$47,2,FALSE)*VLOOKUP('All Options'!$E$22,'Valid Data-GPG'!$B$130:$F$134,MATCH('All Options'!$E$17,'Valid Data-GPG'!$B$130:$F$130,0),0)*'All Options'!$E$17)*(IF(AND(Select="Deferred Annuity",AnnuityOption="Life Annuity"),A134&lt;=DP,1))</f>
        <v>3274327.0531593515</v>
      </c>
      <c r="DF134" s="43">
        <f>IF($DF$23,0,IF($DQ$25,DQ134,IF($DR$25,DR134,VLOOKUP(IF(A134&lt;=DP,DJ134,DI134),SSV!$G$6:$H$116,2,FALSE)*SUM($B$27:B134))))</f>
        <v>1006161.5</v>
      </c>
      <c r="DG134" s="43" t="e">
        <f>IF(A134&lt;=DP,VLOOKUP(DP-A133,SSV!$T$6:$U$15,2,FALSE),1)</f>
        <v>#N/A</v>
      </c>
      <c r="DH134" s="282" t="e">
        <f t="shared" si="102"/>
        <v>#VALUE!</v>
      </c>
      <c r="DI134" s="43">
        <f>IF($DM$26,MIN(Age,'All Options'!$E$21)+A133,IF($DN$26,(Age+A133)-Age+60,IF($DO$26,(Age+A133)-Age+55,Age+A133)))</f>
        <v>60</v>
      </c>
      <c r="DJ134" s="279">
        <f>IF($DM$26,MIN(Age+A134,'All Options'!$E$21+A134),IF($DN$26,(Age+A134)-(Age+$A$27)+60,IF($DO$26,(Age+A134)-(Age+$A$27)+55,Age+A134)))</f>
        <v>60</v>
      </c>
      <c r="DP134" s="43">
        <f t="shared" si="88"/>
        <v>0</v>
      </c>
      <c r="DQ134" s="43">
        <f>IFERROR(VLOOKUP(IF(A134&lt;=DP,DJ134,DI134),SSV!$K$6:$L$91,2,FALSE)*SUM($B$27:B134),0)*($DQ$25)</f>
        <v>0</v>
      </c>
      <c r="DR134" s="43">
        <f>IFERROR(VLOOKUP(IF(A134&lt;=DP,DJ134,DI134),SSV!$O$6:$P$95,2,FALSE)*SUM($B$27:B134),0)*($DR$25)</f>
        <v>0</v>
      </c>
      <c r="DU134" s="175">
        <f t="shared" si="103"/>
        <v>0</v>
      </c>
    </row>
    <row r="135" spans="1:125" x14ac:dyDescent="0.2">
      <c r="A135" s="146">
        <f t="shared" si="104"/>
        <v>0</v>
      </c>
      <c r="B135" s="670">
        <f>IF(PremiumType="Regular Premium",'All Options'!$E$18*'All Options'!$E$22*(AND(Output!A135&lt;=PPT,A135&gt;=1)),'All Options'!$E$18*(A135=1))</f>
        <v>0</v>
      </c>
      <c r="C135" s="671"/>
      <c r="D135" s="103" t="e">
        <f>((VLOOKUP(CONCATENATE($D$14,$D$15),'All Options'!$AB$36:$AC$47,4,0)*VLOOKUP('All Options'!$E$22,'Valid Data-GPG'!$B$130:$F$134,MATCH('All Options'!$E$17,'Valid Data-GPG'!$B$130:$F$130,0),0)*'All Options'!$E$17)*IF(Select="Deferred Annuity",A135&gt;DP,1)+AE135+AF135*AG135*$AG$21)*(A135&gt;0)</f>
        <v>#N/A</v>
      </c>
      <c r="E135" s="103">
        <v>0</v>
      </c>
      <c r="F135" s="103" t="e">
        <f t="shared" si="71"/>
        <v>#N/A</v>
      </c>
      <c r="G135" s="103">
        <f t="shared" si="89"/>
        <v>0</v>
      </c>
      <c r="H135" s="285">
        <f t="shared" si="72"/>
        <v>0</v>
      </c>
      <c r="I135" s="103">
        <f t="shared" si="73"/>
        <v>0</v>
      </c>
      <c r="K135" s="175" t="str">
        <f t="shared" si="105"/>
        <v/>
      </c>
      <c r="L135" s="175"/>
      <c r="M135" s="175"/>
      <c r="N135" s="175"/>
      <c r="O135" s="175"/>
      <c r="P135" s="175"/>
      <c r="Q135" s="175"/>
      <c r="R135" s="175">
        <f t="shared" si="106"/>
        <v>0</v>
      </c>
      <c r="AB135" s="175" t="e">
        <f>(VLOOKUP(CONCATENATE($D$14,$D$15),'All Options'!$AB$36:$AC$47,4,0)*VLOOKUP('All Options'!$E$22,'Valid Data-GPG'!$B$130:$F$134,MATCH('All Options'!$E$17,'Valid Data-GPG'!$B$130:$F$130,0),0)*'All Options'!$E$17)*IF(Select="Deferred Annuity",A135&gt;DP,1)*(A135&gt;0)</f>
        <v>#N/A</v>
      </c>
      <c r="AC135" s="175">
        <f t="shared" si="90"/>
        <v>0</v>
      </c>
      <c r="AD135" s="175">
        <f>SUM($AC$26:AC135)</f>
        <v>0</v>
      </c>
      <c r="AE135" s="175">
        <f t="shared" si="91"/>
        <v>0</v>
      </c>
      <c r="AF135" s="175">
        <f t="shared" si="92"/>
        <v>0</v>
      </c>
      <c r="AG135" s="175" t="b">
        <f>(SUM($AF$26:AF135)&lt;=$AB$17)</f>
        <v>0</v>
      </c>
      <c r="AY135" s="175"/>
      <c r="AZ135" s="66">
        <f>((MAX((SUM($B$26:C135)+(VLOOKUP($AZ$25,'All Options'!$AB$36:$AC$46,2,0)*VLOOKUP('All Options'!$E$22,'Valid Data-GPG'!$B$130:$F$134,MATCH('All Options'!$E$17,'Valid Data-GPG'!$B$130:$F$130,0),0)*'All Options'!$E$17)*(IF(A135&lt;=DP,A135,0))),105%*SUM($B$26:C135)))*(AND(A135&lt;&gt;0,Output!A135&lt;=DP))+(0)*(A135&gt;DP))*$AZ$21</f>
        <v>0</v>
      </c>
      <c r="BA135" s="175" t="e">
        <f>((MAX((SUM($B$26:C135)+(VLOOKUP($BA$25,'All Options'!$AB$36:$AC$46,2,0)*VLOOKUP('All Options'!$E$22,'Valid Data-GPG'!$B$130:$F$134,MATCH('All Options'!$E$17,'Valid Data-GPG'!$B$130:$F$130,0),0)*'All Options'!$E$17)*(IF(A135&lt;=DP,A135,0))),105%*SUM($B$26:C135)))*(Output!A135&lt;=DP)
+MAX((SUM($B$26:C135)+(VLOOKUP($BA$25,'All Options'!$AB$36:$AC$46,2,0)*VLOOKUP('All Options'!$E$22,'Valid Data-GPG'!$B$130:$F$134,MATCH('All Options'!$E$17,'Valid Data-GPG'!$B$130:$F$130,0),0)*'All Options'!$E$17)*DP-D135*(A135-DP)),SUM($B$26:C135))*(A135&gt;DP))*$BA$21</f>
        <v>#N/A</v>
      </c>
      <c r="BB135" s="175">
        <f>((MAX(($AB$17+(VLOOKUP($BB$25,'All Options'!$AB$36:$AC$46,2,0)*VLOOKUP('All Options'!$E$22,'Valid Data-GPG'!$B$130:$F$134,MATCH('All Options'!$E$17,'Valid Data-GPG'!$B$130:$F$130,0),0)*'All Options'!$E$17)*(IF(A135&lt;=DP,A135,0))),105%*$AB$17))*(Output!A135&lt;=DP)+(0)*(A135&gt;DP))*$BB$21</f>
        <v>0</v>
      </c>
      <c r="BC135" s="175" t="e">
        <f>((MAX(($AB$17+(VLOOKUP($BC$25,'All Options'!$AB$36:$AC$46,2,0)*VLOOKUP('All Options'!$E$22,'Valid Data-GPG'!$B$130:$F$134,MATCH('All Options'!$E$17,'Valid Data-GPG'!$B$130:$F$130,0),0)*'All Options'!$E$17)*(IF(A135&lt;=DP,A135,0))),105%*$AB$17))*(Output!A135&lt;=DP)+
MAX(($AB$17+(VLOOKUP($BC$25,'All Options'!$AB$36:$AC$46,2,0)*VLOOKUP('All Options'!$E$22,'Valid Data-GPG'!$B$130:$F$134,MATCH('All Options'!$E$17,'Valid Data-GPG'!$B$130:$F$130,0),0)*'All Options'!$E$17)*DP-D135*(A135-DP)),$AB$17)*(A135&gt;DP))*$BC$21</f>
        <v>#N/A</v>
      </c>
      <c r="BD135" s="175">
        <f ca="1">IFERROR((MAX(($AB$17+(VLOOKUP($BD$25,'All Options'!$AB$36:$AC$46,2,0)*VLOOKUP('All Options'!$E$22,'Valid Data-GPG'!$B$130:$F$134,MATCH('All Options'!$E$17,'Valid Data-GPG'!$B$130:$F$130,0),0)*'All Options'!$E$17)*(IF(A135&lt;=DP,A135,0))),105%*$AB$17))*(Output!A135&lt;=DP)
+MAX(($AB$17+(VLOOKUP($BD$25,'All Options'!$AB$36:$AC$46,2,0)*VLOOKUP('All Options'!$E$22,'Valid Data-GPG'!$B$130:$F$134,MATCH('All Options'!$E$17,'Valid Data-GPG'!$B$130:$F$130,0),0)*'All Options'!$E$17)*DP-D135*(A135-DP)),$AB$17)*(A135&gt;DP),0)*$BD$21</f>
        <v>0</v>
      </c>
      <c r="BE135" s="66">
        <f>IFERROR((MAX(($AB$17+(VLOOKUP($BE$25,'All Options'!$AB$36:$AC$46,2,0)*VLOOKUP('All Options'!$E$22,'Valid Data-GPG'!$B$130:$F$134,MATCH('All Options'!$E$17,'Valid Data-GPG'!$B$130:$F$130,0),0)*'All Options'!$E$17)*(IF(A135&lt;=DP,A135,0))),105%*$AB$17))*(Output!A135&lt;=DP)
+(MAX($AB$17+(VLOOKUP($BE$25,'All Options'!$AB$36:$AC$46,2,0)*VLOOKUP('All Options'!$E$22,'Valid Data-GPG'!$B$130:$F$134,MATCH('All Options'!$E$17,'Valid Data-GPG'!$B$130:$F$130,0),0)*'All Options'!$E$17)*DP-AB135*(A135-DP),$AB$17)*(MAX(A135&lt;=25,K135&lt;85)))*(A135&gt;DP),0)*$BE$21</f>
        <v>0</v>
      </c>
      <c r="BF135" s="175">
        <f>IFERROR((MAX(($AB$17+(VLOOKUP($BF$25,'All Options'!$AB$36:$AC$46,2,0)*VLOOKUP('All Options'!$E$22,'Valid Data-GPG'!$B$130:$F$134,MATCH('All Options'!$E$17,'Valid Data-GPG'!$B$130:$F$130,0),0)*'All Options'!$E$17)*(IF(A135&lt;=DP,A135,0))),105%*$AB$17))*(Output!A135&lt;=DP)
+(MAX($AB$17+(VLOOKUP($BF$25,'All Options'!$AB$36:$AC$46,2,0)*VLOOKUP('All Options'!$E$22,'Valid Data-GPG'!$B$130:$F$134,MATCH('All Options'!$E$17,'Valid Data-GPG'!$B$130:$F$130,0),0)*'All Options'!$E$17)*DP-AB135*(A135-DP),$AB$17)-SUM($AF$26:AF135)*AG135)*(A135&gt;DP)*AG135,0)*$BF$21</f>
        <v>0</v>
      </c>
      <c r="BG135" s="175">
        <f t="shared" si="76"/>
        <v>0</v>
      </c>
      <c r="BH135" s="182">
        <f t="shared" si="93"/>
        <v>5000000</v>
      </c>
      <c r="BI135" s="175">
        <f t="shared" si="77"/>
        <v>0</v>
      </c>
      <c r="BJ135" s="175">
        <f t="shared" si="78"/>
        <v>0</v>
      </c>
      <c r="BK135" s="175">
        <f t="shared" si="79"/>
        <v>0</v>
      </c>
      <c r="BL135" s="175">
        <f t="shared" si="80"/>
        <v>0</v>
      </c>
      <c r="BM135" s="175">
        <f t="shared" si="81"/>
        <v>0</v>
      </c>
      <c r="BN135" s="175">
        <f t="shared" si="82"/>
        <v>0</v>
      </c>
      <c r="BO135" s="182">
        <f t="shared" si="94"/>
        <v>0</v>
      </c>
      <c r="BP135" s="182">
        <f t="shared" si="95"/>
        <v>0</v>
      </c>
      <c r="BQ135" s="182">
        <f>MAX($AB$17-SUM($AF$26:AF135),0)*$BQ$21</f>
        <v>0</v>
      </c>
      <c r="BS135" s="175">
        <f t="shared" si="96"/>
        <v>0</v>
      </c>
      <c r="BT135" s="175">
        <f>IFERROR(IF(A135&lt;=1,0,VLOOKUP(DP,'Valid Data-GPG'!$A$116:$J$122,MATCH(Output!A135,'Valid Data-GPG'!$A$116:$J$116,0),FALSE)*SUM($B$26:C135))*(A135&lt;=DP),0)*$BT$21</f>
        <v>0</v>
      </c>
      <c r="BU135" s="175">
        <f>IFERROR(IF(A135&lt;=1,0,VLOOKUP(DP,'Valid Data-GPG'!$A$116:$J$122,MATCH(Output!A135,'Valid Data-GPG'!$A$116:$J$116,0),FALSE)*SUM($B$26:C135))*(A135&lt;=DP),0)*$BU$21</f>
        <v>0</v>
      </c>
      <c r="BV135" s="175">
        <f t="shared" si="97"/>
        <v>0</v>
      </c>
      <c r="BW135" s="175">
        <f t="shared" si="98"/>
        <v>0</v>
      </c>
      <c r="BX135" s="175">
        <f t="shared" si="99"/>
        <v>0</v>
      </c>
      <c r="BY135" s="175">
        <f t="shared" si="100"/>
        <v>0</v>
      </c>
      <c r="BZ135" s="175">
        <f t="shared" si="101"/>
        <v>0</v>
      </c>
      <c r="CA135" s="175">
        <f>(INDEX('SV calc_ignore'!$J$10:$J$1341,12*Output!A135-0))*BS135</f>
        <v>0</v>
      </c>
      <c r="CB135" s="175">
        <f t="shared" si="83"/>
        <v>0</v>
      </c>
      <c r="CC135" s="175">
        <f>(INDEX('SV calc_ignore'!$J$10:$J$1341,12*Output!A135-0))*BS135</f>
        <v>0</v>
      </c>
      <c r="CD135" s="175">
        <f t="shared" si="84"/>
        <v>0</v>
      </c>
      <c r="CE135" s="66">
        <f>(INDEX('SV calc_ignore'!$J$10:$J$1341,12*Output!A135-0))*($CE$21)</f>
        <v>0</v>
      </c>
      <c r="CF135" s="175">
        <f t="shared" si="85"/>
        <v>0</v>
      </c>
      <c r="CG135" s="175">
        <f>(INDEX('SV calc_ignore'!$J$10:$J$1341,12*Output!A135-0))*($CG$21)*(A135&gt;1)</f>
        <v>0</v>
      </c>
      <c r="CH135" s="175">
        <f>(INDEX('SV calc_ignore'!$J$10:$J$1341,12*Output!A135-0))*($CH$21)*(A135&gt;1)</f>
        <v>0</v>
      </c>
      <c r="CI135" s="175"/>
      <c r="CJ135" s="66">
        <f>(INDEX('SV calc_ignore'!$J$10:$J$1341,12*Output!A135-0))*($CJ$21)*(A135&gt;1)</f>
        <v>0</v>
      </c>
      <c r="CK135" s="66">
        <f>(INDEX('SV calc_ignore'!$Q$10:$Q$1341,12*Output!A135-0))*(AND(A135&gt;1,R135&lt;20))*($CK$21)</f>
        <v>0</v>
      </c>
      <c r="CL135" s="66">
        <f t="shared" si="86"/>
        <v>0</v>
      </c>
      <c r="CM135" s="175">
        <f>((INDEX('SV calc_ignore'!$J$10:$J$1341,12*Output!A135-0))+(INDEX('SV calc_ignore'!$O$10:$O$1341,12*Output!A135-0))*(A135&lt;'SV calc_ignore'!$Q$5))*(A135&gt;1)*($CM$21)</f>
        <v>0</v>
      </c>
      <c r="CN135" s="175">
        <v>0</v>
      </c>
      <c r="CO135" s="175">
        <f>(INDEX('SV calc_ignore'!$J$10:$J$1341,12*Output!A135-0))*(A135&gt;1)*($CO$21)</f>
        <v>0</v>
      </c>
      <c r="CP135" s="175">
        <v>0</v>
      </c>
      <c r="CQ135" s="175">
        <v>0</v>
      </c>
      <c r="CR135" s="175">
        <v>0</v>
      </c>
      <c r="CS135" s="175">
        <v>0</v>
      </c>
      <c r="CT135" s="175">
        <v>0</v>
      </c>
      <c r="CU135" s="175">
        <v>0</v>
      </c>
      <c r="CV135" s="175">
        <f>(INDEX('SV calc_ignore'!$J$10:$J$1341,12*Output!A135-0))*(A135&gt;1)*($CV$21)</f>
        <v>0</v>
      </c>
      <c r="CW135" s="66">
        <f>((INDEX('SV calc_ignore'!$J$10:$J$1341,12*Output!A135-0))+(INDEX('SV calc_ignore'!$O$10:$O$1351,12*Output!A135-0))*(A135&lt;'SV calc_ignore'!$Q$5))*(A135&gt;1)*($CW$21)</f>
        <v>0</v>
      </c>
      <c r="CX135" s="175">
        <f>(INDEX('SV calc_ignore'!$J$10:$J$1341,12*Output!A135-0))*(A135&gt;1)*($CX$21)</f>
        <v>0</v>
      </c>
      <c r="CY135" s="175">
        <f>(INDEX('SV calc_ignore'!$Q$10:$Q$1341,12*Output!A135-0))*(AND(A135&gt;1,R135&lt;20))*($CY$21)</f>
        <v>0</v>
      </c>
      <c r="CZ135" s="175">
        <f t="shared" si="87"/>
        <v>0</v>
      </c>
      <c r="DE135" s="43">
        <f>IF($DE$23,0,VLOOKUP(IF(A135&lt;=DP,DJ135,DI135),SSV!$B$6:$C$116,2,FALSE)*VLOOKUP(AnnuityOption,'All Options'!$AB$36:$AC$47,2,FALSE)*VLOOKUP('All Options'!$E$22,'Valid Data-GPG'!$B$130:$F$134,MATCH('All Options'!$E$17,'Valid Data-GPG'!$B$130:$F$130,0),0)*'All Options'!$E$17)*(IF(AND(Select="Deferred Annuity",AnnuityOption="Life Annuity"),A135&lt;=DP,1))</f>
        <v>3274327.0531593515</v>
      </c>
      <c r="DF135" s="43">
        <f>IF($DF$23,0,IF($DQ$25,DQ135,IF($DR$25,DR135,VLOOKUP(IF(A135&lt;=DP,DJ135,DI135),SSV!$G$6:$H$116,2,FALSE)*SUM($B$27:B135))))</f>
        <v>1006161.5</v>
      </c>
      <c r="DG135" s="43" t="e">
        <f>IF(A135&lt;=DP,VLOOKUP(DP-A134,SSV!$T$6:$U$15,2,FALSE),1)</f>
        <v>#N/A</v>
      </c>
      <c r="DH135" s="282" t="e">
        <f t="shared" si="102"/>
        <v>#VALUE!</v>
      </c>
      <c r="DI135" s="43">
        <f>IF($DM$26,MIN(Age,'All Options'!$E$21)+A134,IF($DN$26,(Age+A134)-Age+60,IF($DO$26,(Age+A134)-Age+55,Age+A134)))</f>
        <v>60</v>
      </c>
      <c r="DJ135" s="279">
        <f>IF($DM$26,MIN(Age+A135,'All Options'!$E$21+A135),IF($DN$26,(Age+A135)-(Age+$A$27)+60,IF($DO$26,(Age+A135)-(Age+$A$27)+55,Age+A135)))</f>
        <v>60</v>
      </c>
      <c r="DP135" s="43">
        <f t="shared" si="88"/>
        <v>0</v>
      </c>
      <c r="DQ135" s="43">
        <f>IFERROR(VLOOKUP(IF(A135&lt;=DP,DJ135,DI135),SSV!$K$6:$L$91,2,FALSE)*SUM($B$27:B135),0)*($DQ$25)</f>
        <v>0</v>
      </c>
      <c r="DR135" s="43">
        <f>IFERROR(VLOOKUP(IF(A135&lt;=DP,DJ135,DI135),SSV!$O$6:$P$95,2,FALSE)*SUM($B$27:B135),0)*($DR$25)</f>
        <v>0</v>
      </c>
      <c r="DU135" s="175">
        <f t="shared" si="103"/>
        <v>0</v>
      </c>
    </row>
    <row r="136" spans="1:125" x14ac:dyDescent="0.2">
      <c r="A136" s="146">
        <f t="shared" si="104"/>
        <v>0</v>
      </c>
      <c r="B136" s="670">
        <f>IF(PremiumType="Regular Premium",'All Options'!$E$18*'All Options'!$E$22*(AND(Output!A136&lt;=PPT,A136&gt;=1)),'All Options'!$E$18*(A136=1))</f>
        <v>0</v>
      </c>
      <c r="C136" s="671"/>
      <c r="D136" s="103" t="e">
        <f>((VLOOKUP(CONCATENATE($D$14,$D$15),'All Options'!$AB$36:$AC$47,4,0)*VLOOKUP('All Options'!$E$22,'Valid Data-GPG'!$B$130:$F$134,MATCH('All Options'!$E$17,'Valid Data-GPG'!$B$130:$F$130,0),0)*'All Options'!$E$17)*IF(Select="Deferred Annuity",A136&gt;DP,1)+AE136+AF136*AG136*$AG$21)*(A136&gt;0)</f>
        <v>#N/A</v>
      </c>
      <c r="E136" s="103">
        <v>0</v>
      </c>
      <c r="F136" s="103" t="e">
        <f t="shared" si="71"/>
        <v>#N/A</v>
      </c>
      <c r="G136" s="103">
        <f t="shared" si="89"/>
        <v>0</v>
      </c>
      <c r="H136" s="285">
        <f t="shared" si="72"/>
        <v>0</v>
      </c>
      <c r="I136" s="103">
        <f t="shared" si="73"/>
        <v>0</v>
      </c>
      <c r="K136" s="175" t="str">
        <f t="shared" si="105"/>
        <v/>
      </c>
      <c r="L136" s="175"/>
      <c r="M136" s="175"/>
      <c r="N136" s="175"/>
      <c r="O136" s="175"/>
      <c r="P136" s="175"/>
      <c r="Q136" s="175"/>
      <c r="R136" s="175">
        <f t="shared" si="106"/>
        <v>0</v>
      </c>
      <c r="AB136" s="175" t="e">
        <f>(VLOOKUP(CONCATENATE($D$14,$D$15),'All Options'!$AB$36:$AC$47,4,0)*VLOOKUP('All Options'!$E$22,'Valid Data-GPG'!$B$130:$F$134,MATCH('All Options'!$E$17,'Valid Data-GPG'!$B$130:$F$130,0),0)*'All Options'!$E$17)*IF(Select="Deferred Annuity",A136&gt;DP,1)*(A136&gt;0)</f>
        <v>#N/A</v>
      </c>
      <c r="AC136" s="175">
        <f t="shared" si="90"/>
        <v>0</v>
      </c>
      <c r="AD136" s="175">
        <f>SUM($AC$26:AC136)</f>
        <v>0</v>
      </c>
      <c r="AE136" s="175">
        <f t="shared" si="91"/>
        <v>0</v>
      </c>
      <c r="AF136" s="175">
        <f t="shared" si="92"/>
        <v>0</v>
      </c>
      <c r="AG136" s="175" t="b">
        <f>(SUM($AF$26:AF136)&lt;=$AB$17)</f>
        <v>0</v>
      </c>
      <c r="AY136" s="175"/>
      <c r="AZ136" s="66">
        <f>((MAX((SUM($B$26:C136)+(VLOOKUP($AZ$25,'All Options'!$AB$36:$AC$46,2,0)*VLOOKUP('All Options'!$E$22,'Valid Data-GPG'!$B$130:$F$134,MATCH('All Options'!$E$17,'Valid Data-GPG'!$B$130:$F$130,0),0)*'All Options'!$E$17)*(IF(A136&lt;=DP,A136,0))),105%*SUM($B$26:C136)))*(AND(A136&lt;&gt;0,Output!A136&lt;=DP))+(0)*(A136&gt;DP))*$AZ$21</f>
        <v>0</v>
      </c>
      <c r="BA136" s="175" t="e">
        <f>((MAX((SUM($B$26:C136)+(VLOOKUP($BA$25,'All Options'!$AB$36:$AC$46,2,0)*VLOOKUP('All Options'!$E$22,'Valid Data-GPG'!$B$130:$F$134,MATCH('All Options'!$E$17,'Valid Data-GPG'!$B$130:$F$130,0),0)*'All Options'!$E$17)*(IF(A136&lt;=DP,A136,0))),105%*SUM($B$26:C136)))*(Output!A136&lt;=DP)
+MAX((SUM($B$26:C136)+(VLOOKUP($BA$25,'All Options'!$AB$36:$AC$46,2,0)*VLOOKUP('All Options'!$E$22,'Valid Data-GPG'!$B$130:$F$134,MATCH('All Options'!$E$17,'Valid Data-GPG'!$B$130:$F$130,0),0)*'All Options'!$E$17)*DP-D136*(A136-DP)),SUM($B$26:C136))*(A136&gt;DP))*$BA$21</f>
        <v>#N/A</v>
      </c>
      <c r="BB136" s="175">
        <f>((MAX(($AB$17+(VLOOKUP($BB$25,'All Options'!$AB$36:$AC$46,2,0)*VLOOKUP('All Options'!$E$22,'Valid Data-GPG'!$B$130:$F$134,MATCH('All Options'!$E$17,'Valid Data-GPG'!$B$130:$F$130,0),0)*'All Options'!$E$17)*(IF(A136&lt;=DP,A136,0))),105%*$AB$17))*(Output!A136&lt;=DP)+(0)*(A136&gt;DP))*$BB$21</f>
        <v>0</v>
      </c>
      <c r="BC136" s="175" t="e">
        <f>((MAX(($AB$17+(VLOOKUP($BC$25,'All Options'!$AB$36:$AC$46,2,0)*VLOOKUP('All Options'!$E$22,'Valid Data-GPG'!$B$130:$F$134,MATCH('All Options'!$E$17,'Valid Data-GPG'!$B$130:$F$130,0),0)*'All Options'!$E$17)*(IF(A136&lt;=DP,A136,0))),105%*$AB$17))*(Output!A136&lt;=DP)+
MAX(($AB$17+(VLOOKUP($BC$25,'All Options'!$AB$36:$AC$46,2,0)*VLOOKUP('All Options'!$E$22,'Valid Data-GPG'!$B$130:$F$134,MATCH('All Options'!$E$17,'Valid Data-GPG'!$B$130:$F$130,0),0)*'All Options'!$E$17)*DP-D136*(A136-DP)),$AB$17)*(A136&gt;DP))*$BC$21</f>
        <v>#N/A</v>
      </c>
      <c r="BD136" s="175">
        <f ca="1">IFERROR((MAX(($AB$17+(VLOOKUP($BD$25,'All Options'!$AB$36:$AC$46,2,0)*VLOOKUP('All Options'!$E$22,'Valid Data-GPG'!$B$130:$F$134,MATCH('All Options'!$E$17,'Valid Data-GPG'!$B$130:$F$130,0),0)*'All Options'!$E$17)*(IF(A136&lt;=DP,A136,0))),105%*$AB$17))*(Output!A136&lt;=DP)
+MAX(($AB$17+(VLOOKUP($BD$25,'All Options'!$AB$36:$AC$46,2,0)*VLOOKUP('All Options'!$E$22,'Valid Data-GPG'!$B$130:$F$134,MATCH('All Options'!$E$17,'Valid Data-GPG'!$B$130:$F$130,0),0)*'All Options'!$E$17)*DP-D136*(A136-DP)),$AB$17)*(A136&gt;DP),0)*$BD$21</f>
        <v>0</v>
      </c>
      <c r="BE136" s="66">
        <f>IFERROR((MAX(($AB$17+(VLOOKUP($BE$25,'All Options'!$AB$36:$AC$46,2,0)*VLOOKUP('All Options'!$E$22,'Valid Data-GPG'!$B$130:$F$134,MATCH('All Options'!$E$17,'Valid Data-GPG'!$B$130:$F$130,0),0)*'All Options'!$E$17)*(IF(A136&lt;=DP,A136,0))),105%*$AB$17))*(Output!A136&lt;=DP)
+(MAX($AB$17+(VLOOKUP($BE$25,'All Options'!$AB$36:$AC$46,2,0)*VLOOKUP('All Options'!$E$22,'Valid Data-GPG'!$B$130:$F$134,MATCH('All Options'!$E$17,'Valid Data-GPG'!$B$130:$F$130,0),0)*'All Options'!$E$17)*DP-AB136*(A136-DP),$AB$17)*(MAX(A136&lt;=25,K136&lt;85)))*(A136&gt;DP),0)*$BE$21</f>
        <v>0</v>
      </c>
      <c r="BF136" s="175">
        <f>IFERROR((MAX(($AB$17+(VLOOKUP($BF$25,'All Options'!$AB$36:$AC$46,2,0)*VLOOKUP('All Options'!$E$22,'Valid Data-GPG'!$B$130:$F$134,MATCH('All Options'!$E$17,'Valid Data-GPG'!$B$130:$F$130,0),0)*'All Options'!$E$17)*(IF(A136&lt;=DP,A136,0))),105%*$AB$17))*(Output!A136&lt;=DP)
+(MAX($AB$17+(VLOOKUP($BF$25,'All Options'!$AB$36:$AC$46,2,0)*VLOOKUP('All Options'!$E$22,'Valid Data-GPG'!$B$130:$F$134,MATCH('All Options'!$E$17,'Valid Data-GPG'!$B$130:$F$130,0),0)*'All Options'!$E$17)*DP-AB136*(A136-DP),$AB$17)-SUM($AF$26:AF136)*AG136)*(A136&gt;DP)*AG136,0)*$BF$21</f>
        <v>0</v>
      </c>
      <c r="BG136" s="175">
        <f t="shared" si="76"/>
        <v>0</v>
      </c>
      <c r="BH136" s="182">
        <f t="shared" si="93"/>
        <v>5000000</v>
      </c>
      <c r="BI136" s="175">
        <f t="shared" si="77"/>
        <v>0</v>
      </c>
      <c r="BJ136" s="175">
        <f t="shared" si="78"/>
        <v>0</v>
      </c>
      <c r="BK136" s="175">
        <f t="shared" si="79"/>
        <v>0</v>
      </c>
      <c r="BL136" s="175">
        <f t="shared" si="80"/>
        <v>0</v>
      </c>
      <c r="BM136" s="175">
        <f t="shared" si="81"/>
        <v>0</v>
      </c>
      <c r="BN136" s="175">
        <f t="shared" si="82"/>
        <v>0</v>
      </c>
      <c r="BO136" s="182">
        <f t="shared" si="94"/>
        <v>0</v>
      </c>
      <c r="BP136" s="182">
        <f t="shared" si="95"/>
        <v>0</v>
      </c>
      <c r="BQ136" s="182">
        <f>MAX($AB$17-SUM($AF$26:AF136),0)*$BQ$21</f>
        <v>0</v>
      </c>
      <c r="BS136" s="175">
        <f t="shared" si="96"/>
        <v>0</v>
      </c>
      <c r="BT136" s="175">
        <f>IFERROR(IF(A136&lt;=1,0,VLOOKUP(DP,'Valid Data-GPG'!$A$116:$J$122,MATCH(Output!A136,'Valid Data-GPG'!$A$116:$J$116,0),FALSE)*SUM($B$26:C136))*(A136&lt;=DP),0)*$BT$21</f>
        <v>0</v>
      </c>
      <c r="BU136" s="175">
        <f>IFERROR(IF(A136&lt;=1,0,VLOOKUP(DP,'Valid Data-GPG'!$A$116:$J$122,MATCH(Output!A136,'Valid Data-GPG'!$A$116:$J$116,0),FALSE)*SUM($B$26:C136))*(A136&lt;=DP),0)*$BU$21</f>
        <v>0</v>
      </c>
      <c r="BV136" s="175">
        <f t="shared" si="97"/>
        <v>0</v>
      </c>
      <c r="BW136" s="175">
        <f t="shared" si="98"/>
        <v>0</v>
      </c>
      <c r="BX136" s="175">
        <f t="shared" si="99"/>
        <v>0</v>
      </c>
      <c r="BY136" s="175">
        <f t="shared" si="100"/>
        <v>0</v>
      </c>
      <c r="BZ136" s="175">
        <f t="shared" si="101"/>
        <v>0</v>
      </c>
      <c r="CA136" s="175">
        <f>(INDEX('SV calc_ignore'!$J$10:$J$1341,12*Output!A136-0))*BS136</f>
        <v>0</v>
      </c>
      <c r="CB136" s="175">
        <f t="shared" si="83"/>
        <v>0</v>
      </c>
      <c r="CC136" s="175">
        <f>(INDEX('SV calc_ignore'!$J$10:$J$1341,12*Output!A136-0))*BS136</f>
        <v>0</v>
      </c>
      <c r="CD136" s="175">
        <f t="shared" si="84"/>
        <v>0</v>
      </c>
      <c r="CE136" s="66">
        <f>(INDEX('SV calc_ignore'!$J$10:$J$1341,12*Output!A136-0))*($CE$21)</f>
        <v>0</v>
      </c>
      <c r="CF136" s="175">
        <f t="shared" si="85"/>
        <v>0</v>
      </c>
      <c r="CG136" s="175">
        <f>(INDEX('SV calc_ignore'!$J$10:$J$1341,12*Output!A136-0))*($CG$21)*(A136&gt;1)</f>
        <v>0</v>
      </c>
      <c r="CH136" s="175">
        <f>(INDEX('SV calc_ignore'!$J$10:$J$1341,12*Output!A136-0))*($CH$21)*(A136&gt;1)</f>
        <v>0</v>
      </c>
      <c r="CI136" s="175"/>
      <c r="CJ136" s="66">
        <f>(INDEX('SV calc_ignore'!$J$10:$J$1341,12*Output!A136-0))*($CJ$21)*(A136&gt;1)</f>
        <v>0</v>
      </c>
      <c r="CK136" s="66">
        <f>(INDEX('SV calc_ignore'!$Q$10:$Q$1341,12*Output!A136-0))*(AND(A136&gt;1,R136&lt;20))*($CK$21)</f>
        <v>0</v>
      </c>
      <c r="CL136" s="66">
        <f t="shared" si="86"/>
        <v>0</v>
      </c>
      <c r="CM136" s="175">
        <f>((INDEX('SV calc_ignore'!$J$10:$J$1341,12*Output!A136-0))+(INDEX('SV calc_ignore'!$O$10:$O$1341,12*Output!A136-0))*(A136&lt;'SV calc_ignore'!$Q$5))*(A136&gt;1)*($CM$21)</f>
        <v>0</v>
      </c>
      <c r="CN136" s="175">
        <v>0</v>
      </c>
      <c r="CO136" s="175">
        <f>(INDEX('SV calc_ignore'!$J$10:$J$1341,12*Output!A136-0))*(A136&gt;1)*($CO$21)</f>
        <v>0</v>
      </c>
      <c r="CP136" s="175">
        <v>0</v>
      </c>
      <c r="CQ136" s="175">
        <v>0</v>
      </c>
      <c r="CR136" s="175">
        <v>0</v>
      </c>
      <c r="CS136" s="175">
        <v>0</v>
      </c>
      <c r="CT136" s="175">
        <v>0</v>
      </c>
      <c r="CU136" s="175">
        <v>0</v>
      </c>
      <c r="CV136" s="175">
        <f>(INDEX('SV calc_ignore'!$J$10:$J$1341,12*Output!A136-0))*(A136&gt;1)*($CV$21)</f>
        <v>0</v>
      </c>
      <c r="CW136" s="66">
        <f>((INDEX('SV calc_ignore'!$J$10:$J$1341,12*Output!A136-0))+(INDEX('SV calc_ignore'!$O$10:$O$1351,12*Output!A136-0))*(A136&lt;'SV calc_ignore'!$Q$5))*(A136&gt;1)*($CW$21)</f>
        <v>0</v>
      </c>
      <c r="CX136" s="175">
        <f>(INDEX('SV calc_ignore'!$J$10:$J$1341,12*Output!A136-0))*(A136&gt;1)*($CX$21)</f>
        <v>0</v>
      </c>
      <c r="CY136" s="175">
        <f>(INDEX('SV calc_ignore'!$Q$10:$Q$1341,12*Output!A136-0))*(AND(A136&gt;1,R136&lt;20))*($CY$21)</f>
        <v>0</v>
      </c>
      <c r="CZ136" s="175">
        <f t="shared" si="87"/>
        <v>0</v>
      </c>
      <c r="DE136" s="43">
        <f>IF($DE$23,0,VLOOKUP(IF(A136&lt;=DP,DJ136,DI136),SSV!$B$6:$C$116,2,FALSE)*VLOOKUP(AnnuityOption,'All Options'!$AB$36:$AC$47,2,FALSE)*VLOOKUP('All Options'!$E$22,'Valid Data-GPG'!$B$130:$F$134,MATCH('All Options'!$E$17,'Valid Data-GPG'!$B$130:$F$130,0),0)*'All Options'!$E$17)*(IF(AND(Select="Deferred Annuity",AnnuityOption="Life Annuity"),A136&lt;=DP,1))</f>
        <v>3274327.0531593515</v>
      </c>
      <c r="DF136" s="43">
        <f>IF($DF$23,0,IF($DQ$25,DQ136,IF($DR$25,DR136,VLOOKUP(IF(A136&lt;=DP,DJ136,DI136),SSV!$G$6:$H$116,2,FALSE)*SUM($B$27:B136))))</f>
        <v>1006161.5</v>
      </c>
      <c r="DG136" s="43" t="e">
        <f>IF(A136&lt;=DP,VLOOKUP(DP-A135,SSV!$T$6:$U$15,2,FALSE),1)</f>
        <v>#N/A</v>
      </c>
      <c r="DH136" s="282" t="e">
        <f t="shared" si="102"/>
        <v>#VALUE!</v>
      </c>
      <c r="DI136" s="43">
        <f>IF($DM$26,MIN(Age,'All Options'!$E$21)+A135,IF($DN$26,(Age+A135)-Age+60,IF($DO$26,(Age+A135)-Age+55,Age+A135)))</f>
        <v>60</v>
      </c>
      <c r="DJ136" s="279">
        <f>IF($DM$26,MIN(Age+A136,'All Options'!$E$21+A136),IF($DN$26,(Age+A136)-(Age+$A$27)+60,IF($DO$26,(Age+A136)-(Age+$A$27)+55,Age+A136)))</f>
        <v>60</v>
      </c>
      <c r="DP136" s="43">
        <f t="shared" si="88"/>
        <v>0</v>
      </c>
      <c r="DQ136" s="43">
        <f>IFERROR(VLOOKUP(IF(A136&lt;=DP,DJ136,DI136),SSV!$K$6:$L$91,2,FALSE)*SUM($B$27:B136),0)*($DQ$25)</f>
        <v>0</v>
      </c>
      <c r="DR136" s="43">
        <f>IFERROR(VLOOKUP(IF(A136&lt;=DP,DJ136,DI136),SSV!$O$6:$P$95,2,FALSE)*SUM($B$27:B136),0)*($DR$25)</f>
        <v>0</v>
      </c>
      <c r="DU136" s="175">
        <f t="shared" si="103"/>
        <v>0</v>
      </c>
    </row>
    <row r="137" spans="1:125" x14ac:dyDescent="0.2">
      <c r="A137" s="146">
        <f t="shared" si="104"/>
        <v>0</v>
      </c>
      <c r="B137" s="670">
        <f>IF(PremiumType="Regular Premium",'All Options'!$E$18*'All Options'!$E$22*(AND(Output!A137&lt;=PPT,A137&gt;=1)),'All Options'!$E$18*(A137=1))</f>
        <v>0</v>
      </c>
      <c r="C137" s="671"/>
      <c r="D137" s="103" t="e">
        <f>((VLOOKUP(CONCATENATE($D$14,$D$15),'All Options'!$AB$36:$AC$47,4,0)*VLOOKUP('All Options'!$E$22,'Valid Data-GPG'!$B$130:$F$134,MATCH('All Options'!$E$17,'Valid Data-GPG'!$B$130:$F$130,0),0)*'All Options'!$E$17)*IF(Select="Deferred Annuity",A137&gt;DP,1)+AE137+AF137*AG137*$AG$21)*(A137&gt;0)</f>
        <v>#N/A</v>
      </c>
      <c r="E137" s="103">
        <v>0</v>
      </c>
      <c r="F137" s="103" t="e">
        <f t="shared" si="71"/>
        <v>#N/A</v>
      </c>
      <c r="G137" s="103">
        <f t="shared" si="89"/>
        <v>0</v>
      </c>
      <c r="H137" s="285">
        <f t="shared" si="72"/>
        <v>0</v>
      </c>
      <c r="I137" s="103">
        <f t="shared" si="73"/>
        <v>0</v>
      </c>
      <c r="K137" s="175" t="str">
        <f t="shared" si="105"/>
        <v/>
      </c>
      <c r="L137" s="175"/>
      <c r="M137" s="175"/>
      <c r="N137" s="175"/>
      <c r="O137" s="175"/>
      <c r="P137" s="175"/>
      <c r="Q137" s="175"/>
      <c r="R137" s="175">
        <f t="shared" si="106"/>
        <v>0</v>
      </c>
      <c r="AB137" s="175" t="e">
        <f>(VLOOKUP(CONCATENATE($D$14,$D$15),'All Options'!$AB$36:$AC$47,4,0)*VLOOKUP('All Options'!$E$22,'Valid Data-GPG'!$B$130:$F$134,MATCH('All Options'!$E$17,'Valid Data-GPG'!$B$130:$F$130,0),0)*'All Options'!$E$17)*IF(Select="Deferred Annuity",A137&gt;DP,1)*(A137&gt;0)</f>
        <v>#N/A</v>
      </c>
      <c r="AC137" s="175">
        <f t="shared" si="90"/>
        <v>0</v>
      </c>
      <c r="AD137" s="175">
        <f>SUM($AC$26:AC137)</f>
        <v>0</v>
      </c>
      <c r="AE137" s="175">
        <f t="shared" si="91"/>
        <v>0</v>
      </c>
      <c r="AF137" s="175">
        <f t="shared" si="92"/>
        <v>0</v>
      </c>
      <c r="AG137" s="175" t="b">
        <f>(SUM($AF$26:AF137)&lt;=$AB$17)</f>
        <v>0</v>
      </c>
      <c r="AY137" s="175"/>
      <c r="AZ137" s="66">
        <f>((MAX((SUM($B$26:C137)+(VLOOKUP($AZ$25,'All Options'!$AB$36:$AC$46,2,0)*VLOOKUP('All Options'!$E$22,'Valid Data-GPG'!$B$130:$F$134,MATCH('All Options'!$E$17,'Valid Data-GPG'!$B$130:$F$130,0),0)*'All Options'!$E$17)*(IF(A137&lt;=DP,A137,0))),105%*SUM($B$26:C137)))*(AND(A137&lt;&gt;0,Output!A137&lt;=DP))+(0)*(A137&gt;DP))*$AZ$21</f>
        <v>0</v>
      </c>
      <c r="BA137" s="175" t="e">
        <f>((MAX((SUM($B$26:C137)+(VLOOKUP($BA$25,'All Options'!$AB$36:$AC$46,2,0)*VLOOKUP('All Options'!$E$22,'Valid Data-GPG'!$B$130:$F$134,MATCH('All Options'!$E$17,'Valid Data-GPG'!$B$130:$F$130,0),0)*'All Options'!$E$17)*(IF(A137&lt;=DP,A137,0))),105%*SUM($B$26:C137)))*(Output!A137&lt;=DP)
+MAX((SUM($B$26:C137)+(VLOOKUP($BA$25,'All Options'!$AB$36:$AC$46,2,0)*VLOOKUP('All Options'!$E$22,'Valid Data-GPG'!$B$130:$F$134,MATCH('All Options'!$E$17,'Valid Data-GPG'!$B$130:$F$130,0),0)*'All Options'!$E$17)*DP-D137*(A137-DP)),SUM($B$26:C137))*(A137&gt;DP))*$BA$21</f>
        <v>#N/A</v>
      </c>
      <c r="BB137" s="175">
        <f>((MAX(($AB$17+(VLOOKUP($BB$25,'All Options'!$AB$36:$AC$46,2,0)*VLOOKUP('All Options'!$E$22,'Valid Data-GPG'!$B$130:$F$134,MATCH('All Options'!$E$17,'Valid Data-GPG'!$B$130:$F$130,0),0)*'All Options'!$E$17)*(IF(A137&lt;=DP,A137,0))),105%*$AB$17))*(Output!A137&lt;=DP)+(0)*(A137&gt;DP))*$BB$21</f>
        <v>0</v>
      </c>
      <c r="BC137" s="175" t="e">
        <f>((MAX(($AB$17+(VLOOKUP($BC$25,'All Options'!$AB$36:$AC$46,2,0)*VLOOKUP('All Options'!$E$22,'Valid Data-GPG'!$B$130:$F$134,MATCH('All Options'!$E$17,'Valid Data-GPG'!$B$130:$F$130,0),0)*'All Options'!$E$17)*(IF(A137&lt;=DP,A137,0))),105%*$AB$17))*(Output!A137&lt;=DP)+
MAX(($AB$17+(VLOOKUP($BC$25,'All Options'!$AB$36:$AC$46,2,0)*VLOOKUP('All Options'!$E$22,'Valid Data-GPG'!$B$130:$F$134,MATCH('All Options'!$E$17,'Valid Data-GPG'!$B$130:$F$130,0),0)*'All Options'!$E$17)*DP-D137*(A137-DP)),$AB$17)*(A137&gt;DP))*$BC$21</f>
        <v>#N/A</v>
      </c>
      <c r="BD137" s="175">
        <f ca="1">IFERROR((MAX(($AB$17+(VLOOKUP($BD$25,'All Options'!$AB$36:$AC$46,2,0)*VLOOKUP('All Options'!$E$22,'Valid Data-GPG'!$B$130:$F$134,MATCH('All Options'!$E$17,'Valid Data-GPG'!$B$130:$F$130,0),0)*'All Options'!$E$17)*(IF(A137&lt;=DP,A137,0))),105%*$AB$17))*(Output!A137&lt;=DP)
+MAX(($AB$17+(VLOOKUP($BD$25,'All Options'!$AB$36:$AC$46,2,0)*VLOOKUP('All Options'!$E$22,'Valid Data-GPG'!$B$130:$F$134,MATCH('All Options'!$E$17,'Valid Data-GPG'!$B$130:$F$130,0),0)*'All Options'!$E$17)*DP-D137*(A137-DP)),$AB$17)*(A137&gt;DP),0)*$BD$21</f>
        <v>0</v>
      </c>
      <c r="BE137" s="66">
        <f>IFERROR((MAX(($AB$17+(VLOOKUP($BE$25,'All Options'!$AB$36:$AC$46,2,0)*VLOOKUP('All Options'!$E$22,'Valid Data-GPG'!$B$130:$F$134,MATCH('All Options'!$E$17,'Valid Data-GPG'!$B$130:$F$130,0),0)*'All Options'!$E$17)*(IF(A137&lt;=DP,A137,0))),105%*$AB$17))*(Output!A137&lt;=DP)
+(MAX($AB$17+(VLOOKUP($BE$25,'All Options'!$AB$36:$AC$46,2,0)*VLOOKUP('All Options'!$E$22,'Valid Data-GPG'!$B$130:$F$134,MATCH('All Options'!$E$17,'Valid Data-GPG'!$B$130:$F$130,0),0)*'All Options'!$E$17)*DP-AB137*(A137-DP),$AB$17)*(MAX(A137&lt;=25,K137&lt;85)))*(A137&gt;DP),0)*$BE$21</f>
        <v>0</v>
      </c>
      <c r="BF137" s="175">
        <f>IFERROR((MAX(($AB$17+(VLOOKUP($BF$25,'All Options'!$AB$36:$AC$46,2,0)*VLOOKUP('All Options'!$E$22,'Valid Data-GPG'!$B$130:$F$134,MATCH('All Options'!$E$17,'Valid Data-GPG'!$B$130:$F$130,0),0)*'All Options'!$E$17)*(IF(A137&lt;=DP,A137,0))),105%*$AB$17))*(Output!A137&lt;=DP)
+(MAX($AB$17+(VLOOKUP($BF$25,'All Options'!$AB$36:$AC$46,2,0)*VLOOKUP('All Options'!$E$22,'Valid Data-GPG'!$B$130:$F$134,MATCH('All Options'!$E$17,'Valid Data-GPG'!$B$130:$F$130,0),0)*'All Options'!$E$17)*DP-AB137*(A137-DP),$AB$17)-SUM($AF$26:AF137)*AG137)*(A137&gt;DP)*AG137,0)*$BF$21</f>
        <v>0</v>
      </c>
      <c r="BG137" s="175">
        <f t="shared" si="76"/>
        <v>0</v>
      </c>
      <c r="BH137" s="182">
        <f t="shared" si="93"/>
        <v>5000000</v>
      </c>
      <c r="BI137" s="175">
        <f t="shared" si="77"/>
        <v>0</v>
      </c>
      <c r="BJ137" s="175">
        <f t="shared" si="78"/>
        <v>0</v>
      </c>
      <c r="BK137" s="175">
        <f t="shared" si="79"/>
        <v>0</v>
      </c>
      <c r="BL137" s="175">
        <f t="shared" si="80"/>
        <v>0</v>
      </c>
      <c r="BM137" s="175">
        <f t="shared" si="81"/>
        <v>0</v>
      </c>
      <c r="BN137" s="175">
        <f t="shared" si="82"/>
        <v>0</v>
      </c>
      <c r="BO137" s="182">
        <f t="shared" si="94"/>
        <v>0</v>
      </c>
      <c r="BP137" s="182">
        <f t="shared" si="95"/>
        <v>0</v>
      </c>
      <c r="BQ137" s="182">
        <f>MAX($AB$17-SUM($AF$26:AF137),0)*$BQ$21</f>
        <v>0</v>
      </c>
      <c r="BS137" s="175">
        <f t="shared" si="96"/>
        <v>0</v>
      </c>
      <c r="BT137" s="175">
        <f>IFERROR(IF(A137&lt;=1,0,VLOOKUP(DP,'Valid Data-GPG'!$A$116:$J$122,MATCH(Output!A137,'Valid Data-GPG'!$A$116:$J$116,0),FALSE)*SUM($B$26:C137))*(A137&lt;=DP),0)*$BT$21</f>
        <v>0</v>
      </c>
      <c r="BU137" s="175">
        <f>IFERROR(IF(A137&lt;=1,0,VLOOKUP(DP,'Valid Data-GPG'!$A$116:$J$122,MATCH(Output!A137,'Valid Data-GPG'!$A$116:$J$116,0),FALSE)*SUM($B$26:C137))*(A137&lt;=DP),0)*$BU$21</f>
        <v>0</v>
      </c>
      <c r="BV137" s="175">
        <f t="shared" si="97"/>
        <v>0</v>
      </c>
      <c r="BW137" s="175">
        <f t="shared" si="98"/>
        <v>0</v>
      </c>
      <c r="BX137" s="175">
        <f t="shared" si="99"/>
        <v>0</v>
      </c>
      <c r="BY137" s="175">
        <f t="shared" si="100"/>
        <v>0</v>
      </c>
      <c r="BZ137" s="175">
        <f t="shared" si="101"/>
        <v>0</v>
      </c>
      <c r="CA137" s="175">
        <f>(INDEX('SV calc_ignore'!$J$10:$J$1341,12*Output!A137-0))*BS137</f>
        <v>0</v>
      </c>
      <c r="CB137" s="175">
        <f t="shared" si="83"/>
        <v>0</v>
      </c>
      <c r="CC137" s="175">
        <f>(INDEX('SV calc_ignore'!$J$10:$J$1341,12*Output!A137-0))*BS137</f>
        <v>0</v>
      </c>
      <c r="CD137" s="175">
        <f t="shared" si="84"/>
        <v>0</v>
      </c>
      <c r="CE137" s="66">
        <f>(INDEX('SV calc_ignore'!$J$10:$J$1341,12*Output!A137-0))*($CE$21)</f>
        <v>0</v>
      </c>
      <c r="CF137" s="175">
        <f t="shared" si="85"/>
        <v>0</v>
      </c>
      <c r="CG137" s="175">
        <f>(INDEX('SV calc_ignore'!$J$10:$J$1341,12*Output!A137-0))*($CG$21)*(A137&gt;1)</f>
        <v>0</v>
      </c>
      <c r="CH137" s="175">
        <f>(INDEX('SV calc_ignore'!$J$10:$J$1341,12*Output!A137-0))*($CH$21)*(A137&gt;1)</f>
        <v>0</v>
      </c>
      <c r="CI137" s="175"/>
      <c r="CJ137" s="66">
        <f>(INDEX('SV calc_ignore'!$J$10:$J$1341,12*Output!A137-0))*($CJ$21)*(A137&gt;1)</f>
        <v>0</v>
      </c>
      <c r="CK137" s="66">
        <f>(INDEX('SV calc_ignore'!$Q$10:$Q$1341,12*Output!A137-0))*(AND(A137&gt;1,R137&lt;20))*($CK$21)</f>
        <v>0</v>
      </c>
      <c r="CL137" s="66">
        <f t="shared" si="86"/>
        <v>0</v>
      </c>
      <c r="CM137" s="175">
        <f>((INDEX('SV calc_ignore'!$J$10:$J$1341,12*Output!A137-0))+(INDEX('SV calc_ignore'!$O$10:$O$1341,12*Output!A137-0))*(A137&lt;'SV calc_ignore'!$Q$5))*(A137&gt;1)*($CM$21)</f>
        <v>0</v>
      </c>
      <c r="CN137" s="175">
        <v>0</v>
      </c>
      <c r="CO137" s="175">
        <f>(INDEX('SV calc_ignore'!$J$10:$J$1341,12*Output!A137-0))*(A137&gt;1)*($CO$21)</f>
        <v>0</v>
      </c>
      <c r="CP137" s="175">
        <v>0</v>
      </c>
      <c r="CQ137" s="175">
        <v>0</v>
      </c>
      <c r="CR137" s="175">
        <v>0</v>
      </c>
      <c r="CS137" s="175">
        <v>0</v>
      </c>
      <c r="CT137" s="175">
        <v>0</v>
      </c>
      <c r="CU137" s="175">
        <v>0</v>
      </c>
      <c r="CV137" s="175">
        <f>(INDEX('SV calc_ignore'!$J$10:$J$1341,12*Output!A137-0))*(A137&gt;1)*($CV$21)</f>
        <v>0</v>
      </c>
      <c r="CW137" s="66">
        <f>((INDEX('SV calc_ignore'!$J$10:$J$1341,12*Output!A137-0))+(INDEX('SV calc_ignore'!$O$10:$O$1351,12*Output!A137-0))*(A137&lt;'SV calc_ignore'!$Q$5))*(A137&gt;1)*($CW$21)</f>
        <v>0</v>
      </c>
      <c r="CX137" s="175">
        <f>(INDEX('SV calc_ignore'!$J$10:$J$1341,12*Output!A137-0))*(A137&gt;1)*($CX$21)</f>
        <v>0</v>
      </c>
      <c r="CY137" s="175">
        <f>(INDEX('SV calc_ignore'!$Q$10:$Q$1341,12*Output!A137-0))*(AND(A137&gt;1,R137&lt;20))*($CY$21)</f>
        <v>0</v>
      </c>
      <c r="CZ137" s="175">
        <f t="shared" si="87"/>
        <v>0</v>
      </c>
      <c r="DE137" s="43">
        <f>IF($DE$23,0,VLOOKUP(IF(A137&lt;=DP,DJ137,DI137),SSV!$B$6:$C$116,2,FALSE)*VLOOKUP(AnnuityOption,'All Options'!$AB$36:$AC$47,2,FALSE)*VLOOKUP('All Options'!$E$22,'Valid Data-GPG'!$B$130:$F$134,MATCH('All Options'!$E$17,'Valid Data-GPG'!$B$130:$F$130,0),0)*'All Options'!$E$17)*(IF(AND(Select="Deferred Annuity",AnnuityOption="Life Annuity"),A137&lt;=DP,1))</f>
        <v>3274327.0531593515</v>
      </c>
      <c r="DF137" s="43">
        <f>IF($DF$23,0,IF($DQ$25,DQ137,IF($DR$25,DR137,VLOOKUP(IF(A137&lt;=DP,DJ137,DI137),SSV!$G$6:$H$116,2,FALSE)*SUM($B$27:B137))))</f>
        <v>1006161.5</v>
      </c>
      <c r="DG137" s="43" t="e">
        <f>IF(A137&lt;=DP,VLOOKUP(DP-A136,SSV!$T$6:$U$15,2,FALSE),1)</f>
        <v>#N/A</v>
      </c>
      <c r="DH137" s="282" t="e">
        <f t="shared" si="102"/>
        <v>#VALUE!</v>
      </c>
      <c r="DI137" s="43">
        <f>IF($DM$26,MIN(Age,'All Options'!$E$21)+A136,IF($DN$26,(Age+A136)-Age+60,IF($DO$26,(Age+A136)-Age+55,Age+A136)))</f>
        <v>60</v>
      </c>
      <c r="DJ137" s="279">
        <f>IF($DM$26,MIN(Age+A137,'All Options'!$E$21+A137),IF($DN$26,(Age+A137)-(Age+$A$27)+60,IF($DO$26,(Age+A137)-(Age+$A$27)+55,Age+A137)))</f>
        <v>60</v>
      </c>
      <c r="DP137" s="43">
        <f t="shared" si="88"/>
        <v>0</v>
      </c>
      <c r="DQ137" s="43">
        <f>IFERROR(VLOOKUP(IF(A137&lt;=DP,DJ137,DI137),SSV!$K$6:$L$91,2,FALSE)*SUM($B$27:B137),0)*($DQ$25)</f>
        <v>0</v>
      </c>
      <c r="DR137" s="43">
        <f>IFERROR(VLOOKUP(IF(A137&lt;=DP,DJ137,DI137),SSV!$O$6:$P$95,2,FALSE)*SUM($B$27:B137),0)*($DR$25)</f>
        <v>0</v>
      </c>
      <c r="DU137" s="175">
        <f t="shared" si="103"/>
        <v>0</v>
      </c>
    </row>
    <row r="140" spans="1:125" x14ac:dyDescent="0.2">
      <c r="A140" s="47" t="s">
        <v>52</v>
      </c>
    </row>
    <row r="141" spans="1:125" x14ac:dyDescent="0.2">
      <c r="A141" s="43" t="str">
        <f>"# Total Annuity receivable in a policy year, subject to annuitant/s is/are alive" &amp; IF(OR('All Options'!$E$15=S9,'All Options'!$E$15=S10,'All Options'!$E$15=S11,'All Options'!$E$15=S12)," or for a minimum duration of " &amp; MID(D15,29,2)&amp;" years",".")</f>
        <v># Total Annuity receivable in a policy year, subject to annuitant/s is/are alive.</v>
      </c>
    </row>
    <row r="142" spans="1:125" x14ac:dyDescent="0.2">
      <c r="A142" s="48" t="str">
        <f>"* Sum Assured is not applicable for Annuity products"&amp;IF(OR(D15=S8,D15=S14),", however Death Benefit is payable as per the above table.",".")</f>
        <v>* Sum Assured is not applicable for Annuity products.</v>
      </c>
      <c r="B142" s="48"/>
      <c r="C142" s="48"/>
      <c r="D142" s="48"/>
      <c r="E142" s="48"/>
      <c r="F142" s="48"/>
      <c r="G142" s="48"/>
      <c r="H142" s="48"/>
      <c r="I142" s="48"/>
    </row>
    <row r="144" spans="1:125" x14ac:dyDescent="0.2">
      <c r="A144" s="48"/>
      <c r="B144" s="48"/>
      <c r="C144" s="48"/>
      <c r="D144" s="48"/>
      <c r="E144" s="48"/>
      <c r="F144" s="48"/>
      <c r="G144" s="48"/>
      <c r="H144" s="48"/>
      <c r="I144" s="48"/>
    </row>
    <row r="145" spans="1:9" x14ac:dyDescent="0.2">
      <c r="A145" s="645" t="s">
        <v>53</v>
      </c>
      <c r="B145" s="646"/>
      <c r="C145" s="646"/>
      <c r="D145" s="646"/>
      <c r="E145" s="647"/>
      <c r="F145" s="648" t="s">
        <v>54</v>
      </c>
      <c r="G145" s="649"/>
      <c r="H145" s="649"/>
      <c r="I145" s="650"/>
    </row>
    <row r="146" spans="1:9" x14ac:dyDescent="0.2">
      <c r="A146" s="678" t="s">
        <v>55</v>
      </c>
      <c r="B146" s="679"/>
      <c r="C146" s="679"/>
      <c r="D146" s="679"/>
      <c r="E146" s="680"/>
      <c r="F146" s="636" t="s">
        <v>484</v>
      </c>
      <c r="G146" s="637"/>
      <c r="H146" s="637"/>
      <c r="I146" s="638"/>
    </row>
    <row r="147" spans="1:9" ht="27.75" customHeight="1" x14ac:dyDescent="0.2">
      <c r="A147" s="678"/>
      <c r="B147" s="679"/>
      <c r="C147" s="679"/>
      <c r="D147" s="679"/>
      <c r="E147" s="680"/>
      <c r="F147" s="636"/>
      <c r="G147" s="637"/>
      <c r="H147" s="637"/>
      <c r="I147" s="638"/>
    </row>
    <row r="148" spans="1:9" x14ac:dyDescent="0.2">
      <c r="A148" s="639" t="s">
        <v>56</v>
      </c>
      <c r="B148" s="640"/>
      <c r="C148" s="640"/>
      <c r="D148" s="640"/>
      <c r="E148" s="641"/>
      <c r="F148" s="642"/>
      <c r="G148" s="643"/>
      <c r="H148" s="643"/>
      <c r="I148" s="644"/>
    </row>
    <row r="149" spans="1:9" x14ac:dyDescent="0.2">
      <c r="A149" s="52" t="s">
        <v>57</v>
      </c>
      <c r="B149" s="53"/>
      <c r="C149" s="53" t="s">
        <v>58</v>
      </c>
      <c r="D149" s="53"/>
      <c r="E149" s="54"/>
      <c r="F149" s="55" t="s">
        <v>57</v>
      </c>
      <c r="G149" s="56" t="s">
        <v>59</v>
      </c>
      <c r="H149" s="56"/>
      <c r="I149" s="57"/>
    </row>
    <row r="151" spans="1:9" x14ac:dyDescent="0.2">
      <c r="A151" s="261" t="s">
        <v>478</v>
      </c>
    </row>
    <row r="152" spans="1:9" x14ac:dyDescent="0.2">
      <c r="A152" s="260" t="s">
        <v>455</v>
      </c>
      <c r="B152" s="43" t="s">
        <v>456</v>
      </c>
    </row>
    <row r="153" spans="1:9" x14ac:dyDescent="0.2">
      <c r="A153" s="260" t="s">
        <v>457</v>
      </c>
      <c r="B153" s="635" t="s">
        <v>460</v>
      </c>
      <c r="C153" s="635"/>
      <c r="D153" s="635"/>
      <c r="E153" s="635"/>
      <c r="F153" s="635"/>
      <c r="G153" s="635"/>
      <c r="H153" s="635"/>
      <c r="I153" s="635"/>
    </row>
    <row r="154" spans="1:9" x14ac:dyDescent="0.2">
      <c r="A154" s="260"/>
      <c r="B154" s="635"/>
      <c r="C154" s="635"/>
      <c r="D154" s="635"/>
      <c r="E154" s="635"/>
      <c r="F154" s="635"/>
      <c r="G154" s="635"/>
      <c r="H154" s="635"/>
      <c r="I154" s="635"/>
    </row>
    <row r="155" spans="1:9" x14ac:dyDescent="0.2">
      <c r="A155" s="260" t="s">
        <v>458</v>
      </c>
      <c r="B155" s="43" t="s">
        <v>459</v>
      </c>
    </row>
    <row r="156" spans="1:9" x14ac:dyDescent="0.2">
      <c r="A156" s="260"/>
    </row>
    <row r="157" spans="1:9" ht="15" customHeight="1" x14ac:dyDescent="0.2">
      <c r="A157" s="260"/>
    </row>
    <row r="158" spans="1:9" x14ac:dyDescent="0.2">
      <c r="A158" s="260"/>
    </row>
    <row r="159" spans="1:9" x14ac:dyDescent="0.2">
      <c r="A159" s="260"/>
    </row>
    <row r="160" spans="1:9" x14ac:dyDescent="0.2">
      <c r="A160" s="260"/>
    </row>
    <row r="161" spans="1:9" x14ac:dyDescent="0.2">
      <c r="A161" s="260"/>
    </row>
    <row r="162" spans="1:9" x14ac:dyDescent="0.2">
      <c r="A162" s="260"/>
    </row>
    <row r="163" spans="1:9" x14ac:dyDescent="0.2">
      <c r="A163" s="260"/>
    </row>
    <row r="164" spans="1:9" x14ac:dyDescent="0.2">
      <c r="A164" s="260"/>
    </row>
    <row r="165" spans="1:9" x14ac:dyDescent="0.2">
      <c r="A165" s="260"/>
    </row>
    <row r="166" spans="1:9" x14ac:dyDescent="0.2">
      <c r="A166" s="260"/>
    </row>
    <row r="167" spans="1:9" x14ac:dyDescent="0.2">
      <c r="A167" s="260"/>
    </row>
    <row r="168" spans="1:9" x14ac:dyDescent="0.2">
      <c r="A168" s="260"/>
    </row>
    <row r="169" spans="1:9" x14ac:dyDescent="0.2">
      <c r="A169" s="260"/>
    </row>
    <row r="170" spans="1:9" x14ac:dyDescent="0.2">
      <c r="A170" s="260"/>
    </row>
    <row r="171" spans="1:9" x14ac:dyDescent="0.2">
      <c r="A171" s="260"/>
    </row>
    <row r="172" spans="1:9" x14ac:dyDescent="0.2">
      <c r="A172" s="260"/>
    </row>
    <row r="173" spans="1:9" x14ac:dyDescent="0.2">
      <c r="A173" s="260"/>
    </row>
    <row r="174" spans="1:9" ht="27" customHeight="1" x14ac:dyDescent="0.2">
      <c r="A174" s="260"/>
      <c r="B174" s="634" t="s">
        <v>483</v>
      </c>
      <c r="C174" s="634"/>
      <c r="D174" s="634"/>
      <c r="E174" s="634"/>
      <c r="F174" s="634"/>
      <c r="G174" s="634"/>
    </row>
    <row r="175" spans="1:9" x14ac:dyDescent="0.2">
      <c r="A175" s="260" t="s">
        <v>461</v>
      </c>
      <c r="B175" s="43" t="s">
        <v>462</v>
      </c>
    </row>
    <row r="176" spans="1:9" x14ac:dyDescent="0.2">
      <c r="A176" s="260" t="s">
        <v>463</v>
      </c>
      <c r="B176" s="635" t="s">
        <v>464</v>
      </c>
      <c r="C176" s="635"/>
      <c r="D176" s="635"/>
      <c r="E176" s="635"/>
      <c r="F176" s="635"/>
      <c r="G176" s="635"/>
      <c r="H176" s="635"/>
      <c r="I176" s="635"/>
    </row>
    <row r="177" spans="1:9" ht="30.75" customHeight="1" x14ac:dyDescent="0.2">
      <c r="A177" s="260"/>
      <c r="B177" s="635"/>
      <c r="C177" s="635"/>
      <c r="D177" s="635"/>
      <c r="E177" s="635"/>
      <c r="F177" s="635"/>
      <c r="G177" s="635"/>
      <c r="H177" s="635"/>
      <c r="I177" s="635"/>
    </row>
    <row r="178" spans="1:9" ht="72.75" customHeight="1" x14ac:dyDescent="0.2">
      <c r="A178" s="269" t="s">
        <v>465</v>
      </c>
      <c r="B178" s="633" t="s">
        <v>482</v>
      </c>
      <c r="C178" s="633"/>
      <c r="D178" s="633"/>
      <c r="E178" s="633"/>
      <c r="F178" s="633"/>
      <c r="G178" s="633"/>
      <c r="H178" s="633"/>
      <c r="I178" s="633"/>
    </row>
    <row r="179" spans="1:9" x14ac:dyDescent="0.2">
      <c r="A179" s="260" t="s">
        <v>467</v>
      </c>
      <c r="B179" s="635" t="s">
        <v>466</v>
      </c>
      <c r="C179" s="635"/>
      <c r="D179" s="635"/>
      <c r="E179" s="635"/>
      <c r="F179" s="635"/>
      <c r="G179" s="635"/>
      <c r="H179" s="635"/>
      <c r="I179" s="635"/>
    </row>
    <row r="180" spans="1:9" x14ac:dyDescent="0.2">
      <c r="A180" s="260"/>
      <c r="B180" s="635"/>
      <c r="C180" s="635"/>
      <c r="D180" s="635"/>
      <c r="E180" s="635"/>
      <c r="F180" s="635"/>
      <c r="G180" s="635"/>
      <c r="H180" s="635"/>
      <c r="I180" s="635"/>
    </row>
    <row r="181" spans="1:9" x14ac:dyDescent="0.2">
      <c r="A181" s="260" t="s">
        <v>469</v>
      </c>
      <c r="B181" s="43" t="s">
        <v>468</v>
      </c>
    </row>
    <row r="182" spans="1:9" x14ac:dyDescent="0.2">
      <c r="A182" s="260" t="s">
        <v>471</v>
      </c>
      <c r="B182" s="43" t="s">
        <v>470</v>
      </c>
    </row>
    <row r="183" spans="1:9" x14ac:dyDescent="0.2">
      <c r="A183" s="260" t="s">
        <v>473</v>
      </c>
      <c r="B183" s="43" t="s">
        <v>472</v>
      </c>
    </row>
    <row r="184" spans="1:9" x14ac:dyDescent="0.2">
      <c r="A184" s="260" t="s">
        <v>475</v>
      </c>
      <c r="B184" s="43" t="s">
        <v>474</v>
      </c>
    </row>
    <row r="185" spans="1:9" x14ac:dyDescent="0.2">
      <c r="A185" s="260" t="s">
        <v>481</v>
      </c>
      <c r="B185" s="43" t="s">
        <v>476</v>
      </c>
    </row>
    <row r="186" spans="1:9" x14ac:dyDescent="0.2">
      <c r="A186" s="260"/>
    </row>
    <row r="187" spans="1:9" x14ac:dyDescent="0.2">
      <c r="A187" s="260"/>
      <c r="B187" s="635" t="s">
        <v>477</v>
      </c>
      <c r="C187" s="635"/>
      <c r="D187" s="635"/>
      <c r="E187" s="635"/>
      <c r="F187" s="635"/>
      <c r="G187" s="635"/>
      <c r="H187" s="635"/>
      <c r="I187" s="635"/>
    </row>
    <row r="188" spans="1:9" x14ac:dyDescent="0.2">
      <c r="A188" s="260"/>
      <c r="B188" s="635"/>
      <c r="C188" s="635"/>
      <c r="D188" s="635"/>
      <c r="E188" s="635"/>
      <c r="F188" s="635"/>
      <c r="G188" s="635"/>
      <c r="H188" s="635"/>
      <c r="I188" s="635"/>
    </row>
    <row r="189" spans="1:9" x14ac:dyDescent="0.2">
      <c r="A189" s="260"/>
    </row>
    <row r="190" spans="1:9" ht="18.75" customHeight="1" x14ac:dyDescent="0.2">
      <c r="A190" s="260"/>
      <c r="B190" s="635" t="s">
        <v>480</v>
      </c>
      <c r="C190" s="635"/>
      <c r="D190" s="635"/>
      <c r="E190" s="635"/>
      <c r="F190" s="635"/>
      <c r="G190" s="635"/>
      <c r="H190" s="635"/>
      <c r="I190" s="635"/>
    </row>
    <row r="191" spans="1:9" ht="36" customHeight="1" x14ac:dyDescent="0.2">
      <c r="A191" s="260"/>
      <c r="B191" s="635"/>
      <c r="C191" s="635"/>
      <c r="D191" s="635"/>
      <c r="E191" s="635"/>
      <c r="F191" s="635"/>
      <c r="G191" s="635"/>
      <c r="H191" s="635"/>
      <c r="I191" s="635"/>
    </row>
    <row r="192" spans="1:9" x14ac:dyDescent="0.2">
      <c r="A192" s="260"/>
    </row>
    <row r="193" spans="1:1" x14ac:dyDescent="0.2">
      <c r="A193" s="260"/>
    </row>
  </sheetData>
  <mergeCells count="166">
    <mergeCell ref="B136:C136"/>
    <mergeCell ref="B137:C137"/>
    <mergeCell ref="B127:C127"/>
    <mergeCell ref="B128:C128"/>
    <mergeCell ref="B129:C129"/>
    <mergeCell ref="B130:C130"/>
    <mergeCell ref="B131:C131"/>
    <mergeCell ref="B132:C132"/>
    <mergeCell ref="B133:C133"/>
    <mergeCell ref="B134:C134"/>
    <mergeCell ref="B135:C135"/>
    <mergeCell ref="B118:C118"/>
    <mergeCell ref="B119:C119"/>
    <mergeCell ref="B120:C120"/>
    <mergeCell ref="B121:C121"/>
    <mergeCell ref="B122:C122"/>
    <mergeCell ref="B123:C123"/>
    <mergeCell ref="B124:C124"/>
    <mergeCell ref="B125:C125"/>
    <mergeCell ref="B126:C126"/>
    <mergeCell ref="B115:C115"/>
    <mergeCell ref="B116:C116"/>
    <mergeCell ref="B117:C117"/>
    <mergeCell ref="B26:C26"/>
    <mergeCell ref="B106:C106"/>
    <mergeCell ref="B107:C107"/>
    <mergeCell ref="B108:C108"/>
    <mergeCell ref="B109:C109"/>
    <mergeCell ref="B110:C110"/>
    <mergeCell ref="B111:C111"/>
    <mergeCell ref="B112:C112"/>
    <mergeCell ref="B113:C113"/>
    <mergeCell ref="B114:C114"/>
    <mergeCell ref="B97:C97"/>
    <mergeCell ref="B98:C98"/>
    <mergeCell ref="B99:C99"/>
    <mergeCell ref="B100:C100"/>
    <mergeCell ref="B101:C101"/>
    <mergeCell ref="B102:C102"/>
    <mergeCell ref="B103:C103"/>
    <mergeCell ref="B104:C104"/>
    <mergeCell ref="B105:C105"/>
    <mergeCell ref="B88:C88"/>
    <mergeCell ref="B89:C89"/>
    <mergeCell ref="B90:C90"/>
    <mergeCell ref="B91:C91"/>
    <mergeCell ref="B92:C92"/>
    <mergeCell ref="B93:C93"/>
    <mergeCell ref="B94:C94"/>
    <mergeCell ref="B95:C95"/>
    <mergeCell ref="B96:C96"/>
    <mergeCell ref="D2:E2"/>
    <mergeCell ref="D8:E8"/>
    <mergeCell ref="B84:C84"/>
    <mergeCell ref="B85:C85"/>
    <mergeCell ref="B86:C86"/>
    <mergeCell ref="B87:C87"/>
    <mergeCell ref="B81:C81"/>
    <mergeCell ref="B82:C82"/>
    <mergeCell ref="B83:C83"/>
    <mergeCell ref="B57:C57"/>
    <mergeCell ref="B58:C58"/>
    <mergeCell ref="B59:C59"/>
    <mergeCell ref="B69:C69"/>
    <mergeCell ref="B70:C70"/>
    <mergeCell ref="B76:C76"/>
    <mergeCell ref="B77:C77"/>
    <mergeCell ref="B78:C78"/>
    <mergeCell ref="B75:C75"/>
    <mergeCell ref="B61:C61"/>
    <mergeCell ref="B62:C62"/>
    <mergeCell ref="B79:C79"/>
    <mergeCell ref="B80:C80"/>
    <mergeCell ref="B64:C64"/>
    <mergeCell ref="B65:C65"/>
    <mergeCell ref="B66:C66"/>
    <mergeCell ref="B68:C68"/>
    <mergeCell ref="B67:C67"/>
    <mergeCell ref="F15:H15"/>
    <mergeCell ref="B60:C60"/>
    <mergeCell ref="D20:E20"/>
    <mergeCell ref="F5:G5"/>
    <mergeCell ref="H5:I5"/>
    <mergeCell ref="A14:C14"/>
    <mergeCell ref="D14:E14"/>
    <mergeCell ref="F14:H14"/>
    <mergeCell ref="A8:C8"/>
    <mergeCell ref="A6:C6"/>
    <mergeCell ref="A7:C7"/>
    <mergeCell ref="A15:C15"/>
    <mergeCell ref="D15:E15"/>
    <mergeCell ref="A13:I13"/>
    <mergeCell ref="A16:C16"/>
    <mergeCell ref="B32:C32"/>
    <mergeCell ref="B33:C33"/>
    <mergeCell ref="D16:E16"/>
    <mergeCell ref="F6:G6"/>
    <mergeCell ref="H6:I6"/>
    <mergeCell ref="G7:H7"/>
    <mergeCell ref="B53:C53"/>
    <mergeCell ref="B49:C49"/>
    <mergeCell ref="B50:C50"/>
    <mergeCell ref="AB17:AC17"/>
    <mergeCell ref="D21:E21"/>
    <mergeCell ref="B45:C45"/>
    <mergeCell ref="B46:C46"/>
    <mergeCell ref="B47:C47"/>
    <mergeCell ref="A146:E146"/>
    <mergeCell ref="A147:E147"/>
    <mergeCell ref="H24:I24"/>
    <mergeCell ref="B28:C28"/>
    <mergeCell ref="B29:C29"/>
    <mergeCell ref="B30:C30"/>
    <mergeCell ref="B31:C31"/>
    <mergeCell ref="B71:C71"/>
    <mergeCell ref="B72:C72"/>
    <mergeCell ref="B73:C73"/>
    <mergeCell ref="B63:C63"/>
    <mergeCell ref="B34:C34"/>
    <mergeCell ref="B35:C35"/>
    <mergeCell ref="B36:C36"/>
    <mergeCell ref="B37:C37"/>
    <mergeCell ref="B48:C48"/>
    <mergeCell ref="A18:E18"/>
    <mergeCell ref="D19:E19"/>
    <mergeCell ref="B74:C74"/>
    <mergeCell ref="D24:G24"/>
    <mergeCell ref="O24:P24"/>
    <mergeCell ref="B56:C56"/>
    <mergeCell ref="B38:C38"/>
    <mergeCell ref="B39:C39"/>
    <mergeCell ref="B40:C40"/>
    <mergeCell ref="B41:C41"/>
    <mergeCell ref="B42:C42"/>
    <mergeCell ref="B43:C43"/>
    <mergeCell ref="B44:C44"/>
    <mergeCell ref="B54:C54"/>
    <mergeCell ref="B55:C55"/>
    <mergeCell ref="B52:C52"/>
    <mergeCell ref="B25:C25"/>
    <mergeCell ref="B27:C27"/>
    <mergeCell ref="B51:C51"/>
    <mergeCell ref="A1:I1"/>
    <mergeCell ref="B178:I178"/>
    <mergeCell ref="B174:G174"/>
    <mergeCell ref="B176:I177"/>
    <mergeCell ref="B179:I180"/>
    <mergeCell ref="B187:I188"/>
    <mergeCell ref="F146:I147"/>
    <mergeCell ref="B190:I191"/>
    <mergeCell ref="B153:I154"/>
    <mergeCell ref="A148:E148"/>
    <mergeCell ref="F148:I148"/>
    <mergeCell ref="A145:E145"/>
    <mergeCell ref="F145:I145"/>
    <mergeCell ref="A20:C20"/>
    <mergeCell ref="H2:I2"/>
    <mergeCell ref="F3:G3"/>
    <mergeCell ref="H3:I3"/>
    <mergeCell ref="F4:G4"/>
    <mergeCell ref="H4:I4"/>
    <mergeCell ref="A2:C2"/>
    <mergeCell ref="A3:C3"/>
    <mergeCell ref="A4:C4"/>
    <mergeCell ref="A5:C5"/>
    <mergeCell ref="F2:G2"/>
  </mergeCells>
  <pageMargins left="0.7" right="0.7" top="0.75" bottom="0.75" header="0.3" footer="0.3"/>
  <pageSetup paperSize="9" scale="59" orientation="portrait" r:id="rId1"/>
  <colBreaks count="1" manualBreakCount="1">
    <brk id="10"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1342"/>
  <sheetViews>
    <sheetView topLeftCell="E7" zoomScale="175" zoomScaleNormal="175" workbookViewId="0">
      <selection activeCell="F10" sqref="F10"/>
    </sheetView>
  </sheetViews>
  <sheetFormatPr defaultRowHeight="12.75" x14ac:dyDescent="0.2"/>
  <cols>
    <col min="1" max="5" width="9.140625" style="186" customWidth="1"/>
    <col min="6" max="6" width="14.85546875" style="186" customWidth="1"/>
    <col min="7" max="7" width="11.85546875" style="186" customWidth="1"/>
    <col min="8" max="8" width="12.85546875" bestFit="1" customWidth="1"/>
    <col min="9" max="9" width="18.140625" style="138" bestFit="1" customWidth="1"/>
    <col min="10" max="10" width="12.140625" customWidth="1"/>
    <col min="11" max="11" width="10.140625" customWidth="1"/>
    <col min="12" max="12" width="15.140625" customWidth="1"/>
    <col min="13" max="13" width="18.85546875" bestFit="1" customWidth="1"/>
    <col min="14" max="14" width="12.5703125" bestFit="1" customWidth="1"/>
    <col min="15" max="15" width="20.85546875" customWidth="1"/>
    <col min="16" max="16" width="16.5703125" bestFit="1" customWidth="1"/>
    <col min="17" max="17" width="15" bestFit="1" customWidth="1"/>
    <col min="18" max="18" width="15.140625" customWidth="1"/>
  </cols>
  <sheetData>
    <row r="1" spans="1:25" ht="12.75" customHeight="1" x14ac:dyDescent="0.2">
      <c r="I1" s="233" t="s">
        <v>418</v>
      </c>
      <c r="J1" s="187">
        <f>IF('All Options'!$E$17=1,L2,IF('All Options'!$E$17=2,M2,IF('All Options'!$E$17=4,N2,K2)))</f>
        <v>0.99322472413341423</v>
      </c>
      <c r="K1" s="188" t="s">
        <v>71</v>
      </c>
      <c r="L1" s="188" t="s">
        <v>69</v>
      </c>
      <c r="M1" s="188" t="s">
        <v>419</v>
      </c>
      <c r="N1" s="189" t="s">
        <v>70</v>
      </c>
    </row>
    <row r="2" spans="1:25" x14ac:dyDescent="0.2">
      <c r="I2" s="233" t="s">
        <v>420</v>
      </c>
      <c r="J2" s="215">
        <f>'Valid Data-GPG'!B86</f>
        <v>8.5000000000000006E-2</v>
      </c>
      <c r="K2" s="190">
        <f>1/(1+((1+J2)^(1/12)-1))</f>
        <v>0.99322472413341423</v>
      </c>
      <c r="L2" s="190">
        <f>1/(1+J2)</f>
        <v>0.92165898617511521</v>
      </c>
      <c r="M2" s="190">
        <f>1/(1+((1+J2)^(1/2)-1))</f>
        <v>0.96003072147463864</v>
      </c>
      <c r="N2" s="190">
        <f>1/(1+((1+J2)^(1/4)-1))</f>
        <v>0.97981157447472456</v>
      </c>
    </row>
    <row r="3" spans="1:25" x14ac:dyDescent="0.2">
      <c r="D3" s="219"/>
      <c r="F3" s="191"/>
      <c r="G3" s="191"/>
      <c r="K3" s="192">
        <f>((1+J2)^(1/12))-1</f>
        <v>6.8214933659622723E-3</v>
      </c>
      <c r="L3" s="193">
        <f>$J$2</f>
        <v>8.5000000000000006E-2</v>
      </c>
      <c r="M3" s="192">
        <f>(1+$J$2)^(1/2)-1</f>
        <v>4.1633332799982936E-2</v>
      </c>
      <c r="N3" s="192">
        <f>(1+$J$2)^(1/4)-1</f>
        <v>2.060439583610596E-2</v>
      </c>
    </row>
    <row r="4" spans="1:25" x14ac:dyDescent="0.2">
      <c r="L4" s="194"/>
    </row>
    <row r="5" spans="1:25" x14ac:dyDescent="0.2">
      <c r="I5" s="234"/>
      <c r="K5" s="195"/>
      <c r="N5" t="s">
        <v>434</v>
      </c>
      <c r="O5" s="223">
        <f>IFERROR(MATCH(85,Output!$K$27:$K$137,0),0)</f>
        <v>26</v>
      </c>
      <c r="P5" s="223">
        <f>IFERROR(MATCH(26,Output!$A$27:$A$137,0),0)</f>
        <v>26</v>
      </c>
      <c r="Q5" s="223">
        <f>MAX(O5,P5)</f>
        <v>26</v>
      </c>
      <c r="S5" t="s">
        <v>212</v>
      </c>
      <c r="T5" s="223">
        <f>IFERROR(MATCH(70,Output!$K$27:$K$137,0),0)</f>
        <v>11</v>
      </c>
      <c r="U5" s="223">
        <f>IFERROR(MATCH(16,Output!$A$27:$A$137,0),0)</f>
        <v>16</v>
      </c>
      <c r="V5" s="223">
        <f>MAX(T5,U5)</f>
        <v>16</v>
      </c>
      <c r="W5" s="223">
        <f>V5+IF(MAX(Output!$R$27:$R$137)&lt;20,MAX(Output!$R$27:$R$137)-1,19)</f>
        <v>35</v>
      </c>
    </row>
    <row r="6" spans="1:25" ht="13.5" thickBot="1" x14ac:dyDescent="0.25">
      <c r="I6" s="235"/>
    </row>
    <row r="7" spans="1:25" ht="36" customHeight="1" x14ac:dyDescent="0.2">
      <c r="A7" s="196" t="s">
        <v>421</v>
      </c>
      <c r="B7" s="196" t="s">
        <v>427</v>
      </c>
      <c r="C7" s="196" t="s">
        <v>364</v>
      </c>
      <c r="D7" s="196" t="s">
        <v>419</v>
      </c>
      <c r="E7" s="196" t="s">
        <v>70</v>
      </c>
      <c r="F7" s="196" t="s">
        <v>71</v>
      </c>
      <c r="G7" s="196" t="s">
        <v>428</v>
      </c>
      <c r="H7" s="197" t="s">
        <v>430</v>
      </c>
      <c r="I7" s="236" t="s">
        <v>429</v>
      </c>
      <c r="J7" s="198" t="s">
        <v>424</v>
      </c>
      <c r="K7" s="199" t="s">
        <v>423</v>
      </c>
      <c r="L7" s="200" t="s">
        <v>422</v>
      </c>
      <c r="M7" s="201" t="s">
        <v>425</v>
      </c>
      <c r="N7" s="202" t="s">
        <v>426</v>
      </c>
      <c r="O7" s="202" t="s">
        <v>431</v>
      </c>
      <c r="P7" s="202" t="s">
        <v>431</v>
      </c>
      <c r="Q7" s="202" t="s">
        <v>433</v>
      </c>
      <c r="R7" s="203"/>
      <c r="X7" s="196" t="s">
        <v>421</v>
      </c>
    </row>
    <row r="8" spans="1:25" x14ac:dyDescent="0.2">
      <c r="A8" s="204"/>
      <c r="B8" s="204"/>
      <c r="C8" s="204"/>
      <c r="D8" s="204"/>
      <c r="E8" s="204"/>
      <c r="F8" s="204"/>
      <c r="G8" s="204"/>
      <c r="H8" s="205"/>
      <c r="I8" s="237"/>
      <c r="J8" s="206"/>
      <c r="K8" s="64">
        <f>PPT*12</f>
        <v>12</v>
      </c>
      <c r="L8" s="64"/>
      <c r="M8" s="104"/>
      <c r="N8" s="207"/>
      <c r="P8" s="30" t="s">
        <v>432</v>
      </c>
      <c r="X8" s="204"/>
    </row>
    <row r="9" spans="1:25" x14ac:dyDescent="0.2">
      <c r="A9" s="204"/>
      <c r="B9" s="204"/>
      <c r="C9" s="204"/>
      <c r="D9" s="204"/>
      <c r="E9" s="204"/>
      <c r="F9" s="204"/>
      <c r="G9" s="204"/>
      <c r="H9" s="205"/>
      <c r="I9" s="237"/>
      <c r="J9" s="206"/>
      <c r="K9" s="104"/>
      <c r="L9" s="64"/>
      <c r="M9" s="104"/>
      <c r="N9" s="207"/>
      <c r="X9" s="204"/>
    </row>
    <row r="10" spans="1:25" x14ac:dyDescent="0.2">
      <c r="A10" s="216">
        <v>1</v>
      </c>
      <c r="B10" s="218">
        <f>IF(A9&lt;&gt;A10,1,B9+1)</f>
        <v>1</v>
      </c>
      <c r="C10" s="218">
        <f t="shared" ref="C10:C73" si="0">IF(AND(AnnuityMode=1,B10=12),1,IF(AND(OR(B10=6,B10=12),AnnuityMode=2),1,IF(AND(OR(B10=3,B10=6,B10=12,B10=9),AnnuityMode=4),1,IF(AND(OR(B10=1,B10=2,B10=3,B10=4,B10=5,B10=6,B10=7,B10=8,B10=9,B10=10,B10=11,B10=12),AnnuityMode=12),1,0))))</f>
        <v>1</v>
      </c>
      <c r="D10" s="217">
        <v>1</v>
      </c>
      <c r="E10" s="216">
        <v>1</v>
      </c>
      <c r="F10" s="216">
        <v>1</v>
      </c>
      <c r="G10" s="204">
        <f>IFERROR(IF(C10=1,VLOOKUP(A10,Output!$A$27:$AB$137,28,FALSE)/AnnuityMode,0),0)</f>
        <v>0</v>
      </c>
      <c r="H10" s="220">
        <f>IFERROR(IF(AND(MIN(A10&gt;25,Age+A10&gt;=85),B10=12),VLOOKUP(A10,Output!$A$27:$AE$137,31,FALSE),0),0)</f>
        <v>0</v>
      </c>
      <c r="I10" s="221">
        <f>IFERROR(IF(AND(MIN(A10&gt;15,A10+Age&gt;=70),C10=1),VLOOKUP(A10,Output!$A$27:$AF$137,32,FALSE)*VLOOKUP('SV calc_ignore'!A10,Output!$A$27:$AG$137,33,FALSE)/IF(AnnuityMode=2,2,IF(AnnuityMode=4,4,IF(AnnuityMode=12,12,1))),0),0)</f>
        <v>0</v>
      </c>
      <c r="J10" s="227">
        <f t="shared" ref="J10:J73" si="1">G10+(J11)*(1+$K$3)^(-1)</f>
        <v>0</v>
      </c>
      <c r="K10" s="209">
        <f>1</f>
        <v>1</v>
      </c>
      <c r="L10" s="209">
        <f t="shared" ref="L10:L73" si="2">(L11+G11)*$K$2</f>
        <v>0</v>
      </c>
      <c r="M10" s="210"/>
      <c r="N10" s="211">
        <f>J10-L10</f>
        <v>0</v>
      </c>
      <c r="O10" s="194">
        <f>MAX($H$10:$H$897)/(1+$K$3)^($Q$5*12-F10)*(A10&lt;=$Q$5)</f>
        <v>0</v>
      </c>
      <c r="P10" s="212">
        <f>(P11+H11)*(1+$K$3)^(-1)</f>
        <v>0</v>
      </c>
      <c r="Q10">
        <f>(I10+(Q11)*(1+$K$3)^(-1))*(A10&lt;=$W$5)</f>
        <v>727526.67368856294</v>
      </c>
      <c r="R10" s="240"/>
      <c r="X10" s="216">
        <f>A10-1</f>
        <v>0</v>
      </c>
      <c r="Y10">
        <f t="shared" ref="Y10:Y73" si="3">G10*(1-IF(AnnuityMode=1,$L$2,IF(AnnuityMode=2,$M$2,IF(AnnuityMode=4,$N$2,$K$2)))^(110*AnnuityMode-IF(AnnuityMode=1,X10,IF(AnnuityMode=2,D10,IF(AnnuityMode=4,E10,F10)))-0))/(IF(AnnuityMode=1,$L$3,IF(AnnuityMode=2,$M$3,IF(AnnuityMode=4,$N$3,$K$3))))</f>
        <v>0</v>
      </c>
    </row>
    <row r="11" spans="1:25" x14ac:dyDescent="0.2">
      <c r="A11" s="204">
        <f>IF(MOD(COUNT($A$10:A10),12)=0,A10+1,A10)</f>
        <v>1</v>
      </c>
      <c r="B11" s="218">
        <f t="shared" ref="B11:B74" si="4">IF(A10&lt;&gt;A11,1,B10+1)</f>
        <v>2</v>
      </c>
      <c r="C11" s="218">
        <f t="shared" si="0"/>
        <v>1</v>
      </c>
      <c r="D11" s="208">
        <f>IF(MOD(COUNT($D$10:D10),6)=0,D10+1,D10)</f>
        <v>1</v>
      </c>
      <c r="E11" s="208">
        <f>IF(MOD(COUNT($E$10:E10),3)=0,E10+1,E10)</f>
        <v>1</v>
      </c>
      <c r="F11" s="208">
        <f>IF(MOD(COUNT($F$10:F10),1)=0,F10+1,F10)</f>
        <v>2</v>
      </c>
      <c r="G11" s="204">
        <f>IFERROR(IF(C11=1,VLOOKUP(A11,Output!$A$27:$AB$137,28,FALSE)/AnnuityMode,0),0)</f>
        <v>0</v>
      </c>
      <c r="H11" s="220">
        <f>IFERROR(IF(AND(MIN(A11&gt;25,Age+A11&gt;=85),B11=12),VLOOKUP(A11,Output!$A$27:$AE$137,31,FALSE),0),0)</f>
        <v>0</v>
      </c>
      <c r="I11" s="221">
        <f>IFERROR(IF(AND(MIN(A11&gt;15,A11+Age&gt;=70),C11=1),VLOOKUP(A11,Output!$A$27:$AF$137,32,FALSE)*VLOOKUP('SV calc_ignore'!A11,Output!$A$27:$AG$137,33,FALSE)/IF(AnnuityMode=2,2,IF(AnnuityMode=4,4,IF(AnnuityMode=12,12,1))),0),0)</f>
        <v>0</v>
      </c>
      <c r="J11" s="227">
        <f t="shared" si="1"/>
        <v>0</v>
      </c>
      <c r="K11" s="209">
        <f>IF(OR(K10&gt;$K$8,K10=0),0,K10+1)</f>
        <v>2</v>
      </c>
      <c r="L11" s="209">
        <f t="shared" si="2"/>
        <v>0</v>
      </c>
      <c r="M11" s="210">
        <f>L10*(1+$K$3)</f>
        <v>0</v>
      </c>
      <c r="N11" s="211">
        <f t="shared" ref="N11:N74" si="5">M11-L11-G11</f>
        <v>0</v>
      </c>
      <c r="O11" s="194">
        <f t="shared" ref="O11:O74" si="6">MAX($H$10:$H$897)/(1+$K$3)^($Q$5*12-F11)*(A11&lt;=$Q$5)</f>
        <v>0</v>
      </c>
      <c r="P11" s="212">
        <f t="shared" ref="P11:P73" si="7">(P12+H12)*(1+$K$3)^(-1)</f>
        <v>0</v>
      </c>
      <c r="Q11">
        <f t="shared" ref="Q11:Q73" si="8">(I11+(Q12)*(1+$K$3)^(-1))*(A11&lt;=$W$5)</f>
        <v>732489.49206669</v>
      </c>
      <c r="X11" s="216">
        <f t="shared" ref="X11:X74" si="9">A11-1</f>
        <v>0</v>
      </c>
      <c r="Y11">
        <f t="shared" si="3"/>
        <v>0</v>
      </c>
    </row>
    <row r="12" spans="1:25" x14ac:dyDescent="0.2">
      <c r="A12" s="204">
        <f>IF(MOD(COUNT($A$10:A11),12)=0,A11+1,A11)</f>
        <v>1</v>
      </c>
      <c r="B12" s="218">
        <f t="shared" si="4"/>
        <v>3</v>
      </c>
      <c r="C12" s="218">
        <f t="shared" si="0"/>
        <v>1</v>
      </c>
      <c r="D12" s="208">
        <f>IF(MOD(COUNT($D$10:D11),6)=0,D11+1,D11)</f>
        <v>1</v>
      </c>
      <c r="E12" s="208">
        <f>IF(MOD(COUNT($E$10:E11),3)=0,E11+1,E11)</f>
        <v>1</v>
      </c>
      <c r="F12" s="208">
        <f>IF(MOD(COUNT($F$10:F11),1)=0,F11+1,F11)</f>
        <v>3</v>
      </c>
      <c r="G12" s="204">
        <f>IFERROR(IF(C12=1,VLOOKUP(A12,Output!$A$27:$AB$137,28,FALSE)/AnnuityMode,0),0)</f>
        <v>0</v>
      </c>
      <c r="H12" s="220">
        <f>IFERROR(IF(AND(MIN(A12&gt;25,Age+A12&gt;=85),B12=12),VLOOKUP(A12,Output!$A$27:$AE$137,31,FALSE),0),0)</f>
        <v>0</v>
      </c>
      <c r="I12" s="221">
        <f>IFERROR(IF(AND(MIN(A12&gt;15,A12+Age&gt;=70),C12=1),VLOOKUP(A12,Output!$A$27:$AF$137,32,FALSE)*VLOOKUP('SV calc_ignore'!A12,Output!$A$27:$AG$137,33,FALSE)/IF(AnnuityMode=2,2,IF(AnnuityMode=4,4,IF(AnnuityMode=12,12,1))),0),0)</f>
        <v>0</v>
      </c>
      <c r="J12" s="227">
        <f t="shared" si="1"/>
        <v>0</v>
      </c>
      <c r="K12" s="209">
        <f t="shared" ref="K12:K74" si="10">IF(OR(K11&gt;$K$8,K11=0),0,K11+1)</f>
        <v>3</v>
      </c>
      <c r="L12" s="209">
        <f t="shared" si="2"/>
        <v>0</v>
      </c>
      <c r="M12" s="210">
        <f t="shared" ref="M12:M75" si="11">L11*(1+$K$3)</f>
        <v>0</v>
      </c>
      <c r="N12" s="211">
        <f t="shared" si="5"/>
        <v>0</v>
      </c>
      <c r="O12" s="194">
        <f t="shared" si="6"/>
        <v>0</v>
      </c>
      <c r="P12" s="212">
        <f t="shared" si="7"/>
        <v>0</v>
      </c>
      <c r="Q12">
        <f t="shared" si="8"/>
        <v>737486.16427745996</v>
      </c>
      <c r="X12" s="216">
        <f t="shared" si="9"/>
        <v>0</v>
      </c>
      <c r="Y12">
        <f t="shared" si="3"/>
        <v>0</v>
      </c>
    </row>
    <row r="13" spans="1:25" x14ac:dyDescent="0.2">
      <c r="A13" s="204">
        <f>IF(MOD(COUNT($A$10:A12),12)=0,A12+1,A12)</f>
        <v>1</v>
      </c>
      <c r="B13" s="218">
        <f t="shared" si="4"/>
        <v>4</v>
      </c>
      <c r="C13" s="218">
        <f t="shared" si="0"/>
        <v>1</v>
      </c>
      <c r="D13" s="208">
        <f>IF(MOD(COUNT($D$10:D12),6)=0,D12+1,D12)</f>
        <v>1</v>
      </c>
      <c r="E13" s="208">
        <f>IF(MOD(COUNT($E$10:E12),3)=0,E12+1,E12)</f>
        <v>2</v>
      </c>
      <c r="F13" s="208">
        <f>IF(MOD(COUNT($F$10:F12),1)=0,F12+1,F12)</f>
        <v>4</v>
      </c>
      <c r="G13" s="204">
        <f>IFERROR(IF(C13=1,VLOOKUP(A13,Output!$A$27:$AB$137,28,FALSE)/AnnuityMode,0),0)</f>
        <v>0</v>
      </c>
      <c r="H13" s="220">
        <f>IFERROR(IF(AND(MIN(A13&gt;25,Age+A13&gt;=85),B13=12),VLOOKUP(A13,Output!$A$27:$AE$137,31,FALSE),0),0)</f>
        <v>0</v>
      </c>
      <c r="I13" s="221">
        <f>IFERROR(IF(AND(MIN(A13&gt;15,A13+Age&gt;=70),C13=1),VLOOKUP(A13,Output!$A$27:$AF$137,32,FALSE)*VLOOKUP('SV calc_ignore'!A13,Output!$A$27:$AG$137,33,FALSE)/IF(AnnuityMode=2,2,IF(AnnuityMode=4,4,IF(AnnuityMode=12,12,1))),0),0)</f>
        <v>0</v>
      </c>
      <c r="J13" s="227">
        <f t="shared" si="1"/>
        <v>0</v>
      </c>
      <c r="K13" s="209">
        <f t="shared" si="10"/>
        <v>4</v>
      </c>
      <c r="L13" s="209">
        <f t="shared" si="2"/>
        <v>0</v>
      </c>
      <c r="M13" s="210">
        <f t="shared" si="11"/>
        <v>0</v>
      </c>
      <c r="N13" s="211">
        <f t="shared" si="5"/>
        <v>0</v>
      </c>
      <c r="O13" s="194">
        <f t="shared" si="6"/>
        <v>0</v>
      </c>
      <c r="P13" s="212">
        <f t="shared" si="7"/>
        <v>0</v>
      </c>
      <c r="Q13">
        <f t="shared" si="8"/>
        <v>742516.92125456757</v>
      </c>
      <c r="X13" s="216">
        <f t="shared" si="9"/>
        <v>0</v>
      </c>
      <c r="Y13">
        <f t="shared" si="3"/>
        <v>0</v>
      </c>
    </row>
    <row r="14" spans="1:25" x14ac:dyDescent="0.2">
      <c r="A14" s="204">
        <f>IF(MOD(COUNT($A$10:A13),12)=0,A13+1,A13)</f>
        <v>1</v>
      </c>
      <c r="B14" s="218">
        <f t="shared" si="4"/>
        <v>5</v>
      </c>
      <c r="C14" s="218">
        <f t="shared" si="0"/>
        <v>1</v>
      </c>
      <c r="D14" s="208">
        <f>IF(MOD(COUNT($D$10:D13),6)=0,D13+1,D13)</f>
        <v>1</v>
      </c>
      <c r="E14" s="208">
        <f>IF(MOD(COUNT($E$10:E13),3)=0,E13+1,E13)</f>
        <v>2</v>
      </c>
      <c r="F14" s="208">
        <f>IF(MOD(COUNT($F$10:F13),1)=0,F13+1,F13)</f>
        <v>5</v>
      </c>
      <c r="G14" s="204">
        <f>IFERROR(IF(C14=1,VLOOKUP(A14,Output!$A$27:$AB$137,28,FALSE)/AnnuityMode,0),0)</f>
        <v>0</v>
      </c>
      <c r="H14" s="220">
        <f>IFERROR(IF(AND(MIN(A14&gt;25,Age+A14&gt;=85),B14=12),VLOOKUP(A14,Output!$A$27:$AE$137,31,FALSE),0),0)</f>
        <v>0</v>
      </c>
      <c r="I14" s="221">
        <f>IFERROR(IF(AND(MIN(A14&gt;15,A14+Age&gt;=70),C14=1),VLOOKUP(A14,Output!$A$27:$AF$137,32,FALSE)*VLOOKUP('SV calc_ignore'!A14,Output!$A$27:$AG$137,33,FALSE)/IF(AnnuityMode=2,2,IF(AnnuityMode=4,4,IF(AnnuityMode=12,12,1))),0),0)</f>
        <v>0</v>
      </c>
      <c r="J14" s="227">
        <f t="shared" si="1"/>
        <v>0</v>
      </c>
      <c r="K14" s="209">
        <f t="shared" si="10"/>
        <v>5</v>
      </c>
      <c r="L14" s="209">
        <f t="shared" si="2"/>
        <v>0</v>
      </c>
      <c r="M14" s="210">
        <f t="shared" si="11"/>
        <v>0</v>
      </c>
      <c r="N14" s="211">
        <f t="shared" si="5"/>
        <v>0</v>
      </c>
      <c r="O14" s="194">
        <f t="shared" si="6"/>
        <v>0</v>
      </c>
      <c r="P14" s="212">
        <f t="shared" si="7"/>
        <v>0</v>
      </c>
      <c r="Q14">
        <f t="shared" si="8"/>
        <v>747581.99550702027</v>
      </c>
      <c r="X14" s="216">
        <f t="shared" si="9"/>
        <v>0</v>
      </c>
      <c r="Y14">
        <f t="shared" si="3"/>
        <v>0</v>
      </c>
    </row>
    <row r="15" spans="1:25" x14ac:dyDescent="0.2">
      <c r="A15" s="204">
        <f>IF(MOD(COUNT($A$10:A14),12)=0,A14+1,A14)</f>
        <v>1</v>
      </c>
      <c r="B15" s="218">
        <f t="shared" si="4"/>
        <v>6</v>
      </c>
      <c r="C15" s="218">
        <f t="shared" si="0"/>
        <v>1</v>
      </c>
      <c r="D15" s="208">
        <f>IF(MOD(COUNT($D$10:D14),6)=0,D14+1,D14)</f>
        <v>1</v>
      </c>
      <c r="E15" s="208">
        <f>IF(MOD(COUNT($E$10:E14),3)=0,E14+1,E14)</f>
        <v>2</v>
      </c>
      <c r="F15" s="208">
        <f>IF(MOD(COUNT($F$10:F14),1)=0,F14+1,F14)</f>
        <v>6</v>
      </c>
      <c r="G15" s="204">
        <f>IFERROR(IF(C15=1,VLOOKUP(A15,Output!$A$27:$AB$137,28,FALSE)/AnnuityMode,0),0)</f>
        <v>0</v>
      </c>
      <c r="H15" s="220">
        <f>IFERROR(IF(AND(MIN(A15&gt;25,Age+A15&gt;=85),B15=12),VLOOKUP(A15,Output!$A$27:$AE$137,31,FALSE),0),0)</f>
        <v>0</v>
      </c>
      <c r="I15" s="221">
        <f>IFERROR(IF(AND(MIN(A15&gt;15,A15+Age&gt;=70),C15=1),VLOOKUP(A15,Output!$A$27:$AF$137,32,FALSE)*VLOOKUP('SV calc_ignore'!A15,Output!$A$27:$AG$137,33,FALSE)/IF(AnnuityMode=2,2,IF(AnnuityMode=4,4,IF(AnnuityMode=12,12,1))),0),0)</f>
        <v>0</v>
      </c>
      <c r="J15" s="227">
        <f t="shared" si="1"/>
        <v>0</v>
      </c>
      <c r="K15" s="209">
        <f t="shared" si="10"/>
        <v>6</v>
      </c>
      <c r="L15" s="209">
        <f t="shared" si="2"/>
        <v>0</v>
      </c>
      <c r="M15" s="210">
        <f t="shared" si="11"/>
        <v>0</v>
      </c>
      <c r="N15" s="211">
        <f t="shared" si="5"/>
        <v>0</v>
      </c>
      <c r="O15" s="194">
        <f t="shared" si="6"/>
        <v>0</v>
      </c>
      <c r="P15" s="212">
        <f t="shared" si="7"/>
        <v>0</v>
      </c>
      <c r="Q15">
        <f t="shared" si="8"/>
        <v>752681.62112988427</v>
      </c>
      <c r="X15" s="216">
        <f t="shared" si="9"/>
        <v>0</v>
      </c>
      <c r="Y15">
        <f t="shared" si="3"/>
        <v>0</v>
      </c>
    </row>
    <row r="16" spans="1:25" x14ac:dyDescent="0.2">
      <c r="A16" s="204">
        <f>IF(MOD(COUNT($A$10:A15),12)=0,A15+1,A15)</f>
        <v>1</v>
      </c>
      <c r="B16" s="218">
        <f t="shared" si="4"/>
        <v>7</v>
      </c>
      <c r="C16" s="218">
        <f t="shared" si="0"/>
        <v>1</v>
      </c>
      <c r="D16" s="208">
        <f>IF(MOD(COUNT($D$10:D15),6)=0,D15+1,D15)</f>
        <v>2</v>
      </c>
      <c r="E16" s="208">
        <f>IF(MOD(COUNT($E$10:E15),3)=0,E15+1,E15)</f>
        <v>3</v>
      </c>
      <c r="F16" s="208">
        <f>IF(MOD(COUNT($F$10:F15),1)=0,F15+1,F15)</f>
        <v>7</v>
      </c>
      <c r="G16" s="204">
        <f>IFERROR(IF(C16=1,VLOOKUP(A16,Output!$A$27:$AB$137,28,FALSE)/AnnuityMode,0),0)</f>
        <v>0</v>
      </c>
      <c r="H16" s="220">
        <f>IFERROR(IF(AND(MIN(A16&gt;25,Age+A16&gt;=85),B16=12),VLOOKUP(A16,Output!$A$27:$AE$137,31,FALSE),0),0)</f>
        <v>0</v>
      </c>
      <c r="I16" s="221">
        <f>IFERROR(IF(AND(MIN(A16&gt;15,A16+Age&gt;=70),C16=1),VLOOKUP(A16,Output!$A$27:$AF$137,32,FALSE)*VLOOKUP('SV calc_ignore'!A16,Output!$A$27:$AG$137,33,FALSE)/IF(AnnuityMode=2,2,IF(AnnuityMode=4,4,IF(AnnuityMode=12,12,1))),0),0)</f>
        <v>0</v>
      </c>
      <c r="J16" s="227">
        <f t="shared" si="1"/>
        <v>0</v>
      </c>
      <c r="K16" s="209">
        <f t="shared" si="10"/>
        <v>7</v>
      </c>
      <c r="L16" s="209">
        <f t="shared" si="2"/>
        <v>0</v>
      </c>
      <c r="M16" s="210">
        <f t="shared" si="11"/>
        <v>0</v>
      </c>
      <c r="N16" s="211">
        <f t="shared" si="5"/>
        <v>0</v>
      </c>
      <c r="O16" s="194">
        <f t="shared" si="6"/>
        <v>0</v>
      </c>
      <c r="P16" s="212">
        <f t="shared" si="7"/>
        <v>0</v>
      </c>
      <c r="Q16">
        <f t="shared" si="8"/>
        <v>757816.03381510347</v>
      </c>
      <c r="X16" s="216">
        <f t="shared" si="9"/>
        <v>0</v>
      </c>
      <c r="Y16">
        <f t="shared" si="3"/>
        <v>0</v>
      </c>
    </row>
    <row r="17" spans="1:25" x14ac:dyDescent="0.2">
      <c r="A17" s="204">
        <f>IF(MOD(COUNT($A$10:A16),12)=0,A16+1,A16)</f>
        <v>1</v>
      </c>
      <c r="B17" s="218">
        <f t="shared" si="4"/>
        <v>8</v>
      </c>
      <c r="C17" s="218">
        <f t="shared" si="0"/>
        <v>1</v>
      </c>
      <c r="D17" s="208">
        <f>IF(MOD(COUNT($D$10:D16),6)=0,D16+1,D16)</f>
        <v>2</v>
      </c>
      <c r="E17" s="208">
        <f>IF(MOD(COUNT($E$10:E16),3)=0,E16+1,E16)</f>
        <v>3</v>
      </c>
      <c r="F17" s="208">
        <f>IF(MOD(COUNT($F$10:F16),1)=0,F16+1,F16)</f>
        <v>8</v>
      </c>
      <c r="G17" s="204">
        <f>IFERROR(IF(C17=1,VLOOKUP(A17,Output!$A$27:$AB$137,28,FALSE)/AnnuityMode,0),0)</f>
        <v>0</v>
      </c>
      <c r="H17" s="220">
        <f>IFERROR(IF(AND(MIN(A17&gt;25,Age+A17&gt;=85),B17=12),VLOOKUP(A17,Output!$A$27:$AE$137,31,FALSE),0),0)</f>
        <v>0</v>
      </c>
      <c r="I17" s="221">
        <f>IFERROR(IF(AND(MIN(A17&gt;15,A17+Age&gt;=70),C17=1),VLOOKUP(A17,Output!$A$27:$AF$137,32,FALSE)*VLOOKUP('SV calc_ignore'!A17,Output!$A$27:$AG$137,33,FALSE)/IF(AnnuityMode=2,2,IF(AnnuityMode=4,4,IF(AnnuityMode=12,12,1))),0),0)</f>
        <v>0</v>
      </c>
      <c r="J17" s="227">
        <f t="shared" si="1"/>
        <v>0</v>
      </c>
      <c r="K17" s="209">
        <f t="shared" si="10"/>
        <v>8</v>
      </c>
      <c r="L17" s="209">
        <f t="shared" si="2"/>
        <v>0</v>
      </c>
      <c r="M17" s="210">
        <f t="shared" si="11"/>
        <v>0</v>
      </c>
      <c r="N17" s="211">
        <f t="shared" si="5"/>
        <v>0</v>
      </c>
      <c r="O17" s="194">
        <f t="shared" si="6"/>
        <v>0</v>
      </c>
      <c r="P17" s="212">
        <f t="shared" si="7"/>
        <v>0</v>
      </c>
      <c r="Q17">
        <f t="shared" si="8"/>
        <v>762985.47086239303</v>
      </c>
      <c r="X17" s="216">
        <f t="shared" si="9"/>
        <v>0</v>
      </c>
      <c r="Y17">
        <f t="shared" si="3"/>
        <v>0</v>
      </c>
    </row>
    <row r="18" spans="1:25" x14ac:dyDescent="0.2">
      <c r="A18" s="204">
        <f>IF(MOD(COUNT($A$10:A17),12)=0,A17+1,A17)</f>
        <v>1</v>
      </c>
      <c r="B18" s="218">
        <f t="shared" si="4"/>
        <v>9</v>
      </c>
      <c r="C18" s="218">
        <f t="shared" si="0"/>
        <v>1</v>
      </c>
      <c r="D18" s="208">
        <f>IF(MOD(COUNT($D$10:D17),6)=0,D17+1,D17)</f>
        <v>2</v>
      </c>
      <c r="E18" s="208">
        <f>IF(MOD(COUNT($E$10:E17),3)=0,E17+1,E17)</f>
        <v>3</v>
      </c>
      <c r="F18" s="208">
        <f>IF(MOD(COUNT($F$10:F17),1)=0,F17+1,F17)</f>
        <v>9</v>
      </c>
      <c r="G18" s="204">
        <f>IFERROR(IF(C18=1,VLOOKUP(A18,Output!$A$27:$AB$137,28,FALSE)/AnnuityMode,0),0)</f>
        <v>0</v>
      </c>
      <c r="H18" s="220">
        <f>IFERROR(IF(AND(MIN(A18&gt;25,Age+A18&gt;=85),B18=12),VLOOKUP(A18,Output!$A$27:$AE$137,31,FALSE),0),0)</f>
        <v>0</v>
      </c>
      <c r="I18" s="221">
        <f>IFERROR(IF(AND(MIN(A18&gt;15,A18+Age&gt;=70),C18=1),VLOOKUP(A18,Output!$A$27:$AF$137,32,FALSE)*VLOOKUP('SV calc_ignore'!A18,Output!$A$27:$AG$137,33,FALSE)/IF(AnnuityMode=2,2,IF(AnnuityMode=4,4,IF(AnnuityMode=12,12,1))),0),0)</f>
        <v>0</v>
      </c>
      <c r="J18" s="227">
        <f t="shared" si="1"/>
        <v>0</v>
      </c>
      <c r="K18" s="209">
        <f t="shared" si="10"/>
        <v>9</v>
      </c>
      <c r="L18" s="209">
        <f t="shared" si="2"/>
        <v>0</v>
      </c>
      <c r="M18" s="210">
        <f t="shared" si="11"/>
        <v>0</v>
      </c>
      <c r="N18" s="211">
        <f t="shared" si="5"/>
        <v>0</v>
      </c>
      <c r="O18" s="194">
        <f t="shared" si="6"/>
        <v>0</v>
      </c>
      <c r="P18" s="212">
        <f t="shared" si="7"/>
        <v>0</v>
      </c>
      <c r="Q18">
        <f t="shared" si="8"/>
        <v>768190.17119020643</v>
      </c>
      <c r="X18" s="216">
        <f t="shared" si="9"/>
        <v>0</v>
      </c>
      <c r="Y18">
        <f t="shared" si="3"/>
        <v>0</v>
      </c>
    </row>
    <row r="19" spans="1:25" x14ac:dyDescent="0.2">
      <c r="A19" s="204">
        <f>IF(MOD(COUNT($A$10:A18),12)=0,A18+1,A18)</f>
        <v>1</v>
      </c>
      <c r="B19" s="218">
        <f t="shared" si="4"/>
        <v>10</v>
      </c>
      <c r="C19" s="218">
        <f t="shared" si="0"/>
        <v>1</v>
      </c>
      <c r="D19" s="208">
        <f>IF(MOD(COUNT($D$10:D18),6)=0,D18+1,D18)</f>
        <v>2</v>
      </c>
      <c r="E19" s="208">
        <f>IF(MOD(COUNT($E$10:E18),3)=0,E18+1,E18)</f>
        <v>4</v>
      </c>
      <c r="F19" s="208">
        <f>IF(MOD(COUNT($F$10:F18),1)=0,F18+1,F18)</f>
        <v>10</v>
      </c>
      <c r="G19" s="204">
        <f>IFERROR(IF(C19=1,VLOOKUP(A19,Output!$A$27:$AB$137,28,FALSE)/AnnuityMode,0),0)</f>
        <v>0</v>
      </c>
      <c r="H19" s="220">
        <f>IFERROR(IF(AND(MIN(A19&gt;25,Age+A19&gt;=85),B19=12),VLOOKUP(A19,Output!$A$27:$AE$137,31,FALSE),0),0)</f>
        <v>0</v>
      </c>
      <c r="I19" s="221">
        <f>IFERROR(IF(AND(MIN(A19&gt;15,A19+Age&gt;=70),C19=1),VLOOKUP(A19,Output!$A$27:$AF$137,32,FALSE)*VLOOKUP('SV calc_ignore'!A19,Output!$A$27:$AG$137,33,FALSE)/IF(AnnuityMode=2,2,IF(AnnuityMode=4,4,IF(AnnuityMode=12,12,1))),0),0)</f>
        <v>0</v>
      </c>
      <c r="J19" s="227">
        <f t="shared" si="1"/>
        <v>0</v>
      </c>
      <c r="K19" s="209">
        <f t="shared" si="10"/>
        <v>10</v>
      </c>
      <c r="L19" s="209">
        <f t="shared" si="2"/>
        <v>0</v>
      </c>
      <c r="M19" s="210">
        <f t="shared" si="11"/>
        <v>0</v>
      </c>
      <c r="N19" s="211">
        <f t="shared" si="5"/>
        <v>0</v>
      </c>
      <c r="O19" s="194">
        <f t="shared" si="6"/>
        <v>0</v>
      </c>
      <c r="P19" s="212">
        <f t="shared" si="7"/>
        <v>0</v>
      </c>
      <c r="Q19">
        <f t="shared" si="8"/>
        <v>773430.37534677784</v>
      </c>
      <c r="X19" s="216">
        <f t="shared" si="9"/>
        <v>0</v>
      </c>
      <c r="Y19">
        <f t="shared" si="3"/>
        <v>0</v>
      </c>
    </row>
    <row r="20" spans="1:25" x14ac:dyDescent="0.2">
      <c r="A20" s="204">
        <f>IF(MOD(COUNT($A$10:A19),12)=0,A19+1,A19)</f>
        <v>1</v>
      </c>
      <c r="B20" s="218">
        <f t="shared" si="4"/>
        <v>11</v>
      </c>
      <c r="C20" s="218">
        <f t="shared" si="0"/>
        <v>1</v>
      </c>
      <c r="D20" s="208">
        <f>IF(MOD(COUNT($D$10:D19),6)=0,D19+1,D19)</f>
        <v>2</v>
      </c>
      <c r="E20" s="208">
        <f>IF(MOD(COUNT($E$10:E19),3)=0,E19+1,E19)</f>
        <v>4</v>
      </c>
      <c r="F20" s="208">
        <f>IF(MOD(COUNT($F$10:F19),1)=0,F19+1,F19)</f>
        <v>11</v>
      </c>
      <c r="G20" s="204">
        <f>IFERROR(IF(C20=1,VLOOKUP(A20,Output!$A$27:$AB$137,28,FALSE)/AnnuityMode,0),0)</f>
        <v>0</v>
      </c>
      <c r="H20" s="220">
        <f>IFERROR(IF(AND(MIN(A20&gt;25,Age+A20&gt;=85),B20=12),VLOOKUP(A20,Output!$A$27:$AE$137,31,FALSE),0),0)</f>
        <v>0</v>
      </c>
      <c r="I20" s="221">
        <f>IFERROR(IF(AND(MIN(A20&gt;15,A20+Age&gt;=70),C20=1),VLOOKUP(A20,Output!$A$27:$AF$137,32,FALSE)*VLOOKUP('SV calc_ignore'!A20,Output!$A$27:$AG$137,33,FALSE)/IF(AnnuityMode=2,2,IF(AnnuityMode=4,4,IF(AnnuityMode=12,12,1))),0),0)</f>
        <v>0</v>
      </c>
      <c r="J20" s="227">
        <f t="shared" si="1"/>
        <v>0</v>
      </c>
      <c r="K20" s="209">
        <f t="shared" si="10"/>
        <v>11</v>
      </c>
      <c r="L20" s="209">
        <f t="shared" si="2"/>
        <v>0</v>
      </c>
      <c r="M20" s="210">
        <f t="shared" si="11"/>
        <v>0</v>
      </c>
      <c r="N20" s="211">
        <f t="shared" si="5"/>
        <v>0</v>
      </c>
      <c r="O20" s="194">
        <f t="shared" si="6"/>
        <v>0</v>
      </c>
      <c r="P20" s="212">
        <f t="shared" si="7"/>
        <v>0</v>
      </c>
      <c r="Q20">
        <f t="shared" si="8"/>
        <v>778706.32552123955</v>
      </c>
      <c r="X20" s="216">
        <f t="shared" si="9"/>
        <v>0</v>
      </c>
      <c r="Y20">
        <f t="shared" si="3"/>
        <v>0</v>
      </c>
    </row>
    <row r="21" spans="1:25" x14ac:dyDescent="0.2">
      <c r="A21" s="204">
        <f>IF(MOD(COUNT($A$10:A20),12)=0,A20+1,A20)</f>
        <v>1</v>
      </c>
      <c r="B21" s="218">
        <f t="shared" si="4"/>
        <v>12</v>
      </c>
      <c r="C21" s="218">
        <f t="shared" si="0"/>
        <v>1</v>
      </c>
      <c r="D21" s="208">
        <f>IF(MOD(COUNT($D$10:D20),6)=0,D20+1,D20)</f>
        <v>2</v>
      </c>
      <c r="E21" s="208">
        <f>IF(MOD(COUNT($E$10:E20),3)=0,E20+1,E20)</f>
        <v>4</v>
      </c>
      <c r="F21" s="208">
        <f>IF(MOD(COUNT($F$10:F20),1)=0,F20+1,F20)</f>
        <v>12</v>
      </c>
      <c r="G21" s="204">
        <f>IFERROR(IF(C21=1,VLOOKUP(A21,Output!$A$27:$AB$137,28,FALSE)/AnnuityMode,0),0)</f>
        <v>0</v>
      </c>
      <c r="H21" s="220">
        <f>IFERROR(IF(AND(MIN(A21&gt;25,Age+A21&gt;=85),B21=12),VLOOKUP(A21,Output!$A$27:$AE$137,31,FALSE),0),0)</f>
        <v>0</v>
      </c>
      <c r="I21" s="221">
        <f>IFERROR(IF(AND(MIN(A21&gt;15,A21+Age&gt;=70),C21=1),VLOOKUP(A21,Output!$A$27:$AF$137,32,FALSE)*VLOOKUP('SV calc_ignore'!A21,Output!$A$27:$AG$137,33,FALSE)/IF(AnnuityMode=2,2,IF(AnnuityMode=4,4,IF(AnnuityMode=12,12,1))),0),0)</f>
        <v>0</v>
      </c>
      <c r="J21" s="227">
        <f t="shared" si="1"/>
        <v>0</v>
      </c>
      <c r="K21" s="209">
        <f t="shared" si="10"/>
        <v>12</v>
      </c>
      <c r="L21" s="209">
        <f t="shared" si="2"/>
        <v>0</v>
      </c>
      <c r="M21" s="210">
        <f t="shared" si="11"/>
        <v>0</v>
      </c>
      <c r="N21" s="211">
        <f t="shared" si="5"/>
        <v>0</v>
      </c>
      <c r="O21" s="194">
        <f t="shared" si="6"/>
        <v>0</v>
      </c>
      <c r="P21" s="212">
        <f t="shared" si="7"/>
        <v>0</v>
      </c>
      <c r="Q21">
        <f t="shared" si="8"/>
        <v>784018.26555481553</v>
      </c>
      <c r="X21" s="216">
        <f t="shared" si="9"/>
        <v>0</v>
      </c>
      <c r="Y21">
        <f t="shared" si="3"/>
        <v>0</v>
      </c>
    </row>
    <row r="22" spans="1:25" x14ac:dyDescent="0.2">
      <c r="A22" s="204">
        <f>IF(MOD(COUNT($A$10:A21),12)=0,A21+1,A21)</f>
        <v>2</v>
      </c>
      <c r="B22" s="218">
        <f t="shared" si="4"/>
        <v>1</v>
      </c>
      <c r="C22" s="218">
        <f t="shared" si="0"/>
        <v>1</v>
      </c>
      <c r="D22" s="208">
        <f>IF(MOD(COUNT($D$10:D21),6)=0,D21+1,D21)</f>
        <v>3</v>
      </c>
      <c r="E22" s="208">
        <f>IF(MOD(COUNT($E$10:E21),3)=0,E21+1,E21)</f>
        <v>5</v>
      </c>
      <c r="F22" s="208">
        <f>IF(MOD(COUNT($F$10:F21),1)=0,F21+1,F21)</f>
        <v>13</v>
      </c>
      <c r="G22" s="204">
        <f>IFERROR(IF(C22=1,VLOOKUP(A22,Output!$A$27:$AB$137,28,FALSE)/AnnuityMode,0),0)</f>
        <v>0</v>
      </c>
      <c r="H22" s="220">
        <f>IFERROR(IF(AND(MIN(A22&gt;25,Age+A22&gt;=85),B22=12),VLOOKUP(A22,Output!$A$27:$AE$137,31,FALSE),0),0)</f>
        <v>0</v>
      </c>
      <c r="I22" s="221">
        <f>IFERROR(IF(AND(MIN(A22&gt;15,A22+Age&gt;=70),C22=1),VLOOKUP(A22,Output!$A$27:$AF$137,32,FALSE)*VLOOKUP('SV calc_ignore'!A22,Output!$A$27:$AG$137,33,FALSE)/IF(AnnuityMode=2,2,IF(AnnuityMode=4,4,IF(AnnuityMode=12,12,1))),0),0)</f>
        <v>0</v>
      </c>
      <c r="J22" s="227">
        <f t="shared" si="1"/>
        <v>0</v>
      </c>
      <c r="K22" s="209">
        <f t="shared" si="10"/>
        <v>13</v>
      </c>
      <c r="L22" s="209">
        <f t="shared" si="2"/>
        <v>0</v>
      </c>
      <c r="M22" s="210">
        <f t="shared" si="11"/>
        <v>0</v>
      </c>
      <c r="N22" s="211">
        <f t="shared" si="5"/>
        <v>0</v>
      </c>
      <c r="O22" s="194">
        <f t="shared" si="6"/>
        <v>0</v>
      </c>
      <c r="P22" s="212">
        <f t="shared" si="7"/>
        <v>0</v>
      </c>
      <c r="Q22">
        <f t="shared" si="8"/>
        <v>789366.4409520909</v>
      </c>
      <c r="X22" s="216">
        <f t="shared" si="9"/>
        <v>1</v>
      </c>
      <c r="Y22">
        <f t="shared" si="3"/>
        <v>0</v>
      </c>
    </row>
    <row r="23" spans="1:25" x14ac:dyDescent="0.2">
      <c r="A23" s="204">
        <f>IF(MOD(COUNT($A$10:A22),12)=0,A22+1,A22)</f>
        <v>2</v>
      </c>
      <c r="B23" s="218">
        <f t="shared" si="4"/>
        <v>2</v>
      </c>
      <c r="C23" s="218">
        <f t="shared" si="0"/>
        <v>1</v>
      </c>
      <c r="D23" s="208">
        <f>IF(MOD(COUNT($D$10:D22),6)=0,D22+1,D22)</f>
        <v>3</v>
      </c>
      <c r="E23" s="208">
        <f>IF(MOD(COUNT($E$10:E22),3)=0,E22+1,E22)</f>
        <v>5</v>
      </c>
      <c r="F23" s="208">
        <f>IF(MOD(COUNT($F$10:F22),1)=0,F22+1,F22)</f>
        <v>14</v>
      </c>
      <c r="G23" s="204">
        <f>IFERROR(IF(C23=1,VLOOKUP(A23,Output!$A$27:$AB$137,28,FALSE)/AnnuityMode,0),0)</f>
        <v>0</v>
      </c>
      <c r="H23" s="220">
        <f>IFERROR(IF(AND(MIN(A23&gt;25,Age+A23&gt;=85),B23=12),VLOOKUP(A23,Output!$A$27:$AE$137,31,FALSE),0),0)</f>
        <v>0</v>
      </c>
      <c r="I23" s="221">
        <f>IFERROR(IF(AND(MIN(A23&gt;15,A23+Age&gt;=70),C23=1),VLOOKUP(A23,Output!$A$27:$AF$137,32,FALSE)*VLOOKUP('SV calc_ignore'!A23,Output!$A$27:$AG$137,33,FALSE)/IF(AnnuityMode=2,2,IF(AnnuityMode=4,4,IF(AnnuityMode=12,12,1))),0),0)</f>
        <v>0</v>
      </c>
      <c r="J23" s="227">
        <f t="shared" si="1"/>
        <v>0</v>
      </c>
      <c r="K23" s="209">
        <f t="shared" si="10"/>
        <v>0</v>
      </c>
      <c r="L23" s="209">
        <f t="shared" si="2"/>
        <v>0</v>
      </c>
      <c r="M23" s="210">
        <f t="shared" si="11"/>
        <v>0</v>
      </c>
      <c r="N23" s="211">
        <f t="shared" si="5"/>
        <v>0</v>
      </c>
      <c r="O23" s="194">
        <f t="shared" si="6"/>
        <v>0</v>
      </c>
      <c r="P23" s="212">
        <f t="shared" si="7"/>
        <v>0</v>
      </c>
      <c r="Q23">
        <f t="shared" si="8"/>
        <v>794751.09889235883</v>
      </c>
      <c r="X23" s="216">
        <f t="shared" si="9"/>
        <v>1</v>
      </c>
      <c r="Y23">
        <f t="shared" si="3"/>
        <v>0</v>
      </c>
    </row>
    <row r="24" spans="1:25" x14ac:dyDescent="0.2">
      <c r="A24" s="204">
        <f>IF(MOD(COUNT($A$10:A23),12)=0,A23+1,A23)</f>
        <v>2</v>
      </c>
      <c r="B24" s="218">
        <f t="shared" si="4"/>
        <v>3</v>
      </c>
      <c r="C24" s="218">
        <f t="shared" si="0"/>
        <v>1</v>
      </c>
      <c r="D24" s="208">
        <f>IF(MOD(COUNT($D$10:D23),6)=0,D23+1,D23)</f>
        <v>3</v>
      </c>
      <c r="E24" s="208">
        <f>IF(MOD(COUNT($E$10:E23),3)=0,E23+1,E23)</f>
        <v>5</v>
      </c>
      <c r="F24" s="208">
        <f>IF(MOD(COUNT($F$10:F23),1)=0,F23+1,F23)</f>
        <v>15</v>
      </c>
      <c r="G24" s="204">
        <f>IFERROR(IF(C24=1,VLOOKUP(A24,Output!$A$27:$AB$137,28,FALSE)/AnnuityMode,0),0)</f>
        <v>0</v>
      </c>
      <c r="H24" s="220">
        <f>IFERROR(IF(AND(MIN(A24&gt;25,Age+A24&gt;=85),B24=12),VLOOKUP(A24,Output!$A$27:$AE$137,31,FALSE),0),0)</f>
        <v>0</v>
      </c>
      <c r="I24" s="221">
        <f>IFERROR(IF(AND(MIN(A24&gt;15,A24+Age&gt;=70),C24=1),VLOOKUP(A24,Output!$A$27:$AF$137,32,FALSE)*VLOOKUP('SV calc_ignore'!A24,Output!$A$27:$AG$137,33,FALSE)/IF(AnnuityMode=2,2,IF(AnnuityMode=4,4,IF(AnnuityMode=12,12,1))),0),0)</f>
        <v>0</v>
      </c>
      <c r="J24" s="227">
        <f t="shared" si="1"/>
        <v>0</v>
      </c>
      <c r="K24" s="209">
        <f t="shared" si="10"/>
        <v>0</v>
      </c>
      <c r="L24" s="209">
        <f t="shared" si="2"/>
        <v>0</v>
      </c>
      <c r="M24" s="210">
        <f t="shared" si="11"/>
        <v>0</v>
      </c>
      <c r="N24" s="211">
        <f t="shared" si="5"/>
        <v>0</v>
      </c>
      <c r="O24" s="194">
        <f t="shared" si="6"/>
        <v>0</v>
      </c>
      <c r="P24" s="212">
        <f t="shared" si="7"/>
        <v>0</v>
      </c>
      <c r="Q24">
        <f t="shared" si="8"/>
        <v>800172.48824104422</v>
      </c>
      <c r="X24" s="216">
        <f t="shared" si="9"/>
        <v>1</v>
      </c>
      <c r="Y24">
        <f t="shared" si="3"/>
        <v>0</v>
      </c>
    </row>
    <row r="25" spans="1:25" x14ac:dyDescent="0.2">
      <c r="A25" s="204">
        <f>IF(MOD(COUNT($A$10:A24),12)=0,A24+1,A24)</f>
        <v>2</v>
      </c>
      <c r="B25" s="218">
        <f t="shared" si="4"/>
        <v>4</v>
      </c>
      <c r="C25" s="218">
        <f t="shared" si="0"/>
        <v>1</v>
      </c>
      <c r="D25" s="208">
        <f>IF(MOD(COUNT($D$10:D24),6)=0,D24+1,D24)</f>
        <v>3</v>
      </c>
      <c r="E25" s="208">
        <f>IF(MOD(COUNT($E$10:E24),3)=0,E24+1,E24)</f>
        <v>6</v>
      </c>
      <c r="F25" s="208">
        <f>IF(MOD(COUNT($F$10:F24),1)=0,F24+1,F24)</f>
        <v>16</v>
      </c>
      <c r="G25" s="204">
        <f>IFERROR(IF(C25=1,VLOOKUP(A25,Output!$A$27:$AB$137,28,FALSE)/AnnuityMode,0),0)</f>
        <v>0</v>
      </c>
      <c r="H25" s="220">
        <f>IFERROR(IF(AND(MIN(A25&gt;25,Age+A25&gt;=85),B25=12),VLOOKUP(A25,Output!$A$27:$AE$137,31,FALSE),0),0)</f>
        <v>0</v>
      </c>
      <c r="I25" s="221">
        <f>IFERROR(IF(AND(MIN(A25&gt;15,A25+Age&gt;=70),C25=1),VLOOKUP(A25,Output!$A$27:$AF$137,32,FALSE)*VLOOKUP('SV calc_ignore'!A25,Output!$A$27:$AG$137,33,FALSE)/IF(AnnuityMode=2,2,IF(AnnuityMode=4,4,IF(AnnuityMode=12,12,1))),0),0)</f>
        <v>0</v>
      </c>
      <c r="J25" s="227">
        <f t="shared" si="1"/>
        <v>0</v>
      </c>
      <c r="K25" s="209">
        <f t="shared" si="10"/>
        <v>0</v>
      </c>
      <c r="L25" s="209">
        <f t="shared" si="2"/>
        <v>0</v>
      </c>
      <c r="M25" s="210">
        <f t="shared" si="11"/>
        <v>0</v>
      </c>
      <c r="N25" s="211">
        <f t="shared" si="5"/>
        <v>0</v>
      </c>
      <c r="O25" s="194">
        <f t="shared" si="6"/>
        <v>0</v>
      </c>
      <c r="P25" s="212">
        <f t="shared" si="7"/>
        <v>0</v>
      </c>
      <c r="Q25">
        <f t="shared" si="8"/>
        <v>805630.85956120596</v>
      </c>
      <c r="X25" s="216">
        <f t="shared" si="9"/>
        <v>1</v>
      </c>
      <c r="Y25">
        <f t="shared" si="3"/>
        <v>0</v>
      </c>
    </row>
    <row r="26" spans="1:25" x14ac:dyDescent="0.2">
      <c r="A26" s="204">
        <f>IF(MOD(COUNT($A$10:A25),12)=0,A25+1,A25)</f>
        <v>2</v>
      </c>
      <c r="B26" s="218">
        <f t="shared" si="4"/>
        <v>5</v>
      </c>
      <c r="C26" s="218">
        <f t="shared" si="0"/>
        <v>1</v>
      </c>
      <c r="D26" s="208">
        <f>IF(MOD(COUNT($D$10:D25),6)=0,D25+1,D25)</f>
        <v>3</v>
      </c>
      <c r="E26" s="208">
        <f>IF(MOD(COUNT($E$10:E25),3)=0,E25+1,E25)</f>
        <v>6</v>
      </c>
      <c r="F26" s="208">
        <f>IF(MOD(COUNT($F$10:F25),1)=0,F25+1,F25)</f>
        <v>17</v>
      </c>
      <c r="G26" s="204">
        <f>IFERROR(IF(C26=1,VLOOKUP(A26,Output!$A$27:$AB$137,28,FALSE)/AnnuityMode,0),0)</f>
        <v>0</v>
      </c>
      <c r="H26" s="220">
        <f>IFERROR(IF(AND(MIN(A26&gt;25,Age+A26&gt;=85),B26=12),VLOOKUP(A26,Output!$A$27:$AE$137,31,FALSE),0),0)</f>
        <v>0</v>
      </c>
      <c r="I26" s="221">
        <f>IFERROR(IF(AND(MIN(A26&gt;15,A26+Age&gt;=70),C26=1),VLOOKUP(A26,Output!$A$27:$AF$137,32,FALSE)*VLOOKUP('SV calc_ignore'!A26,Output!$A$27:$AG$137,33,FALSE)/IF(AnnuityMode=2,2,IF(AnnuityMode=4,4,IF(AnnuityMode=12,12,1))),0),0)</f>
        <v>0</v>
      </c>
      <c r="J26" s="227">
        <f t="shared" si="1"/>
        <v>0</v>
      </c>
      <c r="K26" s="209">
        <f t="shared" si="10"/>
        <v>0</v>
      </c>
      <c r="L26" s="209">
        <f t="shared" si="2"/>
        <v>0</v>
      </c>
      <c r="M26" s="210">
        <f t="shared" si="11"/>
        <v>0</v>
      </c>
      <c r="N26" s="211">
        <f t="shared" si="5"/>
        <v>0</v>
      </c>
      <c r="O26" s="194">
        <f t="shared" si="6"/>
        <v>0</v>
      </c>
      <c r="P26" s="212">
        <f t="shared" si="7"/>
        <v>0</v>
      </c>
      <c r="Q26">
        <f t="shared" si="8"/>
        <v>811126.46512511722</v>
      </c>
      <c r="X26" s="216">
        <f t="shared" si="9"/>
        <v>1</v>
      </c>
      <c r="Y26">
        <f t="shared" si="3"/>
        <v>0</v>
      </c>
    </row>
    <row r="27" spans="1:25" x14ac:dyDescent="0.2">
      <c r="A27" s="204">
        <f>IF(MOD(COUNT($A$10:A26),12)=0,A26+1,A26)</f>
        <v>2</v>
      </c>
      <c r="B27" s="218">
        <f t="shared" si="4"/>
        <v>6</v>
      </c>
      <c r="C27" s="218">
        <f t="shared" si="0"/>
        <v>1</v>
      </c>
      <c r="D27" s="208">
        <f>IF(MOD(COUNT($D$10:D26),6)=0,D26+1,D26)</f>
        <v>3</v>
      </c>
      <c r="E27" s="208">
        <f>IF(MOD(COUNT($E$10:E26),3)=0,E26+1,E26)</f>
        <v>6</v>
      </c>
      <c r="F27" s="208">
        <f>IF(MOD(COUNT($F$10:F26),1)=0,F26+1,F26)</f>
        <v>18</v>
      </c>
      <c r="G27" s="204">
        <f>IFERROR(IF(C27=1,VLOOKUP(A27,Output!$A$27:$AB$137,28,FALSE)/AnnuityMode,0),0)</f>
        <v>0</v>
      </c>
      <c r="H27" s="220">
        <f>IFERROR(IF(AND(MIN(A27&gt;25,Age+A27&gt;=85),B27=12),VLOOKUP(A27,Output!$A$27:$AE$137,31,FALSE),0),0)</f>
        <v>0</v>
      </c>
      <c r="I27" s="221">
        <f>IFERROR(IF(AND(MIN(A27&gt;15,A27+Age&gt;=70),C27=1),VLOOKUP(A27,Output!$A$27:$AF$137,32,FALSE)*VLOOKUP('SV calc_ignore'!A27,Output!$A$27:$AG$137,33,FALSE)/IF(AnnuityMode=2,2,IF(AnnuityMode=4,4,IF(AnnuityMode=12,12,1))),0),0)</f>
        <v>0</v>
      </c>
      <c r="J27" s="227">
        <f t="shared" si="1"/>
        <v>0</v>
      </c>
      <c r="K27" s="209">
        <f t="shared" si="10"/>
        <v>0</v>
      </c>
      <c r="L27" s="209">
        <f t="shared" si="2"/>
        <v>0</v>
      </c>
      <c r="M27" s="210">
        <f t="shared" si="11"/>
        <v>0</v>
      </c>
      <c r="N27" s="211">
        <f t="shared" si="5"/>
        <v>0</v>
      </c>
      <c r="O27" s="194">
        <f t="shared" si="6"/>
        <v>0</v>
      </c>
      <c r="P27" s="212">
        <f t="shared" si="7"/>
        <v>0</v>
      </c>
      <c r="Q27">
        <f t="shared" si="8"/>
        <v>816659.55892592459</v>
      </c>
      <c r="X27" s="216">
        <f t="shared" si="9"/>
        <v>1</v>
      </c>
      <c r="Y27">
        <f t="shared" si="3"/>
        <v>0</v>
      </c>
    </row>
    <row r="28" spans="1:25" x14ac:dyDescent="0.2">
      <c r="A28" s="204">
        <f>IF(MOD(COUNT($A$10:A27),12)=0,A27+1,A27)</f>
        <v>2</v>
      </c>
      <c r="B28" s="218">
        <f t="shared" si="4"/>
        <v>7</v>
      </c>
      <c r="C28" s="218">
        <f t="shared" si="0"/>
        <v>1</v>
      </c>
      <c r="D28" s="208">
        <f>IF(MOD(COUNT($D$10:D27),6)=0,D27+1,D27)</f>
        <v>4</v>
      </c>
      <c r="E28" s="208">
        <f>IF(MOD(COUNT($E$10:E27),3)=0,E27+1,E27)</f>
        <v>7</v>
      </c>
      <c r="F28" s="208">
        <f>IF(MOD(COUNT($F$10:F27),1)=0,F27+1,F27)</f>
        <v>19</v>
      </c>
      <c r="G28" s="204">
        <f>IFERROR(IF(C28=1,VLOOKUP(A28,Output!$A$27:$AB$137,28,FALSE)/AnnuityMode,0),0)</f>
        <v>0</v>
      </c>
      <c r="H28" s="220">
        <f>IFERROR(IF(AND(MIN(A28&gt;25,Age+A28&gt;=85),B28=12),VLOOKUP(A28,Output!$A$27:$AE$137,31,FALSE),0),0)</f>
        <v>0</v>
      </c>
      <c r="I28" s="221">
        <f>IFERROR(IF(AND(MIN(A28&gt;15,A28+Age&gt;=70),C28=1),VLOOKUP(A28,Output!$A$27:$AF$137,32,FALSE)*VLOOKUP('SV calc_ignore'!A28,Output!$A$27:$AG$137,33,FALSE)/IF(AnnuityMode=2,2,IF(AnnuityMode=4,4,IF(AnnuityMode=12,12,1))),0),0)</f>
        <v>0</v>
      </c>
      <c r="J28" s="227">
        <f t="shared" si="1"/>
        <v>0</v>
      </c>
      <c r="K28" s="209">
        <f t="shared" si="10"/>
        <v>0</v>
      </c>
      <c r="L28" s="209">
        <f t="shared" si="2"/>
        <v>0</v>
      </c>
      <c r="M28" s="210">
        <f t="shared" si="11"/>
        <v>0</v>
      </c>
      <c r="N28" s="211">
        <f t="shared" si="5"/>
        <v>0</v>
      </c>
      <c r="O28" s="194">
        <f t="shared" si="6"/>
        <v>0</v>
      </c>
      <c r="P28" s="212">
        <f t="shared" si="7"/>
        <v>0</v>
      </c>
      <c r="Q28">
        <f t="shared" si="8"/>
        <v>822230.39668938739</v>
      </c>
      <c r="X28" s="216">
        <f t="shared" si="9"/>
        <v>1</v>
      </c>
      <c r="Y28">
        <f t="shared" si="3"/>
        <v>0</v>
      </c>
    </row>
    <row r="29" spans="1:25" x14ac:dyDescent="0.2">
      <c r="A29" s="204">
        <f>IF(MOD(COUNT($A$10:A28),12)=0,A28+1,A28)</f>
        <v>2</v>
      </c>
      <c r="B29" s="218">
        <f t="shared" si="4"/>
        <v>8</v>
      </c>
      <c r="C29" s="218">
        <f t="shared" si="0"/>
        <v>1</v>
      </c>
      <c r="D29" s="208">
        <f>IF(MOD(COUNT($D$10:D28),6)=0,D28+1,D28)</f>
        <v>4</v>
      </c>
      <c r="E29" s="208">
        <f>IF(MOD(COUNT($E$10:E28),3)=0,E28+1,E28)</f>
        <v>7</v>
      </c>
      <c r="F29" s="208">
        <f>IF(MOD(COUNT($F$10:F28),1)=0,F28+1,F28)</f>
        <v>20</v>
      </c>
      <c r="G29" s="204">
        <f>IFERROR(IF(C29=1,VLOOKUP(A29,Output!$A$27:$AB$137,28,FALSE)/AnnuityMode,0),0)</f>
        <v>0</v>
      </c>
      <c r="H29" s="220">
        <f>IFERROR(IF(AND(MIN(A29&gt;25,Age+A29&gt;=85),B29=12),VLOOKUP(A29,Output!$A$27:$AE$137,31,FALSE),0),0)</f>
        <v>0</v>
      </c>
      <c r="I29" s="221">
        <f>IFERROR(IF(AND(MIN(A29&gt;15,A29+Age&gt;=70),C29=1),VLOOKUP(A29,Output!$A$27:$AF$137,32,FALSE)*VLOOKUP('SV calc_ignore'!A29,Output!$A$27:$AG$137,33,FALSE)/IF(AnnuityMode=2,2,IF(AnnuityMode=4,4,IF(AnnuityMode=12,12,1))),0),0)</f>
        <v>0</v>
      </c>
      <c r="J29" s="227">
        <f t="shared" si="1"/>
        <v>0</v>
      </c>
      <c r="K29" s="209">
        <f t="shared" si="10"/>
        <v>0</v>
      </c>
      <c r="L29" s="209">
        <f t="shared" si="2"/>
        <v>0</v>
      </c>
      <c r="M29" s="210">
        <f t="shared" si="11"/>
        <v>0</v>
      </c>
      <c r="N29" s="211">
        <f t="shared" si="5"/>
        <v>0</v>
      </c>
      <c r="O29" s="194">
        <f t="shared" si="6"/>
        <v>0</v>
      </c>
      <c r="P29" s="212">
        <f t="shared" si="7"/>
        <v>0</v>
      </c>
      <c r="Q29">
        <f t="shared" si="8"/>
        <v>827839.2358856966</v>
      </c>
      <c r="X29" s="216">
        <f t="shared" si="9"/>
        <v>1</v>
      </c>
      <c r="Y29">
        <f t="shared" si="3"/>
        <v>0</v>
      </c>
    </row>
    <row r="30" spans="1:25" x14ac:dyDescent="0.2">
      <c r="A30" s="204">
        <f>IF(MOD(COUNT($A$10:A29),12)=0,A29+1,A29)</f>
        <v>2</v>
      </c>
      <c r="B30" s="218">
        <f t="shared" si="4"/>
        <v>9</v>
      </c>
      <c r="C30" s="218">
        <f t="shared" si="0"/>
        <v>1</v>
      </c>
      <c r="D30" s="208">
        <f>IF(MOD(COUNT($D$10:D29),6)=0,D29+1,D29)</f>
        <v>4</v>
      </c>
      <c r="E30" s="208">
        <f>IF(MOD(COUNT($E$10:E29),3)=0,E29+1,E29)</f>
        <v>7</v>
      </c>
      <c r="F30" s="208">
        <f>IF(MOD(COUNT($F$10:F29),1)=0,F29+1,F29)</f>
        <v>21</v>
      </c>
      <c r="G30" s="204">
        <f>IFERROR(IF(C30=1,VLOOKUP(A30,Output!$A$27:$AB$137,28,FALSE)/AnnuityMode,0),0)</f>
        <v>0</v>
      </c>
      <c r="H30" s="220">
        <f>IFERROR(IF(AND(MIN(A30&gt;25,Age+A30&gt;=85),B30=12),VLOOKUP(A30,Output!$A$27:$AE$137,31,FALSE),0),0)</f>
        <v>0</v>
      </c>
      <c r="I30" s="221">
        <f>IFERROR(IF(AND(MIN(A30&gt;15,A30+Age&gt;=70),C30=1),VLOOKUP(A30,Output!$A$27:$AF$137,32,FALSE)*VLOOKUP('SV calc_ignore'!A30,Output!$A$27:$AG$137,33,FALSE)/IF(AnnuityMode=2,2,IF(AnnuityMode=4,4,IF(AnnuityMode=12,12,1))),0),0)</f>
        <v>0</v>
      </c>
      <c r="J30" s="227">
        <f t="shared" si="1"/>
        <v>0</v>
      </c>
      <c r="K30" s="209">
        <f t="shared" si="10"/>
        <v>0</v>
      </c>
      <c r="L30" s="209">
        <f t="shared" si="2"/>
        <v>0</v>
      </c>
      <c r="M30" s="210">
        <f t="shared" si="11"/>
        <v>0</v>
      </c>
      <c r="N30" s="211">
        <f t="shared" si="5"/>
        <v>0</v>
      </c>
      <c r="O30" s="194">
        <f t="shared" si="6"/>
        <v>0</v>
      </c>
      <c r="P30" s="212">
        <f t="shared" si="7"/>
        <v>0</v>
      </c>
      <c r="Q30">
        <f t="shared" si="8"/>
        <v>833486.33574137418</v>
      </c>
      <c r="X30" s="216">
        <f t="shared" si="9"/>
        <v>1</v>
      </c>
      <c r="Y30">
        <f t="shared" si="3"/>
        <v>0</v>
      </c>
    </row>
    <row r="31" spans="1:25" x14ac:dyDescent="0.2">
      <c r="A31" s="204">
        <f>IF(MOD(COUNT($A$10:A30),12)=0,A30+1,A30)</f>
        <v>2</v>
      </c>
      <c r="B31" s="218">
        <f t="shared" si="4"/>
        <v>10</v>
      </c>
      <c r="C31" s="218">
        <f t="shared" si="0"/>
        <v>1</v>
      </c>
      <c r="D31" s="208">
        <f>IF(MOD(COUNT($D$10:D30),6)=0,D30+1,D30)</f>
        <v>4</v>
      </c>
      <c r="E31" s="208">
        <f>IF(MOD(COUNT($E$10:E30),3)=0,E30+1,E30)</f>
        <v>8</v>
      </c>
      <c r="F31" s="208">
        <f>IF(MOD(COUNT($F$10:F30),1)=0,F30+1,F30)</f>
        <v>22</v>
      </c>
      <c r="G31" s="204">
        <f>IFERROR(IF(C31=1,VLOOKUP(A31,Output!$A$27:$AB$137,28,FALSE)/AnnuityMode,0),0)</f>
        <v>0</v>
      </c>
      <c r="H31" s="220">
        <f>IFERROR(IF(AND(MIN(A31&gt;25,Age+A31&gt;=85),B31=12),VLOOKUP(A31,Output!$A$27:$AE$137,31,FALSE),0),0)</f>
        <v>0</v>
      </c>
      <c r="I31" s="221">
        <f>IFERROR(IF(AND(MIN(A31&gt;15,A31+Age&gt;=70),C31=1),VLOOKUP(A31,Output!$A$27:$AF$137,32,FALSE)*VLOOKUP('SV calc_ignore'!A31,Output!$A$27:$AG$137,33,FALSE)/IF(AnnuityMode=2,2,IF(AnnuityMode=4,4,IF(AnnuityMode=12,12,1))),0),0)</f>
        <v>0</v>
      </c>
      <c r="J31" s="227">
        <f t="shared" si="1"/>
        <v>0</v>
      </c>
      <c r="K31" s="209">
        <f t="shared" si="10"/>
        <v>0</v>
      </c>
      <c r="L31" s="209">
        <f t="shared" si="2"/>
        <v>0</v>
      </c>
      <c r="M31" s="210">
        <f t="shared" si="11"/>
        <v>0</v>
      </c>
      <c r="N31" s="211">
        <f t="shared" si="5"/>
        <v>0</v>
      </c>
      <c r="O31" s="194">
        <f t="shared" si="6"/>
        <v>0</v>
      </c>
      <c r="P31" s="212">
        <f t="shared" si="7"/>
        <v>0</v>
      </c>
      <c r="Q31">
        <f t="shared" si="8"/>
        <v>839171.95725125412</v>
      </c>
      <c r="X31" s="216">
        <f t="shared" si="9"/>
        <v>1</v>
      </c>
      <c r="Y31">
        <f t="shared" si="3"/>
        <v>0</v>
      </c>
    </row>
    <row r="32" spans="1:25" x14ac:dyDescent="0.2">
      <c r="A32" s="204">
        <f>IF(MOD(COUNT($A$10:A31),12)=0,A31+1,A31)</f>
        <v>2</v>
      </c>
      <c r="B32" s="218">
        <f t="shared" si="4"/>
        <v>11</v>
      </c>
      <c r="C32" s="218">
        <f t="shared" si="0"/>
        <v>1</v>
      </c>
      <c r="D32" s="208">
        <f>IF(MOD(COUNT($D$10:D31),6)=0,D31+1,D31)</f>
        <v>4</v>
      </c>
      <c r="E32" s="208">
        <f>IF(MOD(COUNT($E$10:E31),3)=0,E31+1,E31)</f>
        <v>8</v>
      </c>
      <c r="F32" s="208">
        <f>IF(MOD(COUNT($F$10:F31),1)=0,F31+1,F31)</f>
        <v>23</v>
      </c>
      <c r="G32" s="204">
        <f>IFERROR(IF(C32=1,VLOOKUP(A32,Output!$A$27:$AB$137,28,FALSE)/AnnuityMode,0),0)</f>
        <v>0</v>
      </c>
      <c r="H32" s="220">
        <f>IFERROR(IF(AND(MIN(A32&gt;25,Age+A32&gt;=85),B32=12),VLOOKUP(A32,Output!$A$27:$AE$137,31,FALSE),0),0)</f>
        <v>0</v>
      </c>
      <c r="I32" s="221">
        <f>IFERROR(IF(AND(MIN(A32&gt;15,A32+Age&gt;=70),C32=1),VLOOKUP(A32,Output!$A$27:$AF$137,32,FALSE)*VLOOKUP('SV calc_ignore'!A32,Output!$A$27:$AG$137,33,FALSE)/IF(AnnuityMode=2,2,IF(AnnuityMode=4,4,IF(AnnuityMode=12,12,1))),0),0)</f>
        <v>0</v>
      </c>
      <c r="J32" s="227">
        <f t="shared" si="1"/>
        <v>0</v>
      </c>
      <c r="K32" s="209">
        <f t="shared" si="10"/>
        <v>0</v>
      </c>
      <c r="L32" s="209">
        <f t="shared" si="2"/>
        <v>0</v>
      </c>
      <c r="M32" s="210">
        <f t="shared" si="11"/>
        <v>0</v>
      </c>
      <c r="N32" s="211">
        <f t="shared" si="5"/>
        <v>0</v>
      </c>
      <c r="O32" s="194">
        <f t="shared" si="6"/>
        <v>0</v>
      </c>
      <c r="P32" s="212">
        <f t="shared" si="7"/>
        <v>0</v>
      </c>
      <c r="Q32">
        <f t="shared" si="8"/>
        <v>844896.36319054512</v>
      </c>
      <c r="X32" s="216">
        <f t="shared" si="9"/>
        <v>1</v>
      </c>
      <c r="Y32">
        <f t="shared" si="3"/>
        <v>0</v>
      </c>
    </row>
    <row r="33" spans="1:25" x14ac:dyDescent="0.2">
      <c r="A33" s="204">
        <f>IF(MOD(COUNT($A$10:A32),12)=0,A32+1,A32)</f>
        <v>2</v>
      </c>
      <c r="B33" s="218">
        <f t="shared" si="4"/>
        <v>12</v>
      </c>
      <c r="C33" s="218">
        <f t="shared" si="0"/>
        <v>1</v>
      </c>
      <c r="D33" s="208">
        <f>IF(MOD(COUNT($D$10:D32),6)=0,D32+1,D32)</f>
        <v>4</v>
      </c>
      <c r="E33" s="208">
        <f>IF(MOD(COUNT($E$10:E32),3)=0,E32+1,E32)</f>
        <v>8</v>
      </c>
      <c r="F33" s="208">
        <f>IF(MOD(COUNT($F$10:F32),1)=0,F32+1,F32)</f>
        <v>24</v>
      </c>
      <c r="G33" s="204">
        <f>IFERROR(IF(C33=1,VLOOKUP(A33,Output!$A$27:$AB$137,28,FALSE)/AnnuityMode,0),0)</f>
        <v>0</v>
      </c>
      <c r="H33" s="220">
        <f>IFERROR(IF(AND(MIN(A33&gt;25,Age+A33&gt;=85),B33=12),VLOOKUP(A33,Output!$A$27:$AE$137,31,FALSE),0),0)</f>
        <v>0</v>
      </c>
      <c r="I33" s="221">
        <f>IFERROR(IF(AND(MIN(A33&gt;15,A33+Age&gt;=70),C33=1),VLOOKUP(A33,Output!$A$27:$AF$137,32,FALSE)*VLOOKUP('SV calc_ignore'!A33,Output!$A$27:$AG$137,33,FALSE)/IF(AnnuityMode=2,2,IF(AnnuityMode=4,4,IF(AnnuityMode=12,12,1))),0),0)</f>
        <v>0</v>
      </c>
      <c r="J33" s="227">
        <f t="shared" si="1"/>
        <v>0</v>
      </c>
      <c r="K33" s="209">
        <f t="shared" si="10"/>
        <v>0</v>
      </c>
      <c r="L33" s="209">
        <f t="shared" si="2"/>
        <v>0</v>
      </c>
      <c r="M33" s="210">
        <f t="shared" si="11"/>
        <v>0</v>
      </c>
      <c r="N33" s="211">
        <f t="shared" si="5"/>
        <v>0</v>
      </c>
      <c r="O33" s="194">
        <f t="shared" si="6"/>
        <v>0</v>
      </c>
      <c r="P33" s="212">
        <f t="shared" si="7"/>
        <v>0</v>
      </c>
      <c r="Q33">
        <f t="shared" si="8"/>
        <v>850659.81812697509</v>
      </c>
      <c r="R33" s="240">
        <f>P33+J33</f>
        <v>0</v>
      </c>
      <c r="X33" s="216">
        <f t="shared" si="9"/>
        <v>1</v>
      </c>
      <c r="Y33">
        <f t="shared" si="3"/>
        <v>0</v>
      </c>
    </row>
    <row r="34" spans="1:25" x14ac:dyDescent="0.2">
      <c r="A34" s="204">
        <f>IF(MOD(COUNT($A$10:A33),12)=0,A33+1,A33)</f>
        <v>3</v>
      </c>
      <c r="B34" s="218">
        <f t="shared" si="4"/>
        <v>1</v>
      </c>
      <c r="C34" s="218">
        <f t="shared" si="0"/>
        <v>1</v>
      </c>
      <c r="D34" s="208">
        <f>IF(MOD(COUNT($D$10:D33),6)=0,D33+1,D33)</f>
        <v>5</v>
      </c>
      <c r="E34" s="208">
        <f>IF(MOD(COUNT($E$10:E33),3)=0,E33+1,E33)</f>
        <v>9</v>
      </c>
      <c r="F34" s="208">
        <f>IF(MOD(COUNT($F$10:F33),1)=0,F33+1,F33)</f>
        <v>25</v>
      </c>
      <c r="G34" s="204">
        <f>IFERROR(IF(C34=1,VLOOKUP(A34,Output!$A$27:$AB$137,28,FALSE)/AnnuityMode,0),0)</f>
        <v>0</v>
      </c>
      <c r="H34" s="220">
        <f>IFERROR(IF(AND(MIN(A34&gt;25,Age+A34&gt;=85),B34=12),VLOOKUP(A34,Output!$A$27:$AE$137,31,FALSE),0),0)</f>
        <v>0</v>
      </c>
      <c r="I34" s="221">
        <f>IFERROR(IF(AND(MIN(A34&gt;15,A34+Age&gt;=70),C34=1),VLOOKUP(A34,Output!$A$27:$AF$137,32,FALSE)*VLOOKUP('SV calc_ignore'!A34,Output!$A$27:$AG$137,33,FALSE)/IF(AnnuityMode=2,2,IF(AnnuityMode=4,4,IF(AnnuityMode=12,12,1))),0),0)</f>
        <v>0</v>
      </c>
      <c r="J34" s="227">
        <f t="shared" si="1"/>
        <v>0</v>
      </c>
      <c r="K34" s="209">
        <f t="shared" si="10"/>
        <v>0</v>
      </c>
      <c r="L34" s="209">
        <f t="shared" si="2"/>
        <v>0</v>
      </c>
      <c r="M34" s="210">
        <f t="shared" si="11"/>
        <v>0</v>
      </c>
      <c r="N34" s="211">
        <f t="shared" si="5"/>
        <v>0</v>
      </c>
      <c r="O34" s="194">
        <f t="shared" si="6"/>
        <v>0</v>
      </c>
      <c r="P34" s="212">
        <f t="shared" si="7"/>
        <v>0</v>
      </c>
      <c r="Q34">
        <f t="shared" si="8"/>
        <v>856462.58843301889</v>
      </c>
      <c r="X34" s="216">
        <f t="shared" si="9"/>
        <v>2</v>
      </c>
      <c r="Y34">
        <f t="shared" si="3"/>
        <v>0</v>
      </c>
    </row>
    <row r="35" spans="1:25" x14ac:dyDescent="0.2">
      <c r="A35" s="204">
        <f>IF(MOD(COUNT($A$10:A34),12)=0,A34+1,A34)</f>
        <v>3</v>
      </c>
      <c r="B35" s="218">
        <f t="shared" si="4"/>
        <v>2</v>
      </c>
      <c r="C35" s="218">
        <f t="shared" si="0"/>
        <v>1</v>
      </c>
      <c r="D35" s="208">
        <f>IF(MOD(COUNT($D$10:D34),6)=0,D34+1,D34)</f>
        <v>5</v>
      </c>
      <c r="E35" s="208">
        <f>IF(MOD(COUNT($E$10:E34),3)=0,E34+1,E34)</f>
        <v>9</v>
      </c>
      <c r="F35" s="208">
        <f>IF(MOD(COUNT($F$10:F34),1)=0,F34+1,F34)</f>
        <v>26</v>
      </c>
      <c r="G35" s="204">
        <f>IFERROR(IF(C35=1,VLOOKUP(A35,Output!$A$27:$AB$137,28,FALSE)/AnnuityMode,0),0)</f>
        <v>0</v>
      </c>
      <c r="H35" s="220">
        <f>IFERROR(IF(AND(MIN(A35&gt;25,Age+A35&gt;=85),B35=12),VLOOKUP(A35,Output!$A$27:$AE$137,31,FALSE),0),0)</f>
        <v>0</v>
      </c>
      <c r="I35" s="221">
        <f>IFERROR(IF(AND(MIN(A35&gt;15,A35+Age&gt;=70),C35=1),VLOOKUP(A35,Output!$A$27:$AF$137,32,FALSE)*VLOOKUP('SV calc_ignore'!A35,Output!$A$27:$AG$137,33,FALSE)/IF(AnnuityMode=2,2,IF(AnnuityMode=4,4,IF(AnnuityMode=12,12,1))),0),0)</f>
        <v>0</v>
      </c>
      <c r="J35" s="227">
        <f t="shared" si="1"/>
        <v>0</v>
      </c>
      <c r="K35" s="209">
        <f t="shared" si="10"/>
        <v>0</v>
      </c>
      <c r="L35" s="209">
        <f t="shared" si="2"/>
        <v>0</v>
      </c>
      <c r="M35" s="210">
        <f t="shared" si="11"/>
        <v>0</v>
      </c>
      <c r="N35" s="211">
        <f t="shared" si="5"/>
        <v>0</v>
      </c>
      <c r="O35" s="194">
        <f t="shared" si="6"/>
        <v>0</v>
      </c>
      <c r="P35" s="212">
        <f t="shared" si="7"/>
        <v>0</v>
      </c>
      <c r="Q35">
        <f t="shared" si="8"/>
        <v>862304.94229820953</v>
      </c>
      <c r="X35" s="216">
        <f t="shared" si="9"/>
        <v>2</v>
      </c>
      <c r="Y35">
        <f t="shared" si="3"/>
        <v>0</v>
      </c>
    </row>
    <row r="36" spans="1:25" x14ac:dyDescent="0.2">
      <c r="A36" s="204">
        <f>IF(MOD(COUNT($A$10:A35),12)=0,A35+1,A35)</f>
        <v>3</v>
      </c>
      <c r="B36" s="218">
        <f t="shared" si="4"/>
        <v>3</v>
      </c>
      <c r="C36" s="218">
        <f t="shared" si="0"/>
        <v>1</v>
      </c>
      <c r="D36" s="208">
        <f>IF(MOD(COUNT($D$10:D35),6)=0,D35+1,D35)</f>
        <v>5</v>
      </c>
      <c r="E36" s="208">
        <f>IF(MOD(COUNT($E$10:E35),3)=0,E35+1,E35)</f>
        <v>9</v>
      </c>
      <c r="F36" s="208">
        <f>IF(MOD(COUNT($F$10:F35),1)=0,F35+1,F35)</f>
        <v>27</v>
      </c>
      <c r="G36" s="204">
        <f>IFERROR(IF(C36=1,VLOOKUP(A36,Output!$A$27:$AB$137,28,FALSE)/AnnuityMode,0),0)</f>
        <v>0</v>
      </c>
      <c r="H36" s="220">
        <f>IFERROR(IF(AND(MIN(A36&gt;25,Age+A36&gt;=85),B36=12),VLOOKUP(A36,Output!$A$27:$AE$137,31,FALSE),0),0)</f>
        <v>0</v>
      </c>
      <c r="I36" s="221">
        <f>IFERROR(IF(AND(MIN(A36&gt;15,A36+Age&gt;=70),C36=1),VLOOKUP(A36,Output!$A$27:$AF$137,32,FALSE)*VLOOKUP('SV calc_ignore'!A36,Output!$A$27:$AG$137,33,FALSE)/IF(AnnuityMode=2,2,IF(AnnuityMode=4,4,IF(AnnuityMode=12,12,1))),0),0)</f>
        <v>0</v>
      </c>
      <c r="J36" s="227">
        <f t="shared" si="1"/>
        <v>0</v>
      </c>
      <c r="K36" s="209">
        <f t="shared" si="10"/>
        <v>0</v>
      </c>
      <c r="L36" s="209">
        <f t="shared" si="2"/>
        <v>0</v>
      </c>
      <c r="M36" s="210">
        <f t="shared" si="11"/>
        <v>0</v>
      </c>
      <c r="N36" s="211">
        <f t="shared" si="5"/>
        <v>0</v>
      </c>
      <c r="O36" s="194">
        <f t="shared" si="6"/>
        <v>0</v>
      </c>
      <c r="P36" s="212">
        <f t="shared" si="7"/>
        <v>0</v>
      </c>
      <c r="Q36">
        <f t="shared" si="8"/>
        <v>868187.14974153321</v>
      </c>
      <c r="X36" s="216">
        <f t="shared" si="9"/>
        <v>2</v>
      </c>
      <c r="Y36">
        <f t="shared" si="3"/>
        <v>0</v>
      </c>
    </row>
    <row r="37" spans="1:25" x14ac:dyDescent="0.2">
      <c r="A37" s="204">
        <f>IF(MOD(COUNT($A$10:A36),12)=0,A36+1,A36)</f>
        <v>3</v>
      </c>
      <c r="B37" s="218">
        <f t="shared" si="4"/>
        <v>4</v>
      </c>
      <c r="C37" s="218">
        <f t="shared" si="0"/>
        <v>1</v>
      </c>
      <c r="D37" s="208">
        <f>IF(MOD(COUNT($D$10:D36),6)=0,D36+1,D36)</f>
        <v>5</v>
      </c>
      <c r="E37" s="208">
        <f>IF(MOD(COUNT($E$10:E36),3)=0,E36+1,E36)</f>
        <v>10</v>
      </c>
      <c r="F37" s="208">
        <f>IF(MOD(COUNT($F$10:F36),1)=0,F36+1,F36)</f>
        <v>28</v>
      </c>
      <c r="G37" s="204">
        <f>IFERROR(IF(C37=1,VLOOKUP(A37,Output!$A$27:$AB$137,28,FALSE)/AnnuityMode,0),0)</f>
        <v>0</v>
      </c>
      <c r="H37" s="220">
        <f>IFERROR(IF(AND(MIN(A37&gt;25,Age+A37&gt;=85),B37=12),VLOOKUP(A37,Output!$A$27:$AE$137,31,FALSE),0),0)</f>
        <v>0</v>
      </c>
      <c r="I37" s="221">
        <f>IFERROR(IF(AND(MIN(A37&gt;15,A37+Age&gt;=70),C37=1),VLOOKUP(A37,Output!$A$27:$AF$137,32,FALSE)*VLOOKUP('SV calc_ignore'!A37,Output!$A$27:$AG$137,33,FALSE)/IF(AnnuityMode=2,2,IF(AnnuityMode=4,4,IF(AnnuityMode=12,12,1))),0),0)</f>
        <v>0</v>
      </c>
      <c r="J37" s="227">
        <f t="shared" si="1"/>
        <v>0</v>
      </c>
      <c r="K37" s="209">
        <f t="shared" si="10"/>
        <v>0</v>
      </c>
      <c r="L37" s="209">
        <f t="shared" si="2"/>
        <v>0</v>
      </c>
      <c r="M37" s="210">
        <f t="shared" si="11"/>
        <v>0</v>
      </c>
      <c r="N37" s="211">
        <f t="shared" si="5"/>
        <v>0</v>
      </c>
      <c r="O37" s="194">
        <f t="shared" si="6"/>
        <v>0</v>
      </c>
      <c r="P37" s="212">
        <f t="shared" si="7"/>
        <v>0</v>
      </c>
      <c r="Q37">
        <f t="shared" si="8"/>
        <v>874109.48262390879</v>
      </c>
      <c r="X37" s="216">
        <f t="shared" si="9"/>
        <v>2</v>
      </c>
      <c r="Y37">
        <f t="shared" si="3"/>
        <v>0</v>
      </c>
    </row>
    <row r="38" spans="1:25" x14ac:dyDescent="0.2">
      <c r="A38" s="204">
        <f>IF(MOD(COUNT($A$10:A37),12)=0,A37+1,A37)</f>
        <v>3</v>
      </c>
      <c r="B38" s="218">
        <f t="shared" si="4"/>
        <v>5</v>
      </c>
      <c r="C38" s="218">
        <f t="shared" si="0"/>
        <v>1</v>
      </c>
      <c r="D38" s="208">
        <f>IF(MOD(COUNT($D$10:D37),6)=0,D37+1,D37)</f>
        <v>5</v>
      </c>
      <c r="E38" s="208">
        <f>IF(MOD(COUNT($E$10:E37),3)=0,E37+1,E37)</f>
        <v>10</v>
      </c>
      <c r="F38" s="208">
        <f>IF(MOD(COUNT($F$10:F37),1)=0,F37+1,F37)</f>
        <v>29</v>
      </c>
      <c r="G38" s="204">
        <f>IFERROR(IF(C38=1,VLOOKUP(A38,Output!$A$27:$AB$137,28,FALSE)/AnnuityMode,0),0)</f>
        <v>0</v>
      </c>
      <c r="H38" s="220">
        <f>IFERROR(IF(AND(MIN(A38&gt;25,Age+A38&gt;=85),B38=12),VLOOKUP(A38,Output!$A$27:$AE$137,31,FALSE),0),0)</f>
        <v>0</v>
      </c>
      <c r="I38" s="221">
        <f>IFERROR(IF(AND(MIN(A38&gt;15,A38+Age&gt;=70),C38=1),VLOOKUP(A38,Output!$A$27:$AF$137,32,FALSE)*VLOOKUP('SV calc_ignore'!A38,Output!$A$27:$AG$137,33,FALSE)/IF(AnnuityMode=2,2,IF(AnnuityMode=4,4,IF(AnnuityMode=12,12,1))),0),0)</f>
        <v>0</v>
      </c>
      <c r="J38" s="227">
        <f t="shared" si="1"/>
        <v>0</v>
      </c>
      <c r="K38" s="209">
        <f t="shared" si="10"/>
        <v>0</v>
      </c>
      <c r="L38" s="209">
        <f t="shared" si="2"/>
        <v>0</v>
      </c>
      <c r="M38" s="210">
        <f t="shared" si="11"/>
        <v>0</v>
      </c>
      <c r="N38" s="211">
        <f t="shared" si="5"/>
        <v>0</v>
      </c>
      <c r="O38" s="194">
        <f t="shared" si="6"/>
        <v>0</v>
      </c>
      <c r="P38" s="212">
        <f t="shared" si="7"/>
        <v>0</v>
      </c>
      <c r="Q38">
        <f t="shared" si="8"/>
        <v>880072.21466075245</v>
      </c>
      <c r="X38" s="216">
        <f t="shared" si="9"/>
        <v>2</v>
      </c>
      <c r="Y38">
        <f t="shared" si="3"/>
        <v>0</v>
      </c>
    </row>
    <row r="39" spans="1:25" x14ac:dyDescent="0.2">
      <c r="A39" s="204">
        <f>IF(MOD(COUNT($A$10:A38),12)=0,A38+1,A38)</f>
        <v>3</v>
      </c>
      <c r="B39" s="218">
        <f t="shared" si="4"/>
        <v>6</v>
      </c>
      <c r="C39" s="218">
        <f t="shared" si="0"/>
        <v>1</v>
      </c>
      <c r="D39" s="208">
        <f>IF(MOD(COUNT($D$10:D38),6)=0,D38+1,D38)</f>
        <v>5</v>
      </c>
      <c r="E39" s="208">
        <f>IF(MOD(COUNT($E$10:E38),3)=0,E38+1,E38)</f>
        <v>10</v>
      </c>
      <c r="F39" s="208">
        <f>IF(MOD(COUNT($F$10:F38),1)=0,F38+1,F38)</f>
        <v>30</v>
      </c>
      <c r="G39" s="204">
        <f>IFERROR(IF(C39=1,VLOOKUP(A39,Output!$A$27:$AB$137,28,FALSE)/AnnuityMode,0),0)</f>
        <v>0</v>
      </c>
      <c r="H39" s="220">
        <f>IFERROR(IF(AND(MIN(A39&gt;25,Age+A39&gt;=85),B39=12),VLOOKUP(A39,Output!$A$27:$AE$137,31,FALSE),0),0)</f>
        <v>0</v>
      </c>
      <c r="I39" s="221">
        <f>IFERROR(IF(AND(MIN(A39&gt;15,A39+Age&gt;=70),C39=1),VLOOKUP(A39,Output!$A$27:$AF$137,32,FALSE)*VLOOKUP('SV calc_ignore'!A39,Output!$A$27:$AG$137,33,FALSE)/IF(AnnuityMode=2,2,IF(AnnuityMode=4,4,IF(AnnuityMode=12,12,1))),0),0)</f>
        <v>0</v>
      </c>
      <c r="J39" s="227">
        <f t="shared" si="1"/>
        <v>0</v>
      </c>
      <c r="K39" s="209">
        <f t="shared" si="10"/>
        <v>0</v>
      </c>
      <c r="L39" s="209">
        <f t="shared" si="2"/>
        <v>0</v>
      </c>
      <c r="M39" s="210">
        <f t="shared" si="11"/>
        <v>0</v>
      </c>
      <c r="N39" s="211">
        <f t="shared" si="5"/>
        <v>0</v>
      </c>
      <c r="O39" s="194">
        <f t="shared" si="6"/>
        <v>0</v>
      </c>
      <c r="P39" s="212">
        <f t="shared" si="7"/>
        <v>0</v>
      </c>
      <c r="Q39">
        <f t="shared" si="8"/>
        <v>886075.6214346285</v>
      </c>
      <c r="X39" s="216">
        <f t="shared" si="9"/>
        <v>2</v>
      </c>
      <c r="Y39">
        <f t="shared" si="3"/>
        <v>0</v>
      </c>
    </row>
    <row r="40" spans="1:25" x14ac:dyDescent="0.2">
      <c r="A40" s="204">
        <f>IF(MOD(COUNT($A$10:A39),12)=0,A39+1,A39)</f>
        <v>3</v>
      </c>
      <c r="B40" s="218">
        <f t="shared" si="4"/>
        <v>7</v>
      </c>
      <c r="C40" s="218">
        <f t="shared" si="0"/>
        <v>1</v>
      </c>
      <c r="D40" s="208">
        <f>IF(MOD(COUNT($D$10:D39),6)=0,D39+1,D39)</f>
        <v>6</v>
      </c>
      <c r="E40" s="208">
        <f>IF(MOD(COUNT($E$10:E39),3)=0,E39+1,E39)</f>
        <v>11</v>
      </c>
      <c r="F40" s="208">
        <f>IF(MOD(COUNT($F$10:F39),1)=0,F39+1,F39)</f>
        <v>31</v>
      </c>
      <c r="G40" s="204">
        <f>IFERROR(IF(C40=1,VLOOKUP(A40,Output!$A$27:$AB$137,28,FALSE)/AnnuityMode,0),0)</f>
        <v>0</v>
      </c>
      <c r="H40" s="220">
        <f>IFERROR(IF(AND(MIN(A40&gt;25,Age+A40&gt;=85),B40=12),VLOOKUP(A40,Output!$A$27:$AE$137,31,FALSE),0),0)</f>
        <v>0</v>
      </c>
      <c r="I40" s="221">
        <f>IFERROR(IF(AND(MIN(A40&gt;15,A40+Age&gt;=70),C40=1),VLOOKUP(A40,Output!$A$27:$AF$137,32,FALSE)*VLOOKUP('SV calc_ignore'!A40,Output!$A$27:$AG$137,33,FALSE)/IF(AnnuityMode=2,2,IF(AnnuityMode=4,4,IF(AnnuityMode=12,12,1))),0),0)</f>
        <v>0</v>
      </c>
      <c r="J40" s="227">
        <f t="shared" si="1"/>
        <v>0</v>
      </c>
      <c r="K40" s="209">
        <f t="shared" si="10"/>
        <v>0</v>
      </c>
      <c r="L40" s="209">
        <f t="shared" si="2"/>
        <v>0</v>
      </c>
      <c r="M40" s="210">
        <f t="shared" si="11"/>
        <v>0</v>
      </c>
      <c r="N40" s="211">
        <f t="shared" si="5"/>
        <v>0</v>
      </c>
      <c r="O40" s="194">
        <f t="shared" si="6"/>
        <v>0</v>
      </c>
      <c r="P40" s="212">
        <f t="shared" si="7"/>
        <v>0</v>
      </c>
      <c r="Q40">
        <f t="shared" si="8"/>
        <v>892119.98040798574</v>
      </c>
      <c r="X40" s="216">
        <f t="shared" si="9"/>
        <v>2</v>
      </c>
      <c r="Y40">
        <f t="shared" si="3"/>
        <v>0</v>
      </c>
    </row>
    <row r="41" spans="1:25" x14ac:dyDescent="0.2">
      <c r="A41" s="204">
        <f>IF(MOD(COUNT($A$10:A40),12)=0,A40+1,A40)</f>
        <v>3</v>
      </c>
      <c r="B41" s="218">
        <f t="shared" si="4"/>
        <v>8</v>
      </c>
      <c r="C41" s="218">
        <f t="shared" si="0"/>
        <v>1</v>
      </c>
      <c r="D41" s="208">
        <f>IF(MOD(COUNT($D$10:D40),6)=0,D40+1,D40)</f>
        <v>6</v>
      </c>
      <c r="E41" s="208">
        <f>IF(MOD(COUNT($E$10:E40),3)=0,E40+1,E40)</f>
        <v>11</v>
      </c>
      <c r="F41" s="208">
        <f>IF(MOD(COUNT($F$10:F40),1)=0,F40+1,F40)</f>
        <v>32</v>
      </c>
      <c r="G41" s="204">
        <f>IFERROR(IF(C41=1,VLOOKUP(A41,Output!$A$27:$AB$137,28,FALSE)/AnnuityMode,0),0)</f>
        <v>0</v>
      </c>
      <c r="H41" s="220">
        <f>IFERROR(IF(AND(MIN(A41&gt;25,Age+A41&gt;=85),B41=12),VLOOKUP(A41,Output!$A$27:$AE$137,31,FALSE),0),0)</f>
        <v>0</v>
      </c>
      <c r="I41" s="221">
        <f>IFERROR(IF(AND(MIN(A41&gt;15,A41+Age&gt;=70),C41=1),VLOOKUP(A41,Output!$A$27:$AF$137,32,FALSE)*VLOOKUP('SV calc_ignore'!A41,Output!$A$27:$AG$137,33,FALSE)/IF(AnnuityMode=2,2,IF(AnnuityMode=4,4,IF(AnnuityMode=12,12,1))),0),0)</f>
        <v>0</v>
      </c>
      <c r="J41" s="227">
        <f t="shared" si="1"/>
        <v>0</v>
      </c>
      <c r="K41" s="209">
        <f t="shared" si="10"/>
        <v>0</v>
      </c>
      <c r="L41" s="209">
        <f t="shared" si="2"/>
        <v>0</v>
      </c>
      <c r="M41" s="210">
        <f t="shared" si="11"/>
        <v>0</v>
      </c>
      <c r="N41" s="211">
        <f t="shared" si="5"/>
        <v>0</v>
      </c>
      <c r="O41" s="194">
        <f t="shared" si="6"/>
        <v>0</v>
      </c>
      <c r="P41" s="212">
        <f t="shared" si="7"/>
        <v>0</v>
      </c>
      <c r="Q41">
        <f t="shared" si="8"/>
        <v>898205.57093598123</v>
      </c>
      <c r="X41" s="216">
        <f t="shared" si="9"/>
        <v>2</v>
      </c>
      <c r="Y41">
        <f t="shared" si="3"/>
        <v>0</v>
      </c>
    </row>
    <row r="42" spans="1:25" x14ac:dyDescent="0.2">
      <c r="A42" s="204">
        <f>IF(MOD(COUNT($A$10:A41),12)=0,A41+1,A41)</f>
        <v>3</v>
      </c>
      <c r="B42" s="218">
        <f t="shared" si="4"/>
        <v>9</v>
      </c>
      <c r="C42" s="218">
        <f t="shared" si="0"/>
        <v>1</v>
      </c>
      <c r="D42" s="208">
        <f>IF(MOD(COUNT($D$10:D41),6)=0,D41+1,D41)</f>
        <v>6</v>
      </c>
      <c r="E42" s="208">
        <f>IF(MOD(COUNT($E$10:E41),3)=0,E41+1,E41)</f>
        <v>11</v>
      </c>
      <c r="F42" s="208">
        <f>IF(MOD(COUNT($F$10:F41),1)=0,F41+1,F41)</f>
        <v>33</v>
      </c>
      <c r="G42" s="204">
        <f>IFERROR(IF(C42=1,VLOOKUP(A42,Output!$A$27:$AB$137,28,FALSE)/AnnuityMode,0),0)</f>
        <v>0</v>
      </c>
      <c r="H42" s="220">
        <f>IFERROR(IF(AND(MIN(A42&gt;25,Age+A42&gt;=85),B42=12),VLOOKUP(A42,Output!$A$27:$AE$137,31,FALSE),0),0)</f>
        <v>0</v>
      </c>
      <c r="I42" s="221">
        <f>IFERROR(IF(AND(MIN(A42&gt;15,A42+Age&gt;=70),C42=1),VLOOKUP(A42,Output!$A$27:$AF$137,32,FALSE)*VLOOKUP('SV calc_ignore'!A42,Output!$A$27:$AG$137,33,FALSE)/IF(AnnuityMode=2,2,IF(AnnuityMode=4,4,IF(AnnuityMode=12,12,1))),0),0)</f>
        <v>0</v>
      </c>
      <c r="J42" s="227">
        <f t="shared" si="1"/>
        <v>0</v>
      </c>
      <c r="K42" s="209">
        <f t="shared" si="10"/>
        <v>0</v>
      </c>
      <c r="L42" s="209">
        <f t="shared" si="2"/>
        <v>0</v>
      </c>
      <c r="M42" s="210">
        <f t="shared" si="11"/>
        <v>0</v>
      </c>
      <c r="N42" s="211">
        <f t="shared" si="5"/>
        <v>0</v>
      </c>
      <c r="O42" s="194">
        <f t="shared" si="6"/>
        <v>0</v>
      </c>
      <c r="P42" s="212">
        <f t="shared" si="7"/>
        <v>0</v>
      </c>
      <c r="Q42">
        <f t="shared" si="8"/>
        <v>904332.67427939142</v>
      </c>
      <c r="X42" s="216">
        <f t="shared" si="9"/>
        <v>2</v>
      </c>
      <c r="Y42">
        <f t="shared" si="3"/>
        <v>0</v>
      </c>
    </row>
    <row r="43" spans="1:25" x14ac:dyDescent="0.2">
      <c r="A43" s="204">
        <f>IF(MOD(COUNT($A$10:A42),12)=0,A42+1,A42)</f>
        <v>3</v>
      </c>
      <c r="B43" s="218">
        <f t="shared" si="4"/>
        <v>10</v>
      </c>
      <c r="C43" s="218">
        <f t="shared" si="0"/>
        <v>1</v>
      </c>
      <c r="D43" s="208">
        <f>IF(MOD(COUNT($D$10:D42),6)=0,D42+1,D42)</f>
        <v>6</v>
      </c>
      <c r="E43" s="208">
        <f>IF(MOD(COUNT($E$10:E42),3)=0,E42+1,E42)</f>
        <v>12</v>
      </c>
      <c r="F43" s="208">
        <f>IF(MOD(COUNT($F$10:F42),1)=0,F42+1,F42)</f>
        <v>34</v>
      </c>
      <c r="G43" s="204">
        <f>IFERROR(IF(C43=1,VLOOKUP(A43,Output!$A$27:$AB$137,28,FALSE)/AnnuityMode,0),0)</f>
        <v>0</v>
      </c>
      <c r="H43" s="220">
        <f>IFERROR(IF(AND(MIN(A43&gt;25,Age+A43&gt;=85),B43=12),VLOOKUP(A43,Output!$A$27:$AE$137,31,FALSE),0),0)</f>
        <v>0</v>
      </c>
      <c r="I43" s="221">
        <f>IFERROR(IF(AND(MIN(A43&gt;15,A43+Age&gt;=70),C43=1),VLOOKUP(A43,Output!$A$27:$AF$137,32,FALSE)*VLOOKUP('SV calc_ignore'!A43,Output!$A$27:$AG$137,33,FALSE)/IF(AnnuityMode=2,2,IF(AnnuityMode=4,4,IF(AnnuityMode=12,12,1))),0),0)</f>
        <v>0</v>
      </c>
      <c r="J43" s="227">
        <f t="shared" si="1"/>
        <v>0</v>
      </c>
      <c r="K43" s="209">
        <f t="shared" si="10"/>
        <v>0</v>
      </c>
      <c r="L43" s="209">
        <f t="shared" si="2"/>
        <v>0</v>
      </c>
      <c r="M43" s="210">
        <f t="shared" si="11"/>
        <v>0</v>
      </c>
      <c r="N43" s="211">
        <f t="shared" si="5"/>
        <v>0</v>
      </c>
      <c r="O43" s="194">
        <f t="shared" si="6"/>
        <v>0</v>
      </c>
      <c r="P43" s="212">
        <f t="shared" si="7"/>
        <v>0</v>
      </c>
      <c r="Q43">
        <f t="shared" si="8"/>
        <v>910501.5736176112</v>
      </c>
      <c r="X43" s="216">
        <f t="shared" si="9"/>
        <v>2</v>
      </c>
      <c r="Y43">
        <f t="shared" si="3"/>
        <v>0</v>
      </c>
    </row>
    <row r="44" spans="1:25" x14ac:dyDescent="0.2">
      <c r="A44" s="204">
        <f>IF(MOD(COUNT($A$10:A43),12)=0,A43+1,A43)</f>
        <v>3</v>
      </c>
      <c r="B44" s="218">
        <f t="shared" si="4"/>
        <v>11</v>
      </c>
      <c r="C44" s="218">
        <f t="shared" si="0"/>
        <v>1</v>
      </c>
      <c r="D44" s="208">
        <f>IF(MOD(COUNT($D$10:D43),6)=0,D43+1,D43)</f>
        <v>6</v>
      </c>
      <c r="E44" s="208">
        <f>IF(MOD(COUNT($E$10:E43),3)=0,E43+1,E43)</f>
        <v>12</v>
      </c>
      <c r="F44" s="208">
        <f>IF(MOD(COUNT($F$10:F43),1)=0,F43+1,F43)</f>
        <v>35</v>
      </c>
      <c r="G44" s="204">
        <f>IFERROR(IF(C44=1,VLOOKUP(A44,Output!$A$27:$AB$137,28,FALSE)/AnnuityMode,0),0)</f>
        <v>0</v>
      </c>
      <c r="H44" s="220">
        <f>IFERROR(IF(AND(MIN(A44&gt;25,Age+A44&gt;=85),B44=12),VLOOKUP(A44,Output!$A$27:$AE$137,31,FALSE),0),0)</f>
        <v>0</v>
      </c>
      <c r="I44" s="221">
        <f>IFERROR(IF(AND(MIN(A44&gt;15,A44+Age&gt;=70),C44=1),VLOOKUP(A44,Output!$A$27:$AF$137,32,FALSE)*VLOOKUP('SV calc_ignore'!A44,Output!$A$27:$AG$137,33,FALSE)/IF(AnnuityMode=2,2,IF(AnnuityMode=4,4,IF(AnnuityMode=12,12,1))),0),0)</f>
        <v>0</v>
      </c>
      <c r="J44" s="227">
        <f t="shared" si="1"/>
        <v>0</v>
      </c>
      <c r="K44" s="209">
        <f t="shared" si="10"/>
        <v>0</v>
      </c>
      <c r="L44" s="209">
        <f t="shared" si="2"/>
        <v>0</v>
      </c>
      <c r="M44" s="210">
        <f t="shared" si="11"/>
        <v>0</v>
      </c>
      <c r="N44" s="211">
        <f t="shared" si="5"/>
        <v>0</v>
      </c>
      <c r="O44" s="194">
        <f t="shared" si="6"/>
        <v>0</v>
      </c>
      <c r="P44" s="212">
        <f t="shared" si="7"/>
        <v>0</v>
      </c>
      <c r="Q44">
        <f t="shared" si="8"/>
        <v>916712.55406174192</v>
      </c>
      <c r="X44" s="216">
        <f t="shared" si="9"/>
        <v>2</v>
      </c>
      <c r="Y44">
        <f t="shared" si="3"/>
        <v>0</v>
      </c>
    </row>
    <row r="45" spans="1:25" x14ac:dyDescent="0.2">
      <c r="A45" s="204">
        <f>IF(MOD(COUNT($A$10:A44),12)=0,A44+1,A44)</f>
        <v>3</v>
      </c>
      <c r="B45" s="218">
        <f t="shared" si="4"/>
        <v>12</v>
      </c>
      <c r="C45" s="218">
        <f t="shared" si="0"/>
        <v>1</v>
      </c>
      <c r="D45" s="208">
        <f>IF(MOD(COUNT($D$10:D44),6)=0,D44+1,D44)</f>
        <v>6</v>
      </c>
      <c r="E45" s="208">
        <f>IF(MOD(COUNT($E$10:E44),3)=0,E44+1,E44)</f>
        <v>12</v>
      </c>
      <c r="F45" s="208">
        <f>IF(MOD(COUNT($F$10:F44),1)=0,F44+1,F44)</f>
        <v>36</v>
      </c>
      <c r="G45" s="204">
        <f>IFERROR(IF(C45=1,VLOOKUP(A45,Output!$A$27:$AB$137,28,FALSE)/AnnuityMode,0),0)</f>
        <v>0</v>
      </c>
      <c r="H45" s="220">
        <f>IFERROR(IF(AND(MIN(A45&gt;25,Age+A45&gt;=85),B45=12),VLOOKUP(A45,Output!$A$27:$AE$137,31,FALSE),0),0)</f>
        <v>0</v>
      </c>
      <c r="I45" s="221">
        <f>IFERROR(IF(AND(MIN(A45&gt;15,A45+Age&gt;=70),C45=1),VLOOKUP(A45,Output!$A$27:$AF$137,32,FALSE)*VLOOKUP('SV calc_ignore'!A45,Output!$A$27:$AG$137,33,FALSE)/IF(AnnuityMode=2,2,IF(AnnuityMode=4,4,IF(AnnuityMode=12,12,1))),0),0)</f>
        <v>0</v>
      </c>
      <c r="J45" s="227">
        <f t="shared" si="1"/>
        <v>0</v>
      </c>
      <c r="K45" s="209">
        <f t="shared" si="10"/>
        <v>0</v>
      </c>
      <c r="L45" s="209">
        <f t="shared" si="2"/>
        <v>0</v>
      </c>
      <c r="M45" s="210">
        <f t="shared" si="11"/>
        <v>0</v>
      </c>
      <c r="N45" s="211">
        <f t="shared" si="5"/>
        <v>0</v>
      </c>
      <c r="O45" s="194">
        <f t="shared" si="6"/>
        <v>0</v>
      </c>
      <c r="P45" s="212">
        <f t="shared" si="7"/>
        <v>0</v>
      </c>
      <c r="Q45">
        <f t="shared" si="8"/>
        <v>922965.90266776842</v>
      </c>
      <c r="X45" s="216">
        <f t="shared" si="9"/>
        <v>2</v>
      </c>
      <c r="Y45">
        <f t="shared" si="3"/>
        <v>0</v>
      </c>
    </row>
    <row r="46" spans="1:25" x14ac:dyDescent="0.2">
      <c r="A46" s="204">
        <f>IF(MOD(COUNT($A$10:A45),12)=0,A45+1,A45)</f>
        <v>4</v>
      </c>
      <c r="B46" s="218">
        <f t="shared" si="4"/>
        <v>1</v>
      </c>
      <c r="C46" s="218">
        <f t="shared" si="0"/>
        <v>1</v>
      </c>
      <c r="D46" s="208">
        <f>IF(MOD(COUNT($D$10:D45),6)=0,D45+1,D45)</f>
        <v>7</v>
      </c>
      <c r="E46" s="208">
        <f>IF(MOD(COUNT($E$10:E45),3)=0,E45+1,E45)</f>
        <v>13</v>
      </c>
      <c r="F46" s="208">
        <f>IF(MOD(COUNT($F$10:F45),1)=0,F45+1,F45)</f>
        <v>37</v>
      </c>
      <c r="G46" s="204">
        <f>IFERROR(IF(C46=1,VLOOKUP(A46,Output!$A$27:$AB$137,28,FALSE)/AnnuityMode,0),0)</f>
        <v>0</v>
      </c>
      <c r="H46" s="220">
        <f>IFERROR(IF(AND(MIN(A46&gt;25,Age+A46&gt;=85),B46=12),VLOOKUP(A46,Output!$A$27:$AE$137,31,FALSE),0),0)</f>
        <v>0</v>
      </c>
      <c r="I46" s="221">
        <f>IFERROR(IF(AND(MIN(A46&gt;15,A46+Age&gt;=70),C46=1),VLOOKUP(A46,Output!$A$27:$AF$137,32,FALSE)*VLOOKUP('SV calc_ignore'!A46,Output!$A$27:$AG$137,33,FALSE)/IF(AnnuityMode=2,2,IF(AnnuityMode=4,4,IF(AnnuityMode=12,12,1))),0),0)</f>
        <v>0</v>
      </c>
      <c r="J46" s="227">
        <f t="shared" si="1"/>
        <v>0</v>
      </c>
      <c r="K46" s="209">
        <f t="shared" si="10"/>
        <v>0</v>
      </c>
      <c r="L46" s="209">
        <f t="shared" si="2"/>
        <v>0</v>
      </c>
      <c r="M46" s="210">
        <f t="shared" si="11"/>
        <v>0</v>
      </c>
      <c r="N46" s="211">
        <f t="shared" si="5"/>
        <v>0</v>
      </c>
      <c r="O46" s="194">
        <f t="shared" si="6"/>
        <v>0</v>
      </c>
      <c r="P46" s="212">
        <f t="shared" si="7"/>
        <v>0</v>
      </c>
      <c r="Q46">
        <f t="shared" si="8"/>
        <v>929261.90844982595</v>
      </c>
      <c r="X46" s="216">
        <f t="shared" si="9"/>
        <v>3</v>
      </c>
      <c r="Y46">
        <f t="shared" si="3"/>
        <v>0</v>
      </c>
    </row>
    <row r="47" spans="1:25" x14ac:dyDescent="0.2">
      <c r="A47" s="204">
        <f>IF(MOD(COUNT($A$10:A46),12)=0,A46+1,A46)</f>
        <v>4</v>
      </c>
      <c r="B47" s="218">
        <f t="shared" si="4"/>
        <v>2</v>
      </c>
      <c r="C47" s="218">
        <f t="shared" si="0"/>
        <v>1</v>
      </c>
      <c r="D47" s="208">
        <f>IF(MOD(COUNT($D$10:D46),6)=0,D46+1,D46)</f>
        <v>7</v>
      </c>
      <c r="E47" s="208">
        <f>IF(MOD(COUNT($E$10:E46),3)=0,E46+1,E46)</f>
        <v>13</v>
      </c>
      <c r="F47" s="208">
        <f>IF(MOD(COUNT($F$10:F46),1)=0,F46+1,F46)</f>
        <v>38</v>
      </c>
      <c r="G47" s="204">
        <f>IFERROR(IF(C47=1,VLOOKUP(A47,Output!$A$27:$AB$137,28,FALSE)/AnnuityMode,0),0)</f>
        <v>0</v>
      </c>
      <c r="H47" s="220">
        <f>IFERROR(IF(AND(MIN(A47&gt;25,Age+A47&gt;=85),B47=12),VLOOKUP(A47,Output!$A$27:$AE$137,31,FALSE),0),0)</f>
        <v>0</v>
      </c>
      <c r="I47" s="221">
        <f>IFERROR(IF(AND(MIN(A47&gt;15,A47+Age&gt;=70),C47=1),VLOOKUP(A47,Output!$A$27:$AF$137,32,FALSE)*VLOOKUP('SV calc_ignore'!A47,Output!$A$27:$AG$137,33,FALSE)/IF(AnnuityMode=2,2,IF(AnnuityMode=4,4,IF(AnnuityMode=12,12,1))),0),0)</f>
        <v>0</v>
      </c>
      <c r="J47" s="227">
        <f t="shared" si="1"/>
        <v>0</v>
      </c>
      <c r="K47" s="209">
        <f t="shared" si="10"/>
        <v>0</v>
      </c>
      <c r="L47" s="209">
        <f t="shared" si="2"/>
        <v>0</v>
      </c>
      <c r="M47" s="210">
        <f t="shared" si="11"/>
        <v>0</v>
      </c>
      <c r="N47" s="211">
        <f t="shared" si="5"/>
        <v>0</v>
      </c>
      <c r="O47" s="194">
        <f t="shared" si="6"/>
        <v>0</v>
      </c>
      <c r="P47" s="212">
        <f t="shared" si="7"/>
        <v>0</v>
      </c>
      <c r="Q47">
        <f t="shared" si="8"/>
        <v>935600.86239355791</v>
      </c>
      <c r="X47" s="216">
        <f t="shared" si="9"/>
        <v>3</v>
      </c>
      <c r="Y47">
        <f t="shared" si="3"/>
        <v>0</v>
      </c>
    </row>
    <row r="48" spans="1:25" x14ac:dyDescent="0.2">
      <c r="A48" s="204">
        <f>IF(MOD(COUNT($A$10:A47),12)=0,A47+1,A47)</f>
        <v>4</v>
      </c>
      <c r="B48" s="218">
        <f t="shared" si="4"/>
        <v>3</v>
      </c>
      <c r="C48" s="218">
        <f t="shared" si="0"/>
        <v>1</v>
      </c>
      <c r="D48" s="208">
        <f>IF(MOD(COUNT($D$10:D47),6)=0,D47+1,D47)</f>
        <v>7</v>
      </c>
      <c r="E48" s="208">
        <f>IF(MOD(COUNT($E$10:E47),3)=0,E47+1,E47)</f>
        <v>13</v>
      </c>
      <c r="F48" s="208">
        <f>IF(MOD(COUNT($F$10:F47),1)=0,F47+1,F47)</f>
        <v>39</v>
      </c>
      <c r="G48" s="204">
        <f>IFERROR(IF(C48=1,VLOOKUP(A48,Output!$A$27:$AB$137,28,FALSE)/AnnuityMode,0),0)</f>
        <v>0</v>
      </c>
      <c r="H48" s="220">
        <f>IFERROR(IF(AND(MIN(A48&gt;25,Age+A48&gt;=85),B48=12),VLOOKUP(A48,Output!$A$27:$AE$137,31,FALSE),0),0)</f>
        <v>0</v>
      </c>
      <c r="I48" s="221">
        <f>IFERROR(IF(AND(MIN(A48&gt;15,A48+Age&gt;=70),C48=1),VLOOKUP(A48,Output!$A$27:$AF$137,32,FALSE)*VLOOKUP('SV calc_ignore'!A48,Output!$A$27:$AG$137,33,FALSE)/IF(AnnuityMode=2,2,IF(AnnuityMode=4,4,IF(AnnuityMode=12,12,1))),0),0)</f>
        <v>0</v>
      </c>
      <c r="J48" s="227">
        <f t="shared" si="1"/>
        <v>0</v>
      </c>
      <c r="K48" s="209">
        <f t="shared" si="10"/>
        <v>0</v>
      </c>
      <c r="L48" s="209">
        <f t="shared" si="2"/>
        <v>0</v>
      </c>
      <c r="M48" s="210">
        <f t="shared" si="11"/>
        <v>0</v>
      </c>
      <c r="N48" s="211">
        <f t="shared" si="5"/>
        <v>0</v>
      </c>
      <c r="O48" s="194">
        <f t="shared" si="6"/>
        <v>0</v>
      </c>
      <c r="P48" s="212">
        <f t="shared" si="7"/>
        <v>0</v>
      </c>
      <c r="Q48">
        <f t="shared" si="8"/>
        <v>941983.05746956414</v>
      </c>
      <c r="X48" s="216">
        <f t="shared" si="9"/>
        <v>3</v>
      </c>
      <c r="Y48">
        <f t="shared" si="3"/>
        <v>0</v>
      </c>
    </row>
    <row r="49" spans="1:25" x14ac:dyDescent="0.2">
      <c r="A49" s="204">
        <f>IF(MOD(COUNT($A$10:A48),12)=0,A48+1,A48)</f>
        <v>4</v>
      </c>
      <c r="B49" s="218">
        <f t="shared" si="4"/>
        <v>4</v>
      </c>
      <c r="C49" s="218">
        <f t="shared" si="0"/>
        <v>1</v>
      </c>
      <c r="D49" s="208">
        <f>IF(MOD(COUNT($D$10:D48),6)=0,D48+1,D48)</f>
        <v>7</v>
      </c>
      <c r="E49" s="208">
        <f>IF(MOD(COUNT($E$10:E48),3)=0,E48+1,E48)</f>
        <v>14</v>
      </c>
      <c r="F49" s="208">
        <f>IF(MOD(COUNT($F$10:F48),1)=0,F48+1,F48)</f>
        <v>40</v>
      </c>
      <c r="G49" s="204">
        <f>IFERROR(IF(C49=1,VLOOKUP(A49,Output!$A$27:$AB$137,28,FALSE)/AnnuityMode,0),0)</f>
        <v>0</v>
      </c>
      <c r="H49" s="220">
        <f>IFERROR(IF(AND(MIN(A49&gt;25,Age+A49&gt;=85),B49=12),VLOOKUP(A49,Output!$A$27:$AE$137,31,FALSE),0),0)</f>
        <v>0</v>
      </c>
      <c r="I49" s="221">
        <f>IFERROR(IF(AND(MIN(A49&gt;15,A49+Age&gt;=70),C49=1),VLOOKUP(A49,Output!$A$27:$AF$137,32,FALSE)*VLOOKUP('SV calc_ignore'!A49,Output!$A$27:$AG$137,33,FALSE)/IF(AnnuityMode=2,2,IF(AnnuityMode=4,4,IF(AnnuityMode=12,12,1))),0),0)</f>
        <v>0</v>
      </c>
      <c r="J49" s="227">
        <f t="shared" si="1"/>
        <v>0</v>
      </c>
      <c r="K49" s="209">
        <f t="shared" si="10"/>
        <v>0</v>
      </c>
      <c r="L49" s="209">
        <f t="shared" si="2"/>
        <v>0</v>
      </c>
      <c r="M49" s="210">
        <f t="shared" si="11"/>
        <v>0</v>
      </c>
      <c r="N49" s="211">
        <f t="shared" si="5"/>
        <v>0</v>
      </c>
      <c r="O49" s="194">
        <f t="shared" si="6"/>
        <v>0</v>
      </c>
      <c r="P49" s="212">
        <f t="shared" si="7"/>
        <v>0</v>
      </c>
      <c r="Q49">
        <f t="shared" si="8"/>
        <v>948408.78864694166</v>
      </c>
      <c r="X49" s="216">
        <f t="shared" si="9"/>
        <v>3</v>
      </c>
      <c r="Y49">
        <f t="shared" si="3"/>
        <v>0</v>
      </c>
    </row>
    <row r="50" spans="1:25" x14ac:dyDescent="0.2">
      <c r="A50" s="204">
        <f>IF(MOD(COUNT($A$10:A49),12)=0,A49+1,A49)</f>
        <v>4</v>
      </c>
      <c r="B50" s="218">
        <f t="shared" si="4"/>
        <v>5</v>
      </c>
      <c r="C50" s="218">
        <f t="shared" si="0"/>
        <v>1</v>
      </c>
      <c r="D50" s="208">
        <f>IF(MOD(COUNT($D$10:D49),6)=0,D49+1,D49)</f>
        <v>7</v>
      </c>
      <c r="E50" s="208">
        <f>IF(MOD(COUNT($E$10:E49),3)=0,E49+1,E49)</f>
        <v>14</v>
      </c>
      <c r="F50" s="208">
        <f>IF(MOD(COUNT($F$10:F49),1)=0,F49+1,F49)</f>
        <v>41</v>
      </c>
      <c r="G50" s="204">
        <f>IFERROR(IF(C50=1,VLOOKUP(A50,Output!$A$27:$AB$137,28,FALSE)/AnnuityMode,0),0)</f>
        <v>0</v>
      </c>
      <c r="H50" s="220">
        <f>IFERROR(IF(AND(MIN(A50&gt;25,Age+A50&gt;=85),B50=12),VLOOKUP(A50,Output!$A$27:$AE$137,31,FALSE),0),0)</f>
        <v>0</v>
      </c>
      <c r="I50" s="221">
        <f>IFERROR(IF(AND(MIN(A50&gt;15,A50+Age&gt;=70),C50=1),VLOOKUP(A50,Output!$A$27:$AF$137,32,FALSE)*VLOOKUP('SV calc_ignore'!A50,Output!$A$27:$AG$137,33,FALSE)/IF(AnnuityMode=2,2,IF(AnnuityMode=4,4,IF(AnnuityMode=12,12,1))),0),0)</f>
        <v>0</v>
      </c>
      <c r="J50" s="227">
        <f t="shared" si="1"/>
        <v>0</v>
      </c>
      <c r="K50" s="209">
        <f t="shared" si="10"/>
        <v>0</v>
      </c>
      <c r="L50" s="209">
        <f t="shared" si="2"/>
        <v>0</v>
      </c>
      <c r="M50" s="210">
        <f t="shared" si="11"/>
        <v>0</v>
      </c>
      <c r="N50" s="211">
        <f t="shared" si="5"/>
        <v>0</v>
      </c>
      <c r="O50" s="194">
        <f t="shared" si="6"/>
        <v>0</v>
      </c>
      <c r="P50" s="212">
        <f t="shared" si="7"/>
        <v>0</v>
      </c>
      <c r="Q50">
        <f t="shared" si="8"/>
        <v>954878.35290691711</v>
      </c>
      <c r="X50" s="216">
        <f t="shared" si="9"/>
        <v>3</v>
      </c>
      <c r="Y50">
        <f t="shared" si="3"/>
        <v>0</v>
      </c>
    </row>
    <row r="51" spans="1:25" x14ac:dyDescent="0.2">
      <c r="A51" s="204">
        <f>IF(MOD(COUNT($A$10:A50),12)=0,A50+1,A50)</f>
        <v>4</v>
      </c>
      <c r="B51" s="218">
        <f t="shared" si="4"/>
        <v>6</v>
      </c>
      <c r="C51" s="218">
        <f t="shared" si="0"/>
        <v>1</v>
      </c>
      <c r="D51" s="208">
        <f>IF(MOD(COUNT($D$10:D50),6)=0,D50+1,D50)</f>
        <v>7</v>
      </c>
      <c r="E51" s="208">
        <f>IF(MOD(COUNT($E$10:E50),3)=0,E50+1,E50)</f>
        <v>14</v>
      </c>
      <c r="F51" s="208">
        <f>IF(MOD(COUNT($F$10:F50),1)=0,F50+1,F50)</f>
        <v>42</v>
      </c>
      <c r="G51" s="204">
        <f>IFERROR(IF(C51=1,VLOOKUP(A51,Output!$A$27:$AB$137,28,FALSE)/AnnuityMode,0),0)</f>
        <v>0</v>
      </c>
      <c r="H51" s="220">
        <f>IFERROR(IF(AND(MIN(A51&gt;25,Age+A51&gt;=85),B51=12),VLOOKUP(A51,Output!$A$27:$AE$137,31,FALSE),0),0)</f>
        <v>0</v>
      </c>
      <c r="I51" s="221">
        <f>IFERROR(IF(AND(MIN(A51&gt;15,A51+Age&gt;=70),C51=1),VLOOKUP(A51,Output!$A$27:$AF$137,32,FALSE)*VLOOKUP('SV calc_ignore'!A51,Output!$A$27:$AG$137,33,FALSE)/IF(AnnuityMode=2,2,IF(AnnuityMode=4,4,IF(AnnuityMode=12,12,1))),0),0)</f>
        <v>0</v>
      </c>
      <c r="J51" s="227">
        <f t="shared" si="1"/>
        <v>0</v>
      </c>
      <c r="K51" s="209">
        <f t="shared" si="10"/>
        <v>0</v>
      </c>
      <c r="L51" s="209">
        <f t="shared" si="2"/>
        <v>0</v>
      </c>
      <c r="M51" s="210">
        <f t="shared" si="11"/>
        <v>0</v>
      </c>
      <c r="N51" s="211">
        <f t="shared" si="5"/>
        <v>0</v>
      </c>
      <c r="O51" s="194">
        <f t="shared" si="6"/>
        <v>0</v>
      </c>
      <c r="P51" s="212">
        <f t="shared" si="7"/>
        <v>0</v>
      </c>
      <c r="Q51">
        <f t="shared" si="8"/>
        <v>961392.04925657262</v>
      </c>
      <c r="X51" s="216">
        <f t="shared" si="9"/>
        <v>3</v>
      </c>
      <c r="Y51">
        <f t="shared" si="3"/>
        <v>0</v>
      </c>
    </row>
    <row r="52" spans="1:25" x14ac:dyDescent="0.2">
      <c r="A52" s="204">
        <f>IF(MOD(COUNT($A$10:A51),12)=0,A51+1,A51)</f>
        <v>4</v>
      </c>
      <c r="B52" s="218">
        <f t="shared" si="4"/>
        <v>7</v>
      </c>
      <c r="C52" s="218">
        <f t="shared" si="0"/>
        <v>1</v>
      </c>
      <c r="D52" s="208">
        <f>IF(MOD(COUNT($D$10:D51),6)=0,D51+1,D51)</f>
        <v>8</v>
      </c>
      <c r="E52" s="208">
        <f>IF(MOD(COUNT($E$10:E51),3)=0,E51+1,E51)</f>
        <v>15</v>
      </c>
      <c r="F52" s="208">
        <f>IF(MOD(COUNT($F$10:F51),1)=0,F51+1,F51)</f>
        <v>43</v>
      </c>
      <c r="G52" s="204">
        <f>IFERROR(IF(C52=1,VLOOKUP(A52,Output!$A$27:$AB$137,28,FALSE)/AnnuityMode,0),0)</f>
        <v>0</v>
      </c>
      <c r="H52" s="220">
        <f>IFERROR(IF(AND(MIN(A52&gt;25,Age+A52&gt;=85),B52=12),VLOOKUP(A52,Output!$A$27:$AE$137,31,FALSE),0),0)</f>
        <v>0</v>
      </c>
      <c r="I52" s="221">
        <f>IFERROR(IF(AND(MIN(A52&gt;15,A52+Age&gt;=70),C52=1),VLOOKUP(A52,Output!$A$27:$AF$137,32,FALSE)*VLOOKUP('SV calc_ignore'!A52,Output!$A$27:$AG$137,33,FALSE)/IF(AnnuityMode=2,2,IF(AnnuityMode=4,4,IF(AnnuityMode=12,12,1))),0),0)</f>
        <v>0</v>
      </c>
      <c r="J52" s="227">
        <f t="shared" si="1"/>
        <v>0</v>
      </c>
      <c r="K52" s="209">
        <f t="shared" si="10"/>
        <v>0</v>
      </c>
      <c r="L52" s="209">
        <f t="shared" si="2"/>
        <v>0</v>
      </c>
      <c r="M52" s="210">
        <f t="shared" si="11"/>
        <v>0</v>
      </c>
      <c r="N52" s="211">
        <f t="shared" si="5"/>
        <v>0</v>
      </c>
      <c r="O52" s="194">
        <f t="shared" si="6"/>
        <v>0</v>
      </c>
      <c r="P52" s="212">
        <f t="shared" si="7"/>
        <v>0</v>
      </c>
      <c r="Q52">
        <f t="shared" si="8"/>
        <v>967950.17874266522</v>
      </c>
      <c r="X52" s="216">
        <f t="shared" si="9"/>
        <v>3</v>
      </c>
      <c r="Y52">
        <f t="shared" si="3"/>
        <v>0</v>
      </c>
    </row>
    <row r="53" spans="1:25" x14ac:dyDescent="0.2">
      <c r="A53" s="204">
        <f>IF(MOD(COUNT($A$10:A52),12)=0,A52+1,A52)</f>
        <v>4</v>
      </c>
      <c r="B53" s="218">
        <f t="shared" si="4"/>
        <v>8</v>
      </c>
      <c r="C53" s="218">
        <f t="shared" si="0"/>
        <v>1</v>
      </c>
      <c r="D53" s="208">
        <f>IF(MOD(COUNT($D$10:D52),6)=0,D52+1,D52)</f>
        <v>8</v>
      </c>
      <c r="E53" s="208">
        <f>IF(MOD(COUNT($E$10:E52),3)=0,E52+1,E52)</f>
        <v>15</v>
      </c>
      <c r="F53" s="208">
        <f>IF(MOD(COUNT($F$10:F52),1)=0,F52+1,F52)</f>
        <v>44</v>
      </c>
      <c r="G53" s="204">
        <f>IFERROR(IF(C53=1,VLOOKUP(A53,Output!$A$27:$AB$137,28,FALSE)/AnnuityMode,0),0)</f>
        <v>0</v>
      </c>
      <c r="H53" s="220">
        <f>IFERROR(IF(AND(MIN(A53&gt;25,Age+A53&gt;=85),B53=12),VLOOKUP(A53,Output!$A$27:$AE$137,31,FALSE),0),0)</f>
        <v>0</v>
      </c>
      <c r="I53" s="221">
        <f>IFERROR(IF(AND(MIN(A53&gt;15,A53+Age&gt;=70),C53=1),VLOOKUP(A53,Output!$A$27:$AF$137,32,FALSE)*VLOOKUP('SV calc_ignore'!A53,Output!$A$27:$AG$137,33,FALSE)/IF(AnnuityMode=2,2,IF(AnnuityMode=4,4,IF(AnnuityMode=12,12,1))),0),0)</f>
        <v>0</v>
      </c>
      <c r="J53" s="227">
        <f t="shared" si="1"/>
        <v>0</v>
      </c>
      <c r="K53" s="209">
        <f t="shared" si="10"/>
        <v>0</v>
      </c>
      <c r="L53" s="209">
        <f t="shared" si="2"/>
        <v>0</v>
      </c>
      <c r="M53" s="210">
        <f t="shared" si="11"/>
        <v>0</v>
      </c>
      <c r="N53" s="211">
        <f t="shared" si="5"/>
        <v>0</v>
      </c>
      <c r="O53" s="194">
        <f t="shared" si="6"/>
        <v>0</v>
      </c>
      <c r="P53" s="212">
        <f t="shared" si="7"/>
        <v>0</v>
      </c>
      <c r="Q53">
        <f t="shared" si="8"/>
        <v>974553.04446554033</v>
      </c>
      <c r="X53" s="216">
        <f t="shared" si="9"/>
        <v>3</v>
      </c>
      <c r="Y53">
        <f t="shared" si="3"/>
        <v>0</v>
      </c>
    </row>
    <row r="54" spans="1:25" x14ac:dyDescent="0.2">
      <c r="A54" s="204">
        <f>IF(MOD(COUNT($A$10:A53),12)=0,A53+1,A53)</f>
        <v>4</v>
      </c>
      <c r="B54" s="218">
        <f t="shared" si="4"/>
        <v>9</v>
      </c>
      <c r="C54" s="218">
        <f t="shared" si="0"/>
        <v>1</v>
      </c>
      <c r="D54" s="208">
        <f>IF(MOD(COUNT($D$10:D53),6)=0,D53+1,D53)</f>
        <v>8</v>
      </c>
      <c r="E54" s="208">
        <f>IF(MOD(COUNT($E$10:E53),3)=0,E53+1,E53)</f>
        <v>15</v>
      </c>
      <c r="F54" s="208">
        <f>IF(MOD(COUNT($F$10:F53),1)=0,F53+1,F53)</f>
        <v>45</v>
      </c>
      <c r="G54" s="204">
        <f>IFERROR(IF(C54=1,VLOOKUP(A54,Output!$A$27:$AB$137,28,FALSE)/AnnuityMode,0),0)</f>
        <v>0</v>
      </c>
      <c r="H54" s="220">
        <f>IFERROR(IF(AND(MIN(A54&gt;25,Age+A54&gt;=85),B54=12),VLOOKUP(A54,Output!$A$27:$AE$137,31,FALSE),0),0)</f>
        <v>0</v>
      </c>
      <c r="I54" s="221">
        <f>IFERROR(IF(AND(MIN(A54&gt;15,A54+Age&gt;=70),C54=1),VLOOKUP(A54,Output!$A$27:$AF$137,32,FALSE)*VLOOKUP('SV calc_ignore'!A54,Output!$A$27:$AG$137,33,FALSE)/IF(AnnuityMode=2,2,IF(AnnuityMode=4,4,IF(AnnuityMode=12,12,1))),0),0)</f>
        <v>0</v>
      </c>
      <c r="J54" s="227">
        <f t="shared" si="1"/>
        <v>0</v>
      </c>
      <c r="K54" s="209">
        <f t="shared" si="10"/>
        <v>0</v>
      </c>
      <c r="L54" s="209">
        <f t="shared" si="2"/>
        <v>0</v>
      </c>
      <c r="M54" s="210">
        <f t="shared" si="11"/>
        <v>0</v>
      </c>
      <c r="N54" s="211">
        <f t="shared" si="5"/>
        <v>0</v>
      </c>
      <c r="O54" s="194">
        <f t="shared" si="6"/>
        <v>0</v>
      </c>
      <c r="P54" s="212">
        <f t="shared" si="7"/>
        <v>0</v>
      </c>
      <c r="Q54">
        <f t="shared" si="8"/>
        <v>981200.95159314037</v>
      </c>
      <c r="X54" s="216">
        <f t="shared" si="9"/>
        <v>3</v>
      </c>
      <c r="Y54">
        <f t="shared" si="3"/>
        <v>0</v>
      </c>
    </row>
    <row r="55" spans="1:25" x14ac:dyDescent="0.2">
      <c r="A55" s="204">
        <f>IF(MOD(COUNT($A$10:A54),12)=0,A54+1,A54)</f>
        <v>4</v>
      </c>
      <c r="B55" s="218">
        <f t="shared" si="4"/>
        <v>10</v>
      </c>
      <c r="C55" s="218">
        <f t="shared" si="0"/>
        <v>1</v>
      </c>
      <c r="D55" s="208">
        <f>IF(MOD(COUNT($D$10:D54),6)=0,D54+1,D54)</f>
        <v>8</v>
      </c>
      <c r="E55" s="208">
        <f>IF(MOD(COUNT($E$10:E54),3)=0,E54+1,E54)</f>
        <v>16</v>
      </c>
      <c r="F55" s="208">
        <f>IF(MOD(COUNT($F$10:F54),1)=0,F54+1,F54)</f>
        <v>46</v>
      </c>
      <c r="G55" s="204">
        <f>IFERROR(IF(C55=1,VLOOKUP(A55,Output!$A$27:$AB$137,28,FALSE)/AnnuityMode,0),0)</f>
        <v>0</v>
      </c>
      <c r="H55" s="220">
        <f>IFERROR(IF(AND(MIN(A55&gt;25,Age+A55&gt;=85),B55=12),VLOOKUP(A55,Output!$A$27:$AE$137,31,FALSE),0),0)</f>
        <v>0</v>
      </c>
      <c r="I55" s="221">
        <f>IFERROR(IF(AND(MIN(A55&gt;15,A55+Age&gt;=70),C55=1),VLOOKUP(A55,Output!$A$27:$AF$137,32,FALSE)*VLOOKUP('SV calc_ignore'!A55,Output!$A$27:$AG$137,33,FALSE)/IF(AnnuityMode=2,2,IF(AnnuityMode=4,4,IF(AnnuityMode=12,12,1))),0),0)</f>
        <v>0</v>
      </c>
      <c r="J55" s="227">
        <f t="shared" si="1"/>
        <v>0</v>
      </c>
      <c r="K55" s="209">
        <f t="shared" si="10"/>
        <v>0</v>
      </c>
      <c r="L55" s="209">
        <f t="shared" si="2"/>
        <v>0</v>
      </c>
      <c r="M55" s="210">
        <f t="shared" si="11"/>
        <v>0</v>
      </c>
      <c r="N55" s="211">
        <f t="shared" si="5"/>
        <v>0</v>
      </c>
      <c r="O55" s="194">
        <f t="shared" si="6"/>
        <v>0</v>
      </c>
      <c r="P55" s="212">
        <f t="shared" si="7"/>
        <v>0</v>
      </c>
      <c r="Q55">
        <f t="shared" si="8"/>
        <v>987894.20737510885</v>
      </c>
      <c r="X55" s="216">
        <f t="shared" si="9"/>
        <v>3</v>
      </c>
      <c r="Y55">
        <f t="shared" si="3"/>
        <v>0</v>
      </c>
    </row>
    <row r="56" spans="1:25" x14ac:dyDescent="0.2">
      <c r="A56" s="204">
        <f>IF(MOD(COUNT($A$10:A55),12)=0,A55+1,A55)</f>
        <v>4</v>
      </c>
      <c r="B56" s="218">
        <f t="shared" si="4"/>
        <v>11</v>
      </c>
      <c r="C56" s="218">
        <f t="shared" si="0"/>
        <v>1</v>
      </c>
      <c r="D56" s="208">
        <f>IF(MOD(COUNT($D$10:D55),6)=0,D55+1,D55)</f>
        <v>8</v>
      </c>
      <c r="E56" s="208">
        <f>IF(MOD(COUNT($E$10:E55),3)=0,E55+1,E55)</f>
        <v>16</v>
      </c>
      <c r="F56" s="208">
        <f>IF(MOD(COUNT($F$10:F55),1)=0,F55+1,F55)</f>
        <v>47</v>
      </c>
      <c r="G56" s="204">
        <f>IFERROR(IF(C56=1,VLOOKUP(A56,Output!$A$27:$AB$137,28,FALSE)/AnnuityMode,0),0)</f>
        <v>0</v>
      </c>
      <c r="H56" s="220">
        <f>IFERROR(IF(AND(MIN(A56&gt;25,Age+A56&gt;=85),B56=12),VLOOKUP(A56,Output!$A$27:$AE$137,31,FALSE),0),0)</f>
        <v>0</v>
      </c>
      <c r="I56" s="221">
        <f>IFERROR(IF(AND(MIN(A56&gt;15,A56+Age&gt;=70),C56=1),VLOOKUP(A56,Output!$A$27:$AF$137,32,FALSE)*VLOOKUP('SV calc_ignore'!A56,Output!$A$27:$AG$137,33,FALSE)/IF(AnnuityMode=2,2,IF(AnnuityMode=4,4,IF(AnnuityMode=12,12,1))),0),0)</f>
        <v>0</v>
      </c>
      <c r="J56" s="227">
        <f t="shared" si="1"/>
        <v>0</v>
      </c>
      <c r="K56" s="209">
        <f t="shared" si="10"/>
        <v>0</v>
      </c>
      <c r="L56" s="209">
        <f t="shared" si="2"/>
        <v>0</v>
      </c>
      <c r="M56" s="210">
        <f t="shared" si="11"/>
        <v>0</v>
      </c>
      <c r="N56" s="211">
        <f t="shared" si="5"/>
        <v>0</v>
      </c>
      <c r="O56" s="194">
        <f t="shared" si="6"/>
        <v>0</v>
      </c>
      <c r="P56" s="212">
        <f t="shared" si="7"/>
        <v>0</v>
      </c>
      <c r="Q56">
        <f t="shared" si="8"/>
        <v>994633.12115699064</v>
      </c>
      <c r="X56" s="216">
        <f t="shared" si="9"/>
        <v>3</v>
      </c>
      <c r="Y56">
        <f t="shared" si="3"/>
        <v>0</v>
      </c>
    </row>
    <row r="57" spans="1:25" x14ac:dyDescent="0.2">
      <c r="A57" s="204">
        <f>IF(MOD(COUNT($A$10:A56),12)=0,A56+1,A56)</f>
        <v>4</v>
      </c>
      <c r="B57" s="218">
        <f t="shared" si="4"/>
        <v>12</v>
      </c>
      <c r="C57" s="218">
        <f t="shared" si="0"/>
        <v>1</v>
      </c>
      <c r="D57" s="208">
        <f>IF(MOD(COUNT($D$10:D56),6)=0,D56+1,D56)</f>
        <v>8</v>
      </c>
      <c r="E57" s="208">
        <f>IF(MOD(COUNT($E$10:E56),3)=0,E56+1,E56)</f>
        <v>16</v>
      </c>
      <c r="F57" s="208">
        <f>IF(MOD(COUNT($F$10:F56),1)=0,F56+1,F56)</f>
        <v>48</v>
      </c>
      <c r="G57" s="204">
        <f>IFERROR(IF(C57=1,VLOOKUP(A57,Output!$A$27:$AB$137,28,FALSE)/AnnuityMode,0),0)</f>
        <v>0</v>
      </c>
      <c r="H57" s="220">
        <f>IFERROR(IF(AND(MIN(A57&gt;25,Age+A57&gt;=85),B57=12),VLOOKUP(A57,Output!$A$27:$AE$137,31,FALSE),0),0)</f>
        <v>0</v>
      </c>
      <c r="I57" s="221">
        <f>IFERROR(IF(AND(MIN(A57&gt;15,A57+Age&gt;=70),C57=1),VLOOKUP(A57,Output!$A$27:$AF$137,32,FALSE)*VLOOKUP('SV calc_ignore'!A57,Output!$A$27:$AG$137,33,FALSE)/IF(AnnuityMode=2,2,IF(AnnuityMode=4,4,IF(AnnuityMode=12,12,1))),0),0)</f>
        <v>0</v>
      </c>
      <c r="J57" s="227">
        <f t="shared" si="1"/>
        <v>0</v>
      </c>
      <c r="K57" s="209">
        <f t="shared" si="10"/>
        <v>0</v>
      </c>
      <c r="L57" s="209">
        <f t="shared" si="2"/>
        <v>0</v>
      </c>
      <c r="M57" s="210">
        <f t="shared" si="11"/>
        <v>0</v>
      </c>
      <c r="N57" s="211">
        <f t="shared" si="5"/>
        <v>0</v>
      </c>
      <c r="O57" s="194">
        <f t="shared" si="6"/>
        <v>0</v>
      </c>
      <c r="P57" s="212">
        <f t="shared" si="7"/>
        <v>0</v>
      </c>
      <c r="Q57">
        <f t="shared" si="8"/>
        <v>1001418.0043945294</v>
      </c>
      <c r="X57" s="216">
        <f t="shared" si="9"/>
        <v>3</v>
      </c>
      <c r="Y57">
        <f t="shared" si="3"/>
        <v>0</v>
      </c>
    </row>
    <row r="58" spans="1:25" x14ac:dyDescent="0.2">
      <c r="A58" s="204">
        <f>IF(MOD(COUNT($A$10:A57),12)=0,A57+1,A57)</f>
        <v>5</v>
      </c>
      <c r="B58" s="218">
        <f t="shared" si="4"/>
        <v>1</v>
      </c>
      <c r="C58" s="218">
        <f t="shared" si="0"/>
        <v>1</v>
      </c>
      <c r="D58" s="208">
        <f>IF(MOD(COUNT($D$10:D57),6)=0,D57+1,D57)</f>
        <v>9</v>
      </c>
      <c r="E58" s="208">
        <f>IF(MOD(COUNT($E$10:E57),3)=0,E57+1,E57)</f>
        <v>17</v>
      </c>
      <c r="F58" s="208">
        <f>IF(MOD(COUNT($F$10:F57),1)=0,F57+1,F57)</f>
        <v>49</v>
      </c>
      <c r="G58" s="204">
        <f>IFERROR(IF(C58=1,VLOOKUP(A58,Output!$A$27:$AB$137,28,FALSE)/AnnuityMode,0),0)</f>
        <v>0</v>
      </c>
      <c r="H58" s="220">
        <f>IFERROR(IF(AND(MIN(A58&gt;25,Age+A58&gt;=85),B58=12),VLOOKUP(A58,Output!$A$27:$AE$137,31,FALSE),0),0)</f>
        <v>0</v>
      </c>
      <c r="I58" s="221">
        <f>IFERROR(IF(AND(MIN(A58&gt;15,A58+Age&gt;=70),C58=1),VLOOKUP(A58,Output!$A$27:$AF$137,32,FALSE)*VLOOKUP('SV calc_ignore'!A58,Output!$A$27:$AG$137,33,FALSE)/IF(AnnuityMode=2,2,IF(AnnuityMode=4,4,IF(AnnuityMode=12,12,1))),0),0)</f>
        <v>0</v>
      </c>
      <c r="J58" s="227">
        <f t="shared" si="1"/>
        <v>0</v>
      </c>
      <c r="K58" s="209">
        <f t="shared" si="10"/>
        <v>0</v>
      </c>
      <c r="L58" s="209">
        <f t="shared" si="2"/>
        <v>0</v>
      </c>
      <c r="M58" s="210">
        <f t="shared" si="11"/>
        <v>0</v>
      </c>
      <c r="N58" s="211">
        <f t="shared" si="5"/>
        <v>0</v>
      </c>
      <c r="O58" s="194">
        <f t="shared" si="6"/>
        <v>0</v>
      </c>
      <c r="P58" s="212">
        <f t="shared" si="7"/>
        <v>0</v>
      </c>
      <c r="Q58">
        <f t="shared" si="8"/>
        <v>1008249.1706680618</v>
      </c>
      <c r="X58" s="216">
        <f t="shared" si="9"/>
        <v>4</v>
      </c>
      <c r="Y58">
        <f t="shared" si="3"/>
        <v>0</v>
      </c>
    </row>
    <row r="59" spans="1:25" x14ac:dyDescent="0.2">
      <c r="A59" s="204">
        <f>IF(MOD(COUNT($A$10:A58),12)=0,A58+1,A58)</f>
        <v>5</v>
      </c>
      <c r="B59" s="218">
        <f t="shared" si="4"/>
        <v>2</v>
      </c>
      <c r="C59" s="218">
        <f t="shared" si="0"/>
        <v>1</v>
      </c>
      <c r="D59" s="208">
        <f>IF(MOD(COUNT($D$10:D58),6)=0,D58+1,D58)</f>
        <v>9</v>
      </c>
      <c r="E59" s="208">
        <f>IF(MOD(COUNT($E$10:E58),3)=0,E58+1,E58)</f>
        <v>17</v>
      </c>
      <c r="F59" s="208">
        <f>IF(MOD(COUNT($F$10:F58),1)=0,F58+1,F58)</f>
        <v>50</v>
      </c>
      <c r="G59" s="204">
        <f>IFERROR(IF(C59=1,VLOOKUP(A59,Output!$A$27:$AB$137,28,FALSE)/AnnuityMode,0),0)</f>
        <v>0</v>
      </c>
      <c r="H59" s="220">
        <f>IFERROR(IF(AND(MIN(A59&gt;25,Age+A59&gt;=85),B59=12),VLOOKUP(A59,Output!$A$27:$AE$137,31,FALSE),0),0)</f>
        <v>0</v>
      </c>
      <c r="I59" s="221">
        <f>IFERROR(IF(AND(MIN(A59&gt;15,A59+Age&gt;=70),C59=1),VLOOKUP(A59,Output!$A$27:$AF$137,32,FALSE)*VLOOKUP('SV calc_ignore'!A59,Output!$A$27:$AG$137,33,FALSE)/IF(AnnuityMode=2,2,IF(AnnuityMode=4,4,IF(AnnuityMode=12,12,1))),0),0)</f>
        <v>0</v>
      </c>
      <c r="J59" s="227">
        <f t="shared" si="1"/>
        <v>0</v>
      </c>
      <c r="K59" s="209">
        <f t="shared" si="10"/>
        <v>0</v>
      </c>
      <c r="L59" s="209">
        <f t="shared" si="2"/>
        <v>0</v>
      </c>
      <c r="M59" s="210">
        <f t="shared" si="11"/>
        <v>0</v>
      </c>
      <c r="N59" s="211">
        <f t="shared" si="5"/>
        <v>0</v>
      </c>
      <c r="O59" s="194">
        <f t="shared" si="6"/>
        <v>0</v>
      </c>
      <c r="P59" s="212">
        <f t="shared" si="7"/>
        <v>0</v>
      </c>
      <c r="Q59">
        <f t="shared" si="8"/>
        <v>1015126.935697011</v>
      </c>
      <c r="X59" s="216">
        <f t="shared" si="9"/>
        <v>4</v>
      </c>
      <c r="Y59">
        <f t="shared" si="3"/>
        <v>0</v>
      </c>
    </row>
    <row r="60" spans="1:25" x14ac:dyDescent="0.2">
      <c r="A60" s="204">
        <f>IF(MOD(COUNT($A$10:A59),12)=0,A59+1,A59)</f>
        <v>5</v>
      </c>
      <c r="B60" s="218">
        <f t="shared" si="4"/>
        <v>3</v>
      </c>
      <c r="C60" s="218">
        <f t="shared" si="0"/>
        <v>1</v>
      </c>
      <c r="D60" s="208">
        <f>IF(MOD(COUNT($D$10:D59),6)=0,D59+1,D59)</f>
        <v>9</v>
      </c>
      <c r="E60" s="208">
        <f>IF(MOD(COUNT($E$10:E59),3)=0,E59+1,E59)</f>
        <v>17</v>
      </c>
      <c r="F60" s="208">
        <f>IF(MOD(COUNT($F$10:F59),1)=0,F59+1,F59)</f>
        <v>51</v>
      </c>
      <c r="G60" s="204">
        <f>IFERROR(IF(C60=1,VLOOKUP(A60,Output!$A$27:$AB$137,28,FALSE)/AnnuityMode,0),0)</f>
        <v>0</v>
      </c>
      <c r="H60" s="220">
        <f>IFERROR(IF(AND(MIN(A60&gt;25,Age+A60&gt;=85),B60=12),VLOOKUP(A60,Output!$A$27:$AE$137,31,FALSE),0),0)</f>
        <v>0</v>
      </c>
      <c r="I60" s="221">
        <f>IFERROR(IF(AND(MIN(A60&gt;15,A60+Age&gt;=70),C60=1),VLOOKUP(A60,Output!$A$27:$AF$137,32,FALSE)*VLOOKUP('SV calc_ignore'!A60,Output!$A$27:$AG$137,33,FALSE)/IF(AnnuityMode=2,2,IF(AnnuityMode=4,4,IF(AnnuityMode=12,12,1))),0),0)</f>
        <v>0</v>
      </c>
      <c r="J60" s="227">
        <f t="shared" si="1"/>
        <v>0</v>
      </c>
      <c r="K60" s="209">
        <f t="shared" si="10"/>
        <v>0</v>
      </c>
      <c r="L60" s="209">
        <f t="shared" si="2"/>
        <v>0</v>
      </c>
      <c r="M60" s="210">
        <f t="shared" si="11"/>
        <v>0</v>
      </c>
      <c r="N60" s="211">
        <f t="shared" si="5"/>
        <v>0</v>
      </c>
      <c r="O60" s="194">
        <f t="shared" si="6"/>
        <v>0</v>
      </c>
      <c r="P60" s="212">
        <f t="shared" si="7"/>
        <v>0</v>
      </c>
      <c r="Q60">
        <f t="shared" si="8"/>
        <v>1022051.6173544778</v>
      </c>
      <c r="X60" s="216">
        <f t="shared" si="9"/>
        <v>4</v>
      </c>
      <c r="Y60">
        <f t="shared" si="3"/>
        <v>0</v>
      </c>
    </row>
    <row r="61" spans="1:25" x14ac:dyDescent="0.2">
      <c r="A61" s="204">
        <f>IF(MOD(COUNT($A$10:A60),12)=0,A60+1,A60)</f>
        <v>5</v>
      </c>
      <c r="B61" s="218">
        <f t="shared" si="4"/>
        <v>4</v>
      </c>
      <c r="C61" s="218">
        <f t="shared" si="0"/>
        <v>1</v>
      </c>
      <c r="D61" s="208">
        <f>IF(MOD(COUNT($D$10:D60),6)=0,D60+1,D60)</f>
        <v>9</v>
      </c>
      <c r="E61" s="208">
        <f>IF(MOD(COUNT($E$10:E60),3)=0,E60+1,E60)</f>
        <v>18</v>
      </c>
      <c r="F61" s="208">
        <f>IF(MOD(COUNT($F$10:F60),1)=0,F60+1,F60)</f>
        <v>52</v>
      </c>
      <c r="G61" s="204">
        <f>IFERROR(IF(C61=1,VLOOKUP(A61,Output!$A$27:$AB$137,28,FALSE)/AnnuityMode,0),0)</f>
        <v>0</v>
      </c>
      <c r="H61" s="220">
        <f>IFERROR(IF(AND(MIN(A61&gt;25,Age+A61&gt;=85),B61=12),VLOOKUP(A61,Output!$A$27:$AE$137,31,FALSE),0),0)</f>
        <v>0</v>
      </c>
      <c r="I61" s="221">
        <f>IFERROR(IF(AND(MIN(A61&gt;15,A61+Age&gt;=70),C61=1),VLOOKUP(A61,Output!$A$27:$AF$137,32,FALSE)*VLOOKUP('SV calc_ignore'!A61,Output!$A$27:$AG$137,33,FALSE)/IF(AnnuityMode=2,2,IF(AnnuityMode=4,4,IF(AnnuityMode=12,12,1))),0),0)</f>
        <v>0</v>
      </c>
      <c r="J61" s="227">
        <f t="shared" si="1"/>
        <v>0</v>
      </c>
      <c r="K61" s="209">
        <f t="shared" si="10"/>
        <v>0</v>
      </c>
      <c r="L61" s="209">
        <f t="shared" si="2"/>
        <v>0</v>
      </c>
      <c r="M61" s="210">
        <f t="shared" si="11"/>
        <v>0</v>
      </c>
      <c r="N61" s="211">
        <f t="shared" si="5"/>
        <v>0</v>
      </c>
      <c r="O61" s="194">
        <f t="shared" si="6"/>
        <v>0</v>
      </c>
      <c r="P61" s="212">
        <f t="shared" si="7"/>
        <v>0</v>
      </c>
      <c r="Q61">
        <f t="shared" si="8"/>
        <v>1029023.5356819323</v>
      </c>
      <c r="X61" s="216">
        <f t="shared" si="9"/>
        <v>4</v>
      </c>
      <c r="Y61">
        <f t="shared" si="3"/>
        <v>0</v>
      </c>
    </row>
    <row r="62" spans="1:25" x14ac:dyDescent="0.2">
      <c r="A62" s="204">
        <f>IF(MOD(COUNT($A$10:A61),12)=0,A61+1,A61)</f>
        <v>5</v>
      </c>
      <c r="B62" s="218">
        <f t="shared" si="4"/>
        <v>5</v>
      </c>
      <c r="C62" s="218">
        <f t="shared" si="0"/>
        <v>1</v>
      </c>
      <c r="D62" s="208">
        <f>IF(MOD(COUNT($D$10:D61),6)=0,D61+1,D61)</f>
        <v>9</v>
      </c>
      <c r="E62" s="208">
        <f>IF(MOD(COUNT($E$10:E61),3)=0,E61+1,E61)</f>
        <v>18</v>
      </c>
      <c r="F62" s="208">
        <f>IF(MOD(COUNT($F$10:F61),1)=0,F61+1,F61)</f>
        <v>53</v>
      </c>
      <c r="G62" s="204">
        <f>IFERROR(IF(C62=1,VLOOKUP(A62,Output!$A$27:$AB$137,28,FALSE)/AnnuityMode,0),0)</f>
        <v>0</v>
      </c>
      <c r="H62" s="220">
        <f>IFERROR(IF(AND(MIN(A62&gt;25,Age+A62&gt;=85),B62=12),VLOOKUP(A62,Output!$A$27:$AE$137,31,FALSE),0),0)</f>
        <v>0</v>
      </c>
      <c r="I62" s="221">
        <f>IFERROR(IF(AND(MIN(A62&gt;15,A62+Age&gt;=70),C62=1),VLOOKUP(A62,Output!$A$27:$AF$137,32,FALSE)*VLOOKUP('SV calc_ignore'!A62,Output!$A$27:$AG$137,33,FALSE)/IF(AnnuityMode=2,2,IF(AnnuityMode=4,4,IF(AnnuityMode=12,12,1))),0),0)</f>
        <v>0</v>
      </c>
      <c r="J62" s="227">
        <f t="shared" si="1"/>
        <v>0</v>
      </c>
      <c r="K62" s="209">
        <f t="shared" si="10"/>
        <v>0</v>
      </c>
      <c r="L62" s="209">
        <f t="shared" si="2"/>
        <v>0</v>
      </c>
      <c r="M62" s="210">
        <f t="shared" si="11"/>
        <v>0</v>
      </c>
      <c r="N62" s="211">
        <f t="shared" si="5"/>
        <v>0</v>
      </c>
      <c r="O62" s="194">
        <f t="shared" si="6"/>
        <v>0</v>
      </c>
      <c r="P62" s="212">
        <f t="shared" si="7"/>
        <v>0</v>
      </c>
      <c r="Q62">
        <f t="shared" si="8"/>
        <v>1036043.0129040057</v>
      </c>
      <c r="X62" s="216">
        <f t="shared" si="9"/>
        <v>4</v>
      </c>
      <c r="Y62">
        <f t="shared" si="3"/>
        <v>0</v>
      </c>
    </row>
    <row r="63" spans="1:25" x14ac:dyDescent="0.2">
      <c r="A63" s="204">
        <f>IF(MOD(COUNT($A$10:A62),12)=0,A62+1,A62)</f>
        <v>5</v>
      </c>
      <c r="B63" s="218">
        <f t="shared" si="4"/>
        <v>6</v>
      </c>
      <c r="C63" s="218">
        <f t="shared" si="0"/>
        <v>1</v>
      </c>
      <c r="D63" s="208">
        <f>IF(MOD(COUNT($D$10:D62),6)=0,D62+1,D62)</f>
        <v>9</v>
      </c>
      <c r="E63" s="208">
        <f>IF(MOD(COUNT($E$10:E62),3)=0,E62+1,E62)</f>
        <v>18</v>
      </c>
      <c r="F63" s="208">
        <f>IF(MOD(COUNT($F$10:F62),1)=0,F62+1,F62)</f>
        <v>54</v>
      </c>
      <c r="G63" s="204">
        <f>IFERROR(IF(C63=1,VLOOKUP(A63,Output!$A$27:$AB$137,28,FALSE)/AnnuityMode,0),0)</f>
        <v>0</v>
      </c>
      <c r="H63" s="220">
        <f>IFERROR(IF(AND(MIN(A63&gt;25,Age+A63&gt;=85),B63=12),VLOOKUP(A63,Output!$A$27:$AE$137,31,FALSE),0),0)</f>
        <v>0</v>
      </c>
      <c r="I63" s="221">
        <f>IFERROR(IF(AND(MIN(A63&gt;15,A63+Age&gt;=70),C63=1),VLOOKUP(A63,Output!$A$27:$AF$137,32,FALSE)*VLOOKUP('SV calc_ignore'!A63,Output!$A$27:$AG$137,33,FALSE)/IF(AnnuityMode=2,2,IF(AnnuityMode=4,4,IF(AnnuityMode=12,12,1))),0),0)</f>
        <v>0</v>
      </c>
      <c r="J63" s="227">
        <f t="shared" si="1"/>
        <v>0</v>
      </c>
      <c r="K63" s="209">
        <f t="shared" si="10"/>
        <v>0</v>
      </c>
      <c r="L63" s="209">
        <f t="shared" si="2"/>
        <v>0</v>
      </c>
      <c r="M63" s="210">
        <f t="shared" si="11"/>
        <v>0</v>
      </c>
      <c r="N63" s="211">
        <f t="shared" si="5"/>
        <v>0</v>
      </c>
      <c r="O63" s="194">
        <f t="shared" si="6"/>
        <v>0</v>
      </c>
      <c r="P63" s="212">
        <f t="shared" si="7"/>
        <v>0</v>
      </c>
      <c r="Q63">
        <f t="shared" si="8"/>
        <v>1043110.373443382</v>
      </c>
      <c r="X63" s="216">
        <f t="shared" si="9"/>
        <v>4</v>
      </c>
      <c r="Y63">
        <f t="shared" si="3"/>
        <v>0</v>
      </c>
    </row>
    <row r="64" spans="1:25" x14ac:dyDescent="0.2">
      <c r="A64" s="204">
        <f>IF(MOD(COUNT($A$10:A63),12)=0,A63+1,A63)</f>
        <v>5</v>
      </c>
      <c r="B64" s="218">
        <f t="shared" si="4"/>
        <v>7</v>
      </c>
      <c r="C64" s="218">
        <f t="shared" si="0"/>
        <v>1</v>
      </c>
      <c r="D64" s="208">
        <f>IF(MOD(COUNT($D$10:D63),6)=0,D63+1,D63)</f>
        <v>10</v>
      </c>
      <c r="E64" s="208">
        <f>IF(MOD(COUNT($E$10:E63),3)=0,E63+1,E63)</f>
        <v>19</v>
      </c>
      <c r="F64" s="208">
        <f>IF(MOD(COUNT($F$10:F63),1)=0,F63+1,F63)</f>
        <v>55</v>
      </c>
      <c r="G64" s="204">
        <f>IFERROR(IF(C64=1,VLOOKUP(A64,Output!$A$27:$AB$137,28,FALSE)/AnnuityMode,0),0)</f>
        <v>0</v>
      </c>
      <c r="H64" s="220">
        <f>IFERROR(IF(AND(MIN(A64&gt;25,Age+A64&gt;=85),B64=12),VLOOKUP(A64,Output!$A$27:$AE$137,31,FALSE),0),0)</f>
        <v>0</v>
      </c>
      <c r="I64" s="221">
        <f>IFERROR(IF(AND(MIN(A64&gt;15,A64+Age&gt;=70),C64=1),VLOOKUP(A64,Output!$A$27:$AF$137,32,FALSE)*VLOOKUP('SV calc_ignore'!A64,Output!$A$27:$AG$137,33,FALSE)/IF(AnnuityMode=2,2,IF(AnnuityMode=4,4,IF(AnnuityMode=12,12,1))),0),0)</f>
        <v>0</v>
      </c>
      <c r="J64" s="227">
        <f t="shared" si="1"/>
        <v>0</v>
      </c>
      <c r="K64" s="209">
        <f t="shared" si="10"/>
        <v>0</v>
      </c>
      <c r="L64" s="209">
        <f t="shared" si="2"/>
        <v>0</v>
      </c>
      <c r="M64" s="210">
        <f t="shared" si="11"/>
        <v>0</v>
      </c>
      <c r="N64" s="211">
        <f t="shared" si="5"/>
        <v>0</v>
      </c>
      <c r="O64" s="194">
        <f t="shared" si="6"/>
        <v>0</v>
      </c>
      <c r="P64" s="212">
        <f t="shared" si="7"/>
        <v>0</v>
      </c>
      <c r="Q64">
        <f t="shared" si="8"/>
        <v>1050225.9439357924</v>
      </c>
      <c r="X64" s="216">
        <f t="shared" si="9"/>
        <v>4</v>
      </c>
      <c r="Y64">
        <f t="shared" si="3"/>
        <v>0</v>
      </c>
    </row>
    <row r="65" spans="1:25" x14ac:dyDescent="0.2">
      <c r="A65" s="204">
        <f>IF(MOD(COUNT($A$10:A64),12)=0,A64+1,A64)</f>
        <v>5</v>
      </c>
      <c r="B65" s="218">
        <f t="shared" si="4"/>
        <v>8</v>
      </c>
      <c r="C65" s="218">
        <f t="shared" si="0"/>
        <v>1</v>
      </c>
      <c r="D65" s="208">
        <f>IF(MOD(COUNT($D$10:D64),6)=0,D64+1,D64)</f>
        <v>10</v>
      </c>
      <c r="E65" s="208">
        <f>IF(MOD(COUNT($E$10:E64),3)=0,E64+1,E64)</f>
        <v>19</v>
      </c>
      <c r="F65" s="208">
        <f>IF(MOD(COUNT($F$10:F64),1)=0,F64+1,F64)</f>
        <v>56</v>
      </c>
      <c r="G65" s="204">
        <f>IFERROR(IF(C65=1,VLOOKUP(A65,Output!$A$27:$AB$137,28,FALSE)/AnnuityMode,0),0)</f>
        <v>0</v>
      </c>
      <c r="H65" s="220">
        <f>IFERROR(IF(AND(MIN(A65&gt;25,Age+A65&gt;=85),B65=12),VLOOKUP(A65,Output!$A$27:$AE$137,31,FALSE),0),0)</f>
        <v>0</v>
      </c>
      <c r="I65" s="221">
        <f>IFERROR(IF(AND(MIN(A65&gt;15,A65+Age&gt;=70),C65=1),VLOOKUP(A65,Output!$A$27:$AF$137,32,FALSE)*VLOOKUP('SV calc_ignore'!A65,Output!$A$27:$AG$137,33,FALSE)/IF(AnnuityMode=2,2,IF(AnnuityMode=4,4,IF(AnnuityMode=12,12,1))),0),0)</f>
        <v>0</v>
      </c>
      <c r="J65" s="227">
        <f t="shared" si="1"/>
        <v>0</v>
      </c>
      <c r="K65" s="209">
        <f t="shared" si="10"/>
        <v>0</v>
      </c>
      <c r="L65" s="209">
        <f t="shared" si="2"/>
        <v>0</v>
      </c>
      <c r="M65" s="210">
        <f t="shared" si="11"/>
        <v>0</v>
      </c>
      <c r="N65" s="211">
        <f t="shared" si="5"/>
        <v>0</v>
      </c>
      <c r="O65" s="194">
        <f t="shared" si="6"/>
        <v>0</v>
      </c>
      <c r="P65" s="212">
        <f t="shared" si="7"/>
        <v>0</v>
      </c>
      <c r="Q65">
        <f t="shared" si="8"/>
        <v>1057390.0532451118</v>
      </c>
      <c r="X65" s="216">
        <f t="shared" si="9"/>
        <v>4</v>
      </c>
      <c r="Y65">
        <f t="shared" si="3"/>
        <v>0</v>
      </c>
    </row>
    <row r="66" spans="1:25" x14ac:dyDescent="0.2">
      <c r="A66" s="204">
        <f>IF(MOD(COUNT($A$10:A65),12)=0,A65+1,A65)</f>
        <v>5</v>
      </c>
      <c r="B66" s="218">
        <f t="shared" si="4"/>
        <v>9</v>
      </c>
      <c r="C66" s="218">
        <f t="shared" si="0"/>
        <v>1</v>
      </c>
      <c r="D66" s="208">
        <f>IF(MOD(COUNT($D$10:D65),6)=0,D65+1,D65)</f>
        <v>10</v>
      </c>
      <c r="E66" s="208">
        <f>IF(MOD(COUNT($E$10:E65),3)=0,E65+1,E65)</f>
        <v>19</v>
      </c>
      <c r="F66" s="208">
        <f>IF(MOD(COUNT($F$10:F65),1)=0,F65+1,F65)</f>
        <v>57</v>
      </c>
      <c r="G66" s="204">
        <f>IFERROR(IF(C66=1,VLOOKUP(A66,Output!$A$27:$AB$137,28,FALSE)/AnnuityMode,0),0)</f>
        <v>0</v>
      </c>
      <c r="H66" s="220">
        <f>IFERROR(IF(AND(MIN(A66&gt;25,Age+A66&gt;=85),B66=12),VLOOKUP(A66,Output!$A$27:$AE$137,31,FALSE),0),0)</f>
        <v>0</v>
      </c>
      <c r="I66" s="221">
        <f>IFERROR(IF(AND(MIN(A66&gt;15,A66+Age&gt;=70),C66=1),VLOOKUP(A66,Output!$A$27:$AF$137,32,FALSE)*VLOOKUP('SV calc_ignore'!A66,Output!$A$27:$AG$137,33,FALSE)/IF(AnnuityMode=2,2,IF(AnnuityMode=4,4,IF(AnnuityMode=12,12,1))),0),0)</f>
        <v>0</v>
      </c>
      <c r="J66" s="227">
        <f t="shared" si="1"/>
        <v>0</v>
      </c>
      <c r="K66" s="209">
        <f t="shared" si="10"/>
        <v>0</v>
      </c>
      <c r="L66" s="209">
        <f t="shared" si="2"/>
        <v>0</v>
      </c>
      <c r="M66" s="210">
        <f t="shared" si="11"/>
        <v>0</v>
      </c>
      <c r="N66" s="211">
        <f t="shared" si="5"/>
        <v>0</v>
      </c>
      <c r="O66" s="194">
        <f t="shared" si="6"/>
        <v>0</v>
      </c>
      <c r="P66" s="212">
        <f t="shared" si="7"/>
        <v>0</v>
      </c>
      <c r="Q66">
        <f t="shared" si="8"/>
        <v>1064603.0324785579</v>
      </c>
      <c r="X66" s="216">
        <f t="shared" si="9"/>
        <v>4</v>
      </c>
      <c r="Y66">
        <f t="shared" si="3"/>
        <v>0</v>
      </c>
    </row>
    <row r="67" spans="1:25" x14ac:dyDescent="0.2">
      <c r="A67" s="204">
        <f>IF(MOD(COUNT($A$10:A66),12)=0,A66+1,A66)</f>
        <v>5</v>
      </c>
      <c r="B67" s="218">
        <f t="shared" si="4"/>
        <v>10</v>
      </c>
      <c r="C67" s="218">
        <f t="shared" si="0"/>
        <v>1</v>
      </c>
      <c r="D67" s="208">
        <f>IF(MOD(COUNT($D$10:D66),6)=0,D66+1,D66)</f>
        <v>10</v>
      </c>
      <c r="E67" s="208">
        <f>IF(MOD(COUNT($E$10:E66),3)=0,E66+1,E66)</f>
        <v>20</v>
      </c>
      <c r="F67" s="208">
        <f>IF(MOD(COUNT($F$10:F66),1)=0,F66+1,F66)</f>
        <v>58</v>
      </c>
      <c r="G67" s="204">
        <f>IFERROR(IF(C67=1,VLOOKUP(A67,Output!$A$27:$AB$137,28,FALSE)/AnnuityMode,0),0)</f>
        <v>0</v>
      </c>
      <c r="H67" s="220">
        <f>IFERROR(IF(AND(MIN(A67&gt;25,Age+A67&gt;=85),B67=12),VLOOKUP(A67,Output!$A$27:$AE$137,31,FALSE),0),0)</f>
        <v>0</v>
      </c>
      <c r="I67" s="221">
        <f>IFERROR(IF(AND(MIN(A67&gt;15,A67+Age&gt;=70),C67=1),VLOOKUP(A67,Output!$A$27:$AF$137,32,FALSE)*VLOOKUP('SV calc_ignore'!A67,Output!$A$27:$AG$137,33,FALSE)/IF(AnnuityMode=2,2,IF(AnnuityMode=4,4,IF(AnnuityMode=12,12,1))),0),0)</f>
        <v>0</v>
      </c>
      <c r="J67" s="227">
        <f t="shared" si="1"/>
        <v>0</v>
      </c>
      <c r="K67" s="209">
        <f t="shared" si="10"/>
        <v>0</v>
      </c>
      <c r="L67" s="209">
        <f t="shared" si="2"/>
        <v>0</v>
      </c>
      <c r="M67" s="210">
        <f t="shared" si="11"/>
        <v>0</v>
      </c>
      <c r="N67" s="211">
        <f t="shared" si="5"/>
        <v>0</v>
      </c>
      <c r="O67" s="194">
        <f t="shared" si="6"/>
        <v>0</v>
      </c>
      <c r="P67" s="212">
        <f t="shared" si="7"/>
        <v>0</v>
      </c>
      <c r="Q67">
        <f t="shared" si="8"/>
        <v>1071865.2150019936</v>
      </c>
      <c r="X67" s="216">
        <f t="shared" si="9"/>
        <v>4</v>
      </c>
      <c r="Y67">
        <f t="shared" si="3"/>
        <v>0</v>
      </c>
    </row>
    <row r="68" spans="1:25" x14ac:dyDescent="0.2">
      <c r="A68" s="204">
        <f>IF(MOD(COUNT($A$10:A67),12)=0,A67+1,A67)</f>
        <v>5</v>
      </c>
      <c r="B68" s="218">
        <f t="shared" si="4"/>
        <v>11</v>
      </c>
      <c r="C68" s="218">
        <f t="shared" si="0"/>
        <v>1</v>
      </c>
      <c r="D68" s="208">
        <f>IF(MOD(COUNT($D$10:D67),6)=0,D67+1,D67)</f>
        <v>10</v>
      </c>
      <c r="E68" s="208">
        <f>IF(MOD(COUNT($E$10:E67),3)=0,E67+1,E67)</f>
        <v>20</v>
      </c>
      <c r="F68" s="208">
        <f>IF(MOD(COUNT($F$10:F67),1)=0,F67+1,F67)</f>
        <v>59</v>
      </c>
      <c r="G68" s="204">
        <f>IFERROR(IF(C68=1,VLOOKUP(A68,Output!$A$27:$AB$137,28,FALSE)/AnnuityMode,0),0)</f>
        <v>0</v>
      </c>
      <c r="H68" s="220">
        <f>IFERROR(IF(AND(MIN(A68&gt;25,Age+A68&gt;=85),B68=12),VLOOKUP(A68,Output!$A$27:$AE$137,31,FALSE),0),0)</f>
        <v>0</v>
      </c>
      <c r="I68" s="221">
        <f>IFERROR(IF(AND(MIN(A68&gt;15,A68+Age&gt;=70),C68=1),VLOOKUP(A68,Output!$A$27:$AF$137,32,FALSE)*VLOOKUP('SV calc_ignore'!A68,Output!$A$27:$AG$137,33,FALSE)/IF(AnnuityMode=2,2,IF(AnnuityMode=4,4,IF(AnnuityMode=12,12,1))),0),0)</f>
        <v>0</v>
      </c>
      <c r="J68" s="227">
        <f t="shared" si="1"/>
        <v>0</v>
      </c>
      <c r="K68" s="209">
        <f t="shared" si="10"/>
        <v>0</v>
      </c>
      <c r="L68" s="209">
        <f t="shared" si="2"/>
        <v>0</v>
      </c>
      <c r="M68" s="210">
        <f t="shared" si="11"/>
        <v>0</v>
      </c>
      <c r="N68" s="211">
        <f t="shared" si="5"/>
        <v>0</v>
      </c>
      <c r="O68" s="194">
        <f t="shared" si="6"/>
        <v>0</v>
      </c>
      <c r="P68" s="212">
        <f t="shared" si="7"/>
        <v>0</v>
      </c>
      <c r="Q68">
        <f t="shared" si="8"/>
        <v>1079176.9364553355</v>
      </c>
      <c r="X68" s="216">
        <f t="shared" si="9"/>
        <v>4</v>
      </c>
      <c r="Y68">
        <f t="shared" si="3"/>
        <v>0</v>
      </c>
    </row>
    <row r="69" spans="1:25" x14ac:dyDescent="0.2">
      <c r="A69" s="204">
        <f>IF(MOD(COUNT($A$10:A68),12)=0,A68+1,A68)</f>
        <v>5</v>
      </c>
      <c r="B69" s="218">
        <f t="shared" si="4"/>
        <v>12</v>
      </c>
      <c r="C69" s="218">
        <f t="shared" si="0"/>
        <v>1</v>
      </c>
      <c r="D69" s="208">
        <f>IF(MOD(COUNT($D$10:D68),6)=0,D68+1,D68)</f>
        <v>10</v>
      </c>
      <c r="E69" s="208">
        <f>IF(MOD(COUNT($E$10:E68),3)=0,E68+1,E68)</f>
        <v>20</v>
      </c>
      <c r="F69" s="208">
        <f>IF(MOD(COUNT($F$10:F68),1)=0,F68+1,F68)</f>
        <v>60</v>
      </c>
      <c r="G69" s="204">
        <f>IFERROR(IF(C69=1,VLOOKUP(A69,Output!$A$27:$AB$137,28,FALSE)/AnnuityMode,0),0)</f>
        <v>0</v>
      </c>
      <c r="H69" s="220">
        <f>IFERROR(IF(AND(MIN(A69&gt;25,Age+A69&gt;=85),B69=12),VLOOKUP(A69,Output!$A$27:$AE$137,31,FALSE),0),0)</f>
        <v>0</v>
      </c>
      <c r="I69" s="221">
        <f>IFERROR(IF(AND(MIN(A69&gt;15,A69+Age&gt;=70),C69=1),VLOOKUP(A69,Output!$A$27:$AF$137,32,FALSE)*VLOOKUP('SV calc_ignore'!A69,Output!$A$27:$AG$137,33,FALSE)/IF(AnnuityMode=2,2,IF(AnnuityMode=4,4,IF(AnnuityMode=12,12,1))),0),0)</f>
        <v>0</v>
      </c>
      <c r="J69" s="227">
        <f t="shared" si="1"/>
        <v>0</v>
      </c>
      <c r="K69" s="209">
        <f t="shared" si="10"/>
        <v>0</v>
      </c>
      <c r="L69" s="209">
        <f t="shared" si="2"/>
        <v>0</v>
      </c>
      <c r="M69" s="210">
        <f t="shared" si="11"/>
        <v>0</v>
      </c>
      <c r="N69" s="211">
        <f t="shared" si="5"/>
        <v>0</v>
      </c>
      <c r="O69" s="194">
        <f t="shared" si="6"/>
        <v>0</v>
      </c>
      <c r="P69" s="212">
        <f t="shared" si="7"/>
        <v>0</v>
      </c>
      <c r="Q69">
        <f t="shared" si="8"/>
        <v>1086538.534768065</v>
      </c>
      <c r="X69" s="216">
        <f t="shared" si="9"/>
        <v>4</v>
      </c>
      <c r="Y69">
        <f t="shared" si="3"/>
        <v>0</v>
      </c>
    </row>
    <row r="70" spans="1:25" x14ac:dyDescent="0.2">
      <c r="A70" s="204">
        <f>IF(MOD(COUNT($A$10:A69),12)=0,A69+1,A69)</f>
        <v>6</v>
      </c>
      <c r="B70" s="218">
        <f t="shared" si="4"/>
        <v>1</v>
      </c>
      <c r="C70" s="218">
        <f t="shared" si="0"/>
        <v>1</v>
      </c>
      <c r="D70" s="208">
        <f>IF(MOD(COUNT($D$10:D69),6)=0,D69+1,D69)</f>
        <v>11</v>
      </c>
      <c r="E70" s="208">
        <f>IF(MOD(COUNT($E$10:E69),3)=0,E69+1,E69)</f>
        <v>21</v>
      </c>
      <c r="F70" s="208">
        <f>IF(MOD(COUNT($F$10:F69),1)=0,F69+1,F69)</f>
        <v>61</v>
      </c>
      <c r="G70" s="204">
        <f>IFERROR(IF(C70=1,VLOOKUP(A70,Output!$A$27:$AB$137,28,FALSE)/AnnuityMode,0),0)</f>
        <v>0</v>
      </c>
      <c r="H70" s="220">
        <f>IFERROR(IF(AND(MIN(A70&gt;25,Age+A70&gt;=85),B70=12),VLOOKUP(A70,Output!$A$27:$AE$137,31,FALSE),0),0)</f>
        <v>0</v>
      </c>
      <c r="I70" s="221">
        <f>IFERROR(IF(AND(MIN(A70&gt;15,A70+Age&gt;=70),C70=1),VLOOKUP(A70,Output!$A$27:$AF$137,32,FALSE)*VLOOKUP('SV calc_ignore'!A70,Output!$A$27:$AG$137,33,FALSE)/IF(AnnuityMode=2,2,IF(AnnuityMode=4,4,IF(AnnuityMode=12,12,1))),0),0)</f>
        <v>0</v>
      </c>
      <c r="J70" s="227">
        <f t="shared" si="1"/>
        <v>0</v>
      </c>
      <c r="K70" s="209">
        <f t="shared" si="10"/>
        <v>0</v>
      </c>
      <c r="L70" s="209">
        <f t="shared" si="2"/>
        <v>0</v>
      </c>
      <c r="M70" s="210">
        <f t="shared" si="11"/>
        <v>0</v>
      </c>
      <c r="N70" s="211">
        <f t="shared" si="5"/>
        <v>0</v>
      </c>
      <c r="O70" s="194">
        <f t="shared" si="6"/>
        <v>0</v>
      </c>
      <c r="P70" s="212">
        <f t="shared" si="7"/>
        <v>0</v>
      </c>
      <c r="Q70">
        <f t="shared" si="8"/>
        <v>1093950.3501748478</v>
      </c>
      <c r="X70" s="216">
        <f t="shared" si="9"/>
        <v>5</v>
      </c>
      <c r="Y70">
        <f t="shared" si="3"/>
        <v>0</v>
      </c>
    </row>
    <row r="71" spans="1:25" x14ac:dyDescent="0.2">
      <c r="A71" s="204">
        <f>IF(MOD(COUNT($A$10:A70),12)=0,A70+1,A70)</f>
        <v>6</v>
      </c>
      <c r="B71" s="218">
        <f t="shared" si="4"/>
        <v>2</v>
      </c>
      <c r="C71" s="218">
        <f t="shared" si="0"/>
        <v>1</v>
      </c>
      <c r="D71" s="208">
        <f>IF(MOD(COUNT($D$10:D70),6)=0,D70+1,D70)</f>
        <v>11</v>
      </c>
      <c r="E71" s="208">
        <f>IF(MOD(COUNT($E$10:E70),3)=0,E70+1,E70)</f>
        <v>21</v>
      </c>
      <c r="F71" s="208">
        <f>IF(MOD(COUNT($F$10:F70),1)=0,F70+1,F70)</f>
        <v>62</v>
      </c>
      <c r="G71" s="204">
        <f>IFERROR(IF(C71=1,VLOOKUP(A71,Output!$A$27:$AB$137,28,FALSE)/AnnuityMode,0),0)</f>
        <v>0</v>
      </c>
      <c r="H71" s="220">
        <f>IFERROR(IF(AND(MIN(A71&gt;25,Age+A71&gt;=85),B71=12),VLOOKUP(A71,Output!$A$27:$AE$137,31,FALSE),0),0)</f>
        <v>0</v>
      </c>
      <c r="I71" s="221">
        <f>IFERROR(IF(AND(MIN(A71&gt;15,A71+Age&gt;=70),C71=1),VLOOKUP(A71,Output!$A$27:$AF$137,32,FALSE)*VLOOKUP('SV calc_ignore'!A71,Output!$A$27:$AG$137,33,FALSE)/IF(AnnuityMode=2,2,IF(AnnuityMode=4,4,IF(AnnuityMode=12,12,1))),0),0)</f>
        <v>0</v>
      </c>
      <c r="J71" s="227">
        <f t="shared" si="1"/>
        <v>0</v>
      </c>
      <c r="K71" s="209">
        <f t="shared" si="10"/>
        <v>0</v>
      </c>
      <c r="L71" s="209">
        <f t="shared" si="2"/>
        <v>0</v>
      </c>
      <c r="M71" s="210">
        <f t="shared" si="11"/>
        <v>0</v>
      </c>
      <c r="N71" s="211">
        <f t="shared" si="5"/>
        <v>0</v>
      </c>
      <c r="O71" s="194">
        <f t="shared" si="6"/>
        <v>0</v>
      </c>
      <c r="P71" s="212">
        <f t="shared" si="7"/>
        <v>0</v>
      </c>
      <c r="Q71">
        <f t="shared" si="8"/>
        <v>1101412.7252312575</v>
      </c>
      <c r="X71" s="216">
        <f t="shared" si="9"/>
        <v>5</v>
      </c>
      <c r="Y71">
        <f t="shared" si="3"/>
        <v>0</v>
      </c>
    </row>
    <row r="72" spans="1:25" x14ac:dyDescent="0.2">
      <c r="A72" s="204">
        <f>IF(MOD(COUNT($A$10:A71),12)=0,A71+1,A71)</f>
        <v>6</v>
      </c>
      <c r="B72" s="218">
        <f t="shared" si="4"/>
        <v>3</v>
      </c>
      <c r="C72" s="218">
        <f t="shared" si="0"/>
        <v>1</v>
      </c>
      <c r="D72" s="208">
        <f>IF(MOD(COUNT($D$10:D71),6)=0,D71+1,D71)</f>
        <v>11</v>
      </c>
      <c r="E72" s="208">
        <f>IF(MOD(COUNT($E$10:E71),3)=0,E71+1,E71)</f>
        <v>21</v>
      </c>
      <c r="F72" s="208">
        <f>IF(MOD(COUNT($F$10:F71),1)=0,F71+1,F71)</f>
        <v>63</v>
      </c>
      <c r="G72" s="204">
        <f>IFERROR(IF(C72=1,VLOOKUP(A72,Output!$A$27:$AB$137,28,FALSE)/AnnuityMode,0),0)</f>
        <v>0</v>
      </c>
      <c r="H72" s="220">
        <f>IFERROR(IF(AND(MIN(A72&gt;25,Age+A72&gt;=85),B72=12),VLOOKUP(A72,Output!$A$27:$AE$137,31,FALSE),0),0)</f>
        <v>0</v>
      </c>
      <c r="I72" s="221">
        <f>IFERROR(IF(AND(MIN(A72&gt;15,A72+Age&gt;=70),C72=1),VLOOKUP(A72,Output!$A$27:$AF$137,32,FALSE)*VLOOKUP('SV calc_ignore'!A72,Output!$A$27:$AG$137,33,FALSE)/IF(AnnuityMode=2,2,IF(AnnuityMode=4,4,IF(AnnuityMode=12,12,1))),0),0)</f>
        <v>0</v>
      </c>
      <c r="J72" s="227">
        <f t="shared" si="1"/>
        <v>0</v>
      </c>
      <c r="K72" s="209">
        <f t="shared" si="10"/>
        <v>0</v>
      </c>
      <c r="L72" s="209">
        <f t="shared" si="2"/>
        <v>0</v>
      </c>
      <c r="M72" s="210">
        <f t="shared" si="11"/>
        <v>0</v>
      </c>
      <c r="N72" s="211">
        <f t="shared" si="5"/>
        <v>0</v>
      </c>
      <c r="O72" s="194">
        <f t="shared" si="6"/>
        <v>0</v>
      </c>
      <c r="P72" s="212">
        <f t="shared" si="7"/>
        <v>0</v>
      </c>
      <c r="Q72">
        <f t="shared" si="8"/>
        <v>1108926.0048296088</v>
      </c>
      <c r="X72" s="216">
        <f t="shared" si="9"/>
        <v>5</v>
      </c>
      <c r="Y72">
        <f t="shared" si="3"/>
        <v>0</v>
      </c>
    </row>
    <row r="73" spans="1:25" x14ac:dyDescent="0.2">
      <c r="A73" s="204">
        <f>IF(MOD(COUNT($A$10:A72),12)=0,A72+1,A72)</f>
        <v>6</v>
      </c>
      <c r="B73" s="218">
        <f t="shared" si="4"/>
        <v>4</v>
      </c>
      <c r="C73" s="218">
        <f t="shared" si="0"/>
        <v>1</v>
      </c>
      <c r="D73" s="208">
        <f>IF(MOD(COUNT($D$10:D72),6)=0,D72+1,D72)</f>
        <v>11</v>
      </c>
      <c r="E73" s="208">
        <f>IF(MOD(COUNT($E$10:E72),3)=0,E72+1,E72)</f>
        <v>22</v>
      </c>
      <c r="F73" s="208">
        <f>IF(MOD(COUNT($F$10:F72),1)=0,F72+1,F72)</f>
        <v>64</v>
      </c>
      <c r="G73" s="204">
        <f>IFERROR(IF(C73=1,VLOOKUP(A73,Output!$A$27:$AB$137,28,FALSE)/AnnuityMode,0),0)</f>
        <v>0</v>
      </c>
      <c r="H73" s="220">
        <f>IFERROR(IF(AND(MIN(A73&gt;25,Age+A73&gt;=85),B73=12),VLOOKUP(A73,Output!$A$27:$AE$137,31,FALSE),0),0)</f>
        <v>0</v>
      </c>
      <c r="I73" s="221">
        <f>IFERROR(IF(AND(MIN(A73&gt;15,A73+Age&gt;=70),C73=1),VLOOKUP(A73,Output!$A$27:$AF$137,32,FALSE)*VLOOKUP('SV calc_ignore'!A73,Output!$A$27:$AG$137,33,FALSE)/IF(AnnuityMode=2,2,IF(AnnuityMode=4,4,IF(AnnuityMode=12,12,1))),0),0)</f>
        <v>0</v>
      </c>
      <c r="J73" s="227">
        <f t="shared" si="1"/>
        <v>0</v>
      </c>
      <c r="K73" s="209">
        <f t="shared" si="10"/>
        <v>0</v>
      </c>
      <c r="L73" s="209">
        <f t="shared" si="2"/>
        <v>0</v>
      </c>
      <c r="M73" s="210">
        <f t="shared" si="11"/>
        <v>0</v>
      </c>
      <c r="N73" s="211">
        <f t="shared" si="5"/>
        <v>0</v>
      </c>
      <c r="O73" s="194">
        <f t="shared" si="6"/>
        <v>0</v>
      </c>
      <c r="P73" s="212">
        <f t="shared" si="7"/>
        <v>0</v>
      </c>
      <c r="Q73">
        <f t="shared" si="8"/>
        <v>1116490.5362148969</v>
      </c>
      <c r="X73" s="216">
        <f t="shared" si="9"/>
        <v>5</v>
      </c>
      <c r="Y73">
        <f t="shared" si="3"/>
        <v>0</v>
      </c>
    </row>
    <row r="74" spans="1:25" x14ac:dyDescent="0.2">
      <c r="A74" s="204">
        <f>IF(MOD(COUNT($A$10:A73),12)=0,A73+1,A73)</f>
        <v>6</v>
      </c>
      <c r="B74" s="218">
        <f t="shared" si="4"/>
        <v>5</v>
      </c>
      <c r="C74" s="218">
        <f t="shared" ref="C74:C137" si="12">IF(AND(AnnuityMode=1,B74=12),1,IF(AND(OR(B74=6,B74=12),AnnuityMode=2),1,IF(AND(OR(B74=3,B74=6,B74=12,B74=9),AnnuityMode=4),1,IF(AND(OR(B74=1,B74=2,B74=3,B74=4,B74=5,B74=6,B74=7,B74=8,B74=9,B74=10,B74=11,B74=12),AnnuityMode=12),1,0))))</f>
        <v>1</v>
      </c>
      <c r="D74" s="208">
        <f>IF(MOD(COUNT($D$10:D73),6)=0,D73+1,D73)</f>
        <v>11</v>
      </c>
      <c r="E74" s="208">
        <f>IF(MOD(COUNT($E$10:E73),3)=0,E73+1,E73)</f>
        <v>22</v>
      </c>
      <c r="F74" s="208">
        <f>IF(MOD(COUNT($F$10:F73),1)=0,F73+1,F73)</f>
        <v>65</v>
      </c>
      <c r="G74" s="204">
        <f>IFERROR(IF(C74=1,VLOOKUP(A74,Output!$A$27:$AB$137,28,FALSE)/AnnuityMode,0),0)</f>
        <v>0</v>
      </c>
      <c r="H74" s="220">
        <f>IFERROR(IF(AND(MIN(A74&gt;25,Age+A74&gt;=85),B74=12),VLOOKUP(A74,Output!$A$27:$AE$137,31,FALSE),0),0)</f>
        <v>0</v>
      </c>
      <c r="I74" s="221">
        <f>IFERROR(IF(AND(MIN(A74&gt;15,A74+Age&gt;=70),C74=1),VLOOKUP(A74,Output!$A$27:$AF$137,32,FALSE)*VLOOKUP('SV calc_ignore'!A74,Output!$A$27:$AG$137,33,FALSE)/IF(AnnuityMode=2,2,IF(AnnuityMode=4,4,IF(AnnuityMode=12,12,1))),0),0)</f>
        <v>0</v>
      </c>
      <c r="J74" s="227">
        <f t="shared" ref="J74:J137" si="13">G74+(J75)*(1+$K$3)^(-1)</f>
        <v>0</v>
      </c>
      <c r="K74" s="209">
        <f t="shared" si="10"/>
        <v>0</v>
      </c>
      <c r="L74" s="209">
        <f t="shared" ref="L74:L137" si="14">(L75+G75)*$K$2</f>
        <v>0</v>
      </c>
      <c r="M74" s="210">
        <f t="shared" si="11"/>
        <v>0</v>
      </c>
      <c r="N74" s="211">
        <f t="shared" si="5"/>
        <v>0</v>
      </c>
      <c r="O74" s="194">
        <f t="shared" si="6"/>
        <v>0</v>
      </c>
      <c r="P74" s="212">
        <f t="shared" ref="P74:P137" si="15">(P75+H75)*(1+$K$3)^(-1)</f>
        <v>0</v>
      </c>
      <c r="Q74">
        <f t="shared" ref="Q74:Q137" si="16">(I74+(Q75)*(1+$K$3)^(-1))*(A74&lt;=$W$5)</f>
        <v>1124106.6690008466</v>
      </c>
      <c r="X74" s="216">
        <f t="shared" si="9"/>
        <v>5</v>
      </c>
      <c r="Y74">
        <f t="shared" ref="Y74:Y137" si="17">G74*(1-IF(AnnuityMode=1,$L$2,IF(AnnuityMode=2,$M$2,IF(AnnuityMode=4,$N$2,$K$2)))^(110*AnnuityMode-IF(AnnuityMode=1,X74,IF(AnnuityMode=2,D74,IF(AnnuityMode=4,E74,F74)))-0))/(IF(AnnuityMode=1,$L$3,IF(AnnuityMode=2,$M$3,IF(AnnuityMode=4,$N$3,$K$3))))</f>
        <v>0</v>
      </c>
    </row>
    <row r="75" spans="1:25" x14ac:dyDescent="0.2">
      <c r="A75" s="204">
        <f>IF(MOD(COUNT($A$10:A74),12)=0,A74+1,A74)</f>
        <v>6</v>
      </c>
      <c r="B75" s="218">
        <f t="shared" ref="B75:B138" si="18">IF(A74&lt;&gt;A75,1,B74+1)</f>
        <v>6</v>
      </c>
      <c r="C75" s="218">
        <f t="shared" si="12"/>
        <v>1</v>
      </c>
      <c r="D75" s="208">
        <f>IF(MOD(COUNT($D$10:D74),6)=0,D74+1,D74)</f>
        <v>11</v>
      </c>
      <c r="E75" s="208">
        <f>IF(MOD(COUNT($E$10:E74),3)=0,E74+1,E74)</f>
        <v>22</v>
      </c>
      <c r="F75" s="208">
        <f>IF(MOD(COUNT($F$10:F74),1)=0,F74+1,F74)</f>
        <v>66</v>
      </c>
      <c r="G75" s="204">
        <f>IFERROR(IF(C75=1,VLOOKUP(A75,Output!$A$27:$AB$137,28,FALSE)/AnnuityMode,0),0)</f>
        <v>0</v>
      </c>
      <c r="H75" s="220">
        <f>IFERROR(IF(AND(MIN(A75&gt;25,Age+A75&gt;=85),B75=12),VLOOKUP(A75,Output!$A$27:$AE$137,31,FALSE),0),0)</f>
        <v>0</v>
      </c>
      <c r="I75" s="221">
        <f>IFERROR(IF(AND(MIN(A75&gt;15,A75+Age&gt;=70),C75=1),VLOOKUP(A75,Output!$A$27:$AF$137,32,FALSE)*VLOOKUP('SV calc_ignore'!A75,Output!$A$27:$AG$137,33,FALSE)/IF(AnnuityMode=2,2,IF(AnnuityMode=4,4,IF(AnnuityMode=12,12,1))),0),0)</f>
        <v>0</v>
      </c>
      <c r="J75" s="227">
        <f t="shared" si="13"/>
        <v>0</v>
      </c>
      <c r="K75" s="209">
        <f t="shared" ref="K75:K138" si="19">IF(OR(K74&gt;$K$8,K74=0),0,K74+1)</f>
        <v>0</v>
      </c>
      <c r="L75" s="209">
        <f t="shared" si="14"/>
        <v>0</v>
      </c>
      <c r="M75" s="210">
        <f t="shared" si="11"/>
        <v>0</v>
      </c>
      <c r="N75" s="211">
        <f t="shared" ref="N75:N138" si="20">M75-L75-G75</f>
        <v>0</v>
      </c>
      <c r="O75" s="194">
        <f t="shared" ref="O75:O138" si="21">MAX($H$10:$H$897)/(1+$K$3)^($Q$5*12-F75)*(A75&lt;=$Q$5)</f>
        <v>0</v>
      </c>
      <c r="P75" s="212">
        <f t="shared" si="15"/>
        <v>0</v>
      </c>
      <c r="Q75">
        <f t="shared" si="16"/>
        <v>1131774.7551860698</v>
      </c>
      <c r="X75" s="216">
        <f t="shared" ref="X75:X138" si="22">A75-1</f>
        <v>5</v>
      </c>
      <c r="Y75">
        <f t="shared" si="17"/>
        <v>0</v>
      </c>
    </row>
    <row r="76" spans="1:25" x14ac:dyDescent="0.2">
      <c r="A76" s="204">
        <f>IF(MOD(COUNT($A$10:A75),12)=0,A75+1,A75)</f>
        <v>6</v>
      </c>
      <c r="B76" s="218">
        <f t="shared" si="18"/>
        <v>7</v>
      </c>
      <c r="C76" s="218">
        <f t="shared" si="12"/>
        <v>1</v>
      </c>
      <c r="D76" s="208">
        <f>IF(MOD(COUNT($D$10:D75),6)=0,D75+1,D75)</f>
        <v>12</v>
      </c>
      <c r="E76" s="208">
        <f>IF(MOD(COUNT($E$10:E75),3)=0,E75+1,E75)</f>
        <v>23</v>
      </c>
      <c r="F76" s="208">
        <f>IF(MOD(COUNT($F$10:F75),1)=0,F75+1,F75)</f>
        <v>67</v>
      </c>
      <c r="G76" s="204">
        <f>IFERROR(IF(C76=1,VLOOKUP(A76,Output!$A$27:$AB$137,28,FALSE)/AnnuityMode,0),0)</f>
        <v>0</v>
      </c>
      <c r="H76" s="220">
        <f>IFERROR(IF(AND(MIN(A76&gt;25,Age+A76&gt;=85),B76=12),VLOOKUP(A76,Output!$A$27:$AE$137,31,FALSE),0),0)</f>
        <v>0</v>
      </c>
      <c r="I76" s="221">
        <f>IFERROR(IF(AND(MIN(A76&gt;15,A76+Age&gt;=70),C76=1),VLOOKUP(A76,Output!$A$27:$AF$137,32,FALSE)*VLOOKUP('SV calc_ignore'!A76,Output!$A$27:$AG$137,33,FALSE)/IF(AnnuityMode=2,2,IF(AnnuityMode=4,4,IF(AnnuityMode=12,12,1))),0),0)</f>
        <v>0</v>
      </c>
      <c r="J76" s="227">
        <f t="shared" si="13"/>
        <v>0</v>
      </c>
      <c r="K76" s="209">
        <f t="shared" si="19"/>
        <v>0</v>
      </c>
      <c r="L76" s="209">
        <f t="shared" si="14"/>
        <v>0</v>
      </c>
      <c r="M76" s="210">
        <f t="shared" ref="M76:M139" si="23">L75*(1+$K$3)</f>
        <v>0</v>
      </c>
      <c r="N76" s="211">
        <f t="shared" si="20"/>
        <v>0</v>
      </c>
      <c r="O76" s="194">
        <f t="shared" si="21"/>
        <v>0</v>
      </c>
      <c r="P76" s="212">
        <f t="shared" si="15"/>
        <v>0</v>
      </c>
      <c r="Q76">
        <f t="shared" si="16"/>
        <v>1139495.1491703351</v>
      </c>
      <c r="X76" s="216">
        <f t="shared" si="22"/>
        <v>5</v>
      </c>
      <c r="Y76">
        <f t="shared" si="17"/>
        <v>0</v>
      </c>
    </row>
    <row r="77" spans="1:25" x14ac:dyDescent="0.2">
      <c r="A77" s="204">
        <f>IF(MOD(COUNT($A$10:A76),12)=0,A76+1,A76)</f>
        <v>6</v>
      </c>
      <c r="B77" s="218">
        <f t="shared" si="18"/>
        <v>8</v>
      </c>
      <c r="C77" s="218">
        <f t="shared" si="12"/>
        <v>1</v>
      </c>
      <c r="D77" s="208">
        <f>IF(MOD(COUNT($D$10:D76),6)=0,D76+1,D76)</f>
        <v>12</v>
      </c>
      <c r="E77" s="208">
        <f>IF(MOD(COUNT($E$10:E76),3)=0,E76+1,E76)</f>
        <v>23</v>
      </c>
      <c r="F77" s="208">
        <f>IF(MOD(COUNT($F$10:F76),1)=0,F76+1,F76)</f>
        <v>68</v>
      </c>
      <c r="G77" s="204">
        <f>IFERROR(IF(C77=1,VLOOKUP(A77,Output!$A$27:$AB$137,28,FALSE)/AnnuityMode,0),0)</f>
        <v>0</v>
      </c>
      <c r="H77" s="220">
        <f>IFERROR(IF(AND(MIN(A77&gt;25,Age+A77&gt;=85),B77=12),VLOOKUP(A77,Output!$A$27:$AE$137,31,FALSE),0),0)</f>
        <v>0</v>
      </c>
      <c r="I77" s="221">
        <f>IFERROR(IF(AND(MIN(A77&gt;15,A77+Age&gt;=70),C77=1),VLOOKUP(A77,Output!$A$27:$AF$137,32,FALSE)*VLOOKUP('SV calc_ignore'!A77,Output!$A$27:$AG$137,33,FALSE)/IF(AnnuityMode=2,2,IF(AnnuityMode=4,4,IF(AnnuityMode=12,12,1))),0),0)</f>
        <v>0</v>
      </c>
      <c r="J77" s="227">
        <f t="shared" si="13"/>
        <v>0</v>
      </c>
      <c r="K77" s="209">
        <f t="shared" si="19"/>
        <v>0</v>
      </c>
      <c r="L77" s="209">
        <f t="shared" si="14"/>
        <v>0</v>
      </c>
      <c r="M77" s="210">
        <f t="shared" si="23"/>
        <v>0</v>
      </c>
      <c r="N77" s="211">
        <f t="shared" si="20"/>
        <v>0</v>
      </c>
      <c r="O77" s="194">
        <f t="shared" si="21"/>
        <v>0</v>
      </c>
      <c r="P77" s="212">
        <f t="shared" si="15"/>
        <v>0</v>
      </c>
      <c r="Q77">
        <f t="shared" si="16"/>
        <v>1147268.2077709467</v>
      </c>
      <c r="X77" s="216">
        <f t="shared" si="22"/>
        <v>5</v>
      </c>
      <c r="Y77">
        <f t="shared" si="17"/>
        <v>0</v>
      </c>
    </row>
    <row r="78" spans="1:25" x14ac:dyDescent="0.2">
      <c r="A78" s="204">
        <f>IF(MOD(COUNT($A$10:A77),12)=0,A77+1,A77)</f>
        <v>6</v>
      </c>
      <c r="B78" s="218">
        <f t="shared" si="18"/>
        <v>9</v>
      </c>
      <c r="C78" s="218">
        <f t="shared" si="12"/>
        <v>1</v>
      </c>
      <c r="D78" s="208">
        <f>IF(MOD(COUNT($D$10:D77),6)=0,D77+1,D77)</f>
        <v>12</v>
      </c>
      <c r="E78" s="208">
        <f>IF(MOD(COUNT($E$10:E77),3)=0,E77+1,E77)</f>
        <v>23</v>
      </c>
      <c r="F78" s="208">
        <f>IF(MOD(COUNT($F$10:F77),1)=0,F77+1,F77)</f>
        <v>69</v>
      </c>
      <c r="G78" s="204">
        <f>IFERROR(IF(C78=1,VLOOKUP(A78,Output!$A$27:$AB$137,28,FALSE)/AnnuityMode,0),0)</f>
        <v>0</v>
      </c>
      <c r="H78" s="220">
        <f>IFERROR(IF(AND(MIN(A78&gt;25,Age+A78&gt;=85),B78=12),VLOOKUP(A78,Output!$A$27:$AE$137,31,FALSE),0),0)</f>
        <v>0</v>
      </c>
      <c r="I78" s="221">
        <f>IFERROR(IF(AND(MIN(A78&gt;15,A78+Age&gt;=70),C78=1),VLOOKUP(A78,Output!$A$27:$AF$137,32,FALSE)*VLOOKUP('SV calc_ignore'!A78,Output!$A$27:$AG$137,33,FALSE)/IF(AnnuityMode=2,2,IF(AnnuityMode=4,4,IF(AnnuityMode=12,12,1))),0),0)</f>
        <v>0</v>
      </c>
      <c r="J78" s="227">
        <f t="shared" si="13"/>
        <v>0</v>
      </c>
      <c r="K78" s="209">
        <f t="shared" si="19"/>
        <v>0</v>
      </c>
      <c r="L78" s="209">
        <f t="shared" si="14"/>
        <v>0</v>
      </c>
      <c r="M78" s="210">
        <f t="shared" si="23"/>
        <v>0</v>
      </c>
      <c r="N78" s="211">
        <f t="shared" si="20"/>
        <v>0</v>
      </c>
      <c r="O78" s="194">
        <f t="shared" si="21"/>
        <v>0</v>
      </c>
      <c r="P78" s="212">
        <f t="shared" si="15"/>
        <v>0</v>
      </c>
      <c r="Q78">
        <f t="shared" si="16"/>
        <v>1155094.2902392356</v>
      </c>
      <c r="X78" s="216">
        <f t="shared" si="22"/>
        <v>5</v>
      </c>
      <c r="Y78">
        <f t="shared" si="17"/>
        <v>0</v>
      </c>
    </row>
    <row r="79" spans="1:25" x14ac:dyDescent="0.2">
      <c r="A79" s="204">
        <f>IF(MOD(COUNT($A$10:A78),12)=0,A78+1,A78)</f>
        <v>6</v>
      </c>
      <c r="B79" s="218">
        <f t="shared" si="18"/>
        <v>10</v>
      </c>
      <c r="C79" s="218">
        <f t="shared" si="12"/>
        <v>1</v>
      </c>
      <c r="D79" s="208">
        <f>IF(MOD(COUNT($D$10:D78),6)=0,D78+1,D78)</f>
        <v>12</v>
      </c>
      <c r="E79" s="208">
        <f>IF(MOD(COUNT($E$10:E78),3)=0,E78+1,E78)</f>
        <v>24</v>
      </c>
      <c r="F79" s="208">
        <f>IF(MOD(COUNT($F$10:F78),1)=0,F78+1,F78)</f>
        <v>70</v>
      </c>
      <c r="G79" s="204">
        <f>IFERROR(IF(C79=1,VLOOKUP(A79,Output!$A$27:$AB$137,28,FALSE)/AnnuityMode,0),0)</f>
        <v>0</v>
      </c>
      <c r="H79" s="220">
        <f>IFERROR(IF(AND(MIN(A79&gt;25,Age+A79&gt;=85),B79=12),VLOOKUP(A79,Output!$A$27:$AE$137,31,FALSE),0),0)</f>
        <v>0</v>
      </c>
      <c r="I79" s="221">
        <f>IFERROR(IF(AND(MIN(A79&gt;15,A79+Age&gt;=70),C79=1),VLOOKUP(A79,Output!$A$27:$AF$137,32,FALSE)*VLOOKUP('SV calc_ignore'!A79,Output!$A$27:$AG$137,33,FALSE)/IF(AnnuityMode=2,2,IF(AnnuityMode=4,4,IF(AnnuityMode=12,12,1))),0),0)</f>
        <v>0</v>
      </c>
      <c r="J79" s="227">
        <f t="shared" si="13"/>
        <v>0</v>
      </c>
      <c r="K79" s="209">
        <f t="shared" si="19"/>
        <v>0</v>
      </c>
      <c r="L79" s="209">
        <f t="shared" si="14"/>
        <v>0</v>
      </c>
      <c r="M79" s="210">
        <f t="shared" si="23"/>
        <v>0</v>
      </c>
      <c r="N79" s="211">
        <f t="shared" si="20"/>
        <v>0</v>
      </c>
      <c r="O79" s="194">
        <f t="shared" si="21"/>
        <v>0</v>
      </c>
      <c r="P79" s="212">
        <f t="shared" si="15"/>
        <v>0</v>
      </c>
      <c r="Q79">
        <f t="shared" si="16"/>
        <v>1162973.7582771634</v>
      </c>
      <c r="X79" s="216">
        <f t="shared" si="22"/>
        <v>5</v>
      </c>
      <c r="Y79">
        <f t="shared" si="17"/>
        <v>0</v>
      </c>
    </row>
    <row r="80" spans="1:25" x14ac:dyDescent="0.2">
      <c r="A80" s="204">
        <f>IF(MOD(COUNT($A$10:A79),12)=0,A79+1,A79)</f>
        <v>6</v>
      </c>
      <c r="B80" s="218">
        <f t="shared" si="18"/>
        <v>11</v>
      </c>
      <c r="C80" s="218">
        <f t="shared" si="12"/>
        <v>1</v>
      </c>
      <c r="D80" s="208">
        <f>IF(MOD(COUNT($D$10:D79),6)=0,D79+1,D79)</f>
        <v>12</v>
      </c>
      <c r="E80" s="208">
        <f>IF(MOD(COUNT($E$10:E79),3)=0,E79+1,E79)</f>
        <v>24</v>
      </c>
      <c r="F80" s="208">
        <f>IF(MOD(COUNT($F$10:F79),1)=0,F79+1,F79)</f>
        <v>71</v>
      </c>
      <c r="G80" s="204">
        <f>IFERROR(IF(C80=1,VLOOKUP(A80,Output!$A$27:$AB$137,28,FALSE)/AnnuityMode,0),0)</f>
        <v>0</v>
      </c>
      <c r="H80" s="220">
        <f>IFERROR(IF(AND(MIN(A80&gt;25,Age+A80&gt;=85),B80=12),VLOOKUP(A80,Output!$A$27:$AE$137,31,FALSE),0),0)</f>
        <v>0</v>
      </c>
      <c r="I80" s="221">
        <f>IFERROR(IF(AND(MIN(A80&gt;15,A80+Age&gt;=70),C80=1),VLOOKUP(A80,Output!$A$27:$AF$137,32,FALSE)*VLOOKUP('SV calc_ignore'!A80,Output!$A$27:$AG$137,33,FALSE)/IF(AnnuityMode=2,2,IF(AnnuityMode=4,4,IF(AnnuityMode=12,12,1))),0),0)</f>
        <v>0</v>
      </c>
      <c r="J80" s="227">
        <f t="shared" si="13"/>
        <v>0</v>
      </c>
      <c r="K80" s="209">
        <f t="shared" si="19"/>
        <v>0</v>
      </c>
      <c r="L80" s="209">
        <f t="shared" si="14"/>
        <v>0</v>
      </c>
      <c r="M80" s="210">
        <f t="shared" si="23"/>
        <v>0</v>
      </c>
      <c r="N80" s="211">
        <f t="shared" si="20"/>
        <v>0</v>
      </c>
      <c r="O80" s="194">
        <f t="shared" si="21"/>
        <v>0</v>
      </c>
      <c r="P80" s="212">
        <f t="shared" si="15"/>
        <v>0</v>
      </c>
      <c r="Q80">
        <f t="shared" si="16"/>
        <v>1170906.9760540393</v>
      </c>
      <c r="X80" s="216">
        <f t="shared" si="22"/>
        <v>5</v>
      </c>
      <c r="Y80">
        <f t="shared" si="17"/>
        <v>0</v>
      </c>
    </row>
    <row r="81" spans="1:25" x14ac:dyDescent="0.2">
      <c r="A81" s="204">
        <f>IF(MOD(COUNT($A$10:A80),12)=0,A80+1,A80)</f>
        <v>6</v>
      </c>
      <c r="B81" s="218">
        <f t="shared" si="18"/>
        <v>12</v>
      </c>
      <c r="C81" s="218">
        <f t="shared" si="12"/>
        <v>1</v>
      </c>
      <c r="D81" s="208">
        <f>IF(MOD(COUNT($D$10:D80),6)=0,D80+1,D80)</f>
        <v>12</v>
      </c>
      <c r="E81" s="208">
        <f>IF(MOD(COUNT($E$10:E80),3)=0,E80+1,E80)</f>
        <v>24</v>
      </c>
      <c r="F81" s="208">
        <f>IF(MOD(COUNT($F$10:F80),1)=0,F80+1,F80)</f>
        <v>72</v>
      </c>
      <c r="G81" s="204">
        <f>IFERROR(IF(C81=1,VLOOKUP(A81,Output!$A$27:$AB$137,28,FALSE)/AnnuityMode,0),0)</f>
        <v>0</v>
      </c>
      <c r="H81" s="220">
        <f>IFERROR(IF(AND(MIN(A81&gt;25,Age+A81&gt;=85),B81=12),VLOOKUP(A81,Output!$A$27:$AE$137,31,FALSE),0),0)</f>
        <v>0</v>
      </c>
      <c r="I81" s="221">
        <f>IFERROR(IF(AND(MIN(A81&gt;15,A81+Age&gt;=70),C81=1),VLOOKUP(A81,Output!$A$27:$AF$137,32,FALSE)*VLOOKUP('SV calc_ignore'!A81,Output!$A$27:$AG$137,33,FALSE)/IF(AnnuityMode=2,2,IF(AnnuityMode=4,4,IF(AnnuityMode=12,12,1))),0),0)</f>
        <v>0</v>
      </c>
      <c r="J81" s="227">
        <f t="shared" si="13"/>
        <v>0</v>
      </c>
      <c r="K81" s="209">
        <f t="shared" si="19"/>
        <v>0</v>
      </c>
      <c r="L81" s="209">
        <f t="shared" si="14"/>
        <v>0</v>
      </c>
      <c r="M81" s="210">
        <f t="shared" si="23"/>
        <v>0</v>
      </c>
      <c r="N81" s="211">
        <f t="shared" si="20"/>
        <v>0</v>
      </c>
      <c r="O81" s="194">
        <f t="shared" si="21"/>
        <v>0</v>
      </c>
      <c r="P81" s="212">
        <f t="shared" si="15"/>
        <v>0</v>
      </c>
      <c r="Q81">
        <f t="shared" si="16"/>
        <v>1178894.3102233508</v>
      </c>
      <c r="X81" s="216">
        <f t="shared" si="22"/>
        <v>5</v>
      </c>
      <c r="Y81">
        <f t="shared" si="17"/>
        <v>0</v>
      </c>
    </row>
    <row r="82" spans="1:25" x14ac:dyDescent="0.2">
      <c r="A82" s="204">
        <f>IF(MOD(COUNT($A$10:A81),12)=0,A81+1,A81)</f>
        <v>7</v>
      </c>
      <c r="B82" s="218">
        <f t="shared" si="18"/>
        <v>1</v>
      </c>
      <c r="C82" s="218">
        <f t="shared" si="12"/>
        <v>1</v>
      </c>
      <c r="D82" s="208">
        <f>IF(MOD(COUNT($D$10:D81),6)=0,D81+1,D81)</f>
        <v>13</v>
      </c>
      <c r="E82" s="208">
        <f>IF(MOD(COUNT($E$10:E81),3)=0,E81+1,E81)</f>
        <v>25</v>
      </c>
      <c r="F82" s="208">
        <f>IF(MOD(COUNT($F$10:F81),1)=0,F81+1,F81)</f>
        <v>73</v>
      </c>
      <c r="G82" s="204">
        <f>IFERROR(IF(C82=1,VLOOKUP(A82,Output!$A$27:$AB$137,28,FALSE)/AnnuityMode,0),0)</f>
        <v>0</v>
      </c>
      <c r="H82" s="220">
        <f>IFERROR(IF(AND(MIN(A82&gt;25,Age+A82&gt;=85),B82=12),VLOOKUP(A82,Output!$A$27:$AE$137,31,FALSE),0),0)</f>
        <v>0</v>
      </c>
      <c r="I82" s="221">
        <f>IFERROR(IF(AND(MIN(A82&gt;15,A82+Age&gt;=70),C82=1),VLOOKUP(A82,Output!$A$27:$AF$137,32,FALSE)*VLOOKUP('SV calc_ignore'!A82,Output!$A$27:$AG$137,33,FALSE)/IF(AnnuityMode=2,2,IF(AnnuityMode=4,4,IF(AnnuityMode=12,12,1))),0),0)</f>
        <v>0</v>
      </c>
      <c r="J82" s="227">
        <f t="shared" si="13"/>
        <v>0</v>
      </c>
      <c r="K82" s="209">
        <f t="shared" si="19"/>
        <v>0</v>
      </c>
      <c r="L82" s="209">
        <f t="shared" si="14"/>
        <v>0</v>
      </c>
      <c r="M82" s="210">
        <f t="shared" si="23"/>
        <v>0</v>
      </c>
      <c r="N82" s="211">
        <f t="shared" si="20"/>
        <v>0</v>
      </c>
      <c r="O82" s="194">
        <f t="shared" si="21"/>
        <v>0</v>
      </c>
      <c r="P82" s="212">
        <f t="shared" si="15"/>
        <v>0</v>
      </c>
      <c r="Q82">
        <f t="shared" si="16"/>
        <v>1186936.12993971</v>
      </c>
      <c r="X82" s="216">
        <f t="shared" si="22"/>
        <v>6</v>
      </c>
      <c r="Y82">
        <f t="shared" si="17"/>
        <v>0</v>
      </c>
    </row>
    <row r="83" spans="1:25" x14ac:dyDescent="0.2">
      <c r="A83" s="204">
        <f>IF(MOD(COUNT($A$10:A82),12)=0,A82+1,A82)</f>
        <v>7</v>
      </c>
      <c r="B83" s="218">
        <f t="shared" si="18"/>
        <v>2</v>
      </c>
      <c r="C83" s="218">
        <f t="shared" si="12"/>
        <v>1</v>
      </c>
      <c r="D83" s="208">
        <f>IF(MOD(COUNT($D$10:D82),6)=0,D82+1,D82)</f>
        <v>13</v>
      </c>
      <c r="E83" s="208">
        <f>IF(MOD(COUNT($E$10:E82),3)=0,E82+1,E82)</f>
        <v>25</v>
      </c>
      <c r="F83" s="208">
        <f>IF(MOD(COUNT($F$10:F82),1)=0,F82+1,F82)</f>
        <v>74</v>
      </c>
      <c r="G83" s="204">
        <f>IFERROR(IF(C83=1,VLOOKUP(A83,Output!$A$27:$AB$137,28,FALSE)/AnnuityMode,0),0)</f>
        <v>0</v>
      </c>
      <c r="H83" s="220">
        <f>IFERROR(IF(AND(MIN(A83&gt;25,Age+A83&gt;=85),B83=12),VLOOKUP(A83,Output!$A$27:$AE$137,31,FALSE),0),0)</f>
        <v>0</v>
      </c>
      <c r="I83" s="221">
        <f>IFERROR(IF(AND(MIN(A83&gt;15,A83+Age&gt;=70),C83=1),VLOOKUP(A83,Output!$A$27:$AF$137,32,FALSE)*VLOOKUP('SV calc_ignore'!A83,Output!$A$27:$AG$137,33,FALSE)/IF(AnnuityMode=2,2,IF(AnnuityMode=4,4,IF(AnnuityMode=12,12,1))),0),0)</f>
        <v>0</v>
      </c>
      <c r="J83" s="227">
        <f t="shared" si="13"/>
        <v>0</v>
      </c>
      <c r="K83" s="209">
        <f t="shared" si="19"/>
        <v>0</v>
      </c>
      <c r="L83" s="209">
        <f t="shared" si="14"/>
        <v>0</v>
      </c>
      <c r="M83" s="210">
        <f t="shared" si="23"/>
        <v>0</v>
      </c>
      <c r="N83" s="211">
        <f t="shared" si="20"/>
        <v>0</v>
      </c>
      <c r="O83" s="194">
        <f t="shared" si="21"/>
        <v>0</v>
      </c>
      <c r="P83" s="212">
        <f t="shared" si="15"/>
        <v>0</v>
      </c>
      <c r="Q83">
        <f t="shared" si="16"/>
        <v>1195032.8068759146</v>
      </c>
      <c r="X83" s="216">
        <f t="shared" si="22"/>
        <v>6</v>
      </c>
      <c r="Y83">
        <f t="shared" si="17"/>
        <v>0</v>
      </c>
    </row>
    <row r="84" spans="1:25" x14ac:dyDescent="0.2">
      <c r="A84" s="204">
        <f>IF(MOD(COUNT($A$10:A83),12)=0,A83+1,A83)</f>
        <v>7</v>
      </c>
      <c r="B84" s="218">
        <f t="shared" si="18"/>
        <v>3</v>
      </c>
      <c r="C84" s="218">
        <f t="shared" si="12"/>
        <v>1</v>
      </c>
      <c r="D84" s="208">
        <f>IF(MOD(COUNT($D$10:D83),6)=0,D83+1,D83)</f>
        <v>13</v>
      </c>
      <c r="E84" s="208">
        <f>IF(MOD(COUNT($E$10:E83),3)=0,E83+1,E83)</f>
        <v>25</v>
      </c>
      <c r="F84" s="208">
        <f>IF(MOD(COUNT($F$10:F83),1)=0,F83+1,F83)</f>
        <v>75</v>
      </c>
      <c r="G84" s="204">
        <f>IFERROR(IF(C84=1,VLOOKUP(A84,Output!$A$27:$AB$137,28,FALSE)/AnnuityMode,0),0)</f>
        <v>0</v>
      </c>
      <c r="H84" s="220">
        <f>IFERROR(IF(AND(MIN(A84&gt;25,Age+A84&gt;=85),B84=12),VLOOKUP(A84,Output!$A$27:$AE$137,31,FALSE),0),0)</f>
        <v>0</v>
      </c>
      <c r="I84" s="221">
        <f>IFERROR(IF(AND(MIN(A84&gt;15,A84+Age&gt;=70),C84=1),VLOOKUP(A84,Output!$A$27:$AF$137,32,FALSE)*VLOOKUP('SV calc_ignore'!A84,Output!$A$27:$AG$137,33,FALSE)/IF(AnnuityMode=2,2,IF(AnnuityMode=4,4,IF(AnnuityMode=12,12,1))),0),0)</f>
        <v>0</v>
      </c>
      <c r="J84" s="227">
        <f t="shared" si="13"/>
        <v>0</v>
      </c>
      <c r="K84" s="209">
        <f t="shared" si="19"/>
        <v>0</v>
      </c>
      <c r="L84" s="209">
        <f t="shared" si="14"/>
        <v>0</v>
      </c>
      <c r="M84" s="210">
        <f t="shared" si="23"/>
        <v>0</v>
      </c>
      <c r="N84" s="211">
        <f t="shared" si="20"/>
        <v>0</v>
      </c>
      <c r="O84" s="194">
        <f t="shared" si="21"/>
        <v>0</v>
      </c>
      <c r="P84" s="212">
        <f t="shared" si="15"/>
        <v>0</v>
      </c>
      <c r="Q84">
        <f t="shared" si="16"/>
        <v>1203184.7152401258</v>
      </c>
      <c r="X84" s="216">
        <f t="shared" si="22"/>
        <v>6</v>
      </c>
      <c r="Y84">
        <f t="shared" si="17"/>
        <v>0</v>
      </c>
    </row>
    <row r="85" spans="1:25" x14ac:dyDescent="0.2">
      <c r="A85" s="204">
        <f>IF(MOD(COUNT($A$10:A84),12)=0,A84+1,A84)</f>
        <v>7</v>
      </c>
      <c r="B85" s="218">
        <f t="shared" si="18"/>
        <v>4</v>
      </c>
      <c r="C85" s="218">
        <f t="shared" si="12"/>
        <v>1</v>
      </c>
      <c r="D85" s="208">
        <f>IF(MOD(COUNT($D$10:D84),6)=0,D84+1,D84)</f>
        <v>13</v>
      </c>
      <c r="E85" s="208">
        <f>IF(MOD(COUNT($E$10:E84),3)=0,E84+1,E84)</f>
        <v>26</v>
      </c>
      <c r="F85" s="208">
        <f>IF(MOD(COUNT($F$10:F84),1)=0,F84+1,F84)</f>
        <v>76</v>
      </c>
      <c r="G85" s="204">
        <f>IFERROR(IF(C85=1,VLOOKUP(A85,Output!$A$27:$AB$137,28,FALSE)/AnnuityMode,0),0)</f>
        <v>0</v>
      </c>
      <c r="H85" s="220">
        <f>IFERROR(IF(AND(MIN(A85&gt;25,Age+A85&gt;=85),B85=12),VLOOKUP(A85,Output!$A$27:$AE$137,31,FALSE),0),0)</f>
        <v>0</v>
      </c>
      <c r="I85" s="221">
        <f>IFERROR(IF(AND(MIN(A85&gt;15,A85+Age&gt;=70),C85=1),VLOOKUP(A85,Output!$A$27:$AF$137,32,FALSE)*VLOOKUP('SV calc_ignore'!A85,Output!$A$27:$AG$137,33,FALSE)/IF(AnnuityMode=2,2,IF(AnnuityMode=4,4,IF(AnnuityMode=12,12,1))),0),0)</f>
        <v>0</v>
      </c>
      <c r="J85" s="227">
        <f t="shared" si="13"/>
        <v>0</v>
      </c>
      <c r="K85" s="209">
        <f t="shared" si="19"/>
        <v>0</v>
      </c>
      <c r="L85" s="209">
        <f t="shared" si="14"/>
        <v>0</v>
      </c>
      <c r="M85" s="210">
        <f t="shared" si="23"/>
        <v>0</v>
      </c>
      <c r="N85" s="211">
        <f t="shared" si="20"/>
        <v>0</v>
      </c>
      <c r="O85" s="194">
        <f t="shared" si="21"/>
        <v>0</v>
      </c>
      <c r="P85" s="212">
        <f t="shared" si="15"/>
        <v>0</v>
      </c>
      <c r="Q85">
        <f t="shared" si="16"/>
        <v>1211392.2317931636</v>
      </c>
      <c r="X85" s="216">
        <f t="shared" si="22"/>
        <v>6</v>
      </c>
      <c r="Y85">
        <f t="shared" si="17"/>
        <v>0</v>
      </c>
    </row>
    <row r="86" spans="1:25" x14ac:dyDescent="0.2">
      <c r="A86" s="204">
        <f>IF(MOD(COUNT($A$10:A85),12)=0,A85+1,A85)</f>
        <v>7</v>
      </c>
      <c r="B86" s="218">
        <f t="shared" si="18"/>
        <v>5</v>
      </c>
      <c r="C86" s="218">
        <f t="shared" si="12"/>
        <v>1</v>
      </c>
      <c r="D86" s="208">
        <f>IF(MOD(COUNT($D$10:D85),6)=0,D85+1,D85)</f>
        <v>13</v>
      </c>
      <c r="E86" s="208">
        <f>IF(MOD(COUNT($E$10:E85),3)=0,E85+1,E85)</f>
        <v>26</v>
      </c>
      <c r="F86" s="208">
        <f>IF(MOD(COUNT($F$10:F85),1)=0,F85+1,F85)</f>
        <v>77</v>
      </c>
      <c r="G86" s="204">
        <f>IFERROR(IF(C86=1,VLOOKUP(A86,Output!$A$27:$AB$137,28,FALSE)/AnnuityMode,0),0)</f>
        <v>0</v>
      </c>
      <c r="H86" s="220">
        <f>IFERROR(IF(AND(MIN(A86&gt;25,Age+A86&gt;=85),B86=12),VLOOKUP(A86,Output!$A$27:$AE$137,31,FALSE),0),0)</f>
        <v>0</v>
      </c>
      <c r="I86" s="221">
        <f>IFERROR(IF(AND(MIN(A86&gt;15,A86+Age&gt;=70),C86=1),VLOOKUP(A86,Output!$A$27:$AF$137,32,FALSE)*VLOOKUP('SV calc_ignore'!A86,Output!$A$27:$AG$137,33,FALSE)/IF(AnnuityMode=2,2,IF(AnnuityMode=4,4,IF(AnnuityMode=12,12,1))),0),0)</f>
        <v>0</v>
      </c>
      <c r="J86" s="227">
        <f t="shared" si="13"/>
        <v>0</v>
      </c>
      <c r="K86" s="209">
        <f t="shared" si="19"/>
        <v>0</v>
      </c>
      <c r="L86" s="209">
        <f t="shared" si="14"/>
        <v>0</v>
      </c>
      <c r="M86" s="210">
        <f t="shared" si="23"/>
        <v>0</v>
      </c>
      <c r="N86" s="211">
        <f t="shared" si="20"/>
        <v>0</v>
      </c>
      <c r="O86" s="194">
        <f t="shared" si="21"/>
        <v>0</v>
      </c>
      <c r="P86" s="212">
        <f t="shared" si="15"/>
        <v>0</v>
      </c>
      <c r="Q86">
        <f t="shared" si="16"/>
        <v>1219655.7358659189</v>
      </c>
      <c r="X86" s="216">
        <f t="shared" si="22"/>
        <v>6</v>
      </c>
      <c r="Y86">
        <f t="shared" si="17"/>
        <v>0</v>
      </c>
    </row>
    <row r="87" spans="1:25" x14ac:dyDescent="0.2">
      <c r="A87" s="204">
        <f>IF(MOD(COUNT($A$10:A86),12)=0,A86+1,A86)</f>
        <v>7</v>
      </c>
      <c r="B87" s="218">
        <f t="shared" si="18"/>
        <v>6</v>
      </c>
      <c r="C87" s="218">
        <f t="shared" si="12"/>
        <v>1</v>
      </c>
      <c r="D87" s="208">
        <f>IF(MOD(COUNT($D$10:D86),6)=0,D86+1,D86)</f>
        <v>13</v>
      </c>
      <c r="E87" s="208">
        <f>IF(MOD(COUNT($E$10:E86),3)=0,E86+1,E86)</f>
        <v>26</v>
      </c>
      <c r="F87" s="208">
        <f>IF(MOD(COUNT($F$10:F86),1)=0,F86+1,F86)</f>
        <v>78</v>
      </c>
      <c r="G87" s="204">
        <f>IFERROR(IF(C87=1,VLOOKUP(A87,Output!$A$27:$AB$137,28,FALSE)/AnnuityMode,0),0)</f>
        <v>0</v>
      </c>
      <c r="H87" s="220">
        <f>IFERROR(IF(AND(MIN(A87&gt;25,Age+A87&gt;=85),B87=12),VLOOKUP(A87,Output!$A$27:$AE$137,31,FALSE),0),0)</f>
        <v>0</v>
      </c>
      <c r="I87" s="221">
        <f>IFERROR(IF(AND(MIN(A87&gt;15,A87+Age&gt;=70),C87=1),VLOOKUP(A87,Output!$A$27:$AF$137,32,FALSE)*VLOOKUP('SV calc_ignore'!A87,Output!$A$27:$AG$137,33,FALSE)/IF(AnnuityMode=2,2,IF(AnnuityMode=4,4,IF(AnnuityMode=12,12,1))),0),0)</f>
        <v>0</v>
      </c>
      <c r="J87" s="227">
        <f t="shared" si="13"/>
        <v>0</v>
      </c>
      <c r="K87" s="209">
        <f t="shared" si="19"/>
        <v>0</v>
      </c>
      <c r="L87" s="209">
        <f t="shared" si="14"/>
        <v>0</v>
      </c>
      <c r="M87" s="210">
        <f t="shared" si="23"/>
        <v>0</v>
      </c>
      <c r="N87" s="211">
        <f t="shared" si="20"/>
        <v>0</v>
      </c>
      <c r="O87" s="194">
        <f t="shared" si="21"/>
        <v>0</v>
      </c>
      <c r="P87" s="212">
        <f t="shared" si="15"/>
        <v>0</v>
      </c>
      <c r="Q87">
        <f t="shared" si="16"/>
        <v>1227975.6093768862</v>
      </c>
      <c r="X87" s="216">
        <f t="shared" si="22"/>
        <v>6</v>
      </c>
      <c r="Y87">
        <f t="shared" si="17"/>
        <v>0</v>
      </c>
    </row>
    <row r="88" spans="1:25" x14ac:dyDescent="0.2">
      <c r="A88" s="204">
        <f>IF(MOD(COUNT($A$10:A87),12)=0,A87+1,A87)</f>
        <v>7</v>
      </c>
      <c r="B88" s="218">
        <f t="shared" si="18"/>
        <v>7</v>
      </c>
      <c r="C88" s="218">
        <f t="shared" si="12"/>
        <v>1</v>
      </c>
      <c r="D88" s="208">
        <f>IF(MOD(COUNT($D$10:D87),6)=0,D87+1,D87)</f>
        <v>14</v>
      </c>
      <c r="E88" s="208">
        <f>IF(MOD(COUNT($E$10:E87),3)=0,E87+1,E87)</f>
        <v>27</v>
      </c>
      <c r="F88" s="208">
        <f>IF(MOD(COUNT($F$10:F87),1)=0,F87+1,F87)</f>
        <v>79</v>
      </c>
      <c r="G88" s="204">
        <f>IFERROR(IF(C88=1,VLOOKUP(A88,Output!$A$27:$AB$137,28,FALSE)/AnnuityMode,0),0)</f>
        <v>0</v>
      </c>
      <c r="H88" s="220">
        <f>IFERROR(IF(AND(MIN(A88&gt;25,Age+A88&gt;=85),B88=12),VLOOKUP(A88,Output!$A$27:$AE$137,31,FALSE),0),0)</f>
        <v>0</v>
      </c>
      <c r="I88" s="221">
        <f>IFERROR(IF(AND(MIN(A88&gt;15,A88+Age&gt;=70),C88=1),VLOOKUP(A88,Output!$A$27:$AF$137,32,FALSE)*VLOOKUP('SV calc_ignore'!A88,Output!$A$27:$AG$137,33,FALSE)/IF(AnnuityMode=2,2,IF(AnnuityMode=4,4,IF(AnnuityMode=12,12,1))),0),0)</f>
        <v>0</v>
      </c>
      <c r="J88" s="227">
        <f t="shared" si="13"/>
        <v>0</v>
      </c>
      <c r="K88" s="209">
        <f t="shared" si="19"/>
        <v>0</v>
      </c>
      <c r="L88" s="209">
        <f t="shared" si="14"/>
        <v>0</v>
      </c>
      <c r="M88" s="210">
        <f t="shared" si="23"/>
        <v>0</v>
      </c>
      <c r="N88" s="211">
        <f t="shared" si="20"/>
        <v>0</v>
      </c>
      <c r="O88" s="194">
        <f t="shared" si="21"/>
        <v>0</v>
      </c>
      <c r="P88" s="212">
        <f t="shared" si="15"/>
        <v>0</v>
      </c>
      <c r="Q88">
        <f t="shared" si="16"/>
        <v>1236352.236849814</v>
      </c>
      <c r="X88" s="216">
        <f t="shared" si="22"/>
        <v>6</v>
      </c>
      <c r="Y88">
        <f t="shared" si="17"/>
        <v>0</v>
      </c>
    </row>
    <row r="89" spans="1:25" x14ac:dyDescent="0.2">
      <c r="A89" s="204">
        <f>IF(MOD(COUNT($A$10:A88),12)=0,A88+1,A88)</f>
        <v>7</v>
      </c>
      <c r="B89" s="218">
        <f t="shared" si="18"/>
        <v>8</v>
      </c>
      <c r="C89" s="218">
        <f t="shared" si="12"/>
        <v>1</v>
      </c>
      <c r="D89" s="208">
        <f>IF(MOD(COUNT($D$10:D88),6)=0,D88+1,D88)</f>
        <v>14</v>
      </c>
      <c r="E89" s="208">
        <f>IF(MOD(COUNT($E$10:E88),3)=0,E88+1,E88)</f>
        <v>27</v>
      </c>
      <c r="F89" s="208">
        <f>IF(MOD(COUNT($F$10:F88),1)=0,F88+1,F88)</f>
        <v>80</v>
      </c>
      <c r="G89" s="204">
        <f>IFERROR(IF(C89=1,VLOOKUP(A89,Output!$A$27:$AB$137,28,FALSE)/AnnuityMode,0),0)</f>
        <v>0</v>
      </c>
      <c r="H89" s="220">
        <f>IFERROR(IF(AND(MIN(A89&gt;25,Age+A89&gt;=85),B89=12),VLOOKUP(A89,Output!$A$27:$AE$137,31,FALSE),0),0)</f>
        <v>0</v>
      </c>
      <c r="I89" s="221">
        <f>IFERROR(IF(AND(MIN(A89&gt;15,A89+Age&gt;=70),C89=1),VLOOKUP(A89,Output!$A$27:$AF$137,32,FALSE)*VLOOKUP('SV calc_ignore'!A89,Output!$A$27:$AG$137,33,FALSE)/IF(AnnuityMode=2,2,IF(AnnuityMode=4,4,IF(AnnuityMode=12,12,1))),0),0)</f>
        <v>0</v>
      </c>
      <c r="J89" s="227">
        <f t="shared" si="13"/>
        <v>0</v>
      </c>
      <c r="K89" s="209">
        <f t="shared" si="19"/>
        <v>0</v>
      </c>
      <c r="L89" s="209">
        <f t="shared" si="14"/>
        <v>0</v>
      </c>
      <c r="M89" s="210">
        <f t="shared" si="23"/>
        <v>0</v>
      </c>
      <c r="N89" s="211">
        <f t="shared" si="20"/>
        <v>0</v>
      </c>
      <c r="O89" s="194">
        <f t="shared" si="21"/>
        <v>0</v>
      </c>
      <c r="P89" s="212">
        <f t="shared" si="15"/>
        <v>0</v>
      </c>
      <c r="Q89">
        <f t="shared" si="16"/>
        <v>1244786.0054314774</v>
      </c>
      <c r="X89" s="216">
        <f t="shared" si="22"/>
        <v>6</v>
      </c>
      <c r="Y89">
        <f t="shared" si="17"/>
        <v>0</v>
      </c>
    </row>
    <row r="90" spans="1:25" x14ac:dyDescent="0.2">
      <c r="A90" s="204">
        <f>IF(MOD(COUNT($A$10:A89),12)=0,A89+1,A89)</f>
        <v>7</v>
      </c>
      <c r="B90" s="218">
        <f t="shared" si="18"/>
        <v>9</v>
      </c>
      <c r="C90" s="218">
        <f t="shared" si="12"/>
        <v>1</v>
      </c>
      <c r="D90" s="208">
        <f>IF(MOD(COUNT($D$10:D89),6)=0,D89+1,D89)</f>
        <v>14</v>
      </c>
      <c r="E90" s="208">
        <f>IF(MOD(COUNT($E$10:E89),3)=0,E89+1,E89)</f>
        <v>27</v>
      </c>
      <c r="F90" s="208">
        <f>IF(MOD(COUNT($F$10:F89),1)=0,F89+1,F89)</f>
        <v>81</v>
      </c>
      <c r="G90" s="204">
        <f>IFERROR(IF(C90=1,VLOOKUP(A90,Output!$A$27:$AB$137,28,FALSE)/AnnuityMode,0),0)</f>
        <v>0</v>
      </c>
      <c r="H90" s="220">
        <f>IFERROR(IF(AND(MIN(A90&gt;25,Age+A90&gt;=85),B90=12),VLOOKUP(A90,Output!$A$27:$AE$137,31,FALSE),0),0)</f>
        <v>0</v>
      </c>
      <c r="I90" s="221">
        <f>IFERROR(IF(AND(MIN(A90&gt;15,A90+Age&gt;=70),C90=1),VLOOKUP(A90,Output!$A$27:$AF$137,32,FALSE)*VLOOKUP('SV calc_ignore'!A90,Output!$A$27:$AG$137,33,FALSE)/IF(AnnuityMode=2,2,IF(AnnuityMode=4,4,IF(AnnuityMode=12,12,1))),0),0)</f>
        <v>0</v>
      </c>
      <c r="J90" s="227">
        <f t="shared" si="13"/>
        <v>0</v>
      </c>
      <c r="K90" s="209">
        <f t="shared" si="19"/>
        <v>0</v>
      </c>
      <c r="L90" s="209">
        <f t="shared" si="14"/>
        <v>0</v>
      </c>
      <c r="M90" s="210">
        <f t="shared" si="23"/>
        <v>0</v>
      </c>
      <c r="N90" s="211">
        <f t="shared" si="20"/>
        <v>0</v>
      </c>
      <c r="O90" s="194">
        <f t="shared" si="21"/>
        <v>0</v>
      </c>
      <c r="P90" s="212">
        <f t="shared" si="15"/>
        <v>0</v>
      </c>
      <c r="Q90">
        <f t="shared" si="16"/>
        <v>1253277.3049095708</v>
      </c>
      <c r="X90" s="216">
        <f t="shared" si="22"/>
        <v>6</v>
      </c>
      <c r="Y90">
        <f t="shared" si="17"/>
        <v>0</v>
      </c>
    </row>
    <row r="91" spans="1:25" x14ac:dyDescent="0.2">
      <c r="A91" s="204">
        <f>IF(MOD(COUNT($A$10:A90),12)=0,A90+1,A90)</f>
        <v>7</v>
      </c>
      <c r="B91" s="218">
        <f t="shared" si="18"/>
        <v>10</v>
      </c>
      <c r="C91" s="218">
        <f t="shared" si="12"/>
        <v>1</v>
      </c>
      <c r="D91" s="208">
        <f>IF(MOD(COUNT($D$10:D90),6)=0,D90+1,D90)</f>
        <v>14</v>
      </c>
      <c r="E91" s="208">
        <f>IF(MOD(COUNT($E$10:E90),3)=0,E90+1,E90)</f>
        <v>28</v>
      </c>
      <c r="F91" s="208">
        <f>IF(MOD(COUNT($F$10:F90),1)=0,F90+1,F90)</f>
        <v>82</v>
      </c>
      <c r="G91" s="204">
        <f>IFERROR(IF(C91=1,VLOOKUP(A91,Output!$A$27:$AB$137,28,FALSE)/AnnuityMode,0),0)</f>
        <v>0</v>
      </c>
      <c r="H91" s="220">
        <f>IFERROR(IF(AND(MIN(A91&gt;25,Age+A91&gt;=85),B91=12),VLOOKUP(A91,Output!$A$27:$AE$137,31,FALSE),0),0)</f>
        <v>0</v>
      </c>
      <c r="I91" s="221">
        <f>IFERROR(IF(AND(MIN(A91&gt;15,A91+Age&gt;=70),C91=1),VLOOKUP(A91,Output!$A$27:$AF$137,32,FALSE)*VLOOKUP('SV calc_ignore'!A91,Output!$A$27:$AG$137,33,FALSE)/IF(AnnuityMode=2,2,IF(AnnuityMode=4,4,IF(AnnuityMode=12,12,1))),0),0)</f>
        <v>0</v>
      </c>
      <c r="J91" s="227">
        <f t="shared" si="13"/>
        <v>0</v>
      </c>
      <c r="K91" s="209">
        <f t="shared" si="19"/>
        <v>0</v>
      </c>
      <c r="L91" s="209">
        <f t="shared" si="14"/>
        <v>0</v>
      </c>
      <c r="M91" s="210">
        <f t="shared" si="23"/>
        <v>0</v>
      </c>
      <c r="N91" s="211">
        <f t="shared" si="20"/>
        <v>0</v>
      </c>
      <c r="O91" s="194">
        <f t="shared" si="21"/>
        <v>0</v>
      </c>
      <c r="P91" s="212">
        <f t="shared" si="15"/>
        <v>0</v>
      </c>
      <c r="Q91">
        <f t="shared" si="16"/>
        <v>1261826.5277307224</v>
      </c>
      <c r="X91" s="216">
        <f t="shared" si="22"/>
        <v>6</v>
      </c>
      <c r="Y91">
        <f t="shared" si="17"/>
        <v>0</v>
      </c>
    </row>
    <row r="92" spans="1:25" x14ac:dyDescent="0.2">
      <c r="A92" s="204">
        <f>IF(MOD(COUNT($A$10:A91),12)=0,A91+1,A91)</f>
        <v>7</v>
      </c>
      <c r="B92" s="218">
        <f t="shared" si="18"/>
        <v>11</v>
      </c>
      <c r="C92" s="218">
        <f t="shared" si="12"/>
        <v>1</v>
      </c>
      <c r="D92" s="208">
        <f>IF(MOD(COUNT($D$10:D91),6)=0,D91+1,D91)</f>
        <v>14</v>
      </c>
      <c r="E92" s="208">
        <f>IF(MOD(COUNT($E$10:E91),3)=0,E91+1,E91)</f>
        <v>28</v>
      </c>
      <c r="F92" s="208">
        <f>IF(MOD(COUNT($F$10:F91),1)=0,F91+1,F91)</f>
        <v>83</v>
      </c>
      <c r="G92" s="204">
        <f>IFERROR(IF(C92=1,VLOOKUP(A92,Output!$A$27:$AB$137,28,FALSE)/AnnuityMode,0),0)</f>
        <v>0</v>
      </c>
      <c r="H92" s="220">
        <f>IFERROR(IF(AND(MIN(A92&gt;25,Age+A92&gt;=85),B92=12),VLOOKUP(A92,Output!$A$27:$AE$137,31,FALSE),0),0)</f>
        <v>0</v>
      </c>
      <c r="I92" s="221">
        <f>IFERROR(IF(AND(MIN(A92&gt;15,A92+Age&gt;=70),C92=1),VLOOKUP(A92,Output!$A$27:$AF$137,32,FALSE)*VLOOKUP('SV calc_ignore'!A92,Output!$A$27:$AG$137,33,FALSE)/IF(AnnuityMode=2,2,IF(AnnuityMode=4,4,IF(AnnuityMode=12,12,1))),0),0)</f>
        <v>0</v>
      </c>
      <c r="J92" s="227">
        <f t="shared" si="13"/>
        <v>0</v>
      </c>
      <c r="K92" s="209">
        <f t="shared" si="19"/>
        <v>0</v>
      </c>
      <c r="L92" s="209">
        <f t="shared" si="14"/>
        <v>0</v>
      </c>
      <c r="M92" s="210">
        <f t="shared" si="23"/>
        <v>0</v>
      </c>
      <c r="N92" s="211">
        <f t="shared" si="20"/>
        <v>0</v>
      </c>
      <c r="O92" s="194">
        <f t="shared" si="21"/>
        <v>0</v>
      </c>
      <c r="P92" s="212">
        <f t="shared" si="15"/>
        <v>0</v>
      </c>
      <c r="Q92">
        <f t="shared" si="16"/>
        <v>1270434.0690186326</v>
      </c>
      <c r="X92" s="216">
        <f t="shared" si="22"/>
        <v>6</v>
      </c>
      <c r="Y92">
        <f t="shared" si="17"/>
        <v>0</v>
      </c>
    </row>
    <row r="93" spans="1:25" x14ac:dyDescent="0.2">
      <c r="A93" s="204">
        <f>IF(MOD(COUNT($A$10:A92),12)=0,A92+1,A92)</f>
        <v>7</v>
      </c>
      <c r="B93" s="218">
        <f t="shared" si="18"/>
        <v>12</v>
      </c>
      <c r="C93" s="218">
        <f t="shared" si="12"/>
        <v>1</v>
      </c>
      <c r="D93" s="208">
        <f>IF(MOD(COUNT($D$10:D92),6)=0,D92+1,D92)</f>
        <v>14</v>
      </c>
      <c r="E93" s="208">
        <f>IF(MOD(COUNT($E$10:E92),3)=0,E92+1,E92)</f>
        <v>28</v>
      </c>
      <c r="F93" s="208">
        <f>IF(MOD(COUNT($F$10:F92),1)=0,F92+1,F92)</f>
        <v>84</v>
      </c>
      <c r="G93" s="204">
        <f>IFERROR(IF(C93=1,VLOOKUP(A93,Output!$A$27:$AB$137,28,FALSE)/AnnuityMode,0),0)</f>
        <v>0</v>
      </c>
      <c r="H93" s="220">
        <f>IFERROR(IF(AND(MIN(A93&gt;25,Age+A93&gt;=85),B93=12),VLOOKUP(A93,Output!$A$27:$AE$137,31,FALSE),0),0)</f>
        <v>0</v>
      </c>
      <c r="I93" s="221">
        <f>IFERROR(IF(AND(MIN(A93&gt;15,A93+Age&gt;=70),C93=1),VLOOKUP(A93,Output!$A$27:$AF$137,32,FALSE)*VLOOKUP('SV calc_ignore'!A93,Output!$A$27:$AG$137,33,FALSE)/IF(AnnuityMode=2,2,IF(AnnuityMode=4,4,IF(AnnuityMode=12,12,1))),0),0)</f>
        <v>0</v>
      </c>
      <c r="J93" s="227">
        <f t="shared" si="13"/>
        <v>0</v>
      </c>
      <c r="K93" s="209">
        <f t="shared" si="19"/>
        <v>0</v>
      </c>
      <c r="L93" s="209">
        <f t="shared" si="14"/>
        <v>0</v>
      </c>
      <c r="M93" s="210">
        <f t="shared" si="23"/>
        <v>0</v>
      </c>
      <c r="N93" s="211">
        <f t="shared" si="20"/>
        <v>0</v>
      </c>
      <c r="O93" s="194">
        <f t="shared" si="21"/>
        <v>0</v>
      </c>
      <c r="P93" s="212">
        <f t="shared" si="15"/>
        <v>0</v>
      </c>
      <c r="Q93">
        <f t="shared" si="16"/>
        <v>1279100.3265923357</v>
      </c>
      <c r="X93" s="216">
        <f t="shared" si="22"/>
        <v>6</v>
      </c>
      <c r="Y93">
        <f t="shared" si="17"/>
        <v>0</v>
      </c>
    </row>
    <row r="94" spans="1:25" x14ac:dyDescent="0.2">
      <c r="A94" s="204">
        <f>IF(MOD(COUNT($A$10:A93),12)=0,A93+1,A93)</f>
        <v>8</v>
      </c>
      <c r="B94" s="218">
        <f t="shared" si="18"/>
        <v>1</v>
      </c>
      <c r="C94" s="218">
        <f t="shared" si="12"/>
        <v>1</v>
      </c>
      <c r="D94" s="208">
        <f>IF(MOD(COUNT($D$10:D93),6)=0,D93+1,D93)</f>
        <v>15</v>
      </c>
      <c r="E94" s="208">
        <f>IF(MOD(COUNT($E$10:E93),3)=0,E93+1,E93)</f>
        <v>29</v>
      </c>
      <c r="F94" s="208">
        <f>IF(MOD(COUNT($F$10:F93),1)=0,F93+1,F93)</f>
        <v>85</v>
      </c>
      <c r="G94" s="204">
        <f>IFERROR(IF(C94=1,VLOOKUP(A94,Output!$A$27:$AB$137,28,FALSE)/AnnuityMode,0),0)</f>
        <v>0</v>
      </c>
      <c r="H94" s="220">
        <f>IFERROR(IF(AND(MIN(A94&gt;25,Age+A94&gt;=85),B94=12),VLOOKUP(A94,Output!$A$27:$AE$137,31,FALSE),0),0)</f>
        <v>0</v>
      </c>
      <c r="I94" s="221">
        <f>IFERROR(IF(AND(MIN(A94&gt;15,A94+Age&gt;=70),C94=1),VLOOKUP(A94,Output!$A$27:$AF$137,32,FALSE)*VLOOKUP('SV calc_ignore'!A94,Output!$A$27:$AG$137,33,FALSE)/IF(AnnuityMode=2,2,IF(AnnuityMode=4,4,IF(AnnuityMode=12,12,1))),0),0)</f>
        <v>0</v>
      </c>
      <c r="J94" s="227">
        <f t="shared" si="13"/>
        <v>0</v>
      </c>
      <c r="K94" s="209">
        <f t="shared" si="19"/>
        <v>0</v>
      </c>
      <c r="L94" s="209">
        <f t="shared" si="14"/>
        <v>0</v>
      </c>
      <c r="M94" s="210">
        <f t="shared" si="23"/>
        <v>0</v>
      </c>
      <c r="N94" s="211">
        <f t="shared" si="20"/>
        <v>0</v>
      </c>
      <c r="O94" s="194">
        <f t="shared" si="21"/>
        <v>0</v>
      </c>
      <c r="P94" s="212">
        <f t="shared" si="15"/>
        <v>0</v>
      </c>
      <c r="Q94">
        <f t="shared" si="16"/>
        <v>1287825.7009845856</v>
      </c>
      <c r="X94" s="216">
        <f t="shared" si="22"/>
        <v>7</v>
      </c>
      <c r="Y94">
        <f t="shared" si="17"/>
        <v>0</v>
      </c>
    </row>
    <row r="95" spans="1:25" x14ac:dyDescent="0.2">
      <c r="A95" s="204">
        <f>IF(MOD(COUNT($A$10:A94),12)=0,A94+1,A94)</f>
        <v>8</v>
      </c>
      <c r="B95" s="218">
        <f t="shared" si="18"/>
        <v>2</v>
      </c>
      <c r="C95" s="218">
        <f t="shared" si="12"/>
        <v>1</v>
      </c>
      <c r="D95" s="208">
        <f>IF(MOD(COUNT($D$10:D94),6)=0,D94+1,D94)</f>
        <v>15</v>
      </c>
      <c r="E95" s="208">
        <f>IF(MOD(COUNT($E$10:E94),3)=0,E94+1,E94)</f>
        <v>29</v>
      </c>
      <c r="F95" s="208">
        <f>IF(MOD(COUNT($F$10:F94),1)=0,F94+1,F94)</f>
        <v>86</v>
      </c>
      <c r="G95" s="204">
        <f>IFERROR(IF(C95=1,VLOOKUP(A95,Output!$A$27:$AB$137,28,FALSE)/AnnuityMode,0),0)</f>
        <v>0</v>
      </c>
      <c r="H95" s="220">
        <f>IFERROR(IF(AND(MIN(A95&gt;25,Age+A95&gt;=85),B95=12),VLOOKUP(A95,Output!$A$27:$AE$137,31,FALSE),0),0)</f>
        <v>0</v>
      </c>
      <c r="I95" s="221">
        <f>IFERROR(IF(AND(MIN(A95&gt;15,A95+Age&gt;=70),C95=1),VLOOKUP(A95,Output!$A$27:$AF$137,32,FALSE)*VLOOKUP('SV calc_ignore'!A95,Output!$A$27:$AG$137,33,FALSE)/IF(AnnuityMode=2,2,IF(AnnuityMode=4,4,IF(AnnuityMode=12,12,1))),0),0)</f>
        <v>0</v>
      </c>
      <c r="J95" s="227">
        <f t="shared" si="13"/>
        <v>0</v>
      </c>
      <c r="K95" s="209">
        <f t="shared" si="19"/>
        <v>0</v>
      </c>
      <c r="L95" s="209">
        <f t="shared" si="14"/>
        <v>0</v>
      </c>
      <c r="M95" s="210">
        <f t="shared" si="23"/>
        <v>0</v>
      </c>
      <c r="N95" s="211">
        <f t="shared" si="20"/>
        <v>0</v>
      </c>
      <c r="O95" s="194">
        <f t="shared" si="21"/>
        <v>0</v>
      </c>
      <c r="P95" s="212">
        <f t="shared" si="15"/>
        <v>0</v>
      </c>
      <c r="Q95">
        <f t="shared" si="16"/>
        <v>1296610.5954603676</v>
      </c>
      <c r="X95" s="216">
        <f t="shared" si="22"/>
        <v>7</v>
      </c>
      <c r="Y95">
        <f t="shared" si="17"/>
        <v>0</v>
      </c>
    </row>
    <row r="96" spans="1:25" x14ac:dyDescent="0.2">
      <c r="A96" s="204">
        <f>IF(MOD(COUNT($A$10:A95),12)=0,A95+1,A95)</f>
        <v>8</v>
      </c>
      <c r="B96" s="218">
        <f t="shared" si="18"/>
        <v>3</v>
      </c>
      <c r="C96" s="218">
        <f t="shared" si="12"/>
        <v>1</v>
      </c>
      <c r="D96" s="208">
        <f>IF(MOD(COUNT($D$10:D95),6)=0,D95+1,D95)</f>
        <v>15</v>
      </c>
      <c r="E96" s="208">
        <f>IF(MOD(COUNT($E$10:E95),3)=0,E95+1,E95)</f>
        <v>29</v>
      </c>
      <c r="F96" s="208">
        <f>IF(MOD(COUNT($F$10:F95),1)=0,F95+1,F95)</f>
        <v>87</v>
      </c>
      <c r="G96" s="204">
        <f>IFERROR(IF(C96=1,VLOOKUP(A96,Output!$A$27:$AB$137,28,FALSE)/AnnuityMode,0),0)</f>
        <v>0</v>
      </c>
      <c r="H96" s="220">
        <f>IFERROR(IF(AND(MIN(A96&gt;25,Age+A96&gt;=85),B96=12),VLOOKUP(A96,Output!$A$27:$AE$137,31,FALSE),0),0)</f>
        <v>0</v>
      </c>
      <c r="I96" s="221">
        <f>IFERROR(IF(AND(MIN(A96&gt;15,A96+Age&gt;=70),C96=1),VLOOKUP(A96,Output!$A$27:$AF$137,32,FALSE)*VLOOKUP('SV calc_ignore'!A96,Output!$A$27:$AG$137,33,FALSE)/IF(AnnuityMode=2,2,IF(AnnuityMode=4,4,IF(AnnuityMode=12,12,1))),0),0)</f>
        <v>0</v>
      </c>
      <c r="J96" s="227">
        <f t="shared" si="13"/>
        <v>0</v>
      </c>
      <c r="K96" s="209">
        <f t="shared" si="19"/>
        <v>0</v>
      </c>
      <c r="L96" s="209">
        <f t="shared" si="14"/>
        <v>0</v>
      </c>
      <c r="M96" s="210">
        <f t="shared" si="23"/>
        <v>0</v>
      </c>
      <c r="N96" s="211">
        <f t="shared" si="20"/>
        <v>0</v>
      </c>
      <c r="O96" s="194">
        <f t="shared" si="21"/>
        <v>0</v>
      </c>
      <c r="P96" s="212">
        <f t="shared" si="15"/>
        <v>0</v>
      </c>
      <c r="Q96">
        <f t="shared" si="16"/>
        <v>1305455.4160355369</v>
      </c>
      <c r="X96" s="216">
        <f t="shared" si="22"/>
        <v>7</v>
      </c>
      <c r="Y96">
        <f t="shared" si="17"/>
        <v>0</v>
      </c>
    </row>
    <row r="97" spans="1:25" x14ac:dyDescent="0.2">
      <c r="A97" s="204">
        <f>IF(MOD(COUNT($A$10:A96),12)=0,A96+1,A96)</f>
        <v>8</v>
      </c>
      <c r="B97" s="218">
        <f t="shared" si="18"/>
        <v>4</v>
      </c>
      <c r="C97" s="218">
        <f t="shared" si="12"/>
        <v>1</v>
      </c>
      <c r="D97" s="208">
        <f>IF(MOD(COUNT($D$10:D96),6)=0,D96+1,D96)</f>
        <v>15</v>
      </c>
      <c r="E97" s="208">
        <f>IF(MOD(COUNT($E$10:E96),3)=0,E96+1,E96)</f>
        <v>30</v>
      </c>
      <c r="F97" s="208">
        <f>IF(MOD(COUNT($F$10:F96),1)=0,F96+1,F96)</f>
        <v>88</v>
      </c>
      <c r="G97" s="204">
        <f>IFERROR(IF(C97=1,VLOOKUP(A97,Output!$A$27:$AB$137,28,FALSE)/AnnuityMode,0),0)</f>
        <v>0</v>
      </c>
      <c r="H97" s="220">
        <f>IFERROR(IF(AND(MIN(A97&gt;25,Age+A97&gt;=85),B97=12),VLOOKUP(A97,Output!$A$27:$AE$137,31,FALSE),0),0)</f>
        <v>0</v>
      </c>
      <c r="I97" s="221">
        <f>IFERROR(IF(AND(MIN(A97&gt;15,A97+Age&gt;=70),C97=1),VLOOKUP(A97,Output!$A$27:$AF$137,32,FALSE)*VLOOKUP('SV calc_ignore'!A97,Output!$A$27:$AG$137,33,FALSE)/IF(AnnuityMode=2,2,IF(AnnuityMode=4,4,IF(AnnuityMode=12,12,1))),0),0)</f>
        <v>0</v>
      </c>
      <c r="J97" s="227">
        <f t="shared" si="13"/>
        <v>0</v>
      </c>
      <c r="K97" s="209">
        <f t="shared" si="19"/>
        <v>0</v>
      </c>
      <c r="L97" s="209">
        <f t="shared" si="14"/>
        <v>0</v>
      </c>
      <c r="M97" s="210">
        <f t="shared" si="23"/>
        <v>0</v>
      </c>
      <c r="N97" s="211">
        <f t="shared" si="20"/>
        <v>0</v>
      </c>
      <c r="O97" s="194">
        <f t="shared" si="21"/>
        <v>0</v>
      </c>
      <c r="P97" s="212">
        <f t="shared" si="15"/>
        <v>0</v>
      </c>
      <c r="Q97">
        <f t="shared" si="16"/>
        <v>1314360.5714955828</v>
      </c>
      <c r="X97" s="216">
        <f t="shared" si="22"/>
        <v>7</v>
      </c>
      <c r="Y97">
        <f t="shared" si="17"/>
        <v>0</v>
      </c>
    </row>
    <row r="98" spans="1:25" x14ac:dyDescent="0.2">
      <c r="A98" s="204">
        <f>IF(MOD(COUNT($A$10:A97),12)=0,A97+1,A97)</f>
        <v>8</v>
      </c>
      <c r="B98" s="218">
        <f t="shared" si="18"/>
        <v>5</v>
      </c>
      <c r="C98" s="218">
        <f t="shared" si="12"/>
        <v>1</v>
      </c>
      <c r="D98" s="208">
        <f>IF(MOD(COUNT($D$10:D97),6)=0,D97+1,D97)</f>
        <v>15</v>
      </c>
      <c r="E98" s="208">
        <f>IF(MOD(COUNT($E$10:E97),3)=0,E97+1,E97)</f>
        <v>30</v>
      </c>
      <c r="F98" s="208">
        <f>IF(MOD(COUNT($F$10:F97),1)=0,F97+1,F97)</f>
        <v>89</v>
      </c>
      <c r="G98" s="204">
        <f>IFERROR(IF(C98=1,VLOOKUP(A98,Output!$A$27:$AB$137,28,FALSE)/AnnuityMode,0),0)</f>
        <v>0</v>
      </c>
      <c r="H98" s="220">
        <f>IFERROR(IF(AND(MIN(A98&gt;25,Age+A98&gt;=85),B98=12),VLOOKUP(A98,Output!$A$27:$AE$137,31,FALSE),0),0)</f>
        <v>0</v>
      </c>
      <c r="I98" s="221">
        <f>IFERROR(IF(AND(MIN(A98&gt;15,A98+Age&gt;=70),C98=1),VLOOKUP(A98,Output!$A$27:$AF$137,32,FALSE)*VLOOKUP('SV calc_ignore'!A98,Output!$A$27:$AG$137,33,FALSE)/IF(AnnuityMode=2,2,IF(AnnuityMode=4,4,IF(AnnuityMode=12,12,1))),0),0)</f>
        <v>0</v>
      </c>
      <c r="J98" s="227">
        <f t="shared" si="13"/>
        <v>0</v>
      </c>
      <c r="K98" s="209">
        <f t="shared" si="19"/>
        <v>0</v>
      </c>
      <c r="L98" s="209">
        <f t="shared" si="14"/>
        <v>0</v>
      </c>
      <c r="M98" s="210">
        <f t="shared" si="23"/>
        <v>0</v>
      </c>
      <c r="N98" s="211">
        <f t="shared" si="20"/>
        <v>0</v>
      </c>
      <c r="O98" s="194">
        <f t="shared" si="21"/>
        <v>0</v>
      </c>
      <c r="P98" s="212">
        <f t="shared" si="15"/>
        <v>0</v>
      </c>
      <c r="Q98">
        <f t="shared" si="16"/>
        <v>1323326.4734145224</v>
      </c>
      <c r="X98" s="216">
        <f t="shared" si="22"/>
        <v>7</v>
      </c>
      <c r="Y98">
        <f t="shared" si="17"/>
        <v>0</v>
      </c>
    </row>
    <row r="99" spans="1:25" x14ac:dyDescent="0.2">
      <c r="A99" s="204">
        <f>IF(MOD(COUNT($A$10:A98),12)=0,A98+1,A98)</f>
        <v>8</v>
      </c>
      <c r="B99" s="218">
        <f t="shared" si="18"/>
        <v>6</v>
      </c>
      <c r="C99" s="218">
        <f t="shared" si="12"/>
        <v>1</v>
      </c>
      <c r="D99" s="208">
        <f>IF(MOD(COUNT($D$10:D98),6)=0,D98+1,D98)</f>
        <v>15</v>
      </c>
      <c r="E99" s="208">
        <f>IF(MOD(COUNT($E$10:E98),3)=0,E98+1,E98)</f>
        <v>30</v>
      </c>
      <c r="F99" s="208">
        <f>IF(MOD(COUNT($F$10:F98),1)=0,F98+1,F98)</f>
        <v>90</v>
      </c>
      <c r="G99" s="204">
        <f>IFERROR(IF(C99=1,VLOOKUP(A99,Output!$A$27:$AB$137,28,FALSE)/AnnuityMode,0),0)</f>
        <v>0</v>
      </c>
      <c r="H99" s="220">
        <f>IFERROR(IF(AND(MIN(A99&gt;25,Age+A99&gt;=85),B99=12),VLOOKUP(A99,Output!$A$27:$AE$137,31,FALSE),0),0)</f>
        <v>0</v>
      </c>
      <c r="I99" s="221">
        <f>IFERROR(IF(AND(MIN(A99&gt;15,A99+Age&gt;=70),C99=1),VLOOKUP(A99,Output!$A$27:$AF$137,32,FALSE)*VLOOKUP('SV calc_ignore'!A99,Output!$A$27:$AG$137,33,FALSE)/IF(AnnuityMode=2,2,IF(AnnuityMode=4,4,IF(AnnuityMode=12,12,1))),0),0)</f>
        <v>0</v>
      </c>
      <c r="J99" s="227">
        <f t="shared" si="13"/>
        <v>0</v>
      </c>
      <c r="K99" s="209">
        <f t="shared" si="19"/>
        <v>0</v>
      </c>
      <c r="L99" s="209">
        <f t="shared" si="14"/>
        <v>0</v>
      </c>
      <c r="M99" s="210">
        <f t="shared" si="23"/>
        <v>0</v>
      </c>
      <c r="N99" s="211">
        <f t="shared" si="20"/>
        <v>0</v>
      </c>
      <c r="O99" s="194">
        <f t="shared" si="21"/>
        <v>0</v>
      </c>
      <c r="P99" s="212">
        <f t="shared" si="15"/>
        <v>0</v>
      </c>
      <c r="Q99">
        <f t="shared" si="16"/>
        <v>1332353.5361739218</v>
      </c>
      <c r="X99" s="216">
        <f t="shared" si="22"/>
        <v>7</v>
      </c>
      <c r="Y99">
        <f t="shared" si="17"/>
        <v>0</v>
      </c>
    </row>
    <row r="100" spans="1:25" x14ac:dyDescent="0.2">
      <c r="A100" s="204">
        <f>IF(MOD(COUNT($A$10:A99),12)=0,A99+1,A99)</f>
        <v>8</v>
      </c>
      <c r="B100" s="218">
        <f t="shared" si="18"/>
        <v>7</v>
      </c>
      <c r="C100" s="218">
        <f t="shared" si="12"/>
        <v>1</v>
      </c>
      <c r="D100" s="208">
        <f>IF(MOD(COUNT($D$10:D99),6)=0,D99+1,D99)</f>
        <v>16</v>
      </c>
      <c r="E100" s="208">
        <f>IF(MOD(COUNT($E$10:E99),3)=0,E99+1,E99)</f>
        <v>31</v>
      </c>
      <c r="F100" s="208">
        <f>IF(MOD(COUNT($F$10:F99),1)=0,F99+1,F99)</f>
        <v>91</v>
      </c>
      <c r="G100" s="204">
        <f>IFERROR(IF(C100=1,VLOOKUP(A100,Output!$A$27:$AB$137,28,FALSE)/AnnuityMode,0),0)</f>
        <v>0</v>
      </c>
      <c r="H100" s="220">
        <f>IFERROR(IF(AND(MIN(A100&gt;25,Age+A100&gt;=85),B100=12),VLOOKUP(A100,Output!$A$27:$AE$137,31,FALSE),0),0)</f>
        <v>0</v>
      </c>
      <c r="I100" s="221">
        <f>IFERROR(IF(AND(MIN(A100&gt;15,A100+Age&gt;=70),C100=1),VLOOKUP(A100,Output!$A$27:$AF$137,32,FALSE)*VLOOKUP('SV calc_ignore'!A100,Output!$A$27:$AG$137,33,FALSE)/IF(AnnuityMode=2,2,IF(AnnuityMode=4,4,IF(AnnuityMode=12,12,1))),0),0)</f>
        <v>0</v>
      </c>
      <c r="J100" s="227">
        <f t="shared" si="13"/>
        <v>0</v>
      </c>
      <c r="K100" s="209">
        <f t="shared" si="19"/>
        <v>0</v>
      </c>
      <c r="L100" s="209">
        <f t="shared" si="14"/>
        <v>0</v>
      </c>
      <c r="M100" s="210">
        <f t="shared" si="23"/>
        <v>0</v>
      </c>
      <c r="N100" s="211">
        <f t="shared" si="20"/>
        <v>0</v>
      </c>
      <c r="O100" s="194">
        <f t="shared" si="21"/>
        <v>0</v>
      </c>
      <c r="P100" s="212">
        <f t="shared" si="15"/>
        <v>0</v>
      </c>
      <c r="Q100">
        <f t="shared" si="16"/>
        <v>1341442.1769820484</v>
      </c>
      <c r="X100" s="216">
        <f t="shared" si="22"/>
        <v>7</v>
      </c>
      <c r="Y100">
        <f t="shared" si="17"/>
        <v>0</v>
      </c>
    </row>
    <row r="101" spans="1:25" x14ac:dyDescent="0.2">
      <c r="A101" s="204">
        <f>IF(MOD(COUNT($A$10:A100),12)=0,A100+1,A100)</f>
        <v>8</v>
      </c>
      <c r="B101" s="218">
        <f t="shared" si="18"/>
        <v>8</v>
      </c>
      <c r="C101" s="218">
        <f t="shared" si="12"/>
        <v>1</v>
      </c>
      <c r="D101" s="208">
        <f>IF(MOD(COUNT($D$10:D100),6)=0,D100+1,D100)</f>
        <v>16</v>
      </c>
      <c r="E101" s="208">
        <f>IF(MOD(COUNT($E$10:E100),3)=0,E100+1,E100)</f>
        <v>31</v>
      </c>
      <c r="F101" s="208">
        <f>IF(MOD(COUNT($F$10:F100),1)=0,F100+1,F100)</f>
        <v>92</v>
      </c>
      <c r="G101" s="204">
        <f>IFERROR(IF(C101=1,VLOOKUP(A101,Output!$A$27:$AB$137,28,FALSE)/AnnuityMode,0),0)</f>
        <v>0</v>
      </c>
      <c r="H101" s="220">
        <f>IFERROR(IF(AND(MIN(A101&gt;25,Age+A101&gt;=85),B101=12),VLOOKUP(A101,Output!$A$27:$AE$137,31,FALSE),0),0)</f>
        <v>0</v>
      </c>
      <c r="I101" s="221">
        <f>IFERROR(IF(AND(MIN(A101&gt;15,A101+Age&gt;=70),C101=1),VLOOKUP(A101,Output!$A$27:$AF$137,32,FALSE)*VLOOKUP('SV calc_ignore'!A101,Output!$A$27:$AG$137,33,FALSE)/IF(AnnuityMode=2,2,IF(AnnuityMode=4,4,IF(AnnuityMode=12,12,1))),0),0)</f>
        <v>0</v>
      </c>
      <c r="J101" s="227">
        <f t="shared" si="13"/>
        <v>0</v>
      </c>
      <c r="K101" s="209">
        <f t="shared" si="19"/>
        <v>0</v>
      </c>
      <c r="L101" s="209">
        <f t="shared" si="14"/>
        <v>0</v>
      </c>
      <c r="M101" s="210">
        <f t="shared" si="23"/>
        <v>0</v>
      </c>
      <c r="N101" s="211">
        <f t="shared" si="20"/>
        <v>0</v>
      </c>
      <c r="O101" s="194">
        <f t="shared" si="21"/>
        <v>0</v>
      </c>
      <c r="P101" s="212">
        <f t="shared" si="15"/>
        <v>0</v>
      </c>
      <c r="Q101">
        <f t="shared" si="16"/>
        <v>1350592.8158931534</v>
      </c>
      <c r="X101" s="216">
        <f t="shared" si="22"/>
        <v>7</v>
      </c>
      <c r="Y101">
        <f t="shared" si="17"/>
        <v>0</v>
      </c>
    </row>
    <row r="102" spans="1:25" x14ac:dyDescent="0.2">
      <c r="A102" s="204">
        <f>IF(MOD(COUNT($A$10:A101),12)=0,A101+1,A101)</f>
        <v>8</v>
      </c>
      <c r="B102" s="218">
        <f t="shared" si="18"/>
        <v>9</v>
      </c>
      <c r="C102" s="218">
        <f t="shared" si="12"/>
        <v>1</v>
      </c>
      <c r="D102" s="208">
        <f>IF(MOD(COUNT($D$10:D101),6)=0,D101+1,D101)</f>
        <v>16</v>
      </c>
      <c r="E102" s="208">
        <f>IF(MOD(COUNT($E$10:E101),3)=0,E101+1,E101)</f>
        <v>31</v>
      </c>
      <c r="F102" s="208">
        <f>IF(MOD(COUNT($F$10:F101),1)=0,F101+1,F101)</f>
        <v>93</v>
      </c>
      <c r="G102" s="204">
        <f>IFERROR(IF(C102=1,VLOOKUP(A102,Output!$A$27:$AB$137,28,FALSE)/AnnuityMode,0),0)</f>
        <v>0</v>
      </c>
      <c r="H102" s="220">
        <f>IFERROR(IF(AND(MIN(A102&gt;25,Age+A102&gt;=85),B102=12),VLOOKUP(A102,Output!$A$27:$AE$137,31,FALSE),0),0)</f>
        <v>0</v>
      </c>
      <c r="I102" s="221">
        <f>IFERROR(IF(AND(MIN(A102&gt;15,A102+Age&gt;=70),C102=1),VLOOKUP(A102,Output!$A$27:$AF$137,32,FALSE)*VLOOKUP('SV calc_ignore'!A102,Output!$A$27:$AG$137,33,FALSE)/IF(AnnuityMode=2,2,IF(AnnuityMode=4,4,IF(AnnuityMode=12,12,1))),0),0)</f>
        <v>0</v>
      </c>
      <c r="J102" s="227">
        <f t="shared" si="13"/>
        <v>0</v>
      </c>
      <c r="K102" s="209">
        <f t="shared" si="19"/>
        <v>0</v>
      </c>
      <c r="L102" s="209">
        <f t="shared" si="14"/>
        <v>0</v>
      </c>
      <c r="M102" s="210">
        <f t="shared" si="23"/>
        <v>0</v>
      </c>
      <c r="N102" s="211">
        <f t="shared" si="20"/>
        <v>0</v>
      </c>
      <c r="O102" s="194">
        <f t="shared" si="21"/>
        <v>0</v>
      </c>
      <c r="P102" s="212">
        <f t="shared" si="15"/>
        <v>0</v>
      </c>
      <c r="Q102">
        <f t="shared" si="16"/>
        <v>1359805.8758268848</v>
      </c>
      <c r="X102" s="216">
        <f t="shared" si="22"/>
        <v>7</v>
      </c>
      <c r="Y102">
        <f t="shared" si="17"/>
        <v>0</v>
      </c>
    </row>
    <row r="103" spans="1:25" x14ac:dyDescent="0.2">
      <c r="A103" s="204">
        <f>IF(MOD(COUNT($A$10:A102),12)=0,A102+1,A102)</f>
        <v>8</v>
      </c>
      <c r="B103" s="218">
        <f t="shared" si="18"/>
        <v>10</v>
      </c>
      <c r="C103" s="218">
        <f t="shared" si="12"/>
        <v>1</v>
      </c>
      <c r="D103" s="208">
        <f>IF(MOD(COUNT($D$10:D102),6)=0,D102+1,D102)</f>
        <v>16</v>
      </c>
      <c r="E103" s="208">
        <f>IF(MOD(COUNT($E$10:E102),3)=0,E102+1,E102)</f>
        <v>32</v>
      </c>
      <c r="F103" s="208">
        <f>IF(MOD(COUNT($F$10:F102),1)=0,F102+1,F102)</f>
        <v>94</v>
      </c>
      <c r="G103" s="204">
        <f>IFERROR(IF(C103=1,VLOOKUP(A103,Output!$A$27:$AB$137,28,FALSE)/AnnuityMode,0),0)</f>
        <v>0</v>
      </c>
      <c r="H103" s="220">
        <f>IFERROR(IF(AND(MIN(A103&gt;25,Age+A103&gt;=85),B103=12),VLOOKUP(A103,Output!$A$27:$AE$137,31,FALSE),0),0)</f>
        <v>0</v>
      </c>
      <c r="I103" s="221">
        <f>IFERROR(IF(AND(MIN(A103&gt;15,A103+Age&gt;=70),C103=1),VLOOKUP(A103,Output!$A$27:$AF$137,32,FALSE)*VLOOKUP('SV calc_ignore'!A103,Output!$A$27:$AG$137,33,FALSE)/IF(AnnuityMode=2,2,IF(AnnuityMode=4,4,IF(AnnuityMode=12,12,1))),0),0)</f>
        <v>0</v>
      </c>
      <c r="J103" s="227">
        <f t="shared" si="13"/>
        <v>0</v>
      </c>
      <c r="K103" s="209">
        <f t="shared" si="19"/>
        <v>0</v>
      </c>
      <c r="L103" s="209">
        <f t="shared" si="14"/>
        <v>0</v>
      </c>
      <c r="M103" s="210">
        <f t="shared" si="23"/>
        <v>0</v>
      </c>
      <c r="N103" s="211">
        <f t="shared" si="20"/>
        <v>0</v>
      </c>
      <c r="O103" s="194">
        <f t="shared" si="21"/>
        <v>0</v>
      </c>
      <c r="P103" s="212">
        <f t="shared" si="15"/>
        <v>0</v>
      </c>
      <c r="Q103">
        <f t="shared" si="16"/>
        <v>1369081.7825878344</v>
      </c>
      <c r="X103" s="216">
        <f t="shared" si="22"/>
        <v>7</v>
      </c>
      <c r="Y103">
        <f t="shared" si="17"/>
        <v>0</v>
      </c>
    </row>
    <row r="104" spans="1:25" x14ac:dyDescent="0.2">
      <c r="A104" s="204">
        <f>IF(MOD(COUNT($A$10:A103),12)=0,A103+1,A103)</f>
        <v>8</v>
      </c>
      <c r="B104" s="218">
        <f t="shared" si="18"/>
        <v>11</v>
      </c>
      <c r="C104" s="218">
        <f t="shared" si="12"/>
        <v>1</v>
      </c>
      <c r="D104" s="208">
        <f>IF(MOD(COUNT($D$10:D103),6)=0,D103+1,D103)</f>
        <v>16</v>
      </c>
      <c r="E104" s="208">
        <f>IF(MOD(COUNT($E$10:E103),3)=0,E103+1,E103)</f>
        <v>32</v>
      </c>
      <c r="F104" s="208">
        <f>IF(MOD(COUNT($F$10:F103),1)=0,F103+1,F103)</f>
        <v>95</v>
      </c>
      <c r="G104" s="204">
        <f>IFERROR(IF(C104=1,VLOOKUP(A104,Output!$A$27:$AB$137,28,FALSE)/AnnuityMode,0),0)</f>
        <v>0</v>
      </c>
      <c r="H104" s="220">
        <f>IFERROR(IF(AND(MIN(A104&gt;25,Age+A104&gt;=85),B104=12),VLOOKUP(A104,Output!$A$27:$AE$137,31,FALSE),0),0)</f>
        <v>0</v>
      </c>
      <c r="I104" s="221">
        <f>IFERROR(IF(AND(MIN(A104&gt;15,A104+Age&gt;=70),C104=1),VLOOKUP(A104,Output!$A$27:$AF$137,32,FALSE)*VLOOKUP('SV calc_ignore'!A104,Output!$A$27:$AG$137,33,FALSE)/IF(AnnuityMode=2,2,IF(AnnuityMode=4,4,IF(AnnuityMode=12,12,1))),0),0)</f>
        <v>0</v>
      </c>
      <c r="J104" s="227">
        <f t="shared" si="13"/>
        <v>0</v>
      </c>
      <c r="K104" s="209">
        <f t="shared" si="19"/>
        <v>0</v>
      </c>
      <c r="L104" s="209">
        <f t="shared" si="14"/>
        <v>0</v>
      </c>
      <c r="M104" s="210">
        <f t="shared" si="23"/>
        <v>0</v>
      </c>
      <c r="N104" s="211">
        <f t="shared" si="20"/>
        <v>0</v>
      </c>
      <c r="O104" s="194">
        <f t="shared" si="21"/>
        <v>0</v>
      </c>
      <c r="P104" s="212">
        <f t="shared" si="15"/>
        <v>0</v>
      </c>
      <c r="Q104">
        <f t="shared" si="16"/>
        <v>1378420.9648852171</v>
      </c>
      <c r="X104" s="216">
        <f t="shared" si="22"/>
        <v>7</v>
      </c>
      <c r="Y104">
        <f t="shared" si="17"/>
        <v>0</v>
      </c>
    </row>
    <row r="105" spans="1:25" x14ac:dyDescent="0.2">
      <c r="A105" s="204">
        <f>IF(MOD(COUNT($A$10:A104),12)=0,A104+1,A104)</f>
        <v>8</v>
      </c>
      <c r="B105" s="218">
        <f t="shared" si="18"/>
        <v>12</v>
      </c>
      <c r="C105" s="218">
        <f t="shared" si="12"/>
        <v>1</v>
      </c>
      <c r="D105" s="208">
        <f>IF(MOD(COUNT($D$10:D104),6)=0,D104+1,D104)</f>
        <v>16</v>
      </c>
      <c r="E105" s="208">
        <f>IF(MOD(COUNT($E$10:E104),3)=0,E104+1,E104)</f>
        <v>32</v>
      </c>
      <c r="F105" s="208">
        <f>IF(MOD(COUNT($F$10:F104),1)=0,F104+1,F104)</f>
        <v>96</v>
      </c>
      <c r="G105" s="204">
        <f>IFERROR(IF(C105=1,VLOOKUP(A105,Output!$A$27:$AB$137,28,FALSE)/AnnuityMode,0),0)</f>
        <v>0</v>
      </c>
      <c r="H105" s="220">
        <f>IFERROR(IF(AND(MIN(A105&gt;25,Age+A105&gt;=85),B105=12),VLOOKUP(A105,Output!$A$27:$AE$137,31,FALSE),0),0)</f>
        <v>0</v>
      </c>
      <c r="I105" s="221">
        <f>IFERROR(IF(AND(MIN(A105&gt;15,A105+Age&gt;=70),C105=1),VLOOKUP(A105,Output!$A$27:$AF$137,32,FALSE)*VLOOKUP('SV calc_ignore'!A105,Output!$A$27:$AG$137,33,FALSE)/IF(AnnuityMode=2,2,IF(AnnuityMode=4,4,IF(AnnuityMode=12,12,1))),0),0)</f>
        <v>0</v>
      </c>
      <c r="J105" s="227">
        <f t="shared" si="13"/>
        <v>0</v>
      </c>
      <c r="K105" s="209">
        <f t="shared" si="19"/>
        <v>0</v>
      </c>
      <c r="L105" s="209">
        <f t="shared" si="14"/>
        <v>0</v>
      </c>
      <c r="M105" s="210">
        <f t="shared" si="23"/>
        <v>0</v>
      </c>
      <c r="N105" s="211">
        <f t="shared" si="20"/>
        <v>0</v>
      </c>
      <c r="O105" s="194">
        <f t="shared" si="21"/>
        <v>0</v>
      </c>
      <c r="P105" s="212">
        <f t="shared" si="15"/>
        <v>0</v>
      </c>
      <c r="Q105">
        <f t="shared" si="16"/>
        <v>1387823.8543526849</v>
      </c>
      <c r="X105" s="216">
        <f t="shared" si="22"/>
        <v>7</v>
      </c>
      <c r="Y105">
        <f t="shared" si="17"/>
        <v>0</v>
      </c>
    </row>
    <row r="106" spans="1:25" x14ac:dyDescent="0.2">
      <c r="A106" s="204">
        <f>IF(MOD(COUNT($A$10:A105),12)=0,A105+1,A105)</f>
        <v>9</v>
      </c>
      <c r="B106" s="218">
        <f t="shared" si="18"/>
        <v>1</v>
      </c>
      <c r="C106" s="218">
        <f t="shared" si="12"/>
        <v>1</v>
      </c>
      <c r="D106" s="208">
        <f>IF(MOD(COUNT($D$10:D105),6)=0,D105+1,D105)</f>
        <v>17</v>
      </c>
      <c r="E106" s="208">
        <f>IF(MOD(COUNT($E$10:E105),3)=0,E105+1,E105)</f>
        <v>33</v>
      </c>
      <c r="F106" s="208">
        <f>IF(MOD(COUNT($F$10:F105),1)=0,F105+1,F105)</f>
        <v>97</v>
      </c>
      <c r="G106" s="204">
        <f>IFERROR(IF(C106=1,VLOOKUP(A106,Output!$A$27:$AB$137,28,FALSE)/AnnuityMode,0),0)</f>
        <v>0</v>
      </c>
      <c r="H106" s="220">
        <f>IFERROR(IF(AND(MIN(A106&gt;25,Age+A106&gt;=85),B106=12),VLOOKUP(A106,Output!$A$27:$AE$137,31,FALSE),0),0)</f>
        <v>0</v>
      </c>
      <c r="I106" s="221">
        <f>IFERROR(IF(AND(MIN(A106&gt;15,A106+Age&gt;=70),C106=1),VLOOKUP(A106,Output!$A$27:$AF$137,32,FALSE)*VLOOKUP('SV calc_ignore'!A106,Output!$A$27:$AG$137,33,FALSE)/IF(AnnuityMode=2,2,IF(AnnuityMode=4,4,IF(AnnuityMode=12,12,1))),0),0)</f>
        <v>0</v>
      </c>
      <c r="J106" s="227">
        <f t="shared" si="13"/>
        <v>0</v>
      </c>
      <c r="K106" s="209">
        <f t="shared" si="19"/>
        <v>0</v>
      </c>
      <c r="L106" s="209">
        <f t="shared" si="14"/>
        <v>0</v>
      </c>
      <c r="M106" s="210">
        <f t="shared" si="23"/>
        <v>0</v>
      </c>
      <c r="N106" s="211">
        <f t="shared" si="20"/>
        <v>0</v>
      </c>
      <c r="O106" s="194">
        <f t="shared" si="21"/>
        <v>0</v>
      </c>
      <c r="P106" s="212">
        <f t="shared" si="15"/>
        <v>0</v>
      </c>
      <c r="Q106">
        <f t="shared" si="16"/>
        <v>1397290.8855682758</v>
      </c>
      <c r="X106" s="216">
        <f t="shared" si="22"/>
        <v>8</v>
      </c>
      <c r="Y106">
        <f t="shared" si="17"/>
        <v>0</v>
      </c>
    </row>
    <row r="107" spans="1:25" x14ac:dyDescent="0.2">
      <c r="A107" s="204">
        <f>IF(MOD(COUNT($A$10:A106),12)=0,A106+1,A106)</f>
        <v>9</v>
      </c>
      <c r="B107" s="218">
        <f t="shared" si="18"/>
        <v>2</v>
      </c>
      <c r="C107" s="218">
        <f t="shared" si="12"/>
        <v>1</v>
      </c>
      <c r="D107" s="208">
        <f>IF(MOD(COUNT($D$10:D106),6)=0,D106+1,D106)</f>
        <v>17</v>
      </c>
      <c r="E107" s="208">
        <f>IF(MOD(COUNT($E$10:E106),3)=0,E106+1,E106)</f>
        <v>33</v>
      </c>
      <c r="F107" s="208">
        <f>IF(MOD(COUNT($F$10:F106),1)=0,F106+1,F106)</f>
        <v>98</v>
      </c>
      <c r="G107" s="204">
        <f>IFERROR(IF(C107=1,VLOOKUP(A107,Output!$A$27:$AB$137,28,FALSE)/AnnuityMode,0),0)</f>
        <v>0</v>
      </c>
      <c r="H107" s="220">
        <f>IFERROR(IF(AND(MIN(A107&gt;25,Age+A107&gt;=85),B107=12),VLOOKUP(A107,Output!$A$27:$AE$137,31,FALSE),0),0)</f>
        <v>0</v>
      </c>
      <c r="I107" s="221">
        <f>IFERROR(IF(AND(MIN(A107&gt;15,A107+Age&gt;=70),C107=1),VLOOKUP(A107,Output!$A$27:$AF$137,32,FALSE)*VLOOKUP('SV calc_ignore'!A107,Output!$A$27:$AG$137,33,FALSE)/IF(AnnuityMode=2,2,IF(AnnuityMode=4,4,IF(AnnuityMode=12,12,1))),0),0)</f>
        <v>0</v>
      </c>
      <c r="J107" s="227">
        <f t="shared" si="13"/>
        <v>0</v>
      </c>
      <c r="K107" s="209">
        <f t="shared" si="19"/>
        <v>0</v>
      </c>
      <c r="L107" s="209">
        <f t="shared" si="14"/>
        <v>0</v>
      </c>
      <c r="M107" s="210">
        <f t="shared" si="23"/>
        <v>0</v>
      </c>
      <c r="N107" s="211">
        <f t="shared" si="20"/>
        <v>0</v>
      </c>
      <c r="O107" s="194">
        <f t="shared" si="21"/>
        <v>0</v>
      </c>
      <c r="P107" s="212">
        <f t="shared" si="15"/>
        <v>0</v>
      </c>
      <c r="Q107">
        <f t="shared" si="16"/>
        <v>1406822.4960744993</v>
      </c>
      <c r="X107" s="216">
        <f t="shared" si="22"/>
        <v>8</v>
      </c>
      <c r="Y107">
        <f t="shared" si="17"/>
        <v>0</v>
      </c>
    </row>
    <row r="108" spans="1:25" x14ac:dyDescent="0.2">
      <c r="A108" s="204">
        <f>IF(MOD(COUNT($A$10:A107),12)=0,A107+1,A107)</f>
        <v>9</v>
      </c>
      <c r="B108" s="218">
        <f t="shared" si="18"/>
        <v>3</v>
      </c>
      <c r="C108" s="218">
        <f t="shared" si="12"/>
        <v>1</v>
      </c>
      <c r="D108" s="208">
        <f>IF(MOD(COUNT($D$10:D107),6)=0,D107+1,D107)</f>
        <v>17</v>
      </c>
      <c r="E108" s="208">
        <f>IF(MOD(COUNT($E$10:E107),3)=0,E107+1,E107)</f>
        <v>33</v>
      </c>
      <c r="F108" s="208">
        <f>IF(MOD(COUNT($F$10:F107),1)=0,F107+1,F107)</f>
        <v>99</v>
      </c>
      <c r="G108" s="204">
        <f>IFERROR(IF(C108=1,VLOOKUP(A108,Output!$A$27:$AB$137,28,FALSE)/AnnuityMode,0),0)</f>
        <v>0</v>
      </c>
      <c r="H108" s="220">
        <f>IFERROR(IF(AND(MIN(A108&gt;25,Age+A108&gt;=85),B108=12),VLOOKUP(A108,Output!$A$27:$AE$137,31,FALSE),0),0)</f>
        <v>0</v>
      </c>
      <c r="I108" s="221">
        <f>IFERROR(IF(AND(MIN(A108&gt;15,A108+Age&gt;=70),C108=1),VLOOKUP(A108,Output!$A$27:$AF$137,32,FALSE)*VLOOKUP('SV calc_ignore'!A108,Output!$A$27:$AG$137,33,FALSE)/IF(AnnuityMode=2,2,IF(AnnuityMode=4,4,IF(AnnuityMode=12,12,1))),0),0)</f>
        <v>0</v>
      </c>
      <c r="J108" s="227">
        <f t="shared" si="13"/>
        <v>0</v>
      </c>
      <c r="K108" s="209">
        <f t="shared" si="19"/>
        <v>0</v>
      </c>
      <c r="L108" s="209">
        <f t="shared" si="14"/>
        <v>0</v>
      </c>
      <c r="M108" s="210">
        <f t="shared" si="23"/>
        <v>0</v>
      </c>
      <c r="N108" s="211">
        <f t="shared" si="20"/>
        <v>0</v>
      </c>
      <c r="O108" s="194">
        <f t="shared" si="21"/>
        <v>0</v>
      </c>
      <c r="P108" s="212">
        <f t="shared" si="15"/>
        <v>0</v>
      </c>
      <c r="Q108">
        <f t="shared" si="16"/>
        <v>1416419.126398558</v>
      </c>
      <c r="X108" s="216">
        <f t="shared" si="22"/>
        <v>8</v>
      </c>
      <c r="Y108">
        <f t="shared" si="17"/>
        <v>0</v>
      </c>
    </row>
    <row r="109" spans="1:25" x14ac:dyDescent="0.2">
      <c r="A109" s="204">
        <f>IF(MOD(COUNT($A$10:A108),12)=0,A108+1,A108)</f>
        <v>9</v>
      </c>
      <c r="B109" s="218">
        <f t="shared" si="18"/>
        <v>4</v>
      </c>
      <c r="C109" s="218">
        <f t="shared" si="12"/>
        <v>1</v>
      </c>
      <c r="D109" s="208">
        <f>IF(MOD(COUNT($D$10:D108),6)=0,D108+1,D108)</f>
        <v>17</v>
      </c>
      <c r="E109" s="208">
        <f>IF(MOD(COUNT($E$10:E108),3)=0,E108+1,E108)</f>
        <v>34</v>
      </c>
      <c r="F109" s="208">
        <f>IF(MOD(COUNT($F$10:F108),1)=0,F108+1,F108)</f>
        <v>100</v>
      </c>
      <c r="G109" s="204">
        <f>IFERROR(IF(C109=1,VLOOKUP(A109,Output!$A$27:$AB$137,28,FALSE)/AnnuityMode,0),0)</f>
        <v>0</v>
      </c>
      <c r="H109" s="220">
        <f>IFERROR(IF(AND(MIN(A109&gt;25,Age+A109&gt;=85),B109=12),VLOOKUP(A109,Output!$A$27:$AE$137,31,FALSE),0),0)</f>
        <v>0</v>
      </c>
      <c r="I109" s="221">
        <f>IFERROR(IF(AND(MIN(A109&gt;15,A109+Age&gt;=70),C109=1),VLOOKUP(A109,Output!$A$27:$AF$137,32,FALSE)*VLOOKUP('SV calc_ignore'!A109,Output!$A$27:$AG$137,33,FALSE)/IF(AnnuityMode=2,2,IF(AnnuityMode=4,4,IF(AnnuityMode=12,12,1))),0),0)</f>
        <v>0</v>
      </c>
      <c r="J109" s="227">
        <f t="shared" si="13"/>
        <v>0</v>
      </c>
      <c r="K109" s="209">
        <f t="shared" si="19"/>
        <v>0</v>
      </c>
      <c r="L109" s="209">
        <f t="shared" si="14"/>
        <v>0</v>
      </c>
      <c r="M109" s="210">
        <f t="shared" si="23"/>
        <v>0</v>
      </c>
      <c r="N109" s="211">
        <f t="shared" si="20"/>
        <v>0</v>
      </c>
      <c r="O109" s="194">
        <f t="shared" si="21"/>
        <v>0</v>
      </c>
      <c r="P109" s="212">
        <f t="shared" si="15"/>
        <v>0</v>
      </c>
      <c r="Q109">
        <f t="shared" si="16"/>
        <v>1426081.2200727079</v>
      </c>
      <c r="X109" s="216">
        <f t="shared" si="22"/>
        <v>8</v>
      </c>
      <c r="Y109">
        <f t="shared" si="17"/>
        <v>0</v>
      </c>
    </row>
    <row r="110" spans="1:25" x14ac:dyDescent="0.2">
      <c r="A110" s="204">
        <f>IF(MOD(COUNT($A$10:A109),12)=0,A109+1,A109)</f>
        <v>9</v>
      </c>
      <c r="B110" s="218">
        <f t="shared" si="18"/>
        <v>5</v>
      </c>
      <c r="C110" s="218">
        <f t="shared" si="12"/>
        <v>1</v>
      </c>
      <c r="D110" s="208">
        <f>IF(MOD(COUNT($D$10:D109),6)=0,D109+1,D109)</f>
        <v>17</v>
      </c>
      <c r="E110" s="208">
        <f>IF(MOD(COUNT($E$10:E109),3)=0,E109+1,E109)</f>
        <v>34</v>
      </c>
      <c r="F110" s="208">
        <f>IF(MOD(COUNT($F$10:F109),1)=0,F109+1,F109)</f>
        <v>101</v>
      </c>
      <c r="G110" s="204">
        <f>IFERROR(IF(C110=1,VLOOKUP(A110,Output!$A$27:$AB$137,28,FALSE)/AnnuityMode,0),0)</f>
        <v>0</v>
      </c>
      <c r="H110" s="220">
        <f>IFERROR(IF(AND(MIN(A110&gt;25,Age+A110&gt;=85),B110=12),VLOOKUP(A110,Output!$A$27:$AE$137,31,FALSE),0),0)</f>
        <v>0</v>
      </c>
      <c r="I110" s="221">
        <f>IFERROR(IF(AND(MIN(A110&gt;15,A110+Age&gt;=70),C110=1),VLOOKUP(A110,Output!$A$27:$AF$137,32,FALSE)*VLOOKUP('SV calc_ignore'!A110,Output!$A$27:$AG$137,33,FALSE)/IF(AnnuityMode=2,2,IF(AnnuityMode=4,4,IF(AnnuityMode=12,12,1))),0),0)</f>
        <v>0</v>
      </c>
      <c r="J110" s="227">
        <f t="shared" si="13"/>
        <v>0</v>
      </c>
      <c r="K110" s="209">
        <f t="shared" si="19"/>
        <v>0</v>
      </c>
      <c r="L110" s="209">
        <f t="shared" si="14"/>
        <v>0</v>
      </c>
      <c r="M110" s="210">
        <f t="shared" si="23"/>
        <v>0</v>
      </c>
      <c r="N110" s="211">
        <f t="shared" si="20"/>
        <v>0</v>
      </c>
      <c r="O110" s="194">
        <f t="shared" si="21"/>
        <v>0</v>
      </c>
      <c r="P110" s="212">
        <f t="shared" si="15"/>
        <v>0</v>
      </c>
      <c r="Q110">
        <f t="shared" si="16"/>
        <v>1435809.2236547573</v>
      </c>
      <c r="X110" s="216">
        <f t="shared" si="22"/>
        <v>8</v>
      </c>
      <c r="Y110">
        <f t="shared" si="17"/>
        <v>0</v>
      </c>
    </row>
    <row r="111" spans="1:25" x14ac:dyDescent="0.2">
      <c r="A111" s="204">
        <f>IF(MOD(COUNT($A$10:A110),12)=0,A110+1,A110)</f>
        <v>9</v>
      </c>
      <c r="B111" s="218">
        <f t="shared" si="18"/>
        <v>6</v>
      </c>
      <c r="C111" s="218">
        <f t="shared" si="12"/>
        <v>1</v>
      </c>
      <c r="D111" s="208">
        <f>IF(MOD(COUNT($D$10:D110),6)=0,D110+1,D110)</f>
        <v>17</v>
      </c>
      <c r="E111" s="208">
        <f>IF(MOD(COUNT($E$10:E110),3)=0,E110+1,E110)</f>
        <v>34</v>
      </c>
      <c r="F111" s="208">
        <f>IF(MOD(COUNT($F$10:F110),1)=0,F110+1,F110)</f>
        <v>102</v>
      </c>
      <c r="G111" s="204">
        <f>IFERROR(IF(C111=1,VLOOKUP(A111,Output!$A$27:$AB$137,28,FALSE)/AnnuityMode,0),0)</f>
        <v>0</v>
      </c>
      <c r="H111" s="220">
        <f>IFERROR(IF(AND(MIN(A111&gt;25,Age+A111&gt;=85),B111=12),VLOOKUP(A111,Output!$A$27:$AE$137,31,FALSE),0),0)</f>
        <v>0</v>
      </c>
      <c r="I111" s="221">
        <f>IFERROR(IF(AND(MIN(A111&gt;15,A111+Age&gt;=70),C111=1),VLOOKUP(A111,Output!$A$27:$AF$137,32,FALSE)*VLOOKUP('SV calc_ignore'!A111,Output!$A$27:$AG$137,33,FALSE)/IF(AnnuityMode=2,2,IF(AnnuityMode=4,4,IF(AnnuityMode=12,12,1))),0),0)</f>
        <v>0</v>
      </c>
      <c r="J111" s="227">
        <f t="shared" si="13"/>
        <v>0</v>
      </c>
      <c r="K111" s="209">
        <f t="shared" si="19"/>
        <v>0</v>
      </c>
      <c r="L111" s="209">
        <f t="shared" si="14"/>
        <v>0</v>
      </c>
      <c r="M111" s="210">
        <f t="shared" si="23"/>
        <v>0</v>
      </c>
      <c r="N111" s="211">
        <f t="shared" si="20"/>
        <v>0</v>
      </c>
      <c r="O111" s="194">
        <f t="shared" si="21"/>
        <v>0</v>
      </c>
      <c r="P111" s="212">
        <f t="shared" si="15"/>
        <v>0</v>
      </c>
      <c r="Q111">
        <f t="shared" si="16"/>
        <v>1445603.5867487055</v>
      </c>
      <c r="X111" s="216">
        <f t="shared" si="22"/>
        <v>8</v>
      </c>
      <c r="Y111">
        <f t="shared" si="17"/>
        <v>0</v>
      </c>
    </row>
    <row r="112" spans="1:25" x14ac:dyDescent="0.2">
      <c r="A112" s="204">
        <f>IF(MOD(COUNT($A$10:A111),12)=0,A111+1,A111)</f>
        <v>9</v>
      </c>
      <c r="B112" s="218">
        <f t="shared" si="18"/>
        <v>7</v>
      </c>
      <c r="C112" s="218">
        <f t="shared" si="12"/>
        <v>1</v>
      </c>
      <c r="D112" s="208">
        <f>IF(MOD(COUNT($D$10:D111),6)=0,D111+1,D111)</f>
        <v>18</v>
      </c>
      <c r="E112" s="208">
        <f>IF(MOD(COUNT($E$10:E111),3)=0,E111+1,E111)</f>
        <v>35</v>
      </c>
      <c r="F112" s="208">
        <f>IF(MOD(COUNT($F$10:F111),1)=0,F111+1,F111)</f>
        <v>103</v>
      </c>
      <c r="G112" s="204">
        <f>IFERROR(IF(C112=1,VLOOKUP(A112,Output!$A$27:$AB$137,28,FALSE)/AnnuityMode,0),0)</f>
        <v>0</v>
      </c>
      <c r="H112" s="220">
        <f>IFERROR(IF(AND(MIN(A112&gt;25,Age+A112&gt;=85),B112=12),VLOOKUP(A112,Output!$A$27:$AE$137,31,FALSE),0),0)</f>
        <v>0</v>
      </c>
      <c r="I112" s="221">
        <f>IFERROR(IF(AND(MIN(A112&gt;15,A112+Age&gt;=70),C112=1),VLOOKUP(A112,Output!$A$27:$AF$137,32,FALSE)*VLOOKUP('SV calc_ignore'!A112,Output!$A$27:$AG$137,33,FALSE)/IF(AnnuityMode=2,2,IF(AnnuityMode=4,4,IF(AnnuityMode=12,12,1))),0),0)</f>
        <v>0</v>
      </c>
      <c r="J112" s="227">
        <f t="shared" si="13"/>
        <v>0</v>
      </c>
      <c r="K112" s="209">
        <f t="shared" si="19"/>
        <v>0</v>
      </c>
      <c r="L112" s="209">
        <f t="shared" si="14"/>
        <v>0</v>
      </c>
      <c r="M112" s="210">
        <f t="shared" si="23"/>
        <v>0</v>
      </c>
      <c r="N112" s="211">
        <f t="shared" si="20"/>
        <v>0</v>
      </c>
      <c r="O112" s="194">
        <f t="shared" si="21"/>
        <v>0</v>
      </c>
      <c r="P112" s="212">
        <f t="shared" si="15"/>
        <v>0</v>
      </c>
      <c r="Q112">
        <f t="shared" si="16"/>
        <v>1455464.762025523</v>
      </c>
      <c r="X112" s="216">
        <f t="shared" si="22"/>
        <v>8</v>
      </c>
      <c r="Y112">
        <f t="shared" si="17"/>
        <v>0</v>
      </c>
    </row>
    <row r="113" spans="1:25" x14ac:dyDescent="0.2">
      <c r="A113" s="204">
        <f>IF(MOD(COUNT($A$10:A112),12)=0,A112+1,A112)</f>
        <v>9</v>
      </c>
      <c r="B113" s="218">
        <f t="shared" si="18"/>
        <v>8</v>
      </c>
      <c r="C113" s="218">
        <f t="shared" si="12"/>
        <v>1</v>
      </c>
      <c r="D113" s="208">
        <f>IF(MOD(COUNT($D$10:D112),6)=0,D112+1,D112)</f>
        <v>18</v>
      </c>
      <c r="E113" s="208">
        <f>IF(MOD(COUNT($E$10:E112),3)=0,E112+1,E112)</f>
        <v>35</v>
      </c>
      <c r="F113" s="208">
        <f>IF(MOD(COUNT($F$10:F112),1)=0,F112+1,F112)</f>
        <v>104</v>
      </c>
      <c r="G113" s="204">
        <f>IFERROR(IF(C113=1,VLOOKUP(A113,Output!$A$27:$AB$137,28,FALSE)/AnnuityMode,0),0)</f>
        <v>0</v>
      </c>
      <c r="H113" s="220">
        <f>IFERROR(IF(AND(MIN(A113&gt;25,Age+A113&gt;=85),B113=12),VLOOKUP(A113,Output!$A$27:$AE$137,31,FALSE),0),0)</f>
        <v>0</v>
      </c>
      <c r="I113" s="221">
        <f>IFERROR(IF(AND(MIN(A113&gt;15,A113+Age&gt;=70),C113=1),VLOOKUP(A113,Output!$A$27:$AF$137,32,FALSE)*VLOOKUP('SV calc_ignore'!A113,Output!$A$27:$AG$137,33,FALSE)/IF(AnnuityMode=2,2,IF(AnnuityMode=4,4,IF(AnnuityMode=12,12,1))),0),0)</f>
        <v>0</v>
      </c>
      <c r="J113" s="227">
        <f t="shared" si="13"/>
        <v>0</v>
      </c>
      <c r="K113" s="209">
        <f t="shared" si="19"/>
        <v>0</v>
      </c>
      <c r="L113" s="209">
        <f t="shared" si="14"/>
        <v>0</v>
      </c>
      <c r="M113" s="210">
        <f t="shared" si="23"/>
        <v>0</v>
      </c>
      <c r="N113" s="211">
        <f t="shared" si="20"/>
        <v>0</v>
      </c>
      <c r="O113" s="194">
        <f t="shared" si="21"/>
        <v>0</v>
      </c>
      <c r="P113" s="212">
        <f t="shared" si="15"/>
        <v>0</v>
      </c>
      <c r="Q113">
        <f t="shared" si="16"/>
        <v>1465393.205244072</v>
      </c>
      <c r="X113" s="216">
        <f t="shared" si="22"/>
        <v>8</v>
      </c>
      <c r="Y113">
        <f t="shared" si="17"/>
        <v>0</v>
      </c>
    </row>
    <row r="114" spans="1:25" x14ac:dyDescent="0.2">
      <c r="A114" s="204">
        <f>IF(MOD(COUNT($A$10:A113),12)=0,A113+1,A113)</f>
        <v>9</v>
      </c>
      <c r="B114" s="218">
        <f t="shared" si="18"/>
        <v>9</v>
      </c>
      <c r="C114" s="218">
        <f t="shared" si="12"/>
        <v>1</v>
      </c>
      <c r="D114" s="208">
        <f>IF(MOD(COUNT($D$10:D113),6)=0,D113+1,D113)</f>
        <v>18</v>
      </c>
      <c r="E114" s="208">
        <f>IF(MOD(COUNT($E$10:E113),3)=0,E113+1,E113)</f>
        <v>35</v>
      </c>
      <c r="F114" s="208">
        <f>IF(MOD(COUNT($F$10:F113),1)=0,F113+1,F113)</f>
        <v>105</v>
      </c>
      <c r="G114" s="204">
        <f>IFERROR(IF(C114=1,VLOOKUP(A114,Output!$A$27:$AB$137,28,FALSE)/AnnuityMode,0),0)</f>
        <v>0</v>
      </c>
      <c r="H114" s="220">
        <f>IFERROR(IF(AND(MIN(A114&gt;25,Age+A114&gt;=85),B114=12),VLOOKUP(A114,Output!$A$27:$AE$137,31,FALSE),0),0)</f>
        <v>0</v>
      </c>
      <c r="I114" s="221">
        <f>IFERROR(IF(AND(MIN(A114&gt;15,A114+Age&gt;=70),C114=1),VLOOKUP(A114,Output!$A$27:$AF$137,32,FALSE)*VLOOKUP('SV calc_ignore'!A114,Output!$A$27:$AG$137,33,FALSE)/IF(AnnuityMode=2,2,IF(AnnuityMode=4,4,IF(AnnuityMode=12,12,1))),0),0)</f>
        <v>0</v>
      </c>
      <c r="J114" s="227">
        <f t="shared" si="13"/>
        <v>0</v>
      </c>
      <c r="K114" s="209">
        <f t="shared" si="19"/>
        <v>0</v>
      </c>
      <c r="L114" s="209">
        <f t="shared" si="14"/>
        <v>0</v>
      </c>
      <c r="M114" s="210">
        <f t="shared" si="23"/>
        <v>0</v>
      </c>
      <c r="N114" s="211">
        <f t="shared" si="20"/>
        <v>0</v>
      </c>
      <c r="O114" s="194">
        <f t="shared" si="21"/>
        <v>0</v>
      </c>
      <c r="P114" s="212">
        <f t="shared" si="15"/>
        <v>0</v>
      </c>
      <c r="Q114">
        <f t="shared" si="16"/>
        <v>1475389.3752721706</v>
      </c>
      <c r="X114" s="216">
        <f t="shared" si="22"/>
        <v>8</v>
      </c>
      <c r="Y114">
        <f t="shared" si="17"/>
        <v>0</v>
      </c>
    </row>
    <row r="115" spans="1:25" x14ac:dyDescent="0.2">
      <c r="A115" s="204">
        <f>IF(MOD(COUNT($A$10:A114),12)=0,A114+1,A114)</f>
        <v>9</v>
      </c>
      <c r="B115" s="218">
        <f t="shared" si="18"/>
        <v>10</v>
      </c>
      <c r="C115" s="218">
        <f t="shared" si="12"/>
        <v>1</v>
      </c>
      <c r="D115" s="208">
        <f>IF(MOD(COUNT($D$10:D114),6)=0,D114+1,D114)</f>
        <v>18</v>
      </c>
      <c r="E115" s="208">
        <f>IF(MOD(COUNT($E$10:E114),3)=0,E114+1,E114)</f>
        <v>36</v>
      </c>
      <c r="F115" s="208">
        <f>IF(MOD(COUNT($F$10:F114),1)=0,F114+1,F114)</f>
        <v>106</v>
      </c>
      <c r="G115" s="204">
        <f>IFERROR(IF(C115=1,VLOOKUP(A115,Output!$A$27:$AB$137,28,FALSE)/AnnuityMode,0),0)</f>
        <v>0</v>
      </c>
      <c r="H115" s="220">
        <f>IFERROR(IF(AND(MIN(A115&gt;25,Age+A115&gt;=85),B115=12),VLOOKUP(A115,Output!$A$27:$AE$137,31,FALSE),0),0)</f>
        <v>0</v>
      </c>
      <c r="I115" s="221">
        <f>IFERROR(IF(AND(MIN(A115&gt;15,A115+Age&gt;=70),C115=1),VLOOKUP(A115,Output!$A$27:$AF$137,32,FALSE)*VLOOKUP('SV calc_ignore'!A115,Output!$A$27:$AG$137,33,FALSE)/IF(AnnuityMode=2,2,IF(AnnuityMode=4,4,IF(AnnuityMode=12,12,1))),0),0)</f>
        <v>0</v>
      </c>
      <c r="J115" s="227">
        <f t="shared" si="13"/>
        <v>0</v>
      </c>
      <c r="K115" s="209">
        <f t="shared" si="19"/>
        <v>0</v>
      </c>
      <c r="L115" s="209">
        <f t="shared" si="14"/>
        <v>0</v>
      </c>
      <c r="M115" s="210">
        <f t="shared" si="23"/>
        <v>0</v>
      </c>
      <c r="N115" s="211">
        <f t="shared" si="20"/>
        <v>0</v>
      </c>
      <c r="O115" s="194">
        <f t="shared" si="21"/>
        <v>0</v>
      </c>
      <c r="P115" s="212">
        <f t="shared" si="15"/>
        <v>0</v>
      </c>
      <c r="Q115">
        <f t="shared" si="16"/>
        <v>1485453.734107801</v>
      </c>
      <c r="X115" s="216">
        <f t="shared" si="22"/>
        <v>8</v>
      </c>
      <c r="Y115">
        <f t="shared" si="17"/>
        <v>0</v>
      </c>
    </row>
    <row r="116" spans="1:25" x14ac:dyDescent="0.2">
      <c r="A116" s="204">
        <f>IF(MOD(COUNT($A$10:A115),12)=0,A115+1,A115)</f>
        <v>9</v>
      </c>
      <c r="B116" s="218">
        <f t="shared" si="18"/>
        <v>11</v>
      </c>
      <c r="C116" s="218">
        <f t="shared" si="12"/>
        <v>1</v>
      </c>
      <c r="D116" s="208">
        <f>IF(MOD(COUNT($D$10:D115),6)=0,D115+1,D115)</f>
        <v>18</v>
      </c>
      <c r="E116" s="208">
        <f>IF(MOD(COUNT($E$10:E115),3)=0,E115+1,E115)</f>
        <v>36</v>
      </c>
      <c r="F116" s="208">
        <f>IF(MOD(COUNT($F$10:F115),1)=0,F115+1,F115)</f>
        <v>107</v>
      </c>
      <c r="G116" s="204">
        <f>IFERROR(IF(C116=1,VLOOKUP(A116,Output!$A$27:$AB$137,28,FALSE)/AnnuityMode,0),0)</f>
        <v>0</v>
      </c>
      <c r="H116" s="220">
        <f>IFERROR(IF(AND(MIN(A116&gt;25,Age+A116&gt;=85),B116=12),VLOOKUP(A116,Output!$A$27:$AE$137,31,FALSE),0),0)</f>
        <v>0</v>
      </c>
      <c r="I116" s="221">
        <f>IFERROR(IF(AND(MIN(A116&gt;15,A116+Age&gt;=70),C116=1),VLOOKUP(A116,Output!$A$27:$AF$137,32,FALSE)*VLOOKUP('SV calc_ignore'!A116,Output!$A$27:$AG$137,33,FALSE)/IF(AnnuityMode=2,2,IF(AnnuityMode=4,4,IF(AnnuityMode=12,12,1))),0),0)</f>
        <v>0</v>
      </c>
      <c r="J116" s="227">
        <f t="shared" si="13"/>
        <v>0</v>
      </c>
      <c r="K116" s="209">
        <f t="shared" si="19"/>
        <v>0</v>
      </c>
      <c r="L116" s="209">
        <f t="shared" si="14"/>
        <v>0</v>
      </c>
      <c r="M116" s="210">
        <f t="shared" si="23"/>
        <v>0</v>
      </c>
      <c r="N116" s="211">
        <f t="shared" si="20"/>
        <v>0</v>
      </c>
      <c r="O116" s="194">
        <f t="shared" si="21"/>
        <v>0</v>
      </c>
      <c r="P116" s="212">
        <f t="shared" si="15"/>
        <v>0</v>
      </c>
      <c r="Q116">
        <f t="shared" si="16"/>
        <v>1495586.7469004611</v>
      </c>
      <c r="X116" s="216">
        <f t="shared" si="22"/>
        <v>8</v>
      </c>
      <c r="Y116">
        <f t="shared" si="17"/>
        <v>0</v>
      </c>
    </row>
    <row r="117" spans="1:25" x14ac:dyDescent="0.2">
      <c r="A117" s="204">
        <f>IF(MOD(COUNT($A$10:A116),12)=0,A116+1,A116)</f>
        <v>9</v>
      </c>
      <c r="B117" s="218">
        <f t="shared" si="18"/>
        <v>12</v>
      </c>
      <c r="C117" s="218">
        <f t="shared" si="12"/>
        <v>1</v>
      </c>
      <c r="D117" s="208">
        <f>IF(MOD(COUNT($D$10:D116),6)=0,D116+1,D116)</f>
        <v>18</v>
      </c>
      <c r="E117" s="208">
        <f>IF(MOD(COUNT($E$10:E116),3)=0,E116+1,E116)</f>
        <v>36</v>
      </c>
      <c r="F117" s="208">
        <f>IF(MOD(COUNT($F$10:F116),1)=0,F116+1,F116)</f>
        <v>108</v>
      </c>
      <c r="G117" s="204">
        <f>IFERROR(IF(C117=1,VLOOKUP(A117,Output!$A$27:$AB$137,28,FALSE)/AnnuityMode,0),0)</f>
        <v>0</v>
      </c>
      <c r="H117" s="220">
        <f>IFERROR(IF(AND(MIN(A117&gt;25,Age+A117&gt;=85),B117=12),VLOOKUP(A117,Output!$A$27:$AE$137,31,FALSE),0),0)</f>
        <v>0</v>
      </c>
      <c r="I117" s="221">
        <f>IFERROR(IF(AND(MIN(A117&gt;15,A117+Age&gt;=70),C117=1),VLOOKUP(A117,Output!$A$27:$AF$137,32,FALSE)*VLOOKUP('SV calc_ignore'!A117,Output!$A$27:$AG$137,33,FALSE)/IF(AnnuityMode=2,2,IF(AnnuityMode=4,4,IF(AnnuityMode=12,12,1))),0),0)</f>
        <v>0</v>
      </c>
      <c r="J117" s="227">
        <f t="shared" si="13"/>
        <v>0</v>
      </c>
      <c r="K117" s="209">
        <f t="shared" si="19"/>
        <v>0</v>
      </c>
      <c r="L117" s="209">
        <f t="shared" si="14"/>
        <v>0</v>
      </c>
      <c r="M117" s="210">
        <f t="shared" si="23"/>
        <v>0</v>
      </c>
      <c r="N117" s="211">
        <f t="shared" si="20"/>
        <v>0</v>
      </c>
      <c r="O117" s="194">
        <f t="shared" si="21"/>
        <v>0</v>
      </c>
      <c r="P117" s="212">
        <f t="shared" si="15"/>
        <v>0</v>
      </c>
      <c r="Q117">
        <f t="shared" si="16"/>
        <v>1505788.8819726638</v>
      </c>
      <c r="X117" s="216">
        <f t="shared" si="22"/>
        <v>8</v>
      </c>
      <c r="Y117">
        <f t="shared" si="17"/>
        <v>0</v>
      </c>
    </row>
    <row r="118" spans="1:25" x14ac:dyDescent="0.2">
      <c r="A118" s="204">
        <f>IF(MOD(COUNT($A$10:A117),12)=0,A117+1,A117)</f>
        <v>10</v>
      </c>
      <c r="B118" s="218">
        <f t="shared" si="18"/>
        <v>1</v>
      </c>
      <c r="C118" s="218">
        <f t="shared" si="12"/>
        <v>1</v>
      </c>
      <c r="D118" s="208">
        <f>IF(MOD(COUNT($D$10:D117),6)=0,D117+1,D117)</f>
        <v>19</v>
      </c>
      <c r="E118" s="208">
        <f>IF(MOD(COUNT($E$10:E117),3)=0,E117+1,E117)</f>
        <v>37</v>
      </c>
      <c r="F118" s="208">
        <f>IF(MOD(COUNT($F$10:F117),1)=0,F117+1,F117)</f>
        <v>109</v>
      </c>
      <c r="G118" s="204">
        <f>IFERROR(IF(C118=1,VLOOKUP(A118,Output!$A$27:$AB$137,28,FALSE)/AnnuityMode,0),0)</f>
        <v>0</v>
      </c>
      <c r="H118" s="220">
        <f>IFERROR(IF(AND(MIN(A118&gt;25,Age+A118&gt;=85),B118=12),VLOOKUP(A118,Output!$A$27:$AE$137,31,FALSE),0),0)</f>
        <v>0</v>
      </c>
      <c r="I118" s="221">
        <f>IFERROR(IF(AND(MIN(A118&gt;15,A118+Age&gt;=70),C118=1),VLOOKUP(A118,Output!$A$27:$AF$137,32,FALSE)*VLOOKUP('SV calc_ignore'!A118,Output!$A$27:$AG$137,33,FALSE)/IF(AnnuityMode=2,2,IF(AnnuityMode=4,4,IF(AnnuityMode=12,12,1))),0),0)</f>
        <v>0</v>
      </c>
      <c r="J118" s="227">
        <f t="shared" si="13"/>
        <v>0</v>
      </c>
      <c r="K118" s="209">
        <f t="shared" si="19"/>
        <v>0</v>
      </c>
      <c r="L118" s="209">
        <f t="shared" si="14"/>
        <v>0</v>
      </c>
      <c r="M118" s="210">
        <f t="shared" si="23"/>
        <v>0</v>
      </c>
      <c r="N118" s="211">
        <f t="shared" si="20"/>
        <v>0</v>
      </c>
      <c r="O118" s="194">
        <f t="shared" si="21"/>
        <v>0</v>
      </c>
      <c r="P118" s="212">
        <f t="shared" si="15"/>
        <v>0</v>
      </c>
      <c r="Q118">
        <f t="shared" si="16"/>
        <v>1516060.61084158</v>
      </c>
      <c r="X118" s="216">
        <f t="shared" si="22"/>
        <v>9</v>
      </c>
      <c r="Y118">
        <f t="shared" si="17"/>
        <v>0</v>
      </c>
    </row>
    <row r="119" spans="1:25" x14ac:dyDescent="0.2">
      <c r="A119" s="204">
        <f>IF(MOD(COUNT($A$10:A118),12)=0,A118+1,A118)</f>
        <v>10</v>
      </c>
      <c r="B119" s="218">
        <f t="shared" si="18"/>
        <v>2</v>
      </c>
      <c r="C119" s="218">
        <f t="shared" si="12"/>
        <v>1</v>
      </c>
      <c r="D119" s="208">
        <f>IF(MOD(COUNT($D$10:D118),6)=0,D118+1,D118)</f>
        <v>19</v>
      </c>
      <c r="E119" s="208">
        <f>IF(MOD(COUNT($E$10:E118),3)=0,E118+1,E118)</f>
        <v>37</v>
      </c>
      <c r="F119" s="208">
        <f>IF(MOD(COUNT($F$10:F118),1)=0,F118+1,F118)</f>
        <v>110</v>
      </c>
      <c r="G119" s="204">
        <f>IFERROR(IF(C119=1,VLOOKUP(A119,Output!$A$27:$AB$137,28,FALSE)/AnnuityMode,0),0)</f>
        <v>0</v>
      </c>
      <c r="H119" s="220">
        <f>IFERROR(IF(AND(MIN(A119&gt;25,Age+A119&gt;=85),B119=12),VLOOKUP(A119,Output!$A$27:$AE$137,31,FALSE),0),0)</f>
        <v>0</v>
      </c>
      <c r="I119" s="221">
        <f>IFERROR(IF(AND(MIN(A119&gt;15,A119+Age&gt;=70),C119=1),VLOOKUP(A119,Output!$A$27:$AF$137,32,FALSE)*VLOOKUP('SV calc_ignore'!A119,Output!$A$27:$AG$137,33,FALSE)/IF(AnnuityMode=2,2,IF(AnnuityMode=4,4,IF(AnnuityMode=12,12,1))),0),0)</f>
        <v>0</v>
      </c>
      <c r="J119" s="227">
        <f t="shared" si="13"/>
        <v>0</v>
      </c>
      <c r="K119" s="209">
        <f t="shared" si="19"/>
        <v>0</v>
      </c>
      <c r="L119" s="209">
        <f t="shared" si="14"/>
        <v>0</v>
      </c>
      <c r="M119" s="210">
        <f t="shared" si="23"/>
        <v>0</v>
      </c>
      <c r="N119" s="211">
        <f t="shared" si="20"/>
        <v>0</v>
      </c>
      <c r="O119" s="194">
        <f t="shared" si="21"/>
        <v>0</v>
      </c>
      <c r="P119" s="212">
        <f t="shared" si="15"/>
        <v>0</v>
      </c>
      <c r="Q119">
        <f t="shared" si="16"/>
        <v>1526402.4082408324</v>
      </c>
      <c r="X119" s="216">
        <f t="shared" si="22"/>
        <v>9</v>
      </c>
      <c r="Y119">
        <f t="shared" si="17"/>
        <v>0</v>
      </c>
    </row>
    <row r="120" spans="1:25" x14ac:dyDescent="0.2">
      <c r="A120" s="204">
        <f>IF(MOD(COUNT($A$10:A119),12)=0,A119+1,A119)</f>
        <v>10</v>
      </c>
      <c r="B120" s="218">
        <f t="shared" si="18"/>
        <v>3</v>
      </c>
      <c r="C120" s="218">
        <f t="shared" si="12"/>
        <v>1</v>
      </c>
      <c r="D120" s="208">
        <f>IF(MOD(COUNT($D$10:D119),6)=0,D119+1,D119)</f>
        <v>19</v>
      </c>
      <c r="E120" s="208">
        <f>IF(MOD(COUNT($E$10:E119),3)=0,E119+1,E119)</f>
        <v>37</v>
      </c>
      <c r="F120" s="208">
        <f>IF(MOD(COUNT($F$10:F119),1)=0,F119+1,F119)</f>
        <v>111</v>
      </c>
      <c r="G120" s="204">
        <f>IFERROR(IF(C120=1,VLOOKUP(A120,Output!$A$27:$AB$137,28,FALSE)/AnnuityMode,0),0)</f>
        <v>0</v>
      </c>
      <c r="H120" s="220">
        <f>IFERROR(IF(AND(MIN(A120&gt;25,Age+A120&gt;=85),B120=12),VLOOKUP(A120,Output!$A$27:$AE$137,31,FALSE),0),0)</f>
        <v>0</v>
      </c>
      <c r="I120" s="221">
        <f>IFERROR(IF(AND(MIN(A120&gt;15,A120+Age&gt;=70),C120=1),VLOOKUP(A120,Output!$A$27:$AF$137,32,FALSE)*VLOOKUP('SV calc_ignore'!A120,Output!$A$27:$AG$137,33,FALSE)/IF(AnnuityMode=2,2,IF(AnnuityMode=4,4,IF(AnnuityMode=12,12,1))),0),0)</f>
        <v>0</v>
      </c>
      <c r="J120" s="227">
        <f t="shared" si="13"/>
        <v>0</v>
      </c>
      <c r="K120" s="209">
        <f t="shared" si="19"/>
        <v>0</v>
      </c>
      <c r="L120" s="209">
        <f t="shared" si="14"/>
        <v>0</v>
      </c>
      <c r="M120" s="210">
        <f t="shared" si="23"/>
        <v>0</v>
      </c>
      <c r="N120" s="211">
        <f t="shared" si="20"/>
        <v>0</v>
      </c>
      <c r="O120" s="194">
        <f t="shared" si="21"/>
        <v>0</v>
      </c>
      <c r="P120" s="212">
        <f t="shared" si="15"/>
        <v>0</v>
      </c>
      <c r="Q120">
        <f t="shared" si="16"/>
        <v>1536814.7521424361</v>
      </c>
      <c r="X120" s="216">
        <f t="shared" si="22"/>
        <v>9</v>
      </c>
      <c r="Y120">
        <f t="shared" si="17"/>
        <v>0</v>
      </c>
    </row>
    <row r="121" spans="1:25" x14ac:dyDescent="0.2">
      <c r="A121" s="204">
        <f>IF(MOD(COUNT($A$10:A120),12)=0,A120+1,A120)</f>
        <v>10</v>
      </c>
      <c r="B121" s="218">
        <f t="shared" si="18"/>
        <v>4</v>
      </c>
      <c r="C121" s="218">
        <f t="shared" si="12"/>
        <v>1</v>
      </c>
      <c r="D121" s="208">
        <f>IF(MOD(COUNT($D$10:D120),6)=0,D120+1,D120)</f>
        <v>19</v>
      </c>
      <c r="E121" s="208">
        <f>IF(MOD(COUNT($E$10:E120),3)=0,E120+1,E120)</f>
        <v>38</v>
      </c>
      <c r="F121" s="208">
        <f>IF(MOD(COUNT($F$10:F120),1)=0,F120+1,F120)</f>
        <v>112</v>
      </c>
      <c r="G121" s="204">
        <f>IFERROR(IF(C121=1,VLOOKUP(A121,Output!$A$27:$AB$137,28,FALSE)/AnnuityMode,0),0)</f>
        <v>0</v>
      </c>
      <c r="H121" s="220">
        <f>IFERROR(IF(AND(MIN(A121&gt;25,Age+A121&gt;=85),B121=12),VLOOKUP(A121,Output!$A$27:$AE$137,31,FALSE),0),0)</f>
        <v>0</v>
      </c>
      <c r="I121" s="221">
        <f>IFERROR(IF(AND(MIN(A121&gt;15,A121+Age&gt;=70),C121=1),VLOOKUP(A121,Output!$A$27:$AF$137,32,FALSE)*VLOOKUP('SV calc_ignore'!A121,Output!$A$27:$AG$137,33,FALSE)/IF(AnnuityMode=2,2,IF(AnnuityMode=4,4,IF(AnnuityMode=12,12,1))),0),0)</f>
        <v>0</v>
      </c>
      <c r="J121" s="227">
        <f t="shared" si="13"/>
        <v>0</v>
      </c>
      <c r="K121" s="209">
        <f t="shared" si="19"/>
        <v>0</v>
      </c>
      <c r="L121" s="209">
        <f t="shared" si="14"/>
        <v>0</v>
      </c>
      <c r="M121" s="210">
        <f t="shared" si="23"/>
        <v>0</v>
      </c>
      <c r="N121" s="211">
        <f t="shared" si="20"/>
        <v>0</v>
      </c>
      <c r="O121" s="194">
        <f t="shared" si="21"/>
        <v>0</v>
      </c>
      <c r="P121" s="212">
        <f t="shared" si="15"/>
        <v>0</v>
      </c>
      <c r="Q121">
        <f t="shared" si="16"/>
        <v>1547298.1237788887</v>
      </c>
      <c r="X121" s="216">
        <f t="shared" si="22"/>
        <v>9</v>
      </c>
      <c r="Y121">
        <f t="shared" si="17"/>
        <v>0</v>
      </c>
    </row>
    <row r="122" spans="1:25" x14ac:dyDescent="0.2">
      <c r="A122" s="204">
        <f>IF(MOD(COUNT($A$10:A121),12)=0,A121+1,A121)</f>
        <v>10</v>
      </c>
      <c r="B122" s="218">
        <f t="shared" si="18"/>
        <v>5</v>
      </c>
      <c r="C122" s="218">
        <f t="shared" si="12"/>
        <v>1</v>
      </c>
      <c r="D122" s="208">
        <f>IF(MOD(COUNT($D$10:D121),6)=0,D121+1,D121)</f>
        <v>19</v>
      </c>
      <c r="E122" s="208">
        <f>IF(MOD(COUNT($E$10:E121),3)=0,E121+1,E121)</f>
        <v>38</v>
      </c>
      <c r="F122" s="208">
        <f>IF(MOD(COUNT($F$10:F121),1)=0,F121+1,F121)</f>
        <v>113</v>
      </c>
      <c r="G122" s="204">
        <f>IFERROR(IF(C122=1,VLOOKUP(A122,Output!$A$27:$AB$137,28,FALSE)/AnnuityMode,0),0)</f>
        <v>0</v>
      </c>
      <c r="H122" s="220">
        <f>IFERROR(IF(AND(MIN(A122&gt;25,Age+A122&gt;=85),B122=12),VLOOKUP(A122,Output!$A$27:$AE$137,31,FALSE),0),0)</f>
        <v>0</v>
      </c>
      <c r="I122" s="221">
        <f>IFERROR(IF(AND(MIN(A122&gt;15,A122+Age&gt;=70),C122=1),VLOOKUP(A122,Output!$A$27:$AF$137,32,FALSE)*VLOOKUP('SV calc_ignore'!A122,Output!$A$27:$AG$137,33,FALSE)/IF(AnnuityMode=2,2,IF(AnnuityMode=4,4,IF(AnnuityMode=12,12,1))),0),0)</f>
        <v>0</v>
      </c>
      <c r="J122" s="227">
        <f t="shared" si="13"/>
        <v>0</v>
      </c>
      <c r="K122" s="209">
        <f t="shared" si="19"/>
        <v>0</v>
      </c>
      <c r="L122" s="209">
        <f t="shared" si="14"/>
        <v>0</v>
      </c>
      <c r="M122" s="210">
        <f t="shared" si="23"/>
        <v>0</v>
      </c>
      <c r="N122" s="211">
        <f t="shared" si="20"/>
        <v>0</v>
      </c>
      <c r="O122" s="194">
        <f t="shared" si="21"/>
        <v>0</v>
      </c>
      <c r="P122" s="212">
        <f t="shared" si="15"/>
        <v>0</v>
      </c>
      <c r="Q122">
        <f t="shared" si="16"/>
        <v>1557853.0076654123</v>
      </c>
      <c r="X122" s="216">
        <f t="shared" si="22"/>
        <v>9</v>
      </c>
      <c r="Y122">
        <f t="shared" si="17"/>
        <v>0</v>
      </c>
    </row>
    <row r="123" spans="1:25" x14ac:dyDescent="0.2">
      <c r="A123" s="204">
        <f>IF(MOD(COUNT($A$10:A122),12)=0,A122+1,A122)</f>
        <v>10</v>
      </c>
      <c r="B123" s="218">
        <f t="shared" si="18"/>
        <v>6</v>
      </c>
      <c r="C123" s="218">
        <f t="shared" si="12"/>
        <v>1</v>
      </c>
      <c r="D123" s="208">
        <f>IF(MOD(COUNT($D$10:D122),6)=0,D122+1,D122)</f>
        <v>19</v>
      </c>
      <c r="E123" s="208">
        <f>IF(MOD(COUNT($E$10:E122),3)=0,E122+1,E122)</f>
        <v>38</v>
      </c>
      <c r="F123" s="208">
        <f>IF(MOD(COUNT($F$10:F122),1)=0,F122+1,F122)</f>
        <v>114</v>
      </c>
      <c r="G123" s="204">
        <f>IFERROR(IF(C123=1,VLOOKUP(A123,Output!$A$27:$AB$137,28,FALSE)/AnnuityMode,0),0)</f>
        <v>0</v>
      </c>
      <c r="H123" s="220">
        <f>IFERROR(IF(AND(MIN(A123&gt;25,Age+A123&gt;=85),B123=12),VLOOKUP(A123,Output!$A$27:$AE$137,31,FALSE),0),0)</f>
        <v>0</v>
      </c>
      <c r="I123" s="221">
        <f>IFERROR(IF(AND(MIN(A123&gt;15,A123+Age&gt;=70),C123=1),VLOOKUP(A123,Output!$A$27:$AF$137,32,FALSE)*VLOOKUP('SV calc_ignore'!A123,Output!$A$27:$AG$137,33,FALSE)/IF(AnnuityMode=2,2,IF(AnnuityMode=4,4,IF(AnnuityMode=12,12,1))),0),0)</f>
        <v>0</v>
      </c>
      <c r="J123" s="227">
        <f t="shared" si="13"/>
        <v>0</v>
      </c>
      <c r="K123" s="209">
        <f t="shared" si="19"/>
        <v>0</v>
      </c>
      <c r="L123" s="209">
        <f t="shared" si="14"/>
        <v>0</v>
      </c>
      <c r="M123" s="210">
        <f t="shared" si="23"/>
        <v>0</v>
      </c>
      <c r="N123" s="211">
        <f t="shared" si="20"/>
        <v>0</v>
      </c>
      <c r="O123" s="194">
        <f t="shared" si="21"/>
        <v>0</v>
      </c>
      <c r="P123" s="212">
        <f t="shared" si="15"/>
        <v>0</v>
      </c>
      <c r="Q123">
        <f t="shared" si="16"/>
        <v>1568479.8916223461</v>
      </c>
      <c r="X123" s="216">
        <f t="shared" si="22"/>
        <v>9</v>
      </c>
      <c r="Y123">
        <f t="shared" si="17"/>
        <v>0</v>
      </c>
    </row>
    <row r="124" spans="1:25" x14ac:dyDescent="0.2">
      <c r="A124" s="204">
        <f>IF(MOD(COUNT($A$10:A123),12)=0,A123+1,A123)</f>
        <v>10</v>
      </c>
      <c r="B124" s="218">
        <f t="shared" si="18"/>
        <v>7</v>
      </c>
      <c r="C124" s="218">
        <f t="shared" si="12"/>
        <v>1</v>
      </c>
      <c r="D124" s="208">
        <f>IF(MOD(COUNT($D$10:D123),6)=0,D123+1,D123)</f>
        <v>20</v>
      </c>
      <c r="E124" s="208">
        <f>IF(MOD(COUNT($E$10:E123),3)=0,E123+1,E123)</f>
        <v>39</v>
      </c>
      <c r="F124" s="208">
        <f>IF(MOD(COUNT($F$10:F123),1)=0,F123+1,F123)</f>
        <v>115</v>
      </c>
      <c r="G124" s="204">
        <f>IFERROR(IF(C124=1,VLOOKUP(A124,Output!$A$27:$AB$137,28,FALSE)/AnnuityMode,0),0)</f>
        <v>0</v>
      </c>
      <c r="H124" s="220">
        <f>IFERROR(IF(AND(MIN(A124&gt;25,Age+A124&gt;=85),B124=12),VLOOKUP(A124,Output!$A$27:$AE$137,31,FALSE),0),0)</f>
        <v>0</v>
      </c>
      <c r="I124" s="221">
        <f>IFERROR(IF(AND(MIN(A124&gt;15,A124+Age&gt;=70),C124=1),VLOOKUP(A124,Output!$A$27:$AF$137,32,FALSE)*VLOOKUP('SV calc_ignore'!A124,Output!$A$27:$AG$137,33,FALSE)/IF(AnnuityMode=2,2,IF(AnnuityMode=4,4,IF(AnnuityMode=12,12,1))),0),0)</f>
        <v>0</v>
      </c>
      <c r="J124" s="227">
        <f t="shared" si="13"/>
        <v>0</v>
      </c>
      <c r="K124" s="209">
        <f t="shared" si="19"/>
        <v>0</v>
      </c>
      <c r="L124" s="209">
        <f t="shared" si="14"/>
        <v>0</v>
      </c>
      <c r="M124" s="210">
        <f t="shared" si="23"/>
        <v>0</v>
      </c>
      <c r="N124" s="211">
        <f t="shared" si="20"/>
        <v>0</v>
      </c>
      <c r="O124" s="194">
        <f t="shared" si="21"/>
        <v>0</v>
      </c>
      <c r="P124" s="212">
        <f t="shared" si="15"/>
        <v>0</v>
      </c>
      <c r="Q124">
        <f t="shared" si="16"/>
        <v>1579179.2667976932</v>
      </c>
      <c r="X124" s="216">
        <f t="shared" si="22"/>
        <v>9</v>
      </c>
      <c r="Y124">
        <f t="shared" si="17"/>
        <v>0</v>
      </c>
    </row>
    <row r="125" spans="1:25" x14ac:dyDescent="0.2">
      <c r="A125" s="204">
        <f>IF(MOD(COUNT($A$10:A124),12)=0,A124+1,A124)</f>
        <v>10</v>
      </c>
      <c r="B125" s="218">
        <f t="shared" si="18"/>
        <v>8</v>
      </c>
      <c r="C125" s="218">
        <f t="shared" si="12"/>
        <v>1</v>
      </c>
      <c r="D125" s="208">
        <f>IF(MOD(COUNT($D$10:D124),6)=0,D124+1,D124)</f>
        <v>20</v>
      </c>
      <c r="E125" s="208">
        <f>IF(MOD(COUNT($E$10:E124),3)=0,E124+1,E124)</f>
        <v>39</v>
      </c>
      <c r="F125" s="208">
        <f>IF(MOD(COUNT($F$10:F124),1)=0,F124+1,F124)</f>
        <v>116</v>
      </c>
      <c r="G125" s="204">
        <f>IFERROR(IF(C125=1,VLOOKUP(A125,Output!$A$27:$AB$137,28,FALSE)/AnnuityMode,0),0)</f>
        <v>0</v>
      </c>
      <c r="H125" s="220">
        <f>IFERROR(IF(AND(MIN(A125&gt;25,Age+A125&gt;=85),B125=12),VLOOKUP(A125,Output!$A$27:$AE$137,31,FALSE),0),0)</f>
        <v>0</v>
      </c>
      <c r="I125" s="221">
        <f>IFERROR(IF(AND(MIN(A125&gt;15,A125+Age&gt;=70),C125=1),VLOOKUP(A125,Output!$A$27:$AF$137,32,FALSE)*VLOOKUP('SV calc_ignore'!A125,Output!$A$27:$AG$137,33,FALSE)/IF(AnnuityMode=2,2,IF(AnnuityMode=4,4,IF(AnnuityMode=12,12,1))),0),0)</f>
        <v>0</v>
      </c>
      <c r="J125" s="227">
        <f t="shared" si="13"/>
        <v>0</v>
      </c>
      <c r="K125" s="209">
        <f t="shared" si="19"/>
        <v>0</v>
      </c>
      <c r="L125" s="209">
        <f t="shared" si="14"/>
        <v>0</v>
      </c>
      <c r="M125" s="210">
        <f t="shared" si="23"/>
        <v>0</v>
      </c>
      <c r="N125" s="211">
        <f t="shared" si="20"/>
        <v>0</v>
      </c>
      <c r="O125" s="194">
        <f t="shared" si="21"/>
        <v>0</v>
      </c>
      <c r="P125" s="212">
        <f t="shared" si="15"/>
        <v>0</v>
      </c>
      <c r="Q125">
        <f t="shared" si="16"/>
        <v>1589951.6276898189</v>
      </c>
      <c r="X125" s="216">
        <f t="shared" si="22"/>
        <v>9</v>
      </c>
      <c r="Y125">
        <f t="shared" si="17"/>
        <v>0</v>
      </c>
    </row>
    <row r="126" spans="1:25" x14ac:dyDescent="0.2">
      <c r="A126" s="204">
        <f>IF(MOD(COUNT($A$10:A125),12)=0,A125+1,A125)</f>
        <v>10</v>
      </c>
      <c r="B126" s="218">
        <f t="shared" si="18"/>
        <v>9</v>
      </c>
      <c r="C126" s="218">
        <f t="shared" si="12"/>
        <v>1</v>
      </c>
      <c r="D126" s="208">
        <f>IF(MOD(COUNT($D$10:D125),6)=0,D125+1,D125)</f>
        <v>20</v>
      </c>
      <c r="E126" s="208">
        <f>IF(MOD(COUNT($E$10:E125),3)=0,E125+1,E125)</f>
        <v>39</v>
      </c>
      <c r="F126" s="208">
        <f>IF(MOD(COUNT($F$10:F125),1)=0,F125+1,F125)</f>
        <v>117</v>
      </c>
      <c r="G126" s="204">
        <f>IFERROR(IF(C126=1,VLOOKUP(A126,Output!$A$27:$AB$137,28,FALSE)/AnnuityMode,0),0)</f>
        <v>0</v>
      </c>
      <c r="H126" s="220">
        <f>IFERROR(IF(AND(MIN(A126&gt;25,Age+A126&gt;=85),B126=12),VLOOKUP(A126,Output!$A$27:$AE$137,31,FALSE),0),0)</f>
        <v>0</v>
      </c>
      <c r="I126" s="221">
        <f>IFERROR(IF(AND(MIN(A126&gt;15,A126+Age&gt;=70),C126=1),VLOOKUP(A126,Output!$A$27:$AF$137,32,FALSE)*VLOOKUP('SV calc_ignore'!A126,Output!$A$27:$AG$137,33,FALSE)/IF(AnnuityMode=2,2,IF(AnnuityMode=4,4,IF(AnnuityMode=12,12,1))),0),0)</f>
        <v>0</v>
      </c>
      <c r="J126" s="227">
        <f t="shared" si="13"/>
        <v>0</v>
      </c>
      <c r="K126" s="209">
        <f t="shared" si="19"/>
        <v>0</v>
      </c>
      <c r="L126" s="209">
        <f t="shared" si="14"/>
        <v>0</v>
      </c>
      <c r="M126" s="210">
        <f t="shared" si="23"/>
        <v>0</v>
      </c>
      <c r="N126" s="211">
        <f t="shared" si="20"/>
        <v>0</v>
      </c>
      <c r="O126" s="194">
        <f t="shared" si="21"/>
        <v>0</v>
      </c>
      <c r="P126" s="212">
        <f t="shared" si="15"/>
        <v>0</v>
      </c>
      <c r="Q126">
        <f t="shared" si="16"/>
        <v>1600797.4721703059</v>
      </c>
      <c r="X126" s="216">
        <f t="shared" si="22"/>
        <v>9</v>
      </c>
      <c r="Y126">
        <f t="shared" si="17"/>
        <v>0</v>
      </c>
    </row>
    <row r="127" spans="1:25" x14ac:dyDescent="0.2">
      <c r="A127" s="204">
        <f>IF(MOD(COUNT($A$10:A126),12)=0,A126+1,A126)</f>
        <v>10</v>
      </c>
      <c r="B127" s="218">
        <f t="shared" si="18"/>
        <v>10</v>
      </c>
      <c r="C127" s="218">
        <f t="shared" si="12"/>
        <v>1</v>
      </c>
      <c r="D127" s="208">
        <f>IF(MOD(COUNT($D$10:D126),6)=0,D126+1,D126)</f>
        <v>20</v>
      </c>
      <c r="E127" s="208">
        <f>IF(MOD(COUNT($E$10:E126),3)=0,E126+1,E126)</f>
        <v>40</v>
      </c>
      <c r="F127" s="208">
        <f>IF(MOD(COUNT($F$10:F126),1)=0,F126+1,F126)</f>
        <v>118</v>
      </c>
      <c r="G127" s="204">
        <f>IFERROR(IF(C127=1,VLOOKUP(A127,Output!$A$27:$AB$137,28,FALSE)/AnnuityMode,0),0)</f>
        <v>0</v>
      </c>
      <c r="H127" s="220">
        <f>IFERROR(IF(AND(MIN(A127&gt;25,Age+A127&gt;=85),B127=12),VLOOKUP(A127,Output!$A$27:$AE$137,31,FALSE),0),0)</f>
        <v>0</v>
      </c>
      <c r="I127" s="221">
        <f>IFERROR(IF(AND(MIN(A127&gt;15,A127+Age&gt;=70),C127=1),VLOOKUP(A127,Output!$A$27:$AF$137,32,FALSE)*VLOOKUP('SV calc_ignore'!A127,Output!$A$27:$AG$137,33,FALSE)/IF(AnnuityMode=2,2,IF(AnnuityMode=4,4,IF(AnnuityMode=12,12,1))),0),0)</f>
        <v>0</v>
      </c>
      <c r="J127" s="227">
        <f t="shared" si="13"/>
        <v>0</v>
      </c>
      <c r="K127" s="209">
        <f t="shared" si="19"/>
        <v>0</v>
      </c>
      <c r="L127" s="209">
        <f t="shared" si="14"/>
        <v>0</v>
      </c>
      <c r="M127" s="210">
        <f t="shared" si="23"/>
        <v>0</v>
      </c>
      <c r="N127" s="211">
        <f t="shared" si="20"/>
        <v>0</v>
      </c>
      <c r="O127" s="194">
        <f t="shared" si="21"/>
        <v>0</v>
      </c>
      <c r="P127" s="212">
        <f t="shared" si="15"/>
        <v>0</v>
      </c>
      <c r="Q127">
        <f t="shared" si="16"/>
        <v>1611717.3015069647</v>
      </c>
      <c r="X127" s="216">
        <f t="shared" si="22"/>
        <v>9</v>
      </c>
      <c r="Y127">
        <f t="shared" si="17"/>
        <v>0</v>
      </c>
    </row>
    <row r="128" spans="1:25" x14ac:dyDescent="0.2">
      <c r="A128" s="204">
        <f>IF(MOD(COUNT($A$10:A127),12)=0,A127+1,A127)</f>
        <v>10</v>
      </c>
      <c r="B128" s="218">
        <f t="shared" si="18"/>
        <v>11</v>
      </c>
      <c r="C128" s="218">
        <f t="shared" si="12"/>
        <v>1</v>
      </c>
      <c r="D128" s="208">
        <f>IF(MOD(COUNT($D$10:D127),6)=0,D127+1,D127)</f>
        <v>20</v>
      </c>
      <c r="E128" s="208">
        <f>IF(MOD(COUNT($E$10:E127),3)=0,E127+1,E127)</f>
        <v>40</v>
      </c>
      <c r="F128" s="208">
        <f>IF(MOD(COUNT($F$10:F127),1)=0,F127+1,F127)</f>
        <v>119</v>
      </c>
      <c r="G128" s="204">
        <f>IFERROR(IF(C128=1,VLOOKUP(A128,Output!$A$27:$AB$137,28,FALSE)/AnnuityMode,0),0)</f>
        <v>0</v>
      </c>
      <c r="H128" s="220">
        <f>IFERROR(IF(AND(MIN(A128&gt;25,Age+A128&gt;=85),B128=12),VLOOKUP(A128,Output!$A$27:$AE$137,31,FALSE),0),0)</f>
        <v>0</v>
      </c>
      <c r="I128" s="221">
        <f>IFERROR(IF(AND(MIN(A128&gt;15,A128+Age&gt;=70),C128=1),VLOOKUP(A128,Output!$A$27:$AF$137,32,FALSE)*VLOOKUP('SV calc_ignore'!A128,Output!$A$27:$AG$137,33,FALSE)/IF(AnnuityMode=2,2,IF(AnnuityMode=4,4,IF(AnnuityMode=12,12,1))),0),0)</f>
        <v>0</v>
      </c>
      <c r="J128" s="227">
        <f t="shared" si="13"/>
        <v>0</v>
      </c>
      <c r="K128" s="209">
        <f t="shared" si="19"/>
        <v>0</v>
      </c>
      <c r="L128" s="209">
        <f t="shared" si="14"/>
        <v>0</v>
      </c>
      <c r="M128" s="210">
        <f t="shared" si="23"/>
        <v>0</v>
      </c>
      <c r="N128" s="211">
        <f t="shared" si="20"/>
        <v>0</v>
      </c>
      <c r="O128" s="194">
        <f t="shared" si="21"/>
        <v>0</v>
      </c>
      <c r="P128" s="212">
        <f t="shared" si="15"/>
        <v>0</v>
      </c>
      <c r="Q128">
        <f t="shared" si="16"/>
        <v>1622711.620387001</v>
      </c>
      <c r="X128" s="216">
        <f t="shared" si="22"/>
        <v>9</v>
      </c>
      <c r="Y128">
        <f t="shared" si="17"/>
        <v>0</v>
      </c>
    </row>
    <row r="129" spans="1:25" x14ac:dyDescent="0.2">
      <c r="A129" s="204">
        <f>IF(MOD(COUNT($A$10:A128),12)=0,A128+1,A128)</f>
        <v>10</v>
      </c>
      <c r="B129" s="218">
        <f t="shared" si="18"/>
        <v>12</v>
      </c>
      <c r="C129" s="218">
        <f t="shared" si="12"/>
        <v>1</v>
      </c>
      <c r="D129" s="208">
        <f>IF(MOD(COUNT($D$10:D128),6)=0,D128+1,D128)</f>
        <v>20</v>
      </c>
      <c r="E129" s="208">
        <f>IF(MOD(COUNT($E$10:E128),3)=0,E128+1,E128)</f>
        <v>40</v>
      </c>
      <c r="F129" s="208">
        <f>IF(MOD(COUNT($F$10:F128),1)=0,F128+1,F128)</f>
        <v>120</v>
      </c>
      <c r="G129" s="204">
        <f>IFERROR(IF(C129=1,VLOOKUP(A129,Output!$A$27:$AB$137,28,FALSE)/AnnuityMode,0),0)</f>
        <v>0</v>
      </c>
      <c r="H129" s="220">
        <f>IFERROR(IF(AND(MIN(A129&gt;25,Age+A129&gt;=85),B129=12),VLOOKUP(A129,Output!$A$27:$AE$137,31,FALSE),0),0)</f>
        <v>0</v>
      </c>
      <c r="I129" s="221">
        <f>IFERROR(IF(AND(MIN(A129&gt;15,A129+Age&gt;=70),C129=1),VLOOKUP(A129,Output!$A$27:$AF$137,32,FALSE)*VLOOKUP('SV calc_ignore'!A129,Output!$A$27:$AG$137,33,FALSE)/IF(AnnuityMode=2,2,IF(AnnuityMode=4,4,IF(AnnuityMode=12,12,1))),0),0)</f>
        <v>0</v>
      </c>
      <c r="J129" s="227">
        <f t="shared" si="13"/>
        <v>0</v>
      </c>
      <c r="K129" s="209">
        <f t="shared" si="19"/>
        <v>0</v>
      </c>
      <c r="L129" s="209">
        <f t="shared" si="14"/>
        <v>0</v>
      </c>
      <c r="M129" s="210">
        <f t="shared" si="23"/>
        <v>0</v>
      </c>
      <c r="N129" s="211">
        <f t="shared" si="20"/>
        <v>0</v>
      </c>
      <c r="O129" s="194">
        <f t="shared" si="21"/>
        <v>0</v>
      </c>
      <c r="P129" s="212">
        <f t="shared" si="15"/>
        <v>0</v>
      </c>
      <c r="Q129">
        <f t="shared" si="16"/>
        <v>1633780.9369403408</v>
      </c>
      <c r="X129" s="216">
        <f t="shared" si="22"/>
        <v>9</v>
      </c>
      <c r="Y129">
        <f t="shared" si="17"/>
        <v>0</v>
      </c>
    </row>
    <row r="130" spans="1:25" x14ac:dyDescent="0.2">
      <c r="A130" s="204">
        <f>IF(MOD(COUNT($A$10:A129),12)=0,A129+1,A129)</f>
        <v>11</v>
      </c>
      <c r="B130" s="218">
        <f t="shared" si="18"/>
        <v>1</v>
      </c>
      <c r="C130" s="218">
        <f t="shared" si="12"/>
        <v>1</v>
      </c>
      <c r="D130" s="208">
        <f>IF(MOD(COUNT($D$10:D129),6)=0,D129+1,D129)</f>
        <v>21</v>
      </c>
      <c r="E130" s="208">
        <f>IF(MOD(COUNT($E$10:E129),3)=0,E129+1,E129)</f>
        <v>41</v>
      </c>
      <c r="F130" s="208">
        <f>IF(MOD(COUNT($F$10:F129),1)=0,F129+1,F129)</f>
        <v>121</v>
      </c>
      <c r="G130" s="204">
        <f>IFERROR(IF(C130=1,VLOOKUP(A130,Output!$A$27:$AB$137,28,FALSE)/AnnuityMode,0),0)</f>
        <v>0</v>
      </c>
      <c r="H130" s="220">
        <f>IFERROR(IF(AND(MIN(A130&gt;25,Age+A130&gt;=85),B130=12),VLOOKUP(A130,Output!$A$27:$AE$137,31,FALSE),0),0)</f>
        <v>0</v>
      </c>
      <c r="I130" s="221">
        <f>IFERROR(IF(AND(MIN(A130&gt;15,A130+Age&gt;=70),C130=1),VLOOKUP(A130,Output!$A$27:$AF$137,32,FALSE)*VLOOKUP('SV calc_ignore'!A130,Output!$A$27:$AG$137,33,FALSE)/IF(AnnuityMode=2,2,IF(AnnuityMode=4,4,IF(AnnuityMode=12,12,1))),0),0)</f>
        <v>0</v>
      </c>
      <c r="J130" s="227">
        <f t="shared" si="13"/>
        <v>0</v>
      </c>
      <c r="K130" s="209">
        <f t="shared" si="19"/>
        <v>0</v>
      </c>
      <c r="L130" s="209">
        <f t="shared" si="14"/>
        <v>0</v>
      </c>
      <c r="M130" s="210">
        <f t="shared" si="23"/>
        <v>0</v>
      </c>
      <c r="N130" s="211">
        <f t="shared" si="20"/>
        <v>0</v>
      </c>
      <c r="O130" s="194">
        <f t="shared" si="21"/>
        <v>0</v>
      </c>
      <c r="P130" s="212">
        <f t="shared" si="15"/>
        <v>0</v>
      </c>
      <c r="Q130">
        <f t="shared" si="16"/>
        <v>1644925.7627631149</v>
      </c>
      <c r="X130" s="216">
        <f t="shared" si="22"/>
        <v>10</v>
      </c>
      <c r="Y130">
        <f t="shared" si="17"/>
        <v>0</v>
      </c>
    </row>
    <row r="131" spans="1:25" x14ac:dyDescent="0.2">
      <c r="A131" s="204">
        <f>IF(MOD(COUNT($A$10:A130),12)=0,A130+1,A130)</f>
        <v>11</v>
      </c>
      <c r="B131" s="218">
        <f t="shared" si="18"/>
        <v>2</v>
      </c>
      <c r="C131" s="218">
        <f t="shared" si="12"/>
        <v>1</v>
      </c>
      <c r="D131" s="208">
        <f>IF(MOD(COUNT($D$10:D130),6)=0,D130+1,D130)</f>
        <v>21</v>
      </c>
      <c r="E131" s="208">
        <f>IF(MOD(COUNT($E$10:E130),3)=0,E130+1,E130)</f>
        <v>41</v>
      </c>
      <c r="F131" s="208">
        <f>IF(MOD(COUNT($F$10:F130),1)=0,F130+1,F130)</f>
        <v>122</v>
      </c>
      <c r="G131" s="204">
        <f>IFERROR(IF(C131=1,VLOOKUP(A131,Output!$A$27:$AB$137,28,FALSE)/AnnuityMode,0),0)</f>
        <v>0</v>
      </c>
      <c r="H131" s="220">
        <f>IFERROR(IF(AND(MIN(A131&gt;25,Age+A131&gt;=85),B131=12),VLOOKUP(A131,Output!$A$27:$AE$137,31,FALSE),0),0)</f>
        <v>0</v>
      </c>
      <c r="I131" s="221">
        <f>IFERROR(IF(AND(MIN(A131&gt;15,A131+Age&gt;=70),C131=1),VLOOKUP(A131,Output!$A$27:$AF$137,32,FALSE)*VLOOKUP('SV calc_ignore'!A131,Output!$A$27:$AG$137,33,FALSE)/IF(AnnuityMode=2,2,IF(AnnuityMode=4,4,IF(AnnuityMode=12,12,1))),0),0)</f>
        <v>0</v>
      </c>
      <c r="J131" s="227">
        <f t="shared" si="13"/>
        <v>0</v>
      </c>
      <c r="K131" s="209">
        <f t="shared" si="19"/>
        <v>0</v>
      </c>
      <c r="L131" s="209">
        <f t="shared" si="14"/>
        <v>0</v>
      </c>
      <c r="M131" s="210">
        <f t="shared" si="23"/>
        <v>0</v>
      </c>
      <c r="N131" s="211">
        <f t="shared" si="20"/>
        <v>0</v>
      </c>
      <c r="O131" s="194">
        <f t="shared" si="21"/>
        <v>0</v>
      </c>
      <c r="P131" s="212">
        <f t="shared" si="15"/>
        <v>0</v>
      </c>
      <c r="Q131">
        <f t="shared" si="16"/>
        <v>1656146.6129413038</v>
      </c>
      <c r="X131" s="216">
        <f t="shared" si="22"/>
        <v>10</v>
      </c>
      <c r="Y131">
        <f t="shared" si="17"/>
        <v>0</v>
      </c>
    </row>
    <row r="132" spans="1:25" x14ac:dyDescent="0.2">
      <c r="A132" s="204">
        <f>IF(MOD(COUNT($A$10:A131),12)=0,A131+1,A131)</f>
        <v>11</v>
      </c>
      <c r="B132" s="218">
        <f t="shared" si="18"/>
        <v>3</v>
      </c>
      <c r="C132" s="218">
        <f t="shared" si="12"/>
        <v>1</v>
      </c>
      <c r="D132" s="208">
        <f>IF(MOD(COUNT($D$10:D131),6)=0,D131+1,D131)</f>
        <v>21</v>
      </c>
      <c r="E132" s="208">
        <f>IF(MOD(COUNT($E$10:E131),3)=0,E131+1,E131)</f>
        <v>41</v>
      </c>
      <c r="F132" s="208">
        <f>IF(MOD(COUNT($F$10:F131),1)=0,F131+1,F131)</f>
        <v>123</v>
      </c>
      <c r="G132" s="204">
        <f>IFERROR(IF(C132=1,VLOOKUP(A132,Output!$A$27:$AB$137,28,FALSE)/AnnuityMode,0),0)</f>
        <v>0</v>
      </c>
      <c r="H132" s="220">
        <f>IFERROR(IF(AND(MIN(A132&gt;25,Age+A132&gt;=85),B132=12),VLOOKUP(A132,Output!$A$27:$AE$137,31,FALSE),0),0)</f>
        <v>0</v>
      </c>
      <c r="I132" s="221">
        <f>IFERROR(IF(AND(MIN(A132&gt;15,A132+Age&gt;=70),C132=1),VLOOKUP(A132,Output!$A$27:$AF$137,32,FALSE)*VLOOKUP('SV calc_ignore'!A132,Output!$A$27:$AG$137,33,FALSE)/IF(AnnuityMode=2,2,IF(AnnuityMode=4,4,IF(AnnuityMode=12,12,1))),0),0)</f>
        <v>0</v>
      </c>
      <c r="J132" s="227">
        <f t="shared" si="13"/>
        <v>0</v>
      </c>
      <c r="K132" s="209">
        <f t="shared" si="19"/>
        <v>0</v>
      </c>
      <c r="L132" s="209">
        <f t="shared" si="14"/>
        <v>0</v>
      </c>
      <c r="M132" s="210">
        <f t="shared" si="23"/>
        <v>0</v>
      </c>
      <c r="N132" s="211">
        <f t="shared" si="20"/>
        <v>0</v>
      </c>
      <c r="O132" s="194">
        <f t="shared" si="21"/>
        <v>0</v>
      </c>
      <c r="P132" s="212">
        <f t="shared" si="15"/>
        <v>0</v>
      </c>
      <c r="Q132">
        <f t="shared" si="16"/>
        <v>1667444.0060745438</v>
      </c>
      <c r="X132" s="216">
        <f t="shared" si="22"/>
        <v>10</v>
      </c>
      <c r="Y132">
        <f t="shared" si="17"/>
        <v>0</v>
      </c>
    </row>
    <row r="133" spans="1:25" x14ac:dyDescent="0.2">
      <c r="A133" s="204">
        <f>IF(MOD(COUNT($A$10:A132),12)=0,A132+1,A132)</f>
        <v>11</v>
      </c>
      <c r="B133" s="218">
        <f t="shared" si="18"/>
        <v>4</v>
      </c>
      <c r="C133" s="218">
        <f t="shared" si="12"/>
        <v>1</v>
      </c>
      <c r="D133" s="208">
        <f>IF(MOD(COUNT($D$10:D132),6)=0,D132+1,D132)</f>
        <v>21</v>
      </c>
      <c r="E133" s="208">
        <f>IF(MOD(COUNT($E$10:E132),3)=0,E132+1,E132)</f>
        <v>42</v>
      </c>
      <c r="F133" s="208">
        <f>IF(MOD(COUNT($F$10:F132),1)=0,F132+1,F132)</f>
        <v>124</v>
      </c>
      <c r="G133" s="204">
        <f>IFERROR(IF(C133=1,VLOOKUP(A133,Output!$A$27:$AB$137,28,FALSE)/AnnuityMode,0),0)</f>
        <v>0</v>
      </c>
      <c r="H133" s="220">
        <f>IFERROR(IF(AND(MIN(A133&gt;25,Age+A133&gt;=85),B133=12),VLOOKUP(A133,Output!$A$27:$AE$137,31,FALSE),0),0)</f>
        <v>0</v>
      </c>
      <c r="I133" s="221">
        <f>IFERROR(IF(AND(MIN(A133&gt;15,A133+Age&gt;=70),C133=1),VLOOKUP(A133,Output!$A$27:$AF$137,32,FALSE)*VLOOKUP('SV calc_ignore'!A133,Output!$A$27:$AG$137,33,FALSE)/IF(AnnuityMode=2,2,IF(AnnuityMode=4,4,IF(AnnuityMode=12,12,1))),0),0)</f>
        <v>0</v>
      </c>
      <c r="J133" s="227">
        <f t="shared" si="13"/>
        <v>0</v>
      </c>
      <c r="K133" s="209">
        <f t="shared" si="19"/>
        <v>0</v>
      </c>
      <c r="L133" s="209">
        <f t="shared" si="14"/>
        <v>0</v>
      </c>
      <c r="M133" s="210">
        <f t="shared" si="23"/>
        <v>0</v>
      </c>
      <c r="N133" s="211">
        <f t="shared" si="20"/>
        <v>0</v>
      </c>
      <c r="O133" s="194">
        <f t="shared" si="21"/>
        <v>0</v>
      </c>
      <c r="P133" s="212">
        <f t="shared" si="15"/>
        <v>0</v>
      </c>
      <c r="Q133">
        <f t="shared" si="16"/>
        <v>1678818.4643000949</v>
      </c>
      <c r="X133" s="216">
        <f t="shared" si="22"/>
        <v>10</v>
      </c>
      <c r="Y133">
        <f t="shared" si="17"/>
        <v>0</v>
      </c>
    </row>
    <row r="134" spans="1:25" x14ac:dyDescent="0.2">
      <c r="A134" s="204">
        <f>IF(MOD(COUNT($A$10:A133),12)=0,A133+1,A133)</f>
        <v>11</v>
      </c>
      <c r="B134" s="218">
        <f t="shared" si="18"/>
        <v>5</v>
      </c>
      <c r="C134" s="218">
        <f t="shared" si="12"/>
        <v>1</v>
      </c>
      <c r="D134" s="208">
        <f>IF(MOD(COUNT($D$10:D133),6)=0,D133+1,D133)</f>
        <v>21</v>
      </c>
      <c r="E134" s="208">
        <f>IF(MOD(COUNT($E$10:E133),3)=0,E133+1,E133)</f>
        <v>42</v>
      </c>
      <c r="F134" s="208">
        <f>IF(MOD(COUNT($F$10:F133),1)=0,F133+1,F133)</f>
        <v>125</v>
      </c>
      <c r="G134" s="204">
        <f>IFERROR(IF(C134=1,VLOOKUP(A134,Output!$A$27:$AB$137,28,FALSE)/AnnuityMode,0),0)</f>
        <v>0</v>
      </c>
      <c r="H134" s="220">
        <f>IFERROR(IF(AND(MIN(A134&gt;25,Age+A134&gt;=85),B134=12),VLOOKUP(A134,Output!$A$27:$AE$137,31,FALSE),0),0)</f>
        <v>0</v>
      </c>
      <c r="I134" s="221">
        <f>IFERROR(IF(AND(MIN(A134&gt;15,A134+Age&gt;=70),C134=1),VLOOKUP(A134,Output!$A$27:$AF$137,32,FALSE)*VLOOKUP('SV calc_ignore'!A134,Output!$A$27:$AG$137,33,FALSE)/IF(AnnuityMode=2,2,IF(AnnuityMode=4,4,IF(AnnuityMode=12,12,1))),0),0)</f>
        <v>0</v>
      </c>
      <c r="J134" s="227">
        <f t="shared" si="13"/>
        <v>0</v>
      </c>
      <c r="K134" s="209">
        <f t="shared" si="19"/>
        <v>0</v>
      </c>
      <c r="L134" s="209">
        <f t="shared" si="14"/>
        <v>0</v>
      </c>
      <c r="M134" s="210">
        <f t="shared" si="23"/>
        <v>0</v>
      </c>
      <c r="N134" s="211">
        <f t="shared" si="20"/>
        <v>0</v>
      </c>
      <c r="O134" s="194">
        <f t="shared" si="21"/>
        <v>0</v>
      </c>
      <c r="P134" s="212">
        <f t="shared" si="15"/>
        <v>0</v>
      </c>
      <c r="Q134">
        <f t="shared" si="16"/>
        <v>1690270.5133169729</v>
      </c>
      <c r="X134" s="216">
        <f t="shared" si="22"/>
        <v>10</v>
      </c>
      <c r="Y134">
        <f t="shared" si="17"/>
        <v>0</v>
      </c>
    </row>
    <row r="135" spans="1:25" x14ac:dyDescent="0.2">
      <c r="A135" s="204">
        <f>IF(MOD(COUNT($A$10:A134),12)=0,A134+1,A134)</f>
        <v>11</v>
      </c>
      <c r="B135" s="218">
        <f t="shared" si="18"/>
        <v>6</v>
      </c>
      <c r="C135" s="218">
        <f t="shared" si="12"/>
        <v>1</v>
      </c>
      <c r="D135" s="208">
        <f>IF(MOD(COUNT($D$10:D134),6)=0,D134+1,D134)</f>
        <v>21</v>
      </c>
      <c r="E135" s="208">
        <f>IF(MOD(COUNT($E$10:E134),3)=0,E134+1,E134)</f>
        <v>42</v>
      </c>
      <c r="F135" s="208">
        <f>IF(MOD(COUNT($F$10:F134),1)=0,F134+1,F134)</f>
        <v>126</v>
      </c>
      <c r="G135" s="204">
        <f>IFERROR(IF(C135=1,VLOOKUP(A135,Output!$A$27:$AB$137,28,FALSE)/AnnuityMode,0),0)</f>
        <v>0</v>
      </c>
      <c r="H135" s="220">
        <f>IFERROR(IF(AND(MIN(A135&gt;25,Age+A135&gt;=85),B135=12),VLOOKUP(A135,Output!$A$27:$AE$137,31,FALSE),0),0)</f>
        <v>0</v>
      </c>
      <c r="I135" s="221">
        <f>IFERROR(IF(AND(MIN(A135&gt;15,A135+Age&gt;=70),C135=1),VLOOKUP(A135,Output!$A$27:$AF$137,32,FALSE)*VLOOKUP('SV calc_ignore'!A135,Output!$A$27:$AG$137,33,FALSE)/IF(AnnuityMode=2,2,IF(AnnuityMode=4,4,IF(AnnuityMode=12,12,1))),0),0)</f>
        <v>0</v>
      </c>
      <c r="J135" s="227">
        <f t="shared" si="13"/>
        <v>0</v>
      </c>
      <c r="K135" s="209">
        <f t="shared" si="19"/>
        <v>0</v>
      </c>
      <c r="L135" s="209">
        <f t="shared" si="14"/>
        <v>0</v>
      </c>
      <c r="M135" s="210">
        <f t="shared" si="23"/>
        <v>0</v>
      </c>
      <c r="N135" s="211">
        <f t="shared" si="20"/>
        <v>0</v>
      </c>
      <c r="O135" s="194">
        <f t="shared" si="21"/>
        <v>0</v>
      </c>
      <c r="P135" s="212">
        <f t="shared" si="15"/>
        <v>0</v>
      </c>
      <c r="Q135">
        <f t="shared" si="16"/>
        <v>1701800.6824102462</v>
      </c>
      <c r="X135" s="216">
        <f t="shared" si="22"/>
        <v>10</v>
      </c>
      <c r="Y135">
        <f t="shared" si="17"/>
        <v>0</v>
      </c>
    </row>
    <row r="136" spans="1:25" x14ac:dyDescent="0.2">
      <c r="A136" s="204">
        <f>IF(MOD(COUNT($A$10:A135),12)=0,A135+1,A135)</f>
        <v>11</v>
      </c>
      <c r="B136" s="218">
        <f t="shared" si="18"/>
        <v>7</v>
      </c>
      <c r="C136" s="218">
        <f t="shared" si="12"/>
        <v>1</v>
      </c>
      <c r="D136" s="208">
        <f>IF(MOD(COUNT($D$10:D135),6)=0,D135+1,D135)</f>
        <v>22</v>
      </c>
      <c r="E136" s="208">
        <f>IF(MOD(COUNT($E$10:E135),3)=0,E135+1,E135)</f>
        <v>43</v>
      </c>
      <c r="F136" s="208">
        <f>IF(MOD(COUNT($F$10:F135),1)=0,F135+1,F135)</f>
        <v>127</v>
      </c>
      <c r="G136" s="204">
        <f>IFERROR(IF(C136=1,VLOOKUP(A136,Output!$A$27:$AB$137,28,FALSE)/AnnuityMode,0),0)</f>
        <v>0</v>
      </c>
      <c r="H136" s="220">
        <f>IFERROR(IF(AND(MIN(A136&gt;25,Age+A136&gt;=85),B136=12),VLOOKUP(A136,Output!$A$27:$AE$137,31,FALSE),0),0)</f>
        <v>0</v>
      </c>
      <c r="I136" s="221">
        <f>IFERROR(IF(AND(MIN(A136&gt;15,A136+Age&gt;=70),C136=1),VLOOKUP(A136,Output!$A$27:$AF$137,32,FALSE)*VLOOKUP('SV calc_ignore'!A136,Output!$A$27:$AG$137,33,FALSE)/IF(AnnuityMode=2,2,IF(AnnuityMode=4,4,IF(AnnuityMode=12,12,1))),0),0)</f>
        <v>0</v>
      </c>
      <c r="J136" s="227">
        <f t="shared" si="13"/>
        <v>0</v>
      </c>
      <c r="K136" s="209">
        <f t="shared" si="19"/>
        <v>0</v>
      </c>
      <c r="L136" s="209">
        <f t="shared" si="14"/>
        <v>0</v>
      </c>
      <c r="M136" s="210">
        <f t="shared" si="23"/>
        <v>0</v>
      </c>
      <c r="N136" s="211">
        <f t="shared" si="20"/>
        <v>0</v>
      </c>
      <c r="O136" s="194">
        <f t="shared" si="21"/>
        <v>0</v>
      </c>
      <c r="P136" s="212">
        <f t="shared" si="15"/>
        <v>0</v>
      </c>
      <c r="Q136">
        <f t="shared" si="16"/>
        <v>1713409.5044754976</v>
      </c>
      <c r="X136" s="216">
        <f t="shared" si="22"/>
        <v>10</v>
      </c>
      <c r="Y136">
        <f t="shared" si="17"/>
        <v>0</v>
      </c>
    </row>
    <row r="137" spans="1:25" x14ac:dyDescent="0.2">
      <c r="A137" s="204">
        <f>IF(MOD(COUNT($A$10:A136),12)=0,A136+1,A136)</f>
        <v>11</v>
      </c>
      <c r="B137" s="218">
        <f t="shared" si="18"/>
        <v>8</v>
      </c>
      <c r="C137" s="218">
        <f t="shared" si="12"/>
        <v>1</v>
      </c>
      <c r="D137" s="208">
        <f>IF(MOD(COUNT($D$10:D136),6)=0,D136+1,D136)</f>
        <v>22</v>
      </c>
      <c r="E137" s="208">
        <f>IF(MOD(COUNT($E$10:E136),3)=0,E136+1,E136)</f>
        <v>43</v>
      </c>
      <c r="F137" s="208">
        <f>IF(MOD(COUNT($F$10:F136),1)=0,F136+1,F136)</f>
        <v>128</v>
      </c>
      <c r="G137" s="204">
        <f>IFERROR(IF(C137=1,VLOOKUP(A137,Output!$A$27:$AB$137,28,FALSE)/AnnuityMode,0),0)</f>
        <v>0</v>
      </c>
      <c r="H137" s="220">
        <f>IFERROR(IF(AND(MIN(A137&gt;25,Age+A137&gt;=85),B137=12),VLOOKUP(A137,Output!$A$27:$AE$137,31,FALSE),0),0)</f>
        <v>0</v>
      </c>
      <c r="I137" s="221">
        <f>IFERROR(IF(AND(MIN(A137&gt;15,A137+Age&gt;=70),C137=1),VLOOKUP(A137,Output!$A$27:$AF$137,32,FALSE)*VLOOKUP('SV calc_ignore'!A137,Output!$A$27:$AG$137,33,FALSE)/IF(AnnuityMode=2,2,IF(AnnuityMode=4,4,IF(AnnuityMode=12,12,1))),0),0)</f>
        <v>0</v>
      </c>
      <c r="J137" s="227">
        <f t="shared" si="13"/>
        <v>0</v>
      </c>
      <c r="K137" s="209">
        <f t="shared" si="19"/>
        <v>0</v>
      </c>
      <c r="L137" s="209">
        <f t="shared" si="14"/>
        <v>0</v>
      </c>
      <c r="M137" s="210">
        <f t="shared" si="23"/>
        <v>0</v>
      </c>
      <c r="N137" s="211">
        <f t="shared" si="20"/>
        <v>0</v>
      </c>
      <c r="O137" s="194">
        <f t="shared" si="21"/>
        <v>0</v>
      </c>
      <c r="P137" s="212">
        <f t="shared" si="15"/>
        <v>0</v>
      </c>
      <c r="Q137">
        <f t="shared" si="16"/>
        <v>1725097.5160434539</v>
      </c>
      <c r="X137" s="216">
        <f t="shared" si="22"/>
        <v>10</v>
      </c>
      <c r="Y137">
        <f t="shared" si="17"/>
        <v>0</v>
      </c>
    </row>
    <row r="138" spans="1:25" x14ac:dyDescent="0.2">
      <c r="A138" s="204">
        <f>IF(MOD(COUNT($A$10:A137),12)=0,A137+1,A137)</f>
        <v>11</v>
      </c>
      <c r="B138" s="218">
        <f t="shared" si="18"/>
        <v>9</v>
      </c>
      <c r="C138" s="218">
        <f t="shared" ref="C138:C201" si="24">IF(AND(AnnuityMode=1,B138=12),1,IF(AND(OR(B138=6,B138=12),AnnuityMode=2),1,IF(AND(OR(B138=3,B138=6,B138=12,B138=9),AnnuityMode=4),1,IF(AND(OR(B138=1,B138=2,B138=3,B138=4,B138=5,B138=6,B138=7,B138=8,B138=9,B138=10,B138=11,B138=12),AnnuityMode=12),1,0))))</f>
        <v>1</v>
      </c>
      <c r="D138" s="208">
        <f>IF(MOD(COUNT($D$10:D137),6)=0,D137+1,D137)</f>
        <v>22</v>
      </c>
      <c r="E138" s="208">
        <f>IF(MOD(COUNT($E$10:E137),3)=0,E137+1,E137)</f>
        <v>43</v>
      </c>
      <c r="F138" s="208">
        <f>IF(MOD(COUNT($F$10:F137),1)=0,F137+1,F137)</f>
        <v>129</v>
      </c>
      <c r="G138" s="204">
        <f>IFERROR(IF(C138=1,VLOOKUP(A138,Output!$A$27:$AB$137,28,FALSE)/AnnuityMode,0),0)</f>
        <v>0</v>
      </c>
      <c r="H138" s="220">
        <f>IFERROR(IF(AND(MIN(A138&gt;25,Age+A138&gt;=85),B138=12),VLOOKUP(A138,Output!$A$27:$AE$137,31,FALSE),0),0)</f>
        <v>0</v>
      </c>
      <c r="I138" s="221">
        <f>IFERROR(IF(AND(MIN(A138&gt;15,A138+Age&gt;=70),C138=1),VLOOKUP(A138,Output!$A$27:$AF$137,32,FALSE)*VLOOKUP('SV calc_ignore'!A138,Output!$A$27:$AG$137,33,FALSE)/IF(AnnuityMode=2,2,IF(AnnuityMode=4,4,IF(AnnuityMode=12,12,1))),0),0)</f>
        <v>0</v>
      </c>
      <c r="J138" s="227">
        <f t="shared" ref="J138:J201" si="25">G138+(J139)*(1+$K$3)^(-1)</f>
        <v>0</v>
      </c>
      <c r="K138" s="209">
        <f t="shared" si="19"/>
        <v>0</v>
      </c>
      <c r="L138" s="209">
        <f t="shared" ref="L138:L201" si="26">(L139+G139)*$K$2</f>
        <v>0</v>
      </c>
      <c r="M138" s="210">
        <f t="shared" si="23"/>
        <v>0</v>
      </c>
      <c r="N138" s="211">
        <f t="shared" si="20"/>
        <v>0</v>
      </c>
      <c r="O138" s="194">
        <f t="shared" si="21"/>
        <v>0</v>
      </c>
      <c r="P138" s="212">
        <f t="shared" ref="P138:P201" si="27">(P139+H139)*(1+$K$3)^(-1)</f>
        <v>0</v>
      </c>
      <c r="Q138">
        <f t="shared" ref="Q138:Q201" si="28">(I138+(Q139)*(1+$K$3)^(-1))*(A138&lt;=$W$5)</f>
        <v>1736865.2573047823</v>
      </c>
      <c r="X138" s="216">
        <f t="shared" si="22"/>
        <v>10</v>
      </c>
      <c r="Y138">
        <f t="shared" ref="Y138:Y201" si="29">G138*(1-IF(AnnuityMode=1,$L$2,IF(AnnuityMode=2,$M$2,IF(AnnuityMode=4,$N$2,$K$2)))^(110*AnnuityMode-IF(AnnuityMode=1,X138,IF(AnnuityMode=2,D138,IF(AnnuityMode=4,E138,F138)))-0))/(IF(AnnuityMode=1,$L$3,IF(AnnuityMode=2,$M$3,IF(AnnuityMode=4,$N$3,$K$3))))</f>
        <v>0</v>
      </c>
    </row>
    <row r="139" spans="1:25" x14ac:dyDescent="0.2">
      <c r="A139" s="204">
        <f>IF(MOD(COUNT($A$10:A138),12)=0,A138+1,A138)</f>
        <v>11</v>
      </c>
      <c r="B139" s="218">
        <f t="shared" ref="B139:B202" si="30">IF(A138&lt;&gt;A139,1,B138+1)</f>
        <v>10</v>
      </c>
      <c r="C139" s="218">
        <f t="shared" si="24"/>
        <v>1</v>
      </c>
      <c r="D139" s="208">
        <f>IF(MOD(COUNT($D$10:D138),6)=0,D138+1,D138)</f>
        <v>22</v>
      </c>
      <c r="E139" s="208">
        <f>IF(MOD(COUNT($E$10:E138),3)=0,E138+1,E138)</f>
        <v>44</v>
      </c>
      <c r="F139" s="208">
        <f>IF(MOD(COUNT($F$10:F138),1)=0,F138+1,F138)</f>
        <v>130</v>
      </c>
      <c r="G139" s="204">
        <f>IFERROR(IF(C139=1,VLOOKUP(A139,Output!$A$27:$AB$137,28,FALSE)/AnnuityMode,0),0)</f>
        <v>0</v>
      </c>
      <c r="H139" s="220">
        <f>IFERROR(IF(AND(MIN(A139&gt;25,Age+A139&gt;=85),B139=12),VLOOKUP(A139,Output!$A$27:$AE$137,31,FALSE),0),0)</f>
        <v>0</v>
      </c>
      <c r="I139" s="221">
        <f>IFERROR(IF(AND(MIN(A139&gt;15,A139+Age&gt;=70),C139=1),VLOOKUP(A139,Output!$A$27:$AF$137,32,FALSE)*VLOOKUP('SV calc_ignore'!A139,Output!$A$27:$AG$137,33,FALSE)/IF(AnnuityMode=2,2,IF(AnnuityMode=4,4,IF(AnnuityMode=12,12,1))),0),0)</f>
        <v>0</v>
      </c>
      <c r="J139" s="227">
        <f t="shared" si="25"/>
        <v>0</v>
      </c>
      <c r="K139" s="209">
        <f t="shared" ref="K139:K202" si="31">IF(OR(K138&gt;$K$8,K138=0),0,K138+1)</f>
        <v>0</v>
      </c>
      <c r="L139" s="209">
        <f t="shared" si="26"/>
        <v>0</v>
      </c>
      <c r="M139" s="210">
        <f t="shared" si="23"/>
        <v>0</v>
      </c>
      <c r="N139" s="211">
        <f t="shared" ref="N139:N202" si="32">M139-L139-G139</f>
        <v>0</v>
      </c>
      <c r="O139" s="194">
        <f t="shared" ref="O139:O202" si="33">MAX($H$10:$H$897)/(1+$K$3)^($Q$5*12-F139)*(A139&lt;=$Q$5)</f>
        <v>0</v>
      </c>
      <c r="P139" s="212">
        <f t="shared" si="27"/>
        <v>0</v>
      </c>
      <c r="Q139">
        <f t="shared" si="28"/>
        <v>1748713.2721350573</v>
      </c>
      <c r="X139" s="216">
        <f t="shared" ref="X139:X202" si="34">A139-1</f>
        <v>10</v>
      </c>
      <c r="Y139">
        <f t="shared" si="29"/>
        <v>0</v>
      </c>
    </row>
    <row r="140" spans="1:25" x14ac:dyDescent="0.2">
      <c r="A140" s="204">
        <f>IF(MOD(COUNT($A$10:A139),12)=0,A139+1,A139)</f>
        <v>11</v>
      </c>
      <c r="B140" s="218">
        <f t="shared" si="30"/>
        <v>11</v>
      </c>
      <c r="C140" s="218">
        <f t="shared" si="24"/>
        <v>1</v>
      </c>
      <c r="D140" s="208">
        <f>IF(MOD(COUNT($D$10:D139),6)=0,D139+1,D139)</f>
        <v>22</v>
      </c>
      <c r="E140" s="208">
        <f>IF(MOD(COUNT($E$10:E139),3)=0,E139+1,E139)</f>
        <v>44</v>
      </c>
      <c r="F140" s="208">
        <f>IF(MOD(COUNT($F$10:F139),1)=0,F139+1,F139)</f>
        <v>131</v>
      </c>
      <c r="G140" s="204">
        <f>IFERROR(IF(C140=1,VLOOKUP(A140,Output!$A$27:$AB$137,28,FALSE)/AnnuityMode,0),0)</f>
        <v>0</v>
      </c>
      <c r="H140" s="220">
        <f>IFERROR(IF(AND(MIN(A140&gt;25,Age+A140&gt;=85),B140=12),VLOOKUP(A140,Output!$A$27:$AE$137,31,FALSE),0),0)</f>
        <v>0</v>
      </c>
      <c r="I140" s="221">
        <f>IFERROR(IF(AND(MIN(A140&gt;15,A140+Age&gt;=70),C140=1),VLOOKUP(A140,Output!$A$27:$AF$137,32,FALSE)*VLOOKUP('SV calc_ignore'!A140,Output!$A$27:$AG$137,33,FALSE)/IF(AnnuityMode=2,2,IF(AnnuityMode=4,4,IF(AnnuityMode=12,12,1))),0),0)</f>
        <v>0</v>
      </c>
      <c r="J140" s="227">
        <f t="shared" si="25"/>
        <v>0</v>
      </c>
      <c r="K140" s="209">
        <f t="shared" si="31"/>
        <v>0</v>
      </c>
      <c r="L140" s="209">
        <f t="shared" si="26"/>
        <v>0</v>
      </c>
      <c r="M140" s="210">
        <f t="shared" ref="M140:M203" si="35">L139*(1+$K$3)</f>
        <v>0</v>
      </c>
      <c r="N140" s="211">
        <f t="shared" si="32"/>
        <v>0</v>
      </c>
      <c r="O140" s="194">
        <f t="shared" si="33"/>
        <v>0</v>
      </c>
      <c r="P140" s="212">
        <f t="shared" si="27"/>
        <v>0</v>
      </c>
      <c r="Q140">
        <f t="shared" si="28"/>
        <v>1760642.1081198966</v>
      </c>
      <c r="X140" s="216">
        <f t="shared" si="34"/>
        <v>10</v>
      </c>
      <c r="Y140">
        <f t="shared" si="29"/>
        <v>0</v>
      </c>
    </row>
    <row r="141" spans="1:25" x14ac:dyDescent="0.2">
      <c r="A141" s="204">
        <f>IF(MOD(COUNT($A$10:A140),12)=0,A140+1,A140)</f>
        <v>11</v>
      </c>
      <c r="B141" s="218">
        <f t="shared" si="30"/>
        <v>12</v>
      </c>
      <c r="C141" s="218">
        <f t="shared" si="24"/>
        <v>1</v>
      </c>
      <c r="D141" s="208">
        <f>IF(MOD(COUNT($D$10:D140),6)=0,D140+1,D140)</f>
        <v>22</v>
      </c>
      <c r="E141" s="208">
        <f>IF(MOD(COUNT($E$10:E140),3)=0,E140+1,E140)</f>
        <v>44</v>
      </c>
      <c r="F141" s="208">
        <f>IF(MOD(COUNT($F$10:F140),1)=0,F140+1,F140)</f>
        <v>132</v>
      </c>
      <c r="G141" s="204">
        <f>IFERROR(IF(C141=1,VLOOKUP(A141,Output!$A$27:$AB$137,28,FALSE)/AnnuityMode,0),0)</f>
        <v>0</v>
      </c>
      <c r="H141" s="220">
        <f>IFERROR(IF(AND(MIN(A141&gt;25,Age+A141&gt;=85),B141=12),VLOOKUP(A141,Output!$A$27:$AE$137,31,FALSE),0),0)</f>
        <v>0</v>
      </c>
      <c r="I141" s="221">
        <f>IFERROR(IF(AND(MIN(A141&gt;15,A141+Age&gt;=70),C141=1),VLOOKUP(A141,Output!$A$27:$AF$137,32,FALSE)*VLOOKUP('SV calc_ignore'!A141,Output!$A$27:$AG$137,33,FALSE)/IF(AnnuityMode=2,2,IF(AnnuityMode=4,4,IF(AnnuityMode=12,12,1))),0),0)</f>
        <v>0</v>
      </c>
      <c r="J141" s="227">
        <f t="shared" si="25"/>
        <v>0</v>
      </c>
      <c r="K141" s="209">
        <f t="shared" si="31"/>
        <v>0</v>
      </c>
      <c r="L141" s="209">
        <f t="shared" si="26"/>
        <v>0</v>
      </c>
      <c r="M141" s="210">
        <f t="shared" si="35"/>
        <v>0</v>
      </c>
      <c r="N141" s="211">
        <f t="shared" si="32"/>
        <v>0</v>
      </c>
      <c r="O141" s="194">
        <f t="shared" si="33"/>
        <v>0</v>
      </c>
      <c r="P141" s="212">
        <f t="shared" si="27"/>
        <v>0</v>
      </c>
      <c r="Q141">
        <f t="shared" si="28"/>
        <v>1772652.3165802702</v>
      </c>
      <c r="X141" s="216">
        <f t="shared" si="34"/>
        <v>10</v>
      </c>
      <c r="Y141">
        <f t="shared" si="29"/>
        <v>0</v>
      </c>
    </row>
    <row r="142" spans="1:25" x14ac:dyDescent="0.2">
      <c r="A142" s="204">
        <f>IF(MOD(COUNT($A$10:A141),12)=0,A141+1,A141)</f>
        <v>12</v>
      </c>
      <c r="B142" s="218">
        <f t="shared" si="30"/>
        <v>1</v>
      </c>
      <c r="C142" s="218">
        <f t="shared" si="24"/>
        <v>1</v>
      </c>
      <c r="D142" s="208">
        <f>IF(MOD(COUNT($D$10:D141),6)=0,D141+1,D141)</f>
        <v>23</v>
      </c>
      <c r="E142" s="208">
        <f>IF(MOD(COUNT($E$10:E141),3)=0,E141+1,E141)</f>
        <v>45</v>
      </c>
      <c r="F142" s="208">
        <f>IF(MOD(COUNT($F$10:F141),1)=0,F141+1,F141)</f>
        <v>133</v>
      </c>
      <c r="G142" s="204">
        <f>IFERROR(IF(C142=1,VLOOKUP(A142,Output!$A$27:$AB$137,28,FALSE)/AnnuityMode,0),0)</f>
        <v>0</v>
      </c>
      <c r="H142" s="220">
        <f>IFERROR(IF(AND(MIN(A142&gt;25,Age+A142&gt;=85),B142=12),VLOOKUP(A142,Output!$A$27:$AE$137,31,FALSE),0),0)</f>
        <v>0</v>
      </c>
      <c r="I142" s="221">
        <f>IFERROR(IF(AND(MIN(A142&gt;15,A142+Age&gt;=70),C142=1),VLOOKUP(A142,Output!$A$27:$AF$137,32,FALSE)*VLOOKUP('SV calc_ignore'!A142,Output!$A$27:$AG$137,33,FALSE)/IF(AnnuityMode=2,2,IF(AnnuityMode=4,4,IF(AnnuityMode=12,12,1))),0),0)</f>
        <v>0</v>
      </c>
      <c r="J142" s="227">
        <f t="shared" si="25"/>
        <v>0</v>
      </c>
      <c r="K142" s="209">
        <f t="shared" si="31"/>
        <v>0</v>
      </c>
      <c r="L142" s="209">
        <f t="shared" si="26"/>
        <v>0</v>
      </c>
      <c r="M142" s="210">
        <f t="shared" si="35"/>
        <v>0</v>
      </c>
      <c r="N142" s="211">
        <f t="shared" si="32"/>
        <v>0</v>
      </c>
      <c r="O142" s="194">
        <f t="shared" si="33"/>
        <v>0</v>
      </c>
      <c r="P142" s="212">
        <f t="shared" si="27"/>
        <v>0</v>
      </c>
      <c r="Q142">
        <f t="shared" si="28"/>
        <v>1784744.4525979802</v>
      </c>
      <c r="X142" s="216">
        <f t="shared" si="34"/>
        <v>11</v>
      </c>
      <c r="Y142">
        <f t="shared" si="29"/>
        <v>0</v>
      </c>
    </row>
    <row r="143" spans="1:25" x14ac:dyDescent="0.2">
      <c r="A143" s="204">
        <f>IF(MOD(COUNT($A$10:A142),12)=0,A142+1,A142)</f>
        <v>12</v>
      </c>
      <c r="B143" s="218">
        <f t="shared" si="30"/>
        <v>2</v>
      </c>
      <c r="C143" s="218">
        <f t="shared" si="24"/>
        <v>1</v>
      </c>
      <c r="D143" s="208">
        <f>IF(MOD(COUNT($D$10:D142),6)=0,D142+1,D142)</f>
        <v>23</v>
      </c>
      <c r="E143" s="208">
        <f>IF(MOD(COUNT($E$10:E142),3)=0,E142+1,E142)</f>
        <v>45</v>
      </c>
      <c r="F143" s="208">
        <f>IF(MOD(COUNT($F$10:F142),1)=0,F142+1,F142)</f>
        <v>134</v>
      </c>
      <c r="G143" s="204">
        <f>IFERROR(IF(C143=1,VLOOKUP(A143,Output!$A$27:$AB$137,28,FALSE)/AnnuityMode,0),0)</f>
        <v>0</v>
      </c>
      <c r="H143" s="220">
        <f>IFERROR(IF(AND(MIN(A143&gt;25,Age+A143&gt;=85),B143=12),VLOOKUP(A143,Output!$A$27:$AE$137,31,FALSE),0),0)</f>
        <v>0</v>
      </c>
      <c r="I143" s="221">
        <f>IFERROR(IF(AND(MIN(A143&gt;15,A143+Age&gt;=70),C143=1),VLOOKUP(A143,Output!$A$27:$AF$137,32,FALSE)*VLOOKUP('SV calc_ignore'!A143,Output!$A$27:$AG$137,33,FALSE)/IF(AnnuityMode=2,2,IF(AnnuityMode=4,4,IF(AnnuityMode=12,12,1))),0),0)</f>
        <v>0</v>
      </c>
      <c r="J143" s="227">
        <f t="shared" si="25"/>
        <v>0</v>
      </c>
      <c r="K143" s="209">
        <f t="shared" si="31"/>
        <v>0</v>
      </c>
      <c r="L143" s="209">
        <f t="shared" si="26"/>
        <v>0</v>
      </c>
      <c r="M143" s="210">
        <f t="shared" si="35"/>
        <v>0</v>
      </c>
      <c r="N143" s="211">
        <f t="shared" si="32"/>
        <v>0</v>
      </c>
      <c r="O143" s="194">
        <f t="shared" si="33"/>
        <v>0</v>
      </c>
      <c r="P143" s="212">
        <f t="shared" si="27"/>
        <v>0</v>
      </c>
      <c r="Q143">
        <f t="shared" si="28"/>
        <v>1796919.0750413153</v>
      </c>
      <c r="X143" s="216">
        <f t="shared" si="34"/>
        <v>11</v>
      </c>
      <c r="Y143">
        <f t="shared" si="29"/>
        <v>0</v>
      </c>
    </row>
    <row r="144" spans="1:25" x14ac:dyDescent="0.2">
      <c r="A144" s="204">
        <f>IF(MOD(COUNT($A$10:A143),12)=0,A143+1,A143)</f>
        <v>12</v>
      </c>
      <c r="B144" s="218">
        <f t="shared" si="30"/>
        <v>3</v>
      </c>
      <c r="C144" s="218">
        <f t="shared" si="24"/>
        <v>1</v>
      </c>
      <c r="D144" s="208">
        <f>IF(MOD(COUNT($D$10:D143),6)=0,D143+1,D143)</f>
        <v>23</v>
      </c>
      <c r="E144" s="208">
        <f>IF(MOD(COUNT($E$10:E143),3)=0,E143+1,E143)</f>
        <v>45</v>
      </c>
      <c r="F144" s="208">
        <f>IF(MOD(COUNT($F$10:F143),1)=0,F143+1,F143)</f>
        <v>135</v>
      </c>
      <c r="G144" s="204">
        <f>IFERROR(IF(C144=1,VLOOKUP(A144,Output!$A$27:$AB$137,28,FALSE)/AnnuityMode,0),0)</f>
        <v>0</v>
      </c>
      <c r="H144" s="220">
        <f>IFERROR(IF(AND(MIN(A144&gt;25,Age+A144&gt;=85),B144=12),VLOOKUP(A144,Output!$A$27:$AE$137,31,FALSE),0),0)</f>
        <v>0</v>
      </c>
      <c r="I144" s="221">
        <f>IFERROR(IF(AND(MIN(A144&gt;15,A144+Age&gt;=70),C144=1),VLOOKUP(A144,Output!$A$27:$AF$137,32,FALSE)*VLOOKUP('SV calc_ignore'!A144,Output!$A$27:$AG$137,33,FALSE)/IF(AnnuityMode=2,2,IF(AnnuityMode=4,4,IF(AnnuityMode=12,12,1))),0),0)</f>
        <v>0</v>
      </c>
      <c r="J144" s="227">
        <f t="shared" si="25"/>
        <v>0</v>
      </c>
      <c r="K144" s="209">
        <f t="shared" si="31"/>
        <v>0</v>
      </c>
      <c r="L144" s="209">
        <f t="shared" si="26"/>
        <v>0</v>
      </c>
      <c r="M144" s="210">
        <f t="shared" si="35"/>
        <v>0</v>
      </c>
      <c r="N144" s="211">
        <f t="shared" si="32"/>
        <v>0</v>
      </c>
      <c r="O144" s="194">
        <f t="shared" si="33"/>
        <v>0</v>
      </c>
      <c r="P144" s="212">
        <f t="shared" si="27"/>
        <v>0</v>
      </c>
      <c r="Q144">
        <f t="shared" si="28"/>
        <v>1809176.7465908807</v>
      </c>
      <c r="X144" s="216">
        <f t="shared" si="34"/>
        <v>11</v>
      </c>
      <c r="Y144">
        <f t="shared" si="29"/>
        <v>0</v>
      </c>
    </row>
    <row r="145" spans="1:25" x14ac:dyDescent="0.2">
      <c r="A145" s="204">
        <f>IF(MOD(COUNT($A$10:A144),12)=0,A144+1,A144)</f>
        <v>12</v>
      </c>
      <c r="B145" s="218">
        <f t="shared" si="30"/>
        <v>4</v>
      </c>
      <c r="C145" s="218">
        <f t="shared" si="24"/>
        <v>1</v>
      </c>
      <c r="D145" s="208">
        <f>IF(MOD(COUNT($D$10:D144),6)=0,D144+1,D144)</f>
        <v>23</v>
      </c>
      <c r="E145" s="208">
        <f>IF(MOD(COUNT($E$10:E144),3)=0,E144+1,E144)</f>
        <v>46</v>
      </c>
      <c r="F145" s="208">
        <f>IF(MOD(COUNT($F$10:F144),1)=0,F144+1,F144)</f>
        <v>136</v>
      </c>
      <c r="G145" s="204">
        <f>IFERROR(IF(C145=1,VLOOKUP(A145,Output!$A$27:$AB$137,28,FALSE)/AnnuityMode,0),0)</f>
        <v>0</v>
      </c>
      <c r="H145" s="220">
        <f>IFERROR(IF(AND(MIN(A145&gt;25,Age+A145&gt;=85),B145=12),VLOOKUP(A145,Output!$A$27:$AE$137,31,FALSE),0),0)</f>
        <v>0</v>
      </c>
      <c r="I145" s="221">
        <f>IFERROR(IF(AND(MIN(A145&gt;15,A145+Age&gt;=70),C145=1),VLOOKUP(A145,Output!$A$27:$AF$137,32,FALSE)*VLOOKUP('SV calc_ignore'!A145,Output!$A$27:$AG$137,33,FALSE)/IF(AnnuityMode=2,2,IF(AnnuityMode=4,4,IF(AnnuityMode=12,12,1))),0),0)</f>
        <v>0</v>
      </c>
      <c r="J145" s="227">
        <f t="shared" si="25"/>
        <v>0</v>
      </c>
      <c r="K145" s="209">
        <f t="shared" si="31"/>
        <v>0</v>
      </c>
      <c r="L145" s="209">
        <f t="shared" si="26"/>
        <v>0</v>
      </c>
      <c r="M145" s="210">
        <f t="shared" si="35"/>
        <v>0</v>
      </c>
      <c r="N145" s="211">
        <f t="shared" si="32"/>
        <v>0</v>
      </c>
      <c r="O145" s="194">
        <f t="shared" si="33"/>
        <v>0</v>
      </c>
      <c r="P145" s="212">
        <f t="shared" si="27"/>
        <v>0</v>
      </c>
      <c r="Q145">
        <f t="shared" si="28"/>
        <v>1821518.0337656036</v>
      </c>
      <c r="X145" s="216">
        <f t="shared" si="34"/>
        <v>11</v>
      </c>
      <c r="Y145">
        <f t="shared" si="29"/>
        <v>0</v>
      </c>
    </row>
    <row r="146" spans="1:25" x14ac:dyDescent="0.2">
      <c r="A146" s="204">
        <f>IF(MOD(COUNT($A$10:A145),12)=0,A145+1,A145)</f>
        <v>12</v>
      </c>
      <c r="B146" s="218">
        <f t="shared" si="30"/>
        <v>5</v>
      </c>
      <c r="C146" s="218">
        <f t="shared" si="24"/>
        <v>1</v>
      </c>
      <c r="D146" s="208">
        <f>IF(MOD(COUNT($D$10:D145),6)=0,D145+1,D145)</f>
        <v>23</v>
      </c>
      <c r="E146" s="208">
        <f>IF(MOD(COUNT($E$10:E145),3)=0,E145+1,E145)</f>
        <v>46</v>
      </c>
      <c r="F146" s="208">
        <f>IF(MOD(COUNT($F$10:F145),1)=0,F145+1,F145)</f>
        <v>137</v>
      </c>
      <c r="G146" s="204">
        <f>IFERROR(IF(C146=1,VLOOKUP(A146,Output!$A$27:$AB$137,28,FALSE)/AnnuityMode,0),0)</f>
        <v>0</v>
      </c>
      <c r="H146" s="220">
        <f>IFERROR(IF(AND(MIN(A146&gt;25,Age+A146&gt;=85),B146=12),VLOOKUP(A146,Output!$A$27:$AE$137,31,FALSE),0),0)</f>
        <v>0</v>
      </c>
      <c r="I146" s="221">
        <f>IFERROR(IF(AND(MIN(A146&gt;15,A146+Age&gt;=70),C146=1),VLOOKUP(A146,Output!$A$27:$AF$137,32,FALSE)*VLOOKUP('SV calc_ignore'!A146,Output!$A$27:$AG$137,33,FALSE)/IF(AnnuityMode=2,2,IF(AnnuityMode=4,4,IF(AnnuityMode=12,12,1))),0),0)</f>
        <v>0</v>
      </c>
      <c r="J146" s="227">
        <f t="shared" si="25"/>
        <v>0</v>
      </c>
      <c r="K146" s="209">
        <f t="shared" si="31"/>
        <v>0</v>
      </c>
      <c r="L146" s="209">
        <f t="shared" si="26"/>
        <v>0</v>
      </c>
      <c r="M146" s="210">
        <f t="shared" si="35"/>
        <v>0</v>
      </c>
      <c r="N146" s="211">
        <f t="shared" si="32"/>
        <v>0</v>
      </c>
      <c r="O146" s="194">
        <f t="shared" si="33"/>
        <v>0</v>
      </c>
      <c r="P146" s="212">
        <f t="shared" si="27"/>
        <v>0</v>
      </c>
      <c r="Q146">
        <f t="shared" si="28"/>
        <v>1833943.5069489162</v>
      </c>
      <c r="X146" s="216">
        <f t="shared" si="34"/>
        <v>11</v>
      </c>
      <c r="Y146">
        <f t="shared" si="29"/>
        <v>0</v>
      </c>
    </row>
    <row r="147" spans="1:25" x14ac:dyDescent="0.2">
      <c r="A147" s="204">
        <f>IF(MOD(COUNT($A$10:A146),12)=0,A146+1,A146)</f>
        <v>12</v>
      </c>
      <c r="B147" s="218">
        <f t="shared" si="30"/>
        <v>6</v>
      </c>
      <c r="C147" s="218">
        <f t="shared" si="24"/>
        <v>1</v>
      </c>
      <c r="D147" s="208">
        <f>IF(MOD(COUNT($D$10:D146),6)=0,D146+1,D146)</f>
        <v>23</v>
      </c>
      <c r="E147" s="208">
        <f>IF(MOD(COUNT($E$10:E146),3)=0,E146+1,E146)</f>
        <v>46</v>
      </c>
      <c r="F147" s="208">
        <f>IF(MOD(COUNT($F$10:F146),1)=0,F146+1,F146)</f>
        <v>138</v>
      </c>
      <c r="G147" s="204">
        <f>IFERROR(IF(C147=1,VLOOKUP(A147,Output!$A$27:$AB$137,28,FALSE)/AnnuityMode,0),0)</f>
        <v>0</v>
      </c>
      <c r="H147" s="220">
        <f>IFERROR(IF(AND(MIN(A147&gt;25,Age+A147&gt;=85),B147=12),VLOOKUP(A147,Output!$A$27:$AE$137,31,FALSE),0),0)</f>
        <v>0</v>
      </c>
      <c r="I147" s="221">
        <f>IFERROR(IF(AND(MIN(A147&gt;15,A147+Age&gt;=70),C147=1),VLOOKUP(A147,Output!$A$27:$AF$137,32,FALSE)*VLOOKUP('SV calc_ignore'!A147,Output!$A$27:$AG$137,33,FALSE)/IF(AnnuityMode=2,2,IF(AnnuityMode=4,4,IF(AnnuityMode=12,12,1))),0),0)</f>
        <v>0</v>
      </c>
      <c r="J147" s="227">
        <f t="shared" si="25"/>
        <v>0</v>
      </c>
      <c r="K147" s="209">
        <f t="shared" si="31"/>
        <v>0</v>
      </c>
      <c r="L147" s="209">
        <f t="shared" si="26"/>
        <v>0</v>
      </c>
      <c r="M147" s="210">
        <f t="shared" si="35"/>
        <v>0</v>
      </c>
      <c r="N147" s="211">
        <f t="shared" si="32"/>
        <v>0</v>
      </c>
      <c r="O147" s="194">
        <f t="shared" si="33"/>
        <v>0</v>
      </c>
      <c r="P147" s="212">
        <f t="shared" si="27"/>
        <v>0</v>
      </c>
      <c r="Q147">
        <f t="shared" si="28"/>
        <v>1846453.7404151179</v>
      </c>
      <c r="X147" s="216">
        <f t="shared" si="34"/>
        <v>11</v>
      </c>
      <c r="Y147">
        <f t="shared" si="29"/>
        <v>0</v>
      </c>
    </row>
    <row r="148" spans="1:25" x14ac:dyDescent="0.2">
      <c r="A148" s="204">
        <f>IF(MOD(COUNT($A$10:A147),12)=0,A147+1,A147)</f>
        <v>12</v>
      </c>
      <c r="B148" s="218">
        <f t="shared" si="30"/>
        <v>7</v>
      </c>
      <c r="C148" s="218">
        <f t="shared" si="24"/>
        <v>1</v>
      </c>
      <c r="D148" s="208">
        <f>IF(MOD(COUNT($D$10:D147),6)=0,D147+1,D147)</f>
        <v>24</v>
      </c>
      <c r="E148" s="208">
        <f>IF(MOD(COUNT($E$10:E147),3)=0,E147+1,E147)</f>
        <v>47</v>
      </c>
      <c r="F148" s="208">
        <f>IF(MOD(COUNT($F$10:F147),1)=0,F147+1,F147)</f>
        <v>139</v>
      </c>
      <c r="G148" s="204">
        <f>IFERROR(IF(C148=1,VLOOKUP(A148,Output!$A$27:$AB$137,28,FALSE)/AnnuityMode,0),0)</f>
        <v>0</v>
      </c>
      <c r="H148" s="220">
        <f>IFERROR(IF(AND(MIN(A148&gt;25,Age+A148&gt;=85),B148=12),VLOOKUP(A148,Output!$A$27:$AE$137,31,FALSE),0),0)</f>
        <v>0</v>
      </c>
      <c r="I148" s="221">
        <f>IFERROR(IF(AND(MIN(A148&gt;15,A148+Age&gt;=70),C148=1),VLOOKUP(A148,Output!$A$27:$AF$137,32,FALSE)*VLOOKUP('SV calc_ignore'!A148,Output!$A$27:$AG$137,33,FALSE)/IF(AnnuityMode=2,2,IF(AnnuityMode=4,4,IF(AnnuityMode=12,12,1))),0),0)</f>
        <v>0</v>
      </c>
      <c r="J148" s="227">
        <f t="shared" si="25"/>
        <v>0</v>
      </c>
      <c r="K148" s="209">
        <f t="shared" si="31"/>
        <v>0</v>
      </c>
      <c r="L148" s="209">
        <f t="shared" si="26"/>
        <v>0</v>
      </c>
      <c r="M148" s="210">
        <f t="shared" si="35"/>
        <v>0</v>
      </c>
      <c r="N148" s="211">
        <f t="shared" si="32"/>
        <v>0</v>
      </c>
      <c r="O148" s="194">
        <f t="shared" si="33"/>
        <v>0</v>
      </c>
      <c r="P148" s="212">
        <f t="shared" si="27"/>
        <v>0</v>
      </c>
      <c r="Q148">
        <f t="shared" si="28"/>
        <v>1859049.3123559158</v>
      </c>
      <c r="X148" s="216">
        <f t="shared" si="34"/>
        <v>11</v>
      </c>
      <c r="Y148">
        <f t="shared" si="29"/>
        <v>0</v>
      </c>
    </row>
    <row r="149" spans="1:25" x14ac:dyDescent="0.2">
      <c r="A149" s="204">
        <f>IF(MOD(COUNT($A$10:A148),12)=0,A148+1,A148)</f>
        <v>12</v>
      </c>
      <c r="B149" s="218">
        <f t="shared" si="30"/>
        <v>8</v>
      </c>
      <c r="C149" s="218">
        <f t="shared" si="24"/>
        <v>1</v>
      </c>
      <c r="D149" s="208">
        <f>IF(MOD(COUNT($D$10:D148),6)=0,D148+1,D148)</f>
        <v>24</v>
      </c>
      <c r="E149" s="208">
        <f>IF(MOD(COUNT($E$10:E148),3)=0,E148+1,E148)</f>
        <v>47</v>
      </c>
      <c r="F149" s="208">
        <f>IF(MOD(COUNT($F$10:F148),1)=0,F148+1,F148)</f>
        <v>140</v>
      </c>
      <c r="G149" s="204">
        <f>IFERROR(IF(C149=1,VLOOKUP(A149,Output!$A$27:$AB$137,28,FALSE)/AnnuityMode,0),0)</f>
        <v>0</v>
      </c>
      <c r="H149" s="220">
        <f>IFERROR(IF(AND(MIN(A149&gt;25,Age+A149&gt;=85),B149=12),VLOOKUP(A149,Output!$A$27:$AE$137,31,FALSE),0),0)</f>
        <v>0</v>
      </c>
      <c r="I149" s="221">
        <f>IFERROR(IF(AND(MIN(A149&gt;15,A149+Age&gt;=70),C149=1),VLOOKUP(A149,Output!$A$27:$AF$137,32,FALSE)*VLOOKUP('SV calc_ignore'!A149,Output!$A$27:$AG$137,33,FALSE)/IF(AnnuityMode=2,2,IF(AnnuityMode=4,4,IF(AnnuityMode=12,12,1))),0),0)</f>
        <v>0</v>
      </c>
      <c r="J149" s="227">
        <f t="shared" si="25"/>
        <v>0</v>
      </c>
      <c r="K149" s="209">
        <f t="shared" si="31"/>
        <v>0</v>
      </c>
      <c r="L149" s="209">
        <f t="shared" si="26"/>
        <v>0</v>
      </c>
      <c r="M149" s="210">
        <f t="shared" si="35"/>
        <v>0</v>
      </c>
      <c r="N149" s="211">
        <f t="shared" si="32"/>
        <v>0</v>
      </c>
      <c r="O149" s="194">
        <f t="shared" si="33"/>
        <v>0</v>
      </c>
      <c r="P149" s="212">
        <f t="shared" si="27"/>
        <v>0</v>
      </c>
      <c r="Q149">
        <f t="shared" si="28"/>
        <v>1871730.8049071482</v>
      </c>
      <c r="X149" s="216">
        <f t="shared" si="34"/>
        <v>11</v>
      </c>
      <c r="Y149">
        <f t="shared" si="29"/>
        <v>0</v>
      </c>
    </row>
    <row r="150" spans="1:25" x14ac:dyDescent="0.2">
      <c r="A150" s="204">
        <f>IF(MOD(COUNT($A$10:A149),12)=0,A149+1,A149)</f>
        <v>12</v>
      </c>
      <c r="B150" s="218">
        <f t="shared" si="30"/>
        <v>9</v>
      </c>
      <c r="C150" s="218">
        <f t="shared" si="24"/>
        <v>1</v>
      </c>
      <c r="D150" s="208">
        <f>IF(MOD(COUNT($D$10:D149),6)=0,D149+1,D149)</f>
        <v>24</v>
      </c>
      <c r="E150" s="208">
        <f>IF(MOD(COUNT($E$10:E149),3)=0,E149+1,E149)</f>
        <v>47</v>
      </c>
      <c r="F150" s="208">
        <f>IF(MOD(COUNT($F$10:F149),1)=0,F149+1,F149)</f>
        <v>141</v>
      </c>
      <c r="G150" s="204">
        <f>IFERROR(IF(C150=1,VLOOKUP(A150,Output!$A$27:$AB$137,28,FALSE)/AnnuityMode,0),0)</f>
        <v>0</v>
      </c>
      <c r="H150" s="220">
        <f>IFERROR(IF(AND(MIN(A150&gt;25,Age+A150&gt;=85),B150=12),VLOOKUP(A150,Output!$A$27:$AE$137,31,FALSE),0),0)</f>
        <v>0</v>
      </c>
      <c r="I150" s="221">
        <f>IFERROR(IF(AND(MIN(A150&gt;15,A150+Age&gt;=70),C150=1),VLOOKUP(A150,Output!$A$27:$AF$137,32,FALSE)*VLOOKUP('SV calc_ignore'!A150,Output!$A$27:$AG$137,33,FALSE)/IF(AnnuityMode=2,2,IF(AnnuityMode=4,4,IF(AnnuityMode=12,12,1))),0),0)</f>
        <v>0</v>
      </c>
      <c r="J150" s="227">
        <f t="shared" si="25"/>
        <v>0</v>
      </c>
      <c r="K150" s="209">
        <f t="shared" si="31"/>
        <v>0</v>
      </c>
      <c r="L150" s="209">
        <f t="shared" si="26"/>
        <v>0</v>
      </c>
      <c r="M150" s="210">
        <f t="shared" si="35"/>
        <v>0</v>
      </c>
      <c r="N150" s="211">
        <f t="shared" si="32"/>
        <v>0</v>
      </c>
      <c r="O150" s="194">
        <f t="shared" si="33"/>
        <v>0</v>
      </c>
      <c r="P150" s="212">
        <f t="shared" si="27"/>
        <v>0</v>
      </c>
      <c r="Q150">
        <f t="shared" si="28"/>
        <v>1884498.8041756896</v>
      </c>
      <c r="X150" s="216">
        <f t="shared" si="34"/>
        <v>11</v>
      </c>
      <c r="Y150">
        <f t="shared" si="29"/>
        <v>0</v>
      </c>
    </row>
    <row r="151" spans="1:25" x14ac:dyDescent="0.2">
      <c r="A151" s="204">
        <f>IF(MOD(COUNT($A$10:A150),12)=0,A150+1,A150)</f>
        <v>12</v>
      </c>
      <c r="B151" s="218">
        <f t="shared" si="30"/>
        <v>10</v>
      </c>
      <c r="C151" s="218">
        <f t="shared" si="24"/>
        <v>1</v>
      </c>
      <c r="D151" s="208">
        <f>IF(MOD(COUNT($D$10:D150),6)=0,D150+1,D150)</f>
        <v>24</v>
      </c>
      <c r="E151" s="208">
        <f>IF(MOD(COUNT($E$10:E150),3)=0,E150+1,E150)</f>
        <v>48</v>
      </c>
      <c r="F151" s="208">
        <f>IF(MOD(COUNT($F$10:F150),1)=0,F150+1,F150)</f>
        <v>142</v>
      </c>
      <c r="G151" s="204">
        <f>IFERROR(IF(C151=1,VLOOKUP(A151,Output!$A$27:$AB$137,28,FALSE)/AnnuityMode,0),0)</f>
        <v>0</v>
      </c>
      <c r="H151" s="220">
        <f>IFERROR(IF(AND(MIN(A151&gt;25,Age+A151&gt;=85),B151=12),VLOOKUP(A151,Output!$A$27:$AE$137,31,FALSE),0),0)</f>
        <v>0</v>
      </c>
      <c r="I151" s="221">
        <f>IFERROR(IF(AND(MIN(A151&gt;15,A151+Age&gt;=70),C151=1),VLOOKUP(A151,Output!$A$27:$AF$137,32,FALSE)*VLOOKUP('SV calc_ignore'!A151,Output!$A$27:$AG$137,33,FALSE)/IF(AnnuityMode=2,2,IF(AnnuityMode=4,4,IF(AnnuityMode=12,12,1))),0),0)</f>
        <v>0</v>
      </c>
      <c r="J151" s="227">
        <f t="shared" si="25"/>
        <v>0</v>
      </c>
      <c r="K151" s="209">
        <f t="shared" si="31"/>
        <v>0</v>
      </c>
      <c r="L151" s="209">
        <f t="shared" si="26"/>
        <v>0</v>
      </c>
      <c r="M151" s="210">
        <f t="shared" si="35"/>
        <v>0</v>
      </c>
      <c r="N151" s="211">
        <f t="shared" si="32"/>
        <v>0</v>
      </c>
      <c r="O151" s="194">
        <f t="shared" si="33"/>
        <v>0</v>
      </c>
      <c r="P151" s="212">
        <f t="shared" si="27"/>
        <v>0</v>
      </c>
      <c r="Q151">
        <f t="shared" si="28"/>
        <v>1897353.9002665379</v>
      </c>
      <c r="X151" s="216">
        <f t="shared" si="34"/>
        <v>11</v>
      </c>
      <c r="Y151">
        <f t="shared" si="29"/>
        <v>0</v>
      </c>
    </row>
    <row r="152" spans="1:25" x14ac:dyDescent="0.2">
      <c r="A152" s="204">
        <f>IF(MOD(COUNT($A$10:A151),12)=0,A151+1,A151)</f>
        <v>12</v>
      </c>
      <c r="B152" s="218">
        <f t="shared" si="30"/>
        <v>11</v>
      </c>
      <c r="C152" s="218">
        <f t="shared" si="24"/>
        <v>1</v>
      </c>
      <c r="D152" s="208">
        <f>IF(MOD(COUNT($D$10:D151),6)=0,D151+1,D151)</f>
        <v>24</v>
      </c>
      <c r="E152" s="208">
        <f>IF(MOD(COUNT($E$10:E151),3)=0,E151+1,E151)</f>
        <v>48</v>
      </c>
      <c r="F152" s="208">
        <f>IF(MOD(COUNT($F$10:F151),1)=0,F151+1,F151)</f>
        <v>143</v>
      </c>
      <c r="G152" s="204">
        <f>IFERROR(IF(C152=1,VLOOKUP(A152,Output!$A$27:$AB$137,28,FALSE)/AnnuityMode,0),0)</f>
        <v>0</v>
      </c>
      <c r="H152" s="220">
        <f>IFERROR(IF(AND(MIN(A152&gt;25,Age+A152&gt;=85),B152=12),VLOOKUP(A152,Output!$A$27:$AE$137,31,FALSE),0),0)</f>
        <v>0</v>
      </c>
      <c r="I152" s="221">
        <f>IFERROR(IF(AND(MIN(A152&gt;15,A152+Age&gt;=70),C152=1),VLOOKUP(A152,Output!$A$27:$AF$137,32,FALSE)*VLOOKUP('SV calc_ignore'!A152,Output!$A$27:$AG$137,33,FALSE)/IF(AnnuityMode=2,2,IF(AnnuityMode=4,4,IF(AnnuityMode=12,12,1))),0),0)</f>
        <v>0</v>
      </c>
      <c r="J152" s="227">
        <f t="shared" si="25"/>
        <v>0</v>
      </c>
      <c r="K152" s="209">
        <f t="shared" si="31"/>
        <v>0</v>
      </c>
      <c r="L152" s="209">
        <f t="shared" si="26"/>
        <v>0</v>
      </c>
      <c r="M152" s="210">
        <f t="shared" si="35"/>
        <v>0</v>
      </c>
      <c r="N152" s="211">
        <f t="shared" si="32"/>
        <v>0</v>
      </c>
      <c r="O152" s="194">
        <f t="shared" si="33"/>
        <v>0</v>
      </c>
      <c r="P152" s="212">
        <f t="shared" si="27"/>
        <v>0</v>
      </c>
      <c r="Q152">
        <f t="shared" si="28"/>
        <v>1910296.6873100887</v>
      </c>
      <c r="X152" s="216">
        <f t="shared" si="34"/>
        <v>11</v>
      </c>
      <c r="Y152">
        <f t="shared" si="29"/>
        <v>0</v>
      </c>
    </row>
    <row r="153" spans="1:25" x14ac:dyDescent="0.2">
      <c r="A153" s="204">
        <f>IF(MOD(COUNT($A$10:A152),12)=0,A152+1,A152)</f>
        <v>12</v>
      </c>
      <c r="B153" s="218">
        <f t="shared" si="30"/>
        <v>12</v>
      </c>
      <c r="C153" s="218">
        <f t="shared" si="24"/>
        <v>1</v>
      </c>
      <c r="D153" s="208">
        <f>IF(MOD(COUNT($D$10:D152),6)=0,D152+1,D152)</f>
        <v>24</v>
      </c>
      <c r="E153" s="208">
        <f>IF(MOD(COUNT($E$10:E152),3)=0,E152+1,E152)</f>
        <v>48</v>
      </c>
      <c r="F153" s="208">
        <f>IF(MOD(COUNT($F$10:F152),1)=0,F152+1,F152)</f>
        <v>144</v>
      </c>
      <c r="G153" s="204">
        <f>IFERROR(IF(C153=1,VLOOKUP(A153,Output!$A$27:$AB$137,28,FALSE)/AnnuityMode,0),0)</f>
        <v>0</v>
      </c>
      <c r="H153" s="220">
        <f>IFERROR(IF(AND(MIN(A153&gt;25,Age+A153&gt;=85),B153=12),VLOOKUP(A153,Output!$A$27:$AE$137,31,FALSE),0),0)</f>
        <v>0</v>
      </c>
      <c r="I153" s="221">
        <f>IFERROR(IF(AND(MIN(A153&gt;15,A153+Age&gt;=70),C153=1),VLOOKUP(A153,Output!$A$27:$AF$137,32,FALSE)*VLOOKUP('SV calc_ignore'!A153,Output!$A$27:$AG$137,33,FALSE)/IF(AnnuityMode=2,2,IF(AnnuityMode=4,4,IF(AnnuityMode=12,12,1))),0),0)</f>
        <v>0</v>
      </c>
      <c r="J153" s="227">
        <f t="shared" si="25"/>
        <v>0</v>
      </c>
      <c r="K153" s="209">
        <f t="shared" si="31"/>
        <v>0</v>
      </c>
      <c r="L153" s="209">
        <f t="shared" si="26"/>
        <v>0</v>
      </c>
      <c r="M153" s="210">
        <f t="shared" si="35"/>
        <v>0</v>
      </c>
      <c r="N153" s="211">
        <f t="shared" si="32"/>
        <v>0</v>
      </c>
      <c r="O153" s="194">
        <f t="shared" si="33"/>
        <v>0</v>
      </c>
      <c r="P153" s="212">
        <f t="shared" si="27"/>
        <v>0</v>
      </c>
      <c r="Q153">
        <f t="shared" si="28"/>
        <v>1923327.763489594</v>
      </c>
      <c r="X153" s="216">
        <f t="shared" si="34"/>
        <v>11</v>
      </c>
      <c r="Y153">
        <f t="shared" si="29"/>
        <v>0</v>
      </c>
    </row>
    <row r="154" spans="1:25" x14ac:dyDescent="0.2">
      <c r="A154" s="204">
        <f>IF(MOD(COUNT($A$10:A153),12)=0,A153+1,A153)</f>
        <v>13</v>
      </c>
      <c r="B154" s="218">
        <f t="shared" si="30"/>
        <v>1</v>
      </c>
      <c r="C154" s="218">
        <f t="shared" si="24"/>
        <v>1</v>
      </c>
      <c r="D154" s="208">
        <f>IF(MOD(COUNT($D$10:D153),6)=0,D153+1,D153)</f>
        <v>25</v>
      </c>
      <c r="E154" s="208">
        <f>IF(MOD(COUNT($E$10:E153),3)=0,E153+1,E153)</f>
        <v>49</v>
      </c>
      <c r="F154" s="208">
        <f>IF(MOD(COUNT($F$10:F153),1)=0,F153+1,F153)</f>
        <v>145</v>
      </c>
      <c r="G154" s="204">
        <f>IFERROR(IF(C154=1,VLOOKUP(A154,Output!$A$27:$AB$137,28,FALSE)/AnnuityMode,0),0)</f>
        <v>0</v>
      </c>
      <c r="H154" s="220">
        <f>IFERROR(IF(AND(MIN(A154&gt;25,Age+A154&gt;=85),B154=12),VLOOKUP(A154,Output!$A$27:$AE$137,31,FALSE),0),0)</f>
        <v>0</v>
      </c>
      <c r="I154" s="221">
        <f>IFERROR(IF(AND(MIN(A154&gt;15,A154+Age&gt;=70),C154=1),VLOOKUP(A154,Output!$A$27:$AF$137,32,FALSE)*VLOOKUP('SV calc_ignore'!A154,Output!$A$27:$AG$137,33,FALSE)/IF(AnnuityMode=2,2,IF(AnnuityMode=4,4,IF(AnnuityMode=12,12,1))),0),0)</f>
        <v>0</v>
      </c>
      <c r="J154" s="227">
        <f t="shared" si="25"/>
        <v>0</v>
      </c>
      <c r="K154" s="209">
        <f t="shared" si="31"/>
        <v>0</v>
      </c>
      <c r="L154" s="209">
        <f t="shared" si="26"/>
        <v>0</v>
      </c>
      <c r="M154" s="210">
        <f t="shared" si="35"/>
        <v>0</v>
      </c>
      <c r="N154" s="211">
        <f t="shared" si="32"/>
        <v>0</v>
      </c>
      <c r="O154" s="194">
        <f t="shared" si="33"/>
        <v>0</v>
      </c>
      <c r="P154" s="212">
        <f t="shared" si="27"/>
        <v>0</v>
      </c>
      <c r="Q154">
        <f t="shared" si="28"/>
        <v>1936447.7310688093</v>
      </c>
      <c r="X154" s="216">
        <f t="shared" si="34"/>
        <v>12</v>
      </c>
      <c r="Y154">
        <f t="shared" si="29"/>
        <v>0</v>
      </c>
    </row>
    <row r="155" spans="1:25" x14ac:dyDescent="0.2">
      <c r="A155" s="204">
        <f>IF(MOD(COUNT($A$10:A154),12)=0,A154+1,A154)</f>
        <v>13</v>
      </c>
      <c r="B155" s="218">
        <f t="shared" si="30"/>
        <v>2</v>
      </c>
      <c r="C155" s="218">
        <f t="shared" si="24"/>
        <v>1</v>
      </c>
      <c r="D155" s="208">
        <f>IF(MOD(COUNT($D$10:D154),6)=0,D154+1,D154)</f>
        <v>25</v>
      </c>
      <c r="E155" s="208">
        <f>IF(MOD(COUNT($E$10:E154),3)=0,E154+1,E154)</f>
        <v>49</v>
      </c>
      <c r="F155" s="208">
        <f>IF(MOD(COUNT($F$10:F154),1)=0,F154+1,F154)</f>
        <v>146</v>
      </c>
      <c r="G155" s="204">
        <f>IFERROR(IF(C155=1,VLOOKUP(A155,Output!$A$27:$AB$137,28,FALSE)/AnnuityMode,0),0)</f>
        <v>0</v>
      </c>
      <c r="H155" s="220">
        <f>IFERROR(IF(AND(MIN(A155&gt;25,Age+A155&gt;=85),B155=12),VLOOKUP(A155,Output!$A$27:$AE$137,31,FALSE),0),0)</f>
        <v>0</v>
      </c>
      <c r="I155" s="221">
        <f>IFERROR(IF(AND(MIN(A155&gt;15,A155+Age&gt;=70),C155=1),VLOOKUP(A155,Output!$A$27:$AF$137,32,FALSE)*VLOOKUP('SV calc_ignore'!A155,Output!$A$27:$AG$137,33,FALSE)/IF(AnnuityMode=2,2,IF(AnnuityMode=4,4,IF(AnnuityMode=12,12,1))),0),0)</f>
        <v>0</v>
      </c>
      <c r="J155" s="227">
        <f t="shared" si="25"/>
        <v>0</v>
      </c>
      <c r="K155" s="209">
        <f t="shared" si="31"/>
        <v>0</v>
      </c>
      <c r="L155" s="209">
        <f t="shared" si="26"/>
        <v>0</v>
      </c>
      <c r="M155" s="210">
        <f t="shared" si="35"/>
        <v>0</v>
      </c>
      <c r="N155" s="211">
        <f t="shared" si="32"/>
        <v>0</v>
      </c>
      <c r="O155" s="194">
        <f t="shared" si="33"/>
        <v>0</v>
      </c>
      <c r="P155" s="212">
        <f t="shared" si="27"/>
        <v>0</v>
      </c>
      <c r="Q155">
        <f t="shared" si="28"/>
        <v>1949657.1964198279</v>
      </c>
      <c r="X155" s="216">
        <f t="shared" si="34"/>
        <v>12</v>
      </c>
      <c r="Y155">
        <f t="shared" si="29"/>
        <v>0</v>
      </c>
    </row>
    <row r="156" spans="1:25" x14ac:dyDescent="0.2">
      <c r="A156" s="204">
        <f>IF(MOD(COUNT($A$10:A155),12)=0,A155+1,A155)</f>
        <v>13</v>
      </c>
      <c r="B156" s="218">
        <f t="shared" si="30"/>
        <v>3</v>
      </c>
      <c r="C156" s="218">
        <f t="shared" si="24"/>
        <v>1</v>
      </c>
      <c r="D156" s="208">
        <f>IF(MOD(COUNT($D$10:D155),6)=0,D155+1,D155)</f>
        <v>25</v>
      </c>
      <c r="E156" s="208">
        <f>IF(MOD(COUNT($E$10:E155),3)=0,E155+1,E155)</f>
        <v>49</v>
      </c>
      <c r="F156" s="208">
        <f>IF(MOD(COUNT($F$10:F155),1)=0,F155+1,F155)</f>
        <v>147</v>
      </c>
      <c r="G156" s="204">
        <f>IFERROR(IF(C156=1,VLOOKUP(A156,Output!$A$27:$AB$137,28,FALSE)/AnnuityMode,0),0)</f>
        <v>0</v>
      </c>
      <c r="H156" s="220">
        <f>IFERROR(IF(AND(MIN(A156&gt;25,Age+A156&gt;=85),B156=12),VLOOKUP(A156,Output!$A$27:$AE$137,31,FALSE),0),0)</f>
        <v>0</v>
      </c>
      <c r="I156" s="221">
        <f>IFERROR(IF(AND(MIN(A156&gt;15,A156+Age&gt;=70),C156=1),VLOOKUP(A156,Output!$A$27:$AF$137,32,FALSE)*VLOOKUP('SV calc_ignore'!A156,Output!$A$27:$AG$137,33,FALSE)/IF(AnnuityMode=2,2,IF(AnnuityMode=4,4,IF(AnnuityMode=12,12,1))),0),0)</f>
        <v>0</v>
      </c>
      <c r="J156" s="227">
        <f t="shared" si="25"/>
        <v>0</v>
      </c>
      <c r="K156" s="209">
        <f t="shared" si="31"/>
        <v>0</v>
      </c>
      <c r="L156" s="209">
        <f t="shared" si="26"/>
        <v>0</v>
      </c>
      <c r="M156" s="210">
        <f t="shared" si="35"/>
        <v>0</v>
      </c>
      <c r="N156" s="211">
        <f t="shared" si="32"/>
        <v>0</v>
      </c>
      <c r="O156" s="194">
        <f t="shared" si="33"/>
        <v>0</v>
      </c>
      <c r="P156" s="212">
        <f t="shared" si="27"/>
        <v>0</v>
      </c>
      <c r="Q156">
        <f t="shared" si="28"/>
        <v>1962956.7700511063</v>
      </c>
      <c r="X156" s="216">
        <f t="shared" si="34"/>
        <v>12</v>
      </c>
      <c r="Y156">
        <f t="shared" si="29"/>
        <v>0</v>
      </c>
    </row>
    <row r="157" spans="1:25" x14ac:dyDescent="0.2">
      <c r="A157" s="204">
        <f>IF(MOD(COUNT($A$10:A156),12)=0,A156+1,A156)</f>
        <v>13</v>
      </c>
      <c r="B157" s="218">
        <f t="shared" si="30"/>
        <v>4</v>
      </c>
      <c r="C157" s="218">
        <f t="shared" si="24"/>
        <v>1</v>
      </c>
      <c r="D157" s="208">
        <f>IF(MOD(COUNT($D$10:D156),6)=0,D156+1,D156)</f>
        <v>25</v>
      </c>
      <c r="E157" s="208">
        <f>IF(MOD(COUNT($E$10:E156),3)=0,E156+1,E156)</f>
        <v>50</v>
      </c>
      <c r="F157" s="208">
        <f>IF(MOD(COUNT($F$10:F156),1)=0,F156+1,F156)</f>
        <v>148</v>
      </c>
      <c r="G157" s="204">
        <f>IFERROR(IF(C157=1,VLOOKUP(A157,Output!$A$27:$AB$137,28,FALSE)/AnnuityMode,0),0)</f>
        <v>0</v>
      </c>
      <c r="H157" s="220">
        <f>IFERROR(IF(AND(MIN(A157&gt;25,Age+A157&gt;=85),B157=12),VLOOKUP(A157,Output!$A$27:$AE$137,31,FALSE),0),0)</f>
        <v>0</v>
      </c>
      <c r="I157" s="221">
        <f>IFERROR(IF(AND(MIN(A157&gt;15,A157+Age&gt;=70),C157=1),VLOOKUP(A157,Output!$A$27:$AF$137,32,FALSE)*VLOOKUP('SV calc_ignore'!A157,Output!$A$27:$AG$137,33,FALSE)/IF(AnnuityMode=2,2,IF(AnnuityMode=4,4,IF(AnnuityMode=12,12,1))),0),0)</f>
        <v>0</v>
      </c>
      <c r="J157" s="227">
        <f t="shared" si="25"/>
        <v>0</v>
      </c>
      <c r="K157" s="209">
        <f t="shared" si="31"/>
        <v>0</v>
      </c>
      <c r="L157" s="209">
        <f t="shared" si="26"/>
        <v>0</v>
      </c>
      <c r="M157" s="210">
        <f t="shared" si="35"/>
        <v>0</v>
      </c>
      <c r="N157" s="211">
        <f t="shared" si="32"/>
        <v>0</v>
      </c>
      <c r="O157" s="194">
        <f t="shared" si="33"/>
        <v>0</v>
      </c>
      <c r="P157" s="212">
        <f t="shared" si="27"/>
        <v>0</v>
      </c>
      <c r="Q157">
        <f t="shared" si="28"/>
        <v>1976347.0666356806</v>
      </c>
      <c r="X157" s="216">
        <f t="shared" si="34"/>
        <v>12</v>
      </c>
      <c r="Y157">
        <f t="shared" si="29"/>
        <v>0</v>
      </c>
    </row>
    <row r="158" spans="1:25" x14ac:dyDescent="0.2">
      <c r="A158" s="204">
        <f>IF(MOD(COUNT($A$10:A157),12)=0,A157+1,A157)</f>
        <v>13</v>
      </c>
      <c r="B158" s="218">
        <f t="shared" si="30"/>
        <v>5</v>
      </c>
      <c r="C158" s="218">
        <f t="shared" si="24"/>
        <v>1</v>
      </c>
      <c r="D158" s="208">
        <f>IF(MOD(COUNT($D$10:D157),6)=0,D157+1,D157)</f>
        <v>25</v>
      </c>
      <c r="E158" s="208">
        <f>IF(MOD(COUNT($E$10:E157),3)=0,E157+1,E157)</f>
        <v>50</v>
      </c>
      <c r="F158" s="208">
        <f>IF(MOD(COUNT($F$10:F157),1)=0,F157+1,F157)</f>
        <v>149</v>
      </c>
      <c r="G158" s="204">
        <f>IFERROR(IF(C158=1,VLOOKUP(A158,Output!$A$27:$AB$137,28,FALSE)/AnnuityMode,0),0)</f>
        <v>0</v>
      </c>
      <c r="H158" s="220">
        <f>IFERROR(IF(AND(MIN(A158&gt;25,Age+A158&gt;=85),B158=12),VLOOKUP(A158,Output!$A$27:$AE$137,31,FALSE),0),0)</f>
        <v>0</v>
      </c>
      <c r="I158" s="221">
        <f>IFERROR(IF(AND(MIN(A158&gt;15,A158+Age&gt;=70),C158=1),VLOOKUP(A158,Output!$A$27:$AF$137,32,FALSE)*VLOOKUP('SV calc_ignore'!A158,Output!$A$27:$AG$137,33,FALSE)/IF(AnnuityMode=2,2,IF(AnnuityMode=4,4,IF(AnnuityMode=12,12,1))),0),0)</f>
        <v>0</v>
      </c>
      <c r="J158" s="227">
        <f t="shared" si="25"/>
        <v>0</v>
      </c>
      <c r="K158" s="209">
        <f t="shared" si="31"/>
        <v>0</v>
      </c>
      <c r="L158" s="209">
        <f t="shared" si="26"/>
        <v>0</v>
      </c>
      <c r="M158" s="210">
        <f t="shared" si="35"/>
        <v>0</v>
      </c>
      <c r="N158" s="211">
        <f t="shared" si="32"/>
        <v>0</v>
      </c>
      <c r="O158" s="194">
        <f t="shared" si="33"/>
        <v>0</v>
      </c>
      <c r="P158" s="212">
        <f t="shared" si="27"/>
        <v>0</v>
      </c>
      <c r="Q158">
        <f t="shared" si="28"/>
        <v>1989828.7050395748</v>
      </c>
      <c r="X158" s="216">
        <f t="shared" si="34"/>
        <v>12</v>
      </c>
      <c r="Y158">
        <f t="shared" si="29"/>
        <v>0</v>
      </c>
    </row>
    <row r="159" spans="1:25" x14ac:dyDescent="0.2">
      <c r="A159" s="204">
        <f>IF(MOD(COUNT($A$10:A158),12)=0,A158+1,A158)</f>
        <v>13</v>
      </c>
      <c r="B159" s="218">
        <f t="shared" si="30"/>
        <v>6</v>
      </c>
      <c r="C159" s="218">
        <f t="shared" si="24"/>
        <v>1</v>
      </c>
      <c r="D159" s="208">
        <f>IF(MOD(COUNT($D$10:D158),6)=0,D158+1,D158)</f>
        <v>25</v>
      </c>
      <c r="E159" s="208">
        <f>IF(MOD(COUNT($E$10:E158),3)=0,E158+1,E158)</f>
        <v>50</v>
      </c>
      <c r="F159" s="208">
        <f>IF(MOD(COUNT($F$10:F158),1)=0,F158+1,F158)</f>
        <v>150</v>
      </c>
      <c r="G159" s="204">
        <f>IFERROR(IF(C159=1,VLOOKUP(A159,Output!$A$27:$AB$137,28,FALSE)/AnnuityMode,0),0)</f>
        <v>0</v>
      </c>
      <c r="H159" s="220">
        <f>IFERROR(IF(AND(MIN(A159&gt;25,Age+A159&gt;=85),B159=12),VLOOKUP(A159,Output!$A$27:$AE$137,31,FALSE),0),0)</f>
        <v>0</v>
      </c>
      <c r="I159" s="221">
        <f>IFERROR(IF(AND(MIN(A159&gt;15,A159+Age&gt;=70),C159=1),VLOOKUP(A159,Output!$A$27:$AF$137,32,FALSE)*VLOOKUP('SV calc_ignore'!A159,Output!$A$27:$AG$137,33,FALSE)/IF(AnnuityMode=2,2,IF(AnnuityMode=4,4,IF(AnnuityMode=12,12,1))),0),0)</f>
        <v>0</v>
      </c>
      <c r="J159" s="227">
        <f t="shared" si="25"/>
        <v>0</v>
      </c>
      <c r="K159" s="209">
        <f t="shared" si="31"/>
        <v>0</v>
      </c>
      <c r="L159" s="209">
        <f t="shared" si="26"/>
        <v>0</v>
      </c>
      <c r="M159" s="210">
        <f t="shared" si="35"/>
        <v>0</v>
      </c>
      <c r="N159" s="211">
        <f t="shared" si="32"/>
        <v>0</v>
      </c>
      <c r="O159" s="194">
        <f t="shared" si="33"/>
        <v>0</v>
      </c>
      <c r="P159" s="212">
        <f t="shared" si="27"/>
        <v>0</v>
      </c>
      <c r="Q159">
        <f t="shared" si="28"/>
        <v>2003402.3083504036</v>
      </c>
      <c r="X159" s="216">
        <f t="shared" si="34"/>
        <v>12</v>
      </c>
      <c r="Y159">
        <f t="shared" si="29"/>
        <v>0</v>
      </c>
    </row>
    <row r="160" spans="1:25" x14ac:dyDescent="0.2">
      <c r="A160" s="204">
        <f>IF(MOD(COUNT($A$10:A159),12)=0,A159+1,A159)</f>
        <v>13</v>
      </c>
      <c r="B160" s="218">
        <f t="shared" si="30"/>
        <v>7</v>
      </c>
      <c r="C160" s="218">
        <f t="shared" si="24"/>
        <v>1</v>
      </c>
      <c r="D160" s="208">
        <f>IF(MOD(COUNT($D$10:D159),6)=0,D159+1,D159)</f>
        <v>26</v>
      </c>
      <c r="E160" s="208">
        <f>IF(MOD(COUNT($E$10:E159),3)=0,E159+1,E159)</f>
        <v>51</v>
      </c>
      <c r="F160" s="208">
        <f>IF(MOD(COUNT($F$10:F159),1)=0,F159+1,F159)</f>
        <v>151</v>
      </c>
      <c r="G160" s="204">
        <f>IFERROR(IF(C160=1,VLOOKUP(A160,Output!$A$27:$AB$137,28,FALSE)/AnnuityMode,0),0)</f>
        <v>0</v>
      </c>
      <c r="H160" s="220">
        <f>IFERROR(IF(AND(MIN(A160&gt;25,Age+A160&gt;=85),B160=12),VLOOKUP(A160,Output!$A$27:$AE$137,31,FALSE),0),0)</f>
        <v>0</v>
      </c>
      <c r="I160" s="221">
        <f>IFERROR(IF(AND(MIN(A160&gt;15,A160+Age&gt;=70),C160=1),VLOOKUP(A160,Output!$A$27:$AF$137,32,FALSE)*VLOOKUP('SV calc_ignore'!A160,Output!$A$27:$AG$137,33,FALSE)/IF(AnnuityMode=2,2,IF(AnnuityMode=4,4,IF(AnnuityMode=12,12,1))),0),0)</f>
        <v>0</v>
      </c>
      <c r="J160" s="227">
        <f t="shared" si="25"/>
        <v>0</v>
      </c>
      <c r="K160" s="209">
        <f t="shared" si="31"/>
        <v>0</v>
      </c>
      <c r="L160" s="209">
        <f t="shared" si="26"/>
        <v>0</v>
      </c>
      <c r="M160" s="210">
        <f t="shared" si="35"/>
        <v>0</v>
      </c>
      <c r="N160" s="211">
        <f t="shared" si="32"/>
        <v>0</v>
      </c>
      <c r="O160" s="194">
        <f t="shared" si="33"/>
        <v>0</v>
      </c>
      <c r="P160" s="212">
        <f t="shared" si="27"/>
        <v>0</v>
      </c>
      <c r="Q160">
        <f t="shared" si="28"/>
        <v>2017068.5039061692</v>
      </c>
      <c r="X160" s="216">
        <f t="shared" si="34"/>
        <v>12</v>
      </c>
      <c r="Y160">
        <f t="shared" si="29"/>
        <v>0</v>
      </c>
    </row>
    <row r="161" spans="1:25" x14ac:dyDescent="0.2">
      <c r="A161" s="204">
        <f>IF(MOD(COUNT($A$10:A160),12)=0,A160+1,A160)</f>
        <v>13</v>
      </c>
      <c r="B161" s="218">
        <f t="shared" si="30"/>
        <v>8</v>
      </c>
      <c r="C161" s="218">
        <f t="shared" si="24"/>
        <v>1</v>
      </c>
      <c r="D161" s="208">
        <f>IF(MOD(COUNT($D$10:D160),6)=0,D160+1,D160)</f>
        <v>26</v>
      </c>
      <c r="E161" s="208">
        <f>IF(MOD(COUNT($E$10:E160),3)=0,E160+1,E160)</f>
        <v>51</v>
      </c>
      <c r="F161" s="208">
        <f>IF(MOD(COUNT($F$10:F160),1)=0,F160+1,F160)</f>
        <v>152</v>
      </c>
      <c r="G161" s="204">
        <f>IFERROR(IF(C161=1,VLOOKUP(A161,Output!$A$27:$AB$137,28,FALSE)/AnnuityMode,0),0)</f>
        <v>0</v>
      </c>
      <c r="H161" s="220">
        <f>IFERROR(IF(AND(MIN(A161&gt;25,Age+A161&gt;=85),B161=12),VLOOKUP(A161,Output!$A$27:$AE$137,31,FALSE),0),0)</f>
        <v>0</v>
      </c>
      <c r="I161" s="221">
        <f>IFERROR(IF(AND(MIN(A161&gt;15,A161+Age&gt;=70),C161=1),VLOOKUP(A161,Output!$A$27:$AF$137,32,FALSE)*VLOOKUP('SV calc_ignore'!A161,Output!$A$27:$AG$137,33,FALSE)/IF(AnnuityMode=2,2,IF(AnnuityMode=4,4,IF(AnnuityMode=12,12,1))),0),0)</f>
        <v>0</v>
      </c>
      <c r="J161" s="227">
        <f t="shared" si="25"/>
        <v>0</v>
      </c>
      <c r="K161" s="209">
        <f t="shared" si="31"/>
        <v>0</v>
      </c>
      <c r="L161" s="209">
        <f t="shared" si="26"/>
        <v>0</v>
      </c>
      <c r="M161" s="210">
        <f t="shared" si="35"/>
        <v>0</v>
      </c>
      <c r="N161" s="211">
        <f t="shared" si="32"/>
        <v>0</v>
      </c>
      <c r="O161" s="194">
        <f t="shared" si="33"/>
        <v>0</v>
      </c>
      <c r="P161" s="212">
        <f t="shared" si="27"/>
        <v>0</v>
      </c>
      <c r="Q161">
        <f t="shared" si="28"/>
        <v>2030827.9233242564</v>
      </c>
      <c r="X161" s="216">
        <f t="shared" si="34"/>
        <v>12</v>
      </c>
      <c r="Y161">
        <f t="shared" si="29"/>
        <v>0</v>
      </c>
    </row>
    <row r="162" spans="1:25" x14ac:dyDescent="0.2">
      <c r="A162" s="204">
        <f>IF(MOD(COUNT($A$10:A161),12)=0,A161+1,A161)</f>
        <v>13</v>
      </c>
      <c r="B162" s="218">
        <f t="shared" si="30"/>
        <v>9</v>
      </c>
      <c r="C162" s="218">
        <f t="shared" si="24"/>
        <v>1</v>
      </c>
      <c r="D162" s="208">
        <f>IF(MOD(COUNT($D$10:D161),6)=0,D161+1,D161)</f>
        <v>26</v>
      </c>
      <c r="E162" s="208">
        <f>IF(MOD(COUNT($E$10:E161),3)=0,E161+1,E161)</f>
        <v>51</v>
      </c>
      <c r="F162" s="208">
        <f>IF(MOD(COUNT($F$10:F161),1)=0,F161+1,F161)</f>
        <v>153</v>
      </c>
      <c r="G162" s="204">
        <f>IFERROR(IF(C162=1,VLOOKUP(A162,Output!$A$27:$AB$137,28,FALSE)/AnnuityMode,0),0)</f>
        <v>0</v>
      </c>
      <c r="H162" s="220">
        <f>IFERROR(IF(AND(MIN(A162&gt;25,Age+A162&gt;=85),B162=12),VLOOKUP(A162,Output!$A$27:$AE$137,31,FALSE),0),0)</f>
        <v>0</v>
      </c>
      <c r="I162" s="221">
        <f>IFERROR(IF(AND(MIN(A162&gt;15,A162+Age&gt;=70),C162=1),VLOOKUP(A162,Output!$A$27:$AF$137,32,FALSE)*VLOOKUP('SV calc_ignore'!A162,Output!$A$27:$AG$137,33,FALSE)/IF(AnnuityMode=2,2,IF(AnnuityMode=4,4,IF(AnnuityMode=12,12,1))),0),0)</f>
        <v>0</v>
      </c>
      <c r="J162" s="227">
        <f t="shared" si="25"/>
        <v>0</v>
      </c>
      <c r="K162" s="209">
        <f t="shared" si="31"/>
        <v>0</v>
      </c>
      <c r="L162" s="209">
        <f t="shared" si="26"/>
        <v>0</v>
      </c>
      <c r="M162" s="210">
        <f t="shared" si="35"/>
        <v>0</v>
      </c>
      <c r="N162" s="211">
        <f t="shared" si="32"/>
        <v>0</v>
      </c>
      <c r="O162" s="194">
        <f t="shared" si="33"/>
        <v>0</v>
      </c>
      <c r="P162" s="212">
        <f t="shared" si="27"/>
        <v>0</v>
      </c>
      <c r="Q162">
        <f t="shared" si="28"/>
        <v>2044681.2025306236</v>
      </c>
      <c r="X162" s="216">
        <f t="shared" si="34"/>
        <v>12</v>
      </c>
      <c r="Y162">
        <f t="shared" si="29"/>
        <v>0</v>
      </c>
    </row>
    <row r="163" spans="1:25" x14ac:dyDescent="0.2">
      <c r="A163" s="204">
        <f>IF(MOD(COUNT($A$10:A162),12)=0,A162+1,A162)</f>
        <v>13</v>
      </c>
      <c r="B163" s="218">
        <f t="shared" si="30"/>
        <v>10</v>
      </c>
      <c r="C163" s="218">
        <f t="shared" si="24"/>
        <v>1</v>
      </c>
      <c r="D163" s="208">
        <f>IF(MOD(COUNT($D$10:D162),6)=0,D162+1,D162)</f>
        <v>26</v>
      </c>
      <c r="E163" s="208">
        <f>IF(MOD(COUNT($E$10:E162),3)=0,E162+1,E162)</f>
        <v>52</v>
      </c>
      <c r="F163" s="208">
        <f>IF(MOD(COUNT($F$10:F162),1)=0,F162+1,F162)</f>
        <v>154</v>
      </c>
      <c r="G163" s="204">
        <f>IFERROR(IF(C163=1,VLOOKUP(A163,Output!$A$27:$AB$137,28,FALSE)/AnnuityMode,0),0)</f>
        <v>0</v>
      </c>
      <c r="H163" s="220">
        <f>IFERROR(IF(AND(MIN(A163&gt;25,Age+A163&gt;=85),B163=12),VLOOKUP(A163,Output!$A$27:$AE$137,31,FALSE),0),0)</f>
        <v>0</v>
      </c>
      <c r="I163" s="221">
        <f>IFERROR(IF(AND(MIN(A163&gt;15,A163+Age&gt;=70),C163=1),VLOOKUP(A163,Output!$A$27:$AF$137,32,FALSE)*VLOOKUP('SV calc_ignore'!A163,Output!$A$27:$AG$137,33,FALSE)/IF(AnnuityMode=2,2,IF(AnnuityMode=4,4,IF(AnnuityMode=12,12,1))),0),0)</f>
        <v>0</v>
      </c>
      <c r="J163" s="227">
        <f t="shared" si="25"/>
        <v>0</v>
      </c>
      <c r="K163" s="209">
        <f t="shared" si="31"/>
        <v>0</v>
      </c>
      <c r="L163" s="209">
        <f t="shared" si="26"/>
        <v>0</v>
      </c>
      <c r="M163" s="210">
        <f t="shared" si="35"/>
        <v>0</v>
      </c>
      <c r="N163" s="211">
        <f t="shared" si="32"/>
        <v>0</v>
      </c>
      <c r="O163" s="194">
        <f t="shared" si="33"/>
        <v>0</v>
      </c>
      <c r="P163" s="212">
        <f t="shared" si="27"/>
        <v>0</v>
      </c>
      <c r="Q163">
        <f t="shared" si="28"/>
        <v>2058628.981789194</v>
      </c>
      <c r="X163" s="216">
        <f t="shared" si="34"/>
        <v>12</v>
      </c>
      <c r="Y163">
        <f t="shared" si="29"/>
        <v>0</v>
      </c>
    </row>
    <row r="164" spans="1:25" x14ac:dyDescent="0.2">
      <c r="A164" s="204">
        <f>IF(MOD(COUNT($A$10:A163),12)=0,A163+1,A163)</f>
        <v>13</v>
      </c>
      <c r="B164" s="218">
        <f t="shared" si="30"/>
        <v>11</v>
      </c>
      <c r="C164" s="218">
        <f t="shared" si="24"/>
        <v>1</v>
      </c>
      <c r="D164" s="208">
        <f>IF(MOD(COUNT($D$10:D163),6)=0,D163+1,D163)</f>
        <v>26</v>
      </c>
      <c r="E164" s="208">
        <f>IF(MOD(COUNT($E$10:E163),3)=0,E163+1,E163)</f>
        <v>52</v>
      </c>
      <c r="F164" s="208">
        <f>IF(MOD(COUNT($F$10:F163),1)=0,F163+1,F163)</f>
        <v>155</v>
      </c>
      <c r="G164" s="204">
        <f>IFERROR(IF(C164=1,VLOOKUP(A164,Output!$A$27:$AB$137,28,FALSE)/AnnuityMode,0),0)</f>
        <v>0</v>
      </c>
      <c r="H164" s="220">
        <f>IFERROR(IF(AND(MIN(A164&gt;25,Age+A164&gt;=85),B164=12),VLOOKUP(A164,Output!$A$27:$AE$137,31,FALSE),0),0)</f>
        <v>0</v>
      </c>
      <c r="I164" s="221">
        <f>IFERROR(IF(AND(MIN(A164&gt;15,A164+Age&gt;=70),C164=1),VLOOKUP(A164,Output!$A$27:$AF$137,32,FALSE)*VLOOKUP('SV calc_ignore'!A164,Output!$A$27:$AG$137,33,FALSE)/IF(AnnuityMode=2,2,IF(AnnuityMode=4,4,IF(AnnuityMode=12,12,1))),0),0)</f>
        <v>0</v>
      </c>
      <c r="J164" s="227">
        <f t="shared" si="25"/>
        <v>0</v>
      </c>
      <c r="K164" s="209">
        <f t="shared" si="31"/>
        <v>0</v>
      </c>
      <c r="L164" s="209">
        <f t="shared" si="26"/>
        <v>0</v>
      </c>
      <c r="M164" s="210">
        <f t="shared" si="35"/>
        <v>0</v>
      </c>
      <c r="N164" s="211">
        <f t="shared" si="32"/>
        <v>0</v>
      </c>
      <c r="O164" s="194">
        <f t="shared" si="33"/>
        <v>0</v>
      </c>
      <c r="P164" s="212">
        <f t="shared" si="27"/>
        <v>0</v>
      </c>
      <c r="Q164">
        <f t="shared" si="28"/>
        <v>2072671.9057314466</v>
      </c>
      <c r="X164" s="216">
        <f t="shared" si="34"/>
        <v>12</v>
      </c>
      <c r="Y164">
        <f t="shared" si="29"/>
        <v>0</v>
      </c>
    </row>
    <row r="165" spans="1:25" x14ac:dyDescent="0.2">
      <c r="A165" s="204">
        <f>IF(MOD(COUNT($A$10:A164),12)=0,A164+1,A164)</f>
        <v>13</v>
      </c>
      <c r="B165" s="218">
        <f t="shared" si="30"/>
        <v>12</v>
      </c>
      <c r="C165" s="218">
        <f t="shared" si="24"/>
        <v>1</v>
      </c>
      <c r="D165" s="208">
        <f>IF(MOD(COUNT($D$10:D164),6)=0,D164+1,D164)</f>
        <v>26</v>
      </c>
      <c r="E165" s="208">
        <f>IF(MOD(COUNT($E$10:E164),3)=0,E164+1,E164)</f>
        <v>52</v>
      </c>
      <c r="F165" s="208">
        <f>IF(MOD(COUNT($F$10:F164),1)=0,F164+1,F164)</f>
        <v>156</v>
      </c>
      <c r="G165" s="204">
        <f>IFERROR(IF(C165=1,VLOOKUP(A165,Output!$A$27:$AB$137,28,FALSE)/AnnuityMode,0),0)</f>
        <v>0</v>
      </c>
      <c r="H165" s="220">
        <f>IFERROR(IF(AND(MIN(A165&gt;25,Age+A165&gt;=85),B165=12),VLOOKUP(A165,Output!$A$27:$AE$137,31,FALSE),0),0)</f>
        <v>0</v>
      </c>
      <c r="I165" s="221">
        <f>IFERROR(IF(AND(MIN(A165&gt;15,A165+Age&gt;=70),C165=1),VLOOKUP(A165,Output!$A$27:$AF$137,32,FALSE)*VLOOKUP('SV calc_ignore'!A165,Output!$A$27:$AG$137,33,FALSE)/IF(AnnuityMode=2,2,IF(AnnuityMode=4,4,IF(AnnuityMode=12,12,1))),0),0)</f>
        <v>0</v>
      </c>
      <c r="J165" s="227">
        <f t="shared" si="25"/>
        <v>0</v>
      </c>
      <c r="K165" s="209">
        <f t="shared" si="31"/>
        <v>0</v>
      </c>
      <c r="L165" s="209">
        <f t="shared" si="26"/>
        <v>0</v>
      </c>
      <c r="M165" s="210">
        <f t="shared" si="35"/>
        <v>0</v>
      </c>
      <c r="N165" s="211">
        <f t="shared" si="32"/>
        <v>0</v>
      </c>
      <c r="O165" s="194">
        <f t="shared" si="33"/>
        <v>0</v>
      </c>
      <c r="P165" s="212">
        <f t="shared" si="27"/>
        <v>0</v>
      </c>
      <c r="Q165">
        <f t="shared" si="28"/>
        <v>2086810.6233862101</v>
      </c>
      <c r="X165" s="216">
        <f t="shared" si="34"/>
        <v>12</v>
      </c>
      <c r="Y165">
        <f t="shared" si="29"/>
        <v>0</v>
      </c>
    </row>
    <row r="166" spans="1:25" x14ac:dyDescent="0.2">
      <c r="A166" s="204">
        <f>IF(MOD(COUNT($A$10:A165),12)=0,A165+1,A165)</f>
        <v>14</v>
      </c>
      <c r="B166" s="218">
        <f t="shared" si="30"/>
        <v>1</v>
      </c>
      <c r="C166" s="218">
        <f t="shared" si="24"/>
        <v>1</v>
      </c>
      <c r="D166" s="208">
        <f>IF(MOD(COUNT($D$10:D165),6)=0,D165+1,D165)</f>
        <v>27</v>
      </c>
      <c r="E166" s="208">
        <f>IF(MOD(COUNT($E$10:E165),3)=0,E165+1,E165)</f>
        <v>53</v>
      </c>
      <c r="F166" s="208">
        <f>IF(MOD(COUNT($F$10:F165),1)=0,F165+1,F165)</f>
        <v>157</v>
      </c>
      <c r="G166" s="204">
        <f>IFERROR(IF(C166=1,VLOOKUP(A166,Output!$A$27:$AB$137,28,FALSE)/AnnuityMode,0),0)</f>
        <v>0</v>
      </c>
      <c r="H166" s="220">
        <f>IFERROR(IF(AND(MIN(A166&gt;25,Age+A166&gt;=85),B166=12),VLOOKUP(A166,Output!$A$27:$AE$137,31,FALSE),0),0)</f>
        <v>0</v>
      </c>
      <c r="I166" s="221">
        <f>IFERROR(IF(AND(MIN(A166&gt;15,A166+Age&gt;=70),C166=1),VLOOKUP(A166,Output!$A$27:$AF$137,32,FALSE)*VLOOKUP('SV calc_ignore'!A166,Output!$A$27:$AG$137,33,FALSE)/IF(AnnuityMode=2,2,IF(AnnuityMode=4,4,IF(AnnuityMode=12,12,1))),0),0)</f>
        <v>0</v>
      </c>
      <c r="J166" s="227">
        <f t="shared" si="25"/>
        <v>0</v>
      </c>
      <c r="K166" s="209">
        <f t="shared" si="31"/>
        <v>0</v>
      </c>
      <c r="L166" s="209">
        <f t="shared" si="26"/>
        <v>0</v>
      </c>
      <c r="M166" s="210">
        <f t="shared" si="35"/>
        <v>0</v>
      </c>
      <c r="N166" s="211">
        <f t="shared" si="32"/>
        <v>0</v>
      </c>
      <c r="O166" s="194">
        <f t="shared" si="33"/>
        <v>0</v>
      </c>
      <c r="P166" s="212">
        <f t="shared" si="27"/>
        <v>0</v>
      </c>
      <c r="Q166">
        <f t="shared" si="28"/>
        <v>2101045.7882096586</v>
      </c>
      <c r="X166" s="216">
        <f t="shared" si="34"/>
        <v>13</v>
      </c>
      <c r="Y166">
        <f t="shared" si="29"/>
        <v>0</v>
      </c>
    </row>
    <row r="167" spans="1:25" x14ac:dyDescent="0.2">
      <c r="A167" s="204">
        <f>IF(MOD(COUNT($A$10:A166),12)=0,A166+1,A166)</f>
        <v>14</v>
      </c>
      <c r="B167" s="218">
        <f t="shared" si="30"/>
        <v>2</v>
      </c>
      <c r="C167" s="218">
        <f t="shared" si="24"/>
        <v>1</v>
      </c>
      <c r="D167" s="208">
        <f>IF(MOD(COUNT($D$10:D166),6)=0,D166+1,D166)</f>
        <v>27</v>
      </c>
      <c r="E167" s="208">
        <f>IF(MOD(COUNT($E$10:E166),3)=0,E166+1,E166)</f>
        <v>53</v>
      </c>
      <c r="F167" s="208">
        <f>IF(MOD(COUNT($F$10:F166),1)=0,F166+1,F166)</f>
        <v>158</v>
      </c>
      <c r="G167" s="204">
        <f>IFERROR(IF(C167=1,VLOOKUP(A167,Output!$A$27:$AB$137,28,FALSE)/AnnuityMode,0),0)</f>
        <v>0</v>
      </c>
      <c r="H167" s="220">
        <f>IFERROR(IF(AND(MIN(A167&gt;25,Age+A167&gt;=85),B167=12),VLOOKUP(A167,Output!$A$27:$AE$137,31,FALSE),0),0)</f>
        <v>0</v>
      </c>
      <c r="I167" s="221">
        <f>IFERROR(IF(AND(MIN(A167&gt;15,A167+Age&gt;=70),C167=1),VLOOKUP(A167,Output!$A$27:$AF$137,32,FALSE)*VLOOKUP('SV calc_ignore'!A167,Output!$A$27:$AG$137,33,FALSE)/IF(AnnuityMode=2,2,IF(AnnuityMode=4,4,IF(AnnuityMode=12,12,1))),0),0)</f>
        <v>0</v>
      </c>
      <c r="J167" s="227">
        <f t="shared" si="25"/>
        <v>0</v>
      </c>
      <c r="K167" s="209">
        <f t="shared" si="31"/>
        <v>0</v>
      </c>
      <c r="L167" s="209">
        <f t="shared" si="26"/>
        <v>0</v>
      </c>
      <c r="M167" s="210">
        <f t="shared" si="35"/>
        <v>0</v>
      </c>
      <c r="N167" s="211">
        <f t="shared" si="32"/>
        <v>0</v>
      </c>
      <c r="O167" s="194">
        <f t="shared" si="33"/>
        <v>0</v>
      </c>
      <c r="P167" s="212">
        <f t="shared" si="27"/>
        <v>0</v>
      </c>
      <c r="Q167">
        <f t="shared" si="28"/>
        <v>2115378.0581155135</v>
      </c>
      <c r="X167" s="216">
        <f t="shared" si="34"/>
        <v>13</v>
      </c>
      <c r="Y167">
        <f t="shared" si="29"/>
        <v>0</v>
      </c>
    </row>
    <row r="168" spans="1:25" x14ac:dyDescent="0.2">
      <c r="A168" s="204">
        <f>IF(MOD(COUNT($A$10:A167),12)=0,A167+1,A167)</f>
        <v>14</v>
      </c>
      <c r="B168" s="218">
        <f t="shared" si="30"/>
        <v>3</v>
      </c>
      <c r="C168" s="218">
        <f t="shared" si="24"/>
        <v>1</v>
      </c>
      <c r="D168" s="208">
        <f>IF(MOD(COUNT($D$10:D167),6)=0,D167+1,D167)</f>
        <v>27</v>
      </c>
      <c r="E168" s="208">
        <f>IF(MOD(COUNT($E$10:E167),3)=0,E167+1,E167)</f>
        <v>53</v>
      </c>
      <c r="F168" s="208">
        <f>IF(MOD(COUNT($F$10:F167),1)=0,F167+1,F167)</f>
        <v>159</v>
      </c>
      <c r="G168" s="204">
        <f>IFERROR(IF(C168=1,VLOOKUP(A168,Output!$A$27:$AB$137,28,FALSE)/AnnuityMode,0),0)</f>
        <v>0</v>
      </c>
      <c r="H168" s="220">
        <f>IFERROR(IF(AND(MIN(A168&gt;25,Age+A168&gt;=85),B168=12),VLOOKUP(A168,Output!$A$27:$AE$137,31,FALSE),0),0)</f>
        <v>0</v>
      </c>
      <c r="I168" s="221">
        <f>IFERROR(IF(AND(MIN(A168&gt;15,A168+Age&gt;=70),C168=1),VLOOKUP(A168,Output!$A$27:$AF$137,32,FALSE)*VLOOKUP('SV calc_ignore'!A168,Output!$A$27:$AG$137,33,FALSE)/IF(AnnuityMode=2,2,IF(AnnuityMode=4,4,IF(AnnuityMode=12,12,1))),0),0)</f>
        <v>0</v>
      </c>
      <c r="J168" s="227">
        <f t="shared" si="25"/>
        <v>0</v>
      </c>
      <c r="K168" s="209">
        <f t="shared" si="31"/>
        <v>0</v>
      </c>
      <c r="L168" s="209">
        <f t="shared" si="26"/>
        <v>0</v>
      </c>
      <c r="M168" s="210">
        <f t="shared" si="35"/>
        <v>0</v>
      </c>
      <c r="N168" s="211">
        <f t="shared" si="32"/>
        <v>0</v>
      </c>
      <c r="O168" s="194">
        <f t="shared" si="33"/>
        <v>0</v>
      </c>
      <c r="P168" s="212">
        <f t="shared" si="27"/>
        <v>0</v>
      </c>
      <c r="Q168">
        <f t="shared" si="28"/>
        <v>2129808.0955054504</v>
      </c>
      <c r="X168" s="216">
        <f t="shared" si="34"/>
        <v>13</v>
      </c>
      <c r="Y168">
        <f t="shared" si="29"/>
        <v>0</v>
      </c>
    </row>
    <row r="169" spans="1:25" x14ac:dyDescent="0.2">
      <c r="A169" s="204">
        <f>IF(MOD(COUNT($A$10:A168),12)=0,A168+1,A168)</f>
        <v>14</v>
      </c>
      <c r="B169" s="218">
        <f t="shared" si="30"/>
        <v>4</v>
      </c>
      <c r="C169" s="218">
        <f t="shared" si="24"/>
        <v>1</v>
      </c>
      <c r="D169" s="208">
        <f>IF(MOD(COUNT($D$10:D168),6)=0,D168+1,D168)</f>
        <v>27</v>
      </c>
      <c r="E169" s="208">
        <f>IF(MOD(COUNT($E$10:E168),3)=0,E168+1,E168)</f>
        <v>54</v>
      </c>
      <c r="F169" s="208">
        <f>IF(MOD(COUNT($F$10:F168),1)=0,F168+1,F168)</f>
        <v>160</v>
      </c>
      <c r="G169" s="204">
        <f>IFERROR(IF(C169=1,VLOOKUP(A169,Output!$A$27:$AB$137,28,FALSE)/AnnuityMode,0),0)</f>
        <v>0</v>
      </c>
      <c r="H169" s="220">
        <f>IFERROR(IF(AND(MIN(A169&gt;25,Age+A169&gt;=85),B169=12),VLOOKUP(A169,Output!$A$27:$AE$137,31,FALSE),0),0)</f>
        <v>0</v>
      </c>
      <c r="I169" s="221">
        <f>IFERROR(IF(AND(MIN(A169&gt;15,A169+Age&gt;=70),C169=1),VLOOKUP(A169,Output!$A$27:$AF$137,32,FALSE)*VLOOKUP('SV calc_ignore'!A169,Output!$A$27:$AG$137,33,FALSE)/IF(AnnuityMode=2,2,IF(AnnuityMode=4,4,IF(AnnuityMode=12,12,1))),0),0)</f>
        <v>0</v>
      </c>
      <c r="J169" s="227">
        <f t="shared" si="25"/>
        <v>0</v>
      </c>
      <c r="K169" s="209">
        <f t="shared" si="31"/>
        <v>0</v>
      </c>
      <c r="L169" s="209">
        <f t="shared" si="26"/>
        <v>0</v>
      </c>
      <c r="M169" s="210">
        <f t="shared" si="35"/>
        <v>0</v>
      </c>
      <c r="N169" s="211">
        <f t="shared" si="32"/>
        <v>0</v>
      </c>
      <c r="O169" s="194">
        <f t="shared" si="33"/>
        <v>0</v>
      </c>
      <c r="P169" s="212">
        <f t="shared" si="27"/>
        <v>0</v>
      </c>
      <c r="Q169">
        <f t="shared" si="28"/>
        <v>2144336.5672997134</v>
      </c>
      <c r="X169" s="216">
        <f t="shared" si="34"/>
        <v>13</v>
      </c>
      <c r="Y169">
        <f t="shared" si="29"/>
        <v>0</v>
      </c>
    </row>
    <row r="170" spans="1:25" x14ac:dyDescent="0.2">
      <c r="A170" s="204">
        <f>IF(MOD(COUNT($A$10:A169),12)=0,A169+1,A169)</f>
        <v>14</v>
      </c>
      <c r="B170" s="218">
        <f t="shared" si="30"/>
        <v>5</v>
      </c>
      <c r="C170" s="218">
        <f t="shared" si="24"/>
        <v>1</v>
      </c>
      <c r="D170" s="208">
        <f>IF(MOD(COUNT($D$10:D169),6)=0,D169+1,D169)</f>
        <v>27</v>
      </c>
      <c r="E170" s="208">
        <f>IF(MOD(COUNT($E$10:E169),3)=0,E169+1,E169)</f>
        <v>54</v>
      </c>
      <c r="F170" s="208">
        <f>IF(MOD(COUNT($F$10:F169),1)=0,F169+1,F169)</f>
        <v>161</v>
      </c>
      <c r="G170" s="204">
        <f>IFERROR(IF(C170=1,VLOOKUP(A170,Output!$A$27:$AB$137,28,FALSE)/AnnuityMode,0),0)</f>
        <v>0</v>
      </c>
      <c r="H170" s="220">
        <f>IFERROR(IF(AND(MIN(A170&gt;25,Age+A170&gt;=85),B170=12),VLOOKUP(A170,Output!$A$27:$AE$137,31,FALSE),0),0)</f>
        <v>0</v>
      </c>
      <c r="I170" s="221">
        <f>IFERROR(IF(AND(MIN(A170&gt;15,A170+Age&gt;=70),C170=1),VLOOKUP(A170,Output!$A$27:$AF$137,32,FALSE)*VLOOKUP('SV calc_ignore'!A170,Output!$A$27:$AG$137,33,FALSE)/IF(AnnuityMode=2,2,IF(AnnuityMode=4,4,IF(AnnuityMode=12,12,1))),0),0)</f>
        <v>0</v>
      </c>
      <c r="J170" s="227">
        <f t="shared" si="25"/>
        <v>0</v>
      </c>
      <c r="K170" s="209">
        <f t="shared" si="31"/>
        <v>0</v>
      </c>
      <c r="L170" s="209">
        <f t="shared" si="26"/>
        <v>0</v>
      </c>
      <c r="M170" s="210">
        <f t="shared" si="35"/>
        <v>0</v>
      </c>
      <c r="N170" s="211">
        <f t="shared" si="32"/>
        <v>0</v>
      </c>
      <c r="O170" s="194">
        <f t="shared" si="33"/>
        <v>0</v>
      </c>
      <c r="P170" s="212">
        <f t="shared" si="27"/>
        <v>0</v>
      </c>
      <c r="Q170">
        <f t="shared" si="28"/>
        <v>2158964.1449679388</v>
      </c>
      <c r="X170" s="216">
        <f t="shared" si="34"/>
        <v>13</v>
      </c>
      <c r="Y170">
        <f t="shared" si="29"/>
        <v>0</v>
      </c>
    </row>
    <row r="171" spans="1:25" x14ac:dyDescent="0.2">
      <c r="A171" s="204">
        <f>IF(MOD(COUNT($A$10:A170),12)=0,A170+1,A170)</f>
        <v>14</v>
      </c>
      <c r="B171" s="218">
        <f t="shared" si="30"/>
        <v>6</v>
      </c>
      <c r="C171" s="218">
        <f t="shared" si="24"/>
        <v>1</v>
      </c>
      <c r="D171" s="208">
        <f>IF(MOD(COUNT($D$10:D170),6)=0,D170+1,D170)</f>
        <v>27</v>
      </c>
      <c r="E171" s="208">
        <f>IF(MOD(COUNT($E$10:E170),3)=0,E170+1,E170)</f>
        <v>54</v>
      </c>
      <c r="F171" s="208">
        <f>IF(MOD(COUNT($F$10:F170),1)=0,F170+1,F170)</f>
        <v>162</v>
      </c>
      <c r="G171" s="204">
        <f>IFERROR(IF(C171=1,VLOOKUP(A171,Output!$A$27:$AB$137,28,FALSE)/AnnuityMode,0),0)</f>
        <v>0</v>
      </c>
      <c r="H171" s="220">
        <f>IFERROR(IF(AND(MIN(A171&gt;25,Age+A171&gt;=85),B171=12),VLOOKUP(A171,Output!$A$27:$AE$137,31,FALSE),0),0)</f>
        <v>0</v>
      </c>
      <c r="I171" s="221">
        <f>IFERROR(IF(AND(MIN(A171&gt;15,A171+Age&gt;=70),C171=1),VLOOKUP(A171,Output!$A$27:$AF$137,32,FALSE)*VLOOKUP('SV calc_ignore'!A171,Output!$A$27:$AG$137,33,FALSE)/IF(AnnuityMode=2,2,IF(AnnuityMode=4,4,IF(AnnuityMode=12,12,1))),0),0)</f>
        <v>0</v>
      </c>
      <c r="J171" s="227">
        <f t="shared" si="25"/>
        <v>0</v>
      </c>
      <c r="K171" s="209">
        <f t="shared" si="31"/>
        <v>0</v>
      </c>
      <c r="L171" s="209">
        <f t="shared" si="26"/>
        <v>0</v>
      </c>
      <c r="M171" s="210">
        <f t="shared" si="35"/>
        <v>0</v>
      </c>
      <c r="N171" s="211">
        <f t="shared" si="32"/>
        <v>0</v>
      </c>
      <c r="O171" s="194">
        <f t="shared" si="33"/>
        <v>0</v>
      </c>
      <c r="P171" s="212">
        <f t="shared" si="27"/>
        <v>0</v>
      </c>
      <c r="Q171">
        <f t="shared" si="28"/>
        <v>2173691.5045601879</v>
      </c>
      <c r="X171" s="216">
        <f t="shared" si="34"/>
        <v>13</v>
      </c>
      <c r="Y171">
        <f t="shared" si="29"/>
        <v>0</v>
      </c>
    </row>
    <row r="172" spans="1:25" x14ac:dyDescent="0.2">
      <c r="A172" s="204">
        <f>IF(MOD(COUNT($A$10:A171),12)=0,A171+1,A171)</f>
        <v>14</v>
      </c>
      <c r="B172" s="218">
        <f t="shared" si="30"/>
        <v>7</v>
      </c>
      <c r="C172" s="218">
        <f t="shared" si="24"/>
        <v>1</v>
      </c>
      <c r="D172" s="208">
        <f>IF(MOD(COUNT($D$10:D171),6)=0,D171+1,D171)</f>
        <v>28</v>
      </c>
      <c r="E172" s="208">
        <f>IF(MOD(COUNT($E$10:E171),3)=0,E171+1,E171)</f>
        <v>55</v>
      </c>
      <c r="F172" s="208">
        <f>IF(MOD(COUNT($F$10:F171),1)=0,F171+1,F171)</f>
        <v>163</v>
      </c>
      <c r="G172" s="204">
        <f>IFERROR(IF(C172=1,VLOOKUP(A172,Output!$A$27:$AB$137,28,FALSE)/AnnuityMode,0),0)</f>
        <v>0</v>
      </c>
      <c r="H172" s="220">
        <f>IFERROR(IF(AND(MIN(A172&gt;25,Age+A172&gt;=85),B172=12),VLOOKUP(A172,Output!$A$27:$AE$137,31,FALSE),0),0)</f>
        <v>0</v>
      </c>
      <c r="I172" s="221">
        <f>IFERROR(IF(AND(MIN(A172&gt;15,A172+Age&gt;=70),C172=1),VLOOKUP(A172,Output!$A$27:$AF$137,32,FALSE)*VLOOKUP('SV calc_ignore'!A172,Output!$A$27:$AG$137,33,FALSE)/IF(AnnuityMode=2,2,IF(AnnuityMode=4,4,IF(AnnuityMode=12,12,1))),0),0)</f>
        <v>0</v>
      </c>
      <c r="J172" s="227">
        <f t="shared" si="25"/>
        <v>0</v>
      </c>
      <c r="K172" s="209">
        <f t="shared" si="31"/>
        <v>0</v>
      </c>
      <c r="L172" s="209">
        <f t="shared" si="26"/>
        <v>0</v>
      </c>
      <c r="M172" s="210">
        <f t="shared" si="35"/>
        <v>0</v>
      </c>
      <c r="N172" s="211">
        <f t="shared" si="32"/>
        <v>0</v>
      </c>
      <c r="O172" s="194">
        <f t="shared" si="33"/>
        <v>0</v>
      </c>
      <c r="P172" s="212">
        <f t="shared" si="27"/>
        <v>0</v>
      </c>
      <c r="Q172">
        <f t="shared" si="28"/>
        <v>2188519.3267381936</v>
      </c>
      <c r="X172" s="216">
        <f t="shared" si="34"/>
        <v>13</v>
      </c>
      <c r="Y172">
        <f t="shared" si="29"/>
        <v>0</v>
      </c>
    </row>
    <row r="173" spans="1:25" x14ac:dyDescent="0.2">
      <c r="A173" s="204">
        <f>IF(MOD(COUNT($A$10:A172),12)=0,A172+1,A172)</f>
        <v>14</v>
      </c>
      <c r="B173" s="218">
        <f t="shared" si="30"/>
        <v>8</v>
      </c>
      <c r="C173" s="218">
        <f t="shared" si="24"/>
        <v>1</v>
      </c>
      <c r="D173" s="208">
        <f>IF(MOD(COUNT($D$10:D172),6)=0,D172+1,D172)</f>
        <v>28</v>
      </c>
      <c r="E173" s="208">
        <f>IF(MOD(COUNT($E$10:E172),3)=0,E172+1,E172)</f>
        <v>55</v>
      </c>
      <c r="F173" s="208">
        <f>IF(MOD(COUNT($F$10:F172),1)=0,F172+1,F172)</f>
        <v>164</v>
      </c>
      <c r="G173" s="204">
        <f>IFERROR(IF(C173=1,VLOOKUP(A173,Output!$A$27:$AB$137,28,FALSE)/AnnuityMode,0),0)</f>
        <v>0</v>
      </c>
      <c r="H173" s="220">
        <f>IFERROR(IF(AND(MIN(A173&gt;25,Age+A173&gt;=85),B173=12),VLOOKUP(A173,Output!$A$27:$AE$137,31,FALSE),0),0)</f>
        <v>0</v>
      </c>
      <c r="I173" s="221">
        <f>IFERROR(IF(AND(MIN(A173&gt;15,A173+Age&gt;=70),C173=1),VLOOKUP(A173,Output!$A$27:$AF$137,32,FALSE)*VLOOKUP('SV calc_ignore'!A173,Output!$A$27:$AG$137,33,FALSE)/IF(AnnuityMode=2,2,IF(AnnuityMode=4,4,IF(AnnuityMode=12,12,1))),0),0)</f>
        <v>0</v>
      </c>
      <c r="J173" s="227">
        <f t="shared" si="25"/>
        <v>0</v>
      </c>
      <c r="K173" s="209">
        <f t="shared" si="31"/>
        <v>0</v>
      </c>
      <c r="L173" s="209">
        <f t="shared" si="26"/>
        <v>0</v>
      </c>
      <c r="M173" s="210">
        <f t="shared" si="35"/>
        <v>0</v>
      </c>
      <c r="N173" s="211">
        <f t="shared" si="32"/>
        <v>0</v>
      </c>
      <c r="O173" s="194">
        <f t="shared" si="33"/>
        <v>0</v>
      </c>
      <c r="P173" s="212">
        <f t="shared" si="27"/>
        <v>0</v>
      </c>
      <c r="Q173">
        <f t="shared" si="28"/>
        <v>2203448.2968068183</v>
      </c>
      <c r="X173" s="216">
        <f t="shared" si="34"/>
        <v>13</v>
      </c>
      <c r="Y173">
        <f t="shared" si="29"/>
        <v>0</v>
      </c>
    </row>
    <row r="174" spans="1:25" x14ac:dyDescent="0.2">
      <c r="A174" s="204">
        <f>IF(MOD(COUNT($A$10:A173),12)=0,A173+1,A173)</f>
        <v>14</v>
      </c>
      <c r="B174" s="218">
        <f t="shared" si="30"/>
        <v>9</v>
      </c>
      <c r="C174" s="218">
        <f t="shared" si="24"/>
        <v>1</v>
      </c>
      <c r="D174" s="208">
        <f>IF(MOD(COUNT($D$10:D173),6)=0,D173+1,D173)</f>
        <v>28</v>
      </c>
      <c r="E174" s="208">
        <f>IF(MOD(COUNT($E$10:E173),3)=0,E173+1,E173)</f>
        <v>55</v>
      </c>
      <c r="F174" s="208">
        <f>IF(MOD(COUNT($F$10:F173),1)=0,F173+1,F173)</f>
        <v>165</v>
      </c>
      <c r="G174" s="204">
        <f>IFERROR(IF(C174=1,VLOOKUP(A174,Output!$A$27:$AB$137,28,FALSE)/AnnuityMode,0),0)</f>
        <v>0</v>
      </c>
      <c r="H174" s="220">
        <f>IFERROR(IF(AND(MIN(A174&gt;25,Age+A174&gt;=85),B174=12),VLOOKUP(A174,Output!$A$27:$AE$137,31,FALSE),0),0)</f>
        <v>0</v>
      </c>
      <c r="I174" s="221">
        <f>IFERROR(IF(AND(MIN(A174&gt;15,A174+Age&gt;=70),C174=1),VLOOKUP(A174,Output!$A$27:$AF$137,32,FALSE)*VLOOKUP('SV calc_ignore'!A174,Output!$A$27:$AG$137,33,FALSE)/IF(AnnuityMode=2,2,IF(AnnuityMode=4,4,IF(AnnuityMode=12,12,1))),0),0)</f>
        <v>0</v>
      </c>
      <c r="J174" s="227">
        <f t="shared" si="25"/>
        <v>0</v>
      </c>
      <c r="K174" s="209">
        <f t="shared" si="31"/>
        <v>0</v>
      </c>
      <c r="L174" s="209">
        <f t="shared" si="26"/>
        <v>0</v>
      </c>
      <c r="M174" s="210">
        <f t="shared" si="35"/>
        <v>0</v>
      </c>
      <c r="N174" s="211">
        <f t="shared" si="32"/>
        <v>0</v>
      </c>
      <c r="O174" s="194">
        <f t="shared" si="33"/>
        <v>0</v>
      </c>
      <c r="P174" s="212">
        <f t="shared" si="27"/>
        <v>0</v>
      </c>
      <c r="Q174">
        <f t="shared" si="28"/>
        <v>2218479.104745727</v>
      </c>
      <c r="X174" s="216">
        <f t="shared" si="34"/>
        <v>13</v>
      </c>
      <c r="Y174">
        <f t="shared" si="29"/>
        <v>0</v>
      </c>
    </row>
    <row r="175" spans="1:25" x14ac:dyDescent="0.2">
      <c r="A175" s="204">
        <f>IF(MOD(COUNT($A$10:A174),12)=0,A174+1,A174)</f>
        <v>14</v>
      </c>
      <c r="B175" s="218">
        <f t="shared" si="30"/>
        <v>10</v>
      </c>
      <c r="C175" s="218">
        <f t="shared" si="24"/>
        <v>1</v>
      </c>
      <c r="D175" s="208">
        <f>IF(MOD(COUNT($D$10:D174),6)=0,D174+1,D174)</f>
        <v>28</v>
      </c>
      <c r="E175" s="208">
        <f>IF(MOD(COUNT($E$10:E174),3)=0,E174+1,E174)</f>
        <v>56</v>
      </c>
      <c r="F175" s="208">
        <f>IF(MOD(COUNT($F$10:F174),1)=0,F174+1,F174)</f>
        <v>166</v>
      </c>
      <c r="G175" s="204">
        <f>IFERROR(IF(C175=1,VLOOKUP(A175,Output!$A$27:$AB$137,28,FALSE)/AnnuityMode,0),0)</f>
        <v>0</v>
      </c>
      <c r="H175" s="220">
        <f>IFERROR(IF(AND(MIN(A175&gt;25,Age+A175&gt;=85),B175=12),VLOOKUP(A175,Output!$A$27:$AE$137,31,FALSE),0),0)</f>
        <v>0</v>
      </c>
      <c r="I175" s="221">
        <f>IFERROR(IF(AND(MIN(A175&gt;15,A175+Age&gt;=70),C175=1),VLOOKUP(A175,Output!$A$27:$AF$137,32,FALSE)*VLOOKUP('SV calc_ignore'!A175,Output!$A$27:$AG$137,33,FALSE)/IF(AnnuityMode=2,2,IF(AnnuityMode=4,4,IF(AnnuityMode=12,12,1))),0),0)</f>
        <v>0</v>
      </c>
      <c r="J175" s="227">
        <f t="shared" si="25"/>
        <v>0</v>
      </c>
      <c r="K175" s="209">
        <f t="shared" si="31"/>
        <v>0</v>
      </c>
      <c r="L175" s="209">
        <f t="shared" si="26"/>
        <v>0</v>
      </c>
      <c r="M175" s="210">
        <f t="shared" si="35"/>
        <v>0</v>
      </c>
      <c r="N175" s="211">
        <f t="shared" si="32"/>
        <v>0</v>
      </c>
      <c r="O175" s="194">
        <f t="shared" si="33"/>
        <v>0</v>
      </c>
      <c r="P175" s="212">
        <f t="shared" si="27"/>
        <v>0</v>
      </c>
      <c r="Q175">
        <f t="shared" si="28"/>
        <v>2233612.4452412757</v>
      </c>
      <c r="X175" s="216">
        <f t="shared" si="34"/>
        <v>13</v>
      </c>
      <c r="Y175">
        <f t="shared" si="29"/>
        <v>0</v>
      </c>
    </row>
    <row r="176" spans="1:25" x14ac:dyDescent="0.2">
      <c r="A176" s="204">
        <f>IF(MOD(COUNT($A$10:A175),12)=0,A175+1,A175)</f>
        <v>14</v>
      </c>
      <c r="B176" s="218">
        <f t="shared" si="30"/>
        <v>11</v>
      </c>
      <c r="C176" s="218">
        <f t="shared" si="24"/>
        <v>1</v>
      </c>
      <c r="D176" s="208">
        <f>IF(MOD(COUNT($D$10:D175),6)=0,D175+1,D175)</f>
        <v>28</v>
      </c>
      <c r="E176" s="208">
        <f>IF(MOD(COUNT($E$10:E175),3)=0,E175+1,E175)</f>
        <v>56</v>
      </c>
      <c r="F176" s="208">
        <f>IF(MOD(COUNT($F$10:F175),1)=0,F175+1,F175)</f>
        <v>167</v>
      </c>
      <c r="G176" s="204">
        <f>IFERROR(IF(C176=1,VLOOKUP(A176,Output!$A$27:$AB$137,28,FALSE)/AnnuityMode,0),0)</f>
        <v>0</v>
      </c>
      <c r="H176" s="220">
        <f>IFERROR(IF(AND(MIN(A176&gt;25,Age+A176&gt;=85),B176=12),VLOOKUP(A176,Output!$A$27:$AE$137,31,FALSE),0),0)</f>
        <v>0</v>
      </c>
      <c r="I176" s="221">
        <f>IFERROR(IF(AND(MIN(A176&gt;15,A176+Age&gt;=70),C176=1),VLOOKUP(A176,Output!$A$27:$AF$137,32,FALSE)*VLOOKUP('SV calc_ignore'!A176,Output!$A$27:$AG$137,33,FALSE)/IF(AnnuityMode=2,2,IF(AnnuityMode=4,4,IF(AnnuityMode=12,12,1))),0),0)</f>
        <v>0</v>
      </c>
      <c r="J176" s="227">
        <f t="shared" si="25"/>
        <v>0</v>
      </c>
      <c r="K176" s="209">
        <f t="shared" si="31"/>
        <v>0</v>
      </c>
      <c r="L176" s="209">
        <f t="shared" si="26"/>
        <v>0</v>
      </c>
      <c r="M176" s="210">
        <f t="shared" si="35"/>
        <v>0</v>
      </c>
      <c r="N176" s="211">
        <f t="shared" si="32"/>
        <v>0</v>
      </c>
      <c r="O176" s="194">
        <f t="shared" si="33"/>
        <v>0</v>
      </c>
      <c r="P176" s="212">
        <f t="shared" si="27"/>
        <v>0</v>
      </c>
      <c r="Q176">
        <f t="shared" si="28"/>
        <v>2248849.0177186197</v>
      </c>
      <c r="X176" s="216">
        <f t="shared" si="34"/>
        <v>13</v>
      </c>
      <c r="Y176">
        <f t="shared" si="29"/>
        <v>0</v>
      </c>
    </row>
    <row r="177" spans="1:25" x14ac:dyDescent="0.2">
      <c r="A177" s="204">
        <f>IF(MOD(COUNT($A$10:A176),12)=0,A176+1,A176)</f>
        <v>14</v>
      </c>
      <c r="B177" s="218">
        <f t="shared" si="30"/>
        <v>12</v>
      </c>
      <c r="C177" s="218">
        <f t="shared" si="24"/>
        <v>1</v>
      </c>
      <c r="D177" s="208">
        <f>IF(MOD(COUNT($D$10:D176),6)=0,D176+1,D176)</f>
        <v>28</v>
      </c>
      <c r="E177" s="208">
        <f>IF(MOD(COUNT($E$10:E176),3)=0,E176+1,E176)</f>
        <v>56</v>
      </c>
      <c r="F177" s="208">
        <f>IF(MOD(COUNT($F$10:F176),1)=0,F176+1,F176)</f>
        <v>168</v>
      </c>
      <c r="G177" s="204">
        <f>IFERROR(IF(C177=1,VLOOKUP(A177,Output!$A$27:$AB$137,28,FALSE)/AnnuityMode,0),0)</f>
        <v>0</v>
      </c>
      <c r="H177" s="220">
        <f>IFERROR(IF(AND(MIN(A177&gt;25,Age+A177&gt;=85),B177=12),VLOOKUP(A177,Output!$A$27:$AE$137,31,FALSE),0),0)</f>
        <v>0</v>
      </c>
      <c r="I177" s="221">
        <f>IFERROR(IF(AND(MIN(A177&gt;15,A177+Age&gt;=70),C177=1),VLOOKUP(A177,Output!$A$27:$AF$137,32,FALSE)*VLOOKUP('SV calc_ignore'!A177,Output!$A$27:$AG$137,33,FALSE)/IF(AnnuityMode=2,2,IF(AnnuityMode=4,4,IF(AnnuityMode=12,12,1))),0),0)</f>
        <v>0</v>
      </c>
      <c r="J177" s="227">
        <f t="shared" si="25"/>
        <v>0</v>
      </c>
      <c r="K177" s="209">
        <f t="shared" si="31"/>
        <v>0</v>
      </c>
      <c r="L177" s="209">
        <f t="shared" si="26"/>
        <v>0</v>
      </c>
      <c r="M177" s="210">
        <f t="shared" si="35"/>
        <v>0</v>
      </c>
      <c r="N177" s="211">
        <f t="shared" si="32"/>
        <v>0</v>
      </c>
      <c r="O177" s="194">
        <f t="shared" si="33"/>
        <v>0</v>
      </c>
      <c r="P177" s="212">
        <f t="shared" si="27"/>
        <v>0</v>
      </c>
      <c r="Q177">
        <f t="shared" si="28"/>
        <v>2264189.5263740378</v>
      </c>
      <c r="X177" s="216">
        <f t="shared" si="34"/>
        <v>13</v>
      </c>
      <c r="Y177">
        <f t="shared" si="29"/>
        <v>0</v>
      </c>
    </row>
    <row r="178" spans="1:25" x14ac:dyDescent="0.2">
      <c r="A178" s="204">
        <f>IF(MOD(COUNT($A$10:A177),12)=0,A177+1,A177)</f>
        <v>15</v>
      </c>
      <c r="B178" s="218">
        <f t="shared" si="30"/>
        <v>1</v>
      </c>
      <c r="C178" s="218">
        <f t="shared" si="24"/>
        <v>1</v>
      </c>
      <c r="D178" s="208">
        <f>IF(MOD(COUNT($D$10:D177),6)=0,D177+1,D177)</f>
        <v>29</v>
      </c>
      <c r="E178" s="208">
        <f>IF(MOD(COUNT($E$10:E177),3)=0,E177+1,E177)</f>
        <v>57</v>
      </c>
      <c r="F178" s="208">
        <f>IF(MOD(COUNT($F$10:F177),1)=0,F177+1,F177)</f>
        <v>169</v>
      </c>
      <c r="G178" s="204">
        <f>IFERROR(IF(C178=1,VLOOKUP(A178,Output!$A$27:$AB$137,28,FALSE)/AnnuityMode,0),0)</f>
        <v>0</v>
      </c>
      <c r="H178" s="220">
        <f>IFERROR(IF(AND(MIN(A178&gt;25,Age+A178&gt;=85),B178=12),VLOOKUP(A178,Output!$A$27:$AE$137,31,FALSE),0),0)</f>
        <v>0</v>
      </c>
      <c r="I178" s="221">
        <f>IFERROR(IF(AND(MIN(A178&gt;15,A178+Age&gt;=70),C178=1),VLOOKUP(A178,Output!$A$27:$AF$137,32,FALSE)*VLOOKUP('SV calc_ignore'!A178,Output!$A$27:$AG$137,33,FALSE)/IF(AnnuityMode=2,2,IF(AnnuityMode=4,4,IF(AnnuityMode=12,12,1))),0),0)</f>
        <v>0</v>
      </c>
      <c r="J178" s="227">
        <f t="shared" si="25"/>
        <v>0</v>
      </c>
      <c r="K178" s="209">
        <f t="shared" si="31"/>
        <v>0</v>
      </c>
      <c r="L178" s="209">
        <f t="shared" si="26"/>
        <v>0</v>
      </c>
      <c r="M178" s="210">
        <f t="shared" si="35"/>
        <v>0</v>
      </c>
      <c r="N178" s="211">
        <f t="shared" si="32"/>
        <v>0</v>
      </c>
      <c r="O178" s="194">
        <f t="shared" si="33"/>
        <v>0</v>
      </c>
      <c r="P178" s="212">
        <f t="shared" si="27"/>
        <v>0</v>
      </c>
      <c r="Q178">
        <f t="shared" si="28"/>
        <v>2279634.6802074797</v>
      </c>
      <c r="X178" s="216">
        <f t="shared" si="34"/>
        <v>14</v>
      </c>
      <c r="Y178">
        <f t="shared" si="29"/>
        <v>0</v>
      </c>
    </row>
    <row r="179" spans="1:25" x14ac:dyDescent="0.2">
      <c r="A179" s="204">
        <f>IF(MOD(COUNT($A$10:A178),12)=0,A178+1,A178)</f>
        <v>15</v>
      </c>
      <c r="B179" s="218">
        <f t="shared" si="30"/>
        <v>2</v>
      </c>
      <c r="C179" s="218">
        <f t="shared" si="24"/>
        <v>1</v>
      </c>
      <c r="D179" s="208">
        <f>IF(MOD(COUNT($D$10:D178),6)=0,D178+1,D178)</f>
        <v>29</v>
      </c>
      <c r="E179" s="208">
        <f>IF(MOD(COUNT($E$10:E178),3)=0,E178+1,E178)</f>
        <v>57</v>
      </c>
      <c r="F179" s="208">
        <f>IF(MOD(COUNT($F$10:F178),1)=0,F178+1,F178)</f>
        <v>170</v>
      </c>
      <c r="G179" s="204">
        <f>IFERROR(IF(C179=1,VLOOKUP(A179,Output!$A$27:$AB$137,28,FALSE)/AnnuityMode,0),0)</f>
        <v>0</v>
      </c>
      <c r="H179" s="220">
        <f>IFERROR(IF(AND(MIN(A179&gt;25,Age+A179&gt;=85),B179=12),VLOOKUP(A179,Output!$A$27:$AE$137,31,FALSE),0),0)</f>
        <v>0</v>
      </c>
      <c r="I179" s="221">
        <f>IFERROR(IF(AND(MIN(A179&gt;15,A179+Age&gt;=70),C179=1),VLOOKUP(A179,Output!$A$27:$AF$137,32,FALSE)*VLOOKUP('SV calc_ignore'!A179,Output!$A$27:$AG$137,33,FALSE)/IF(AnnuityMode=2,2,IF(AnnuityMode=4,4,IF(AnnuityMode=12,12,1))),0),0)</f>
        <v>0</v>
      </c>
      <c r="J179" s="227">
        <f t="shared" si="25"/>
        <v>0</v>
      </c>
      <c r="K179" s="209">
        <f t="shared" si="31"/>
        <v>0</v>
      </c>
      <c r="L179" s="209">
        <f t="shared" si="26"/>
        <v>0</v>
      </c>
      <c r="M179" s="210">
        <f t="shared" si="35"/>
        <v>0</v>
      </c>
      <c r="N179" s="211">
        <f t="shared" si="32"/>
        <v>0</v>
      </c>
      <c r="O179" s="194">
        <f t="shared" si="33"/>
        <v>0</v>
      </c>
      <c r="P179" s="212">
        <f t="shared" si="27"/>
        <v>0</v>
      </c>
      <c r="Q179">
        <f t="shared" si="28"/>
        <v>2295185.1930553326</v>
      </c>
      <c r="X179" s="216">
        <f t="shared" si="34"/>
        <v>14</v>
      </c>
      <c r="Y179">
        <f t="shared" si="29"/>
        <v>0</v>
      </c>
    </row>
    <row r="180" spans="1:25" x14ac:dyDescent="0.2">
      <c r="A180" s="204">
        <f>IF(MOD(COUNT($A$10:A179),12)=0,A179+1,A179)</f>
        <v>15</v>
      </c>
      <c r="B180" s="218">
        <f t="shared" si="30"/>
        <v>3</v>
      </c>
      <c r="C180" s="218">
        <f t="shared" si="24"/>
        <v>1</v>
      </c>
      <c r="D180" s="208">
        <f>IF(MOD(COUNT($D$10:D179),6)=0,D179+1,D179)</f>
        <v>29</v>
      </c>
      <c r="E180" s="208">
        <f>IF(MOD(COUNT($E$10:E179),3)=0,E179+1,E179)</f>
        <v>57</v>
      </c>
      <c r="F180" s="208">
        <f>IF(MOD(COUNT($F$10:F179),1)=0,F179+1,F179)</f>
        <v>171</v>
      </c>
      <c r="G180" s="204">
        <f>IFERROR(IF(C180=1,VLOOKUP(A180,Output!$A$27:$AB$137,28,FALSE)/AnnuityMode,0),0)</f>
        <v>0</v>
      </c>
      <c r="H180" s="220">
        <f>IFERROR(IF(AND(MIN(A180&gt;25,Age+A180&gt;=85),B180=12),VLOOKUP(A180,Output!$A$27:$AE$137,31,FALSE),0),0)</f>
        <v>0</v>
      </c>
      <c r="I180" s="221">
        <f>IFERROR(IF(AND(MIN(A180&gt;15,A180+Age&gt;=70),C180=1),VLOOKUP(A180,Output!$A$27:$AF$137,32,FALSE)*VLOOKUP('SV calc_ignore'!A180,Output!$A$27:$AG$137,33,FALSE)/IF(AnnuityMode=2,2,IF(AnnuityMode=4,4,IF(AnnuityMode=12,12,1))),0),0)</f>
        <v>0</v>
      </c>
      <c r="J180" s="227">
        <f t="shared" si="25"/>
        <v>0</v>
      </c>
      <c r="K180" s="209">
        <f t="shared" si="31"/>
        <v>0</v>
      </c>
      <c r="L180" s="209">
        <f t="shared" si="26"/>
        <v>0</v>
      </c>
      <c r="M180" s="210">
        <f t="shared" si="35"/>
        <v>0</v>
      </c>
      <c r="N180" s="211">
        <f t="shared" si="32"/>
        <v>0</v>
      </c>
      <c r="O180" s="194">
        <f t="shared" si="33"/>
        <v>0</v>
      </c>
      <c r="P180" s="212">
        <f t="shared" si="27"/>
        <v>0</v>
      </c>
      <c r="Q180">
        <f t="shared" si="28"/>
        <v>2310841.7836234146</v>
      </c>
      <c r="X180" s="216">
        <f t="shared" si="34"/>
        <v>14</v>
      </c>
      <c r="Y180">
        <f t="shared" si="29"/>
        <v>0</v>
      </c>
    </row>
    <row r="181" spans="1:25" x14ac:dyDescent="0.2">
      <c r="A181" s="204">
        <f>IF(MOD(COUNT($A$10:A180),12)=0,A180+1,A180)</f>
        <v>15</v>
      </c>
      <c r="B181" s="218">
        <f t="shared" si="30"/>
        <v>4</v>
      </c>
      <c r="C181" s="218">
        <f t="shared" si="24"/>
        <v>1</v>
      </c>
      <c r="D181" s="208">
        <f>IF(MOD(COUNT($D$10:D180),6)=0,D180+1,D180)</f>
        <v>29</v>
      </c>
      <c r="E181" s="208">
        <f>IF(MOD(COUNT($E$10:E180),3)=0,E180+1,E180)</f>
        <v>58</v>
      </c>
      <c r="F181" s="208">
        <f>IF(MOD(COUNT($F$10:F180),1)=0,F180+1,F180)</f>
        <v>172</v>
      </c>
      <c r="G181" s="204">
        <f>IFERROR(IF(C181=1,VLOOKUP(A181,Output!$A$27:$AB$137,28,FALSE)/AnnuityMode,0),0)</f>
        <v>0</v>
      </c>
      <c r="H181" s="220">
        <f>IFERROR(IF(AND(MIN(A181&gt;25,Age+A181&gt;=85),B181=12),VLOOKUP(A181,Output!$A$27:$AE$137,31,FALSE),0),0)</f>
        <v>0</v>
      </c>
      <c r="I181" s="221">
        <f>IFERROR(IF(AND(MIN(A181&gt;15,A181+Age&gt;=70),C181=1),VLOOKUP(A181,Output!$A$27:$AF$137,32,FALSE)*VLOOKUP('SV calc_ignore'!A181,Output!$A$27:$AG$137,33,FALSE)/IF(AnnuityMode=2,2,IF(AnnuityMode=4,4,IF(AnnuityMode=12,12,1))),0),0)</f>
        <v>0</v>
      </c>
      <c r="J181" s="227">
        <f t="shared" si="25"/>
        <v>0</v>
      </c>
      <c r="K181" s="209">
        <f t="shared" si="31"/>
        <v>0</v>
      </c>
      <c r="L181" s="209">
        <f t="shared" si="26"/>
        <v>0</v>
      </c>
      <c r="M181" s="210">
        <f t="shared" si="35"/>
        <v>0</v>
      </c>
      <c r="N181" s="211">
        <f t="shared" si="32"/>
        <v>0</v>
      </c>
      <c r="O181" s="194">
        <f t="shared" si="33"/>
        <v>0</v>
      </c>
      <c r="P181" s="212">
        <f t="shared" si="27"/>
        <v>0</v>
      </c>
      <c r="Q181">
        <f t="shared" si="28"/>
        <v>2326605.17552019</v>
      </c>
      <c r="X181" s="216">
        <f t="shared" si="34"/>
        <v>14</v>
      </c>
      <c r="Y181">
        <f t="shared" si="29"/>
        <v>0</v>
      </c>
    </row>
    <row r="182" spans="1:25" x14ac:dyDescent="0.2">
      <c r="A182" s="204">
        <f>IF(MOD(COUNT($A$10:A181),12)=0,A181+1,A181)</f>
        <v>15</v>
      </c>
      <c r="B182" s="218">
        <f t="shared" si="30"/>
        <v>5</v>
      </c>
      <c r="C182" s="218">
        <f t="shared" si="24"/>
        <v>1</v>
      </c>
      <c r="D182" s="208">
        <f>IF(MOD(COUNT($D$10:D181),6)=0,D181+1,D181)</f>
        <v>29</v>
      </c>
      <c r="E182" s="208">
        <f>IF(MOD(COUNT($E$10:E181),3)=0,E181+1,E181)</f>
        <v>58</v>
      </c>
      <c r="F182" s="208">
        <f>IF(MOD(COUNT($F$10:F181),1)=0,F181+1,F181)</f>
        <v>173</v>
      </c>
      <c r="G182" s="204">
        <f>IFERROR(IF(C182=1,VLOOKUP(A182,Output!$A$27:$AB$137,28,FALSE)/AnnuityMode,0),0)</f>
        <v>0</v>
      </c>
      <c r="H182" s="220">
        <f>IFERROR(IF(AND(MIN(A182&gt;25,Age+A182&gt;=85),B182=12),VLOOKUP(A182,Output!$A$27:$AE$137,31,FALSE),0),0)</f>
        <v>0</v>
      </c>
      <c r="I182" s="221">
        <f>IFERROR(IF(AND(MIN(A182&gt;15,A182+Age&gt;=70),C182=1),VLOOKUP(A182,Output!$A$27:$AF$137,32,FALSE)*VLOOKUP('SV calc_ignore'!A182,Output!$A$27:$AG$137,33,FALSE)/IF(AnnuityMode=2,2,IF(AnnuityMode=4,4,IF(AnnuityMode=12,12,1))),0),0)</f>
        <v>0</v>
      </c>
      <c r="J182" s="227">
        <f t="shared" si="25"/>
        <v>0</v>
      </c>
      <c r="K182" s="209">
        <f t="shared" si="31"/>
        <v>0</v>
      </c>
      <c r="L182" s="209">
        <f t="shared" si="26"/>
        <v>0</v>
      </c>
      <c r="M182" s="210">
        <f t="shared" si="35"/>
        <v>0</v>
      </c>
      <c r="N182" s="211">
        <f t="shared" si="32"/>
        <v>0</v>
      </c>
      <c r="O182" s="194">
        <f t="shared" si="33"/>
        <v>0</v>
      </c>
      <c r="P182" s="212">
        <f t="shared" si="27"/>
        <v>0</v>
      </c>
      <c r="Q182">
        <f t="shared" si="28"/>
        <v>2342476.0972902146</v>
      </c>
      <c r="X182" s="216">
        <f t="shared" si="34"/>
        <v>14</v>
      </c>
      <c r="Y182">
        <f t="shared" si="29"/>
        <v>0</v>
      </c>
    </row>
    <row r="183" spans="1:25" x14ac:dyDescent="0.2">
      <c r="A183" s="204">
        <f>IF(MOD(COUNT($A$10:A182),12)=0,A182+1,A182)</f>
        <v>15</v>
      </c>
      <c r="B183" s="218">
        <f t="shared" si="30"/>
        <v>6</v>
      </c>
      <c r="C183" s="218">
        <f t="shared" si="24"/>
        <v>1</v>
      </c>
      <c r="D183" s="208">
        <f>IF(MOD(COUNT($D$10:D182),6)=0,D182+1,D182)</f>
        <v>29</v>
      </c>
      <c r="E183" s="208">
        <f>IF(MOD(COUNT($E$10:E182),3)=0,E182+1,E182)</f>
        <v>58</v>
      </c>
      <c r="F183" s="208">
        <f>IF(MOD(COUNT($F$10:F182),1)=0,F182+1,F182)</f>
        <v>174</v>
      </c>
      <c r="G183" s="204">
        <f>IFERROR(IF(C183=1,VLOOKUP(A183,Output!$A$27:$AB$137,28,FALSE)/AnnuityMode,0),0)</f>
        <v>0</v>
      </c>
      <c r="H183" s="220">
        <f>IFERROR(IF(AND(MIN(A183&gt;25,Age+A183&gt;=85),B183=12),VLOOKUP(A183,Output!$A$27:$AE$137,31,FALSE),0),0)</f>
        <v>0</v>
      </c>
      <c r="I183" s="221">
        <f>IFERROR(IF(AND(MIN(A183&gt;15,A183+Age&gt;=70),C183=1),VLOOKUP(A183,Output!$A$27:$AF$137,32,FALSE)*VLOOKUP('SV calc_ignore'!A183,Output!$A$27:$AG$137,33,FALSE)/IF(AnnuityMode=2,2,IF(AnnuityMode=4,4,IF(AnnuityMode=12,12,1))),0),0)</f>
        <v>0</v>
      </c>
      <c r="J183" s="227">
        <f t="shared" si="25"/>
        <v>0</v>
      </c>
      <c r="K183" s="209">
        <f t="shared" si="31"/>
        <v>0</v>
      </c>
      <c r="L183" s="209">
        <f t="shared" si="26"/>
        <v>0</v>
      </c>
      <c r="M183" s="210">
        <f t="shared" si="35"/>
        <v>0</v>
      </c>
      <c r="N183" s="211">
        <f t="shared" si="32"/>
        <v>0</v>
      </c>
      <c r="O183" s="194">
        <f t="shared" si="33"/>
        <v>0</v>
      </c>
      <c r="P183" s="212">
        <f t="shared" si="27"/>
        <v>0</v>
      </c>
      <c r="Q183">
        <f t="shared" si="28"/>
        <v>2358455.2824478052</v>
      </c>
      <c r="X183" s="216">
        <f t="shared" si="34"/>
        <v>14</v>
      </c>
      <c r="Y183">
        <f t="shared" si="29"/>
        <v>0</v>
      </c>
    </row>
    <row r="184" spans="1:25" x14ac:dyDescent="0.2">
      <c r="A184" s="204">
        <f>IF(MOD(COUNT($A$10:A183),12)=0,A183+1,A183)</f>
        <v>15</v>
      </c>
      <c r="B184" s="218">
        <f t="shared" si="30"/>
        <v>7</v>
      </c>
      <c r="C184" s="218">
        <f t="shared" si="24"/>
        <v>1</v>
      </c>
      <c r="D184" s="208">
        <f>IF(MOD(COUNT($D$10:D183),6)=0,D183+1,D183)</f>
        <v>30</v>
      </c>
      <c r="E184" s="208">
        <f>IF(MOD(COUNT($E$10:E183),3)=0,E183+1,E183)</f>
        <v>59</v>
      </c>
      <c r="F184" s="208">
        <f>IF(MOD(COUNT($F$10:F183),1)=0,F183+1,F183)</f>
        <v>175</v>
      </c>
      <c r="G184" s="204">
        <f>IFERROR(IF(C184=1,VLOOKUP(A184,Output!$A$27:$AB$137,28,FALSE)/AnnuityMode,0),0)</f>
        <v>0</v>
      </c>
      <c r="H184" s="220">
        <f>IFERROR(IF(AND(MIN(A184&gt;25,Age+A184&gt;=85),B184=12),VLOOKUP(A184,Output!$A$27:$AE$137,31,FALSE),0),0)</f>
        <v>0</v>
      </c>
      <c r="I184" s="221">
        <f>IFERROR(IF(AND(MIN(A184&gt;15,A184+Age&gt;=70),C184=1),VLOOKUP(A184,Output!$A$27:$AF$137,32,FALSE)*VLOOKUP('SV calc_ignore'!A184,Output!$A$27:$AG$137,33,FALSE)/IF(AnnuityMode=2,2,IF(AnnuityMode=4,4,IF(AnnuityMode=12,12,1))),0),0)</f>
        <v>0</v>
      </c>
      <c r="J184" s="227">
        <f t="shared" si="25"/>
        <v>0</v>
      </c>
      <c r="K184" s="209">
        <f t="shared" si="31"/>
        <v>0</v>
      </c>
      <c r="L184" s="209">
        <f t="shared" si="26"/>
        <v>0</v>
      </c>
      <c r="M184" s="210">
        <f t="shared" si="35"/>
        <v>0</v>
      </c>
      <c r="N184" s="211">
        <f t="shared" si="32"/>
        <v>0</v>
      </c>
      <c r="O184" s="194">
        <f t="shared" si="33"/>
        <v>0</v>
      </c>
      <c r="P184" s="212">
        <f t="shared" si="27"/>
        <v>0</v>
      </c>
      <c r="Q184">
        <f t="shared" si="28"/>
        <v>2374543.4695109413</v>
      </c>
      <c r="X184" s="216">
        <f t="shared" si="34"/>
        <v>14</v>
      </c>
      <c r="Y184">
        <f t="shared" si="29"/>
        <v>0</v>
      </c>
    </row>
    <row r="185" spans="1:25" x14ac:dyDescent="0.2">
      <c r="A185" s="204">
        <f>IF(MOD(COUNT($A$10:A184),12)=0,A184+1,A184)</f>
        <v>15</v>
      </c>
      <c r="B185" s="218">
        <f t="shared" si="30"/>
        <v>8</v>
      </c>
      <c r="C185" s="218">
        <f t="shared" si="24"/>
        <v>1</v>
      </c>
      <c r="D185" s="208">
        <f>IF(MOD(COUNT($D$10:D184),6)=0,D184+1,D184)</f>
        <v>30</v>
      </c>
      <c r="E185" s="208">
        <f>IF(MOD(COUNT($E$10:E184),3)=0,E184+1,E184)</f>
        <v>59</v>
      </c>
      <c r="F185" s="208">
        <f>IF(MOD(COUNT($F$10:F184),1)=0,F184+1,F184)</f>
        <v>176</v>
      </c>
      <c r="G185" s="204">
        <f>IFERROR(IF(C185=1,VLOOKUP(A185,Output!$A$27:$AB$137,28,FALSE)/AnnuityMode,0),0)</f>
        <v>0</v>
      </c>
      <c r="H185" s="220">
        <f>IFERROR(IF(AND(MIN(A185&gt;25,Age+A185&gt;=85),B185=12),VLOOKUP(A185,Output!$A$27:$AE$137,31,FALSE),0),0)</f>
        <v>0</v>
      </c>
      <c r="I185" s="221">
        <f>IFERROR(IF(AND(MIN(A185&gt;15,A185+Age&gt;=70),C185=1),VLOOKUP(A185,Output!$A$27:$AF$137,32,FALSE)*VLOOKUP('SV calc_ignore'!A185,Output!$A$27:$AG$137,33,FALSE)/IF(AnnuityMode=2,2,IF(AnnuityMode=4,4,IF(AnnuityMode=12,12,1))),0),0)</f>
        <v>0</v>
      </c>
      <c r="J185" s="227">
        <f t="shared" si="25"/>
        <v>0</v>
      </c>
      <c r="K185" s="209">
        <f t="shared" si="31"/>
        <v>0</v>
      </c>
      <c r="L185" s="209">
        <f t="shared" si="26"/>
        <v>0</v>
      </c>
      <c r="M185" s="210">
        <f t="shared" si="35"/>
        <v>0</v>
      </c>
      <c r="N185" s="211">
        <f t="shared" si="32"/>
        <v>0</v>
      </c>
      <c r="O185" s="194">
        <f t="shared" si="33"/>
        <v>0</v>
      </c>
      <c r="P185" s="212">
        <f t="shared" si="27"/>
        <v>0</v>
      </c>
      <c r="Q185">
        <f t="shared" si="28"/>
        <v>2390741.4020353993</v>
      </c>
      <c r="X185" s="216">
        <f t="shared" si="34"/>
        <v>14</v>
      </c>
      <c r="Y185">
        <f t="shared" si="29"/>
        <v>0</v>
      </c>
    </row>
    <row r="186" spans="1:25" x14ac:dyDescent="0.2">
      <c r="A186" s="204">
        <f>IF(MOD(COUNT($A$10:A185),12)=0,A185+1,A185)</f>
        <v>15</v>
      </c>
      <c r="B186" s="218">
        <f t="shared" si="30"/>
        <v>9</v>
      </c>
      <c r="C186" s="218">
        <f t="shared" si="24"/>
        <v>1</v>
      </c>
      <c r="D186" s="208">
        <f>IF(MOD(COUNT($D$10:D185),6)=0,D185+1,D185)</f>
        <v>30</v>
      </c>
      <c r="E186" s="208">
        <f>IF(MOD(COUNT($E$10:E185),3)=0,E185+1,E185)</f>
        <v>59</v>
      </c>
      <c r="F186" s="208">
        <f>IF(MOD(COUNT($F$10:F185),1)=0,F185+1,F185)</f>
        <v>177</v>
      </c>
      <c r="G186" s="204">
        <f>IFERROR(IF(C186=1,VLOOKUP(A186,Output!$A$27:$AB$137,28,FALSE)/AnnuityMode,0),0)</f>
        <v>0</v>
      </c>
      <c r="H186" s="220">
        <f>IFERROR(IF(AND(MIN(A186&gt;25,Age+A186&gt;=85),B186=12),VLOOKUP(A186,Output!$A$27:$AE$137,31,FALSE),0),0)</f>
        <v>0</v>
      </c>
      <c r="I186" s="221">
        <f>IFERROR(IF(AND(MIN(A186&gt;15,A186+Age&gt;=70),C186=1),VLOOKUP(A186,Output!$A$27:$AF$137,32,FALSE)*VLOOKUP('SV calc_ignore'!A186,Output!$A$27:$AG$137,33,FALSE)/IF(AnnuityMode=2,2,IF(AnnuityMode=4,4,IF(AnnuityMode=12,12,1))),0),0)</f>
        <v>0</v>
      </c>
      <c r="J186" s="227">
        <f t="shared" si="25"/>
        <v>0</v>
      </c>
      <c r="K186" s="209">
        <f t="shared" si="31"/>
        <v>0</v>
      </c>
      <c r="L186" s="209">
        <f t="shared" si="26"/>
        <v>0</v>
      </c>
      <c r="M186" s="210">
        <f t="shared" si="35"/>
        <v>0</v>
      </c>
      <c r="N186" s="211">
        <f t="shared" si="32"/>
        <v>0</v>
      </c>
      <c r="O186" s="194">
        <f t="shared" si="33"/>
        <v>0</v>
      </c>
      <c r="P186" s="212">
        <f t="shared" si="27"/>
        <v>0</v>
      </c>
      <c r="Q186">
        <f t="shared" si="28"/>
        <v>2407049.8286491153</v>
      </c>
      <c r="X186" s="216">
        <f t="shared" si="34"/>
        <v>14</v>
      </c>
      <c r="Y186">
        <f t="shared" si="29"/>
        <v>0</v>
      </c>
    </row>
    <row r="187" spans="1:25" x14ac:dyDescent="0.2">
      <c r="A187" s="204">
        <f>IF(MOD(COUNT($A$10:A186),12)=0,A186+1,A186)</f>
        <v>15</v>
      </c>
      <c r="B187" s="218">
        <f t="shared" si="30"/>
        <v>10</v>
      </c>
      <c r="C187" s="218">
        <f t="shared" si="24"/>
        <v>1</v>
      </c>
      <c r="D187" s="208">
        <f>IF(MOD(COUNT($D$10:D186),6)=0,D186+1,D186)</f>
        <v>30</v>
      </c>
      <c r="E187" s="208">
        <f>IF(MOD(COUNT($E$10:E186),3)=0,E186+1,E186)</f>
        <v>60</v>
      </c>
      <c r="F187" s="208">
        <f>IF(MOD(COUNT($F$10:F186),1)=0,F186+1,F186)</f>
        <v>178</v>
      </c>
      <c r="G187" s="204">
        <f>IFERROR(IF(C187=1,VLOOKUP(A187,Output!$A$27:$AB$137,28,FALSE)/AnnuityMode,0),0)</f>
        <v>0</v>
      </c>
      <c r="H187" s="220">
        <f>IFERROR(IF(AND(MIN(A187&gt;25,Age+A187&gt;=85),B187=12),VLOOKUP(A187,Output!$A$27:$AE$137,31,FALSE),0),0)</f>
        <v>0</v>
      </c>
      <c r="I187" s="221">
        <f>IFERROR(IF(AND(MIN(A187&gt;15,A187+Age&gt;=70),C187=1),VLOOKUP(A187,Output!$A$27:$AF$137,32,FALSE)*VLOOKUP('SV calc_ignore'!A187,Output!$A$27:$AG$137,33,FALSE)/IF(AnnuityMode=2,2,IF(AnnuityMode=4,4,IF(AnnuityMode=12,12,1))),0),0)</f>
        <v>0</v>
      </c>
      <c r="J187" s="227">
        <f t="shared" si="25"/>
        <v>0</v>
      </c>
      <c r="K187" s="209">
        <f t="shared" si="31"/>
        <v>0</v>
      </c>
      <c r="L187" s="209">
        <f t="shared" si="26"/>
        <v>0</v>
      </c>
      <c r="M187" s="210">
        <f t="shared" si="35"/>
        <v>0</v>
      </c>
      <c r="N187" s="211">
        <f t="shared" si="32"/>
        <v>0</v>
      </c>
      <c r="O187" s="194">
        <f t="shared" si="33"/>
        <v>0</v>
      </c>
      <c r="P187" s="212">
        <f t="shared" si="27"/>
        <v>0</v>
      </c>
      <c r="Q187">
        <f t="shared" si="28"/>
        <v>2423469.5030867858</v>
      </c>
      <c r="X187" s="216">
        <f t="shared" si="34"/>
        <v>14</v>
      </c>
      <c r="Y187">
        <f t="shared" si="29"/>
        <v>0</v>
      </c>
    </row>
    <row r="188" spans="1:25" x14ac:dyDescent="0.2">
      <c r="A188" s="204">
        <f>IF(MOD(COUNT($A$10:A187),12)=0,A187+1,A187)</f>
        <v>15</v>
      </c>
      <c r="B188" s="218">
        <f t="shared" si="30"/>
        <v>11</v>
      </c>
      <c r="C188" s="218">
        <f t="shared" si="24"/>
        <v>1</v>
      </c>
      <c r="D188" s="208">
        <f>IF(MOD(COUNT($D$10:D187),6)=0,D187+1,D187)</f>
        <v>30</v>
      </c>
      <c r="E188" s="208">
        <f>IF(MOD(COUNT($E$10:E187),3)=0,E187+1,E187)</f>
        <v>60</v>
      </c>
      <c r="F188" s="208">
        <f>IF(MOD(COUNT($F$10:F187),1)=0,F187+1,F187)</f>
        <v>179</v>
      </c>
      <c r="G188" s="204">
        <f>IFERROR(IF(C188=1,VLOOKUP(A188,Output!$A$27:$AB$137,28,FALSE)/AnnuityMode,0),0)</f>
        <v>0</v>
      </c>
      <c r="H188" s="220">
        <f>IFERROR(IF(AND(MIN(A188&gt;25,Age+A188&gt;=85),B188=12),VLOOKUP(A188,Output!$A$27:$AE$137,31,FALSE),0),0)</f>
        <v>0</v>
      </c>
      <c r="I188" s="221">
        <f>IFERROR(IF(AND(MIN(A188&gt;15,A188+Age&gt;=70),C188=1),VLOOKUP(A188,Output!$A$27:$AF$137,32,FALSE)*VLOOKUP('SV calc_ignore'!A188,Output!$A$27:$AG$137,33,FALSE)/IF(AnnuityMode=2,2,IF(AnnuityMode=4,4,IF(AnnuityMode=12,12,1))),0),0)</f>
        <v>0</v>
      </c>
      <c r="J188" s="227">
        <f t="shared" si="25"/>
        <v>0</v>
      </c>
      <c r="K188" s="209">
        <f t="shared" si="31"/>
        <v>0</v>
      </c>
      <c r="L188" s="209">
        <f t="shared" si="26"/>
        <v>0</v>
      </c>
      <c r="M188" s="210">
        <f t="shared" si="35"/>
        <v>0</v>
      </c>
      <c r="N188" s="211">
        <f t="shared" si="32"/>
        <v>0</v>
      </c>
      <c r="O188" s="194">
        <f t="shared" si="33"/>
        <v>0</v>
      </c>
      <c r="P188" s="212">
        <f t="shared" si="27"/>
        <v>0</v>
      </c>
      <c r="Q188">
        <f t="shared" si="28"/>
        <v>2440001.1842247043</v>
      </c>
      <c r="X188" s="216">
        <f t="shared" si="34"/>
        <v>14</v>
      </c>
      <c r="Y188">
        <f t="shared" si="29"/>
        <v>0</v>
      </c>
    </row>
    <row r="189" spans="1:25" x14ac:dyDescent="0.2">
      <c r="A189" s="204">
        <f>IF(MOD(COUNT($A$10:A188),12)=0,A188+1,A188)</f>
        <v>15</v>
      </c>
      <c r="B189" s="218">
        <f t="shared" si="30"/>
        <v>12</v>
      </c>
      <c r="C189" s="218">
        <f t="shared" si="24"/>
        <v>1</v>
      </c>
      <c r="D189" s="208">
        <f>IF(MOD(COUNT($D$10:D188),6)=0,D188+1,D188)</f>
        <v>30</v>
      </c>
      <c r="E189" s="208">
        <f>IF(MOD(COUNT($E$10:E188),3)=0,E188+1,E188)</f>
        <v>60</v>
      </c>
      <c r="F189" s="208">
        <f>IF(MOD(COUNT($F$10:F188),1)=0,F188+1,F188)</f>
        <v>180</v>
      </c>
      <c r="G189" s="204">
        <f>IFERROR(IF(C189=1,VLOOKUP(A189,Output!$A$27:$AB$137,28,FALSE)/AnnuityMode,0),0)</f>
        <v>0</v>
      </c>
      <c r="H189" s="220">
        <f>IFERROR(IF(AND(MIN(A189&gt;25,Age+A189&gt;=85),B189=12),VLOOKUP(A189,Output!$A$27:$AE$137,31,FALSE),0),0)</f>
        <v>0</v>
      </c>
      <c r="I189" s="221">
        <f>IFERROR(IF(AND(MIN(A189&gt;15,A189+Age&gt;=70),C189=1),VLOOKUP(A189,Output!$A$27:$AF$137,32,FALSE)*VLOOKUP('SV calc_ignore'!A189,Output!$A$27:$AG$137,33,FALSE)/IF(AnnuityMode=2,2,IF(AnnuityMode=4,4,IF(AnnuityMode=12,12,1))),0),0)</f>
        <v>0</v>
      </c>
      <c r="J189" s="227">
        <f t="shared" si="25"/>
        <v>0</v>
      </c>
      <c r="K189" s="209">
        <f t="shared" si="31"/>
        <v>0</v>
      </c>
      <c r="L189" s="209">
        <f t="shared" si="26"/>
        <v>0</v>
      </c>
      <c r="M189" s="210">
        <f t="shared" si="35"/>
        <v>0</v>
      </c>
      <c r="N189" s="211">
        <f t="shared" si="32"/>
        <v>0</v>
      </c>
      <c r="O189" s="194">
        <f t="shared" si="33"/>
        <v>0</v>
      </c>
      <c r="P189" s="212">
        <f t="shared" si="27"/>
        <v>0</v>
      </c>
      <c r="Q189">
        <f t="shared" si="28"/>
        <v>2456645.6361158332</v>
      </c>
      <c r="X189" s="216">
        <f t="shared" si="34"/>
        <v>14</v>
      </c>
      <c r="Y189">
        <f t="shared" si="29"/>
        <v>0</v>
      </c>
    </row>
    <row r="190" spans="1:25" x14ac:dyDescent="0.2">
      <c r="A190" s="204">
        <f>IF(MOD(COUNT($A$10:A189),12)=0,A189+1,A189)</f>
        <v>16</v>
      </c>
      <c r="B190" s="218">
        <f t="shared" si="30"/>
        <v>1</v>
      </c>
      <c r="C190" s="218">
        <f t="shared" si="24"/>
        <v>1</v>
      </c>
      <c r="D190" s="208">
        <f>IF(MOD(COUNT($D$10:D189),6)=0,D189+1,D189)</f>
        <v>31</v>
      </c>
      <c r="E190" s="208">
        <f>IF(MOD(COUNT($E$10:E189),3)=0,E189+1,E189)</f>
        <v>61</v>
      </c>
      <c r="F190" s="208">
        <f>IF(MOD(COUNT($F$10:F189),1)=0,F189+1,F189)</f>
        <v>181</v>
      </c>
      <c r="G190" s="204">
        <f>IFERROR(IF(C190=1,VLOOKUP(A190,Output!$A$27:$AB$137,28,FALSE)/AnnuityMode,0),0)</f>
        <v>0</v>
      </c>
      <c r="H190" s="220">
        <f>IFERROR(IF(AND(MIN(A190&gt;25,Age+A190&gt;=85),B190=12),VLOOKUP(A190,Output!$A$27:$AE$137,31,FALSE),0),0)</f>
        <v>0</v>
      </c>
      <c r="I190" s="221">
        <f>IFERROR(IF(AND(MIN(A190&gt;15,A190+Age&gt;=70),C190=1),VLOOKUP(A190,Output!$A$27:$AF$137,32,FALSE)*VLOOKUP('SV calc_ignore'!A190,Output!$A$27:$AG$137,33,FALSE)/IF(AnnuityMode=2,2,IF(AnnuityMode=4,4,IF(AnnuityMode=12,12,1))),0),0)</f>
        <v>20833.333333333332</v>
      </c>
      <c r="J190" s="227">
        <f t="shared" si="25"/>
        <v>0</v>
      </c>
      <c r="K190" s="209">
        <f t="shared" si="31"/>
        <v>0</v>
      </c>
      <c r="L190" s="209">
        <f t="shared" si="26"/>
        <v>0</v>
      </c>
      <c r="M190" s="210">
        <f t="shared" si="35"/>
        <v>0</v>
      </c>
      <c r="N190" s="211">
        <f t="shared" si="32"/>
        <v>0</v>
      </c>
      <c r="O190" s="194">
        <f t="shared" si="33"/>
        <v>0</v>
      </c>
      <c r="P190" s="212">
        <f t="shared" si="27"/>
        <v>0</v>
      </c>
      <c r="Q190">
        <f t="shared" si="28"/>
        <v>2473403.6280251173</v>
      </c>
      <c r="X190" s="216">
        <f t="shared" si="34"/>
        <v>15</v>
      </c>
      <c r="Y190">
        <f t="shared" si="29"/>
        <v>0</v>
      </c>
    </row>
    <row r="191" spans="1:25" x14ac:dyDescent="0.2">
      <c r="A191" s="204">
        <f>IF(MOD(COUNT($A$10:A190),12)=0,A190+1,A190)</f>
        <v>16</v>
      </c>
      <c r="B191" s="218">
        <f t="shared" si="30"/>
        <v>2</v>
      </c>
      <c r="C191" s="218">
        <f t="shared" si="24"/>
        <v>1</v>
      </c>
      <c r="D191" s="208">
        <f>IF(MOD(COUNT($D$10:D190),6)=0,D190+1,D190)</f>
        <v>31</v>
      </c>
      <c r="E191" s="208">
        <f>IF(MOD(COUNT($E$10:E190),3)=0,E190+1,E190)</f>
        <v>61</v>
      </c>
      <c r="F191" s="208">
        <f>IF(MOD(COUNT($F$10:F190),1)=0,F190+1,F190)</f>
        <v>182</v>
      </c>
      <c r="G191" s="204">
        <f>IFERROR(IF(C191=1,VLOOKUP(A191,Output!$A$27:$AB$137,28,FALSE)/AnnuityMode,0),0)</f>
        <v>0</v>
      </c>
      <c r="H191" s="220">
        <f>IFERROR(IF(AND(MIN(A191&gt;25,Age+A191&gt;=85),B191=12),VLOOKUP(A191,Output!$A$27:$AE$137,31,FALSE),0),0)</f>
        <v>0</v>
      </c>
      <c r="I191" s="221">
        <f>IFERROR(IF(AND(MIN(A191&gt;15,A191+Age&gt;=70),C191=1),VLOOKUP(A191,Output!$A$27:$AF$137,32,FALSE)*VLOOKUP('SV calc_ignore'!A191,Output!$A$27:$AG$137,33,FALSE)/IF(AnnuityMode=2,2,IF(AnnuityMode=4,4,IF(AnnuityMode=12,12,1))),0),0)</f>
        <v>20833.333333333332</v>
      </c>
      <c r="J191" s="227">
        <f t="shared" si="25"/>
        <v>0</v>
      </c>
      <c r="K191" s="209">
        <f t="shared" si="31"/>
        <v>0</v>
      </c>
      <c r="L191" s="209">
        <f t="shared" si="26"/>
        <v>0</v>
      </c>
      <c r="M191" s="210">
        <f t="shared" si="35"/>
        <v>0</v>
      </c>
      <c r="N191" s="211">
        <f t="shared" si="32"/>
        <v>0</v>
      </c>
      <c r="O191" s="194">
        <f t="shared" si="33"/>
        <v>0</v>
      </c>
      <c r="P191" s="212">
        <f t="shared" si="27"/>
        <v>0</v>
      </c>
      <c r="Q191">
        <f t="shared" si="28"/>
        <v>2469300.4866865799</v>
      </c>
      <c r="X191" s="216">
        <f t="shared" si="34"/>
        <v>15</v>
      </c>
      <c r="Y191">
        <f t="shared" si="29"/>
        <v>0</v>
      </c>
    </row>
    <row r="192" spans="1:25" x14ac:dyDescent="0.2">
      <c r="A192" s="204">
        <f>IF(MOD(COUNT($A$10:A191),12)=0,A191+1,A191)</f>
        <v>16</v>
      </c>
      <c r="B192" s="218">
        <f t="shared" si="30"/>
        <v>3</v>
      </c>
      <c r="C192" s="218">
        <f t="shared" si="24"/>
        <v>1</v>
      </c>
      <c r="D192" s="208">
        <f>IF(MOD(COUNT($D$10:D191),6)=0,D191+1,D191)</f>
        <v>31</v>
      </c>
      <c r="E192" s="208">
        <f>IF(MOD(COUNT($E$10:E191),3)=0,E191+1,E191)</f>
        <v>61</v>
      </c>
      <c r="F192" s="208">
        <f>IF(MOD(COUNT($F$10:F191),1)=0,F191+1,F191)</f>
        <v>183</v>
      </c>
      <c r="G192" s="204">
        <f>IFERROR(IF(C192=1,VLOOKUP(A192,Output!$A$27:$AB$137,28,FALSE)/AnnuityMode,0),0)</f>
        <v>0</v>
      </c>
      <c r="H192" s="220">
        <f>IFERROR(IF(AND(MIN(A192&gt;25,Age+A192&gt;=85),B192=12),VLOOKUP(A192,Output!$A$27:$AE$137,31,FALSE),0),0)</f>
        <v>0</v>
      </c>
      <c r="I192" s="221">
        <f>IFERROR(IF(AND(MIN(A192&gt;15,A192+Age&gt;=70),C192=1),VLOOKUP(A192,Output!$A$27:$AF$137,32,FALSE)*VLOOKUP('SV calc_ignore'!A192,Output!$A$27:$AG$137,33,FALSE)/IF(AnnuityMode=2,2,IF(AnnuityMode=4,4,IF(AnnuityMode=12,12,1))),0),0)</f>
        <v>20833.333333333332</v>
      </c>
      <c r="J192" s="227">
        <f t="shared" si="25"/>
        <v>0</v>
      </c>
      <c r="K192" s="209">
        <f t="shared" si="31"/>
        <v>0</v>
      </c>
      <c r="L192" s="209">
        <f t="shared" si="26"/>
        <v>0</v>
      </c>
      <c r="M192" s="210">
        <f t="shared" si="35"/>
        <v>0</v>
      </c>
      <c r="N192" s="211">
        <f t="shared" si="32"/>
        <v>0</v>
      </c>
      <c r="O192" s="194">
        <f t="shared" si="33"/>
        <v>0</v>
      </c>
      <c r="P192" s="212">
        <f t="shared" si="27"/>
        <v>0</v>
      </c>
      <c r="Q192">
        <f t="shared" si="28"/>
        <v>2465169.3557966221</v>
      </c>
      <c r="X192" s="216">
        <f t="shared" si="34"/>
        <v>15</v>
      </c>
      <c r="Y192">
        <f t="shared" si="29"/>
        <v>0</v>
      </c>
    </row>
    <row r="193" spans="1:25" x14ac:dyDescent="0.2">
      <c r="A193" s="204">
        <f>IF(MOD(COUNT($A$10:A192),12)=0,A192+1,A192)</f>
        <v>16</v>
      </c>
      <c r="B193" s="218">
        <f t="shared" si="30"/>
        <v>4</v>
      </c>
      <c r="C193" s="218">
        <f t="shared" si="24"/>
        <v>1</v>
      </c>
      <c r="D193" s="208">
        <f>IF(MOD(COUNT($D$10:D192),6)=0,D192+1,D192)</f>
        <v>31</v>
      </c>
      <c r="E193" s="208">
        <f>IF(MOD(COUNT($E$10:E192),3)=0,E192+1,E192)</f>
        <v>62</v>
      </c>
      <c r="F193" s="208">
        <f>IF(MOD(COUNT($F$10:F192),1)=0,F192+1,F192)</f>
        <v>184</v>
      </c>
      <c r="G193" s="204">
        <f>IFERROR(IF(C193=1,VLOOKUP(A193,Output!$A$27:$AB$137,28,FALSE)/AnnuityMode,0),0)</f>
        <v>0</v>
      </c>
      <c r="H193" s="220">
        <f>IFERROR(IF(AND(MIN(A193&gt;25,Age+A193&gt;=85),B193=12),VLOOKUP(A193,Output!$A$27:$AE$137,31,FALSE),0),0)</f>
        <v>0</v>
      </c>
      <c r="I193" s="221">
        <f>IFERROR(IF(AND(MIN(A193&gt;15,A193+Age&gt;=70),C193=1),VLOOKUP(A193,Output!$A$27:$AF$137,32,FALSE)*VLOOKUP('SV calc_ignore'!A193,Output!$A$27:$AG$137,33,FALSE)/IF(AnnuityMode=2,2,IF(AnnuityMode=4,4,IF(AnnuityMode=12,12,1))),0),0)</f>
        <v>20833.333333333332</v>
      </c>
      <c r="J193" s="227">
        <f t="shared" si="25"/>
        <v>0</v>
      </c>
      <c r="K193" s="209">
        <f t="shared" si="31"/>
        <v>0</v>
      </c>
      <c r="L193" s="209">
        <f t="shared" si="26"/>
        <v>0</v>
      </c>
      <c r="M193" s="210">
        <f t="shared" si="35"/>
        <v>0</v>
      </c>
      <c r="N193" s="211">
        <f t="shared" si="32"/>
        <v>0</v>
      </c>
      <c r="O193" s="194">
        <f t="shared" si="33"/>
        <v>0</v>
      </c>
      <c r="P193" s="212">
        <f t="shared" si="27"/>
        <v>0</v>
      </c>
      <c r="Q193">
        <f t="shared" si="28"/>
        <v>2461010.0444247043</v>
      </c>
      <c r="X193" s="216">
        <f t="shared" si="34"/>
        <v>15</v>
      </c>
      <c r="Y193">
        <f t="shared" si="29"/>
        <v>0</v>
      </c>
    </row>
    <row r="194" spans="1:25" x14ac:dyDescent="0.2">
      <c r="A194" s="204">
        <f>IF(MOD(COUNT($A$10:A193),12)=0,A193+1,A193)</f>
        <v>16</v>
      </c>
      <c r="B194" s="218">
        <f t="shared" si="30"/>
        <v>5</v>
      </c>
      <c r="C194" s="218">
        <f t="shared" si="24"/>
        <v>1</v>
      </c>
      <c r="D194" s="208">
        <f>IF(MOD(COUNT($D$10:D193),6)=0,D193+1,D193)</f>
        <v>31</v>
      </c>
      <c r="E194" s="208">
        <f>IF(MOD(COUNT($E$10:E193),3)=0,E193+1,E193)</f>
        <v>62</v>
      </c>
      <c r="F194" s="208">
        <f>IF(MOD(COUNT($F$10:F193),1)=0,F193+1,F193)</f>
        <v>185</v>
      </c>
      <c r="G194" s="204">
        <f>IFERROR(IF(C194=1,VLOOKUP(A194,Output!$A$27:$AB$137,28,FALSE)/AnnuityMode,0),0)</f>
        <v>0</v>
      </c>
      <c r="H194" s="220">
        <f>IFERROR(IF(AND(MIN(A194&gt;25,Age+A194&gt;=85),B194=12),VLOOKUP(A194,Output!$A$27:$AE$137,31,FALSE),0),0)</f>
        <v>0</v>
      </c>
      <c r="I194" s="221">
        <f>IFERROR(IF(AND(MIN(A194&gt;15,A194+Age&gt;=70),C194=1),VLOOKUP(A194,Output!$A$27:$AF$137,32,FALSE)*VLOOKUP('SV calc_ignore'!A194,Output!$A$27:$AG$137,33,FALSE)/IF(AnnuityMode=2,2,IF(AnnuityMode=4,4,IF(AnnuityMode=12,12,1))),0),0)</f>
        <v>20833.333333333332</v>
      </c>
      <c r="J194" s="227">
        <f t="shared" si="25"/>
        <v>0</v>
      </c>
      <c r="K194" s="209">
        <f t="shared" si="31"/>
        <v>0</v>
      </c>
      <c r="L194" s="209">
        <f t="shared" si="26"/>
        <v>0</v>
      </c>
      <c r="M194" s="210">
        <f t="shared" si="35"/>
        <v>0</v>
      </c>
      <c r="N194" s="211">
        <f t="shared" si="32"/>
        <v>0</v>
      </c>
      <c r="O194" s="194">
        <f t="shared" si="33"/>
        <v>0</v>
      </c>
      <c r="P194" s="212">
        <f t="shared" si="27"/>
        <v>0</v>
      </c>
      <c r="Q194">
        <f t="shared" si="28"/>
        <v>2456822.3603378562</v>
      </c>
      <c r="X194" s="216">
        <f t="shared" si="34"/>
        <v>15</v>
      </c>
      <c r="Y194">
        <f t="shared" si="29"/>
        <v>0</v>
      </c>
    </row>
    <row r="195" spans="1:25" x14ac:dyDescent="0.2">
      <c r="A195" s="204">
        <f>IF(MOD(COUNT($A$10:A194),12)=0,A194+1,A194)</f>
        <v>16</v>
      </c>
      <c r="B195" s="218">
        <f t="shared" si="30"/>
        <v>6</v>
      </c>
      <c r="C195" s="218">
        <f t="shared" si="24"/>
        <v>1</v>
      </c>
      <c r="D195" s="208">
        <f>IF(MOD(COUNT($D$10:D194),6)=0,D194+1,D194)</f>
        <v>31</v>
      </c>
      <c r="E195" s="208">
        <f>IF(MOD(COUNT($E$10:E194),3)=0,E194+1,E194)</f>
        <v>62</v>
      </c>
      <c r="F195" s="208">
        <f>IF(MOD(COUNT($F$10:F194),1)=0,F194+1,F194)</f>
        <v>186</v>
      </c>
      <c r="G195" s="204">
        <f>IFERROR(IF(C195=1,VLOOKUP(A195,Output!$A$27:$AB$137,28,FALSE)/AnnuityMode,0),0)</f>
        <v>0</v>
      </c>
      <c r="H195" s="220">
        <f>IFERROR(IF(AND(MIN(A195&gt;25,Age+A195&gt;=85),B195=12),VLOOKUP(A195,Output!$A$27:$AE$137,31,FALSE),0),0)</f>
        <v>0</v>
      </c>
      <c r="I195" s="221">
        <f>IFERROR(IF(AND(MIN(A195&gt;15,A195+Age&gt;=70),C195=1),VLOOKUP(A195,Output!$A$27:$AF$137,32,FALSE)*VLOOKUP('SV calc_ignore'!A195,Output!$A$27:$AG$137,33,FALSE)/IF(AnnuityMode=2,2,IF(AnnuityMode=4,4,IF(AnnuityMode=12,12,1))),0),0)</f>
        <v>20833.333333333332</v>
      </c>
      <c r="J195" s="227">
        <f t="shared" si="25"/>
        <v>0</v>
      </c>
      <c r="K195" s="209">
        <f t="shared" si="31"/>
        <v>0</v>
      </c>
      <c r="L195" s="209">
        <f t="shared" si="26"/>
        <v>0</v>
      </c>
      <c r="M195" s="210">
        <f t="shared" si="35"/>
        <v>0</v>
      </c>
      <c r="N195" s="211">
        <f t="shared" si="32"/>
        <v>0</v>
      </c>
      <c r="O195" s="194">
        <f t="shared" si="33"/>
        <v>0</v>
      </c>
      <c r="P195" s="212">
        <f t="shared" si="27"/>
        <v>0</v>
      </c>
      <c r="Q195">
        <f t="shared" si="28"/>
        <v>2452606.1099917907</v>
      </c>
      <c r="X195" s="216">
        <f t="shared" si="34"/>
        <v>15</v>
      </c>
      <c r="Y195">
        <f t="shared" si="29"/>
        <v>0</v>
      </c>
    </row>
    <row r="196" spans="1:25" x14ac:dyDescent="0.2">
      <c r="A196" s="204">
        <f>IF(MOD(COUNT($A$10:A195),12)=0,A195+1,A195)</f>
        <v>16</v>
      </c>
      <c r="B196" s="218">
        <f t="shared" si="30"/>
        <v>7</v>
      </c>
      <c r="C196" s="218">
        <f t="shared" si="24"/>
        <v>1</v>
      </c>
      <c r="D196" s="208">
        <f>IF(MOD(COUNT($D$10:D195),6)=0,D195+1,D195)</f>
        <v>32</v>
      </c>
      <c r="E196" s="208">
        <f>IF(MOD(COUNT($E$10:E195),3)=0,E195+1,E195)</f>
        <v>63</v>
      </c>
      <c r="F196" s="208">
        <f>IF(MOD(COUNT($F$10:F195),1)=0,F195+1,F195)</f>
        <v>187</v>
      </c>
      <c r="G196" s="204">
        <f>IFERROR(IF(C196=1,VLOOKUP(A196,Output!$A$27:$AB$137,28,FALSE)/AnnuityMode,0),0)</f>
        <v>0</v>
      </c>
      <c r="H196" s="220">
        <f>IFERROR(IF(AND(MIN(A196&gt;25,Age+A196&gt;=85),B196=12),VLOOKUP(A196,Output!$A$27:$AE$137,31,FALSE),0),0)</f>
        <v>0</v>
      </c>
      <c r="I196" s="221">
        <f>IFERROR(IF(AND(MIN(A196&gt;15,A196+Age&gt;=70),C196=1),VLOOKUP(A196,Output!$A$27:$AF$137,32,FALSE)*VLOOKUP('SV calc_ignore'!A196,Output!$A$27:$AG$137,33,FALSE)/IF(AnnuityMode=2,2,IF(AnnuityMode=4,4,IF(AnnuityMode=12,12,1))),0),0)</f>
        <v>20833.333333333332</v>
      </c>
      <c r="J196" s="227">
        <f t="shared" si="25"/>
        <v>0</v>
      </c>
      <c r="K196" s="209">
        <f t="shared" si="31"/>
        <v>0</v>
      </c>
      <c r="L196" s="209">
        <f t="shared" si="26"/>
        <v>0</v>
      </c>
      <c r="M196" s="210">
        <f t="shared" si="35"/>
        <v>0</v>
      </c>
      <c r="N196" s="211">
        <f t="shared" si="32"/>
        <v>0</v>
      </c>
      <c r="O196" s="194">
        <f t="shared" si="33"/>
        <v>0</v>
      </c>
      <c r="P196" s="212">
        <f t="shared" si="27"/>
        <v>0</v>
      </c>
      <c r="Q196">
        <f t="shared" si="28"/>
        <v>2448361.0985219604</v>
      </c>
      <c r="X196" s="216">
        <f t="shared" si="34"/>
        <v>15</v>
      </c>
      <c r="Y196">
        <f t="shared" si="29"/>
        <v>0</v>
      </c>
    </row>
    <row r="197" spans="1:25" x14ac:dyDescent="0.2">
      <c r="A197" s="204">
        <f>IF(MOD(COUNT($A$10:A196),12)=0,A196+1,A196)</f>
        <v>16</v>
      </c>
      <c r="B197" s="218">
        <f t="shared" si="30"/>
        <v>8</v>
      </c>
      <c r="C197" s="218">
        <f t="shared" si="24"/>
        <v>1</v>
      </c>
      <c r="D197" s="208">
        <f>IF(MOD(COUNT($D$10:D196),6)=0,D196+1,D196)</f>
        <v>32</v>
      </c>
      <c r="E197" s="208">
        <f>IF(MOD(COUNT($E$10:E196),3)=0,E196+1,E196)</f>
        <v>63</v>
      </c>
      <c r="F197" s="208">
        <f>IF(MOD(COUNT($F$10:F196),1)=0,F196+1,F196)</f>
        <v>188</v>
      </c>
      <c r="G197" s="204">
        <f>IFERROR(IF(C197=1,VLOOKUP(A197,Output!$A$27:$AB$137,28,FALSE)/AnnuityMode,0),0)</f>
        <v>0</v>
      </c>
      <c r="H197" s="220">
        <f>IFERROR(IF(AND(MIN(A197&gt;25,Age+A197&gt;=85),B197=12),VLOOKUP(A197,Output!$A$27:$AE$137,31,FALSE),0),0)</f>
        <v>0</v>
      </c>
      <c r="I197" s="221">
        <f>IFERROR(IF(AND(MIN(A197&gt;15,A197+Age&gt;=70),C197=1),VLOOKUP(A197,Output!$A$27:$AF$137,32,FALSE)*VLOOKUP('SV calc_ignore'!A197,Output!$A$27:$AG$137,33,FALSE)/IF(AnnuityMode=2,2,IF(AnnuityMode=4,4,IF(AnnuityMode=12,12,1))),0),0)</f>
        <v>20833.333333333332</v>
      </c>
      <c r="J197" s="227">
        <f t="shared" si="25"/>
        <v>0</v>
      </c>
      <c r="K197" s="209">
        <f t="shared" si="31"/>
        <v>0</v>
      </c>
      <c r="L197" s="209">
        <f t="shared" si="26"/>
        <v>0</v>
      </c>
      <c r="M197" s="210">
        <f t="shared" si="35"/>
        <v>0</v>
      </c>
      <c r="N197" s="211">
        <f t="shared" si="32"/>
        <v>0</v>
      </c>
      <c r="O197" s="194">
        <f t="shared" si="33"/>
        <v>0</v>
      </c>
      <c r="P197" s="212">
        <f t="shared" si="27"/>
        <v>0</v>
      </c>
      <c r="Q197">
        <f t="shared" si="28"/>
        <v>2444087.1297345501</v>
      </c>
      <c r="X197" s="216">
        <f t="shared" si="34"/>
        <v>15</v>
      </c>
      <c r="Y197">
        <f t="shared" si="29"/>
        <v>0</v>
      </c>
    </row>
    <row r="198" spans="1:25" x14ac:dyDescent="0.2">
      <c r="A198" s="204">
        <f>IF(MOD(COUNT($A$10:A197),12)=0,A197+1,A197)</f>
        <v>16</v>
      </c>
      <c r="B198" s="218">
        <f t="shared" si="30"/>
        <v>9</v>
      </c>
      <c r="C198" s="218">
        <f t="shared" si="24"/>
        <v>1</v>
      </c>
      <c r="D198" s="208">
        <f>IF(MOD(COUNT($D$10:D197),6)=0,D197+1,D197)</f>
        <v>32</v>
      </c>
      <c r="E198" s="208">
        <f>IF(MOD(COUNT($E$10:E197),3)=0,E197+1,E197)</f>
        <v>63</v>
      </c>
      <c r="F198" s="208">
        <f>IF(MOD(COUNT($F$10:F197),1)=0,F197+1,F197)</f>
        <v>189</v>
      </c>
      <c r="G198" s="204">
        <f>IFERROR(IF(C198=1,VLOOKUP(A198,Output!$A$27:$AB$137,28,FALSE)/AnnuityMode,0),0)</f>
        <v>0</v>
      </c>
      <c r="H198" s="220">
        <f>IFERROR(IF(AND(MIN(A198&gt;25,Age+A198&gt;=85),B198=12),VLOOKUP(A198,Output!$A$27:$AE$137,31,FALSE),0),0)</f>
        <v>0</v>
      </c>
      <c r="I198" s="221">
        <f>IFERROR(IF(AND(MIN(A198&gt;15,A198+Age&gt;=70),C198=1),VLOOKUP(A198,Output!$A$27:$AF$137,32,FALSE)*VLOOKUP('SV calc_ignore'!A198,Output!$A$27:$AG$137,33,FALSE)/IF(AnnuityMode=2,2,IF(AnnuityMode=4,4,IF(AnnuityMode=12,12,1))),0),0)</f>
        <v>20833.333333333332</v>
      </c>
      <c r="J198" s="227">
        <f t="shared" si="25"/>
        <v>0</v>
      </c>
      <c r="K198" s="209">
        <f t="shared" si="31"/>
        <v>0</v>
      </c>
      <c r="L198" s="209">
        <f t="shared" si="26"/>
        <v>0</v>
      </c>
      <c r="M198" s="210">
        <f t="shared" si="35"/>
        <v>0</v>
      </c>
      <c r="N198" s="211">
        <f t="shared" si="32"/>
        <v>0</v>
      </c>
      <c r="O198" s="194">
        <f t="shared" si="33"/>
        <v>0</v>
      </c>
      <c r="P198" s="212">
        <f t="shared" si="27"/>
        <v>0</v>
      </c>
      <c r="Q198">
        <f t="shared" si="28"/>
        <v>2439784.0060974103</v>
      </c>
      <c r="X198" s="216">
        <f t="shared" si="34"/>
        <v>15</v>
      </c>
      <c r="Y198">
        <f t="shared" si="29"/>
        <v>0</v>
      </c>
    </row>
    <row r="199" spans="1:25" x14ac:dyDescent="0.2">
      <c r="A199" s="204">
        <f>IF(MOD(COUNT($A$10:A198),12)=0,A198+1,A198)</f>
        <v>16</v>
      </c>
      <c r="B199" s="218">
        <f t="shared" si="30"/>
        <v>10</v>
      </c>
      <c r="C199" s="218">
        <f t="shared" si="24"/>
        <v>1</v>
      </c>
      <c r="D199" s="208">
        <f>IF(MOD(COUNT($D$10:D198),6)=0,D198+1,D198)</f>
        <v>32</v>
      </c>
      <c r="E199" s="208">
        <f>IF(MOD(COUNT($E$10:E198),3)=0,E198+1,E198)</f>
        <v>64</v>
      </c>
      <c r="F199" s="208">
        <f>IF(MOD(COUNT($F$10:F198),1)=0,F198+1,F198)</f>
        <v>190</v>
      </c>
      <c r="G199" s="204">
        <f>IFERROR(IF(C199=1,VLOOKUP(A199,Output!$A$27:$AB$137,28,FALSE)/AnnuityMode,0),0)</f>
        <v>0</v>
      </c>
      <c r="H199" s="220">
        <f>IFERROR(IF(AND(MIN(A199&gt;25,Age+A199&gt;=85),B199=12),VLOOKUP(A199,Output!$A$27:$AE$137,31,FALSE),0),0)</f>
        <v>0</v>
      </c>
      <c r="I199" s="221">
        <f>IFERROR(IF(AND(MIN(A199&gt;15,A199+Age&gt;=70),C199=1),VLOOKUP(A199,Output!$A$27:$AF$137,32,FALSE)*VLOOKUP('SV calc_ignore'!A199,Output!$A$27:$AG$137,33,FALSE)/IF(AnnuityMode=2,2,IF(AnnuityMode=4,4,IF(AnnuityMode=12,12,1))),0),0)</f>
        <v>20833.333333333332</v>
      </c>
      <c r="J199" s="227">
        <f t="shared" si="25"/>
        <v>0</v>
      </c>
      <c r="K199" s="209">
        <f t="shared" si="31"/>
        <v>0</v>
      </c>
      <c r="L199" s="209">
        <f t="shared" si="26"/>
        <v>0</v>
      </c>
      <c r="M199" s="210">
        <f t="shared" si="35"/>
        <v>0</v>
      </c>
      <c r="N199" s="211">
        <f t="shared" si="32"/>
        <v>0</v>
      </c>
      <c r="O199" s="194">
        <f t="shared" si="33"/>
        <v>0</v>
      </c>
      <c r="P199" s="212">
        <f t="shared" si="27"/>
        <v>0</v>
      </c>
      <c r="Q199">
        <f t="shared" si="28"/>
        <v>2435451.528730927</v>
      </c>
      <c r="X199" s="216">
        <f t="shared" si="34"/>
        <v>15</v>
      </c>
      <c r="Y199">
        <f t="shared" si="29"/>
        <v>0</v>
      </c>
    </row>
    <row r="200" spans="1:25" x14ac:dyDescent="0.2">
      <c r="A200" s="204">
        <f>IF(MOD(COUNT($A$10:A199),12)=0,A199+1,A199)</f>
        <v>16</v>
      </c>
      <c r="B200" s="218">
        <f t="shared" si="30"/>
        <v>11</v>
      </c>
      <c r="C200" s="218">
        <f t="shared" si="24"/>
        <v>1</v>
      </c>
      <c r="D200" s="208">
        <f>IF(MOD(COUNT($D$10:D199),6)=0,D199+1,D199)</f>
        <v>32</v>
      </c>
      <c r="E200" s="208">
        <f>IF(MOD(COUNT($E$10:E199),3)=0,E199+1,E199)</f>
        <v>64</v>
      </c>
      <c r="F200" s="208">
        <f>IF(MOD(COUNT($F$10:F199),1)=0,F199+1,F199)</f>
        <v>191</v>
      </c>
      <c r="G200" s="204">
        <f>IFERROR(IF(C200=1,VLOOKUP(A200,Output!$A$27:$AB$137,28,FALSE)/AnnuityMode,0),0)</f>
        <v>0</v>
      </c>
      <c r="H200" s="220">
        <f>IFERROR(IF(AND(MIN(A200&gt;25,Age+A200&gt;=85),B200=12),VLOOKUP(A200,Output!$A$27:$AE$137,31,FALSE),0),0)</f>
        <v>0</v>
      </c>
      <c r="I200" s="221">
        <f>IFERROR(IF(AND(MIN(A200&gt;15,A200+Age&gt;=70),C200=1),VLOOKUP(A200,Output!$A$27:$AF$137,32,FALSE)*VLOOKUP('SV calc_ignore'!A200,Output!$A$27:$AG$137,33,FALSE)/IF(AnnuityMode=2,2,IF(AnnuityMode=4,4,IF(AnnuityMode=12,12,1))),0),0)</f>
        <v>20833.333333333332</v>
      </c>
      <c r="J200" s="227">
        <f t="shared" si="25"/>
        <v>0</v>
      </c>
      <c r="K200" s="209">
        <f t="shared" si="31"/>
        <v>0</v>
      </c>
      <c r="L200" s="209">
        <f t="shared" si="26"/>
        <v>0</v>
      </c>
      <c r="M200" s="210">
        <f t="shared" si="35"/>
        <v>0</v>
      </c>
      <c r="N200" s="211">
        <f t="shared" si="32"/>
        <v>0</v>
      </c>
      <c r="O200" s="194">
        <f t="shared" si="33"/>
        <v>0</v>
      </c>
      <c r="P200" s="212">
        <f t="shared" si="27"/>
        <v>0</v>
      </c>
      <c r="Q200">
        <f t="shared" si="28"/>
        <v>2431089.49739883</v>
      </c>
      <c r="X200" s="216">
        <f t="shared" si="34"/>
        <v>15</v>
      </c>
      <c r="Y200">
        <f t="shared" si="29"/>
        <v>0</v>
      </c>
    </row>
    <row r="201" spans="1:25" x14ac:dyDescent="0.2">
      <c r="A201" s="204">
        <f>IF(MOD(COUNT($A$10:A200),12)=0,A200+1,A200)</f>
        <v>16</v>
      </c>
      <c r="B201" s="218">
        <f t="shared" si="30"/>
        <v>12</v>
      </c>
      <c r="C201" s="218">
        <f t="shared" si="24"/>
        <v>1</v>
      </c>
      <c r="D201" s="208">
        <f>IF(MOD(COUNT($D$10:D200),6)=0,D200+1,D200)</f>
        <v>32</v>
      </c>
      <c r="E201" s="208">
        <f>IF(MOD(COUNT($E$10:E200),3)=0,E200+1,E200)</f>
        <v>64</v>
      </c>
      <c r="F201" s="208">
        <f>IF(MOD(COUNT($F$10:F200),1)=0,F200+1,F200)</f>
        <v>192</v>
      </c>
      <c r="G201" s="204">
        <f>IFERROR(IF(C201=1,VLOOKUP(A201,Output!$A$27:$AB$137,28,FALSE)/AnnuityMode,0),0)</f>
        <v>0</v>
      </c>
      <c r="H201" s="220">
        <f>IFERROR(IF(AND(MIN(A201&gt;25,Age+A201&gt;=85),B201=12),VLOOKUP(A201,Output!$A$27:$AE$137,31,FALSE),0),0)</f>
        <v>0</v>
      </c>
      <c r="I201" s="221">
        <f>IFERROR(IF(AND(MIN(A201&gt;15,A201+Age&gt;=70),C201=1),VLOOKUP(A201,Output!$A$27:$AF$137,32,FALSE)*VLOOKUP('SV calc_ignore'!A201,Output!$A$27:$AG$137,33,FALSE)/IF(AnnuityMode=2,2,IF(AnnuityMode=4,4,IF(AnnuityMode=12,12,1))),0),0)</f>
        <v>20833.333333333332</v>
      </c>
      <c r="J201" s="227">
        <f t="shared" si="25"/>
        <v>0</v>
      </c>
      <c r="K201" s="209">
        <f t="shared" si="31"/>
        <v>0</v>
      </c>
      <c r="L201" s="209">
        <f t="shared" si="26"/>
        <v>0</v>
      </c>
      <c r="M201" s="210">
        <f t="shared" si="35"/>
        <v>0</v>
      </c>
      <c r="N201" s="211">
        <f t="shared" si="32"/>
        <v>0</v>
      </c>
      <c r="O201" s="194">
        <f t="shared" si="33"/>
        <v>0</v>
      </c>
      <c r="P201" s="212">
        <f t="shared" si="27"/>
        <v>0</v>
      </c>
      <c r="Q201">
        <f t="shared" si="28"/>
        <v>2426697.7104989388</v>
      </c>
      <c r="X201" s="216">
        <f t="shared" si="34"/>
        <v>15</v>
      </c>
      <c r="Y201">
        <f t="shared" si="29"/>
        <v>0</v>
      </c>
    </row>
    <row r="202" spans="1:25" x14ac:dyDescent="0.2">
      <c r="A202" s="204">
        <f>IF(MOD(COUNT($A$10:A201),12)=0,A201+1,A201)</f>
        <v>17</v>
      </c>
      <c r="B202" s="218">
        <f t="shared" si="30"/>
        <v>1</v>
      </c>
      <c r="C202" s="218">
        <f t="shared" ref="C202:C265" si="36">IF(AND(AnnuityMode=1,B202=12),1,IF(AND(OR(B202=6,B202=12),AnnuityMode=2),1,IF(AND(OR(B202=3,B202=6,B202=12,B202=9),AnnuityMode=4),1,IF(AND(OR(B202=1,B202=2,B202=3,B202=4,B202=5,B202=6,B202=7,B202=8,B202=9,B202=10,B202=11,B202=12),AnnuityMode=12),1,0))))</f>
        <v>1</v>
      </c>
      <c r="D202" s="208">
        <f>IF(MOD(COUNT($D$10:D201),6)=0,D201+1,D201)</f>
        <v>33</v>
      </c>
      <c r="E202" s="208">
        <f>IF(MOD(COUNT($E$10:E201),3)=0,E201+1,E201)</f>
        <v>65</v>
      </c>
      <c r="F202" s="208">
        <f>IF(MOD(COUNT($F$10:F201),1)=0,F201+1,F201)</f>
        <v>193</v>
      </c>
      <c r="G202" s="204">
        <f>IFERROR(IF(C202=1,VLOOKUP(A202,Output!$A$27:$AB$137,28,FALSE)/AnnuityMode,0),0)</f>
        <v>0</v>
      </c>
      <c r="H202" s="220">
        <f>IFERROR(IF(AND(MIN(A202&gt;25,Age+A202&gt;=85),B202=12),VLOOKUP(A202,Output!$A$27:$AE$137,31,FALSE),0),0)</f>
        <v>0</v>
      </c>
      <c r="I202" s="221">
        <f>IFERROR(IF(AND(MIN(A202&gt;15,A202+Age&gt;=70),C202=1),VLOOKUP(A202,Output!$A$27:$AF$137,32,FALSE)*VLOOKUP('SV calc_ignore'!A202,Output!$A$27:$AG$137,33,FALSE)/IF(AnnuityMode=2,2,IF(AnnuityMode=4,4,IF(AnnuityMode=12,12,1))),0),0)</f>
        <v>20833.333333333332</v>
      </c>
      <c r="J202" s="227">
        <f t="shared" ref="J202:J265" si="37">G202+(J203)*(1+$K$3)^(-1)</f>
        <v>0</v>
      </c>
      <c r="K202" s="209">
        <f t="shared" si="31"/>
        <v>0</v>
      </c>
      <c r="L202" s="209">
        <f t="shared" ref="L202:L265" si="38">(L203+G203)*$K$2</f>
        <v>0</v>
      </c>
      <c r="M202" s="210">
        <f t="shared" si="35"/>
        <v>0</v>
      </c>
      <c r="N202" s="211">
        <f t="shared" si="32"/>
        <v>0</v>
      </c>
      <c r="O202" s="194">
        <f t="shared" si="33"/>
        <v>0</v>
      </c>
      <c r="P202" s="212">
        <f t="shared" ref="P202:P265" si="39">(P203+H203)*(1+$K$3)^(-1)</f>
        <v>0</v>
      </c>
      <c r="Q202">
        <f t="shared" ref="Q202:Q265" si="40">(I202+(Q203)*(1+$K$3)^(-1))*(A202&lt;=$W$5)</f>
        <v>2422275.9650538452</v>
      </c>
      <c r="X202" s="216">
        <f t="shared" si="34"/>
        <v>16</v>
      </c>
      <c r="Y202">
        <f t="shared" ref="Y202:Y265" si="41">G202*(1-IF(AnnuityMode=1,$L$2,IF(AnnuityMode=2,$M$2,IF(AnnuityMode=4,$N$2,$K$2)))^(110*AnnuityMode-IF(AnnuityMode=1,X202,IF(AnnuityMode=2,D202,IF(AnnuityMode=4,E202,F202)))-0))/(IF(AnnuityMode=1,$L$3,IF(AnnuityMode=2,$M$3,IF(AnnuityMode=4,$N$3,$K$3))))</f>
        <v>0</v>
      </c>
    </row>
    <row r="203" spans="1:25" x14ac:dyDescent="0.2">
      <c r="A203" s="204">
        <f>IF(MOD(COUNT($A$10:A202),12)=0,A202+1,A202)</f>
        <v>17</v>
      </c>
      <c r="B203" s="218">
        <f t="shared" ref="B203:B266" si="42">IF(A202&lt;&gt;A203,1,B202+1)</f>
        <v>2</v>
      </c>
      <c r="C203" s="218">
        <f t="shared" si="36"/>
        <v>1</v>
      </c>
      <c r="D203" s="208">
        <f>IF(MOD(COUNT($D$10:D202),6)=0,D202+1,D202)</f>
        <v>33</v>
      </c>
      <c r="E203" s="208">
        <f>IF(MOD(COUNT($E$10:E202),3)=0,E202+1,E202)</f>
        <v>65</v>
      </c>
      <c r="F203" s="208">
        <f>IF(MOD(COUNT($F$10:F202),1)=0,F202+1,F202)</f>
        <v>194</v>
      </c>
      <c r="G203" s="204">
        <f>IFERROR(IF(C203=1,VLOOKUP(A203,Output!$A$27:$AB$137,28,FALSE)/AnnuityMode,0),0)</f>
        <v>0</v>
      </c>
      <c r="H203" s="220">
        <f>IFERROR(IF(AND(MIN(A203&gt;25,Age+A203&gt;=85),B203=12),VLOOKUP(A203,Output!$A$27:$AE$137,31,FALSE),0),0)</f>
        <v>0</v>
      </c>
      <c r="I203" s="221">
        <f>IFERROR(IF(AND(MIN(A203&gt;15,A203+Age&gt;=70),C203=1),VLOOKUP(A203,Output!$A$27:$AF$137,32,FALSE)*VLOOKUP('SV calc_ignore'!A203,Output!$A$27:$AG$137,33,FALSE)/IF(AnnuityMode=2,2,IF(AnnuityMode=4,4,IF(AnnuityMode=12,12,1))),0),0)</f>
        <v>20833.333333333332</v>
      </c>
      <c r="J203" s="227">
        <f t="shared" si="37"/>
        <v>0</v>
      </c>
      <c r="K203" s="209">
        <f t="shared" ref="K203:K266" si="43">IF(OR(K202&gt;$K$8,K202=0),0,K202+1)</f>
        <v>0</v>
      </c>
      <c r="L203" s="209">
        <f t="shared" si="38"/>
        <v>0</v>
      </c>
      <c r="M203" s="210">
        <f t="shared" si="35"/>
        <v>0</v>
      </c>
      <c r="N203" s="211">
        <f t="shared" ref="N203:N266" si="44">M203-L203-G203</f>
        <v>0</v>
      </c>
      <c r="O203" s="194">
        <f t="shared" ref="O203:O266" si="45">MAX($H$10:$H$897)/(1+$K$3)^($Q$5*12-F203)*(A203&lt;=$Q$5)</f>
        <v>0</v>
      </c>
      <c r="P203" s="212">
        <f t="shared" si="39"/>
        <v>0</v>
      </c>
      <c r="Q203">
        <f t="shared" si="40"/>
        <v>2417824.0567015321</v>
      </c>
      <c r="X203" s="216">
        <f t="shared" ref="X203:X266" si="46">A203-1</f>
        <v>16</v>
      </c>
      <c r="Y203">
        <f t="shared" si="41"/>
        <v>0</v>
      </c>
    </row>
    <row r="204" spans="1:25" x14ac:dyDescent="0.2">
      <c r="A204" s="204">
        <f>IF(MOD(COUNT($A$10:A203),12)=0,A203+1,A203)</f>
        <v>17</v>
      </c>
      <c r="B204" s="218">
        <f t="shared" si="42"/>
        <v>3</v>
      </c>
      <c r="C204" s="218">
        <f t="shared" si="36"/>
        <v>1</v>
      </c>
      <c r="D204" s="208">
        <f>IF(MOD(COUNT($D$10:D203),6)=0,D203+1,D203)</f>
        <v>33</v>
      </c>
      <c r="E204" s="208">
        <f>IF(MOD(COUNT($E$10:E203),3)=0,E203+1,E203)</f>
        <v>65</v>
      </c>
      <c r="F204" s="208">
        <f>IF(MOD(COUNT($F$10:F203),1)=0,F203+1,F203)</f>
        <v>195</v>
      </c>
      <c r="G204" s="204">
        <f>IFERROR(IF(C204=1,VLOOKUP(A204,Output!$A$27:$AB$137,28,FALSE)/AnnuityMode,0),0)</f>
        <v>0</v>
      </c>
      <c r="H204" s="220">
        <f>IFERROR(IF(AND(MIN(A204&gt;25,Age+A204&gt;=85),B204=12),VLOOKUP(A204,Output!$A$27:$AE$137,31,FALSE),0),0)</f>
        <v>0</v>
      </c>
      <c r="I204" s="221">
        <f>IFERROR(IF(AND(MIN(A204&gt;15,A204+Age&gt;=70),C204=1),VLOOKUP(A204,Output!$A$27:$AF$137,32,FALSE)*VLOOKUP('SV calc_ignore'!A204,Output!$A$27:$AG$137,33,FALSE)/IF(AnnuityMode=2,2,IF(AnnuityMode=4,4,IF(AnnuityMode=12,12,1))),0),0)</f>
        <v>20833.333333333332</v>
      </c>
      <c r="J204" s="227">
        <f t="shared" si="37"/>
        <v>0</v>
      </c>
      <c r="K204" s="209">
        <f t="shared" si="43"/>
        <v>0</v>
      </c>
      <c r="L204" s="209">
        <f t="shared" si="38"/>
        <v>0</v>
      </c>
      <c r="M204" s="210">
        <f t="shared" ref="M204:M267" si="47">L203*(1+$K$3)</f>
        <v>0</v>
      </c>
      <c r="N204" s="211">
        <f t="shared" si="44"/>
        <v>0</v>
      </c>
      <c r="O204" s="194">
        <f t="shared" si="45"/>
        <v>0</v>
      </c>
      <c r="P204" s="212">
        <f t="shared" si="39"/>
        <v>0</v>
      </c>
      <c r="Q204">
        <f t="shared" si="40"/>
        <v>2413341.779685928</v>
      </c>
      <c r="X204" s="216">
        <f t="shared" si="46"/>
        <v>16</v>
      </c>
      <c r="Y204">
        <f t="shared" si="41"/>
        <v>0</v>
      </c>
    </row>
    <row r="205" spans="1:25" x14ac:dyDescent="0.2">
      <c r="A205" s="204">
        <f>IF(MOD(COUNT($A$10:A204),12)=0,A204+1,A204)</f>
        <v>17</v>
      </c>
      <c r="B205" s="218">
        <f t="shared" si="42"/>
        <v>4</v>
      </c>
      <c r="C205" s="218">
        <f t="shared" si="36"/>
        <v>1</v>
      </c>
      <c r="D205" s="208">
        <f>IF(MOD(COUNT($D$10:D204),6)=0,D204+1,D204)</f>
        <v>33</v>
      </c>
      <c r="E205" s="208">
        <f>IF(MOD(COUNT($E$10:E204),3)=0,E204+1,E204)</f>
        <v>66</v>
      </c>
      <c r="F205" s="208">
        <f>IF(MOD(COUNT($F$10:F204),1)=0,F204+1,F204)</f>
        <v>196</v>
      </c>
      <c r="G205" s="204">
        <f>IFERROR(IF(C205=1,VLOOKUP(A205,Output!$A$27:$AB$137,28,FALSE)/AnnuityMode,0),0)</f>
        <v>0</v>
      </c>
      <c r="H205" s="220">
        <f>IFERROR(IF(AND(MIN(A205&gt;25,Age+A205&gt;=85),B205=12),VLOOKUP(A205,Output!$A$27:$AE$137,31,FALSE),0),0)</f>
        <v>0</v>
      </c>
      <c r="I205" s="221">
        <f>IFERROR(IF(AND(MIN(A205&gt;15,A205+Age&gt;=70),C205=1),VLOOKUP(A205,Output!$A$27:$AF$137,32,FALSE)*VLOOKUP('SV calc_ignore'!A205,Output!$A$27:$AG$137,33,FALSE)/IF(AnnuityMode=2,2,IF(AnnuityMode=4,4,IF(AnnuityMode=12,12,1))),0),0)</f>
        <v>20833.333333333332</v>
      </c>
      <c r="J205" s="227">
        <f t="shared" si="37"/>
        <v>0</v>
      </c>
      <c r="K205" s="209">
        <f t="shared" si="43"/>
        <v>0</v>
      </c>
      <c r="L205" s="209">
        <f t="shared" si="38"/>
        <v>0</v>
      </c>
      <c r="M205" s="210">
        <f t="shared" si="47"/>
        <v>0</v>
      </c>
      <c r="N205" s="211">
        <f t="shared" si="44"/>
        <v>0</v>
      </c>
      <c r="O205" s="194">
        <f t="shared" si="45"/>
        <v>0</v>
      </c>
      <c r="P205" s="212">
        <f t="shared" si="39"/>
        <v>0</v>
      </c>
      <c r="Q205">
        <f t="shared" si="40"/>
        <v>2408828.9268473973</v>
      </c>
      <c r="X205" s="216">
        <f t="shared" si="46"/>
        <v>16</v>
      </c>
      <c r="Y205">
        <f t="shared" si="41"/>
        <v>0</v>
      </c>
    </row>
    <row r="206" spans="1:25" x14ac:dyDescent="0.2">
      <c r="A206" s="204">
        <f>IF(MOD(COUNT($A$10:A205),12)=0,A205+1,A205)</f>
        <v>17</v>
      </c>
      <c r="B206" s="218">
        <f t="shared" si="42"/>
        <v>5</v>
      </c>
      <c r="C206" s="218">
        <f t="shared" si="36"/>
        <v>1</v>
      </c>
      <c r="D206" s="208">
        <f>IF(MOD(COUNT($D$10:D205),6)=0,D205+1,D205)</f>
        <v>33</v>
      </c>
      <c r="E206" s="208">
        <f>IF(MOD(COUNT($E$10:E205),3)=0,E205+1,E205)</f>
        <v>66</v>
      </c>
      <c r="F206" s="208">
        <f>IF(MOD(COUNT($F$10:F205),1)=0,F205+1,F205)</f>
        <v>197</v>
      </c>
      <c r="G206" s="204">
        <f>IFERROR(IF(C206=1,VLOOKUP(A206,Output!$A$27:$AB$137,28,FALSE)/AnnuityMode,0),0)</f>
        <v>0</v>
      </c>
      <c r="H206" s="220">
        <f>IFERROR(IF(AND(MIN(A206&gt;25,Age+A206&gt;=85),B206=12),VLOOKUP(A206,Output!$A$27:$AE$137,31,FALSE),0),0)</f>
        <v>0</v>
      </c>
      <c r="I206" s="221">
        <f>IFERROR(IF(AND(MIN(A206&gt;15,A206+Age&gt;=70),C206=1),VLOOKUP(A206,Output!$A$27:$AF$137,32,FALSE)*VLOOKUP('SV calc_ignore'!A206,Output!$A$27:$AG$137,33,FALSE)/IF(AnnuityMode=2,2,IF(AnnuityMode=4,4,IF(AnnuityMode=12,12,1))),0),0)</f>
        <v>20833.333333333332</v>
      </c>
      <c r="J206" s="227">
        <f t="shared" si="37"/>
        <v>0</v>
      </c>
      <c r="K206" s="209">
        <f t="shared" si="43"/>
        <v>0</v>
      </c>
      <c r="L206" s="209">
        <f t="shared" si="38"/>
        <v>0</v>
      </c>
      <c r="M206" s="210">
        <f t="shared" si="47"/>
        <v>0</v>
      </c>
      <c r="N206" s="211">
        <f t="shared" si="44"/>
        <v>0</v>
      </c>
      <c r="O206" s="194">
        <f t="shared" si="45"/>
        <v>0</v>
      </c>
      <c r="P206" s="212">
        <f t="shared" si="39"/>
        <v>0</v>
      </c>
      <c r="Q206">
        <f t="shared" si="40"/>
        <v>2404285.2896131673</v>
      </c>
      <c r="X206" s="216">
        <f t="shared" si="46"/>
        <v>16</v>
      </c>
      <c r="Y206">
        <f t="shared" si="41"/>
        <v>0</v>
      </c>
    </row>
    <row r="207" spans="1:25" x14ac:dyDescent="0.2">
      <c r="A207" s="204">
        <f>IF(MOD(COUNT($A$10:A206),12)=0,A206+1,A206)</f>
        <v>17</v>
      </c>
      <c r="B207" s="218">
        <f t="shared" si="42"/>
        <v>6</v>
      </c>
      <c r="C207" s="218">
        <f t="shared" si="36"/>
        <v>1</v>
      </c>
      <c r="D207" s="208">
        <f>IF(MOD(COUNT($D$10:D206),6)=0,D206+1,D206)</f>
        <v>33</v>
      </c>
      <c r="E207" s="208">
        <f>IF(MOD(COUNT($E$10:E206),3)=0,E206+1,E206)</f>
        <v>66</v>
      </c>
      <c r="F207" s="208">
        <f>IF(MOD(COUNT($F$10:F206),1)=0,F206+1,F206)</f>
        <v>198</v>
      </c>
      <c r="G207" s="204">
        <f>IFERROR(IF(C207=1,VLOOKUP(A207,Output!$A$27:$AB$137,28,FALSE)/AnnuityMode,0),0)</f>
        <v>0</v>
      </c>
      <c r="H207" s="220">
        <f>IFERROR(IF(AND(MIN(A207&gt;25,Age+A207&gt;=85),B207=12),VLOOKUP(A207,Output!$A$27:$AE$137,31,FALSE),0),0)</f>
        <v>0</v>
      </c>
      <c r="I207" s="221">
        <f>IFERROR(IF(AND(MIN(A207&gt;15,A207+Age&gt;=70),C207=1),VLOOKUP(A207,Output!$A$27:$AF$137,32,FALSE)*VLOOKUP('SV calc_ignore'!A207,Output!$A$27:$AG$137,33,FALSE)/IF(AnnuityMode=2,2,IF(AnnuityMode=4,4,IF(AnnuityMode=12,12,1))),0),0)</f>
        <v>20833.333333333332</v>
      </c>
      <c r="J207" s="227">
        <f t="shared" si="37"/>
        <v>0</v>
      </c>
      <c r="K207" s="209">
        <f t="shared" si="43"/>
        <v>0</v>
      </c>
      <c r="L207" s="209">
        <f t="shared" si="38"/>
        <v>0</v>
      </c>
      <c r="M207" s="210">
        <f t="shared" si="47"/>
        <v>0</v>
      </c>
      <c r="N207" s="211">
        <f t="shared" si="44"/>
        <v>0</v>
      </c>
      <c r="O207" s="194">
        <f t="shared" si="45"/>
        <v>0</v>
      </c>
      <c r="P207" s="212">
        <f t="shared" si="39"/>
        <v>0</v>
      </c>
      <c r="Q207">
        <f t="shared" si="40"/>
        <v>2399710.6579876863</v>
      </c>
      <c r="X207" s="216">
        <f t="shared" si="46"/>
        <v>16</v>
      </c>
      <c r="Y207">
        <f t="shared" si="41"/>
        <v>0</v>
      </c>
    </row>
    <row r="208" spans="1:25" x14ac:dyDescent="0.2">
      <c r="A208" s="204">
        <f>IF(MOD(COUNT($A$10:A207),12)=0,A207+1,A207)</f>
        <v>17</v>
      </c>
      <c r="B208" s="218">
        <f t="shared" si="42"/>
        <v>7</v>
      </c>
      <c r="C208" s="218">
        <f t="shared" si="36"/>
        <v>1</v>
      </c>
      <c r="D208" s="208">
        <f>IF(MOD(COUNT($D$10:D207),6)=0,D207+1,D207)</f>
        <v>34</v>
      </c>
      <c r="E208" s="208">
        <f>IF(MOD(COUNT($E$10:E207),3)=0,E207+1,E207)</f>
        <v>67</v>
      </c>
      <c r="F208" s="208">
        <f>IF(MOD(COUNT($F$10:F207),1)=0,F207+1,F207)</f>
        <v>199</v>
      </c>
      <c r="G208" s="204">
        <f>IFERROR(IF(C208=1,VLOOKUP(A208,Output!$A$27:$AB$137,28,FALSE)/AnnuityMode,0),0)</f>
        <v>0</v>
      </c>
      <c r="H208" s="220">
        <f>IFERROR(IF(AND(MIN(A208&gt;25,Age+A208&gt;=85),B208=12),VLOOKUP(A208,Output!$A$27:$AE$137,31,FALSE),0),0)</f>
        <v>0</v>
      </c>
      <c r="I208" s="221">
        <f>IFERROR(IF(AND(MIN(A208&gt;15,A208+Age&gt;=70),C208=1),VLOOKUP(A208,Output!$A$27:$AF$137,32,FALSE)*VLOOKUP('SV calc_ignore'!A208,Output!$A$27:$AG$137,33,FALSE)/IF(AnnuityMode=2,2,IF(AnnuityMode=4,4,IF(AnnuityMode=12,12,1))),0),0)</f>
        <v>20833.333333333332</v>
      </c>
      <c r="J208" s="227">
        <f t="shared" si="37"/>
        <v>0</v>
      </c>
      <c r="K208" s="209">
        <f t="shared" si="43"/>
        <v>0</v>
      </c>
      <c r="L208" s="209">
        <f t="shared" si="38"/>
        <v>0</v>
      </c>
      <c r="M208" s="210">
        <f t="shared" si="47"/>
        <v>0</v>
      </c>
      <c r="N208" s="211">
        <f t="shared" si="44"/>
        <v>0</v>
      </c>
      <c r="O208" s="194">
        <f t="shared" si="45"/>
        <v>0</v>
      </c>
      <c r="P208" s="212">
        <f t="shared" si="39"/>
        <v>0</v>
      </c>
      <c r="Q208">
        <f t="shared" si="40"/>
        <v>2395104.8205429204</v>
      </c>
      <c r="X208" s="216">
        <f t="shared" si="46"/>
        <v>16</v>
      </c>
      <c r="Y208">
        <f t="shared" si="41"/>
        <v>0</v>
      </c>
    </row>
    <row r="209" spans="1:25" x14ac:dyDescent="0.2">
      <c r="A209" s="204">
        <f>IF(MOD(COUNT($A$10:A208),12)=0,A208+1,A208)</f>
        <v>17</v>
      </c>
      <c r="B209" s="218">
        <f t="shared" si="42"/>
        <v>8</v>
      </c>
      <c r="C209" s="218">
        <f t="shared" si="36"/>
        <v>1</v>
      </c>
      <c r="D209" s="208">
        <f>IF(MOD(COUNT($D$10:D208),6)=0,D208+1,D208)</f>
        <v>34</v>
      </c>
      <c r="E209" s="208">
        <f>IF(MOD(COUNT($E$10:E208),3)=0,E208+1,E208)</f>
        <v>67</v>
      </c>
      <c r="F209" s="208">
        <f>IF(MOD(COUNT($F$10:F208),1)=0,F208+1,F208)</f>
        <v>200</v>
      </c>
      <c r="G209" s="204">
        <f>IFERROR(IF(C209=1,VLOOKUP(A209,Output!$A$27:$AB$137,28,FALSE)/AnnuityMode,0),0)</f>
        <v>0</v>
      </c>
      <c r="H209" s="220">
        <f>IFERROR(IF(AND(MIN(A209&gt;25,Age+A209&gt;=85),B209=12),VLOOKUP(A209,Output!$A$27:$AE$137,31,FALSE),0),0)</f>
        <v>0</v>
      </c>
      <c r="I209" s="221">
        <f>IFERROR(IF(AND(MIN(A209&gt;15,A209+Age&gt;=70),C209=1),VLOOKUP(A209,Output!$A$27:$AF$137,32,FALSE)*VLOOKUP('SV calc_ignore'!A209,Output!$A$27:$AG$137,33,FALSE)/IF(AnnuityMode=2,2,IF(AnnuityMode=4,4,IF(AnnuityMode=12,12,1))),0),0)</f>
        <v>20833.333333333332</v>
      </c>
      <c r="J209" s="227">
        <f t="shared" si="37"/>
        <v>0</v>
      </c>
      <c r="K209" s="209">
        <f t="shared" si="43"/>
        <v>0</v>
      </c>
      <c r="L209" s="209">
        <f t="shared" si="38"/>
        <v>0</v>
      </c>
      <c r="M209" s="210">
        <f t="shared" si="47"/>
        <v>0</v>
      </c>
      <c r="N209" s="211">
        <f t="shared" si="44"/>
        <v>0</v>
      </c>
      <c r="O209" s="194">
        <f t="shared" si="45"/>
        <v>0</v>
      </c>
      <c r="P209" s="212">
        <f t="shared" si="39"/>
        <v>0</v>
      </c>
      <c r="Q209">
        <f t="shared" si="40"/>
        <v>2390467.5644085803</v>
      </c>
      <c r="X209" s="216">
        <f t="shared" si="46"/>
        <v>16</v>
      </c>
      <c r="Y209">
        <f t="shared" si="41"/>
        <v>0</v>
      </c>
    </row>
    <row r="210" spans="1:25" x14ac:dyDescent="0.2">
      <c r="A210" s="204">
        <f>IF(MOD(COUNT($A$10:A209),12)=0,A209+1,A209)</f>
        <v>17</v>
      </c>
      <c r="B210" s="218">
        <f t="shared" si="42"/>
        <v>9</v>
      </c>
      <c r="C210" s="218">
        <f t="shared" si="36"/>
        <v>1</v>
      </c>
      <c r="D210" s="208">
        <f>IF(MOD(COUNT($D$10:D209),6)=0,D209+1,D209)</f>
        <v>34</v>
      </c>
      <c r="E210" s="208">
        <f>IF(MOD(COUNT($E$10:E209),3)=0,E209+1,E209)</f>
        <v>67</v>
      </c>
      <c r="F210" s="208">
        <f>IF(MOD(COUNT($F$10:F209),1)=0,F209+1,F209)</f>
        <v>201</v>
      </c>
      <c r="G210" s="204">
        <f>IFERROR(IF(C210=1,VLOOKUP(A210,Output!$A$27:$AB$137,28,FALSE)/AnnuityMode,0),0)</f>
        <v>0</v>
      </c>
      <c r="H210" s="220">
        <f>IFERROR(IF(AND(MIN(A210&gt;25,Age+A210&gt;=85),B210=12),VLOOKUP(A210,Output!$A$27:$AE$137,31,FALSE),0),0)</f>
        <v>0</v>
      </c>
      <c r="I210" s="221">
        <f>IFERROR(IF(AND(MIN(A210&gt;15,A210+Age&gt;=70),C210=1),VLOOKUP(A210,Output!$A$27:$AF$137,32,FALSE)*VLOOKUP('SV calc_ignore'!A210,Output!$A$27:$AG$137,33,FALSE)/IF(AnnuityMode=2,2,IF(AnnuityMode=4,4,IF(AnnuityMode=12,12,1))),0),0)</f>
        <v>20833.333333333332</v>
      </c>
      <c r="J210" s="227">
        <f t="shared" si="37"/>
        <v>0</v>
      </c>
      <c r="K210" s="209">
        <f t="shared" si="43"/>
        <v>0</v>
      </c>
      <c r="L210" s="209">
        <f t="shared" si="38"/>
        <v>0</v>
      </c>
      <c r="M210" s="210">
        <f t="shared" si="47"/>
        <v>0</v>
      </c>
      <c r="N210" s="211">
        <f t="shared" si="44"/>
        <v>0</v>
      </c>
      <c r="O210" s="194">
        <f t="shared" si="45"/>
        <v>0</v>
      </c>
      <c r="P210" s="212">
        <f t="shared" si="39"/>
        <v>0</v>
      </c>
      <c r="Q210">
        <f t="shared" si="40"/>
        <v>2385798.6752622835</v>
      </c>
      <c r="X210" s="216">
        <f t="shared" si="46"/>
        <v>16</v>
      </c>
      <c r="Y210">
        <f t="shared" si="41"/>
        <v>0</v>
      </c>
    </row>
    <row r="211" spans="1:25" x14ac:dyDescent="0.2">
      <c r="A211" s="204">
        <f>IF(MOD(COUNT($A$10:A210),12)=0,A210+1,A210)</f>
        <v>17</v>
      </c>
      <c r="B211" s="218">
        <f t="shared" si="42"/>
        <v>10</v>
      </c>
      <c r="C211" s="218">
        <f t="shared" si="36"/>
        <v>1</v>
      </c>
      <c r="D211" s="208">
        <f>IF(MOD(COUNT($D$10:D210),6)=0,D210+1,D210)</f>
        <v>34</v>
      </c>
      <c r="E211" s="208">
        <f>IF(MOD(COUNT($E$10:E210),3)=0,E210+1,E210)</f>
        <v>68</v>
      </c>
      <c r="F211" s="208">
        <f>IF(MOD(COUNT($F$10:F210),1)=0,F210+1,F210)</f>
        <v>202</v>
      </c>
      <c r="G211" s="204">
        <f>IFERROR(IF(C211=1,VLOOKUP(A211,Output!$A$27:$AB$137,28,FALSE)/AnnuityMode,0),0)</f>
        <v>0</v>
      </c>
      <c r="H211" s="220">
        <f>IFERROR(IF(AND(MIN(A211&gt;25,Age+A211&gt;=85),B211=12),VLOOKUP(A211,Output!$A$27:$AE$137,31,FALSE),0),0)</f>
        <v>0</v>
      </c>
      <c r="I211" s="221">
        <f>IFERROR(IF(AND(MIN(A211&gt;15,A211+Age&gt;=70),C211=1),VLOOKUP(A211,Output!$A$27:$AF$137,32,FALSE)*VLOOKUP('SV calc_ignore'!A211,Output!$A$27:$AG$137,33,FALSE)/IF(AnnuityMode=2,2,IF(AnnuityMode=4,4,IF(AnnuityMode=12,12,1))),0),0)</f>
        <v>20833.333333333332</v>
      </c>
      <c r="J211" s="227">
        <f t="shared" si="37"/>
        <v>0</v>
      </c>
      <c r="K211" s="209">
        <f t="shared" si="43"/>
        <v>0</v>
      </c>
      <c r="L211" s="209">
        <f t="shared" si="38"/>
        <v>0</v>
      </c>
      <c r="M211" s="210">
        <f t="shared" si="47"/>
        <v>0</v>
      </c>
      <c r="N211" s="211">
        <f t="shared" si="44"/>
        <v>0</v>
      </c>
      <c r="O211" s="194">
        <f t="shared" si="45"/>
        <v>0</v>
      </c>
      <c r="P211" s="212">
        <f t="shared" si="39"/>
        <v>0</v>
      </c>
      <c r="Q211">
        <f t="shared" si="40"/>
        <v>2381097.9373196489</v>
      </c>
      <c r="X211" s="216">
        <f t="shared" si="46"/>
        <v>16</v>
      </c>
      <c r="Y211">
        <f t="shared" si="41"/>
        <v>0</v>
      </c>
    </row>
    <row r="212" spans="1:25" x14ac:dyDescent="0.2">
      <c r="A212" s="204">
        <f>IF(MOD(COUNT($A$10:A211),12)=0,A211+1,A211)</f>
        <v>17</v>
      </c>
      <c r="B212" s="218">
        <f t="shared" si="42"/>
        <v>11</v>
      </c>
      <c r="C212" s="218">
        <f t="shared" si="36"/>
        <v>1</v>
      </c>
      <c r="D212" s="208">
        <f>IF(MOD(COUNT($D$10:D211),6)=0,D211+1,D211)</f>
        <v>34</v>
      </c>
      <c r="E212" s="208">
        <f>IF(MOD(COUNT($E$10:E211),3)=0,E211+1,E211)</f>
        <v>68</v>
      </c>
      <c r="F212" s="208">
        <f>IF(MOD(COUNT($F$10:F211),1)=0,F211+1,F211)</f>
        <v>203</v>
      </c>
      <c r="G212" s="204">
        <f>IFERROR(IF(C212=1,VLOOKUP(A212,Output!$A$27:$AB$137,28,FALSE)/AnnuityMode,0),0)</f>
        <v>0</v>
      </c>
      <c r="H212" s="220">
        <f>IFERROR(IF(AND(MIN(A212&gt;25,Age+A212&gt;=85),B212=12),VLOOKUP(A212,Output!$A$27:$AE$137,31,FALSE),0),0)</f>
        <v>0</v>
      </c>
      <c r="I212" s="221">
        <f>IFERROR(IF(AND(MIN(A212&gt;15,A212+Age&gt;=70),C212=1),VLOOKUP(A212,Output!$A$27:$AF$137,32,FALSE)*VLOOKUP('SV calc_ignore'!A212,Output!$A$27:$AG$137,33,FALSE)/IF(AnnuityMode=2,2,IF(AnnuityMode=4,4,IF(AnnuityMode=12,12,1))),0),0)</f>
        <v>20833.333333333332</v>
      </c>
      <c r="J212" s="227">
        <f t="shared" si="37"/>
        <v>0</v>
      </c>
      <c r="K212" s="209">
        <f t="shared" si="43"/>
        <v>0</v>
      </c>
      <c r="L212" s="209">
        <f t="shared" si="38"/>
        <v>0</v>
      </c>
      <c r="M212" s="210">
        <f t="shared" si="47"/>
        <v>0</v>
      </c>
      <c r="N212" s="211">
        <f t="shared" si="44"/>
        <v>0</v>
      </c>
      <c r="O212" s="194">
        <f t="shared" si="45"/>
        <v>0</v>
      </c>
      <c r="P212" s="212">
        <f t="shared" si="39"/>
        <v>0</v>
      </c>
      <c r="Q212">
        <f t="shared" si="40"/>
        <v>2376365.1333243237</v>
      </c>
      <c r="X212" s="216">
        <f t="shared" si="46"/>
        <v>16</v>
      </c>
      <c r="Y212">
        <f t="shared" si="41"/>
        <v>0</v>
      </c>
    </row>
    <row r="213" spans="1:25" x14ac:dyDescent="0.2">
      <c r="A213" s="204">
        <f>IF(MOD(COUNT($A$10:A212),12)=0,A212+1,A212)</f>
        <v>17</v>
      </c>
      <c r="B213" s="218">
        <f t="shared" si="42"/>
        <v>12</v>
      </c>
      <c r="C213" s="218">
        <f t="shared" si="36"/>
        <v>1</v>
      </c>
      <c r="D213" s="208">
        <f>IF(MOD(COUNT($D$10:D212),6)=0,D212+1,D212)</f>
        <v>34</v>
      </c>
      <c r="E213" s="208">
        <f>IF(MOD(COUNT($E$10:E212),3)=0,E212+1,E212)</f>
        <v>68</v>
      </c>
      <c r="F213" s="208">
        <f>IF(MOD(COUNT($F$10:F212),1)=0,F212+1,F212)</f>
        <v>204</v>
      </c>
      <c r="G213" s="204">
        <f>IFERROR(IF(C213=1,VLOOKUP(A213,Output!$A$27:$AB$137,28,FALSE)/AnnuityMode,0),0)</f>
        <v>0</v>
      </c>
      <c r="H213" s="220">
        <f>IFERROR(IF(AND(MIN(A213&gt;25,Age+A213&gt;=85),B213=12),VLOOKUP(A213,Output!$A$27:$AE$137,31,FALSE),0),0)</f>
        <v>0</v>
      </c>
      <c r="I213" s="221">
        <f>IFERROR(IF(AND(MIN(A213&gt;15,A213+Age&gt;=70),C213=1),VLOOKUP(A213,Output!$A$27:$AF$137,32,FALSE)*VLOOKUP('SV calc_ignore'!A213,Output!$A$27:$AG$137,33,FALSE)/IF(AnnuityMode=2,2,IF(AnnuityMode=4,4,IF(AnnuityMode=12,12,1))),0),0)</f>
        <v>20833.333333333332</v>
      </c>
      <c r="J213" s="227">
        <f t="shared" si="37"/>
        <v>0</v>
      </c>
      <c r="K213" s="209">
        <f t="shared" si="43"/>
        <v>0</v>
      </c>
      <c r="L213" s="209">
        <f t="shared" si="38"/>
        <v>0</v>
      </c>
      <c r="M213" s="210">
        <f t="shared" si="47"/>
        <v>0</v>
      </c>
      <c r="N213" s="211">
        <f t="shared" si="44"/>
        <v>0</v>
      </c>
      <c r="O213" s="194">
        <f t="shared" si="45"/>
        <v>0</v>
      </c>
      <c r="P213" s="212">
        <f t="shared" si="39"/>
        <v>0</v>
      </c>
      <c r="Q213">
        <f t="shared" si="40"/>
        <v>2371600.0445379419</v>
      </c>
      <c r="X213" s="216">
        <f t="shared" si="46"/>
        <v>16</v>
      </c>
      <c r="Y213">
        <f t="shared" si="41"/>
        <v>0</v>
      </c>
    </row>
    <row r="214" spans="1:25" x14ac:dyDescent="0.2">
      <c r="A214" s="204">
        <f>IF(MOD(COUNT($A$10:A213),12)=0,A213+1,A213)</f>
        <v>18</v>
      </c>
      <c r="B214" s="218">
        <f t="shared" si="42"/>
        <v>1</v>
      </c>
      <c r="C214" s="218">
        <f t="shared" si="36"/>
        <v>1</v>
      </c>
      <c r="D214" s="208">
        <f>IF(MOD(COUNT($D$10:D213),6)=0,D213+1,D213)</f>
        <v>35</v>
      </c>
      <c r="E214" s="208">
        <f>IF(MOD(COUNT($E$10:E213),3)=0,E213+1,E213)</f>
        <v>69</v>
      </c>
      <c r="F214" s="208">
        <f>IF(MOD(COUNT($F$10:F213),1)=0,F213+1,F213)</f>
        <v>205</v>
      </c>
      <c r="G214" s="204">
        <f>IFERROR(IF(C214=1,VLOOKUP(A214,Output!$A$27:$AB$137,28,FALSE)/AnnuityMode,0),0)</f>
        <v>0</v>
      </c>
      <c r="H214" s="220">
        <f>IFERROR(IF(AND(MIN(A214&gt;25,Age+A214&gt;=85),B214=12),VLOOKUP(A214,Output!$A$27:$AE$137,31,FALSE),0),0)</f>
        <v>0</v>
      </c>
      <c r="I214" s="221">
        <f>IFERROR(IF(AND(MIN(A214&gt;15,A214+Age&gt;=70),C214=1),VLOOKUP(A214,Output!$A$27:$AF$137,32,FALSE)*VLOOKUP('SV calc_ignore'!A214,Output!$A$27:$AG$137,33,FALSE)/IF(AnnuityMode=2,2,IF(AnnuityMode=4,4,IF(AnnuityMode=12,12,1))),0),0)</f>
        <v>20833.333333333332</v>
      </c>
      <c r="J214" s="227">
        <f t="shared" si="37"/>
        <v>0</v>
      </c>
      <c r="K214" s="209">
        <f t="shared" si="43"/>
        <v>0</v>
      </c>
      <c r="L214" s="209">
        <f t="shared" si="38"/>
        <v>0</v>
      </c>
      <c r="M214" s="210">
        <f t="shared" si="47"/>
        <v>0</v>
      </c>
      <c r="N214" s="211">
        <f t="shared" si="44"/>
        <v>0</v>
      </c>
      <c r="O214" s="194">
        <f t="shared" si="45"/>
        <v>0</v>
      </c>
      <c r="P214" s="212">
        <f t="shared" si="39"/>
        <v>0</v>
      </c>
      <c r="Q214">
        <f t="shared" si="40"/>
        <v>2366802.4507300155</v>
      </c>
      <c r="X214" s="216">
        <f t="shared" si="46"/>
        <v>17</v>
      </c>
      <c r="Y214">
        <f t="shared" si="41"/>
        <v>0</v>
      </c>
    </row>
    <row r="215" spans="1:25" x14ac:dyDescent="0.2">
      <c r="A215" s="204">
        <f>IF(MOD(COUNT($A$10:A214),12)=0,A214+1,A214)</f>
        <v>18</v>
      </c>
      <c r="B215" s="218">
        <f t="shared" si="42"/>
        <v>2</v>
      </c>
      <c r="C215" s="218">
        <f t="shared" si="36"/>
        <v>1</v>
      </c>
      <c r="D215" s="208">
        <f>IF(MOD(COUNT($D$10:D214),6)=0,D214+1,D214)</f>
        <v>35</v>
      </c>
      <c r="E215" s="208">
        <f>IF(MOD(COUNT($E$10:E214),3)=0,E214+1,E214)</f>
        <v>69</v>
      </c>
      <c r="F215" s="208">
        <f>IF(MOD(COUNT($F$10:F214),1)=0,F214+1,F214)</f>
        <v>206</v>
      </c>
      <c r="G215" s="204">
        <f>IFERROR(IF(C215=1,VLOOKUP(A215,Output!$A$27:$AB$137,28,FALSE)/AnnuityMode,0),0)</f>
        <v>0</v>
      </c>
      <c r="H215" s="220">
        <f>IFERROR(IF(AND(MIN(A215&gt;25,Age+A215&gt;=85),B215=12),VLOOKUP(A215,Output!$A$27:$AE$137,31,FALSE),0),0)</f>
        <v>0</v>
      </c>
      <c r="I215" s="221">
        <f>IFERROR(IF(AND(MIN(A215&gt;15,A215+Age&gt;=70),C215=1),VLOOKUP(A215,Output!$A$27:$AF$137,32,FALSE)*VLOOKUP('SV calc_ignore'!A215,Output!$A$27:$AG$137,33,FALSE)/IF(AnnuityMode=2,2,IF(AnnuityMode=4,4,IF(AnnuityMode=12,12,1))),0),0)</f>
        <v>20833.333333333332</v>
      </c>
      <c r="J215" s="227">
        <f t="shared" si="37"/>
        <v>0</v>
      </c>
      <c r="K215" s="209">
        <f t="shared" si="43"/>
        <v>0</v>
      </c>
      <c r="L215" s="209">
        <f t="shared" si="38"/>
        <v>0</v>
      </c>
      <c r="M215" s="210">
        <f t="shared" si="47"/>
        <v>0</v>
      </c>
      <c r="N215" s="211">
        <f t="shared" si="44"/>
        <v>0</v>
      </c>
      <c r="O215" s="194">
        <f t="shared" si="45"/>
        <v>0</v>
      </c>
      <c r="P215" s="212">
        <f t="shared" si="39"/>
        <v>0</v>
      </c>
      <c r="Q215">
        <f t="shared" si="40"/>
        <v>2361972.1301677558</v>
      </c>
      <c r="X215" s="216">
        <f t="shared" si="46"/>
        <v>17</v>
      </c>
      <c r="Y215">
        <f t="shared" si="41"/>
        <v>0</v>
      </c>
    </row>
    <row r="216" spans="1:25" x14ac:dyDescent="0.2">
      <c r="A216" s="204">
        <f>IF(MOD(COUNT($A$10:A215),12)=0,A215+1,A215)</f>
        <v>18</v>
      </c>
      <c r="B216" s="218">
        <f t="shared" si="42"/>
        <v>3</v>
      </c>
      <c r="C216" s="218">
        <f t="shared" si="36"/>
        <v>1</v>
      </c>
      <c r="D216" s="208">
        <f>IF(MOD(COUNT($D$10:D215),6)=0,D215+1,D215)</f>
        <v>35</v>
      </c>
      <c r="E216" s="208">
        <f>IF(MOD(COUNT($E$10:E215),3)=0,E215+1,E215)</f>
        <v>69</v>
      </c>
      <c r="F216" s="208">
        <f>IF(MOD(COUNT($F$10:F215),1)=0,F215+1,F215)</f>
        <v>207</v>
      </c>
      <c r="G216" s="204">
        <f>IFERROR(IF(C216=1,VLOOKUP(A216,Output!$A$27:$AB$137,28,FALSE)/AnnuityMode,0),0)</f>
        <v>0</v>
      </c>
      <c r="H216" s="220">
        <f>IFERROR(IF(AND(MIN(A216&gt;25,Age+A216&gt;=85),B216=12),VLOOKUP(A216,Output!$A$27:$AE$137,31,FALSE),0),0)</f>
        <v>0</v>
      </c>
      <c r="I216" s="221">
        <f>IFERROR(IF(AND(MIN(A216&gt;15,A216+Age&gt;=70),C216=1),VLOOKUP(A216,Output!$A$27:$AF$137,32,FALSE)*VLOOKUP('SV calc_ignore'!A216,Output!$A$27:$AG$137,33,FALSE)/IF(AnnuityMode=2,2,IF(AnnuityMode=4,4,IF(AnnuityMode=12,12,1))),0),0)</f>
        <v>20833.333333333332</v>
      </c>
      <c r="J216" s="227">
        <f t="shared" si="37"/>
        <v>0</v>
      </c>
      <c r="K216" s="209">
        <f t="shared" si="43"/>
        <v>0</v>
      </c>
      <c r="L216" s="209">
        <f t="shared" si="38"/>
        <v>0</v>
      </c>
      <c r="M216" s="210">
        <f t="shared" si="47"/>
        <v>0</v>
      </c>
      <c r="N216" s="211">
        <f t="shared" si="44"/>
        <v>0</v>
      </c>
      <c r="O216" s="194">
        <f t="shared" si="45"/>
        <v>0</v>
      </c>
      <c r="P216" s="212">
        <f t="shared" si="39"/>
        <v>0</v>
      </c>
      <c r="Q216">
        <f t="shared" si="40"/>
        <v>2357108.859605825</v>
      </c>
      <c r="X216" s="216">
        <f t="shared" si="46"/>
        <v>17</v>
      </c>
      <c r="Y216">
        <f t="shared" si="41"/>
        <v>0</v>
      </c>
    </row>
    <row r="217" spans="1:25" x14ac:dyDescent="0.2">
      <c r="A217" s="204">
        <f>IF(MOD(COUNT($A$10:A216),12)=0,A216+1,A216)</f>
        <v>18</v>
      </c>
      <c r="B217" s="218">
        <f t="shared" si="42"/>
        <v>4</v>
      </c>
      <c r="C217" s="218">
        <f t="shared" si="36"/>
        <v>1</v>
      </c>
      <c r="D217" s="208">
        <f>IF(MOD(COUNT($D$10:D216),6)=0,D216+1,D216)</f>
        <v>35</v>
      </c>
      <c r="E217" s="208">
        <f>IF(MOD(COUNT($E$10:E216),3)=0,E216+1,E216)</f>
        <v>70</v>
      </c>
      <c r="F217" s="208">
        <f>IF(MOD(COUNT($F$10:F216),1)=0,F216+1,F216)</f>
        <v>208</v>
      </c>
      <c r="G217" s="204">
        <f>IFERROR(IF(C217=1,VLOOKUP(A217,Output!$A$27:$AB$137,28,FALSE)/AnnuityMode,0),0)</f>
        <v>0</v>
      </c>
      <c r="H217" s="220">
        <f>IFERROR(IF(AND(MIN(A217&gt;25,Age+A217&gt;=85),B217=12),VLOOKUP(A217,Output!$A$27:$AE$137,31,FALSE),0),0)</f>
        <v>0</v>
      </c>
      <c r="I217" s="221">
        <f>IFERROR(IF(AND(MIN(A217&gt;15,A217+Age&gt;=70),C217=1),VLOOKUP(A217,Output!$A$27:$AF$137,32,FALSE)*VLOOKUP('SV calc_ignore'!A217,Output!$A$27:$AG$137,33,FALSE)/IF(AnnuityMode=2,2,IF(AnnuityMode=4,4,IF(AnnuityMode=12,12,1))),0),0)</f>
        <v>20833.333333333332</v>
      </c>
      <c r="J217" s="227">
        <f t="shared" si="37"/>
        <v>0</v>
      </c>
      <c r="K217" s="209">
        <f t="shared" si="43"/>
        <v>0</v>
      </c>
      <c r="L217" s="209">
        <f t="shared" si="38"/>
        <v>0</v>
      </c>
      <c r="M217" s="210">
        <f t="shared" si="47"/>
        <v>0</v>
      </c>
      <c r="N217" s="211">
        <f t="shared" si="44"/>
        <v>0</v>
      </c>
      <c r="O217" s="194">
        <f t="shared" si="45"/>
        <v>0</v>
      </c>
      <c r="P217" s="212">
        <f t="shared" si="39"/>
        <v>0</v>
      </c>
      <c r="Q217">
        <f t="shared" si="40"/>
        <v>2352212.4142760192</v>
      </c>
      <c r="X217" s="216">
        <f t="shared" si="46"/>
        <v>17</v>
      </c>
      <c r="Y217">
        <f t="shared" si="41"/>
        <v>0</v>
      </c>
    </row>
    <row r="218" spans="1:25" x14ac:dyDescent="0.2">
      <c r="A218" s="204">
        <f>IF(MOD(COUNT($A$10:A217),12)=0,A217+1,A217)</f>
        <v>18</v>
      </c>
      <c r="B218" s="218">
        <f t="shared" si="42"/>
        <v>5</v>
      </c>
      <c r="C218" s="218">
        <f t="shared" si="36"/>
        <v>1</v>
      </c>
      <c r="D218" s="208">
        <f>IF(MOD(COUNT($D$10:D217),6)=0,D217+1,D217)</f>
        <v>35</v>
      </c>
      <c r="E218" s="208">
        <f>IF(MOD(COUNT($E$10:E217),3)=0,E217+1,E217)</f>
        <v>70</v>
      </c>
      <c r="F218" s="208">
        <f>IF(MOD(COUNT($F$10:F217),1)=0,F217+1,F217)</f>
        <v>209</v>
      </c>
      <c r="G218" s="204">
        <f>IFERROR(IF(C218=1,VLOOKUP(A218,Output!$A$27:$AB$137,28,FALSE)/AnnuityMode,0),0)</f>
        <v>0</v>
      </c>
      <c r="H218" s="220">
        <f>IFERROR(IF(AND(MIN(A218&gt;25,Age+A218&gt;=85),B218=12),VLOOKUP(A218,Output!$A$27:$AE$137,31,FALSE),0),0)</f>
        <v>0</v>
      </c>
      <c r="I218" s="221">
        <f>IFERROR(IF(AND(MIN(A218&gt;15,A218+Age&gt;=70),C218=1),VLOOKUP(A218,Output!$A$27:$AF$137,32,FALSE)*VLOOKUP('SV calc_ignore'!A218,Output!$A$27:$AG$137,33,FALSE)/IF(AnnuityMode=2,2,IF(AnnuityMode=4,4,IF(AnnuityMode=12,12,1))),0),0)</f>
        <v>20833.333333333332</v>
      </c>
      <c r="J218" s="227">
        <f t="shared" si="37"/>
        <v>0</v>
      </c>
      <c r="K218" s="209">
        <f t="shared" si="43"/>
        <v>0</v>
      </c>
      <c r="L218" s="209">
        <f t="shared" si="38"/>
        <v>0</v>
      </c>
      <c r="M218" s="210">
        <f t="shared" si="47"/>
        <v>0</v>
      </c>
      <c r="N218" s="211">
        <f t="shared" si="44"/>
        <v>0</v>
      </c>
      <c r="O218" s="194">
        <f t="shared" si="45"/>
        <v>0</v>
      </c>
      <c r="P218" s="212">
        <f t="shared" si="39"/>
        <v>0</v>
      </c>
      <c r="Q218">
        <f t="shared" si="40"/>
        <v>2347282.5678768796</v>
      </c>
      <c r="X218" s="216">
        <f t="shared" si="46"/>
        <v>17</v>
      </c>
      <c r="Y218">
        <f t="shared" si="41"/>
        <v>0</v>
      </c>
    </row>
    <row r="219" spans="1:25" x14ac:dyDescent="0.2">
      <c r="A219" s="204">
        <f>IF(MOD(COUNT($A$10:A218),12)=0,A218+1,A218)</f>
        <v>18</v>
      </c>
      <c r="B219" s="218">
        <f t="shared" si="42"/>
        <v>6</v>
      </c>
      <c r="C219" s="218">
        <f t="shared" si="36"/>
        <v>1</v>
      </c>
      <c r="D219" s="208">
        <f>IF(MOD(COUNT($D$10:D218),6)=0,D218+1,D218)</f>
        <v>35</v>
      </c>
      <c r="E219" s="208">
        <f>IF(MOD(COUNT($E$10:E218),3)=0,E218+1,E218)</f>
        <v>70</v>
      </c>
      <c r="F219" s="208">
        <f>IF(MOD(COUNT($F$10:F218),1)=0,F218+1,F218)</f>
        <v>210</v>
      </c>
      <c r="G219" s="204">
        <f>IFERROR(IF(C219=1,VLOOKUP(A219,Output!$A$27:$AB$137,28,FALSE)/AnnuityMode,0),0)</f>
        <v>0</v>
      </c>
      <c r="H219" s="220">
        <f>IFERROR(IF(AND(MIN(A219&gt;25,Age+A219&gt;=85),B219=12),VLOOKUP(A219,Output!$A$27:$AE$137,31,FALSE),0),0)</f>
        <v>0</v>
      </c>
      <c r="I219" s="221">
        <f>IFERROR(IF(AND(MIN(A219&gt;15,A219+Age&gt;=70),C219=1),VLOOKUP(A219,Output!$A$27:$AF$137,32,FALSE)*VLOOKUP('SV calc_ignore'!A219,Output!$A$27:$AG$137,33,FALSE)/IF(AnnuityMode=2,2,IF(AnnuityMode=4,4,IF(AnnuityMode=12,12,1))),0),0)</f>
        <v>20833.333333333332</v>
      </c>
      <c r="J219" s="227">
        <f t="shared" si="37"/>
        <v>0</v>
      </c>
      <c r="K219" s="209">
        <f t="shared" si="43"/>
        <v>0</v>
      </c>
      <c r="L219" s="209">
        <f t="shared" si="38"/>
        <v>0</v>
      </c>
      <c r="M219" s="210">
        <f t="shared" si="47"/>
        <v>0</v>
      </c>
      <c r="N219" s="211">
        <f t="shared" si="44"/>
        <v>0</v>
      </c>
      <c r="O219" s="194">
        <f t="shared" si="45"/>
        <v>0</v>
      </c>
      <c r="P219" s="212">
        <f t="shared" si="39"/>
        <v>0</v>
      </c>
      <c r="Q219">
        <f t="shared" si="40"/>
        <v>2342319.0925632329</v>
      </c>
      <c r="X219" s="216">
        <f t="shared" si="46"/>
        <v>17</v>
      </c>
      <c r="Y219">
        <f t="shared" si="41"/>
        <v>0</v>
      </c>
    </row>
    <row r="220" spans="1:25" x14ac:dyDescent="0.2">
      <c r="A220" s="204">
        <f>IF(MOD(COUNT($A$10:A219),12)=0,A219+1,A219)</f>
        <v>18</v>
      </c>
      <c r="B220" s="218">
        <f t="shared" si="42"/>
        <v>7</v>
      </c>
      <c r="C220" s="218">
        <f t="shared" si="36"/>
        <v>1</v>
      </c>
      <c r="D220" s="208">
        <f>IF(MOD(COUNT($D$10:D219),6)=0,D219+1,D219)</f>
        <v>36</v>
      </c>
      <c r="E220" s="208">
        <f>IF(MOD(COUNT($E$10:E219),3)=0,E219+1,E219)</f>
        <v>71</v>
      </c>
      <c r="F220" s="208">
        <f>IF(MOD(COUNT($F$10:F219),1)=0,F219+1,F219)</f>
        <v>211</v>
      </c>
      <c r="G220" s="204">
        <f>IFERROR(IF(C220=1,VLOOKUP(A220,Output!$A$27:$AB$137,28,FALSE)/AnnuityMode,0),0)</f>
        <v>0</v>
      </c>
      <c r="H220" s="220">
        <f>IFERROR(IF(AND(MIN(A220&gt;25,Age+A220&gt;=85),B220=12),VLOOKUP(A220,Output!$A$27:$AE$137,31,FALSE),0),0)</f>
        <v>0</v>
      </c>
      <c r="I220" s="221">
        <f>IFERROR(IF(AND(MIN(A220&gt;15,A220+Age&gt;=70),C220=1),VLOOKUP(A220,Output!$A$27:$AF$137,32,FALSE)*VLOOKUP('SV calc_ignore'!A220,Output!$A$27:$AG$137,33,FALSE)/IF(AnnuityMode=2,2,IF(AnnuityMode=4,4,IF(AnnuityMode=12,12,1))),0),0)</f>
        <v>20833.333333333332</v>
      </c>
      <c r="J220" s="227">
        <f t="shared" si="37"/>
        <v>0</v>
      </c>
      <c r="K220" s="209">
        <f t="shared" si="43"/>
        <v>0</v>
      </c>
      <c r="L220" s="209">
        <f t="shared" si="38"/>
        <v>0</v>
      </c>
      <c r="M220" s="210">
        <f t="shared" si="47"/>
        <v>0</v>
      </c>
      <c r="N220" s="211">
        <f t="shared" si="44"/>
        <v>0</v>
      </c>
      <c r="O220" s="194">
        <f t="shared" si="45"/>
        <v>0</v>
      </c>
      <c r="P220" s="212">
        <f t="shared" si="39"/>
        <v>0</v>
      </c>
      <c r="Q220">
        <f t="shared" si="40"/>
        <v>2337321.758935662</v>
      </c>
      <c r="X220" s="216">
        <f t="shared" si="46"/>
        <v>17</v>
      </c>
      <c r="Y220">
        <f t="shared" si="41"/>
        <v>0</v>
      </c>
    </row>
    <row r="221" spans="1:25" x14ac:dyDescent="0.2">
      <c r="A221" s="204">
        <f>IF(MOD(COUNT($A$10:A220),12)=0,A220+1,A220)</f>
        <v>18</v>
      </c>
      <c r="B221" s="218">
        <f t="shared" si="42"/>
        <v>8</v>
      </c>
      <c r="C221" s="218">
        <f t="shared" si="36"/>
        <v>1</v>
      </c>
      <c r="D221" s="208">
        <f>IF(MOD(COUNT($D$10:D220),6)=0,D220+1,D220)</f>
        <v>36</v>
      </c>
      <c r="E221" s="208">
        <f>IF(MOD(COUNT($E$10:E220),3)=0,E220+1,E220)</f>
        <v>71</v>
      </c>
      <c r="F221" s="208">
        <f>IF(MOD(COUNT($F$10:F220),1)=0,F220+1,F220)</f>
        <v>212</v>
      </c>
      <c r="G221" s="204">
        <f>IFERROR(IF(C221=1,VLOOKUP(A221,Output!$A$27:$AB$137,28,FALSE)/AnnuityMode,0),0)</f>
        <v>0</v>
      </c>
      <c r="H221" s="220">
        <f>IFERROR(IF(AND(MIN(A221&gt;25,Age+A221&gt;=85),B221=12),VLOOKUP(A221,Output!$A$27:$AE$137,31,FALSE),0),0)</f>
        <v>0</v>
      </c>
      <c r="I221" s="221">
        <f>IFERROR(IF(AND(MIN(A221&gt;15,A221+Age&gt;=70),C221=1),VLOOKUP(A221,Output!$A$27:$AF$137,32,FALSE)*VLOOKUP('SV calc_ignore'!A221,Output!$A$27:$AG$137,33,FALSE)/IF(AnnuityMode=2,2,IF(AnnuityMode=4,4,IF(AnnuityMode=12,12,1))),0),0)</f>
        <v>20833.333333333332</v>
      </c>
      <c r="J221" s="227">
        <f t="shared" si="37"/>
        <v>0</v>
      </c>
      <c r="K221" s="209">
        <f t="shared" si="43"/>
        <v>0</v>
      </c>
      <c r="L221" s="209">
        <f t="shared" si="38"/>
        <v>0</v>
      </c>
      <c r="M221" s="210">
        <f t="shared" si="47"/>
        <v>0</v>
      </c>
      <c r="N221" s="211">
        <f t="shared" si="44"/>
        <v>0</v>
      </c>
      <c r="O221" s="194">
        <f t="shared" si="45"/>
        <v>0</v>
      </c>
      <c r="P221" s="212">
        <f t="shared" si="39"/>
        <v>0</v>
      </c>
      <c r="Q221">
        <f t="shared" si="40"/>
        <v>2332290.336029903</v>
      </c>
      <c r="X221" s="216">
        <f t="shared" si="46"/>
        <v>17</v>
      </c>
      <c r="Y221">
        <f t="shared" si="41"/>
        <v>0</v>
      </c>
    </row>
    <row r="222" spans="1:25" x14ac:dyDescent="0.2">
      <c r="A222" s="204">
        <f>IF(MOD(COUNT($A$10:A221),12)=0,A221+1,A221)</f>
        <v>18</v>
      </c>
      <c r="B222" s="218">
        <f t="shared" si="42"/>
        <v>9</v>
      </c>
      <c r="C222" s="218">
        <f t="shared" si="36"/>
        <v>1</v>
      </c>
      <c r="D222" s="208">
        <f>IF(MOD(COUNT($D$10:D221),6)=0,D221+1,D221)</f>
        <v>36</v>
      </c>
      <c r="E222" s="208">
        <f>IF(MOD(COUNT($E$10:E221),3)=0,E221+1,E221)</f>
        <v>71</v>
      </c>
      <c r="F222" s="208">
        <f>IF(MOD(COUNT($F$10:F221),1)=0,F221+1,F221)</f>
        <v>213</v>
      </c>
      <c r="G222" s="204">
        <f>IFERROR(IF(C222=1,VLOOKUP(A222,Output!$A$27:$AB$137,28,FALSE)/AnnuityMode,0),0)</f>
        <v>0</v>
      </c>
      <c r="H222" s="220">
        <f>IFERROR(IF(AND(MIN(A222&gt;25,Age+A222&gt;=85),B222=12),VLOOKUP(A222,Output!$A$27:$AE$137,31,FALSE),0),0)</f>
        <v>0</v>
      </c>
      <c r="I222" s="221">
        <f>IFERROR(IF(AND(MIN(A222&gt;15,A222+Age&gt;=70),C222=1),VLOOKUP(A222,Output!$A$27:$AF$137,32,FALSE)*VLOOKUP('SV calc_ignore'!A222,Output!$A$27:$AG$137,33,FALSE)/IF(AnnuityMode=2,2,IF(AnnuityMode=4,4,IF(AnnuityMode=12,12,1))),0),0)</f>
        <v>20833.333333333332</v>
      </c>
      <c r="J222" s="227">
        <f t="shared" si="37"/>
        <v>0</v>
      </c>
      <c r="K222" s="209">
        <f t="shared" si="43"/>
        <v>0</v>
      </c>
      <c r="L222" s="209">
        <f t="shared" si="38"/>
        <v>0</v>
      </c>
      <c r="M222" s="210">
        <f t="shared" si="47"/>
        <v>0</v>
      </c>
      <c r="N222" s="211">
        <f t="shared" si="44"/>
        <v>0</v>
      </c>
      <c r="O222" s="194">
        <f t="shared" si="45"/>
        <v>0</v>
      </c>
      <c r="P222" s="212">
        <f t="shared" si="39"/>
        <v>0</v>
      </c>
      <c r="Q222">
        <f t="shared" si="40"/>
        <v>2327224.5913061714</v>
      </c>
      <c r="X222" s="216">
        <f t="shared" si="46"/>
        <v>17</v>
      </c>
      <c r="Y222">
        <f t="shared" si="41"/>
        <v>0</v>
      </c>
    </row>
    <row r="223" spans="1:25" x14ac:dyDescent="0.2">
      <c r="A223" s="204">
        <f>IF(MOD(COUNT($A$10:A222),12)=0,A222+1,A222)</f>
        <v>18</v>
      </c>
      <c r="B223" s="218">
        <f t="shared" si="42"/>
        <v>10</v>
      </c>
      <c r="C223" s="218">
        <f t="shared" si="36"/>
        <v>1</v>
      </c>
      <c r="D223" s="208">
        <f>IF(MOD(COUNT($D$10:D222),6)=0,D222+1,D222)</f>
        <v>36</v>
      </c>
      <c r="E223" s="208">
        <f>IF(MOD(COUNT($E$10:E222),3)=0,E222+1,E222)</f>
        <v>72</v>
      </c>
      <c r="F223" s="208">
        <f>IF(MOD(COUNT($F$10:F222),1)=0,F222+1,F222)</f>
        <v>214</v>
      </c>
      <c r="G223" s="204">
        <f>IFERROR(IF(C223=1,VLOOKUP(A223,Output!$A$27:$AB$137,28,FALSE)/AnnuityMode,0),0)</f>
        <v>0</v>
      </c>
      <c r="H223" s="220">
        <f>IFERROR(IF(AND(MIN(A223&gt;25,Age+A223&gt;=85),B223=12),VLOOKUP(A223,Output!$A$27:$AE$137,31,FALSE),0),0)</f>
        <v>0</v>
      </c>
      <c r="I223" s="221">
        <f>IFERROR(IF(AND(MIN(A223&gt;15,A223+Age&gt;=70),C223=1),VLOOKUP(A223,Output!$A$27:$AF$137,32,FALSE)*VLOOKUP('SV calc_ignore'!A223,Output!$A$27:$AG$137,33,FALSE)/IF(AnnuityMode=2,2,IF(AnnuityMode=4,4,IF(AnnuityMode=12,12,1))),0),0)</f>
        <v>20833.333333333332</v>
      </c>
      <c r="J223" s="227">
        <f t="shared" si="37"/>
        <v>0</v>
      </c>
      <c r="K223" s="209">
        <f t="shared" si="43"/>
        <v>0</v>
      </c>
      <c r="L223" s="209">
        <f t="shared" si="38"/>
        <v>0</v>
      </c>
      <c r="M223" s="210">
        <f t="shared" si="47"/>
        <v>0</v>
      </c>
      <c r="N223" s="211">
        <f t="shared" si="44"/>
        <v>0</v>
      </c>
      <c r="O223" s="194">
        <f t="shared" si="45"/>
        <v>0</v>
      </c>
      <c r="P223" s="212">
        <f t="shared" si="39"/>
        <v>0</v>
      </c>
      <c r="Q223">
        <f t="shared" si="40"/>
        <v>2322124.2906384128</v>
      </c>
      <c r="X223" s="216">
        <f t="shared" si="46"/>
        <v>17</v>
      </c>
      <c r="Y223">
        <f t="shared" si="41"/>
        <v>0</v>
      </c>
    </row>
    <row r="224" spans="1:25" x14ac:dyDescent="0.2">
      <c r="A224" s="204">
        <f>IF(MOD(COUNT($A$10:A223),12)=0,A223+1,A223)</f>
        <v>18</v>
      </c>
      <c r="B224" s="218">
        <f t="shared" si="42"/>
        <v>11</v>
      </c>
      <c r="C224" s="218">
        <f t="shared" si="36"/>
        <v>1</v>
      </c>
      <c r="D224" s="208">
        <f>IF(MOD(COUNT($D$10:D223),6)=0,D223+1,D223)</f>
        <v>36</v>
      </c>
      <c r="E224" s="208">
        <f>IF(MOD(COUNT($E$10:E223),3)=0,E223+1,E223)</f>
        <v>72</v>
      </c>
      <c r="F224" s="208">
        <f>IF(MOD(COUNT($F$10:F223),1)=0,F223+1,F223)</f>
        <v>215</v>
      </c>
      <c r="G224" s="204">
        <f>IFERROR(IF(C224=1,VLOOKUP(A224,Output!$A$27:$AB$137,28,FALSE)/AnnuityMode,0),0)</f>
        <v>0</v>
      </c>
      <c r="H224" s="220">
        <f>IFERROR(IF(AND(MIN(A224&gt;25,Age+A224&gt;=85),B224=12),VLOOKUP(A224,Output!$A$27:$AE$137,31,FALSE),0),0)</f>
        <v>0</v>
      </c>
      <c r="I224" s="221">
        <f>IFERROR(IF(AND(MIN(A224&gt;15,A224+Age&gt;=70),C224=1),VLOOKUP(A224,Output!$A$27:$AF$137,32,FALSE)*VLOOKUP('SV calc_ignore'!A224,Output!$A$27:$AG$137,33,FALSE)/IF(AnnuityMode=2,2,IF(AnnuityMode=4,4,IF(AnnuityMode=12,12,1))),0),0)</f>
        <v>20833.333333333332</v>
      </c>
      <c r="J224" s="227">
        <f t="shared" si="37"/>
        <v>0</v>
      </c>
      <c r="K224" s="209">
        <f t="shared" si="43"/>
        <v>0</v>
      </c>
      <c r="L224" s="209">
        <f t="shared" si="38"/>
        <v>0</v>
      </c>
      <c r="M224" s="210">
        <f t="shared" si="47"/>
        <v>0</v>
      </c>
      <c r="N224" s="211">
        <f t="shared" si="44"/>
        <v>0</v>
      </c>
      <c r="O224" s="194">
        <f t="shared" si="45"/>
        <v>0</v>
      </c>
      <c r="P224" s="212">
        <f t="shared" si="39"/>
        <v>0</v>
      </c>
      <c r="Q224">
        <f t="shared" si="40"/>
        <v>2316989.1983034848</v>
      </c>
      <c r="X224" s="216">
        <f t="shared" si="46"/>
        <v>17</v>
      </c>
      <c r="Y224">
        <f t="shared" si="41"/>
        <v>0</v>
      </c>
    </row>
    <row r="225" spans="1:25" x14ac:dyDescent="0.2">
      <c r="A225" s="204">
        <f>IF(MOD(COUNT($A$10:A224),12)=0,A224+1,A224)</f>
        <v>18</v>
      </c>
      <c r="B225" s="218">
        <f t="shared" si="42"/>
        <v>12</v>
      </c>
      <c r="C225" s="218">
        <f t="shared" si="36"/>
        <v>1</v>
      </c>
      <c r="D225" s="208">
        <f>IF(MOD(COUNT($D$10:D224),6)=0,D224+1,D224)</f>
        <v>36</v>
      </c>
      <c r="E225" s="208">
        <f>IF(MOD(COUNT($E$10:E224),3)=0,E224+1,E224)</f>
        <v>72</v>
      </c>
      <c r="F225" s="208">
        <f>IF(MOD(COUNT($F$10:F224),1)=0,F224+1,F224)</f>
        <v>216</v>
      </c>
      <c r="G225" s="204">
        <f>IFERROR(IF(C225=1,VLOOKUP(A225,Output!$A$27:$AB$137,28,FALSE)/AnnuityMode,0),0)</f>
        <v>0</v>
      </c>
      <c r="H225" s="220">
        <f>IFERROR(IF(AND(MIN(A225&gt;25,Age+A225&gt;=85),B225=12),VLOOKUP(A225,Output!$A$27:$AE$137,31,FALSE),0),0)</f>
        <v>0</v>
      </c>
      <c r="I225" s="221">
        <f>IFERROR(IF(AND(MIN(A225&gt;15,A225+Age&gt;=70),C225=1),VLOOKUP(A225,Output!$A$27:$AF$137,32,FALSE)*VLOOKUP('SV calc_ignore'!A225,Output!$A$27:$AG$137,33,FALSE)/IF(AnnuityMode=2,2,IF(AnnuityMode=4,4,IF(AnnuityMode=12,12,1))),0),0)</f>
        <v>20833.333333333332</v>
      </c>
      <c r="J225" s="227">
        <f t="shared" si="37"/>
        <v>0</v>
      </c>
      <c r="K225" s="209">
        <f t="shared" si="43"/>
        <v>0</v>
      </c>
      <c r="L225" s="209">
        <f t="shared" si="38"/>
        <v>0</v>
      </c>
      <c r="M225" s="210">
        <f t="shared" si="47"/>
        <v>0</v>
      </c>
      <c r="N225" s="211">
        <f t="shared" si="44"/>
        <v>0</v>
      </c>
      <c r="O225" s="194">
        <f t="shared" si="45"/>
        <v>0</v>
      </c>
      <c r="P225" s="212">
        <f t="shared" si="39"/>
        <v>0</v>
      </c>
      <c r="Q225">
        <f t="shared" si="40"/>
        <v>2311819.0769702606</v>
      </c>
      <c r="X225" s="216">
        <f t="shared" si="46"/>
        <v>17</v>
      </c>
      <c r="Y225">
        <f t="shared" si="41"/>
        <v>0</v>
      </c>
    </row>
    <row r="226" spans="1:25" x14ac:dyDescent="0.2">
      <c r="A226" s="204">
        <f>IF(MOD(COUNT($A$10:A225),12)=0,A225+1,A225)</f>
        <v>19</v>
      </c>
      <c r="B226" s="218">
        <f t="shared" si="42"/>
        <v>1</v>
      </c>
      <c r="C226" s="218">
        <f t="shared" si="36"/>
        <v>1</v>
      </c>
      <c r="D226" s="208">
        <f>IF(MOD(COUNT($D$10:D225),6)=0,D225+1,D225)</f>
        <v>37</v>
      </c>
      <c r="E226" s="208">
        <f>IF(MOD(COUNT($E$10:E225),3)=0,E225+1,E225)</f>
        <v>73</v>
      </c>
      <c r="F226" s="208">
        <f>IF(MOD(COUNT($F$10:F225),1)=0,F225+1,F225)</f>
        <v>217</v>
      </c>
      <c r="G226" s="204">
        <f>IFERROR(IF(C226=1,VLOOKUP(A226,Output!$A$27:$AB$137,28,FALSE)/AnnuityMode,0),0)</f>
        <v>0</v>
      </c>
      <c r="H226" s="220">
        <f>IFERROR(IF(AND(MIN(A226&gt;25,Age+A226&gt;=85),B226=12),VLOOKUP(A226,Output!$A$27:$AE$137,31,FALSE),0),0)</f>
        <v>0</v>
      </c>
      <c r="I226" s="221">
        <f>IFERROR(IF(AND(MIN(A226&gt;15,A226+Age&gt;=70),C226=1),VLOOKUP(A226,Output!$A$27:$AF$137,32,FALSE)*VLOOKUP('SV calc_ignore'!A226,Output!$A$27:$AG$137,33,FALSE)/IF(AnnuityMode=2,2,IF(AnnuityMode=4,4,IF(AnnuityMode=12,12,1))),0),0)</f>
        <v>20833.333333333332</v>
      </c>
      <c r="J226" s="227">
        <f t="shared" si="37"/>
        <v>0</v>
      </c>
      <c r="K226" s="209">
        <f t="shared" si="43"/>
        <v>0</v>
      </c>
      <c r="L226" s="209">
        <f t="shared" si="38"/>
        <v>0</v>
      </c>
      <c r="M226" s="210">
        <f t="shared" si="47"/>
        <v>0</v>
      </c>
      <c r="N226" s="211">
        <f t="shared" si="44"/>
        <v>0</v>
      </c>
      <c r="O226" s="194">
        <f t="shared" si="45"/>
        <v>0</v>
      </c>
      <c r="P226" s="212">
        <f t="shared" si="39"/>
        <v>0</v>
      </c>
      <c r="Q226">
        <f t="shared" si="40"/>
        <v>2306613.6876886603</v>
      </c>
      <c r="X226" s="216">
        <f t="shared" si="46"/>
        <v>18</v>
      </c>
      <c r="Y226">
        <f t="shared" si="41"/>
        <v>0</v>
      </c>
    </row>
    <row r="227" spans="1:25" x14ac:dyDescent="0.2">
      <c r="A227" s="204">
        <f>IF(MOD(COUNT($A$10:A226),12)=0,A226+1,A226)</f>
        <v>19</v>
      </c>
      <c r="B227" s="218">
        <f t="shared" si="42"/>
        <v>2</v>
      </c>
      <c r="C227" s="218">
        <f t="shared" si="36"/>
        <v>1</v>
      </c>
      <c r="D227" s="208">
        <f>IF(MOD(COUNT($D$10:D226),6)=0,D226+1,D226)</f>
        <v>37</v>
      </c>
      <c r="E227" s="208">
        <f>IF(MOD(COUNT($E$10:E226),3)=0,E226+1,E226)</f>
        <v>73</v>
      </c>
      <c r="F227" s="208">
        <f>IF(MOD(COUNT($F$10:F226),1)=0,F226+1,F226)</f>
        <v>218</v>
      </c>
      <c r="G227" s="204">
        <f>IFERROR(IF(C227=1,VLOOKUP(A227,Output!$A$27:$AB$137,28,FALSE)/AnnuityMode,0),0)</f>
        <v>0</v>
      </c>
      <c r="H227" s="220">
        <f>IFERROR(IF(AND(MIN(A227&gt;25,Age+A227&gt;=85),B227=12),VLOOKUP(A227,Output!$A$27:$AE$137,31,FALSE),0),0)</f>
        <v>0</v>
      </c>
      <c r="I227" s="221">
        <f>IFERROR(IF(AND(MIN(A227&gt;15,A227+Age&gt;=70),C227=1),VLOOKUP(A227,Output!$A$27:$AF$137,32,FALSE)*VLOOKUP('SV calc_ignore'!A227,Output!$A$27:$AG$137,33,FALSE)/IF(AnnuityMode=2,2,IF(AnnuityMode=4,4,IF(AnnuityMode=12,12,1))),0),0)</f>
        <v>20833.333333333332</v>
      </c>
      <c r="J227" s="227">
        <f t="shared" si="37"/>
        <v>0</v>
      </c>
      <c r="K227" s="209">
        <f t="shared" si="43"/>
        <v>0</v>
      </c>
      <c r="L227" s="209">
        <f t="shared" si="38"/>
        <v>0</v>
      </c>
      <c r="M227" s="210">
        <f t="shared" si="47"/>
        <v>0</v>
      </c>
      <c r="N227" s="211">
        <f t="shared" si="44"/>
        <v>0</v>
      </c>
      <c r="O227" s="194">
        <f t="shared" si="45"/>
        <v>0</v>
      </c>
      <c r="P227" s="212">
        <f t="shared" si="39"/>
        <v>0</v>
      </c>
      <c r="Q227">
        <f t="shared" si="40"/>
        <v>2301372.7898786087</v>
      </c>
      <c r="X227" s="216">
        <f t="shared" si="46"/>
        <v>18</v>
      </c>
      <c r="Y227">
        <f t="shared" si="41"/>
        <v>0</v>
      </c>
    </row>
    <row r="228" spans="1:25" x14ac:dyDescent="0.2">
      <c r="A228" s="204">
        <f>IF(MOD(COUNT($A$10:A227),12)=0,A227+1,A227)</f>
        <v>19</v>
      </c>
      <c r="B228" s="218">
        <f t="shared" si="42"/>
        <v>3</v>
      </c>
      <c r="C228" s="218">
        <f t="shared" si="36"/>
        <v>1</v>
      </c>
      <c r="D228" s="208">
        <f>IF(MOD(COUNT($D$10:D227),6)=0,D227+1,D227)</f>
        <v>37</v>
      </c>
      <c r="E228" s="208">
        <f>IF(MOD(COUNT($E$10:E227),3)=0,E227+1,E227)</f>
        <v>73</v>
      </c>
      <c r="F228" s="208">
        <f>IF(MOD(COUNT($F$10:F227),1)=0,F227+1,F227)</f>
        <v>219</v>
      </c>
      <c r="G228" s="204">
        <f>IFERROR(IF(C228=1,VLOOKUP(A228,Output!$A$27:$AB$137,28,FALSE)/AnnuityMode,0),0)</f>
        <v>0</v>
      </c>
      <c r="H228" s="220">
        <f>IFERROR(IF(AND(MIN(A228&gt;25,Age+A228&gt;=85),B228=12),VLOOKUP(A228,Output!$A$27:$AE$137,31,FALSE),0),0)</f>
        <v>0</v>
      </c>
      <c r="I228" s="221">
        <f>IFERROR(IF(AND(MIN(A228&gt;15,A228+Age&gt;=70),C228=1),VLOOKUP(A228,Output!$A$27:$AF$137,32,FALSE)*VLOOKUP('SV calc_ignore'!A228,Output!$A$27:$AG$137,33,FALSE)/IF(AnnuityMode=2,2,IF(AnnuityMode=4,4,IF(AnnuityMode=12,12,1))),0),0)</f>
        <v>20833.333333333332</v>
      </c>
      <c r="J228" s="227">
        <f t="shared" si="37"/>
        <v>0</v>
      </c>
      <c r="K228" s="209">
        <f t="shared" si="43"/>
        <v>0</v>
      </c>
      <c r="L228" s="209">
        <f t="shared" si="38"/>
        <v>0</v>
      </c>
      <c r="M228" s="210">
        <f t="shared" si="47"/>
        <v>0</v>
      </c>
      <c r="N228" s="211">
        <f t="shared" si="44"/>
        <v>0</v>
      </c>
      <c r="O228" s="194">
        <f t="shared" si="45"/>
        <v>0</v>
      </c>
      <c r="P228" s="212">
        <f t="shared" si="39"/>
        <v>0</v>
      </c>
      <c r="Q228">
        <f t="shared" si="40"/>
        <v>2296096.141318914</v>
      </c>
      <c r="X228" s="216">
        <f t="shared" si="46"/>
        <v>18</v>
      </c>
      <c r="Y228">
        <f t="shared" si="41"/>
        <v>0</v>
      </c>
    </row>
    <row r="229" spans="1:25" x14ac:dyDescent="0.2">
      <c r="A229" s="204">
        <f>IF(MOD(COUNT($A$10:A228),12)=0,A228+1,A228)</f>
        <v>19</v>
      </c>
      <c r="B229" s="218">
        <f t="shared" si="42"/>
        <v>4</v>
      </c>
      <c r="C229" s="218">
        <f t="shared" si="36"/>
        <v>1</v>
      </c>
      <c r="D229" s="208">
        <f>IF(MOD(COUNT($D$10:D228),6)=0,D228+1,D228)</f>
        <v>37</v>
      </c>
      <c r="E229" s="208">
        <f>IF(MOD(COUNT($E$10:E228),3)=0,E228+1,E228)</f>
        <v>74</v>
      </c>
      <c r="F229" s="208">
        <f>IF(MOD(COUNT($F$10:F228),1)=0,F228+1,F228)</f>
        <v>220</v>
      </c>
      <c r="G229" s="204">
        <f>IFERROR(IF(C229=1,VLOOKUP(A229,Output!$A$27:$AB$137,28,FALSE)/AnnuityMode,0),0)</f>
        <v>0</v>
      </c>
      <c r="H229" s="220">
        <f>IFERROR(IF(AND(MIN(A229&gt;25,Age+A229&gt;=85),B229=12),VLOOKUP(A229,Output!$A$27:$AE$137,31,FALSE),0),0)</f>
        <v>0</v>
      </c>
      <c r="I229" s="221">
        <f>IFERROR(IF(AND(MIN(A229&gt;15,A229+Age&gt;=70),C229=1),VLOOKUP(A229,Output!$A$27:$AF$137,32,FALSE)*VLOOKUP('SV calc_ignore'!A229,Output!$A$27:$AG$137,33,FALSE)/IF(AnnuityMode=2,2,IF(AnnuityMode=4,4,IF(AnnuityMode=12,12,1))),0),0)</f>
        <v>20833.333333333332</v>
      </c>
      <c r="J229" s="227">
        <f t="shared" si="37"/>
        <v>0</v>
      </c>
      <c r="K229" s="209">
        <f t="shared" si="43"/>
        <v>0</v>
      </c>
      <c r="L229" s="209">
        <f t="shared" si="38"/>
        <v>0</v>
      </c>
      <c r="M229" s="210">
        <f t="shared" si="47"/>
        <v>0</v>
      </c>
      <c r="N229" s="211">
        <f t="shared" si="44"/>
        <v>0</v>
      </c>
      <c r="O229" s="194">
        <f t="shared" si="45"/>
        <v>0</v>
      </c>
      <c r="P229" s="212">
        <f t="shared" si="39"/>
        <v>0</v>
      </c>
      <c r="Q229">
        <f t="shared" si="40"/>
        <v>2290783.4981360747</v>
      </c>
      <c r="X229" s="216">
        <f t="shared" si="46"/>
        <v>18</v>
      </c>
      <c r="Y229">
        <f t="shared" si="41"/>
        <v>0</v>
      </c>
    </row>
    <row r="230" spans="1:25" x14ac:dyDescent="0.2">
      <c r="A230" s="204">
        <f>IF(MOD(COUNT($A$10:A229),12)=0,A229+1,A229)</f>
        <v>19</v>
      </c>
      <c r="B230" s="218">
        <f t="shared" si="42"/>
        <v>5</v>
      </c>
      <c r="C230" s="218">
        <f t="shared" si="36"/>
        <v>1</v>
      </c>
      <c r="D230" s="208">
        <f>IF(MOD(COUNT($D$10:D229),6)=0,D229+1,D229)</f>
        <v>37</v>
      </c>
      <c r="E230" s="208">
        <f>IF(MOD(COUNT($E$10:E229),3)=0,E229+1,E229)</f>
        <v>74</v>
      </c>
      <c r="F230" s="208">
        <f>IF(MOD(COUNT($F$10:F229),1)=0,F229+1,F229)</f>
        <v>221</v>
      </c>
      <c r="G230" s="204">
        <f>IFERROR(IF(C230=1,VLOOKUP(A230,Output!$A$27:$AB$137,28,FALSE)/AnnuityMode,0),0)</f>
        <v>0</v>
      </c>
      <c r="H230" s="220">
        <f>IFERROR(IF(AND(MIN(A230&gt;25,Age+A230&gt;=85),B230=12),VLOOKUP(A230,Output!$A$27:$AE$137,31,FALSE),0),0)</f>
        <v>0</v>
      </c>
      <c r="I230" s="221">
        <f>IFERROR(IF(AND(MIN(A230&gt;15,A230+Age&gt;=70),C230=1),VLOOKUP(A230,Output!$A$27:$AF$137,32,FALSE)*VLOOKUP('SV calc_ignore'!A230,Output!$A$27:$AG$137,33,FALSE)/IF(AnnuityMode=2,2,IF(AnnuityMode=4,4,IF(AnnuityMode=12,12,1))),0),0)</f>
        <v>20833.333333333332</v>
      </c>
      <c r="J230" s="227">
        <f t="shared" si="37"/>
        <v>0</v>
      </c>
      <c r="K230" s="209">
        <f t="shared" si="43"/>
        <v>0</v>
      </c>
      <c r="L230" s="209">
        <f t="shared" si="38"/>
        <v>0</v>
      </c>
      <c r="M230" s="210">
        <f t="shared" si="47"/>
        <v>0</v>
      </c>
      <c r="N230" s="211">
        <f t="shared" si="44"/>
        <v>0</v>
      </c>
      <c r="O230" s="194">
        <f t="shared" si="45"/>
        <v>0</v>
      </c>
      <c r="P230" s="212">
        <f t="shared" si="39"/>
        <v>0</v>
      </c>
      <c r="Q230">
        <f t="shared" si="40"/>
        <v>2285434.6147930082</v>
      </c>
      <c r="X230" s="216">
        <f t="shared" si="46"/>
        <v>18</v>
      </c>
      <c r="Y230">
        <f t="shared" si="41"/>
        <v>0</v>
      </c>
    </row>
    <row r="231" spans="1:25" x14ac:dyDescent="0.2">
      <c r="A231" s="204">
        <f>IF(MOD(COUNT($A$10:A230),12)=0,A230+1,A230)</f>
        <v>19</v>
      </c>
      <c r="B231" s="218">
        <f t="shared" si="42"/>
        <v>6</v>
      </c>
      <c r="C231" s="218">
        <f t="shared" si="36"/>
        <v>1</v>
      </c>
      <c r="D231" s="208">
        <f>IF(MOD(COUNT($D$10:D230),6)=0,D230+1,D230)</f>
        <v>37</v>
      </c>
      <c r="E231" s="208">
        <f>IF(MOD(COUNT($E$10:E230),3)=0,E230+1,E230)</f>
        <v>74</v>
      </c>
      <c r="F231" s="208">
        <f>IF(MOD(COUNT($F$10:F230),1)=0,F230+1,F230)</f>
        <v>222</v>
      </c>
      <c r="G231" s="204">
        <f>IFERROR(IF(C231=1,VLOOKUP(A231,Output!$A$27:$AB$137,28,FALSE)/AnnuityMode,0),0)</f>
        <v>0</v>
      </c>
      <c r="H231" s="220">
        <f>IFERROR(IF(AND(MIN(A231&gt;25,Age+A231&gt;=85),B231=12),VLOOKUP(A231,Output!$A$27:$AE$137,31,FALSE),0),0)</f>
        <v>0</v>
      </c>
      <c r="I231" s="221">
        <f>IFERROR(IF(AND(MIN(A231&gt;15,A231+Age&gt;=70),C231=1),VLOOKUP(A231,Output!$A$27:$AF$137,32,FALSE)*VLOOKUP('SV calc_ignore'!A231,Output!$A$27:$AG$137,33,FALSE)/IF(AnnuityMode=2,2,IF(AnnuityMode=4,4,IF(AnnuityMode=12,12,1))),0),0)</f>
        <v>20833.333333333332</v>
      </c>
      <c r="J231" s="227">
        <f t="shared" si="37"/>
        <v>0</v>
      </c>
      <c r="K231" s="209">
        <f t="shared" si="43"/>
        <v>0</v>
      </c>
      <c r="L231" s="209">
        <f t="shared" si="38"/>
        <v>0</v>
      </c>
      <c r="M231" s="210">
        <f t="shared" si="47"/>
        <v>0</v>
      </c>
      <c r="N231" s="211">
        <f t="shared" si="44"/>
        <v>0</v>
      </c>
      <c r="O231" s="194">
        <f t="shared" si="45"/>
        <v>0</v>
      </c>
      <c r="P231" s="212">
        <f t="shared" si="39"/>
        <v>0</v>
      </c>
      <c r="Q231">
        <f t="shared" si="40"/>
        <v>2280049.2440777016</v>
      </c>
      <c r="X231" s="216">
        <f t="shared" si="46"/>
        <v>18</v>
      </c>
      <c r="Y231">
        <f t="shared" si="41"/>
        <v>0</v>
      </c>
    </row>
    <row r="232" spans="1:25" x14ac:dyDescent="0.2">
      <c r="A232" s="204">
        <f>IF(MOD(COUNT($A$10:A231),12)=0,A231+1,A231)</f>
        <v>19</v>
      </c>
      <c r="B232" s="218">
        <f t="shared" si="42"/>
        <v>7</v>
      </c>
      <c r="C232" s="218">
        <f t="shared" si="36"/>
        <v>1</v>
      </c>
      <c r="D232" s="208">
        <f>IF(MOD(COUNT($D$10:D231),6)=0,D231+1,D231)</f>
        <v>38</v>
      </c>
      <c r="E232" s="208">
        <f>IF(MOD(COUNT($E$10:E231),3)=0,E231+1,E231)</f>
        <v>75</v>
      </c>
      <c r="F232" s="208">
        <f>IF(MOD(COUNT($F$10:F231),1)=0,F231+1,F231)</f>
        <v>223</v>
      </c>
      <c r="G232" s="204">
        <f>IFERROR(IF(C232=1,VLOOKUP(A232,Output!$A$27:$AB$137,28,FALSE)/AnnuityMode,0),0)</f>
        <v>0</v>
      </c>
      <c r="H232" s="220">
        <f>IFERROR(IF(AND(MIN(A232&gt;25,Age+A232&gt;=85),B232=12),VLOOKUP(A232,Output!$A$27:$AE$137,31,FALSE),0),0)</f>
        <v>0</v>
      </c>
      <c r="I232" s="221">
        <f>IFERROR(IF(AND(MIN(A232&gt;15,A232+Age&gt;=70),C232=1),VLOOKUP(A232,Output!$A$27:$AF$137,32,FALSE)*VLOOKUP('SV calc_ignore'!A232,Output!$A$27:$AG$137,33,FALSE)/IF(AnnuityMode=2,2,IF(AnnuityMode=4,4,IF(AnnuityMode=12,12,1))),0),0)</f>
        <v>20833.333333333332</v>
      </c>
      <c r="J232" s="227">
        <f t="shared" si="37"/>
        <v>0</v>
      </c>
      <c r="K232" s="209">
        <f t="shared" si="43"/>
        <v>0</v>
      </c>
      <c r="L232" s="209">
        <f t="shared" si="38"/>
        <v>0</v>
      </c>
      <c r="M232" s="210">
        <f t="shared" si="47"/>
        <v>0</v>
      </c>
      <c r="N232" s="211">
        <f t="shared" si="44"/>
        <v>0</v>
      </c>
      <c r="O232" s="194">
        <f t="shared" si="45"/>
        <v>0</v>
      </c>
      <c r="P232" s="212">
        <f t="shared" si="39"/>
        <v>0</v>
      </c>
      <c r="Q232">
        <f t="shared" si="40"/>
        <v>2274627.1370917871</v>
      </c>
      <c r="X232" s="216">
        <f t="shared" si="46"/>
        <v>18</v>
      </c>
      <c r="Y232">
        <f t="shared" si="41"/>
        <v>0</v>
      </c>
    </row>
    <row r="233" spans="1:25" x14ac:dyDescent="0.2">
      <c r="A233" s="204">
        <f>IF(MOD(COUNT($A$10:A232),12)=0,A232+1,A232)</f>
        <v>19</v>
      </c>
      <c r="B233" s="218">
        <f t="shared" si="42"/>
        <v>8</v>
      </c>
      <c r="C233" s="218">
        <f t="shared" si="36"/>
        <v>1</v>
      </c>
      <c r="D233" s="208">
        <f>IF(MOD(COUNT($D$10:D232),6)=0,D232+1,D232)</f>
        <v>38</v>
      </c>
      <c r="E233" s="208">
        <f>IF(MOD(COUNT($E$10:E232),3)=0,E232+1,E232)</f>
        <v>75</v>
      </c>
      <c r="F233" s="208">
        <f>IF(MOD(COUNT($F$10:F232),1)=0,F232+1,F232)</f>
        <v>224</v>
      </c>
      <c r="G233" s="204">
        <f>IFERROR(IF(C233=1,VLOOKUP(A233,Output!$A$27:$AB$137,28,FALSE)/AnnuityMode,0),0)</f>
        <v>0</v>
      </c>
      <c r="H233" s="220">
        <f>IFERROR(IF(AND(MIN(A233&gt;25,Age+A233&gt;=85),B233=12),VLOOKUP(A233,Output!$A$27:$AE$137,31,FALSE),0),0)</f>
        <v>0</v>
      </c>
      <c r="I233" s="221">
        <f>IFERROR(IF(AND(MIN(A233&gt;15,A233+Age&gt;=70),C233=1),VLOOKUP(A233,Output!$A$27:$AF$137,32,FALSE)*VLOOKUP('SV calc_ignore'!A233,Output!$A$27:$AG$137,33,FALSE)/IF(AnnuityMode=2,2,IF(AnnuityMode=4,4,IF(AnnuityMode=12,12,1))),0),0)</f>
        <v>20833.333333333332</v>
      </c>
      <c r="J233" s="227">
        <f t="shared" si="37"/>
        <v>0</v>
      </c>
      <c r="K233" s="209">
        <f t="shared" si="43"/>
        <v>0</v>
      </c>
      <c r="L233" s="209">
        <f t="shared" si="38"/>
        <v>0</v>
      </c>
      <c r="M233" s="210">
        <f t="shared" si="47"/>
        <v>0</v>
      </c>
      <c r="N233" s="211">
        <f t="shared" si="44"/>
        <v>0</v>
      </c>
      <c r="O233" s="194">
        <f t="shared" si="45"/>
        <v>0</v>
      </c>
      <c r="P233" s="212">
        <f t="shared" si="39"/>
        <v>0</v>
      </c>
      <c r="Q233">
        <f t="shared" si="40"/>
        <v>2269168.0432390389</v>
      </c>
      <c r="X233" s="216">
        <f t="shared" si="46"/>
        <v>18</v>
      </c>
      <c r="Y233">
        <f t="shared" si="41"/>
        <v>0</v>
      </c>
    </row>
    <row r="234" spans="1:25" x14ac:dyDescent="0.2">
      <c r="A234" s="204">
        <f>IF(MOD(COUNT($A$10:A233),12)=0,A233+1,A233)</f>
        <v>19</v>
      </c>
      <c r="B234" s="218">
        <f t="shared" si="42"/>
        <v>9</v>
      </c>
      <c r="C234" s="218">
        <f t="shared" si="36"/>
        <v>1</v>
      </c>
      <c r="D234" s="208">
        <f>IF(MOD(COUNT($D$10:D233),6)=0,D233+1,D233)</f>
        <v>38</v>
      </c>
      <c r="E234" s="208">
        <f>IF(MOD(COUNT($E$10:E233),3)=0,E233+1,E233)</f>
        <v>75</v>
      </c>
      <c r="F234" s="208">
        <f>IF(MOD(COUNT($F$10:F233),1)=0,F233+1,F233)</f>
        <v>225</v>
      </c>
      <c r="G234" s="204">
        <f>IFERROR(IF(C234=1,VLOOKUP(A234,Output!$A$27:$AB$137,28,FALSE)/AnnuityMode,0),0)</f>
        <v>0</v>
      </c>
      <c r="H234" s="220">
        <f>IFERROR(IF(AND(MIN(A234&gt;25,Age+A234&gt;=85),B234=12),VLOOKUP(A234,Output!$A$27:$AE$137,31,FALSE),0),0)</f>
        <v>0</v>
      </c>
      <c r="I234" s="221">
        <f>IFERROR(IF(AND(MIN(A234&gt;15,A234+Age&gt;=70),C234=1),VLOOKUP(A234,Output!$A$27:$AF$137,32,FALSE)*VLOOKUP('SV calc_ignore'!A234,Output!$A$27:$AG$137,33,FALSE)/IF(AnnuityMode=2,2,IF(AnnuityMode=4,4,IF(AnnuityMode=12,12,1))),0),0)</f>
        <v>20833.333333333332</v>
      </c>
      <c r="J234" s="227">
        <f t="shared" si="37"/>
        <v>0</v>
      </c>
      <c r="K234" s="209">
        <f t="shared" si="43"/>
        <v>0</v>
      </c>
      <c r="L234" s="209">
        <f t="shared" si="38"/>
        <v>0</v>
      </c>
      <c r="M234" s="210">
        <f t="shared" si="47"/>
        <v>0</v>
      </c>
      <c r="N234" s="211">
        <f t="shared" si="44"/>
        <v>0</v>
      </c>
      <c r="O234" s="194">
        <f t="shared" si="45"/>
        <v>0</v>
      </c>
      <c r="P234" s="212">
        <f t="shared" si="39"/>
        <v>0</v>
      </c>
      <c r="Q234">
        <f t="shared" si="40"/>
        <v>2263671.7102137897</v>
      </c>
      <c r="X234" s="216">
        <f t="shared" si="46"/>
        <v>18</v>
      </c>
      <c r="Y234">
        <f t="shared" si="41"/>
        <v>0</v>
      </c>
    </row>
    <row r="235" spans="1:25" x14ac:dyDescent="0.2">
      <c r="A235" s="204">
        <f>IF(MOD(COUNT($A$10:A234),12)=0,A234+1,A234)</f>
        <v>19</v>
      </c>
      <c r="B235" s="218">
        <f t="shared" si="42"/>
        <v>10</v>
      </c>
      <c r="C235" s="218">
        <f t="shared" si="36"/>
        <v>1</v>
      </c>
      <c r="D235" s="208">
        <f>IF(MOD(COUNT($D$10:D234),6)=0,D234+1,D234)</f>
        <v>38</v>
      </c>
      <c r="E235" s="208">
        <f>IF(MOD(COUNT($E$10:E234),3)=0,E234+1,E234)</f>
        <v>76</v>
      </c>
      <c r="F235" s="208">
        <f>IF(MOD(COUNT($F$10:F234),1)=0,F234+1,F234)</f>
        <v>226</v>
      </c>
      <c r="G235" s="204">
        <f>IFERROR(IF(C235=1,VLOOKUP(A235,Output!$A$27:$AB$137,28,FALSE)/AnnuityMode,0),0)</f>
        <v>0</v>
      </c>
      <c r="H235" s="220">
        <f>IFERROR(IF(AND(MIN(A235&gt;25,Age+A235&gt;=85),B235=12),VLOOKUP(A235,Output!$A$27:$AE$137,31,FALSE),0),0)</f>
        <v>0</v>
      </c>
      <c r="I235" s="221">
        <f>IFERROR(IF(AND(MIN(A235&gt;15,A235+Age&gt;=70),C235=1),VLOOKUP(A235,Output!$A$27:$AF$137,32,FALSE)*VLOOKUP('SV calc_ignore'!A235,Output!$A$27:$AG$137,33,FALSE)/IF(AnnuityMode=2,2,IF(AnnuityMode=4,4,IF(AnnuityMode=12,12,1))),0),0)</f>
        <v>20833.333333333332</v>
      </c>
      <c r="J235" s="227">
        <f t="shared" si="37"/>
        <v>0</v>
      </c>
      <c r="K235" s="209">
        <f t="shared" si="43"/>
        <v>0</v>
      </c>
      <c r="L235" s="209">
        <f t="shared" si="38"/>
        <v>0</v>
      </c>
      <c r="M235" s="210">
        <f t="shared" si="47"/>
        <v>0</v>
      </c>
      <c r="N235" s="211">
        <f t="shared" si="44"/>
        <v>0</v>
      </c>
      <c r="O235" s="194">
        <f t="shared" si="45"/>
        <v>0</v>
      </c>
      <c r="P235" s="212">
        <f t="shared" si="39"/>
        <v>0</v>
      </c>
      <c r="Q235">
        <f t="shared" si="40"/>
        <v>2258137.8839892717</v>
      </c>
      <c r="X235" s="216">
        <f t="shared" si="46"/>
        <v>18</v>
      </c>
      <c r="Y235">
        <f t="shared" si="41"/>
        <v>0</v>
      </c>
    </row>
    <row r="236" spans="1:25" x14ac:dyDescent="0.2">
      <c r="A236" s="204">
        <f>IF(MOD(COUNT($A$10:A235),12)=0,A235+1,A235)</f>
        <v>19</v>
      </c>
      <c r="B236" s="218">
        <f t="shared" si="42"/>
        <v>11</v>
      </c>
      <c r="C236" s="218">
        <f t="shared" si="36"/>
        <v>1</v>
      </c>
      <c r="D236" s="208">
        <f>IF(MOD(COUNT($D$10:D235),6)=0,D235+1,D235)</f>
        <v>38</v>
      </c>
      <c r="E236" s="208">
        <f>IF(MOD(COUNT($E$10:E235),3)=0,E235+1,E235)</f>
        <v>76</v>
      </c>
      <c r="F236" s="208">
        <f>IF(MOD(COUNT($F$10:F235),1)=0,F235+1,F235)</f>
        <v>227</v>
      </c>
      <c r="G236" s="204">
        <f>IFERROR(IF(C236=1,VLOOKUP(A236,Output!$A$27:$AB$137,28,FALSE)/AnnuityMode,0),0)</f>
        <v>0</v>
      </c>
      <c r="H236" s="220">
        <f>IFERROR(IF(AND(MIN(A236&gt;25,Age+A236&gt;=85),B236=12),VLOOKUP(A236,Output!$A$27:$AE$137,31,FALSE),0),0)</f>
        <v>0</v>
      </c>
      <c r="I236" s="221">
        <f>IFERROR(IF(AND(MIN(A236&gt;15,A236+Age&gt;=70),C236=1),VLOOKUP(A236,Output!$A$27:$AF$137,32,FALSE)*VLOOKUP('SV calc_ignore'!A236,Output!$A$27:$AG$137,33,FALSE)/IF(AnnuityMode=2,2,IF(AnnuityMode=4,4,IF(AnnuityMode=12,12,1))),0),0)</f>
        <v>20833.333333333332</v>
      </c>
      <c r="J236" s="227">
        <f t="shared" si="37"/>
        <v>0</v>
      </c>
      <c r="K236" s="209">
        <f t="shared" si="43"/>
        <v>0</v>
      </c>
      <c r="L236" s="209">
        <f t="shared" si="38"/>
        <v>0</v>
      </c>
      <c r="M236" s="210">
        <f t="shared" si="47"/>
        <v>0</v>
      </c>
      <c r="N236" s="211">
        <f t="shared" si="44"/>
        <v>0</v>
      </c>
      <c r="O236" s="194">
        <f t="shared" si="45"/>
        <v>0</v>
      </c>
      <c r="P236" s="212">
        <f t="shared" si="39"/>
        <v>0</v>
      </c>
      <c r="Q236">
        <f t="shared" si="40"/>
        <v>2252566.308805875</v>
      </c>
      <c r="X236" s="216">
        <f t="shared" si="46"/>
        <v>18</v>
      </c>
      <c r="Y236">
        <f t="shared" si="41"/>
        <v>0</v>
      </c>
    </row>
    <row r="237" spans="1:25" x14ac:dyDescent="0.2">
      <c r="A237" s="204">
        <f>IF(MOD(COUNT($A$10:A236),12)=0,A236+1,A236)</f>
        <v>19</v>
      </c>
      <c r="B237" s="218">
        <f t="shared" si="42"/>
        <v>12</v>
      </c>
      <c r="C237" s="218">
        <f t="shared" si="36"/>
        <v>1</v>
      </c>
      <c r="D237" s="208">
        <f>IF(MOD(COUNT($D$10:D236),6)=0,D236+1,D236)</f>
        <v>38</v>
      </c>
      <c r="E237" s="208">
        <f>IF(MOD(COUNT($E$10:E236),3)=0,E236+1,E236)</f>
        <v>76</v>
      </c>
      <c r="F237" s="208">
        <f>IF(MOD(COUNT($F$10:F236),1)=0,F236+1,F236)</f>
        <v>228</v>
      </c>
      <c r="G237" s="204">
        <f>IFERROR(IF(C237=1,VLOOKUP(A237,Output!$A$27:$AB$137,28,FALSE)/AnnuityMode,0),0)</f>
        <v>0</v>
      </c>
      <c r="H237" s="220">
        <f>IFERROR(IF(AND(MIN(A237&gt;25,Age+A237&gt;=85),B237=12),VLOOKUP(A237,Output!$A$27:$AE$137,31,FALSE),0),0)</f>
        <v>0</v>
      </c>
      <c r="I237" s="221">
        <f>IFERROR(IF(AND(MIN(A237&gt;15,A237+Age&gt;=70),C237=1),VLOOKUP(A237,Output!$A$27:$AF$137,32,FALSE)*VLOOKUP('SV calc_ignore'!A237,Output!$A$27:$AG$137,33,FALSE)/IF(AnnuityMode=2,2,IF(AnnuityMode=4,4,IF(AnnuityMode=12,12,1))),0),0)</f>
        <v>20833.333333333332</v>
      </c>
      <c r="J237" s="227">
        <f t="shared" si="37"/>
        <v>0</v>
      </c>
      <c r="K237" s="209">
        <f t="shared" si="43"/>
        <v>0</v>
      </c>
      <c r="L237" s="209">
        <f t="shared" si="38"/>
        <v>0</v>
      </c>
      <c r="M237" s="210">
        <f t="shared" si="47"/>
        <v>0</v>
      </c>
      <c r="N237" s="211">
        <f t="shared" si="44"/>
        <v>0</v>
      </c>
      <c r="O237" s="194">
        <f t="shared" si="45"/>
        <v>0</v>
      </c>
      <c r="P237" s="212">
        <f t="shared" si="39"/>
        <v>0</v>
      </c>
      <c r="Q237">
        <f t="shared" si="40"/>
        <v>2246956.7271593264</v>
      </c>
      <c r="X237" s="216">
        <f t="shared" si="46"/>
        <v>18</v>
      </c>
      <c r="Y237">
        <f t="shared" si="41"/>
        <v>0</v>
      </c>
    </row>
    <row r="238" spans="1:25" x14ac:dyDescent="0.2">
      <c r="A238" s="204">
        <f>IF(MOD(COUNT($A$10:A237),12)=0,A237+1,A237)</f>
        <v>20</v>
      </c>
      <c r="B238" s="218">
        <f t="shared" si="42"/>
        <v>1</v>
      </c>
      <c r="C238" s="218">
        <f t="shared" si="36"/>
        <v>1</v>
      </c>
      <c r="D238" s="208">
        <f>IF(MOD(COUNT($D$10:D237),6)=0,D237+1,D237)</f>
        <v>39</v>
      </c>
      <c r="E238" s="208">
        <f>IF(MOD(COUNT($E$10:E237),3)=0,E237+1,E237)</f>
        <v>77</v>
      </c>
      <c r="F238" s="208">
        <f>IF(MOD(COUNT($F$10:F237),1)=0,F237+1,F237)</f>
        <v>229</v>
      </c>
      <c r="G238" s="204">
        <f>IFERROR(IF(C238=1,VLOOKUP(A238,Output!$A$27:$AB$137,28,FALSE)/AnnuityMode,0),0)</f>
        <v>0</v>
      </c>
      <c r="H238" s="220">
        <f>IFERROR(IF(AND(MIN(A238&gt;25,Age+A238&gt;=85),B238=12),VLOOKUP(A238,Output!$A$27:$AE$137,31,FALSE),0),0)</f>
        <v>0</v>
      </c>
      <c r="I238" s="221">
        <f>IFERROR(IF(AND(MIN(A238&gt;15,A238+Age&gt;=70),C238=1),VLOOKUP(A238,Output!$A$27:$AF$137,32,FALSE)*VLOOKUP('SV calc_ignore'!A238,Output!$A$27:$AG$137,33,FALSE)/IF(AnnuityMode=2,2,IF(AnnuityMode=4,4,IF(AnnuityMode=12,12,1))),0),0)</f>
        <v>20833.333333333332</v>
      </c>
      <c r="J238" s="227">
        <f t="shared" si="37"/>
        <v>0</v>
      </c>
      <c r="K238" s="209">
        <f t="shared" si="43"/>
        <v>0</v>
      </c>
      <c r="L238" s="209">
        <f t="shared" si="38"/>
        <v>0</v>
      </c>
      <c r="M238" s="210">
        <f t="shared" si="47"/>
        <v>0</v>
      </c>
      <c r="N238" s="211">
        <f t="shared" si="44"/>
        <v>0</v>
      </c>
      <c r="O238" s="194">
        <f t="shared" si="45"/>
        <v>0</v>
      </c>
      <c r="P238" s="212">
        <f t="shared" si="39"/>
        <v>0</v>
      </c>
      <c r="Q238">
        <f t="shared" si="40"/>
        <v>2241308.8797887904</v>
      </c>
      <c r="X238" s="216">
        <f t="shared" si="46"/>
        <v>19</v>
      </c>
      <c r="Y238">
        <f t="shared" si="41"/>
        <v>0</v>
      </c>
    </row>
    <row r="239" spans="1:25" x14ac:dyDescent="0.2">
      <c r="A239" s="204">
        <f>IF(MOD(COUNT($A$10:A238),12)=0,A238+1,A238)</f>
        <v>20</v>
      </c>
      <c r="B239" s="218">
        <f t="shared" si="42"/>
        <v>2</v>
      </c>
      <c r="C239" s="218">
        <f t="shared" si="36"/>
        <v>1</v>
      </c>
      <c r="D239" s="208">
        <f>IF(MOD(COUNT($D$10:D238),6)=0,D238+1,D238)</f>
        <v>39</v>
      </c>
      <c r="E239" s="208">
        <f>IF(MOD(COUNT($E$10:E238),3)=0,E238+1,E238)</f>
        <v>77</v>
      </c>
      <c r="F239" s="208">
        <f>IF(MOD(COUNT($F$10:F238),1)=0,F238+1,F238)</f>
        <v>230</v>
      </c>
      <c r="G239" s="204">
        <f>IFERROR(IF(C239=1,VLOOKUP(A239,Output!$A$27:$AB$137,28,FALSE)/AnnuityMode,0),0)</f>
        <v>0</v>
      </c>
      <c r="H239" s="220">
        <f>IFERROR(IF(AND(MIN(A239&gt;25,Age+A239&gt;=85),B239=12),VLOOKUP(A239,Output!$A$27:$AE$137,31,FALSE),0),0)</f>
        <v>0</v>
      </c>
      <c r="I239" s="221">
        <f>IFERROR(IF(AND(MIN(A239&gt;15,A239+Age&gt;=70),C239=1),VLOOKUP(A239,Output!$A$27:$AF$137,32,FALSE)*VLOOKUP('SV calc_ignore'!A239,Output!$A$27:$AG$137,33,FALSE)/IF(AnnuityMode=2,2,IF(AnnuityMode=4,4,IF(AnnuityMode=12,12,1))),0),0)</f>
        <v>20833.333333333332</v>
      </c>
      <c r="J239" s="227">
        <f t="shared" si="37"/>
        <v>0</v>
      </c>
      <c r="K239" s="209">
        <f t="shared" si="43"/>
        <v>0</v>
      </c>
      <c r="L239" s="209">
        <f t="shared" si="38"/>
        <v>0</v>
      </c>
      <c r="M239" s="210">
        <f t="shared" si="47"/>
        <v>0</v>
      </c>
      <c r="N239" s="211">
        <f t="shared" si="44"/>
        <v>0</v>
      </c>
      <c r="O239" s="194">
        <f t="shared" si="45"/>
        <v>0</v>
      </c>
      <c r="P239" s="212">
        <f t="shared" si="39"/>
        <v>0</v>
      </c>
      <c r="Q239">
        <f t="shared" si="40"/>
        <v>2235622.5056648841</v>
      </c>
      <c r="X239" s="216">
        <f t="shared" si="46"/>
        <v>19</v>
      </c>
      <c r="Y239">
        <f t="shared" si="41"/>
        <v>0</v>
      </c>
    </row>
    <row r="240" spans="1:25" x14ac:dyDescent="0.2">
      <c r="A240" s="204">
        <f>IF(MOD(COUNT($A$10:A239),12)=0,A239+1,A239)</f>
        <v>20</v>
      </c>
      <c r="B240" s="218">
        <f t="shared" si="42"/>
        <v>3</v>
      </c>
      <c r="C240" s="218">
        <f t="shared" si="36"/>
        <v>1</v>
      </c>
      <c r="D240" s="208">
        <f>IF(MOD(COUNT($D$10:D239),6)=0,D239+1,D239)</f>
        <v>39</v>
      </c>
      <c r="E240" s="208">
        <f>IF(MOD(COUNT($E$10:E239),3)=0,E239+1,E239)</f>
        <v>77</v>
      </c>
      <c r="F240" s="208">
        <f>IF(MOD(COUNT($F$10:F239),1)=0,F239+1,F239)</f>
        <v>231</v>
      </c>
      <c r="G240" s="204">
        <f>IFERROR(IF(C240=1,VLOOKUP(A240,Output!$A$27:$AB$137,28,FALSE)/AnnuityMode,0),0)</f>
        <v>0</v>
      </c>
      <c r="H240" s="220">
        <f>IFERROR(IF(AND(MIN(A240&gt;25,Age+A240&gt;=85),B240=12),VLOOKUP(A240,Output!$A$27:$AE$137,31,FALSE),0),0)</f>
        <v>0</v>
      </c>
      <c r="I240" s="221">
        <f>IFERROR(IF(AND(MIN(A240&gt;15,A240+Age&gt;=70),C240=1),VLOOKUP(A240,Output!$A$27:$AF$137,32,FALSE)*VLOOKUP('SV calc_ignore'!A240,Output!$A$27:$AG$137,33,FALSE)/IF(AnnuityMode=2,2,IF(AnnuityMode=4,4,IF(AnnuityMode=12,12,1))),0),0)</f>
        <v>20833.333333333332</v>
      </c>
      <c r="J240" s="227">
        <f t="shared" si="37"/>
        <v>0</v>
      </c>
      <c r="K240" s="209">
        <f t="shared" si="43"/>
        <v>0</v>
      </c>
      <c r="L240" s="209">
        <f t="shared" si="38"/>
        <v>0</v>
      </c>
      <c r="M240" s="210">
        <f t="shared" si="47"/>
        <v>0</v>
      </c>
      <c r="N240" s="211">
        <f t="shared" si="44"/>
        <v>0</v>
      </c>
      <c r="O240" s="194">
        <f t="shared" si="45"/>
        <v>0</v>
      </c>
      <c r="P240" s="212">
        <f t="shared" si="39"/>
        <v>0</v>
      </c>
      <c r="Q240">
        <f t="shared" si="40"/>
        <v>2229897.3419776154</v>
      </c>
      <c r="X240" s="216">
        <f t="shared" si="46"/>
        <v>19</v>
      </c>
      <c r="Y240">
        <f t="shared" si="41"/>
        <v>0</v>
      </c>
    </row>
    <row r="241" spans="1:25" x14ac:dyDescent="0.2">
      <c r="A241" s="204">
        <f>IF(MOD(COUNT($A$10:A240),12)=0,A240+1,A240)</f>
        <v>20</v>
      </c>
      <c r="B241" s="218">
        <f t="shared" si="42"/>
        <v>4</v>
      </c>
      <c r="C241" s="218">
        <f t="shared" si="36"/>
        <v>1</v>
      </c>
      <c r="D241" s="208">
        <f>IF(MOD(COUNT($D$10:D240),6)=0,D240+1,D240)</f>
        <v>39</v>
      </c>
      <c r="E241" s="208">
        <f>IF(MOD(COUNT($E$10:E240),3)=0,E240+1,E240)</f>
        <v>78</v>
      </c>
      <c r="F241" s="208">
        <f>IF(MOD(COUNT($F$10:F240),1)=0,F240+1,F240)</f>
        <v>232</v>
      </c>
      <c r="G241" s="204">
        <f>IFERROR(IF(C241=1,VLOOKUP(A241,Output!$A$27:$AB$137,28,FALSE)/AnnuityMode,0),0)</f>
        <v>0</v>
      </c>
      <c r="H241" s="220">
        <f>IFERROR(IF(AND(MIN(A241&gt;25,Age+A241&gt;=85),B241=12),VLOOKUP(A241,Output!$A$27:$AE$137,31,FALSE),0),0)</f>
        <v>0</v>
      </c>
      <c r="I241" s="221">
        <f>IFERROR(IF(AND(MIN(A241&gt;15,A241+Age&gt;=70),C241=1),VLOOKUP(A241,Output!$A$27:$AF$137,32,FALSE)*VLOOKUP('SV calc_ignore'!A241,Output!$A$27:$AG$137,33,FALSE)/IF(AnnuityMode=2,2,IF(AnnuityMode=4,4,IF(AnnuityMode=12,12,1))),0),0)</f>
        <v>20833.333333333332</v>
      </c>
      <c r="J241" s="227">
        <f t="shared" si="37"/>
        <v>0</v>
      </c>
      <c r="K241" s="209">
        <f t="shared" si="43"/>
        <v>0</v>
      </c>
      <c r="L241" s="209">
        <f t="shared" si="38"/>
        <v>0</v>
      </c>
      <c r="M241" s="210">
        <f t="shared" si="47"/>
        <v>0</v>
      </c>
      <c r="N241" s="211">
        <f t="shared" si="44"/>
        <v>0</v>
      </c>
      <c r="O241" s="194">
        <f t="shared" si="45"/>
        <v>0</v>
      </c>
      <c r="P241" s="212">
        <f t="shared" si="39"/>
        <v>0</v>
      </c>
      <c r="Q241">
        <f t="shared" si="40"/>
        <v>2224133.124124235</v>
      </c>
      <c r="X241" s="216">
        <f t="shared" si="46"/>
        <v>19</v>
      </c>
      <c r="Y241">
        <f t="shared" si="41"/>
        <v>0</v>
      </c>
    </row>
    <row r="242" spans="1:25" x14ac:dyDescent="0.2">
      <c r="A242" s="204">
        <f>IF(MOD(COUNT($A$10:A241),12)=0,A241+1,A241)</f>
        <v>20</v>
      </c>
      <c r="B242" s="218">
        <f t="shared" si="42"/>
        <v>5</v>
      </c>
      <c r="C242" s="218">
        <f t="shared" si="36"/>
        <v>1</v>
      </c>
      <c r="D242" s="208">
        <f>IF(MOD(COUNT($D$10:D241),6)=0,D241+1,D241)</f>
        <v>39</v>
      </c>
      <c r="E242" s="208">
        <f>IF(MOD(COUNT($E$10:E241),3)=0,E241+1,E241)</f>
        <v>78</v>
      </c>
      <c r="F242" s="208">
        <f>IF(MOD(COUNT($F$10:F241),1)=0,F241+1,F241)</f>
        <v>233</v>
      </c>
      <c r="G242" s="204">
        <f>IFERROR(IF(C242=1,VLOOKUP(A242,Output!$A$27:$AB$137,28,FALSE)/AnnuityMode,0),0)</f>
        <v>0</v>
      </c>
      <c r="H242" s="220">
        <f>IFERROR(IF(AND(MIN(A242&gt;25,Age+A242&gt;=85),B242=12),VLOOKUP(A242,Output!$A$27:$AE$137,31,FALSE),0),0)</f>
        <v>0</v>
      </c>
      <c r="I242" s="221">
        <f>IFERROR(IF(AND(MIN(A242&gt;15,A242+Age&gt;=70),C242=1),VLOOKUP(A242,Output!$A$27:$AF$137,32,FALSE)*VLOOKUP('SV calc_ignore'!A242,Output!$A$27:$AG$137,33,FALSE)/IF(AnnuityMode=2,2,IF(AnnuityMode=4,4,IF(AnnuityMode=12,12,1))),0),0)</f>
        <v>20833.333333333332</v>
      </c>
      <c r="J242" s="227">
        <f t="shared" si="37"/>
        <v>0</v>
      </c>
      <c r="K242" s="209">
        <f t="shared" si="43"/>
        <v>0</v>
      </c>
      <c r="L242" s="209">
        <f t="shared" si="38"/>
        <v>0</v>
      </c>
      <c r="M242" s="210">
        <f t="shared" si="47"/>
        <v>0</v>
      </c>
      <c r="N242" s="211">
        <f t="shared" si="44"/>
        <v>0</v>
      </c>
      <c r="O242" s="194">
        <f t="shared" si="45"/>
        <v>0</v>
      </c>
      <c r="P242" s="212">
        <f t="shared" si="39"/>
        <v>0</v>
      </c>
      <c r="Q242">
        <f t="shared" si="40"/>
        <v>2218329.5856970078</v>
      </c>
      <c r="X242" s="216">
        <f t="shared" si="46"/>
        <v>19</v>
      </c>
      <c r="Y242">
        <f t="shared" si="41"/>
        <v>0</v>
      </c>
    </row>
    <row r="243" spans="1:25" x14ac:dyDescent="0.2">
      <c r="A243" s="204">
        <f>IF(MOD(COUNT($A$10:A242),12)=0,A242+1,A242)</f>
        <v>20</v>
      </c>
      <c r="B243" s="218">
        <f t="shared" si="42"/>
        <v>6</v>
      </c>
      <c r="C243" s="218">
        <f t="shared" si="36"/>
        <v>1</v>
      </c>
      <c r="D243" s="208">
        <f>IF(MOD(COUNT($D$10:D242),6)=0,D242+1,D242)</f>
        <v>39</v>
      </c>
      <c r="E243" s="208">
        <f>IF(MOD(COUNT($E$10:E242),3)=0,E242+1,E242)</f>
        <v>78</v>
      </c>
      <c r="F243" s="208">
        <f>IF(MOD(COUNT($F$10:F242),1)=0,F242+1,F242)</f>
        <v>234</v>
      </c>
      <c r="G243" s="204">
        <f>IFERROR(IF(C243=1,VLOOKUP(A243,Output!$A$27:$AB$137,28,FALSE)/AnnuityMode,0),0)</f>
        <v>0</v>
      </c>
      <c r="H243" s="220">
        <f>IFERROR(IF(AND(MIN(A243&gt;25,Age+A243&gt;=85),B243=12),VLOOKUP(A243,Output!$A$27:$AE$137,31,FALSE),0),0)</f>
        <v>0</v>
      </c>
      <c r="I243" s="221">
        <f>IFERROR(IF(AND(MIN(A243&gt;15,A243+Age&gt;=70),C243=1),VLOOKUP(A243,Output!$A$27:$AF$137,32,FALSE)*VLOOKUP('SV calc_ignore'!A243,Output!$A$27:$AG$137,33,FALSE)/IF(AnnuityMode=2,2,IF(AnnuityMode=4,4,IF(AnnuityMode=12,12,1))),0),0)</f>
        <v>20833.333333333332</v>
      </c>
      <c r="J243" s="227">
        <f t="shared" si="37"/>
        <v>0</v>
      </c>
      <c r="K243" s="209">
        <f t="shared" si="43"/>
        <v>0</v>
      </c>
      <c r="L243" s="209">
        <f t="shared" si="38"/>
        <v>0</v>
      </c>
      <c r="M243" s="210">
        <f t="shared" si="47"/>
        <v>0</v>
      </c>
      <c r="N243" s="211">
        <f t="shared" si="44"/>
        <v>0</v>
      </c>
      <c r="O243" s="194">
        <f t="shared" si="45"/>
        <v>0</v>
      </c>
      <c r="P243" s="212">
        <f t="shared" si="39"/>
        <v>0</v>
      </c>
      <c r="Q243">
        <f t="shared" si="40"/>
        <v>2212486.4584709001</v>
      </c>
      <c r="X243" s="216">
        <f t="shared" si="46"/>
        <v>19</v>
      </c>
      <c r="Y243">
        <f t="shared" si="41"/>
        <v>0</v>
      </c>
    </row>
    <row r="244" spans="1:25" x14ac:dyDescent="0.2">
      <c r="A244" s="204">
        <f>IF(MOD(COUNT($A$10:A243),12)=0,A243+1,A243)</f>
        <v>20</v>
      </c>
      <c r="B244" s="218">
        <f t="shared" si="42"/>
        <v>7</v>
      </c>
      <c r="C244" s="218">
        <f t="shared" si="36"/>
        <v>1</v>
      </c>
      <c r="D244" s="208">
        <f>IF(MOD(COUNT($D$10:D243),6)=0,D243+1,D243)</f>
        <v>40</v>
      </c>
      <c r="E244" s="208">
        <f>IF(MOD(COUNT($E$10:E243),3)=0,E243+1,E243)</f>
        <v>79</v>
      </c>
      <c r="F244" s="208">
        <f>IF(MOD(COUNT($F$10:F243),1)=0,F243+1,F243)</f>
        <v>235</v>
      </c>
      <c r="G244" s="204">
        <f>IFERROR(IF(C244=1,VLOOKUP(A244,Output!$A$27:$AB$137,28,FALSE)/AnnuityMode,0),0)</f>
        <v>0</v>
      </c>
      <c r="H244" s="220">
        <f>IFERROR(IF(AND(MIN(A244&gt;25,Age+A244&gt;=85),B244=12),VLOOKUP(A244,Output!$A$27:$AE$137,31,FALSE),0),0)</f>
        <v>0</v>
      </c>
      <c r="I244" s="221">
        <f>IFERROR(IF(AND(MIN(A244&gt;15,A244+Age&gt;=70),C244=1),VLOOKUP(A244,Output!$A$27:$AF$137,32,FALSE)*VLOOKUP('SV calc_ignore'!A244,Output!$A$27:$AG$137,33,FALSE)/IF(AnnuityMode=2,2,IF(AnnuityMode=4,4,IF(AnnuityMode=12,12,1))),0),0)</f>
        <v>20833.333333333332</v>
      </c>
      <c r="J244" s="227">
        <f t="shared" si="37"/>
        <v>0</v>
      </c>
      <c r="K244" s="209">
        <f t="shared" si="43"/>
        <v>0</v>
      </c>
      <c r="L244" s="209">
        <f t="shared" si="38"/>
        <v>0</v>
      </c>
      <c r="M244" s="210">
        <f t="shared" si="47"/>
        <v>0</v>
      </c>
      <c r="N244" s="211">
        <f t="shared" si="44"/>
        <v>0</v>
      </c>
      <c r="O244" s="194">
        <f t="shared" si="45"/>
        <v>0</v>
      </c>
      <c r="P244" s="212">
        <f t="shared" si="39"/>
        <v>0</v>
      </c>
      <c r="Q244">
        <f t="shared" si="40"/>
        <v>2206603.472391183</v>
      </c>
      <c r="X244" s="216">
        <f t="shared" si="46"/>
        <v>19</v>
      </c>
      <c r="Y244">
        <f t="shared" si="41"/>
        <v>0</v>
      </c>
    </row>
    <row r="245" spans="1:25" x14ac:dyDescent="0.2">
      <c r="A245" s="204">
        <f>IF(MOD(COUNT($A$10:A244),12)=0,A244+1,A244)</f>
        <v>20</v>
      </c>
      <c r="B245" s="218">
        <f t="shared" si="42"/>
        <v>8</v>
      </c>
      <c r="C245" s="218">
        <f t="shared" si="36"/>
        <v>1</v>
      </c>
      <c r="D245" s="208">
        <f>IF(MOD(COUNT($D$10:D244),6)=0,D244+1,D244)</f>
        <v>40</v>
      </c>
      <c r="E245" s="208">
        <f>IF(MOD(COUNT($E$10:E244),3)=0,E244+1,E244)</f>
        <v>79</v>
      </c>
      <c r="F245" s="208">
        <f>IF(MOD(COUNT($F$10:F244),1)=0,F244+1,F244)</f>
        <v>236</v>
      </c>
      <c r="G245" s="204">
        <f>IFERROR(IF(C245=1,VLOOKUP(A245,Output!$A$27:$AB$137,28,FALSE)/AnnuityMode,0),0)</f>
        <v>0</v>
      </c>
      <c r="H245" s="220">
        <f>IFERROR(IF(AND(MIN(A245&gt;25,Age+A245&gt;=85),B245=12),VLOOKUP(A245,Output!$A$27:$AE$137,31,FALSE),0),0)</f>
        <v>0</v>
      </c>
      <c r="I245" s="221">
        <f>IFERROR(IF(AND(MIN(A245&gt;15,A245+Age&gt;=70),C245=1),VLOOKUP(A245,Output!$A$27:$AF$137,32,FALSE)*VLOOKUP('SV calc_ignore'!A245,Output!$A$27:$AG$137,33,FALSE)/IF(AnnuityMode=2,2,IF(AnnuityMode=4,4,IF(AnnuityMode=12,12,1))),0),0)</f>
        <v>20833.333333333332</v>
      </c>
      <c r="J245" s="227">
        <f t="shared" si="37"/>
        <v>0</v>
      </c>
      <c r="K245" s="209">
        <f t="shared" si="43"/>
        <v>0</v>
      </c>
      <c r="L245" s="209">
        <f t="shared" si="38"/>
        <v>0</v>
      </c>
      <c r="M245" s="210">
        <f t="shared" si="47"/>
        <v>0</v>
      </c>
      <c r="N245" s="211">
        <f t="shared" si="44"/>
        <v>0</v>
      </c>
      <c r="O245" s="194">
        <f t="shared" si="45"/>
        <v>0</v>
      </c>
      <c r="P245" s="212">
        <f t="shared" si="39"/>
        <v>0</v>
      </c>
      <c r="Q245">
        <f t="shared" si="40"/>
        <v>2200680.3555609509</v>
      </c>
      <c r="X245" s="216">
        <f t="shared" si="46"/>
        <v>19</v>
      </c>
      <c r="Y245">
        <f t="shared" si="41"/>
        <v>0</v>
      </c>
    </row>
    <row r="246" spans="1:25" x14ac:dyDescent="0.2">
      <c r="A246" s="204">
        <f>IF(MOD(COUNT($A$10:A245),12)=0,A245+1,A245)</f>
        <v>20</v>
      </c>
      <c r="B246" s="218">
        <f t="shared" si="42"/>
        <v>9</v>
      </c>
      <c r="C246" s="218">
        <f t="shared" si="36"/>
        <v>1</v>
      </c>
      <c r="D246" s="208">
        <f>IF(MOD(COUNT($D$10:D245),6)=0,D245+1,D245)</f>
        <v>40</v>
      </c>
      <c r="E246" s="208">
        <f>IF(MOD(COUNT($E$10:E245),3)=0,E245+1,E245)</f>
        <v>79</v>
      </c>
      <c r="F246" s="208">
        <f>IF(MOD(COUNT($F$10:F245),1)=0,F245+1,F245)</f>
        <v>237</v>
      </c>
      <c r="G246" s="204">
        <f>IFERROR(IF(C246=1,VLOOKUP(A246,Output!$A$27:$AB$137,28,FALSE)/AnnuityMode,0),0)</f>
        <v>0</v>
      </c>
      <c r="H246" s="220">
        <f>IFERROR(IF(AND(MIN(A246&gt;25,Age+A246&gt;=85),B246=12),VLOOKUP(A246,Output!$A$27:$AE$137,31,FALSE),0),0)</f>
        <v>0</v>
      </c>
      <c r="I246" s="221">
        <f>IFERROR(IF(AND(MIN(A246&gt;15,A246+Age&gt;=70),C246=1),VLOOKUP(A246,Output!$A$27:$AF$137,32,FALSE)*VLOOKUP('SV calc_ignore'!A246,Output!$A$27:$AG$137,33,FALSE)/IF(AnnuityMode=2,2,IF(AnnuityMode=4,4,IF(AnnuityMode=12,12,1))),0),0)</f>
        <v>20833.333333333332</v>
      </c>
      <c r="J246" s="227">
        <f t="shared" si="37"/>
        <v>0</v>
      </c>
      <c r="K246" s="209">
        <f t="shared" si="43"/>
        <v>0</v>
      </c>
      <c r="L246" s="209">
        <f t="shared" si="38"/>
        <v>0</v>
      </c>
      <c r="M246" s="210">
        <f t="shared" si="47"/>
        <v>0</v>
      </c>
      <c r="N246" s="211">
        <f t="shared" si="44"/>
        <v>0</v>
      </c>
      <c r="O246" s="194">
        <f t="shared" si="45"/>
        <v>0</v>
      </c>
      <c r="P246" s="212">
        <f t="shared" si="39"/>
        <v>0</v>
      </c>
      <c r="Q246">
        <f t="shared" si="40"/>
        <v>2194716.8342285557</v>
      </c>
      <c r="X246" s="216">
        <f t="shared" si="46"/>
        <v>19</v>
      </c>
      <c r="Y246">
        <f t="shared" si="41"/>
        <v>0</v>
      </c>
    </row>
    <row r="247" spans="1:25" x14ac:dyDescent="0.2">
      <c r="A247" s="204">
        <f>IF(MOD(COUNT($A$10:A246),12)=0,A246+1,A246)</f>
        <v>20</v>
      </c>
      <c r="B247" s="218">
        <f t="shared" si="42"/>
        <v>10</v>
      </c>
      <c r="C247" s="218">
        <f t="shared" si="36"/>
        <v>1</v>
      </c>
      <c r="D247" s="208">
        <f>IF(MOD(COUNT($D$10:D246),6)=0,D246+1,D246)</f>
        <v>40</v>
      </c>
      <c r="E247" s="208">
        <f>IF(MOD(COUNT($E$10:E246),3)=0,E246+1,E246)</f>
        <v>80</v>
      </c>
      <c r="F247" s="208">
        <f>IF(MOD(COUNT($F$10:F246),1)=0,F246+1,F246)</f>
        <v>238</v>
      </c>
      <c r="G247" s="204">
        <f>IFERROR(IF(C247=1,VLOOKUP(A247,Output!$A$27:$AB$137,28,FALSE)/AnnuityMode,0),0)</f>
        <v>0</v>
      </c>
      <c r="H247" s="220">
        <f>IFERROR(IF(AND(MIN(A247&gt;25,Age+A247&gt;=85),B247=12),VLOOKUP(A247,Output!$A$27:$AE$137,31,FALSE),0),0)</f>
        <v>0</v>
      </c>
      <c r="I247" s="221">
        <f>IFERROR(IF(AND(MIN(A247&gt;15,A247+Age&gt;=70),C247=1),VLOOKUP(A247,Output!$A$27:$AF$137,32,FALSE)*VLOOKUP('SV calc_ignore'!A247,Output!$A$27:$AG$137,33,FALSE)/IF(AnnuityMode=2,2,IF(AnnuityMode=4,4,IF(AnnuityMode=12,12,1))),0),0)</f>
        <v>20833.333333333332</v>
      </c>
      <c r="J247" s="227">
        <f t="shared" si="37"/>
        <v>0</v>
      </c>
      <c r="K247" s="209">
        <f t="shared" si="43"/>
        <v>0</v>
      </c>
      <c r="L247" s="209">
        <f t="shared" si="38"/>
        <v>0</v>
      </c>
      <c r="M247" s="210">
        <f t="shared" si="47"/>
        <v>0</v>
      </c>
      <c r="N247" s="211">
        <f t="shared" si="44"/>
        <v>0</v>
      </c>
      <c r="O247" s="194">
        <f t="shared" si="45"/>
        <v>0</v>
      </c>
      <c r="P247" s="212">
        <f t="shared" si="39"/>
        <v>0</v>
      </c>
      <c r="Q247">
        <f t="shared" si="40"/>
        <v>2188712.6327749537</v>
      </c>
      <c r="X247" s="216">
        <f t="shared" si="46"/>
        <v>19</v>
      </c>
      <c r="Y247">
        <f t="shared" si="41"/>
        <v>0</v>
      </c>
    </row>
    <row r="248" spans="1:25" x14ac:dyDescent="0.2">
      <c r="A248" s="204">
        <f>IF(MOD(COUNT($A$10:A247),12)=0,A247+1,A247)</f>
        <v>20</v>
      </c>
      <c r="B248" s="218">
        <f t="shared" si="42"/>
        <v>11</v>
      </c>
      <c r="C248" s="218">
        <f t="shared" si="36"/>
        <v>1</v>
      </c>
      <c r="D248" s="208">
        <f>IF(MOD(COUNT($D$10:D247),6)=0,D247+1,D247)</f>
        <v>40</v>
      </c>
      <c r="E248" s="208">
        <f>IF(MOD(COUNT($E$10:E247),3)=0,E247+1,E247)</f>
        <v>80</v>
      </c>
      <c r="F248" s="208">
        <f>IF(MOD(COUNT($F$10:F247),1)=0,F247+1,F247)</f>
        <v>239</v>
      </c>
      <c r="G248" s="204">
        <f>IFERROR(IF(C248=1,VLOOKUP(A248,Output!$A$27:$AB$137,28,FALSE)/AnnuityMode,0),0)</f>
        <v>0</v>
      </c>
      <c r="H248" s="220">
        <f>IFERROR(IF(AND(MIN(A248&gt;25,Age+A248&gt;=85),B248=12),VLOOKUP(A248,Output!$A$27:$AE$137,31,FALSE),0),0)</f>
        <v>0</v>
      </c>
      <c r="I248" s="221">
        <f>IFERROR(IF(AND(MIN(A248&gt;15,A248+Age&gt;=70),C248=1),VLOOKUP(A248,Output!$A$27:$AF$137,32,FALSE)*VLOOKUP('SV calc_ignore'!A248,Output!$A$27:$AG$137,33,FALSE)/IF(AnnuityMode=2,2,IF(AnnuityMode=4,4,IF(AnnuityMode=12,12,1))),0),0)</f>
        <v>20833.333333333332</v>
      </c>
      <c r="J248" s="227">
        <f t="shared" si="37"/>
        <v>0</v>
      </c>
      <c r="K248" s="209">
        <f t="shared" si="43"/>
        <v>0</v>
      </c>
      <c r="L248" s="209">
        <f t="shared" si="38"/>
        <v>0</v>
      </c>
      <c r="M248" s="210">
        <f t="shared" si="47"/>
        <v>0</v>
      </c>
      <c r="N248" s="211">
        <f t="shared" si="44"/>
        <v>0</v>
      </c>
      <c r="O248" s="194">
        <f t="shared" si="45"/>
        <v>0</v>
      </c>
      <c r="P248" s="212">
        <f t="shared" si="39"/>
        <v>0</v>
      </c>
      <c r="Q248">
        <f t="shared" si="40"/>
        <v>2182667.4737009681</v>
      </c>
      <c r="X248" s="216">
        <f t="shared" si="46"/>
        <v>19</v>
      </c>
      <c r="Y248">
        <f t="shared" si="41"/>
        <v>0</v>
      </c>
    </row>
    <row r="249" spans="1:25" x14ac:dyDescent="0.2">
      <c r="A249" s="204">
        <f>IF(MOD(COUNT($A$10:A248),12)=0,A248+1,A248)</f>
        <v>20</v>
      </c>
      <c r="B249" s="218">
        <f t="shared" si="42"/>
        <v>12</v>
      </c>
      <c r="C249" s="218">
        <f t="shared" si="36"/>
        <v>1</v>
      </c>
      <c r="D249" s="208">
        <f>IF(MOD(COUNT($D$10:D248),6)=0,D248+1,D248)</f>
        <v>40</v>
      </c>
      <c r="E249" s="208">
        <f>IF(MOD(COUNT($E$10:E248),3)=0,E248+1,E248)</f>
        <v>80</v>
      </c>
      <c r="F249" s="208">
        <f>IF(MOD(COUNT($F$10:F248),1)=0,F248+1,F248)</f>
        <v>240</v>
      </c>
      <c r="G249" s="204">
        <f>IFERROR(IF(C249=1,VLOOKUP(A249,Output!$A$27:$AB$137,28,FALSE)/AnnuityMode,0),0)</f>
        <v>0</v>
      </c>
      <c r="H249" s="220">
        <f>IFERROR(IF(AND(MIN(A249&gt;25,Age+A249&gt;=85),B249=12),VLOOKUP(A249,Output!$A$27:$AE$137,31,FALSE),0),0)</f>
        <v>0</v>
      </c>
      <c r="I249" s="221">
        <f>IFERROR(IF(AND(MIN(A249&gt;15,A249+Age&gt;=70),C249=1),VLOOKUP(A249,Output!$A$27:$AF$137,32,FALSE)*VLOOKUP('SV calc_ignore'!A249,Output!$A$27:$AG$137,33,FALSE)/IF(AnnuityMode=2,2,IF(AnnuityMode=4,4,IF(AnnuityMode=12,12,1))),0),0)</f>
        <v>20833.333333333332</v>
      </c>
      <c r="J249" s="227">
        <f t="shared" si="37"/>
        <v>0</v>
      </c>
      <c r="K249" s="209">
        <f t="shared" si="43"/>
        <v>0</v>
      </c>
      <c r="L249" s="209">
        <f t="shared" si="38"/>
        <v>0</v>
      </c>
      <c r="M249" s="210">
        <f t="shared" si="47"/>
        <v>0</v>
      </c>
      <c r="N249" s="211">
        <f t="shared" si="44"/>
        <v>0</v>
      </c>
      <c r="O249" s="194">
        <f t="shared" si="45"/>
        <v>0</v>
      </c>
      <c r="P249" s="212">
        <f t="shared" si="39"/>
        <v>0</v>
      </c>
      <c r="Q249">
        <f t="shared" si="40"/>
        <v>2176581.0776144629</v>
      </c>
      <c r="X249" s="216">
        <f t="shared" si="46"/>
        <v>19</v>
      </c>
      <c r="Y249">
        <f t="shared" si="41"/>
        <v>0</v>
      </c>
    </row>
    <row r="250" spans="1:25" x14ac:dyDescent="0.2">
      <c r="A250" s="204">
        <f>IF(MOD(COUNT($A$10:A249),12)=0,A249+1,A249)</f>
        <v>21</v>
      </c>
      <c r="B250" s="218">
        <f t="shared" si="42"/>
        <v>1</v>
      </c>
      <c r="C250" s="218">
        <f t="shared" si="36"/>
        <v>1</v>
      </c>
      <c r="D250" s="208">
        <f>IF(MOD(COUNT($D$10:D249),6)=0,D249+1,D249)</f>
        <v>41</v>
      </c>
      <c r="E250" s="208">
        <f>IF(MOD(COUNT($E$10:E249),3)=0,E249+1,E249)</f>
        <v>81</v>
      </c>
      <c r="F250" s="208">
        <f>IF(MOD(COUNT($F$10:F249),1)=0,F249+1,F249)</f>
        <v>241</v>
      </c>
      <c r="G250" s="204">
        <f>IFERROR(IF(C250=1,VLOOKUP(A250,Output!$A$27:$AB$137,28,FALSE)/AnnuityMode,0),0)</f>
        <v>0</v>
      </c>
      <c r="H250" s="220">
        <f>IFERROR(IF(AND(MIN(A250&gt;25,Age+A250&gt;=85),B250=12),VLOOKUP(A250,Output!$A$27:$AE$137,31,FALSE),0),0)</f>
        <v>0</v>
      </c>
      <c r="I250" s="221">
        <f>IFERROR(IF(AND(MIN(A250&gt;15,A250+Age&gt;=70),C250=1),VLOOKUP(A250,Output!$A$27:$AF$137,32,FALSE)*VLOOKUP('SV calc_ignore'!A250,Output!$A$27:$AG$137,33,FALSE)/IF(AnnuityMode=2,2,IF(AnnuityMode=4,4,IF(AnnuityMode=12,12,1))),0),0)</f>
        <v>20833.333333333332</v>
      </c>
      <c r="J250" s="227">
        <f t="shared" si="37"/>
        <v>0</v>
      </c>
      <c r="K250" s="209">
        <f t="shared" si="43"/>
        <v>0</v>
      </c>
      <c r="L250" s="209">
        <f t="shared" si="38"/>
        <v>0</v>
      </c>
      <c r="M250" s="210">
        <f t="shared" si="47"/>
        <v>0</v>
      </c>
      <c r="N250" s="211">
        <f t="shared" si="44"/>
        <v>0</v>
      </c>
      <c r="O250" s="194">
        <f t="shared" si="45"/>
        <v>0</v>
      </c>
      <c r="P250" s="212">
        <f t="shared" si="39"/>
        <v>0</v>
      </c>
      <c r="Q250">
        <f t="shared" si="40"/>
        <v>2170453.1632174314</v>
      </c>
      <c r="X250" s="216">
        <f t="shared" si="46"/>
        <v>20</v>
      </c>
      <c r="Y250">
        <f t="shared" si="41"/>
        <v>0</v>
      </c>
    </row>
    <row r="251" spans="1:25" x14ac:dyDescent="0.2">
      <c r="A251" s="204">
        <f>IF(MOD(COUNT($A$10:A250),12)=0,A250+1,A250)</f>
        <v>21</v>
      </c>
      <c r="B251" s="218">
        <f t="shared" si="42"/>
        <v>2</v>
      </c>
      <c r="C251" s="218">
        <f t="shared" si="36"/>
        <v>1</v>
      </c>
      <c r="D251" s="208">
        <f>IF(MOD(COUNT($D$10:D250),6)=0,D250+1,D250)</f>
        <v>41</v>
      </c>
      <c r="E251" s="208">
        <f>IF(MOD(COUNT($E$10:E250),3)=0,E250+1,E250)</f>
        <v>81</v>
      </c>
      <c r="F251" s="208">
        <f>IF(MOD(COUNT($F$10:F250),1)=0,F250+1,F250)</f>
        <v>242</v>
      </c>
      <c r="G251" s="204">
        <f>IFERROR(IF(C251=1,VLOOKUP(A251,Output!$A$27:$AB$137,28,FALSE)/AnnuityMode,0),0)</f>
        <v>0</v>
      </c>
      <c r="H251" s="220">
        <f>IFERROR(IF(AND(MIN(A251&gt;25,Age+A251&gt;=85),B251=12),VLOOKUP(A251,Output!$A$27:$AE$137,31,FALSE),0),0)</f>
        <v>0</v>
      </c>
      <c r="I251" s="221">
        <f>IFERROR(IF(AND(MIN(A251&gt;15,A251+Age&gt;=70),C251=1),VLOOKUP(A251,Output!$A$27:$AF$137,32,FALSE)*VLOOKUP('SV calc_ignore'!A251,Output!$A$27:$AG$137,33,FALSE)/IF(AnnuityMode=2,2,IF(AnnuityMode=4,4,IF(AnnuityMode=12,12,1))),0),0)</f>
        <v>20833.333333333332</v>
      </c>
      <c r="J251" s="227">
        <f t="shared" si="37"/>
        <v>0</v>
      </c>
      <c r="K251" s="209">
        <f t="shared" si="43"/>
        <v>0</v>
      </c>
      <c r="L251" s="209">
        <f t="shared" si="38"/>
        <v>0</v>
      </c>
      <c r="M251" s="210">
        <f t="shared" si="47"/>
        <v>0</v>
      </c>
      <c r="N251" s="211">
        <f t="shared" si="44"/>
        <v>0</v>
      </c>
      <c r="O251" s="194">
        <f t="shared" si="45"/>
        <v>0</v>
      </c>
      <c r="P251" s="212">
        <f t="shared" si="39"/>
        <v>0</v>
      </c>
      <c r="Q251">
        <f t="shared" si="40"/>
        <v>2164283.4472929933</v>
      </c>
      <c r="X251" s="216">
        <f t="shared" si="46"/>
        <v>20</v>
      </c>
      <c r="Y251">
        <f t="shared" si="41"/>
        <v>0</v>
      </c>
    </row>
    <row r="252" spans="1:25" x14ac:dyDescent="0.2">
      <c r="A252" s="204">
        <f>IF(MOD(COUNT($A$10:A251),12)=0,A251+1,A251)</f>
        <v>21</v>
      </c>
      <c r="B252" s="218">
        <f t="shared" si="42"/>
        <v>3</v>
      </c>
      <c r="C252" s="218">
        <f t="shared" si="36"/>
        <v>1</v>
      </c>
      <c r="D252" s="208">
        <f>IF(MOD(COUNT($D$10:D251),6)=0,D251+1,D251)</f>
        <v>41</v>
      </c>
      <c r="E252" s="208">
        <f>IF(MOD(COUNT($E$10:E251),3)=0,E251+1,E251)</f>
        <v>81</v>
      </c>
      <c r="F252" s="208">
        <f>IF(MOD(COUNT($F$10:F251),1)=0,F251+1,F251)</f>
        <v>243</v>
      </c>
      <c r="G252" s="204">
        <f>IFERROR(IF(C252=1,VLOOKUP(A252,Output!$A$27:$AB$137,28,FALSE)/AnnuityMode,0),0)</f>
        <v>0</v>
      </c>
      <c r="H252" s="220">
        <f>IFERROR(IF(AND(MIN(A252&gt;25,Age+A252&gt;=85),B252=12),VLOOKUP(A252,Output!$A$27:$AE$137,31,FALSE),0),0)</f>
        <v>0</v>
      </c>
      <c r="I252" s="221">
        <f>IFERROR(IF(AND(MIN(A252&gt;15,A252+Age&gt;=70),C252=1),VLOOKUP(A252,Output!$A$27:$AF$137,32,FALSE)*VLOOKUP('SV calc_ignore'!A252,Output!$A$27:$AG$137,33,FALSE)/IF(AnnuityMode=2,2,IF(AnnuityMode=4,4,IF(AnnuityMode=12,12,1))),0),0)</f>
        <v>20833.333333333332</v>
      </c>
      <c r="J252" s="227">
        <f t="shared" si="37"/>
        <v>0</v>
      </c>
      <c r="K252" s="209">
        <f t="shared" si="43"/>
        <v>0</v>
      </c>
      <c r="L252" s="209">
        <f t="shared" si="38"/>
        <v>0</v>
      </c>
      <c r="M252" s="210">
        <f t="shared" si="47"/>
        <v>0</v>
      </c>
      <c r="N252" s="211">
        <f t="shared" si="44"/>
        <v>0</v>
      </c>
      <c r="O252" s="194">
        <f t="shared" si="45"/>
        <v>0</v>
      </c>
      <c r="P252" s="212">
        <f t="shared" si="39"/>
        <v>0</v>
      </c>
      <c r="Q252">
        <f t="shared" si="40"/>
        <v>2158071.6446923069</v>
      </c>
      <c r="X252" s="216">
        <f t="shared" si="46"/>
        <v>20</v>
      </c>
      <c r="Y252">
        <f t="shared" si="41"/>
        <v>0</v>
      </c>
    </row>
    <row r="253" spans="1:25" x14ac:dyDescent="0.2">
      <c r="A253" s="204">
        <f>IF(MOD(COUNT($A$10:A252),12)=0,A252+1,A252)</f>
        <v>21</v>
      </c>
      <c r="B253" s="218">
        <f t="shared" si="42"/>
        <v>4</v>
      </c>
      <c r="C253" s="218">
        <f t="shared" si="36"/>
        <v>1</v>
      </c>
      <c r="D253" s="208">
        <f>IF(MOD(COUNT($D$10:D252),6)=0,D252+1,D252)</f>
        <v>41</v>
      </c>
      <c r="E253" s="208">
        <f>IF(MOD(COUNT($E$10:E252),3)=0,E252+1,E252)</f>
        <v>82</v>
      </c>
      <c r="F253" s="208">
        <f>IF(MOD(COUNT($F$10:F252),1)=0,F252+1,F252)</f>
        <v>244</v>
      </c>
      <c r="G253" s="204">
        <f>IFERROR(IF(C253=1,VLOOKUP(A253,Output!$A$27:$AB$137,28,FALSE)/AnnuityMode,0),0)</f>
        <v>0</v>
      </c>
      <c r="H253" s="220">
        <f>IFERROR(IF(AND(MIN(A253&gt;25,Age+A253&gt;=85),B253=12),VLOOKUP(A253,Output!$A$27:$AE$137,31,FALSE),0),0)</f>
        <v>0</v>
      </c>
      <c r="I253" s="221">
        <f>IFERROR(IF(AND(MIN(A253&gt;15,A253+Age&gt;=70),C253=1),VLOOKUP(A253,Output!$A$27:$AF$137,32,FALSE)*VLOOKUP('SV calc_ignore'!A253,Output!$A$27:$AG$137,33,FALSE)/IF(AnnuityMode=2,2,IF(AnnuityMode=4,4,IF(AnnuityMode=12,12,1))),0),0)</f>
        <v>20833.333333333332</v>
      </c>
      <c r="J253" s="227">
        <f t="shared" si="37"/>
        <v>0</v>
      </c>
      <c r="K253" s="209">
        <f t="shared" si="43"/>
        <v>0</v>
      </c>
      <c r="L253" s="209">
        <f t="shared" si="38"/>
        <v>0</v>
      </c>
      <c r="M253" s="210">
        <f t="shared" si="47"/>
        <v>0</v>
      </c>
      <c r="N253" s="211">
        <f t="shared" si="44"/>
        <v>0</v>
      </c>
      <c r="O253" s="194">
        <f t="shared" si="45"/>
        <v>0</v>
      </c>
      <c r="P253" s="212">
        <f t="shared" si="39"/>
        <v>0</v>
      </c>
      <c r="Q253">
        <f t="shared" si="40"/>
        <v>2151817.4683213891</v>
      </c>
      <c r="X253" s="216">
        <f t="shared" si="46"/>
        <v>20</v>
      </c>
      <c r="Y253">
        <f t="shared" si="41"/>
        <v>0</v>
      </c>
    </row>
    <row r="254" spans="1:25" x14ac:dyDescent="0.2">
      <c r="A254" s="204">
        <f>IF(MOD(COUNT($A$10:A253),12)=0,A253+1,A253)</f>
        <v>21</v>
      </c>
      <c r="B254" s="218">
        <f t="shared" si="42"/>
        <v>5</v>
      </c>
      <c r="C254" s="218">
        <f t="shared" si="36"/>
        <v>1</v>
      </c>
      <c r="D254" s="208">
        <f>IF(MOD(COUNT($D$10:D253),6)=0,D253+1,D253)</f>
        <v>41</v>
      </c>
      <c r="E254" s="208">
        <f>IF(MOD(COUNT($E$10:E253),3)=0,E253+1,E253)</f>
        <v>82</v>
      </c>
      <c r="F254" s="208">
        <f>IF(MOD(COUNT($F$10:F253),1)=0,F253+1,F253)</f>
        <v>245</v>
      </c>
      <c r="G254" s="204">
        <f>IFERROR(IF(C254=1,VLOOKUP(A254,Output!$A$27:$AB$137,28,FALSE)/AnnuityMode,0),0)</f>
        <v>0</v>
      </c>
      <c r="H254" s="220">
        <f>IFERROR(IF(AND(MIN(A254&gt;25,Age+A254&gt;=85),B254=12),VLOOKUP(A254,Output!$A$27:$AE$137,31,FALSE),0),0)</f>
        <v>0</v>
      </c>
      <c r="I254" s="221">
        <f>IFERROR(IF(AND(MIN(A254&gt;15,A254+Age&gt;=70),C254=1),VLOOKUP(A254,Output!$A$27:$AF$137,32,FALSE)*VLOOKUP('SV calc_ignore'!A254,Output!$A$27:$AG$137,33,FALSE)/IF(AnnuityMode=2,2,IF(AnnuityMode=4,4,IF(AnnuityMode=12,12,1))),0),0)</f>
        <v>20833.333333333332</v>
      </c>
      <c r="J254" s="227">
        <f t="shared" si="37"/>
        <v>0</v>
      </c>
      <c r="K254" s="209">
        <f t="shared" si="43"/>
        <v>0</v>
      </c>
      <c r="L254" s="209">
        <f t="shared" si="38"/>
        <v>0</v>
      </c>
      <c r="M254" s="210">
        <f t="shared" si="47"/>
        <v>0</v>
      </c>
      <c r="N254" s="211">
        <f t="shared" si="44"/>
        <v>0</v>
      </c>
      <c r="O254" s="194">
        <f t="shared" si="45"/>
        <v>0</v>
      </c>
      <c r="P254" s="212">
        <f t="shared" si="39"/>
        <v>0</v>
      </c>
      <c r="Q254">
        <f t="shared" si="40"/>
        <v>2145520.6291278475</v>
      </c>
      <c r="X254" s="216">
        <f t="shared" si="46"/>
        <v>20</v>
      </c>
      <c r="Y254">
        <f t="shared" si="41"/>
        <v>0</v>
      </c>
    </row>
    <row r="255" spans="1:25" x14ac:dyDescent="0.2">
      <c r="A255" s="204">
        <f>IF(MOD(COUNT($A$10:A254),12)=0,A254+1,A254)</f>
        <v>21</v>
      </c>
      <c r="B255" s="218">
        <f t="shared" si="42"/>
        <v>6</v>
      </c>
      <c r="C255" s="218">
        <f t="shared" si="36"/>
        <v>1</v>
      </c>
      <c r="D255" s="208">
        <f>IF(MOD(COUNT($D$10:D254),6)=0,D254+1,D254)</f>
        <v>41</v>
      </c>
      <c r="E255" s="208">
        <f>IF(MOD(COUNT($E$10:E254),3)=0,E254+1,E254)</f>
        <v>82</v>
      </c>
      <c r="F255" s="208">
        <f>IF(MOD(COUNT($F$10:F254),1)=0,F254+1,F254)</f>
        <v>246</v>
      </c>
      <c r="G255" s="204">
        <f>IFERROR(IF(C255=1,VLOOKUP(A255,Output!$A$27:$AB$137,28,FALSE)/AnnuityMode,0),0)</f>
        <v>0</v>
      </c>
      <c r="H255" s="220">
        <f>IFERROR(IF(AND(MIN(A255&gt;25,Age+A255&gt;=85),B255=12),VLOOKUP(A255,Output!$A$27:$AE$137,31,FALSE),0),0)</f>
        <v>0</v>
      </c>
      <c r="I255" s="221">
        <f>IFERROR(IF(AND(MIN(A255&gt;15,A255+Age&gt;=70),C255=1),VLOOKUP(A255,Output!$A$27:$AF$137,32,FALSE)*VLOOKUP('SV calc_ignore'!A255,Output!$A$27:$AG$137,33,FALSE)/IF(AnnuityMode=2,2,IF(AnnuityMode=4,4,IF(AnnuityMode=12,12,1))),0),0)</f>
        <v>20833.333333333332</v>
      </c>
      <c r="J255" s="227">
        <f t="shared" si="37"/>
        <v>0</v>
      </c>
      <c r="K255" s="209">
        <f t="shared" si="43"/>
        <v>0</v>
      </c>
      <c r="L255" s="209">
        <f t="shared" si="38"/>
        <v>0</v>
      </c>
      <c r="M255" s="210">
        <f t="shared" si="47"/>
        <v>0</v>
      </c>
      <c r="N255" s="211">
        <f t="shared" si="44"/>
        <v>0</v>
      </c>
      <c r="O255" s="194">
        <f t="shared" si="45"/>
        <v>0</v>
      </c>
      <c r="P255" s="212">
        <f t="shared" si="39"/>
        <v>0</v>
      </c>
      <c r="Q255">
        <f t="shared" si="40"/>
        <v>2139180.8360875207</v>
      </c>
      <c r="X255" s="216">
        <f t="shared" si="46"/>
        <v>20</v>
      </c>
      <c r="Y255">
        <f t="shared" si="41"/>
        <v>0</v>
      </c>
    </row>
    <row r="256" spans="1:25" x14ac:dyDescent="0.2">
      <c r="A256" s="204">
        <f>IF(MOD(COUNT($A$10:A255),12)=0,A255+1,A255)</f>
        <v>21</v>
      </c>
      <c r="B256" s="218">
        <f t="shared" si="42"/>
        <v>7</v>
      </c>
      <c r="C256" s="218">
        <f t="shared" si="36"/>
        <v>1</v>
      </c>
      <c r="D256" s="208">
        <f>IF(MOD(COUNT($D$10:D255),6)=0,D255+1,D255)</f>
        <v>42</v>
      </c>
      <c r="E256" s="208">
        <f>IF(MOD(COUNT($E$10:E255),3)=0,E255+1,E255)</f>
        <v>83</v>
      </c>
      <c r="F256" s="208">
        <f>IF(MOD(COUNT($F$10:F255),1)=0,F255+1,F255)</f>
        <v>247</v>
      </c>
      <c r="G256" s="204">
        <f>IFERROR(IF(C256=1,VLOOKUP(A256,Output!$A$27:$AB$137,28,FALSE)/AnnuityMode,0),0)</f>
        <v>0</v>
      </c>
      <c r="H256" s="220">
        <f>IFERROR(IF(AND(MIN(A256&gt;25,Age+A256&gt;=85),B256=12),VLOOKUP(A256,Output!$A$27:$AE$137,31,FALSE),0),0)</f>
        <v>0</v>
      </c>
      <c r="I256" s="221">
        <f>IFERROR(IF(AND(MIN(A256&gt;15,A256+Age&gt;=70),C256=1),VLOOKUP(A256,Output!$A$27:$AF$137,32,FALSE)*VLOOKUP('SV calc_ignore'!A256,Output!$A$27:$AG$137,33,FALSE)/IF(AnnuityMode=2,2,IF(AnnuityMode=4,4,IF(AnnuityMode=12,12,1))),0),0)</f>
        <v>20833.333333333332</v>
      </c>
      <c r="J256" s="227">
        <f t="shared" si="37"/>
        <v>0</v>
      </c>
      <c r="K256" s="209">
        <f t="shared" si="43"/>
        <v>0</v>
      </c>
      <c r="L256" s="209">
        <f t="shared" si="38"/>
        <v>0</v>
      </c>
      <c r="M256" s="210">
        <f t="shared" si="47"/>
        <v>0</v>
      </c>
      <c r="N256" s="211">
        <f t="shared" si="44"/>
        <v>0</v>
      </c>
      <c r="O256" s="194">
        <f t="shared" si="45"/>
        <v>0</v>
      </c>
      <c r="P256" s="212">
        <f t="shared" si="39"/>
        <v>0</v>
      </c>
      <c r="Q256">
        <f t="shared" si="40"/>
        <v>2132797.7961910274</v>
      </c>
      <c r="X256" s="216">
        <f t="shared" si="46"/>
        <v>20</v>
      </c>
      <c r="Y256">
        <f t="shared" si="41"/>
        <v>0</v>
      </c>
    </row>
    <row r="257" spans="1:25" x14ac:dyDescent="0.2">
      <c r="A257" s="204">
        <f>IF(MOD(COUNT($A$10:A256),12)=0,A256+1,A256)</f>
        <v>21</v>
      </c>
      <c r="B257" s="218">
        <f t="shared" si="42"/>
        <v>8</v>
      </c>
      <c r="C257" s="218">
        <f t="shared" si="36"/>
        <v>1</v>
      </c>
      <c r="D257" s="208">
        <f>IF(MOD(COUNT($D$10:D256),6)=0,D256+1,D256)</f>
        <v>42</v>
      </c>
      <c r="E257" s="208">
        <f>IF(MOD(COUNT($E$10:E256),3)=0,E256+1,E256)</f>
        <v>83</v>
      </c>
      <c r="F257" s="208">
        <f>IF(MOD(COUNT($F$10:F256),1)=0,F256+1,F256)</f>
        <v>248</v>
      </c>
      <c r="G257" s="204">
        <f>IFERROR(IF(C257=1,VLOOKUP(A257,Output!$A$27:$AB$137,28,FALSE)/AnnuityMode,0),0)</f>
        <v>0</v>
      </c>
      <c r="H257" s="220">
        <f>IFERROR(IF(AND(MIN(A257&gt;25,Age+A257&gt;=85),B257=12),VLOOKUP(A257,Output!$A$27:$AE$137,31,FALSE),0),0)</f>
        <v>0</v>
      </c>
      <c r="I257" s="221">
        <f>IFERROR(IF(AND(MIN(A257&gt;15,A257+Age&gt;=70),C257=1),VLOOKUP(A257,Output!$A$27:$AF$137,32,FALSE)*VLOOKUP('SV calc_ignore'!A257,Output!$A$27:$AG$137,33,FALSE)/IF(AnnuityMode=2,2,IF(AnnuityMode=4,4,IF(AnnuityMode=12,12,1))),0),0)</f>
        <v>20833.333333333332</v>
      </c>
      <c r="J257" s="227">
        <f t="shared" si="37"/>
        <v>0</v>
      </c>
      <c r="K257" s="209">
        <f t="shared" si="43"/>
        <v>0</v>
      </c>
      <c r="L257" s="209">
        <f t="shared" si="38"/>
        <v>0</v>
      </c>
      <c r="M257" s="210">
        <f t="shared" si="47"/>
        <v>0</v>
      </c>
      <c r="N257" s="211">
        <f t="shared" si="44"/>
        <v>0</v>
      </c>
      <c r="O257" s="194">
        <f t="shared" si="45"/>
        <v>0</v>
      </c>
      <c r="P257" s="212">
        <f t="shared" si="39"/>
        <v>0</v>
      </c>
      <c r="Q257">
        <f t="shared" si="40"/>
        <v>2126371.2144302255</v>
      </c>
      <c r="X257" s="216">
        <f t="shared" si="46"/>
        <v>20</v>
      </c>
      <c r="Y257">
        <f t="shared" si="41"/>
        <v>0</v>
      </c>
    </row>
    <row r="258" spans="1:25" x14ac:dyDescent="0.2">
      <c r="A258" s="204">
        <f>IF(MOD(COUNT($A$10:A257),12)=0,A257+1,A257)</f>
        <v>21</v>
      </c>
      <c r="B258" s="218">
        <f t="shared" si="42"/>
        <v>9</v>
      </c>
      <c r="C258" s="218">
        <f t="shared" si="36"/>
        <v>1</v>
      </c>
      <c r="D258" s="208">
        <f>IF(MOD(COUNT($D$10:D257),6)=0,D257+1,D257)</f>
        <v>42</v>
      </c>
      <c r="E258" s="208">
        <f>IF(MOD(COUNT($E$10:E257),3)=0,E257+1,E257)</f>
        <v>83</v>
      </c>
      <c r="F258" s="208">
        <f>IF(MOD(COUNT($F$10:F257),1)=0,F257+1,F257)</f>
        <v>249</v>
      </c>
      <c r="G258" s="204">
        <f>IFERROR(IF(C258=1,VLOOKUP(A258,Output!$A$27:$AB$137,28,FALSE)/AnnuityMode,0),0)</f>
        <v>0</v>
      </c>
      <c r="H258" s="220">
        <f>IFERROR(IF(AND(MIN(A258&gt;25,Age+A258&gt;=85),B258=12),VLOOKUP(A258,Output!$A$27:$AE$137,31,FALSE),0),0)</f>
        <v>0</v>
      </c>
      <c r="I258" s="221">
        <f>IFERROR(IF(AND(MIN(A258&gt;15,A258+Age&gt;=70),C258=1),VLOOKUP(A258,Output!$A$27:$AF$137,32,FALSE)*VLOOKUP('SV calc_ignore'!A258,Output!$A$27:$AG$137,33,FALSE)/IF(AnnuityMode=2,2,IF(AnnuityMode=4,4,IF(AnnuityMode=12,12,1))),0),0)</f>
        <v>20833.333333333332</v>
      </c>
      <c r="J258" s="227">
        <f t="shared" si="37"/>
        <v>0</v>
      </c>
      <c r="K258" s="209">
        <f t="shared" si="43"/>
        <v>0</v>
      </c>
      <c r="L258" s="209">
        <f t="shared" si="38"/>
        <v>0</v>
      </c>
      <c r="M258" s="210">
        <f t="shared" si="47"/>
        <v>0</v>
      </c>
      <c r="N258" s="211">
        <f t="shared" si="44"/>
        <v>0</v>
      </c>
      <c r="O258" s="194">
        <f t="shared" si="45"/>
        <v>0</v>
      </c>
      <c r="P258" s="212">
        <f t="shared" si="39"/>
        <v>0</v>
      </c>
      <c r="Q258">
        <f t="shared" si="40"/>
        <v>2119900.7937845769</v>
      </c>
      <c r="X258" s="216">
        <f t="shared" si="46"/>
        <v>20</v>
      </c>
      <c r="Y258">
        <f t="shared" si="41"/>
        <v>0</v>
      </c>
    </row>
    <row r="259" spans="1:25" x14ac:dyDescent="0.2">
      <c r="A259" s="204">
        <f>IF(MOD(COUNT($A$10:A258),12)=0,A258+1,A258)</f>
        <v>21</v>
      </c>
      <c r="B259" s="218">
        <f t="shared" si="42"/>
        <v>10</v>
      </c>
      <c r="C259" s="218">
        <f t="shared" si="36"/>
        <v>1</v>
      </c>
      <c r="D259" s="208">
        <f>IF(MOD(COUNT($D$10:D258),6)=0,D258+1,D258)</f>
        <v>42</v>
      </c>
      <c r="E259" s="208">
        <f>IF(MOD(COUNT($E$10:E258),3)=0,E258+1,E258)</f>
        <v>84</v>
      </c>
      <c r="F259" s="208">
        <f>IF(MOD(COUNT($F$10:F258),1)=0,F258+1,F258)</f>
        <v>250</v>
      </c>
      <c r="G259" s="204">
        <f>IFERROR(IF(C259=1,VLOOKUP(A259,Output!$A$27:$AB$137,28,FALSE)/AnnuityMode,0),0)</f>
        <v>0</v>
      </c>
      <c r="H259" s="220">
        <f>IFERROR(IF(AND(MIN(A259&gt;25,Age+A259&gt;=85),B259=12),VLOOKUP(A259,Output!$A$27:$AE$137,31,FALSE),0),0)</f>
        <v>0</v>
      </c>
      <c r="I259" s="221">
        <f>IFERROR(IF(AND(MIN(A259&gt;15,A259+Age&gt;=70),C259=1),VLOOKUP(A259,Output!$A$27:$AF$137,32,FALSE)*VLOOKUP('SV calc_ignore'!A259,Output!$A$27:$AG$137,33,FALSE)/IF(AnnuityMode=2,2,IF(AnnuityMode=4,4,IF(AnnuityMode=12,12,1))),0),0)</f>
        <v>20833.333333333332</v>
      </c>
      <c r="J259" s="227">
        <f t="shared" si="37"/>
        <v>0</v>
      </c>
      <c r="K259" s="209">
        <f t="shared" si="43"/>
        <v>0</v>
      </c>
      <c r="L259" s="209">
        <f t="shared" si="38"/>
        <v>0</v>
      </c>
      <c r="M259" s="210">
        <f t="shared" si="47"/>
        <v>0</v>
      </c>
      <c r="N259" s="211">
        <f t="shared" si="44"/>
        <v>0</v>
      </c>
      <c r="O259" s="194">
        <f t="shared" si="45"/>
        <v>0</v>
      </c>
      <c r="P259" s="212">
        <f t="shared" si="39"/>
        <v>0</v>
      </c>
      <c r="Q259">
        <f t="shared" si="40"/>
        <v>2113386.2352074189</v>
      </c>
      <c r="X259" s="216">
        <f t="shared" si="46"/>
        <v>20</v>
      </c>
      <c r="Y259">
        <f t="shared" si="41"/>
        <v>0</v>
      </c>
    </row>
    <row r="260" spans="1:25" x14ac:dyDescent="0.2">
      <c r="A260" s="204">
        <f>IF(MOD(COUNT($A$10:A259),12)=0,A259+1,A259)</f>
        <v>21</v>
      </c>
      <c r="B260" s="218">
        <f t="shared" si="42"/>
        <v>11</v>
      </c>
      <c r="C260" s="218">
        <f t="shared" si="36"/>
        <v>1</v>
      </c>
      <c r="D260" s="208">
        <f>IF(MOD(COUNT($D$10:D259),6)=0,D259+1,D259)</f>
        <v>42</v>
      </c>
      <c r="E260" s="208">
        <f>IF(MOD(COUNT($E$10:E259),3)=0,E259+1,E259)</f>
        <v>84</v>
      </c>
      <c r="F260" s="208">
        <f>IF(MOD(COUNT($F$10:F259),1)=0,F259+1,F259)</f>
        <v>251</v>
      </c>
      <c r="G260" s="204">
        <f>IFERROR(IF(C260=1,VLOOKUP(A260,Output!$A$27:$AB$137,28,FALSE)/AnnuityMode,0),0)</f>
        <v>0</v>
      </c>
      <c r="H260" s="220">
        <f>IFERROR(IF(AND(MIN(A260&gt;25,Age+A260&gt;=85),B260=12),VLOOKUP(A260,Output!$A$27:$AE$137,31,FALSE),0),0)</f>
        <v>0</v>
      </c>
      <c r="I260" s="221">
        <f>IFERROR(IF(AND(MIN(A260&gt;15,A260+Age&gt;=70),C260=1),VLOOKUP(A260,Output!$A$27:$AF$137,32,FALSE)*VLOOKUP('SV calc_ignore'!A260,Output!$A$27:$AG$137,33,FALSE)/IF(AnnuityMode=2,2,IF(AnnuityMode=4,4,IF(AnnuityMode=12,12,1))),0),0)</f>
        <v>20833.333333333332</v>
      </c>
      <c r="J260" s="227">
        <f t="shared" si="37"/>
        <v>0</v>
      </c>
      <c r="K260" s="209">
        <f t="shared" si="43"/>
        <v>0</v>
      </c>
      <c r="L260" s="209">
        <f t="shared" si="38"/>
        <v>0</v>
      </c>
      <c r="M260" s="210">
        <f t="shared" si="47"/>
        <v>0</v>
      </c>
      <c r="N260" s="211">
        <f t="shared" si="44"/>
        <v>0</v>
      </c>
      <c r="O260" s="194">
        <f t="shared" si="45"/>
        <v>0</v>
      </c>
      <c r="P260" s="212">
        <f t="shared" si="39"/>
        <v>0</v>
      </c>
      <c r="Q260">
        <f t="shared" si="40"/>
        <v>2106827.2376121446</v>
      </c>
      <c r="X260" s="216">
        <f t="shared" si="46"/>
        <v>20</v>
      </c>
      <c r="Y260">
        <f t="shared" si="41"/>
        <v>0</v>
      </c>
    </row>
    <row r="261" spans="1:25" x14ac:dyDescent="0.2">
      <c r="A261" s="204">
        <f>IF(MOD(COUNT($A$10:A260),12)=0,A260+1,A260)</f>
        <v>21</v>
      </c>
      <c r="B261" s="218">
        <f t="shared" si="42"/>
        <v>12</v>
      </c>
      <c r="C261" s="218">
        <f t="shared" si="36"/>
        <v>1</v>
      </c>
      <c r="D261" s="208">
        <f>IF(MOD(COUNT($D$10:D260),6)=0,D260+1,D260)</f>
        <v>42</v>
      </c>
      <c r="E261" s="208">
        <f>IF(MOD(COUNT($E$10:E260),3)=0,E260+1,E260)</f>
        <v>84</v>
      </c>
      <c r="F261" s="208">
        <f>IF(MOD(COUNT($F$10:F260),1)=0,F260+1,F260)</f>
        <v>252</v>
      </c>
      <c r="G261" s="204">
        <f>IFERROR(IF(C261=1,VLOOKUP(A261,Output!$A$27:$AB$137,28,FALSE)/AnnuityMode,0),0)</f>
        <v>0</v>
      </c>
      <c r="H261" s="220">
        <f>IFERROR(IF(AND(MIN(A261&gt;25,Age+A261&gt;=85),B261=12),VLOOKUP(A261,Output!$A$27:$AE$137,31,FALSE),0),0)</f>
        <v>0</v>
      </c>
      <c r="I261" s="221">
        <f>IFERROR(IF(AND(MIN(A261&gt;15,A261+Age&gt;=70),C261=1),VLOOKUP(A261,Output!$A$27:$AF$137,32,FALSE)*VLOOKUP('SV calc_ignore'!A261,Output!$A$27:$AG$137,33,FALSE)/IF(AnnuityMode=2,2,IF(AnnuityMode=4,4,IF(AnnuityMode=12,12,1))),0),0)</f>
        <v>20833.333333333332</v>
      </c>
      <c r="J261" s="227">
        <f t="shared" si="37"/>
        <v>0</v>
      </c>
      <c r="K261" s="209">
        <f t="shared" si="43"/>
        <v>0</v>
      </c>
      <c r="L261" s="209">
        <f t="shared" si="38"/>
        <v>0</v>
      </c>
      <c r="M261" s="210">
        <f t="shared" si="47"/>
        <v>0</v>
      </c>
      <c r="N261" s="211">
        <f t="shared" si="44"/>
        <v>0</v>
      </c>
      <c r="O261" s="194">
        <f t="shared" si="45"/>
        <v>0</v>
      </c>
      <c r="P261" s="212">
        <f t="shared" si="39"/>
        <v>0</v>
      </c>
      <c r="Q261">
        <f t="shared" si="40"/>
        <v>2100223.4978582868</v>
      </c>
      <c r="X261" s="216">
        <f t="shared" si="46"/>
        <v>20</v>
      </c>
      <c r="Y261">
        <f t="shared" si="41"/>
        <v>0</v>
      </c>
    </row>
    <row r="262" spans="1:25" x14ac:dyDescent="0.2">
      <c r="A262" s="204">
        <f>IF(MOD(COUNT($A$10:A261),12)=0,A261+1,A261)</f>
        <v>22</v>
      </c>
      <c r="B262" s="218">
        <f t="shared" si="42"/>
        <v>1</v>
      </c>
      <c r="C262" s="218">
        <f t="shared" si="36"/>
        <v>1</v>
      </c>
      <c r="D262" s="208">
        <f>IF(MOD(COUNT($D$10:D261),6)=0,D261+1,D261)</f>
        <v>43</v>
      </c>
      <c r="E262" s="208">
        <f>IF(MOD(COUNT($E$10:E261),3)=0,E261+1,E261)</f>
        <v>85</v>
      </c>
      <c r="F262" s="208">
        <f>IF(MOD(COUNT($F$10:F261),1)=0,F261+1,F261)</f>
        <v>253</v>
      </c>
      <c r="G262" s="204">
        <f>IFERROR(IF(C262=1,VLOOKUP(A262,Output!$A$27:$AB$137,28,FALSE)/AnnuityMode,0),0)</f>
        <v>0</v>
      </c>
      <c r="H262" s="220">
        <f>IFERROR(IF(AND(MIN(A262&gt;25,Age+A262&gt;=85),B262=12),VLOOKUP(A262,Output!$A$27:$AE$137,31,FALSE),0),0)</f>
        <v>0</v>
      </c>
      <c r="I262" s="221">
        <f>IFERROR(IF(AND(MIN(A262&gt;15,A262+Age&gt;=70),C262=1),VLOOKUP(A262,Output!$A$27:$AF$137,32,FALSE)*VLOOKUP('SV calc_ignore'!A262,Output!$A$27:$AG$137,33,FALSE)/IF(AnnuityMode=2,2,IF(AnnuityMode=4,4,IF(AnnuityMode=12,12,1))),0),0)</f>
        <v>20833.333333333332</v>
      </c>
      <c r="J262" s="227">
        <f t="shared" si="37"/>
        <v>0</v>
      </c>
      <c r="K262" s="209">
        <f t="shared" si="43"/>
        <v>0</v>
      </c>
      <c r="L262" s="209">
        <f t="shared" si="38"/>
        <v>0</v>
      </c>
      <c r="M262" s="210">
        <f t="shared" si="47"/>
        <v>0</v>
      </c>
      <c r="N262" s="211">
        <f t="shared" si="44"/>
        <v>0</v>
      </c>
      <c r="O262" s="194">
        <f t="shared" si="45"/>
        <v>0</v>
      </c>
      <c r="P262" s="212">
        <f t="shared" si="39"/>
        <v>0</v>
      </c>
      <c r="Q262">
        <f t="shared" si="40"/>
        <v>2093574.7107375076</v>
      </c>
      <c r="X262" s="216">
        <f t="shared" si="46"/>
        <v>21</v>
      </c>
      <c r="Y262">
        <f t="shared" si="41"/>
        <v>0</v>
      </c>
    </row>
    <row r="263" spans="1:25" x14ac:dyDescent="0.2">
      <c r="A263" s="204">
        <f>IF(MOD(COUNT($A$10:A262),12)=0,A262+1,A262)</f>
        <v>22</v>
      </c>
      <c r="B263" s="218">
        <f t="shared" si="42"/>
        <v>2</v>
      </c>
      <c r="C263" s="218">
        <f t="shared" si="36"/>
        <v>1</v>
      </c>
      <c r="D263" s="208">
        <f>IF(MOD(COUNT($D$10:D262),6)=0,D262+1,D262)</f>
        <v>43</v>
      </c>
      <c r="E263" s="208">
        <f>IF(MOD(COUNT($E$10:E262),3)=0,E262+1,E262)</f>
        <v>85</v>
      </c>
      <c r="F263" s="208">
        <f>IF(MOD(COUNT($F$10:F262),1)=0,F262+1,F262)</f>
        <v>254</v>
      </c>
      <c r="G263" s="204">
        <f>IFERROR(IF(C263=1,VLOOKUP(A263,Output!$A$27:$AB$137,28,FALSE)/AnnuityMode,0),0)</f>
        <v>0</v>
      </c>
      <c r="H263" s="220">
        <f>IFERROR(IF(AND(MIN(A263&gt;25,Age+A263&gt;=85),B263=12),VLOOKUP(A263,Output!$A$27:$AE$137,31,FALSE),0),0)</f>
        <v>0</v>
      </c>
      <c r="I263" s="221">
        <f>IFERROR(IF(AND(MIN(A263&gt;15,A263+Age&gt;=70),C263=1),VLOOKUP(A263,Output!$A$27:$AF$137,32,FALSE)*VLOOKUP('SV calc_ignore'!A263,Output!$A$27:$AG$137,33,FALSE)/IF(AnnuityMode=2,2,IF(AnnuityMode=4,4,IF(AnnuityMode=12,12,1))),0),0)</f>
        <v>20833.333333333332</v>
      </c>
      <c r="J263" s="227">
        <f t="shared" si="37"/>
        <v>0</v>
      </c>
      <c r="K263" s="209">
        <f t="shared" si="43"/>
        <v>0</v>
      </c>
      <c r="L263" s="209">
        <f t="shared" si="38"/>
        <v>0</v>
      </c>
      <c r="M263" s="210">
        <f t="shared" si="47"/>
        <v>0</v>
      </c>
      <c r="N263" s="211">
        <f t="shared" si="44"/>
        <v>0</v>
      </c>
      <c r="O263" s="194">
        <f t="shared" si="45"/>
        <v>0</v>
      </c>
      <c r="P263" s="212">
        <f t="shared" si="39"/>
        <v>0</v>
      </c>
      <c r="Q263">
        <f t="shared" si="40"/>
        <v>2086880.5689594923</v>
      </c>
      <c r="X263" s="216">
        <f t="shared" si="46"/>
        <v>21</v>
      </c>
      <c r="Y263">
        <f t="shared" si="41"/>
        <v>0</v>
      </c>
    </row>
    <row r="264" spans="1:25" x14ac:dyDescent="0.2">
      <c r="A264" s="204">
        <f>IF(MOD(COUNT($A$10:A263),12)=0,A263+1,A263)</f>
        <v>22</v>
      </c>
      <c r="B264" s="218">
        <f t="shared" si="42"/>
        <v>3</v>
      </c>
      <c r="C264" s="218">
        <f t="shared" si="36"/>
        <v>1</v>
      </c>
      <c r="D264" s="208">
        <f>IF(MOD(COUNT($D$10:D263),6)=0,D263+1,D263)</f>
        <v>43</v>
      </c>
      <c r="E264" s="208">
        <f>IF(MOD(COUNT($E$10:E263),3)=0,E263+1,E263)</f>
        <v>85</v>
      </c>
      <c r="F264" s="208">
        <f>IF(MOD(COUNT($F$10:F263),1)=0,F263+1,F263)</f>
        <v>255</v>
      </c>
      <c r="G264" s="204">
        <f>IFERROR(IF(C264=1,VLOOKUP(A264,Output!$A$27:$AB$137,28,FALSE)/AnnuityMode,0),0)</f>
        <v>0</v>
      </c>
      <c r="H264" s="220">
        <f>IFERROR(IF(AND(MIN(A264&gt;25,Age+A264&gt;=85),B264=12),VLOOKUP(A264,Output!$A$27:$AE$137,31,FALSE),0),0)</f>
        <v>0</v>
      </c>
      <c r="I264" s="221">
        <f>IFERROR(IF(AND(MIN(A264&gt;15,A264+Age&gt;=70),C264=1),VLOOKUP(A264,Output!$A$27:$AF$137,32,FALSE)*VLOOKUP('SV calc_ignore'!A264,Output!$A$27:$AG$137,33,FALSE)/IF(AnnuityMode=2,2,IF(AnnuityMode=4,4,IF(AnnuityMode=12,12,1))),0),0)</f>
        <v>20833.333333333332</v>
      </c>
      <c r="J264" s="227">
        <f t="shared" si="37"/>
        <v>0</v>
      </c>
      <c r="K264" s="209">
        <f t="shared" si="43"/>
        <v>0</v>
      </c>
      <c r="L264" s="209">
        <f t="shared" si="38"/>
        <v>0</v>
      </c>
      <c r="M264" s="210">
        <f t="shared" si="47"/>
        <v>0</v>
      </c>
      <c r="N264" s="211">
        <f t="shared" si="44"/>
        <v>0</v>
      </c>
      <c r="O264" s="194">
        <f t="shared" si="45"/>
        <v>0</v>
      </c>
      <c r="P264" s="212">
        <f t="shared" si="39"/>
        <v>0</v>
      </c>
      <c r="Q264">
        <f t="shared" si="40"/>
        <v>2080140.7631377475</v>
      </c>
      <c r="X264" s="216">
        <f t="shared" si="46"/>
        <v>21</v>
      </c>
      <c r="Y264">
        <f t="shared" si="41"/>
        <v>0</v>
      </c>
    </row>
    <row r="265" spans="1:25" x14ac:dyDescent="0.2">
      <c r="A265" s="204">
        <f>IF(MOD(COUNT($A$10:A264),12)=0,A264+1,A264)</f>
        <v>22</v>
      </c>
      <c r="B265" s="218">
        <f t="shared" si="42"/>
        <v>4</v>
      </c>
      <c r="C265" s="218">
        <f t="shared" si="36"/>
        <v>1</v>
      </c>
      <c r="D265" s="208">
        <f>IF(MOD(COUNT($D$10:D264),6)=0,D264+1,D264)</f>
        <v>43</v>
      </c>
      <c r="E265" s="208">
        <f>IF(MOD(COUNT($E$10:E264),3)=0,E264+1,E264)</f>
        <v>86</v>
      </c>
      <c r="F265" s="208">
        <f>IF(MOD(COUNT($F$10:F264),1)=0,F264+1,F264)</f>
        <v>256</v>
      </c>
      <c r="G265" s="204">
        <f>IFERROR(IF(C265=1,VLOOKUP(A265,Output!$A$27:$AB$137,28,FALSE)/AnnuityMode,0),0)</f>
        <v>0</v>
      </c>
      <c r="H265" s="220">
        <f>IFERROR(IF(AND(MIN(A265&gt;25,Age+A265&gt;=85),B265=12),VLOOKUP(A265,Output!$A$27:$AE$137,31,FALSE),0),0)</f>
        <v>0</v>
      </c>
      <c r="I265" s="221">
        <f>IFERROR(IF(AND(MIN(A265&gt;15,A265+Age&gt;=70),C265=1),VLOOKUP(A265,Output!$A$27:$AF$137,32,FALSE)*VLOOKUP('SV calc_ignore'!A265,Output!$A$27:$AG$137,33,FALSE)/IF(AnnuityMode=2,2,IF(AnnuityMode=4,4,IF(AnnuityMode=12,12,1))),0),0)</f>
        <v>20833.333333333332</v>
      </c>
      <c r="J265" s="227">
        <f t="shared" si="37"/>
        <v>0</v>
      </c>
      <c r="K265" s="209">
        <f t="shared" si="43"/>
        <v>0</v>
      </c>
      <c r="L265" s="209">
        <f t="shared" si="38"/>
        <v>0</v>
      </c>
      <c r="M265" s="210">
        <f t="shared" si="47"/>
        <v>0</v>
      </c>
      <c r="N265" s="211">
        <f t="shared" si="44"/>
        <v>0</v>
      </c>
      <c r="O265" s="194">
        <f t="shared" si="45"/>
        <v>0</v>
      </c>
      <c r="P265" s="212">
        <f t="shared" si="39"/>
        <v>0</v>
      </c>
      <c r="Q265">
        <f t="shared" si="40"/>
        <v>2073354.981775302</v>
      </c>
      <c r="X265" s="216">
        <f t="shared" si="46"/>
        <v>21</v>
      </c>
      <c r="Y265">
        <f t="shared" si="41"/>
        <v>0</v>
      </c>
    </row>
    <row r="266" spans="1:25" x14ac:dyDescent="0.2">
      <c r="A266" s="204">
        <f>IF(MOD(COUNT($A$10:A265),12)=0,A265+1,A265)</f>
        <v>22</v>
      </c>
      <c r="B266" s="218">
        <f t="shared" si="42"/>
        <v>5</v>
      </c>
      <c r="C266" s="218">
        <f t="shared" ref="C266:C329" si="48">IF(AND(AnnuityMode=1,B266=12),1,IF(AND(OR(B266=6,B266=12),AnnuityMode=2),1,IF(AND(OR(B266=3,B266=6,B266=12,B266=9),AnnuityMode=4),1,IF(AND(OR(B266=1,B266=2,B266=3,B266=4,B266=5,B266=6,B266=7,B266=8,B266=9,B266=10,B266=11,B266=12),AnnuityMode=12),1,0))))</f>
        <v>1</v>
      </c>
      <c r="D266" s="208">
        <f>IF(MOD(COUNT($D$10:D265),6)=0,D265+1,D265)</f>
        <v>43</v>
      </c>
      <c r="E266" s="208">
        <f>IF(MOD(COUNT($E$10:E265),3)=0,E265+1,E265)</f>
        <v>86</v>
      </c>
      <c r="F266" s="208">
        <f>IF(MOD(COUNT($F$10:F265),1)=0,F265+1,F265)</f>
        <v>257</v>
      </c>
      <c r="G266" s="204">
        <f>IFERROR(IF(C266=1,VLOOKUP(A266,Output!$A$27:$AB$137,28,FALSE)/AnnuityMode,0),0)</f>
        <v>0</v>
      </c>
      <c r="H266" s="220">
        <f>IFERROR(IF(AND(MIN(A266&gt;25,Age+A266&gt;=85),B266=12),VLOOKUP(A266,Output!$A$27:$AE$137,31,FALSE),0),0)</f>
        <v>0</v>
      </c>
      <c r="I266" s="221">
        <f>IFERROR(IF(AND(MIN(A266&gt;15,A266+Age&gt;=70),C266=1),VLOOKUP(A266,Output!$A$27:$AF$137,32,FALSE)*VLOOKUP('SV calc_ignore'!A266,Output!$A$27:$AG$137,33,FALSE)/IF(AnnuityMode=2,2,IF(AnnuityMode=4,4,IF(AnnuityMode=12,12,1))),0),0)</f>
        <v>20833.333333333332</v>
      </c>
      <c r="J266" s="227">
        <f t="shared" ref="J266:J329" si="49">G266+(J267)*(1+$K$3)^(-1)</f>
        <v>0</v>
      </c>
      <c r="K266" s="209">
        <f t="shared" si="43"/>
        <v>0</v>
      </c>
      <c r="L266" s="209">
        <f t="shared" ref="L266:L329" si="50">(L267+G267)*$K$2</f>
        <v>0</v>
      </c>
      <c r="M266" s="210">
        <f t="shared" si="47"/>
        <v>0</v>
      </c>
      <c r="N266" s="211">
        <f t="shared" si="44"/>
        <v>0</v>
      </c>
      <c r="O266" s="194">
        <f t="shared" si="45"/>
        <v>0</v>
      </c>
      <c r="P266" s="212">
        <f t="shared" ref="P266:P329" si="51">(P267+H267)*(1+$K$3)^(-1)</f>
        <v>0</v>
      </c>
      <c r="Q266">
        <f t="shared" ref="Q266:Q329" si="52">(I266+(Q267)*(1+$K$3)^(-1))*(A266&lt;=$W$5)</f>
        <v>2066522.9112503096</v>
      </c>
      <c r="X266" s="216">
        <f t="shared" si="46"/>
        <v>21</v>
      </c>
      <c r="Y266">
        <f t="shared" ref="Y266:Y329" si="53">G266*(1-IF(AnnuityMode=1,$L$2,IF(AnnuityMode=2,$M$2,IF(AnnuityMode=4,$N$2,$K$2)))^(110*AnnuityMode-IF(AnnuityMode=1,X266,IF(AnnuityMode=2,D266,IF(AnnuityMode=4,E266,F266)))-0))/(IF(AnnuityMode=1,$L$3,IF(AnnuityMode=2,$M$3,IF(AnnuityMode=4,$N$3,$K$3))))</f>
        <v>0</v>
      </c>
    </row>
    <row r="267" spans="1:25" x14ac:dyDescent="0.2">
      <c r="A267" s="204">
        <f>IF(MOD(COUNT($A$10:A266),12)=0,A266+1,A266)</f>
        <v>22</v>
      </c>
      <c r="B267" s="218">
        <f t="shared" ref="B267:B330" si="54">IF(A266&lt;&gt;A267,1,B266+1)</f>
        <v>6</v>
      </c>
      <c r="C267" s="218">
        <f t="shared" si="48"/>
        <v>1</v>
      </c>
      <c r="D267" s="208">
        <f>IF(MOD(COUNT($D$10:D266),6)=0,D266+1,D266)</f>
        <v>43</v>
      </c>
      <c r="E267" s="208">
        <f>IF(MOD(COUNT($E$10:E266),3)=0,E266+1,E266)</f>
        <v>86</v>
      </c>
      <c r="F267" s="208">
        <f>IF(MOD(COUNT($F$10:F266),1)=0,F266+1,F266)</f>
        <v>258</v>
      </c>
      <c r="G267" s="204">
        <f>IFERROR(IF(C267=1,VLOOKUP(A267,Output!$A$27:$AB$137,28,FALSE)/AnnuityMode,0),0)</f>
        <v>0</v>
      </c>
      <c r="H267" s="220">
        <f>IFERROR(IF(AND(MIN(A267&gt;25,Age+A267&gt;=85),B267=12),VLOOKUP(A267,Output!$A$27:$AE$137,31,FALSE),0),0)</f>
        <v>0</v>
      </c>
      <c r="I267" s="221">
        <f>IFERROR(IF(AND(MIN(A267&gt;15,A267+Age&gt;=70),C267=1),VLOOKUP(A267,Output!$A$27:$AF$137,32,FALSE)*VLOOKUP('SV calc_ignore'!A267,Output!$A$27:$AG$137,33,FALSE)/IF(AnnuityMode=2,2,IF(AnnuityMode=4,4,IF(AnnuityMode=12,12,1))),0),0)</f>
        <v>20833.333333333332</v>
      </c>
      <c r="J267" s="227">
        <f t="shared" si="49"/>
        <v>0</v>
      </c>
      <c r="K267" s="209">
        <f t="shared" ref="K267:K330" si="55">IF(OR(K266&gt;$K$8,K266=0),0,K266+1)</f>
        <v>0</v>
      </c>
      <c r="L267" s="209">
        <f t="shared" si="50"/>
        <v>0</v>
      </c>
      <c r="M267" s="210">
        <f t="shared" si="47"/>
        <v>0</v>
      </c>
      <c r="N267" s="211">
        <f t="shared" ref="N267:N330" si="56">M267-L267-G267</f>
        <v>0</v>
      </c>
      <c r="O267" s="194">
        <f t="shared" ref="O267:O330" si="57">MAX($H$10:$H$897)/(1+$K$3)^($Q$5*12-F267)*(A267&lt;=$Q$5)</f>
        <v>0</v>
      </c>
      <c r="P267" s="212">
        <f t="shared" si="51"/>
        <v>0</v>
      </c>
      <c r="Q267">
        <f t="shared" si="52"/>
        <v>2059644.235801555</v>
      </c>
      <c r="X267" s="216">
        <f t="shared" ref="X267:X330" si="58">A267-1</f>
        <v>21</v>
      </c>
      <c r="Y267">
        <f t="shared" si="53"/>
        <v>0</v>
      </c>
    </row>
    <row r="268" spans="1:25" x14ac:dyDescent="0.2">
      <c r="A268" s="204">
        <f>IF(MOD(COUNT($A$10:A267),12)=0,A267+1,A267)</f>
        <v>22</v>
      </c>
      <c r="B268" s="218">
        <f t="shared" si="54"/>
        <v>7</v>
      </c>
      <c r="C268" s="218">
        <f t="shared" si="48"/>
        <v>1</v>
      </c>
      <c r="D268" s="208">
        <f>IF(MOD(COUNT($D$10:D267),6)=0,D267+1,D267)</f>
        <v>44</v>
      </c>
      <c r="E268" s="208">
        <f>IF(MOD(COUNT($E$10:E267),3)=0,E267+1,E267)</f>
        <v>87</v>
      </c>
      <c r="F268" s="208">
        <f>IF(MOD(COUNT($F$10:F267),1)=0,F267+1,F267)</f>
        <v>259</v>
      </c>
      <c r="G268" s="204">
        <f>IFERROR(IF(C268=1,VLOOKUP(A268,Output!$A$27:$AB$137,28,FALSE)/AnnuityMode,0),0)</f>
        <v>0</v>
      </c>
      <c r="H268" s="220">
        <f>IFERROR(IF(AND(MIN(A268&gt;25,Age+A268&gt;=85),B268=12),VLOOKUP(A268,Output!$A$27:$AE$137,31,FALSE),0),0)</f>
        <v>0</v>
      </c>
      <c r="I268" s="221">
        <f>IFERROR(IF(AND(MIN(A268&gt;15,A268+Age&gt;=70),C268=1),VLOOKUP(A268,Output!$A$27:$AF$137,32,FALSE)*VLOOKUP('SV calc_ignore'!A268,Output!$A$27:$AG$137,33,FALSE)/IF(AnnuityMode=2,2,IF(AnnuityMode=4,4,IF(AnnuityMode=12,12,1))),0),0)</f>
        <v>20833.333333333332</v>
      </c>
      <c r="J268" s="227">
        <f t="shared" si="49"/>
        <v>0</v>
      </c>
      <c r="K268" s="209">
        <f t="shared" si="55"/>
        <v>0</v>
      </c>
      <c r="L268" s="209">
        <f t="shared" si="50"/>
        <v>0</v>
      </c>
      <c r="M268" s="210">
        <f t="shared" ref="M268:M331" si="59">L267*(1+$K$3)</f>
        <v>0</v>
      </c>
      <c r="N268" s="211">
        <f t="shared" si="56"/>
        <v>0</v>
      </c>
      <c r="O268" s="194">
        <f t="shared" si="57"/>
        <v>0</v>
      </c>
      <c r="P268" s="212">
        <f t="shared" si="51"/>
        <v>0</v>
      </c>
      <c r="Q268">
        <f t="shared" si="52"/>
        <v>2052718.6375138601</v>
      </c>
      <c r="X268" s="216">
        <f t="shared" si="58"/>
        <v>21</v>
      </c>
      <c r="Y268">
        <f t="shared" si="53"/>
        <v>0</v>
      </c>
    </row>
    <row r="269" spans="1:25" x14ac:dyDescent="0.2">
      <c r="A269" s="204">
        <f>IF(MOD(COUNT($A$10:A268),12)=0,A268+1,A268)</f>
        <v>22</v>
      </c>
      <c r="B269" s="218">
        <f t="shared" si="54"/>
        <v>8</v>
      </c>
      <c r="C269" s="218">
        <f t="shared" si="48"/>
        <v>1</v>
      </c>
      <c r="D269" s="208">
        <f>IF(MOD(COUNT($D$10:D268),6)=0,D268+1,D268)</f>
        <v>44</v>
      </c>
      <c r="E269" s="208">
        <f>IF(MOD(COUNT($E$10:E268),3)=0,E268+1,E268)</f>
        <v>87</v>
      </c>
      <c r="F269" s="208">
        <f>IF(MOD(COUNT($F$10:F268),1)=0,F268+1,F268)</f>
        <v>260</v>
      </c>
      <c r="G269" s="204">
        <f>IFERROR(IF(C269=1,VLOOKUP(A269,Output!$A$27:$AB$137,28,FALSE)/AnnuityMode,0),0)</f>
        <v>0</v>
      </c>
      <c r="H269" s="220">
        <f>IFERROR(IF(AND(MIN(A269&gt;25,Age+A269&gt;=85),B269=12),VLOOKUP(A269,Output!$A$27:$AE$137,31,FALSE),0),0)</f>
        <v>0</v>
      </c>
      <c r="I269" s="221">
        <f>IFERROR(IF(AND(MIN(A269&gt;15,A269+Age&gt;=70),C269=1),VLOOKUP(A269,Output!$A$27:$AF$137,32,FALSE)*VLOOKUP('SV calc_ignore'!A269,Output!$A$27:$AG$137,33,FALSE)/IF(AnnuityMode=2,2,IF(AnnuityMode=4,4,IF(AnnuityMode=12,12,1))),0),0)</f>
        <v>20833.333333333332</v>
      </c>
      <c r="J269" s="227">
        <f t="shared" si="49"/>
        <v>0</v>
      </c>
      <c r="K269" s="209">
        <f t="shared" si="55"/>
        <v>0</v>
      </c>
      <c r="L269" s="209">
        <f t="shared" si="50"/>
        <v>0</v>
      </c>
      <c r="M269" s="210">
        <f t="shared" si="59"/>
        <v>0</v>
      </c>
      <c r="N269" s="211">
        <f t="shared" si="56"/>
        <v>0</v>
      </c>
      <c r="O269" s="194">
        <f t="shared" si="57"/>
        <v>0</v>
      </c>
      <c r="P269" s="212">
        <f t="shared" si="51"/>
        <v>0</v>
      </c>
      <c r="Q269">
        <f t="shared" si="52"/>
        <v>2045745.7963033905</v>
      </c>
      <c r="X269" s="216">
        <f t="shared" si="58"/>
        <v>21</v>
      </c>
      <c r="Y269">
        <f t="shared" si="53"/>
        <v>0</v>
      </c>
    </row>
    <row r="270" spans="1:25" x14ac:dyDescent="0.2">
      <c r="A270" s="204">
        <f>IF(MOD(COUNT($A$10:A269),12)=0,A269+1,A269)</f>
        <v>22</v>
      </c>
      <c r="B270" s="218">
        <f t="shared" si="54"/>
        <v>9</v>
      </c>
      <c r="C270" s="218">
        <f t="shared" si="48"/>
        <v>1</v>
      </c>
      <c r="D270" s="208">
        <f>IF(MOD(COUNT($D$10:D269),6)=0,D269+1,D269)</f>
        <v>44</v>
      </c>
      <c r="E270" s="208">
        <f>IF(MOD(COUNT($E$10:E269),3)=0,E269+1,E269)</f>
        <v>87</v>
      </c>
      <c r="F270" s="208">
        <f>IF(MOD(COUNT($F$10:F269),1)=0,F269+1,F269)</f>
        <v>261</v>
      </c>
      <c r="G270" s="204">
        <f>IFERROR(IF(C270=1,VLOOKUP(A270,Output!$A$27:$AB$137,28,FALSE)/AnnuityMode,0),0)</f>
        <v>0</v>
      </c>
      <c r="H270" s="220">
        <f>IFERROR(IF(AND(MIN(A270&gt;25,Age+A270&gt;=85),B270=12),VLOOKUP(A270,Output!$A$27:$AE$137,31,FALSE),0),0)</f>
        <v>0</v>
      </c>
      <c r="I270" s="221">
        <f>IFERROR(IF(AND(MIN(A270&gt;15,A270+Age&gt;=70),C270=1),VLOOKUP(A270,Output!$A$27:$AF$137,32,FALSE)*VLOOKUP('SV calc_ignore'!A270,Output!$A$27:$AG$137,33,FALSE)/IF(AnnuityMode=2,2,IF(AnnuityMode=4,4,IF(AnnuityMode=12,12,1))),0),0)</f>
        <v>20833.333333333332</v>
      </c>
      <c r="J270" s="227">
        <f t="shared" si="49"/>
        <v>0</v>
      </c>
      <c r="K270" s="209">
        <f t="shared" si="55"/>
        <v>0</v>
      </c>
      <c r="L270" s="209">
        <f t="shared" si="50"/>
        <v>0</v>
      </c>
      <c r="M270" s="210">
        <f t="shared" si="59"/>
        <v>0</v>
      </c>
      <c r="N270" s="211">
        <f t="shared" si="56"/>
        <v>0</v>
      </c>
      <c r="O270" s="194">
        <f t="shared" si="57"/>
        <v>0</v>
      </c>
      <c r="P270" s="212">
        <f t="shared" si="51"/>
        <v>0</v>
      </c>
      <c r="Q270">
        <f t="shared" si="52"/>
        <v>2038725.3899028618</v>
      </c>
      <c r="X270" s="216">
        <f t="shared" si="58"/>
        <v>21</v>
      </c>
      <c r="Y270">
        <f t="shared" si="53"/>
        <v>0</v>
      </c>
    </row>
    <row r="271" spans="1:25" x14ac:dyDescent="0.2">
      <c r="A271" s="204">
        <f>IF(MOD(COUNT($A$10:A270),12)=0,A270+1,A270)</f>
        <v>22</v>
      </c>
      <c r="B271" s="218">
        <f t="shared" si="54"/>
        <v>10</v>
      </c>
      <c r="C271" s="218">
        <f t="shared" si="48"/>
        <v>1</v>
      </c>
      <c r="D271" s="208">
        <f>IF(MOD(COUNT($D$10:D270),6)=0,D270+1,D270)</f>
        <v>44</v>
      </c>
      <c r="E271" s="208">
        <f>IF(MOD(COUNT($E$10:E270),3)=0,E270+1,E270)</f>
        <v>88</v>
      </c>
      <c r="F271" s="208">
        <f>IF(MOD(COUNT($F$10:F270),1)=0,F270+1,F270)</f>
        <v>262</v>
      </c>
      <c r="G271" s="204">
        <f>IFERROR(IF(C271=1,VLOOKUP(A271,Output!$A$27:$AB$137,28,FALSE)/AnnuityMode,0),0)</f>
        <v>0</v>
      </c>
      <c r="H271" s="220">
        <f>IFERROR(IF(AND(MIN(A271&gt;25,Age+A271&gt;=85),B271=12),VLOOKUP(A271,Output!$A$27:$AE$137,31,FALSE),0),0)</f>
        <v>0</v>
      </c>
      <c r="I271" s="221">
        <f>IFERROR(IF(AND(MIN(A271&gt;15,A271+Age&gt;=70),C271=1),VLOOKUP(A271,Output!$A$27:$AF$137,32,FALSE)*VLOOKUP('SV calc_ignore'!A271,Output!$A$27:$AG$137,33,FALSE)/IF(AnnuityMode=2,2,IF(AnnuityMode=4,4,IF(AnnuityMode=12,12,1))),0),0)</f>
        <v>20833.333333333332</v>
      </c>
      <c r="J271" s="227">
        <f t="shared" si="49"/>
        <v>0</v>
      </c>
      <c r="K271" s="209">
        <f t="shared" si="55"/>
        <v>0</v>
      </c>
      <c r="L271" s="209">
        <f t="shared" si="50"/>
        <v>0</v>
      </c>
      <c r="M271" s="210">
        <f t="shared" si="59"/>
        <v>0</v>
      </c>
      <c r="N271" s="211">
        <f t="shared" si="56"/>
        <v>0</v>
      </c>
      <c r="O271" s="194">
        <f t="shared" si="57"/>
        <v>0</v>
      </c>
      <c r="P271" s="212">
        <f t="shared" si="51"/>
        <v>0</v>
      </c>
      <c r="Q271">
        <f t="shared" si="52"/>
        <v>2031657.0938466454</v>
      </c>
      <c r="X271" s="216">
        <f t="shared" si="58"/>
        <v>21</v>
      </c>
      <c r="Y271">
        <f t="shared" si="53"/>
        <v>0</v>
      </c>
    </row>
    <row r="272" spans="1:25" x14ac:dyDescent="0.2">
      <c r="A272" s="204">
        <f>IF(MOD(COUNT($A$10:A271),12)=0,A271+1,A271)</f>
        <v>22</v>
      </c>
      <c r="B272" s="218">
        <f t="shared" si="54"/>
        <v>11</v>
      </c>
      <c r="C272" s="218">
        <f t="shared" si="48"/>
        <v>1</v>
      </c>
      <c r="D272" s="208">
        <f>IF(MOD(COUNT($D$10:D271),6)=0,D271+1,D271)</f>
        <v>44</v>
      </c>
      <c r="E272" s="208">
        <f>IF(MOD(COUNT($E$10:E271),3)=0,E271+1,E271)</f>
        <v>88</v>
      </c>
      <c r="F272" s="208">
        <f>IF(MOD(COUNT($F$10:F271),1)=0,F271+1,F271)</f>
        <v>263</v>
      </c>
      <c r="G272" s="204">
        <f>IFERROR(IF(C272=1,VLOOKUP(A272,Output!$A$27:$AB$137,28,FALSE)/AnnuityMode,0),0)</f>
        <v>0</v>
      </c>
      <c r="H272" s="220">
        <f>IFERROR(IF(AND(MIN(A272&gt;25,Age+A272&gt;=85),B272=12),VLOOKUP(A272,Output!$A$27:$AE$137,31,FALSE),0),0)</f>
        <v>0</v>
      </c>
      <c r="I272" s="221">
        <f>IFERROR(IF(AND(MIN(A272&gt;15,A272+Age&gt;=70),C272=1),VLOOKUP(A272,Output!$A$27:$AF$137,32,FALSE)*VLOOKUP('SV calc_ignore'!A272,Output!$A$27:$AG$137,33,FALSE)/IF(AnnuityMode=2,2,IF(AnnuityMode=4,4,IF(AnnuityMode=12,12,1))),0),0)</f>
        <v>20833.333333333332</v>
      </c>
      <c r="J272" s="227">
        <f t="shared" si="49"/>
        <v>0</v>
      </c>
      <c r="K272" s="209">
        <f t="shared" si="55"/>
        <v>0</v>
      </c>
      <c r="L272" s="209">
        <f t="shared" si="50"/>
        <v>0</v>
      </c>
      <c r="M272" s="210">
        <f t="shared" si="59"/>
        <v>0</v>
      </c>
      <c r="N272" s="211">
        <f t="shared" si="56"/>
        <v>0</v>
      </c>
      <c r="O272" s="194">
        <f t="shared" si="57"/>
        <v>0</v>
      </c>
      <c r="P272" s="212">
        <f t="shared" si="51"/>
        <v>0</v>
      </c>
      <c r="Q272">
        <f t="shared" si="52"/>
        <v>2024540.581455773</v>
      </c>
      <c r="X272" s="216">
        <f t="shared" si="58"/>
        <v>21</v>
      </c>
      <c r="Y272">
        <f t="shared" si="53"/>
        <v>0</v>
      </c>
    </row>
    <row r="273" spans="1:25" x14ac:dyDescent="0.2">
      <c r="A273" s="204">
        <f>IF(MOD(COUNT($A$10:A272),12)=0,A272+1,A272)</f>
        <v>22</v>
      </c>
      <c r="B273" s="218">
        <f t="shared" si="54"/>
        <v>12</v>
      </c>
      <c r="C273" s="218">
        <f t="shared" si="48"/>
        <v>1</v>
      </c>
      <c r="D273" s="208">
        <f>IF(MOD(COUNT($D$10:D272),6)=0,D272+1,D272)</f>
        <v>44</v>
      </c>
      <c r="E273" s="208">
        <f>IF(MOD(COUNT($E$10:E272),3)=0,E272+1,E272)</f>
        <v>88</v>
      </c>
      <c r="F273" s="208">
        <f>IF(MOD(COUNT($F$10:F272),1)=0,F272+1,F272)</f>
        <v>264</v>
      </c>
      <c r="G273" s="204">
        <f>IFERROR(IF(C273=1,VLOOKUP(A273,Output!$A$27:$AB$137,28,FALSE)/AnnuityMode,0),0)</f>
        <v>0</v>
      </c>
      <c r="H273" s="220">
        <f>IFERROR(IF(AND(MIN(A273&gt;25,Age+A273&gt;=85),B273=12),VLOOKUP(A273,Output!$A$27:$AE$137,31,FALSE),0),0)</f>
        <v>0</v>
      </c>
      <c r="I273" s="221">
        <f>IFERROR(IF(AND(MIN(A273&gt;15,A273+Age&gt;=70),C273=1),VLOOKUP(A273,Output!$A$27:$AF$137,32,FALSE)*VLOOKUP('SV calc_ignore'!A273,Output!$A$27:$AG$137,33,FALSE)/IF(AnnuityMode=2,2,IF(AnnuityMode=4,4,IF(AnnuityMode=12,12,1))),0),0)</f>
        <v>20833.333333333332</v>
      </c>
      <c r="J273" s="227">
        <f t="shared" si="49"/>
        <v>0</v>
      </c>
      <c r="K273" s="209">
        <f t="shared" si="55"/>
        <v>0</v>
      </c>
      <c r="L273" s="209">
        <f t="shared" si="50"/>
        <v>0</v>
      </c>
      <c r="M273" s="210">
        <f t="shared" si="59"/>
        <v>0</v>
      </c>
      <c r="N273" s="211">
        <f t="shared" si="56"/>
        <v>0</v>
      </c>
      <c r="O273" s="194">
        <f t="shared" si="57"/>
        <v>0</v>
      </c>
      <c r="P273" s="212">
        <f t="shared" si="51"/>
        <v>0</v>
      </c>
      <c r="Q273">
        <f t="shared" si="52"/>
        <v>2017375.5238228375</v>
      </c>
      <c r="X273" s="216">
        <f t="shared" si="58"/>
        <v>21</v>
      </c>
      <c r="Y273">
        <f t="shared" si="53"/>
        <v>0</v>
      </c>
    </row>
    <row r="274" spans="1:25" x14ac:dyDescent="0.2">
      <c r="A274" s="204">
        <f>IF(MOD(COUNT($A$10:A273),12)=0,A273+1,A273)</f>
        <v>23</v>
      </c>
      <c r="B274" s="218">
        <f t="shared" si="54"/>
        <v>1</v>
      </c>
      <c r="C274" s="218">
        <f t="shared" si="48"/>
        <v>1</v>
      </c>
      <c r="D274" s="208">
        <f>IF(MOD(COUNT($D$10:D273),6)=0,D273+1,D273)</f>
        <v>45</v>
      </c>
      <c r="E274" s="208">
        <f>IF(MOD(COUNT($E$10:E273),3)=0,E273+1,E273)</f>
        <v>89</v>
      </c>
      <c r="F274" s="208">
        <f>IF(MOD(COUNT($F$10:F273),1)=0,F273+1,F273)</f>
        <v>265</v>
      </c>
      <c r="G274" s="204">
        <f>IFERROR(IF(C274=1,VLOOKUP(A274,Output!$A$27:$AB$137,28,FALSE)/AnnuityMode,0),0)</f>
        <v>0</v>
      </c>
      <c r="H274" s="220">
        <f>IFERROR(IF(AND(MIN(A274&gt;25,Age+A274&gt;=85),B274=12),VLOOKUP(A274,Output!$A$27:$AE$137,31,FALSE),0),0)</f>
        <v>0</v>
      </c>
      <c r="I274" s="221">
        <f>IFERROR(IF(AND(MIN(A274&gt;15,A274+Age&gt;=70),C274=1),VLOOKUP(A274,Output!$A$27:$AF$137,32,FALSE)*VLOOKUP('SV calc_ignore'!A274,Output!$A$27:$AG$137,33,FALSE)/IF(AnnuityMode=2,2,IF(AnnuityMode=4,4,IF(AnnuityMode=12,12,1))),0),0)</f>
        <v>20833.333333333332</v>
      </c>
      <c r="J274" s="227">
        <f t="shared" si="49"/>
        <v>0</v>
      </c>
      <c r="K274" s="209">
        <f t="shared" si="55"/>
        <v>0</v>
      </c>
      <c r="L274" s="209">
        <f t="shared" si="50"/>
        <v>0</v>
      </c>
      <c r="M274" s="210">
        <f t="shared" si="59"/>
        <v>0</v>
      </c>
      <c r="N274" s="211">
        <f t="shared" si="56"/>
        <v>0</v>
      </c>
      <c r="O274" s="194">
        <f t="shared" si="57"/>
        <v>0</v>
      </c>
      <c r="P274" s="212">
        <f t="shared" si="51"/>
        <v>0</v>
      </c>
      <c r="Q274">
        <f t="shared" si="52"/>
        <v>2010161.5897967923</v>
      </c>
      <c r="X274" s="216">
        <f t="shared" si="58"/>
        <v>22</v>
      </c>
      <c r="Y274">
        <f t="shared" si="53"/>
        <v>0</v>
      </c>
    </row>
    <row r="275" spans="1:25" x14ac:dyDescent="0.2">
      <c r="A275" s="204">
        <f>IF(MOD(COUNT($A$10:A274),12)=0,A274+1,A274)</f>
        <v>23</v>
      </c>
      <c r="B275" s="218">
        <f t="shared" si="54"/>
        <v>2</v>
      </c>
      <c r="C275" s="218">
        <f t="shared" si="48"/>
        <v>1</v>
      </c>
      <c r="D275" s="208">
        <f>IF(MOD(COUNT($D$10:D274),6)=0,D274+1,D274)</f>
        <v>45</v>
      </c>
      <c r="E275" s="208">
        <f>IF(MOD(COUNT($E$10:E274),3)=0,E274+1,E274)</f>
        <v>89</v>
      </c>
      <c r="F275" s="208">
        <f>IF(MOD(COUNT($F$10:F274),1)=0,F274+1,F274)</f>
        <v>266</v>
      </c>
      <c r="G275" s="204">
        <f>IFERROR(IF(C275=1,VLOOKUP(A275,Output!$A$27:$AB$137,28,FALSE)/AnnuityMode,0),0)</f>
        <v>0</v>
      </c>
      <c r="H275" s="220">
        <f>IFERROR(IF(AND(MIN(A275&gt;25,Age+A275&gt;=85),B275=12),VLOOKUP(A275,Output!$A$27:$AE$137,31,FALSE),0),0)</f>
        <v>0</v>
      </c>
      <c r="I275" s="221">
        <f>IFERROR(IF(AND(MIN(A275&gt;15,A275+Age&gt;=70),C275=1),VLOOKUP(A275,Output!$A$27:$AF$137,32,FALSE)*VLOOKUP('SV calc_ignore'!A275,Output!$A$27:$AG$137,33,FALSE)/IF(AnnuityMode=2,2,IF(AnnuityMode=4,4,IF(AnnuityMode=12,12,1))),0),0)</f>
        <v>20833.333333333332</v>
      </c>
      <c r="J275" s="227">
        <f t="shared" si="49"/>
        <v>0</v>
      </c>
      <c r="K275" s="209">
        <f t="shared" si="55"/>
        <v>0</v>
      </c>
      <c r="L275" s="209">
        <f t="shared" si="50"/>
        <v>0</v>
      </c>
      <c r="M275" s="210">
        <f t="shared" si="59"/>
        <v>0</v>
      </c>
      <c r="N275" s="211">
        <f t="shared" si="56"/>
        <v>0</v>
      </c>
      <c r="O275" s="194">
        <f t="shared" si="57"/>
        <v>0</v>
      </c>
      <c r="P275" s="212">
        <f t="shared" si="51"/>
        <v>0</v>
      </c>
      <c r="Q275">
        <f t="shared" si="52"/>
        <v>2002898.4459676456</v>
      </c>
      <c r="X275" s="216">
        <f t="shared" si="58"/>
        <v>22</v>
      </c>
      <c r="Y275">
        <f t="shared" si="53"/>
        <v>0</v>
      </c>
    </row>
    <row r="276" spans="1:25" x14ac:dyDescent="0.2">
      <c r="A276" s="204">
        <f>IF(MOD(COUNT($A$10:A275),12)=0,A275+1,A275)</f>
        <v>23</v>
      </c>
      <c r="B276" s="218">
        <f t="shared" si="54"/>
        <v>3</v>
      </c>
      <c r="C276" s="218">
        <f t="shared" si="48"/>
        <v>1</v>
      </c>
      <c r="D276" s="208">
        <f>IF(MOD(COUNT($D$10:D275),6)=0,D275+1,D275)</f>
        <v>45</v>
      </c>
      <c r="E276" s="208">
        <f>IF(MOD(COUNT($E$10:E275),3)=0,E275+1,E275)</f>
        <v>89</v>
      </c>
      <c r="F276" s="208">
        <f>IF(MOD(COUNT($F$10:F275),1)=0,F275+1,F275)</f>
        <v>267</v>
      </c>
      <c r="G276" s="204">
        <f>IFERROR(IF(C276=1,VLOOKUP(A276,Output!$A$27:$AB$137,28,FALSE)/AnnuityMode,0),0)</f>
        <v>0</v>
      </c>
      <c r="H276" s="220">
        <f>IFERROR(IF(AND(MIN(A276&gt;25,Age+A276&gt;=85),B276=12),VLOOKUP(A276,Output!$A$27:$AE$137,31,FALSE),0),0)</f>
        <v>0</v>
      </c>
      <c r="I276" s="221">
        <f>IFERROR(IF(AND(MIN(A276&gt;15,A276+Age&gt;=70),C276=1),VLOOKUP(A276,Output!$A$27:$AF$137,32,FALSE)*VLOOKUP('SV calc_ignore'!A276,Output!$A$27:$AG$137,33,FALSE)/IF(AnnuityMode=2,2,IF(AnnuityMode=4,4,IF(AnnuityMode=12,12,1))),0),0)</f>
        <v>20833.333333333332</v>
      </c>
      <c r="J276" s="227">
        <f t="shared" si="49"/>
        <v>0</v>
      </c>
      <c r="K276" s="209">
        <f t="shared" si="55"/>
        <v>0</v>
      </c>
      <c r="L276" s="209">
        <f t="shared" si="50"/>
        <v>0</v>
      </c>
      <c r="M276" s="210">
        <f t="shared" si="59"/>
        <v>0</v>
      </c>
      <c r="N276" s="211">
        <f t="shared" si="56"/>
        <v>0</v>
      </c>
      <c r="O276" s="194">
        <f t="shared" si="57"/>
        <v>0</v>
      </c>
      <c r="P276" s="212">
        <f t="shared" si="51"/>
        <v>0</v>
      </c>
      <c r="Q276">
        <f t="shared" si="52"/>
        <v>1995585.7566510525</v>
      </c>
      <c r="X276" s="216">
        <f t="shared" si="58"/>
        <v>22</v>
      </c>
      <c r="Y276">
        <f t="shared" si="53"/>
        <v>0</v>
      </c>
    </row>
    <row r="277" spans="1:25" x14ac:dyDescent="0.2">
      <c r="A277" s="204">
        <f>IF(MOD(COUNT($A$10:A276),12)=0,A276+1,A276)</f>
        <v>23</v>
      </c>
      <c r="B277" s="218">
        <f t="shared" si="54"/>
        <v>4</v>
      </c>
      <c r="C277" s="218">
        <f t="shared" si="48"/>
        <v>1</v>
      </c>
      <c r="D277" s="208">
        <f>IF(MOD(COUNT($D$10:D276),6)=0,D276+1,D276)</f>
        <v>45</v>
      </c>
      <c r="E277" s="208">
        <f>IF(MOD(COUNT($E$10:E276),3)=0,E276+1,E276)</f>
        <v>90</v>
      </c>
      <c r="F277" s="208">
        <f>IF(MOD(COUNT($F$10:F276),1)=0,F276+1,F276)</f>
        <v>268</v>
      </c>
      <c r="G277" s="204">
        <f>IFERROR(IF(C277=1,VLOOKUP(A277,Output!$A$27:$AB$137,28,FALSE)/AnnuityMode,0),0)</f>
        <v>0</v>
      </c>
      <c r="H277" s="220">
        <f>IFERROR(IF(AND(MIN(A277&gt;25,Age+A277&gt;=85),B277=12),VLOOKUP(A277,Output!$A$27:$AE$137,31,FALSE),0),0)</f>
        <v>0</v>
      </c>
      <c r="I277" s="221">
        <f>IFERROR(IF(AND(MIN(A277&gt;15,A277+Age&gt;=70),C277=1),VLOOKUP(A277,Output!$A$27:$AF$137,32,FALSE)*VLOOKUP('SV calc_ignore'!A277,Output!$A$27:$AG$137,33,FALSE)/IF(AnnuityMode=2,2,IF(AnnuityMode=4,4,IF(AnnuityMode=12,12,1))),0),0)</f>
        <v>20833.333333333332</v>
      </c>
      <c r="J277" s="227">
        <f t="shared" si="49"/>
        <v>0</v>
      </c>
      <c r="K277" s="209">
        <f t="shared" si="55"/>
        <v>0</v>
      </c>
      <c r="L277" s="209">
        <f t="shared" si="50"/>
        <v>0</v>
      </c>
      <c r="M277" s="210">
        <f t="shared" si="59"/>
        <v>0</v>
      </c>
      <c r="N277" s="211">
        <f t="shared" si="56"/>
        <v>0</v>
      </c>
      <c r="O277" s="194">
        <f t="shared" si="57"/>
        <v>0</v>
      </c>
      <c r="P277" s="212">
        <f t="shared" si="51"/>
        <v>0</v>
      </c>
      <c r="Q277">
        <f t="shared" si="52"/>
        <v>1988223.1838727989</v>
      </c>
      <c r="X277" s="216">
        <f t="shared" si="58"/>
        <v>22</v>
      </c>
      <c r="Y277">
        <f t="shared" si="53"/>
        <v>0</v>
      </c>
    </row>
    <row r="278" spans="1:25" x14ac:dyDescent="0.2">
      <c r="A278" s="204">
        <f>IF(MOD(COUNT($A$10:A277),12)=0,A277+1,A277)</f>
        <v>23</v>
      </c>
      <c r="B278" s="218">
        <f t="shared" si="54"/>
        <v>5</v>
      </c>
      <c r="C278" s="218">
        <f t="shared" si="48"/>
        <v>1</v>
      </c>
      <c r="D278" s="208">
        <f>IF(MOD(COUNT($D$10:D277),6)=0,D277+1,D277)</f>
        <v>45</v>
      </c>
      <c r="E278" s="208">
        <f>IF(MOD(COUNT($E$10:E277),3)=0,E277+1,E277)</f>
        <v>90</v>
      </c>
      <c r="F278" s="208">
        <f>IF(MOD(COUNT($F$10:F277),1)=0,F277+1,F277)</f>
        <v>269</v>
      </c>
      <c r="G278" s="204">
        <f>IFERROR(IF(C278=1,VLOOKUP(A278,Output!$A$27:$AB$137,28,FALSE)/AnnuityMode,0),0)</f>
        <v>0</v>
      </c>
      <c r="H278" s="220">
        <f>IFERROR(IF(AND(MIN(A278&gt;25,Age+A278&gt;=85),B278=12),VLOOKUP(A278,Output!$A$27:$AE$137,31,FALSE),0),0)</f>
        <v>0</v>
      </c>
      <c r="I278" s="221">
        <f>IFERROR(IF(AND(MIN(A278&gt;15,A278+Age&gt;=70),C278=1),VLOOKUP(A278,Output!$A$27:$AF$137,32,FALSE)*VLOOKUP('SV calc_ignore'!A278,Output!$A$27:$AG$137,33,FALSE)/IF(AnnuityMode=2,2,IF(AnnuityMode=4,4,IF(AnnuityMode=12,12,1))),0),0)</f>
        <v>20833.333333333332</v>
      </c>
      <c r="J278" s="227">
        <f t="shared" si="49"/>
        <v>0</v>
      </c>
      <c r="K278" s="209">
        <f t="shared" si="55"/>
        <v>0</v>
      </c>
      <c r="L278" s="209">
        <f t="shared" si="50"/>
        <v>0</v>
      </c>
      <c r="M278" s="210">
        <f t="shared" si="59"/>
        <v>0</v>
      </c>
      <c r="N278" s="211">
        <f t="shared" si="56"/>
        <v>0</v>
      </c>
      <c r="O278" s="194">
        <f t="shared" si="57"/>
        <v>0</v>
      </c>
      <c r="P278" s="212">
        <f t="shared" si="51"/>
        <v>0</v>
      </c>
      <c r="Q278">
        <f t="shared" si="52"/>
        <v>1980810.3873531821</v>
      </c>
      <c r="X278" s="216">
        <f t="shared" si="58"/>
        <v>22</v>
      </c>
      <c r="Y278">
        <f t="shared" si="53"/>
        <v>0</v>
      </c>
    </row>
    <row r="279" spans="1:25" x14ac:dyDescent="0.2">
      <c r="A279" s="204">
        <f>IF(MOD(COUNT($A$10:A278),12)=0,A278+1,A278)</f>
        <v>23</v>
      </c>
      <c r="B279" s="218">
        <f t="shared" si="54"/>
        <v>6</v>
      </c>
      <c r="C279" s="218">
        <f t="shared" si="48"/>
        <v>1</v>
      </c>
      <c r="D279" s="208">
        <f>IF(MOD(COUNT($D$10:D278),6)=0,D278+1,D278)</f>
        <v>45</v>
      </c>
      <c r="E279" s="208">
        <f>IF(MOD(COUNT($E$10:E278),3)=0,E278+1,E278)</f>
        <v>90</v>
      </c>
      <c r="F279" s="208">
        <f>IF(MOD(COUNT($F$10:F278),1)=0,F278+1,F278)</f>
        <v>270</v>
      </c>
      <c r="G279" s="204">
        <f>IFERROR(IF(C279=1,VLOOKUP(A279,Output!$A$27:$AB$137,28,FALSE)/AnnuityMode,0),0)</f>
        <v>0</v>
      </c>
      <c r="H279" s="220">
        <f>IFERROR(IF(AND(MIN(A279&gt;25,Age+A279&gt;=85),B279=12),VLOOKUP(A279,Output!$A$27:$AE$137,31,FALSE),0),0)</f>
        <v>0</v>
      </c>
      <c r="I279" s="221">
        <f>IFERROR(IF(AND(MIN(A279&gt;15,A279+Age&gt;=70),C279=1),VLOOKUP(A279,Output!$A$27:$AF$137,32,FALSE)*VLOOKUP('SV calc_ignore'!A279,Output!$A$27:$AG$137,33,FALSE)/IF(AnnuityMode=2,2,IF(AnnuityMode=4,4,IF(AnnuityMode=12,12,1))),0),0)</f>
        <v>20833.333333333332</v>
      </c>
      <c r="J279" s="227">
        <f t="shared" si="49"/>
        <v>0</v>
      </c>
      <c r="K279" s="209">
        <f t="shared" si="55"/>
        <v>0</v>
      </c>
      <c r="L279" s="209">
        <f t="shared" si="50"/>
        <v>0</v>
      </c>
      <c r="M279" s="210">
        <f t="shared" si="59"/>
        <v>0</v>
      </c>
      <c r="N279" s="211">
        <f t="shared" si="56"/>
        <v>0</v>
      </c>
      <c r="O279" s="194">
        <f t="shared" si="57"/>
        <v>0</v>
      </c>
      <c r="P279" s="212">
        <f t="shared" si="51"/>
        <v>0</v>
      </c>
      <c r="Q279">
        <f t="shared" si="52"/>
        <v>1973347.0244912833</v>
      </c>
      <c r="X279" s="216">
        <f t="shared" si="58"/>
        <v>22</v>
      </c>
      <c r="Y279">
        <f t="shared" si="53"/>
        <v>0</v>
      </c>
    </row>
    <row r="280" spans="1:25" x14ac:dyDescent="0.2">
      <c r="A280" s="204">
        <f>IF(MOD(COUNT($A$10:A279),12)=0,A279+1,A279)</f>
        <v>23</v>
      </c>
      <c r="B280" s="218">
        <f t="shared" si="54"/>
        <v>7</v>
      </c>
      <c r="C280" s="218">
        <f t="shared" si="48"/>
        <v>1</v>
      </c>
      <c r="D280" s="208">
        <f>IF(MOD(COUNT($D$10:D279),6)=0,D279+1,D279)</f>
        <v>46</v>
      </c>
      <c r="E280" s="208">
        <f>IF(MOD(COUNT($E$10:E279),3)=0,E279+1,E279)</f>
        <v>91</v>
      </c>
      <c r="F280" s="208">
        <f>IF(MOD(COUNT($F$10:F279),1)=0,F279+1,F279)</f>
        <v>271</v>
      </c>
      <c r="G280" s="204">
        <f>IFERROR(IF(C280=1,VLOOKUP(A280,Output!$A$27:$AB$137,28,FALSE)/AnnuityMode,0),0)</f>
        <v>0</v>
      </c>
      <c r="H280" s="220">
        <f>IFERROR(IF(AND(MIN(A280&gt;25,Age+A280&gt;=85),B280=12),VLOOKUP(A280,Output!$A$27:$AE$137,31,FALSE),0),0)</f>
        <v>0</v>
      </c>
      <c r="I280" s="221">
        <f>IFERROR(IF(AND(MIN(A280&gt;15,A280+Age&gt;=70),C280=1),VLOOKUP(A280,Output!$A$27:$AF$137,32,FALSE)*VLOOKUP('SV calc_ignore'!A280,Output!$A$27:$AG$137,33,FALSE)/IF(AnnuityMode=2,2,IF(AnnuityMode=4,4,IF(AnnuityMode=12,12,1))),0),0)</f>
        <v>20833.333333333332</v>
      </c>
      <c r="J280" s="227">
        <f t="shared" si="49"/>
        <v>0</v>
      </c>
      <c r="K280" s="209">
        <f t="shared" si="55"/>
        <v>0</v>
      </c>
      <c r="L280" s="209">
        <f t="shared" si="50"/>
        <v>0</v>
      </c>
      <c r="M280" s="210">
        <f t="shared" si="59"/>
        <v>0</v>
      </c>
      <c r="N280" s="211">
        <f t="shared" si="56"/>
        <v>0</v>
      </c>
      <c r="O280" s="194">
        <f t="shared" si="57"/>
        <v>0</v>
      </c>
      <c r="P280" s="212">
        <f t="shared" si="51"/>
        <v>0</v>
      </c>
      <c r="Q280">
        <f t="shared" si="52"/>
        <v>1965832.7503491344</v>
      </c>
      <c r="X280" s="216">
        <f t="shared" si="58"/>
        <v>22</v>
      </c>
      <c r="Y280">
        <f t="shared" si="53"/>
        <v>0</v>
      </c>
    </row>
    <row r="281" spans="1:25" x14ac:dyDescent="0.2">
      <c r="A281" s="204">
        <f>IF(MOD(COUNT($A$10:A280),12)=0,A280+1,A280)</f>
        <v>23</v>
      </c>
      <c r="B281" s="218">
        <f t="shared" si="54"/>
        <v>8</v>
      </c>
      <c r="C281" s="218">
        <f t="shared" si="48"/>
        <v>1</v>
      </c>
      <c r="D281" s="208">
        <f>IF(MOD(COUNT($D$10:D280),6)=0,D280+1,D280)</f>
        <v>46</v>
      </c>
      <c r="E281" s="208">
        <f>IF(MOD(COUNT($E$10:E280),3)=0,E280+1,E280)</f>
        <v>91</v>
      </c>
      <c r="F281" s="208">
        <f>IF(MOD(COUNT($F$10:F280),1)=0,F280+1,F280)</f>
        <v>272</v>
      </c>
      <c r="G281" s="204">
        <f>IFERROR(IF(C281=1,VLOOKUP(A281,Output!$A$27:$AB$137,28,FALSE)/AnnuityMode,0),0)</f>
        <v>0</v>
      </c>
      <c r="H281" s="220">
        <f>IFERROR(IF(AND(MIN(A281&gt;25,Age+A281&gt;=85),B281=12),VLOOKUP(A281,Output!$A$27:$AE$137,31,FALSE),0),0)</f>
        <v>0</v>
      </c>
      <c r="I281" s="221">
        <f>IFERROR(IF(AND(MIN(A281&gt;15,A281+Age&gt;=70),C281=1),VLOOKUP(A281,Output!$A$27:$AF$137,32,FALSE)*VLOOKUP('SV calc_ignore'!A281,Output!$A$27:$AG$137,33,FALSE)/IF(AnnuityMode=2,2,IF(AnnuityMode=4,4,IF(AnnuityMode=12,12,1))),0),0)</f>
        <v>20833.333333333332</v>
      </c>
      <c r="J281" s="227">
        <f t="shared" si="49"/>
        <v>0</v>
      </c>
      <c r="K281" s="209">
        <f t="shared" si="55"/>
        <v>0</v>
      </c>
      <c r="L281" s="209">
        <f t="shared" si="50"/>
        <v>0</v>
      </c>
      <c r="M281" s="210">
        <f t="shared" si="59"/>
        <v>0</v>
      </c>
      <c r="N281" s="211">
        <f t="shared" si="56"/>
        <v>0</v>
      </c>
      <c r="O281" s="194">
        <f t="shared" si="57"/>
        <v>0</v>
      </c>
      <c r="P281" s="212">
        <f t="shared" si="51"/>
        <v>0</v>
      </c>
      <c r="Q281">
        <f t="shared" si="52"/>
        <v>1958267.217635775</v>
      </c>
      <c r="X281" s="216">
        <f t="shared" si="58"/>
        <v>22</v>
      </c>
      <c r="Y281">
        <f t="shared" si="53"/>
        <v>0</v>
      </c>
    </row>
    <row r="282" spans="1:25" x14ac:dyDescent="0.2">
      <c r="A282" s="204">
        <f>IF(MOD(COUNT($A$10:A281),12)=0,A281+1,A281)</f>
        <v>23</v>
      </c>
      <c r="B282" s="218">
        <f t="shared" si="54"/>
        <v>9</v>
      </c>
      <c r="C282" s="218">
        <f t="shared" si="48"/>
        <v>1</v>
      </c>
      <c r="D282" s="208">
        <f>IF(MOD(COUNT($D$10:D281),6)=0,D281+1,D281)</f>
        <v>46</v>
      </c>
      <c r="E282" s="208">
        <f>IF(MOD(COUNT($E$10:E281),3)=0,E281+1,E281)</f>
        <v>91</v>
      </c>
      <c r="F282" s="208">
        <f>IF(MOD(COUNT($F$10:F281),1)=0,F281+1,F281)</f>
        <v>273</v>
      </c>
      <c r="G282" s="204">
        <f>IFERROR(IF(C282=1,VLOOKUP(A282,Output!$A$27:$AB$137,28,FALSE)/AnnuityMode,0),0)</f>
        <v>0</v>
      </c>
      <c r="H282" s="220">
        <f>IFERROR(IF(AND(MIN(A282&gt;25,Age+A282&gt;=85),B282=12),VLOOKUP(A282,Output!$A$27:$AE$137,31,FALSE),0),0)</f>
        <v>0</v>
      </c>
      <c r="I282" s="221">
        <f>IFERROR(IF(AND(MIN(A282&gt;15,A282+Age&gt;=70),C282=1),VLOOKUP(A282,Output!$A$27:$AF$137,32,FALSE)*VLOOKUP('SV calc_ignore'!A282,Output!$A$27:$AG$137,33,FALSE)/IF(AnnuityMode=2,2,IF(AnnuityMode=4,4,IF(AnnuityMode=12,12,1))),0),0)</f>
        <v>20833.333333333332</v>
      </c>
      <c r="J282" s="227">
        <f t="shared" si="49"/>
        <v>0</v>
      </c>
      <c r="K282" s="209">
        <f t="shared" si="55"/>
        <v>0</v>
      </c>
      <c r="L282" s="209">
        <f t="shared" si="50"/>
        <v>0</v>
      </c>
      <c r="M282" s="210">
        <f t="shared" si="59"/>
        <v>0</v>
      </c>
      <c r="N282" s="211">
        <f t="shared" si="56"/>
        <v>0</v>
      </c>
      <c r="O282" s="194">
        <f t="shared" si="57"/>
        <v>0</v>
      </c>
      <c r="P282" s="212">
        <f t="shared" si="51"/>
        <v>0</v>
      </c>
      <c r="Q282">
        <f t="shared" si="52"/>
        <v>1950650.0766912014</v>
      </c>
      <c r="X282" s="216">
        <f t="shared" si="58"/>
        <v>22</v>
      </c>
      <c r="Y282">
        <f t="shared" si="53"/>
        <v>0</v>
      </c>
    </row>
    <row r="283" spans="1:25" x14ac:dyDescent="0.2">
      <c r="A283" s="204">
        <f>IF(MOD(COUNT($A$10:A282),12)=0,A282+1,A282)</f>
        <v>23</v>
      </c>
      <c r="B283" s="218">
        <f t="shared" si="54"/>
        <v>10</v>
      </c>
      <c r="C283" s="218">
        <f t="shared" si="48"/>
        <v>1</v>
      </c>
      <c r="D283" s="208">
        <f>IF(MOD(COUNT($D$10:D282),6)=0,D282+1,D282)</f>
        <v>46</v>
      </c>
      <c r="E283" s="208">
        <f>IF(MOD(COUNT($E$10:E282),3)=0,E282+1,E282)</f>
        <v>92</v>
      </c>
      <c r="F283" s="208">
        <f>IF(MOD(COUNT($F$10:F282),1)=0,F282+1,F282)</f>
        <v>274</v>
      </c>
      <c r="G283" s="204">
        <f>IFERROR(IF(C283=1,VLOOKUP(A283,Output!$A$27:$AB$137,28,FALSE)/AnnuityMode,0),0)</f>
        <v>0</v>
      </c>
      <c r="H283" s="220">
        <f>IFERROR(IF(AND(MIN(A283&gt;25,Age+A283&gt;=85),B283=12),VLOOKUP(A283,Output!$A$27:$AE$137,31,FALSE),0),0)</f>
        <v>0</v>
      </c>
      <c r="I283" s="221">
        <f>IFERROR(IF(AND(MIN(A283&gt;15,A283+Age&gt;=70),C283=1),VLOOKUP(A283,Output!$A$27:$AF$137,32,FALSE)*VLOOKUP('SV calc_ignore'!A283,Output!$A$27:$AG$137,33,FALSE)/IF(AnnuityMode=2,2,IF(AnnuityMode=4,4,IF(AnnuityMode=12,12,1))),0),0)</f>
        <v>20833.333333333332</v>
      </c>
      <c r="J283" s="227">
        <f t="shared" si="49"/>
        <v>0</v>
      </c>
      <c r="K283" s="209">
        <f t="shared" si="55"/>
        <v>0</v>
      </c>
      <c r="L283" s="209">
        <f t="shared" si="50"/>
        <v>0</v>
      </c>
      <c r="M283" s="210">
        <f t="shared" si="59"/>
        <v>0</v>
      </c>
      <c r="N283" s="211">
        <f t="shared" si="56"/>
        <v>0</v>
      </c>
      <c r="O283" s="194">
        <f t="shared" si="57"/>
        <v>0</v>
      </c>
      <c r="P283" s="212">
        <f t="shared" si="51"/>
        <v>0</v>
      </c>
      <c r="Q283">
        <f t="shared" si="52"/>
        <v>1942980.9754702067</v>
      </c>
      <c r="X283" s="216">
        <f t="shared" si="58"/>
        <v>22</v>
      </c>
      <c r="Y283">
        <f t="shared" si="53"/>
        <v>0</v>
      </c>
    </row>
    <row r="284" spans="1:25" x14ac:dyDescent="0.2">
      <c r="A284" s="204">
        <f>IF(MOD(COUNT($A$10:A283),12)=0,A283+1,A283)</f>
        <v>23</v>
      </c>
      <c r="B284" s="218">
        <f t="shared" si="54"/>
        <v>11</v>
      </c>
      <c r="C284" s="218">
        <f t="shared" si="48"/>
        <v>1</v>
      </c>
      <c r="D284" s="208">
        <f>IF(MOD(COUNT($D$10:D283),6)=0,D283+1,D283)</f>
        <v>46</v>
      </c>
      <c r="E284" s="208">
        <f>IF(MOD(COUNT($E$10:E283),3)=0,E283+1,E283)</f>
        <v>92</v>
      </c>
      <c r="F284" s="208">
        <f>IF(MOD(COUNT($F$10:F283),1)=0,F283+1,F283)</f>
        <v>275</v>
      </c>
      <c r="G284" s="204">
        <f>IFERROR(IF(C284=1,VLOOKUP(A284,Output!$A$27:$AB$137,28,FALSE)/AnnuityMode,0),0)</f>
        <v>0</v>
      </c>
      <c r="H284" s="220">
        <f>IFERROR(IF(AND(MIN(A284&gt;25,Age+A284&gt;=85),B284=12),VLOOKUP(A284,Output!$A$27:$AE$137,31,FALSE),0),0)</f>
        <v>0</v>
      </c>
      <c r="I284" s="221">
        <f>IFERROR(IF(AND(MIN(A284&gt;15,A284+Age&gt;=70),C284=1),VLOOKUP(A284,Output!$A$27:$AF$137,32,FALSE)*VLOOKUP('SV calc_ignore'!A284,Output!$A$27:$AG$137,33,FALSE)/IF(AnnuityMode=2,2,IF(AnnuityMode=4,4,IF(AnnuityMode=12,12,1))),0),0)</f>
        <v>20833.333333333332</v>
      </c>
      <c r="J284" s="227">
        <f t="shared" si="49"/>
        <v>0</v>
      </c>
      <c r="K284" s="209">
        <f t="shared" si="55"/>
        <v>0</v>
      </c>
      <c r="L284" s="209">
        <f t="shared" si="50"/>
        <v>0</v>
      </c>
      <c r="M284" s="210">
        <f t="shared" si="59"/>
        <v>0</v>
      </c>
      <c r="N284" s="211">
        <f t="shared" si="56"/>
        <v>0</v>
      </c>
      <c r="O284" s="194">
        <f t="shared" si="57"/>
        <v>0</v>
      </c>
      <c r="P284" s="212">
        <f t="shared" si="51"/>
        <v>0</v>
      </c>
      <c r="Q284">
        <f t="shared" si="52"/>
        <v>1935259.5595261101</v>
      </c>
      <c r="X284" s="216">
        <f t="shared" si="58"/>
        <v>22</v>
      </c>
      <c r="Y284">
        <f t="shared" si="53"/>
        <v>0</v>
      </c>
    </row>
    <row r="285" spans="1:25" x14ac:dyDescent="0.2">
      <c r="A285" s="204">
        <f>IF(MOD(COUNT($A$10:A284),12)=0,A284+1,A284)</f>
        <v>23</v>
      </c>
      <c r="B285" s="218">
        <f t="shared" si="54"/>
        <v>12</v>
      </c>
      <c r="C285" s="218">
        <f t="shared" si="48"/>
        <v>1</v>
      </c>
      <c r="D285" s="208">
        <f>IF(MOD(COUNT($D$10:D284),6)=0,D284+1,D284)</f>
        <v>46</v>
      </c>
      <c r="E285" s="208">
        <f>IF(MOD(COUNT($E$10:E284),3)=0,E284+1,E284)</f>
        <v>92</v>
      </c>
      <c r="F285" s="208">
        <f>IF(MOD(COUNT($F$10:F284),1)=0,F284+1,F284)</f>
        <v>276</v>
      </c>
      <c r="G285" s="204">
        <f>IFERROR(IF(C285=1,VLOOKUP(A285,Output!$A$27:$AB$137,28,FALSE)/AnnuityMode,0),0)</f>
        <v>0</v>
      </c>
      <c r="H285" s="220">
        <f>IFERROR(IF(AND(MIN(A285&gt;25,Age+A285&gt;=85),B285=12),VLOOKUP(A285,Output!$A$27:$AE$137,31,FALSE),0),0)</f>
        <v>0</v>
      </c>
      <c r="I285" s="221">
        <f>IFERROR(IF(AND(MIN(A285&gt;15,A285+Age&gt;=70),C285=1),VLOOKUP(A285,Output!$A$27:$AF$137,32,FALSE)*VLOOKUP('SV calc_ignore'!A285,Output!$A$27:$AG$137,33,FALSE)/IF(AnnuityMode=2,2,IF(AnnuityMode=4,4,IF(AnnuityMode=12,12,1))),0),0)</f>
        <v>20833.333333333332</v>
      </c>
      <c r="J285" s="227">
        <f t="shared" si="49"/>
        <v>0</v>
      </c>
      <c r="K285" s="209">
        <f t="shared" si="55"/>
        <v>0</v>
      </c>
      <c r="L285" s="209">
        <f t="shared" si="50"/>
        <v>0</v>
      </c>
      <c r="M285" s="210">
        <f t="shared" si="59"/>
        <v>0</v>
      </c>
      <c r="N285" s="211">
        <f t="shared" si="56"/>
        <v>0</v>
      </c>
      <c r="O285" s="194">
        <f t="shared" si="57"/>
        <v>0</v>
      </c>
      <c r="P285" s="212">
        <f t="shared" si="51"/>
        <v>0</v>
      </c>
      <c r="Q285">
        <f t="shared" si="52"/>
        <v>1927485.4719943749</v>
      </c>
      <c r="X285" s="216">
        <f t="shared" si="58"/>
        <v>22</v>
      </c>
      <c r="Y285">
        <f t="shared" si="53"/>
        <v>0</v>
      </c>
    </row>
    <row r="286" spans="1:25" x14ac:dyDescent="0.2">
      <c r="A286" s="204">
        <f>IF(MOD(COUNT($A$10:A285),12)=0,A285+1,A285)</f>
        <v>24</v>
      </c>
      <c r="B286" s="218">
        <f t="shared" si="54"/>
        <v>1</v>
      </c>
      <c r="C286" s="218">
        <f t="shared" si="48"/>
        <v>1</v>
      </c>
      <c r="D286" s="208">
        <f>IF(MOD(COUNT($D$10:D285),6)=0,D285+1,D285)</f>
        <v>47</v>
      </c>
      <c r="E286" s="208">
        <f>IF(MOD(COUNT($E$10:E285),3)=0,E285+1,E285)</f>
        <v>93</v>
      </c>
      <c r="F286" s="208">
        <f>IF(MOD(COUNT($F$10:F285),1)=0,F285+1,F285)</f>
        <v>277</v>
      </c>
      <c r="G286" s="204">
        <f>IFERROR(IF(C286=1,VLOOKUP(A286,Output!$A$27:$AB$137,28,FALSE)/AnnuityMode,0),0)</f>
        <v>0</v>
      </c>
      <c r="H286" s="220">
        <f>IFERROR(IF(AND(MIN(A286&gt;25,Age+A286&gt;=85),B286=12),VLOOKUP(A286,Output!$A$27:$AE$137,31,FALSE),0),0)</f>
        <v>0</v>
      </c>
      <c r="I286" s="221">
        <f>IFERROR(IF(AND(MIN(A286&gt;15,A286+Age&gt;=70),C286=1),VLOOKUP(A286,Output!$A$27:$AF$137,32,FALSE)*VLOOKUP('SV calc_ignore'!A286,Output!$A$27:$AG$137,33,FALSE)/IF(AnnuityMode=2,2,IF(AnnuityMode=4,4,IF(AnnuityMode=12,12,1))),0),0)</f>
        <v>20833.333333333332</v>
      </c>
      <c r="J286" s="227">
        <f t="shared" si="49"/>
        <v>0</v>
      </c>
      <c r="K286" s="209">
        <f t="shared" si="55"/>
        <v>0</v>
      </c>
      <c r="L286" s="209">
        <f t="shared" si="50"/>
        <v>0</v>
      </c>
      <c r="M286" s="210">
        <f t="shared" si="59"/>
        <v>0</v>
      </c>
      <c r="N286" s="211">
        <f t="shared" si="56"/>
        <v>0</v>
      </c>
      <c r="O286" s="194">
        <f t="shared" si="57"/>
        <v>0</v>
      </c>
      <c r="P286" s="212">
        <f t="shared" si="51"/>
        <v>0</v>
      </c>
      <c r="Q286">
        <f t="shared" si="52"/>
        <v>1919658.3535761156</v>
      </c>
      <c r="X286" s="216">
        <f t="shared" si="58"/>
        <v>23</v>
      </c>
      <c r="Y286">
        <f t="shared" si="53"/>
        <v>0</v>
      </c>
    </row>
    <row r="287" spans="1:25" x14ac:dyDescent="0.2">
      <c r="A287" s="204">
        <f>IF(MOD(COUNT($A$10:A286),12)=0,A286+1,A286)</f>
        <v>24</v>
      </c>
      <c r="B287" s="218">
        <f t="shared" si="54"/>
        <v>2</v>
      </c>
      <c r="C287" s="218">
        <f t="shared" si="48"/>
        <v>1</v>
      </c>
      <c r="D287" s="208">
        <f>IF(MOD(COUNT($D$10:D286),6)=0,D286+1,D286)</f>
        <v>47</v>
      </c>
      <c r="E287" s="208">
        <f>IF(MOD(COUNT($E$10:E286),3)=0,E286+1,E286)</f>
        <v>93</v>
      </c>
      <c r="F287" s="208">
        <f>IF(MOD(COUNT($F$10:F286),1)=0,F286+1,F286)</f>
        <v>278</v>
      </c>
      <c r="G287" s="204">
        <f>IFERROR(IF(C287=1,VLOOKUP(A287,Output!$A$27:$AB$137,28,FALSE)/AnnuityMode,0),0)</f>
        <v>0</v>
      </c>
      <c r="H287" s="220">
        <f>IFERROR(IF(AND(MIN(A287&gt;25,Age+A287&gt;=85),B287=12),VLOOKUP(A287,Output!$A$27:$AE$137,31,FALSE),0),0)</f>
        <v>0</v>
      </c>
      <c r="I287" s="221">
        <f>IFERROR(IF(AND(MIN(A287&gt;15,A287+Age&gt;=70),C287=1),VLOOKUP(A287,Output!$A$27:$AF$137,32,FALSE)*VLOOKUP('SV calc_ignore'!A287,Output!$A$27:$AG$137,33,FALSE)/IF(AnnuityMode=2,2,IF(AnnuityMode=4,4,IF(AnnuityMode=12,12,1))),0),0)</f>
        <v>20833.333333333332</v>
      </c>
      <c r="J287" s="227">
        <f t="shared" si="49"/>
        <v>0</v>
      </c>
      <c r="K287" s="209">
        <f t="shared" si="55"/>
        <v>0</v>
      </c>
      <c r="L287" s="209">
        <f t="shared" si="50"/>
        <v>0</v>
      </c>
      <c r="M287" s="210">
        <f t="shared" si="59"/>
        <v>0</v>
      </c>
      <c r="N287" s="211">
        <f t="shared" si="56"/>
        <v>0</v>
      </c>
      <c r="O287" s="194">
        <f t="shared" si="57"/>
        <v>0</v>
      </c>
      <c r="P287" s="212">
        <f t="shared" si="51"/>
        <v>0</v>
      </c>
      <c r="Q287">
        <f t="shared" si="52"/>
        <v>1911777.8425214917</v>
      </c>
      <c r="X287" s="216">
        <f t="shared" si="58"/>
        <v>23</v>
      </c>
      <c r="Y287">
        <f t="shared" si="53"/>
        <v>0</v>
      </c>
    </row>
    <row r="288" spans="1:25" x14ac:dyDescent="0.2">
      <c r="A288" s="204">
        <f>IF(MOD(COUNT($A$10:A287),12)=0,A287+1,A287)</f>
        <v>24</v>
      </c>
      <c r="B288" s="218">
        <f t="shared" si="54"/>
        <v>3</v>
      </c>
      <c r="C288" s="218">
        <f t="shared" si="48"/>
        <v>1</v>
      </c>
      <c r="D288" s="208">
        <f>IF(MOD(COUNT($D$10:D287),6)=0,D287+1,D287)</f>
        <v>47</v>
      </c>
      <c r="E288" s="208">
        <f>IF(MOD(COUNT($E$10:E287),3)=0,E287+1,E287)</f>
        <v>93</v>
      </c>
      <c r="F288" s="208">
        <f>IF(MOD(COUNT($F$10:F287),1)=0,F287+1,F287)</f>
        <v>279</v>
      </c>
      <c r="G288" s="204">
        <f>IFERROR(IF(C288=1,VLOOKUP(A288,Output!$A$27:$AB$137,28,FALSE)/AnnuityMode,0),0)</f>
        <v>0</v>
      </c>
      <c r="H288" s="220">
        <f>IFERROR(IF(AND(MIN(A288&gt;25,Age+A288&gt;=85),B288=12),VLOOKUP(A288,Output!$A$27:$AE$137,31,FALSE),0),0)</f>
        <v>0</v>
      </c>
      <c r="I288" s="221">
        <f>IFERROR(IF(AND(MIN(A288&gt;15,A288+Age&gt;=70),C288=1),VLOOKUP(A288,Output!$A$27:$AF$137,32,FALSE)*VLOOKUP('SV calc_ignore'!A288,Output!$A$27:$AG$137,33,FALSE)/IF(AnnuityMode=2,2,IF(AnnuityMode=4,4,IF(AnnuityMode=12,12,1))),0),0)</f>
        <v>20833.333333333332</v>
      </c>
      <c r="J288" s="227">
        <f t="shared" si="49"/>
        <v>0</v>
      </c>
      <c r="K288" s="209">
        <f t="shared" si="55"/>
        <v>0</v>
      </c>
      <c r="L288" s="209">
        <f t="shared" si="50"/>
        <v>0</v>
      </c>
      <c r="M288" s="210">
        <f t="shared" si="59"/>
        <v>0</v>
      </c>
      <c r="N288" s="211">
        <f t="shared" si="56"/>
        <v>0</v>
      </c>
      <c r="O288" s="194">
        <f t="shared" si="57"/>
        <v>0</v>
      </c>
      <c r="P288" s="212">
        <f t="shared" si="51"/>
        <v>0</v>
      </c>
      <c r="Q288">
        <f t="shared" si="52"/>
        <v>1903843.5746129882</v>
      </c>
      <c r="X288" s="216">
        <f t="shared" si="58"/>
        <v>23</v>
      </c>
      <c r="Y288">
        <f t="shared" si="53"/>
        <v>0</v>
      </c>
    </row>
    <row r="289" spans="1:25" x14ac:dyDescent="0.2">
      <c r="A289" s="204">
        <f>IF(MOD(COUNT($A$10:A288),12)=0,A288+1,A288)</f>
        <v>24</v>
      </c>
      <c r="B289" s="218">
        <f t="shared" si="54"/>
        <v>4</v>
      </c>
      <c r="C289" s="218">
        <f t="shared" si="48"/>
        <v>1</v>
      </c>
      <c r="D289" s="208">
        <f>IF(MOD(COUNT($D$10:D288),6)=0,D288+1,D288)</f>
        <v>47</v>
      </c>
      <c r="E289" s="208">
        <f>IF(MOD(COUNT($E$10:E288),3)=0,E288+1,E288)</f>
        <v>94</v>
      </c>
      <c r="F289" s="208">
        <f>IF(MOD(COUNT($F$10:F288),1)=0,F288+1,F288)</f>
        <v>280</v>
      </c>
      <c r="G289" s="204">
        <f>IFERROR(IF(C289=1,VLOOKUP(A289,Output!$A$27:$AB$137,28,FALSE)/AnnuityMode,0),0)</f>
        <v>0</v>
      </c>
      <c r="H289" s="220">
        <f>IFERROR(IF(AND(MIN(A289&gt;25,Age+A289&gt;=85),B289=12),VLOOKUP(A289,Output!$A$27:$AE$137,31,FALSE),0),0)</f>
        <v>0</v>
      </c>
      <c r="I289" s="221">
        <f>IFERROR(IF(AND(MIN(A289&gt;15,A289+Age&gt;=70),C289=1),VLOOKUP(A289,Output!$A$27:$AF$137,32,FALSE)*VLOOKUP('SV calc_ignore'!A289,Output!$A$27:$AG$137,33,FALSE)/IF(AnnuityMode=2,2,IF(AnnuityMode=4,4,IF(AnnuityMode=12,12,1))),0),0)</f>
        <v>20833.333333333332</v>
      </c>
      <c r="J289" s="227">
        <f t="shared" si="49"/>
        <v>0</v>
      </c>
      <c r="K289" s="209">
        <f t="shared" si="55"/>
        <v>0</v>
      </c>
      <c r="L289" s="209">
        <f t="shared" si="50"/>
        <v>0</v>
      </c>
      <c r="M289" s="210">
        <f t="shared" si="59"/>
        <v>0</v>
      </c>
      <c r="N289" s="211">
        <f t="shared" si="56"/>
        <v>0</v>
      </c>
      <c r="O289" s="194">
        <f t="shared" si="57"/>
        <v>0</v>
      </c>
      <c r="P289" s="212">
        <f t="shared" si="51"/>
        <v>0</v>
      </c>
      <c r="Q289">
        <f t="shared" si="52"/>
        <v>1895855.1831485829</v>
      </c>
      <c r="X289" s="216">
        <f t="shared" si="58"/>
        <v>23</v>
      </c>
      <c r="Y289">
        <f t="shared" si="53"/>
        <v>0</v>
      </c>
    </row>
    <row r="290" spans="1:25" x14ac:dyDescent="0.2">
      <c r="A290" s="204">
        <f>IF(MOD(COUNT($A$10:A289),12)=0,A289+1,A289)</f>
        <v>24</v>
      </c>
      <c r="B290" s="218">
        <f t="shared" si="54"/>
        <v>5</v>
      </c>
      <c r="C290" s="218">
        <f t="shared" si="48"/>
        <v>1</v>
      </c>
      <c r="D290" s="208">
        <f>IF(MOD(COUNT($D$10:D289),6)=0,D289+1,D289)</f>
        <v>47</v>
      </c>
      <c r="E290" s="208">
        <f>IF(MOD(COUNT($E$10:E289),3)=0,E289+1,E289)</f>
        <v>94</v>
      </c>
      <c r="F290" s="208">
        <f>IF(MOD(COUNT($F$10:F289),1)=0,F289+1,F289)</f>
        <v>281</v>
      </c>
      <c r="G290" s="204">
        <f>IFERROR(IF(C290=1,VLOOKUP(A290,Output!$A$27:$AB$137,28,FALSE)/AnnuityMode,0),0)</f>
        <v>0</v>
      </c>
      <c r="H290" s="220">
        <f>IFERROR(IF(AND(MIN(A290&gt;25,Age+A290&gt;=85),B290=12),VLOOKUP(A290,Output!$A$27:$AE$137,31,FALSE),0),0)</f>
        <v>0</v>
      </c>
      <c r="I290" s="221">
        <f>IFERROR(IF(AND(MIN(A290&gt;15,A290+Age&gt;=70),C290=1),VLOOKUP(A290,Output!$A$27:$AF$137,32,FALSE)*VLOOKUP('SV calc_ignore'!A290,Output!$A$27:$AG$137,33,FALSE)/IF(AnnuityMode=2,2,IF(AnnuityMode=4,4,IF(AnnuityMode=12,12,1))),0),0)</f>
        <v>20833.333333333332</v>
      </c>
      <c r="J290" s="227">
        <f t="shared" si="49"/>
        <v>0</v>
      </c>
      <c r="K290" s="209">
        <f t="shared" si="55"/>
        <v>0</v>
      </c>
      <c r="L290" s="209">
        <f t="shared" si="50"/>
        <v>0</v>
      </c>
      <c r="M290" s="210">
        <f t="shared" si="59"/>
        <v>0</v>
      </c>
      <c r="N290" s="211">
        <f t="shared" si="56"/>
        <v>0</v>
      </c>
      <c r="O290" s="194">
        <f t="shared" si="57"/>
        <v>0</v>
      </c>
      <c r="P290" s="212">
        <f t="shared" si="51"/>
        <v>0</v>
      </c>
      <c r="Q290">
        <f t="shared" si="52"/>
        <v>1887812.2989247986</v>
      </c>
      <c r="X290" s="216">
        <f t="shared" si="58"/>
        <v>23</v>
      </c>
      <c r="Y290">
        <f t="shared" si="53"/>
        <v>0</v>
      </c>
    </row>
    <row r="291" spans="1:25" x14ac:dyDescent="0.2">
      <c r="A291" s="204">
        <f>IF(MOD(COUNT($A$10:A290),12)=0,A290+1,A290)</f>
        <v>24</v>
      </c>
      <c r="B291" s="218">
        <f t="shared" si="54"/>
        <v>6</v>
      </c>
      <c r="C291" s="218">
        <f t="shared" si="48"/>
        <v>1</v>
      </c>
      <c r="D291" s="208">
        <f>IF(MOD(COUNT($D$10:D290),6)=0,D290+1,D290)</f>
        <v>47</v>
      </c>
      <c r="E291" s="208">
        <f>IF(MOD(COUNT($E$10:E290),3)=0,E290+1,E290)</f>
        <v>94</v>
      </c>
      <c r="F291" s="208">
        <f>IF(MOD(COUNT($F$10:F290),1)=0,F290+1,F290)</f>
        <v>282</v>
      </c>
      <c r="G291" s="204">
        <f>IFERROR(IF(C291=1,VLOOKUP(A291,Output!$A$27:$AB$137,28,FALSE)/AnnuityMode,0),0)</f>
        <v>0</v>
      </c>
      <c r="H291" s="220">
        <f>IFERROR(IF(AND(MIN(A291&gt;25,Age+A291&gt;=85),B291=12),VLOOKUP(A291,Output!$A$27:$AE$137,31,FALSE),0),0)</f>
        <v>0</v>
      </c>
      <c r="I291" s="221">
        <f>IFERROR(IF(AND(MIN(A291&gt;15,A291+Age&gt;=70),C291=1),VLOOKUP(A291,Output!$A$27:$AF$137,32,FALSE)*VLOOKUP('SV calc_ignore'!A291,Output!$A$27:$AG$137,33,FALSE)/IF(AnnuityMode=2,2,IF(AnnuityMode=4,4,IF(AnnuityMode=12,12,1))),0),0)</f>
        <v>20833.333333333332</v>
      </c>
      <c r="J291" s="227">
        <f t="shared" si="49"/>
        <v>0</v>
      </c>
      <c r="K291" s="209">
        <f t="shared" si="55"/>
        <v>0</v>
      </c>
      <c r="L291" s="209">
        <f t="shared" si="50"/>
        <v>0</v>
      </c>
      <c r="M291" s="210">
        <f t="shared" si="59"/>
        <v>0</v>
      </c>
      <c r="N291" s="211">
        <f t="shared" si="56"/>
        <v>0</v>
      </c>
      <c r="O291" s="194">
        <f t="shared" si="57"/>
        <v>0</v>
      </c>
      <c r="P291" s="212">
        <f t="shared" si="51"/>
        <v>0</v>
      </c>
      <c r="Q291">
        <f t="shared" si="52"/>
        <v>1879714.5502196385</v>
      </c>
      <c r="X291" s="216">
        <f t="shared" si="58"/>
        <v>23</v>
      </c>
      <c r="Y291">
        <f t="shared" si="53"/>
        <v>0</v>
      </c>
    </row>
    <row r="292" spans="1:25" x14ac:dyDescent="0.2">
      <c r="A292" s="204">
        <f>IF(MOD(COUNT($A$10:A291),12)=0,A291+1,A291)</f>
        <v>24</v>
      </c>
      <c r="B292" s="218">
        <f t="shared" si="54"/>
        <v>7</v>
      </c>
      <c r="C292" s="218">
        <f t="shared" si="48"/>
        <v>1</v>
      </c>
      <c r="D292" s="208">
        <f>IF(MOD(COUNT($D$10:D291),6)=0,D291+1,D291)</f>
        <v>48</v>
      </c>
      <c r="E292" s="208">
        <f>IF(MOD(COUNT($E$10:E291),3)=0,E291+1,E291)</f>
        <v>95</v>
      </c>
      <c r="F292" s="208">
        <f>IF(MOD(COUNT($F$10:F291),1)=0,F291+1,F291)</f>
        <v>283</v>
      </c>
      <c r="G292" s="204">
        <f>IFERROR(IF(C292=1,VLOOKUP(A292,Output!$A$27:$AB$137,28,FALSE)/AnnuityMode,0),0)</f>
        <v>0</v>
      </c>
      <c r="H292" s="220">
        <f>IFERROR(IF(AND(MIN(A292&gt;25,Age+A292&gt;=85),B292=12),VLOOKUP(A292,Output!$A$27:$AE$137,31,FALSE),0),0)</f>
        <v>0</v>
      </c>
      <c r="I292" s="221">
        <f>IFERROR(IF(AND(MIN(A292&gt;15,A292+Age&gt;=70),C292=1),VLOOKUP(A292,Output!$A$27:$AF$137,32,FALSE)*VLOOKUP('SV calc_ignore'!A292,Output!$A$27:$AG$137,33,FALSE)/IF(AnnuityMode=2,2,IF(AnnuityMode=4,4,IF(AnnuityMode=12,12,1))),0),0)</f>
        <v>20833.333333333332</v>
      </c>
      <c r="J292" s="227">
        <f t="shared" si="49"/>
        <v>0</v>
      </c>
      <c r="K292" s="209">
        <f t="shared" si="55"/>
        <v>0</v>
      </c>
      <c r="L292" s="209">
        <f t="shared" si="50"/>
        <v>0</v>
      </c>
      <c r="M292" s="210">
        <f t="shared" si="59"/>
        <v>0</v>
      </c>
      <c r="N292" s="211">
        <f t="shared" si="56"/>
        <v>0</v>
      </c>
      <c r="O292" s="194">
        <f t="shared" si="57"/>
        <v>0</v>
      </c>
      <c r="P292" s="212">
        <f t="shared" si="51"/>
        <v>0</v>
      </c>
      <c r="Q292">
        <f t="shared" si="52"/>
        <v>1871561.562775407</v>
      </c>
      <c r="X292" s="216">
        <f t="shared" si="58"/>
        <v>23</v>
      </c>
      <c r="Y292">
        <f t="shared" si="53"/>
        <v>0</v>
      </c>
    </row>
    <row r="293" spans="1:25" x14ac:dyDescent="0.2">
      <c r="A293" s="204">
        <f>IF(MOD(COUNT($A$10:A292),12)=0,A292+1,A292)</f>
        <v>24</v>
      </c>
      <c r="B293" s="218">
        <f t="shared" si="54"/>
        <v>8</v>
      </c>
      <c r="C293" s="218">
        <f t="shared" si="48"/>
        <v>1</v>
      </c>
      <c r="D293" s="208">
        <f>IF(MOD(COUNT($D$10:D292),6)=0,D292+1,D292)</f>
        <v>48</v>
      </c>
      <c r="E293" s="208">
        <f>IF(MOD(COUNT($E$10:E292),3)=0,E292+1,E292)</f>
        <v>95</v>
      </c>
      <c r="F293" s="208">
        <f>IF(MOD(COUNT($F$10:F292),1)=0,F292+1,F292)</f>
        <v>284</v>
      </c>
      <c r="G293" s="204">
        <f>IFERROR(IF(C293=1,VLOOKUP(A293,Output!$A$27:$AB$137,28,FALSE)/AnnuityMode,0),0)</f>
        <v>0</v>
      </c>
      <c r="H293" s="220">
        <f>IFERROR(IF(AND(MIN(A293&gt;25,Age+A293&gt;=85),B293=12),VLOOKUP(A293,Output!$A$27:$AE$137,31,FALSE),0),0)</f>
        <v>0</v>
      </c>
      <c r="I293" s="221">
        <f>IFERROR(IF(AND(MIN(A293&gt;15,A293+Age&gt;=70),C293=1),VLOOKUP(A293,Output!$A$27:$AF$137,32,FALSE)*VLOOKUP('SV calc_ignore'!A293,Output!$A$27:$AG$137,33,FALSE)/IF(AnnuityMode=2,2,IF(AnnuityMode=4,4,IF(AnnuityMode=12,12,1))),0),0)</f>
        <v>20833.333333333332</v>
      </c>
      <c r="J293" s="227">
        <f t="shared" si="49"/>
        <v>0</v>
      </c>
      <c r="K293" s="209">
        <f t="shared" si="55"/>
        <v>0</v>
      </c>
      <c r="L293" s="209">
        <f t="shared" si="50"/>
        <v>0</v>
      </c>
      <c r="M293" s="210">
        <f t="shared" si="59"/>
        <v>0</v>
      </c>
      <c r="N293" s="211">
        <f t="shared" si="56"/>
        <v>0</v>
      </c>
      <c r="O293" s="194">
        <f t="shared" si="57"/>
        <v>0</v>
      </c>
      <c r="P293" s="212">
        <f t="shared" si="51"/>
        <v>0</v>
      </c>
      <c r="Q293">
        <f t="shared" si="52"/>
        <v>1863352.9597814118</v>
      </c>
      <c r="X293" s="216">
        <f t="shared" si="58"/>
        <v>23</v>
      </c>
      <c r="Y293">
        <f t="shared" si="53"/>
        <v>0</v>
      </c>
    </row>
    <row r="294" spans="1:25" x14ac:dyDescent="0.2">
      <c r="A294" s="204">
        <f>IF(MOD(COUNT($A$10:A293),12)=0,A293+1,A293)</f>
        <v>24</v>
      </c>
      <c r="B294" s="218">
        <f t="shared" si="54"/>
        <v>9</v>
      </c>
      <c r="C294" s="218">
        <f t="shared" si="48"/>
        <v>1</v>
      </c>
      <c r="D294" s="208">
        <f>IF(MOD(COUNT($D$10:D293),6)=0,D293+1,D293)</f>
        <v>48</v>
      </c>
      <c r="E294" s="208">
        <f>IF(MOD(COUNT($E$10:E293),3)=0,E293+1,E293)</f>
        <v>95</v>
      </c>
      <c r="F294" s="208">
        <f>IF(MOD(COUNT($F$10:F293),1)=0,F293+1,F293)</f>
        <v>285</v>
      </c>
      <c r="G294" s="204">
        <f>IFERROR(IF(C294=1,VLOOKUP(A294,Output!$A$27:$AB$137,28,FALSE)/AnnuityMode,0),0)</f>
        <v>0</v>
      </c>
      <c r="H294" s="220">
        <f>IFERROR(IF(AND(MIN(A294&gt;25,Age+A294&gt;=85),B294=12),VLOOKUP(A294,Output!$A$27:$AE$137,31,FALSE),0),0)</f>
        <v>0</v>
      </c>
      <c r="I294" s="221">
        <f>IFERROR(IF(AND(MIN(A294&gt;15,A294+Age&gt;=70),C294=1),VLOOKUP(A294,Output!$A$27:$AF$137,32,FALSE)*VLOOKUP('SV calc_ignore'!A294,Output!$A$27:$AG$137,33,FALSE)/IF(AnnuityMode=2,2,IF(AnnuityMode=4,4,IF(AnnuityMode=12,12,1))),0),0)</f>
        <v>20833.333333333332</v>
      </c>
      <c r="J294" s="227">
        <f t="shared" si="49"/>
        <v>0</v>
      </c>
      <c r="K294" s="209">
        <f t="shared" si="55"/>
        <v>0</v>
      </c>
      <c r="L294" s="209">
        <f t="shared" si="50"/>
        <v>0</v>
      </c>
      <c r="M294" s="210">
        <f t="shared" si="59"/>
        <v>0</v>
      </c>
      <c r="N294" s="211">
        <f t="shared" si="56"/>
        <v>0</v>
      </c>
      <c r="O294" s="194">
        <f t="shared" si="57"/>
        <v>0</v>
      </c>
      <c r="P294" s="212">
        <f t="shared" si="51"/>
        <v>0</v>
      </c>
      <c r="Q294">
        <f t="shared" si="52"/>
        <v>1855088.3618565493</v>
      </c>
      <c r="X294" s="216">
        <f t="shared" si="58"/>
        <v>23</v>
      </c>
      <c r="Y294">
        <f t="shared" si="53"/>
        <v>0</v>
      </c>
    </row>
    <row r="295" spans="1:25" x14ac:dyDescent="0.2">
      <c r="A295" s="204">
        <f>IF(MOD(COUNT($A$10:A294),12)=0,A294+1,A294)</f>
        <v>24</v>
      </c>
      <c r="B295" s="218">
        <f t="shared" si="54"/>
        <v>10</v>
      </c>
      <c r="C295" s="218">
        <f t="shared" si="48"/>
        <v>1</v>
      </c>
      <c r="D295" s="208">
        <f>IF(MOD(COUNT($D$10:D294),6)=0,D294+1,D294)</f>
        <v>48</v>
      </c>
      <c r="E295" s="208">
        <f>IF(MOD(COUNT($E$10:E294),3)=0,E294+1,E294)</f>
        <v>96</v>
      </c>
      <c r="F295" s="208">
        <f>IF(MOD(COUNT($F$10:F294),1)=0,F294+1,F294)</f>
        <v>286</v>
      </c>
      <c r="G295" s="204">
        <f>IFERROR(IF(C295=1,VLOOKUP(A295,Output!$A$27:$AB$137,28,FALSE)/AnnuityMode,0),0)</f>
        <v>0</v>
      </c>
      <c r="H295" s="220">
        <f>IFERROR(IF(AND(MIN(A295&gt;25,Age+A295&gt;=85),B295=12),VLOOKUP(A295,Output!$A$27:$AE$137,31,FALSE),0),0)</f>
        <v>0</v>
      </c>
      <c r="I295" s="221">
        <f>IFERROR(IF(AND(MIN(A295&gt;15,A295+Age&gt;=70),C295=1),VLOOKUP(A295,Output!$A$27:$AF$137,32,FALSE)*VLOOKUP('SV calc_ignore'!A295,Output!$A$27:$AG$137,33,FALSE)/IF(AnnuityMode=2,2,IF(AnnuityMode=4,4,IF(AnnuityMode=12,12,1))),0),0)</f>
        <v>20833.333333333332</v>
      </c>
      <c r="J295" s="227">
        <f t="shared" si="49"/>
        <v>0</v>
      </c>
      <c r="K295" s="209">
        <f t="shared" si="55"/>
        <v>0</v>
      </c>
      <c r="L295" s="209">
        <f t="shared" si="50"/>
        <v>0</v>
      </c>
      <c r="M295" s="210">
        <f t="shared" si="59"/>
        <v>0</v>
      </c>
      <c r="N295" s="211">
        <f t="shared" si="56"/>
        <v>0</v>
      </c>
      <c r="O295" s="194">
        <f t="shared" si="57"/>
        <v>0</v>
      </c>
      <c r="P295" s="212">
        <f t="shared" si="51"/>
        <v>0</v>
      </c>
      <c r="Q295">
        <f t="shared" si="52"/>
        <v>1846767.3870317701</v>
      </c>
      <c r="X295" s="216">
        <f t="shared" si="58"/>
        <v>23</v>
      </c>
      <c r="Y295">
        <f t="shared" si="53"/>
        <v>0</v>
      </c>
    </row>
    <row r="296" spans="1:25" x14ac:dyDescent="0.2">
      <c r="A296" s="204">
        <f>IF(MOD(COUNT($A$10:A295),12)=0,A295+1,A295)</f>
        <v>24</v>
      </c>
      <c r="B296" s="218">
        <f t="shared" si="54"/>
        <v>11</v>
      </c>
      <c r="C296" s="218">
        <f t="shared" si="48"/>
        <v>1</v>
      </c>
      <c r="D296" s="208">
        <f>IF(MOD(COUNT($D$10:D295),6)=0,D295+1,D295)</f>
        <v>48</v>
      </c>
      <c r="E296" s="208">
        <f>IF(MOD(COUNT($E$10:E295),3)=0,E295+1,E295)</f>
        <v>96</v>
      </c>
      <c r="F296" s="208">
        <f>IF(MOD(COUNT($F$10:F295),1)=0,F295+1,F295)</f>
        <v>287</v>
      </c>
      <c r="G296" s="204">
        <f>IFERROR(IF(C296=1,VLOOKUP(A296,Output!$A$27:$AB$137,28,FALSE)/AnnuityMode,0),0)</f>
        <v>0</v>
      </c>
      <c r="H296" s="220">
        <f>IFERROR(IF(AND(MIN(A296&gt;25,Age+A296&gt;=85),B296=12),VLOOKUP(A296,Output!$A$27:$AE$137,31,FALSE),0),0)</f>
        <v>0</v>
      </c>
      <c r="I296" s="221">
        <f>IFERROR(IF(AND(MIN(A296&gt;15,A296+Age&gt;=70),C296=1),VLOOKUP(A296,Output!$A$27:$AF$137,32,FALSE)*VLOOKUP('SV calc_ignore'!A296,Output!$A$27:$AG$137,33,FALSE)/IF(AnnuityMode=2,2,IF(AnnuityMode=4,4,IF(AnnuityMode=12,12,1))),0),0)</f>
        <v>20833.333333333332</v>
      </c>
      <c r="J296" s="227">
        <f t="shared" si="49"/>
        <v>0</v>
      </c>
      <c r="K296" s="209">
        <f t="shared" si="55"/>
        <v>0</v>
      </c>
      <c r="L296" s="209">
        <f t="shared" si="50"/>
        <v>0</v>
      </c>
      <c r="M296" s="210">
        <f t="shared" si="59"/>
        <v>0</v>
      </c>
      <c r="N296" s="211">
        <f t="shared" si="56"/>
        <v>0</v>
      </c>
      <c r="O296" s="194">
        <f t="shared" si="57"/>
        <v>0</v>
      </c>
      <c r="P296" s="212">
        <f t="shared" si="51"/>
        <v>0</v>
      </c>
      <c r="Q296">
        <f t="shared" si="52"/>
        <v>1838389.6507324253</v>
      </c>
      <c r="X296" s="216">
        <f t="shared" si="58"/>
        <v>23</v>
      </c>
      <c r="Y296">
        <f t="shared" si="53"/>
        <v>0</v>
      </c>
    </row>
    <row r="297" spans="1:25" x14ac:dyDescent="0.2">
      <c r="A297" s="204">
        <f>IF(MOD(COUNT($A$10:A296),12)=0,A296+1,A296)</f>
        <v>24</v>
      </c>
      <c r="B297" s="218">
        <f t="shared" si="54"/>
        <v>12</v>
      </c>
      <c r="C297" s="218">
        <f t="shared" si="48"/>
        <v>1</v>
      </c>
      <c r="D297" s="208">
        <f>IF(MOD(COUNT($D$10:D296),6)=0,D296+1,D296)</f>
        <v>48</v>
      </c>
      <c r="E297" s="208">
        <f>IF(MOD(COUNT($E$10:E296),3)=0,E296+1,E296)</f>
        <v>96</v>
      </c>
      <c r="F297" s="208">
        <f>IF(MOD(COUNT($F$10:F296),1)=0,F296+1,F296)</f>
        <v>288</v>
      </c>
      <c r="G297" s="204">
        <f>IFERROR(IF(C297=1,VLOOKUP(A297,Output!$A$27:$AB$137,28,FALSE)/AnnuityMode,0),0)</f>
        <v>0</v>
      </c>
      <c r="H297" s="220">
        <f>IFERROR(IF(AND(MIN(A297&gt;25,Age+A297&gt;=85),B297=12),VLOOKUP(A297,Output!$A$27:$AE$137,31,FALSE),0),0)</f>
        <v>0</v>
      </c>
      <c r="I297" s="221">
        <f>IFERROR(IF(AND(MIN(A297&gt;15,A297+Age&gt;=70),C297=1),VLOOKUP(A297,Output!$A$27:$AF$137,32,FALSE)*VLOOKUP('SV calc_ignore'!A297,Output!$A$27:$AG$137,33,FALSE)/IF(AnnuityMode=2,2,IF(AnnuityMode=4,4,IF(AnnuityMode=12,12,1))),0),0)</f>
        <v>20833.333333333332</v>
      </c>
      <c r="J297" s="227">
        <f t="shared" si="49"/>
        <v>0</v>
      </c>
      <c r="K297" s="209">
        <f t="shared" si="55"/>
        <v>0</v>
      </c>
      <c r="L297" s="209">
        <f t="shared" si="50"/>
        <v>0</v>
      </c>
      <c r="M297" s="210">
        <f t="shared" si="59"/>
        <v>0</v>
      </c>
      <c r="N297" s="211">
        <f t="shared" si="56"/>
        <v>0</v>
      </c>
      <c r="O297" s="194">
        <f t="shared" si="57"/>
        <v>0</v>
      </c>
      <c r="P297" s="212">
        <f t="shared" si="51"/>
        <v>0</v>
      </c>
      <c r="Q297">
        <f t="shared" si="52"/>
        <v>1829954.7657604928</v>
      </c>
      <c r="X297" s="216">
        <f t="shared" si="58"/>
        <v>23</v>
      </c>
      <c r="Y297">
        <f t="shared" si="53"/>
        <v>0</v>
      </c>
    </row>
    <row r="298" spans="1:25" x14ac:dyDescent="0.2">
      <c r="A298" s="204">
        <f>IF(MOD(COUNT($A$10:A297),12)=0,A297+1,A297)</f>
        <v>25</v>
      </c>
      <c r="B298" s="218">
        <f t="shared" si="54"/>
        <v>1</v>
      </c>
      <c r="C298" s="218">
        <f t="shared" si="48"/>
        <v>1</v>
      </c>
      <c r="D298" s="208">
        <f>IF(MOD(COUNT($D$10:D297),6)=0,D297+1,D297)</f>
        <v>49</v>
      </c>
      <c r="E298" s="208">
        <f>IF(MOD(COUNT($E$10:E297),3)=0,E297+1,E297)</f>
        <v>97</v>
      </c>
      <c r="F298" s="208">
        <f>IF(MOD(COUNT($F$10:F297),1)=0,F297+1,F297)</f>
        <v>289</v>
      </c>
      <c r="G298" s="204">
        <f>IFERROR(IF(C298=1,VLOOKUP(A298,Output!$A$27:$AB$137,28,FALSE)/AnnuityMode,0),0)</f>
        <v>0</v>
      </c>
      <c r="H298" s="220">
        <f>IFERROR(IF(AND(MIN(A298&gt;25,Age+A298&gt;=85),B298=12),VLOOKUP(A298,Output!$A$27:$AE$137,31,FALSE),0),0)</f>
        <v>0</v>
      </c>
      <c r="I298" s="221">
        <f>IFERROR(IF(AND(MIN(A298&gt;15,A298+Age&gt;=70),C298=1),VLOOKUP(A298,Output!$A$27:$AF$137,32,FALSE)*VLOOKUP('SV calc_ignore'!A298,Output!$A$27:$AG$137,33,FALSE)/IF(AnnuityMode=2,2,IF(AnnuityMode=4,4,IF(AnnuityMode=12,12,1))),0),0)</f>
        <v>20833.333333333332</v>
      </c>
      <c r="J298" s="227">
        <f t="shared" si="49"/>
        <v>0</v>
      </c>
      <c r="K298" s="209">
        <f t="shared" si="55"/>
        <v>0</v>
      </c>
      <c r="L298" s="209">
        <f t="shared" si="50"/>
        <v>0</v>
      </c>
      <c r="M298" s="210">
        <f t="shared" si="59"/>
        <v>0</v>
      </c>
      <c r="N298" s="211">
        <f t="shared" si="56"/>
        <v>0</v>
      </c>
      <c r="O298" s="194">
        <f t="shared" si="57"/>
        <v>0</v>
      </c>
      <c r="P298" s="212">
        <f t="shared" si="51"/>
        <v>0</v>
      </c>
      <c r="Q298">
        <f t="shared" si="52"/>
        <v>1821462.3422766814</v>
      </c>
      <c r="X298" s="216">
        <f t="shared" si="58"/>
        <v>24</v>
      </c>
      <c r="Y298">
        <f t="shared" si="53"/>
        <v>0</v>
      </c>
    </row>
    <row r="299" spans="1:25" x14ac:dyDescent="0.2">
      <c r="A299" s="204">
        <f>IF(MOD(COUNT($A$10:A298),12)=0,A298+1,A298)</f>
        <v>25</v>
      </c>
      <c r="B299" s="218">
        <f t="shared" si="54"/>
        <v>2</v>
      </c>
      <c r="C299" s="218">
        <f t="shared" si="48"/>
        <v>1</v>
      </c>
      <c r="D299" s="208">
        <f>IF(MOD(COUNT($D$10:D298),6)=0,D298+1,D298)</f>
        <v>49</v>
      </c>
      <c r="E299" s="208">
        <f>IF(MOD(COUNT($E$10:E298),3)=0,E298+1,E298)</f>
        <v>97</v>
      </c>
      <c r="F299" s="208">
        <f>IF(MOD(COUNT($F$10:F298),1)=0,F298+1,F298)</f>
        <v>290</v>
      </c>
      <c r="G299" s="204">
        <f>IFERROR(IF(C299=1,VLOOKUP(A299,Output!$A$27:$AB$137,28,FALSE)/AnnuityMode,0),0)</f>
        <v>0</v>
      </c>
      <c r="H299" s="220">
        <f>IFERROR(IF(AND(MIN(A299&gt;25,Age+A299&gt;=85),B299=12),VLOOKUP(A299,Output!$A$27:$AE$137,31,FALSE),0),0)</f>
        <v>0</v>
      </c>
      <c r="I299" s="221">
        <f>IFERROR(IF(AND(MIN(A299&gt;15,A299+Age&gt;=70),C299=1),VLOOKUP(A299,Output!$A$27:$AF$137,32,FALSE)*VLOOKUP('SV calc_ignore'!A299,Output!$A$27:$AG$137,33,FALSE)/IF(AnnuityMode=2,2,IF(AnnuityMode=4,4,IF(AnnuityMode=12,12,1))),0),0)</f>
        <v>20833.333333333332</v>
      </c>
      <c r="J299" s="227">
        <f t="shared" si="49"/>
        <v>0</v>
      </c>
      <c r="K299" s="209">
        <f t="shared" si="55"/>
        <v>0</v>
      </c>
      <c r="L299" s="209">
        <f t="shared" si="50"/>
        <v>0</v>
      </c>
      <c r="M299" s="210">
        <f t="shared" si="59"/>
        <v>0</v>
      </c>
      <c r="N299" s="211">
        <f t="shared" si="56"/>
        <v>0</v>
      </c>
      <c r="O299" s="194">
        <f t="shared" si="57"/>
        <v>0</v>
      </c>
      <c r="P299" s="212">
        <f t="shared" si="51"/>
        <v>0</v>
      </c>
      <c r="Q299">
        <f t="shared" si="52"/>
        <v>1812911.9877824145</v>
      </c>
      <c r="X299" s="216">
        <f t="shared" si="58"/>
        <v>24</v>
      </c>
      <c r="Y299">
        <f t="shared" si="53"/>
        <v>0</v>
      </c>
    </row>
    <row r="300" spans="1:25" x14ac:dyDescent="0.2">
      <c r="A300" s="204">
        <f>IF(MOD(COUNT($A$10:A299),12)=0,A299+1,A299)</f>
        <v>25</v>
      </c>
      <c r="B300" s="218">
        <f t="shared" si="54"/>
        <v>3</v>
      </c>
      <c r="C300" s="218">
        <f t="shared" si="48"/>
        <v>1</v>
      </c>
      <c r="D300" s="208">
        <f>IF(MOD(COUNT($D$10:D299),6)=0,D299+1,D299)</f>
        <v>49</v>
      </c>
      <c r="E300" s="208">
        <f>IF(MOD(COUNT($E$10:E299),3)=0,E299+1,E299)</f>
        <v>97</v>
      </c>
      <c r="F300" s="208">
        <f>IF(MOD(COUNT($F$10:F299),1)=0,F299+1,F299)</f>
        <v>291</v>
      </c>
      <c r="G300" s="204">
        <f>IFERROR(IF(C300=1,VLOOKUP(A300,Output!$A$27:$AB$137,28,FALSE)/AnnuityMode,0),0)</f>
        <v>0</v>
      </c>
      <c r="H300" s="220">
        <f>IFERROR(IF(AND(MIN(A300&gt;25,Age+A300&gt;=85),B300=12),VLOOKUP(A300,Output!$A$27:$AE$137,31,FALSE),0),0)</f>
        <v>0</v>
      </c>
      <c r="I300" s="221">
        <f>IFERROR(IF(AND(MIN(A300&gt;15,A300+Age&gt;=70),C300=1),VLOOKUP(A300,Output!$A$27:$AF$137,32,FALSE)*VLOOKUP('SV calc_ignore'!A300,Output!$A$27:$AG$137,33,FALSE)/IF(AnnuityMode=2,2,IF(AnnuityMode=4,4,IF(AnnuityMode=12,12,1))),0),0)</f>
        <v>20833.333333333332</v>
      </c>
      <c r="J300" s="227">
        <f t="shared" si="49"/>
        <v>0</v>
      </c>
      <c r="K300" s="209">
        <f t="shared" si="55"/>
        <v>0</v>
      </c>
      <c r="L300" s="209">
        <f t="shared" si="50"/>
        <v>0</v>
      </c>
      <c r="M300" s="210">
        <f t="shared" si="59"/>
        <v>0</v>
      </c>
      <c r="N300" s="211">
        <f t="shared" si="56"/>
        <v>0</v>
      </c>
      <c r="O300" s="194">
        <f t="shared" si="57"/>
        <v>0</v>
      </c>
      <c r="P300" s="212">
        <f t="shared" si="51"/>
        <v>0</v>
      </c>
      <c r="Q300">
        <f t="shared" si="52"/>
        <v>1804303.3071016883</v>
      </c>
      <c r="X300" s="216">
        <f t="shared" si="58"/>
        <v>24</v>
      </c>
      <c r="Y300">
        <f t="shared" si="53"/>
        <v>0</v>
      </c>
    </row>
    <row r="301" spans="1:25" x14ac:dyDescent="0.2">
      <c r="A301" s="204">
        <f>IF(MOD(COUNT($A$10:A300),12)=0,A300+1,A300)</f>
        <v>25</v>
      </c>
      <c r="B301" s="218">
        <f t="shared" si="54"/>
        <v>4</v>
      </c>
      <c r="C301" s="218">
        <f t="shared" si="48"/>
        <v>1</v>
      </c>
      <c r="D301" s="208">
        <f>IF(MOD(COUNT($D$10:D300),6)=0,D300+1,D300)</f>
        <v>49</v>
      </c>
      <c r="E301" s="208">
        <f>IF(MOD(COUNT($E$10:E300),3)=0,E300+1,E300)</f>
        <v>98</v>
      </c>
      <c r="F301" s="208">
        <f>IF(MOD(COUNT($F$10:F300),1)=0,F300+1,F300)</f>
        <v>292</v>
      </c>
      <c r="G301" s="204">
        <f>IFERROR(IF(C301=1,VLOOKUP(A301,Output!$A$27:$AB$137,28,FALSE)/AnnuityMode,0),0)</f>
        <v>0</v>
      </c>
      <c r="H301" s="220">
        <f>IFERROR(IF(AND(MIN(A301&gt;25,Age+A301&gt;=85),B301=12),VLOOKUP(A301,Output!$A$27:$AE$137,31,FALSE),0),0)</f>
        <v>0</v>
      </c>
      <c r="I301" s="221">
        <f>IFERROR(IF(AND(MIN(A301&gt;15,A301+Age&gt;=70),C301=1),VLOOKUP(A301,Output!$A$27:$AF$137,32,FALSE)*VLOOKUP('SV calc_ignore'!A301,Output!$A$27:$AG$137,33,FALSE)/IF(AnnuityMode=2,2,IF(AnnuityMode=4,4,IF(AnnuityMode=12,12,1))),0),0)</f>
        <v>20833.333333333332</v>
      </c>
      <c r="J301" s="227">
        <f t="shared" si="49"/>
        <v>0</v>
      </c>
      <c r="K301" s="209">
        <f t="shared" si="55"/>
        <v>0</v>
      </c>
      <c r="L301" s="209">
        <f t="shared" si="50"/>
        <v>0</v>
      </c>
      <c r="M301" s="210">
        <f t="shared" si="59"/>
        <v>0</v>
      </c>
      <c r="N301" s="211">
        <f t="shared" si="56"/>
        <v>0</v>
      </c>
      <c r="O301" s="194">
        <f t="shared" si="57"/>
        <v>0</v>
      </c>
      <c r="P301" s="212">
        <f t="shared" si="51"/>
        <v>0</v>
      </c>
      <c r="Q301">
        <f t="shared" si="52"/>
        <v>1795635.9023628088</v>
      </c>
      <c r="X301" s="216">
        <f t="shared" si="58"/>
        <v>24</v>
      </c>
      <c r="Y301">
        <f t="shared" si="53"/>
        <v>0</v>
      </c>
    </row>
    <row r="302" spans="1:25" x14ac:dyDescent="0.2">
      <c r="A302" s="204">
        <f>IF(MOD(COUNT($A$10:A301),12)=0,A301+1,A301)</f>
        <v>25</v>
      </c>
      <c r="B302" s="218">
        <f t="shared" si="54"/>
        <v>5</v>
      </c>
      <c r="C302" s="218">
        <f t="shared" si="48"/>
        <v>1</v>
      </c>
      <c r="D302" s="208">
        <f>IF(MOD(COUNT($D$10:D301),6)=0,D301+1,D301)</f>
        <v>49</v>
      </c>
      <c r="E302" s="208">
        <f>IF(MOD(COUNT($E$10:E301),3)=0,E301+1,E301)</f>
        <v>98</v>
      </c>
      <c r="F302" s="208">
        <f>IF(MOD(COUNT($F$10:F301),1)=0,F301+1,F301)</f>
        <v>293</v>
      </c>
      <c r="G302" s="204">
        <f>IFERROR(IF(C302=1,VLOOKUP(A302,Output!$A$27:$AB$137,28,FALSE)/AnnuityMode,0),0)</f>
        <v>0</v>
      </c>
      <c r="H302" s="220">
        <f>IFERROR(IF(AND(MIN(A302&gt;25,Age+A302&gt;=85),B302=12),VLOOKUP(A302,Output!$A$27:$AE$137,31,FALSE),0),0)</f>
        <v>0</v>
      </c>
      <c r="I302" s="221">
        <f>IFERROR(IF(AND(MIN(A302&gt;15,A302+Age&gt;=70),C302=1),VLOOKUP(A302,Output!$A$27:$AF$137,32,FALSE)*VLOOKUP('SV calc_ignore'!A302,Output!$A$27:$AG$137,33,FALSE)/IF(AnnuityMode=2,2,IF(AnnuityMode=4,4,IF(AnnuityMode=12,12,1))),0),0)</f>
        <v>20833.333333333332</v>
      </c>
      <c r="J302" s="227">
        <f t="shared" si="49"/>
        <v>0</v>
      </c>
      <c r="K302" s="209">
        <f t="shared" si="55"/>
        <v>0</v>
      </c>
      <c r="L302" s="209">
        <f t="shared" si="50"/>
        <v>0</v>
      </c>
      <c r="M302" s="210">
        <f t="shared" si="59"/>
        <v>0</v>
      </c>
      <c r="N302" s="211">
        <f t="shared" si="56"/>
        <v>0</v>
      </c>
      <c r="O302" s="194">
        <f t="shared" si="57"/>
        <v>0</v>
      </c>
      <c r="P302" s="212">
        <f t="shared" si="51"/>
        <v>0</v>
      </c>
      <c r="Q302">
        <f t="shared" si="52"/>
        <v>1786909.3729800028</v>
      </c>
      <c r="X302" s="216">
        <f t="shared" si="58"/>
        <v>24</v>
      </c>
      <c r="Y302">
        <f t="shared" si="53"/>
        <v>0</v>
      </c>
    </row>
    <row r="303" spans="1:25" x14ac:dyDescent="0.2">
      <c r="A303" s="204">
        <f>IF(MOD(COUNT($A$10:A302),12)=0,A302+1,A302)</f>
        <v>25</v>
      </c>
      <c r="B303" s="218">
        <f t="shared" si="54"/>
        <v>6</v>
      </c>
      <c r="C303" s="218">
        <f t="shared" si="48"/>
        <v>1</v>
      </c>
      <c r="D303" s="208">
        <f>IF(MOD(COUNT($D$10:D302),6)=0,D302+1,D302)</f>
        <v>49</v>
      </c>
      <c r="E303" s="208">
        <f>IF(MOD(COUNT($E$10:E302),3)=0,E302+1,E302)</f>
        <v>98</v>
      </c>
      <c r="F303" s="208">
        <f>IF(MOD(COUNT($F$10:F302),1)=0,F302+1,F302)</f>
        <v>294</v>
      </c>
      <c r="G303" s="204">
        <f>IFERROR(IF(C303=1,VLOOKUP(A303,Output!$A$27:$AB$137,28,FALSE)/AnnuityMode,0),0)</f>
        <v>0</v>
      </c>
      <c r="H303" s="220">
        <f>IFERROR(IF(AND(MIN(A303&gt;25,Age+A303&gt;=85),B303=12),VLOOKUP(A303,Output!$A$27:$AE$137,31,FALSE),0),0)</f>
        <v>0</v>
      </c>
      <c r="I303" s="221">
        <f>IFERROR(IF(AND(MIN(A303&gt;15,A303+Age&gt;=70),C303=1),VLOOKUP(A303,Output!$A$27:$AF$137,32,FALSE)*VLOOKUP('SV calc_ignore'!A303,Output!$A$27:$AG$137,33,FALSE)/IF(AnnuityMode=2,2,IF(AnnuityMode=4,4,IF(AnnuityMode=12,12,1))),0),0)</f>
        <v>20833.333333333332</v>
      </c>
      <c r="J303" s="227">
        <f t="shared" si="49"/>
        <v>0</v>
      </c>
      <c r="K303" s="209">
        <f t="shared" si="55"/>
        <v>0</v>
      </c>
      <c r="L303" s="209">
        <f t="shared" si="50"/>
        <v>0</v>
      </c>
      <c r="M303" s="210">
        <f t="shared" si="59"/>
        <v>0</v>
      </c>
      <c r="N303" s="211">
        <f t="shared" si="56"/>
        <v>0</v>
      </c>
      <c r="O303" s="194">
        <f t="shared" si="57"/>
        <v>0</v>
      </c>
      <c r="P303" s="212">
        <f t="shared" si="51"/>
        <v>0</v>
      </c>
      <c r="Q303">
        <f t="shared" si="52"/>
        <v>1778123.3156349042</v>
      </c>
      <c r="X303" s="216">
        <f t="shared" si="58"/>
        <v>24</v>
      </c>
      <c r="Y303">
        <f t="shared" si="53"/>
        <v>0</v>
      </c>
    </row>
    <row r="304" spans="1:25" x14ac:dyDescent="0.2">
      <c r="A304" s="204">
        <f>IF(MOD(COUNT($A$10:A303),12)=0,A303+1,A303)</f>
        <v>25</v>
      </c>
      <c r="B304" s="218">
        <f t="shared" si="54"/>
        <v>7</v>
      </c>
      <c r="C304" s="218">
        <f t="shared" si="48"/>
        <v>1</v>
      </c>
      <c r="D304" s="208">
        <f>IF(MOD(COUNT($D$10:D303),6)=0,D303+1,D303)</f>
        <v>50</v>
      </c>
      <c r="E304" s="208">
        <f>IF(MOD(COUNT($E$10:E303),3)=0,E303+1,E303)</f>
        <v>99</v>
      </c>
      <c r="F304" s="208">
        <f>IF(MOD(COUNT($F$10:F303),1)=0,F303+1,F303)</f>
        <v>295</v>
      </c>
      <c r="G304" s="204">
        <f>IFERROR(IF(C304=1,VLOOKUP(A304,Output!$A$27:$AB$137,28,FALSE)/AnnuityMode,0),0)</f>
        <v>0</v>
      </c>
      <c r="H304" s="220">
        <f>IFERROR(IF(AND(MIN(A304&gt;25,Age+A304&gt;=85),B304=12),VLOOKUP(A304,Output!$A$27:$AE$137,31,FALSE),0),0)</f>
        <v>0</v>
      </c>
      <c r="I304" s="221">
        <f>IFERROR(IF(AND(MIN(A304&gt;15,A304+Age&gt;=70),C304=1),VLOOKUP(A304,Output!$A$27:$AF$137,32,FALSE)*VLOOKUP('SV calc_ignore'!A304,Output!$A$27:$AG$137,33,FALSE)/IF(AnnuityMode=2,2,IF(AnnuityMode=4,4,IF(AnnuityMode=12,12,1))),0),0)</f>
        <v>20833.333333333332</v>
      </c>
      <c r="J304" s="227">
        <f t="shared" si="49"/>
        <v>0</v>
      </c>
      <c r="K304" s="209">
        <f t="shared" si="55"/>
        <v>0</v>
      </c>
      <c r="L304" s="209">
        <f t="shared" si="50"/>
        <v>0</v>
      </c>
      <c r="M304" s="210">
        <f t="shared" si="59"/>
        <v>0</v>
      </c>
      <c r="N304" s="211">
        <f t="shared" si="56"/>
        <v>0</v>
      </c>
      <c r="O304" s="194">
        <f t="shared" si="57"/>
        <v>0</v>
      </c>
      <c r="P304" s="212">
        <f t="shared" si="51"/>
        <v>0</v>
      </c>
      <c r="Q304">
        <f t="shared" si="52"/>
        <v>1769277.324257913</v>
      </c>
      <c r="X304" s="216">
        <f t="shared" si="58"/>
        <v>24</v>
      </c>
      <c r="Y304">
        <f t="shared" si="53"/>
        <v>0</v>
      </c>
    </row>
    <row r="305" spans="1:25" x14ac:dyDescent="0.2">
      <c r="A305" s="204">
        <f>IF(MOD(COUNT($A$10:A304),12)=0,A304+1,A304)</f>
        <v>25</v>
      </c>
      <c r="B305" s="218">
        <f t="shared" si="54"/>
        <v>8</v>
      </c>
      <c r="C305" s="218">
        <f t="shared" si="48"/>
        <v>1</v>
      </c>
      <c r="D305" s="208">
        <f>IF(MOD(COUNT($D$10:D304),6)=0,D304+1,D304)</f>
        <v>50</v>
      </c>
      <c r="E305" s="208">
        <f>IF(MOD(COUNT($E$10:E304),3)=0,E304+1,E304)</f>
        <v>99</v>
      </c>
      <c r="F305" s="208">
        <f>IF(MOD(COUNT($F$10:F304),1)=0,F304+1,F304)</f>
        <v>296</v>
      </c>
      <c r="G305" s="204">
        <f>IFERROR(IF(C305=1,VLOOKUP(A305,Output!$A$27:$AB$137,28,FALSE)/AnnuityMode,0),0)</f>
        <v>0</v>
      </c>
      <c r="H305" s="220">
        <f>IFERROR(IF(AND(MIN(A305&gt;25,Age+A305&gt;=85),B305=12),VLOOKUP(A305,Output!$A$27:$AE$137,31,FALSE),0),0)</f>
        <v>0</v>
      </c>
      <c r="I305" s="221">
        <f>IFERROR(IF(AND(MIN(A305&gt;15,A305+Age&gt;=70),C305=1),VLOOKUP(A305,Output!$A$27:$AF$137,32,FALSE)*VLOOKUP('SV calc_ignore'!A305,Output!$A$27:$AG$137,33,FALSE)/IF(AnnuityMode=2,2,IF(AnnuityMode=4,4,IF(AnnuityMode=12,12,1))),0),0)</f>
        <v>20833.333333333332</v>
      </c>
      <c r="J305" s="227">
        <f t="shared" si="49"/>
        <v>0</v>
      </c>
      <c r="K305" s="209">
        <f t="shared" si="55"/>
        <v>0</v>
      </c>
      <c r="L305" s="209">
        <f t="shared" si="50"/>
        <v>0</v>
      </c>
      <c r="M305" s="210">
        <f t="shared" si="59"/>
        <v>0</v>
      </c>
      <c r="N305" s="211">
        <f t="shared" si="56"/>
        <v>0</v>
      </c>
      <c r="O305" s="194">
        <f t="shared" si="57"/>
        <v>0</v>
      </c>
      <c r="P305" s="212">
        <f t="shared" si="51"/>
        <v>0</v>
      </c>
      <c r="Q305">
        <f t="shared" si="52"/>
        <v>1760370.9900094285</v>
      </c>
      <c r="X305" s="216">
        <f t="shared" si="58"/>
        <v>24</v>
      </c>
      <c r="Y305">
        <f t="shared" si="53"/>
        <v>0</v>
      </c>
    </row>
    <row r="306" spans="1:25" x14ac:dyDescent="0.2">
      <c r="A306" s="204">
        <f>IF(MOD(COUNT($A$10:A305),12)=0,A305+1,A305)</f>
        <v>25</v>
      </c>
      <c r="B306" s="218">
        <f t="shared" si="54"/>
        <v>9</v>
      </c>
      <c r="C306" s="218">
        <f t="shared" si="48"/>
        <v>1</v>
      </c>
      <c r="D306" s="208">
        <f>IF(MOD(COUNT($D$10:D305),6)=0,D305+1,D305)</f>
        <v>50</v>
      </c>
      <c r="E306" s="208">
        <f>IF(MOD(COUNT($E$10:E305),3)=0,E305+1,E305)</f>
        <v>99</v>
      </c>
      <c r="F306" s="208">
        <f>IF(MOD(COUNT($F$10:F305),1)=0,F305+1,F305)</f>
        <v>297</v>
      </c>
      <c r="G306" s="204">
        <f>IFERROR(IF(C306=1,VLOOKUP(A306,Output!$A$27:$AB$137,28,FALSE)/AnnuityMode,0),0)</f>
        <v>0</v>
      </c>
      <c r="H306" s="220">
        <f>IFERROR(IF(AND(MIN(A306&gt;25,Age+A306&gt;=85),B306=12),VLOOKUP(A306,Output!$A$27:$AE$137,31,FALSE),0),0)</f>
        <v>0</v>
      </c>
      <c r="I306" s="221">
        <f>IFERROR(IF(AND(MIN(A306&gt;15,A306+Age&gt;=70),C306=1),VLOOKUP(A306,Output!$A$27:$AF$137,32,FALSE)*VLOOKUP('SV calc_ignore'!A306,Output!$A$27:$AG$137,33,FALSE)/IF(AnnuityMode=2,2,IF(AnnuityMode=4,4,IF(AnnuityMode=12,12,1))),0),0)</f>
        <v>20833.333333333332</v>
      </c>
      <c r="J306" s="227">
        <f t="shared" si="49"/>
        <v>0</v>
      </c>
      <c r="K306" s="209">
        <f t="shared" si="55"/>
        <v>0</v>
      </c>
      <c r="L306" s="209">
        <f t="shared" si="50"/>
        <v>0</v>
      </c>
      <c r="M306" s="210">
        <f t="shared" si="59"/>
        <v>0</v>
      </c>
      <c r="N306" s="211">
        <f t="shared" si="56"/>
        <v>0</v>
      </c>
      <c r="O306" s="194">
        <f t="shared" si="57"/>
        <v>0</v>
      </c>
      <c r="P306" s="212">
        <f t="shared" si="51"/>
        <v>0</v>
      </c>
      <c r="Q306">
        <f t="shared" si="52"/>
        <v>1751403.9012609527</v>
      </c>
      <c r="X306" s="216">
        <f t="shared" si="58"/>
        <v>24</v>
      </c>
      <c r="Y306">
        <f t="shared" si="53"/>
        <v>0</v>
      </c>
    </row>
    <row r="307" spans="1:25" x14ac:dyDescent="0.2">
      <c r="A307" s="204">
        <f>IF(MOD(COUNT($A$10:A306),12)=0,A306+1,A306)</f>
        <v>25</v>
      </c>
      <c r="B307" s="218">
        <f t="shared" si="54"/>
        <v>10</v>
      </c>
      <c r="C307" s="218">
        <f t="shared" si="48"/>
        <v>1</v>
      </c>
      <c r="D307" s="208">
        <f>IF(MOD(COUNT($D$10:D306),6)=0,D306+1,D306)</f>
        <v>50</v>
      </c>
      <c r="E307" s="208">
        <f>IF(MOD(COUNT($E$10:E306),3)=0,E306+1,E306)</f>
        <v>100</v>
      </c>
      <c r="F307" s="208">
        <f>IF(MOD(COUNT($F$10:F306),1)=0,F306+1,F306)</f>
        <v>298</v>
      </c>
      <c r="G307" s="204">
        <f>IFERROR(IF(C307=1,VLOOKUP(A307,Output!$A$27:$AB$137,28,FALSE)/AnnuityMode,0),0)</f>
        <v>0</v>
      </c>
      <c r="H307" s="220">
        <f>IFERROR(IF(AND(MIN(A307&gt;25,Age+A307&gt;=85),B307=12),VLOOKUP(A307,Output!$A$27:$AE$137,31,FALSE),0),0)</f>
        <v>0</v>
      </c>
      <c r="I307" s="221">
        <f>IFERROR(IF(AND(MIN(A307&gt;15,A307+Age&gt;=70),C307=1),VLOOKUP(A307,Output!$A$27:$AF$137,32,FALSE)*VLOOKUP('SV calc_ignore'!A307,Output!$A$27:$AG$137,33,FALSE)/IF(AnnuityMode=2,2,IF(AnnuityMode=4,4,IF(AnnuityMode=12,12,1))),0),0)</f>
        <v>20833.333333333332</v>
      </c>
      <c r="J307" s="227">
        <f t="shared" si="49"/>
        <v>0</v>
      </c>
      <c r="K307" s="209">
        <f t="shared" si="55"/>
        <v>0</v>
      </c>
      <c r="L307" s="209">
        <f t="shared" si="50"/>
        <v>0</v>
      </c>
      <c r="M307" s="210">
        <f t="shared" si="59"/>
        <v>0</v>
      </c>
      <c r="N307" s="211">
        <f t="shared" si="56"/>
        <v>0</v>
      </c>
      <c r="O307" s="194">
        <f t="shared" si="57"/>
        <v>0</v>
      </c>
      <c r="P307" s="212">
        <f t="shared" si="51"/>
        <v>0</v>
      </c>
      <c r="Q307">
        <f t="shared" si="52"/>
        <v>1742375.6435760672</v>
      </c>
      <c r="X307" s="216">
        <f t="shared" si="58"/>
        <v>24</v>
      </c>
      <c r="Y307">
        <f t="shared" si="53"/>
        <v>0</v>
      </c>
    </row>
    <row r="308" spans="1:25" x14ac:dyDescent="0.2">
      <c r="A308" s="204">
        <f>IF(MOD(COUNT($A$10:A307),12)=0,A307+1,A307)</f>
        <v>25</v>
      </c>
      <c r="B308" s="218">
        <f t="shared" si="54"/>
        <v>11</v>
      </c>
      <c r="C308" s="218">
        <f t="shared" si="48"/>
        <v>1</v>
      </c>
      <c r="D308" s="208">
        <f>IF(MOD(COUNT($D$10:D307),6)=0,D307+1,D307)</f>
        <v>50</v>
      </c>
      <c r="E308" s="208">
        <f>IF(MOD(COUNT($E$10:E307),3)=0,E307+1,E307)</f>
        <v>100</v>
      </c>
      <c r="F308" s="208">
        <f>IF(MOD(COUNT($F$10:F307),1)=0,F307+1,F307)</f>
        <v>299</v>
      </c>
      <c r="G308" s="204">
        <f>IFERROR(IF(C308=1,VLOOKUP(A308,Output!$A$27:$AB$137,28,FALSE)/AnnuityMode,0),0)</f>
        <v>0</v>
      </c>
      <c r="H308" s="220">
        <f>IFERROR(IF(AND(MIN(A308&gt;25,Age+A308&gt;=85),B308=12),VLOOKUP(A308,Output!$A$27:$AE$137,31,FALSE),0),0)</f>
        <v>0</v>
      </c>
      <c r="I308" s="221">
        <f>IFERROR(IF(AND(MIN(A308&gt;15,A308+Age&gt;=70),C308=1),VLOOKUP(A308,Output!$A$27:$AF$137,32,FALSE)*VLOOKUP('SV calc_ignore'!A308,Output!$A$27:$AG$137,33,FALSE)/IF(AnnuityMode=2,2,IF(AnnuityMode=4,4,IF(AnnuityMode=12,12,1))),0),0)</f>
        <v>20833.333333333332</v>
      </c>
      <c r="J308" s="227">
        <f t="shared" si="49"/>
        <v>0</v>
      </c>
      <c r="K308" s="209">
        <f t="shared" si="55"/>
        <v>0</v>
      </c>
      <c r="L308" s="209">
        <f t="shared" si="50"/>
        <v>0</v>
      </c>
      <c r="M308" s="210">
        <f t="shared" si="59"/>
        <v>0</v>
      </c>
      <c r="N308" s="211">
        <f t="shared" si="56"/>
        <v>0</v>
      </c>
      <c r="O308" s="194">
        <f t="shared" si="57"/>
        <v>0</v>
      </c>
      <c r="P308" s="212">
        <f t="shared" si="51"/>
        <v>0</v>
      </c>
      <c r="Q308">
        <f t="shared" si="52"/>
        <v>1733285.799691278</v>
      </c>
      <c r="X308" s="216">
        <f t="shared" si="58"/>
        <v>24</v>
      </c>
      <c r="Y308">
        <f t="shared" si="53"/>
        <v>0</v>
      </c>
    </row>
    <row r="309" spans="1:25" x14ac:dyDescent="0.2">
      <c r="A309" s="204">
        <f>IF(MOD(COUNT($A$10:A308),12)=0,A308+1,A308)</f>
        <v>25</v>
      </c>
      <c r="B309" s="218">
        <f t="shared" si="54"/>
        <v>12</v>
      </c>
      <c r="C309" s="218">
        <f t="shared" si="48"/>
        <v>1</v>
      </c>
      <c r="D309" s="208">
        <f>IF(MOD(COUNT($D$10:D308),6)=0,D308+1,D308)</f>
        <v>50</v>
      </c>
      <c r="E309" s="208">
        <f>IF(MOD(COUNT($E$10:E308),3)=0,E308+1,E308)</f>
        <v>100</v>
      </c>
      <c r="F309" s="208">
        <f>IF(MOD(COUNT($F$10:F308),1)=0,F308+1,F308)</f>
        <v>300</v>
      </c>
      <c r="G309" s="204">
        <f>IFERROR(IF(C309=1,VLOOKUP(A309,Output!$A$27:$AB$137,28,FALSE)/AnnuityMode,0),0)</f>
        <v>0</v>
      </c>
      <c r="H309" s="220">
        <f>IFERROR(IF(AND(MIN(A309&gt;25,Age+A309&gt;=85),B309=12),VLOOKUP(A309,Output!$A$27:$AE$137,31,FALSE),0),0)</f>
        <v>0</v>
      </c>
      <c r="I309" s="221">
        <f>IFERROR(IF(AND(MIN(A309&gt;15,A309+Age&gt;=70),C309=1),VLOOKUP(A309,Output!$A$27:$AF$137,32,FALSE)*VLOOKUP('SV calc_ignore'!A309,Output!$A$27:$AG$137,33,FALSE)/IF(AnnuityMode=2,2,IF(AnnuityMode=4,4,IF(AnnuityMode=12,12,1))),0),0)</f>
        <v>20833.333333333332</v>
      </c>
      <c r="J309" s="227">
        <f t="shared" si="49"/>
        <v>0</v>
      </c>
      <c r="K309" s="209">
        <f t="shared" si="55"/>
        <v>0</v>
      </c>
      <c r="L309" s="209">
        <f t="shared" si="50"/>
        <v>0</v>
      </c>
      <c r="M309" s="210">
        <f t="shared" si="59"/>
        <v>0</v>
      </c>
      <c r="N309" s="211">
        <f t="shared" si="56"/>
        <v>0</v>
      </c>
      <c r="O309" s="194">
        <f t="shared" si="57"/>
        <v>0</v>
      </c>
      <c r="P309" s="212">
        <f t="shared" si="51"/>
        <v>0</v>
      </c>
      <c r="Q309">
        <f t="shared" si="52"/>
        <v>1724133.9494967312</v>
      </c>
      <c r="X309" s="216">
        <f t="shared" si="58"/>
        <v>24</v>
      </c>
      <c r="Y309">
        <f t="shared" si="53"/>
        <v>0</v>
      </c>
    </row>
    <row r="310" spans="1:25" x14ac:dyDescent="0.2">
      <c r="A310" s="204">
        <f>IF(MOD(COUNT($A$10:A309),12)=0,A309+1,A309)</f>
        <v>26</v>
      </c>
      <c r="B310" s="218">
        <f t="shared" si="54"/>
        <v>1</v>
      </c>
      <c r="C310" s="218">
        <f t="shared" si="48"/>
        <v>1</v>
      </c>
      <c r="D310" s="208">
        <f>IF(MOD(COUNT($D$10:D309),6)=0,D309+1,D309)</f>
        <v>51</v>
      </c>
      <c r="E310" s="208">
        <f>IF(MOD(COUNT($E$10:E309),3)=0,E309+1,E309)</f>
        <v>101</v>
      </c>
      <c r="F310" s="208">
        <f>IF(MOD(COUNT($F$10:F309),1)=0,F309+1,F309)</f>
        <v>301</v>
      </c>
      <c r="G310" s="204">
        <f>IFERROR(IF(C310=1,VLOOKUP(A310,Output!$A$27:$AB$137,28,FALSE)/AnnuityMode,0),0)</f>
        <v>0</v>
      </c>
      <c r="H310" s="220">
        <f>IFERROR(IF(AND(MIN(A310&gt;25,Age+A310&gt;=85),B310=12),VLOOKUP(A310,Output!$A$27:$AE$137,31,FALSE),0),0)</f>
        <v>0</v>
      </c>
      <c r="I310" s="221">
        <f>IFERROR(IF(AND(MIN(A310&gt;15,A310+Age&gt;=70),C310=1),VLOOKUP(A310,Output!$A$27:$AF$137,32,FALSE)*VLOOKUP('SV calc_ignore'!A310,Output!$A$27:$AG$137,33,FALSE)/IF(AnnuityMode=2,2,IF(AnnuityMode=4,4,IF(AnnuityMode=12,12,1))),0),0)</f>
        <v>20833.333333333332</v>
      </c>
      <c r="J310" s="227">
        <f t="shared" si="49"/>
        <v>0</v>
      </c>
      <c r="K310" s="209">
        <f t="shared" si="55"/>
        <v>0</v>
      </c>
      <c r="L310" s="209">
        <f t="shared" si="50"/>
        <v>0</v>
      </c>
      <c r="M310" s="210">
        <f t="shared" si="59"/>
        <v>0</v>
      </c>
      <c r="N310" s="211">
        <f t="shared" si="56"/>
        <v>0</v>
      </c>
      <c r="O310" s="194">
        <f t="shared" si="57"/>
        <v>0</v>
      </c>
      <c r="P310" s="212">
        <f t="shared" si="51"/>
        <v>0</v>
      </c>
      <c r="Q310">
        <f t="shared" si="52"/>
        <v>1714919.6700167959</v>
      </c>
      <c r="X310" s="216">
        <f t="shared" si="58"/>
        <v>25</v>
      </c>
      <c r="Y310">
        <f t="shared" si="53"/>
        <v>0</v>
      </c>
    </row>
    <row r="311" spans="1:25" x14ac:dyDescent="0.2">
      <c r="A311" s="204">
        <f>IF(MOD(COUNT($A$10:A310),12)=0,A310+1,A310)</f>
        <v>26</v>
      </c>
      <c r="B311" s="218">
        <f t="shared" si="54"/>
        <v>2</v>
      </c>
      <c r="C311" s="218">
        <f t="shared" si="48"/>
        <v>1</v>
      </c>
      <c r="D311" s="208">
        <f>IF(MOD(COUNT($D$10:D310),6)=0,D310+1,D310)</f>
        <v>51</v>
      </c>
      <c r="E311" s="208">
        <f>IF(MOD(COUNT($E$10:E310),3)=0,E310+1,E310)</f>
        <v>101</v>
      </c>
      <c r="F311" s="208">
        <f>IF(MOD(COUNT($F$10:F310),1)=0,F310+1,F310)</f>
        <v>302</v>
      </c>
      <c r="G311" s="204">
        <f>IFERROR(IF(C311=1,VLOOKUP(A311,Output!$A$27:$AB$137,28,FALSE)/AnnuityMode,0),0)</f>
        <v>0</v>
      </c>
      <c r="H311" s="220">
        <f>IFERROR(IF(AND(MIN(A311&gt;25,Age+A311&gt;=85),B311=12),VLOOKUP(A311,Output!$A$27:$AE$137,31,FALSE),0),0)</f>
        <v>0</v>
      </c>
      <c r="I311" s="221">
        <f>IFERROR(IF(AND(MIN(A311&gt;15,A311+Age&gt;=70),C311=1),VLOOKUP(A311,Output!$A$27:$AF$137,32,FALSE)*VLOOKUP('SV calc_ignore'!A311,Output!$A$27:$AG$137,33,FALSE)/IF(AnnuityMode=2,2,IF(AnnuityMode=4,4,IF(AnnuityMode=12,12,1))),0),0)</f>
        <v>20833.333333333332</v>
      </c>
      <c r="J311" s="227">
        <f t="shared" si="49"/>
        <v>0</v>
      </c>
      <c r="K311" s="209">
        <f t="shared" si="55"/>
        <v>0</v>
      </c>
      <c r="L311" s="209">
        <f t="shared" si="50"/>
        <v>0</v>
      </c>
      <c r="M311" s="210">
        <f t="shared" si="59"/>
        <v>0</v>
      </c>
      <c r="N311" s="211">
        <f t="shared" si="56"/>
        <v>0</v>
      </c>
      <c r="O311" s="194">
        <f t="shared" si="57"/>
        <v>0</v>
      </c>
      <c r="P311" s="212">
        <f t="shared" si="51"/>
        <v>0</v>
      </c>
      <c r="Q311">
        <f t="shared" si="52"/>
        <v>1705642.535390516</v>
      </c>
      <c r="X311" s="216">
        <f t="shared" si="58"/>
        <v>25</v>
      </c>
      <c r="Y311">
        <f t="shared" si="53"/>
        <v>0</v>
      </c>
    </row>
    <row r="312" spans="1:25" x14ac:dyDescent="0.2">
      <c r="A312" s="204">
        <f>IF(MOD(COUNT($A$10:A311),12)=0,A311+1,A311)</f>
        <v>26</v>
      </c>
      <c r="B312" s="218">
        <f t="shared" si="54"/>
        <v>3</v>
      </c>
      <c r="C312" s="218">
        <f t="shared" si="48"/>
        <v>1</v>
      </c>
      <c r="D312" s="208">
        <f>IF(MOD(COUNT($D$10:D311),6)=0,D311+1,D311)</f>
        <v>51</v>
      </c>
      <c r="E312" s="208">
        <f>IF(MOD(COUNT($E$10:E311),3)=0,E311+1,E311)</f>
        <v>101</v>
      </c>
      <c r="F312" s="208">
        <f>IF(MOD(COUNT($F$10:F311),1)=0,F311+1,F311)</f>
        <v>303</v>
      </c>
      <c r="G312" s="204">
        <f>IFERROR(IF(C312=1,VLOOKUP(A312,Output!$A$27:$AB$137,28,FALSE)/AnnuityMode,0),0)</f>
        <v>0</v>
      </c>
      <c r="H312" s="220">
        <f>IFERROR(IF(AND(MIN(A312&gt;25,Age+A312&gt;=85),B312=12),VLOOKUP(A312,Output!$A$27:$AE$137,31,FALSE),0),0)</f>
        <v>0</v>
      </c>
      <c r="I312" s="221">
        <f>IFERROR(IF(AND(MIN(A312&gt;15,A312+Age&gt;=70),C312=1),VLOOKUP(A312,Output!$A$27:$AF$137,32,FALSE)*VLOOKUP('SV calc_ignore'!A312,Output!$A$27:$AG$137,33,FALSE)/IF(AnnuityMode=2,2,IF(AnnuityMode=4,4,IF(AnnuityMode=12,12,1))),0),0)</f>
        <v>20833.333333333332</v>
      </c>
      <c r="J312" s="227">
        <f t="shared" si="49"/>
        <v>0</v>
      </c>
      <c r="K312" s="209">
        <f t="shared" si="55"/>
        <v>0</v>
      </c>
      <c r="L312" s="209">
        <f t="shared" si="50"/>
        <v>0</v>
      </c>
      <c r="M312" s="210">
        <f t="shared" si="59"/>
        <v>0</v>
      </c>
      <c r="N312" s="211">
        <f t="shared" si="56"/>
        <v>0</v>
      </c>
      <c r="O312" s="194">
        <f t="shared" si="57"/>
        <v>0</v>
      </c>
      <c r="P312" s="212">
        <f t="shared" si="51"/>
        <v>0</v>
      </c>
      <c r="Q312">
        <f t="shared" si="52"/>
        <v>1696302.1168519279</v>
      </c>
      <c r="X312" s="216">
        <f t="shared" si="58"/>
        <v>25</v>
      </c>
      <c r="Y312">
        <f t="shared" si="53"/>
        <v>0</v>
      </c>
    </row>
    <row r="313" spans="1:25" x14ac:dyDescent="0.2">
      <c r="A313" s="204">
        <f>IF(MOD(COUNT($A$10:A312),12)=0,A312+1,A312)</f>
        <v>26</v>
      </c>
      <c r="B313" s="218">
        <f t="shared" si="54"/>
        <v>4</v>
      </c>
      <c r="C313" s="218">
        <f t="shared" si="48"/>
        <v>1</v>
      </c>
      <c r="D313" s="208">
        <f>IF(MOD(COUNT($D$10:D312),6)=0,D312+1,D312)</f>
        <v>51</v>
      </c>
      <c r="E313" s="208">
        <f>IF(MOD(COUNT($E$10:E312),3)=0,E312+1,E312)</f>
        <v>102</v>
      </c>
      <c r="F313" s="208">
        <f>IF(MOD(COUNT($F$10:F312),1)=0,F312+1,F312)</f>
        <v>304</v>
      </c>
      <c r="G313" s="204">
        <f>IFERROR(IF(C313=1,VLOOKUP(A313,Output!$A$27:$AB$137,28,FALSE)/AnnuityMode,0),0)</f>
        <v>0</v>
      </c>
      <c r="H313" s="220">
        <f>IFERROR(IF(AND(MIN(A313&gt;25,Age+A313&gt;=85),B313=12),VLOOKUP(A313,Output!$A$27:$AE$137,31,FALSE),0),0)</f>
        <v>0</v>
      </c>
      <c r="I313" s="221">
        <f>IFERROR(IF(AND(MIN(A313&gt;15,A313+Age&gt;=70),C313=1),VLOOKUP(A313,Output!$A$27:$AF$137,32,FALSE)*VLOOKUP('SV calc_ignore'!A313,Output!$A$27:$AG$137,33,FALSE)/IF(AnnuityMode=2,2,IF(AnnuityMode=4,4,IF(AnnuityMode=12,12,1))),0),0)</f>
        <v>20833.333333333332</v>
      </c>
      <c r="J313" s="227">
        <f t="shared" si="49"/>
        <v>0</v>
      </c>
      <c r="K313" s="209">
        <f t="shared" si="55"/>
        <v>0</v>
      </c>
      <c r="L313" s="209">
        <f t="shared" si="50"/>
        <v>0</v>
      </c>
      <c r="M313" s="210">
        <f t="shared" si="59"/>
        <v>0</v>
      </c>
      <c r="N313" s="211">
        <f t="shared" si="56"/>
        <v>0</v>
      </c>
      <c r="O313" s="194">
        <f t="shared" si="57"/>
        <v>0</v>
      </c>
      <c r="P313" s="212">
        <f t="shared" si="51"/>
        <v>0</v>
      </c>
      <c r="Q313">
        <f t="shared" si="52"/>
        <v>1686897.9827102437</v>
      </c>
      <c r="X313" s="216">
        <f t="shared" si="58"/>
        <v>25</v>
      </c>
      <c r="Y313">
        <f t="shared" si="53"/>
        <v>0</v>
      </c>
    </row>
    <row r="314" spans="1:25" x14ac:dyDescent="0.2">
      <c r="A314" s="204">
        <f>IF(MOD(COUNT($A$10:A313),12)=0,A313+1,A313)</f>
        <v>26</v>
      </c>
      <c r="B314" s="218">
        <f t="shared" si="54"/>
        <v>5</v>
      </c>
      <c r="C314" s="218">
        <f t="shared" si="48"/>
        <v>1</v>
      </c>
      <c r="D314" s="208">
        <f>IF(MOD(COUNT($D$10:D313),6)=0,D313+1,D313)</f>
        <v>51</v>
      </c>
      <c r="E314" s="208">
        <f>IF(MOD(COUNT($E$10:E313),3)=0,E313+1,E313)</f>
        <v>102</v>
      </c>
      <c r="F314" s="208">
        <f>IF(MOD(COUNT($F$10:F313),1)=0,F313+1,F313)</f>
        <v>305</v>
      </c>
      <c r="G314" s="204">
        <f>IFERROR(IF(C314=1,VLOOKUP(A314,Output!$A$27:$AB$137,28,FALSE)/AnnuityMode,0),0)</f>
        <v>0</v>
      </c>
      <c r="H314" s="220">
        <f>IFERROR(IF(AND(MIN(A314&gt;25,Age+A314&gt;=85),B314=12),VLOOKUP(A314,Output!$A$27:$AE$137,31,FALSE),0),0)</f>
        <v>0</v>
      </c>
      <c r="I314" s="221">
        <f>IFERROR(IF(AND(MIN(A314&gt;15,A314+Age&gt;=70),C314=1),VLOOKUP(A314,Output!$A$27:$AF$137,32,FALSE)*VLOOKUP('SV calc_ignore'!A314,Output!$A$27:$AG$137,33,FALSE)/IF(AnnuityMode=2,2,IF(AnnuityMode=4,4,IF(AnnuityMode=12,12,1))),0),0)</f>
        <v>20833.333333333332</v>
      </c>
      <c r="J314" s="227">
        <f t="shared" si="49"/>
        <v>0</v>
      </c>
      <c r="K314" s="209">
        <f t="shared" si="55"/>
        <v>0</v>
      </c>
      <c r="L314" s="209">
        <f t="shared" si="50"/>
        <v>0</v>
      </c>
      <c r="M314" s="210">
        <f t="shared" si="59"/>
        <v>0</v>
      </c>
      <c r="N314" s="211">
        <f t="shared" si="56"/>
        <v>0</v>
      </c>
      <c r="O314" s="194">
        <f t="shared" si="57"/>
        <v>0</v>
      </c>
      <c r="P314" s="212">
        <f t="shared" si="51"/>
        <v>0</v>
      </c>
      <c r="Q314">
        <f t="shared" si="52"/>
        <v>1677429.6983298992</v>
      </c>
      <c r="X314" s="216">
        <f t="shared" si="58"/>
        <v>25</v>
      </c>
      <c r="Y314">
        <f t="shared" si="53"/>
        <v>0</v>
      </c>
    </row>
    <row r="315" spans="1:25" x14ac:dyDescent="0.2">
      <c r="A315" s="204">
        <f>IF(MOD(COUNT($A$10:A314),12)=0,A314+1,A314)</f>
        <v>26</v>
      </c>
      <c r="B315" s="218">
        <f t="shared" si="54"/>
        <v>6</v>
      </c>
      <c r="C315" s="218">
        <f t="shared" si="48"/>
        <v>1</v>
      </c>
      <c r="D315" s="208">
        <f>IF(MOD(COUNT($D$10:D314),6)=0,D314+1,D314)</f>
        <v>51</v>
      </c>
      <c r="E315" s="208">
        <f>IF(MOD(COUNT($E$10:E314),3)=0,E314+1,E314)</f>
        <v>102</v>
      </c>
      <c r="F315" s="208">
        <f>IF(MOD(COUNT($F$10:F314),1)=0,F314+1,F314)</f>
        <v>306</v>
      </c>
      <c r="G315" s="204">
        <f>IFERROR(IF(C315=1,VLOOKUP(A315,Output!$A$27:$AB$137,28,FALSE)/AnnuityMode,0),0)</f>
        <v>0</v>
      </c>
      <c r="H315" s="220">
        <f>IFERROR(IF(AND(MIN(A315&gt;25,Age+A315&gt;=85),B315=12),VLOOKUP(A315,Output!$A$27:$AE$137,31,FALSE),0),0)</f>
        <v>0</v>
      </c>
      <c r="I315" s="221">
        <f>IFERROR(IF(AND(MIN(A315&gt;15,A315+Age&gt;=70),C315=1),VLOOKUP(A315,Output!$A$27:$AF$137,32,FALSE)*VLOOKUP('SV calc_ignore'!A315,Output!$A$27:$AG$137,33,FALSE)/IF(AnnuityMode=2,2,IF(AnnuityMode=4,4,IF(AnnuityMode=12,12,1))),0),0)</f>
        <v>20833.333333333332</v>
      </c>
      <c r="J315" s="227">
        <f t="shared" si="49"/>
        <v>0</v>
      </c>
      <c r="K315" s="209">
        <f t="shared" si="55"/>
        <v>0</v>
      </c>
      <c r="L315" s="209">
        <f t="shared" si="50"/>
        <v>0</v>
      </c>
      <c r="M315" s="210">
        <f t="shared" si="59"/>
        <v>0</v>
      </c>
      <c r="N315" s="211">
        <f t="shared" si="56"/>
        <v>0</v>
      </c>
      <c r="O315" s="194">
        <f t="shared" si="57"/>
        <v>0</v>
      </c>
      <c r="P315" s="212">
        <f t="shared" si="51"/>
        <v>0</v>
      </c>
      <c r="Q315">
        <f t="shared" si="52"/>
        <v>1667896.8261104673</v>
      </c>
      <c r="X315" s="216">
        <f t="shared" si="58"/>
        <v>25</v>
      </c>
      <c r="Y315">
        <f t="shared" si="53"/>
        <v>0</v>
      </c>
    </row>
    <row r="316" spans="1:25" x14ac:dyDescent="0.2">
      <c r="A316" s="204">
        <f>IF(MOD(COUNT($A$10:A315),12)=0,A315+1,A315)</f>
        <v>26</v>
      </c>
      <c r="B316" s="218">
        <f t="shared" si="54"/>
        <v>7</v>
      </c>
      <c r="C316" s="218">
        <f t="shared" si="48"/>
        <v>1</v>
      </c>
      <c r="D316" s="208">
        <f>IF(MOD(COUNT($D$10:D315),6)=0,D315+1,D315)</f>
        <v>52</v>
      </c>
      <c r="E316" s="208">
        <f>IF(MOD(COUNT($E$10:E315),3)=0,E315+1,E315)</f>
        <v>103</v>
      </c>
      <c r="F316" s="208">
        <f>IF(MOD(COUNT($F$10:F315),1)=0,F315+1,F315)</f>
        <v>307</v>
      </c>
      <c r="G316" s="204">
        <f>IFERROR(IF(C316=1,VLOOKUP(A316,Output!$A$27:$AB$137,28,FALSE)/AnnuityMode,0),0)</f>
        <v>0</v>
      </c>
      <c r="H316" s="220">
        <f>IFERROR(IF(AND(MIN(A316&gt;25,Age+A316&gt;=85),B316=12),VLOOKUP(A316,Output!$A$27:$AE$137,31,FALSE),0),0)</f>
        <v>0</v>
      </c>
      <c r="I316" s="221">
        <f>IFERROR(IF(AND(MIN(A316&gt;15,A316+Age&gt;=70),C316=1),VLOOKUP(A316,Output!$A$27:$AF$137,32,FALSE)*VLOOKUP('SV calc_ignore'!A316,Output!$A$27:$AG$137,33,FALSE)/IF(AnnuityMode=2,2,IF(AnnuityMode=4,4,IF(AnnuityMode=12,12,1))),0),0)</f>
        <v>20833.333333333332</v>
      </c>
      <c r="J316" s="227">
        <f t="shared" si="49"/>
        <v>0</v>
      </c>
      <c r="K316" s="209">
        <f t="shared" si="55"/>
        <v>0</v>
      </c>
      <c r="L316" s="209">
        <f t="shared" si="50"/>
        <v>0</v>
      </c>
      <c r="M316" s="210">
        <f t="shared" si="59"/>
        <v>0</v>
      </c>
      <c r="N316" s="211">
        <f t="shared" si="56"/>
        <v>0</v>
      </c>
      <c r="O316" s="194">
        <f t="shared" si="57"/>
        <v>0</v>
      </c>
      <c r="P316" s="212">
        <f t="shared" si="51"/>
        <v>0</v>
      </c>
      <c r="Q316">
        <f t="shared" si="52"/>
        <v>1658298.925466432</v>
      </c>
      <c r="X316" s="216">
        <f t="shared" si="58"/>
        <v>25</v>
      </c>
      <c r="Y316">
        <f t="shared" si="53"/>
        <v>0</v>
      </c>
    </row>
    <row r="317" spans="1:25" x14ac:dyDescent="0.2">
      <c r="A317" s="204">
        <f>IF(MOD(COUNT($A$10:A316),12)=0,A316+1,A316)</f>
        <v>26</v>
      </c>
      <c r="B317" s="218">
        <f t="shared" si="54"/>
        <v>8</v>
      </c>
      <c r="C317" s="218">
        <f t="shared" si="48"/>
        <v>1</v>
      </c>
      <c r="D317" s="208">
        <f>IF(MOD(COUNT($D$10:D316),6)=0,D316+1,D316)</f>
        <v>52</v>
      </c>
      <c r="E317" s="208">
        <f>IF(MOD(COUNT($E$10:E316),3)=0,E316+1,E316)</f>
        <v>103</v>
      </c>
      <c r="F317" s="208">
        <f>IF(MOD(COUNT($F$10:F316),1)=0,F316+1,F316)</f>
        <v>308</v>
      </c>
      <c r="G317" s="204">
        <f>IFERROR(IF(C317=1,VLOOKUP(A317,Output!$A$27:$AB$137,28,FALSE)/AnnuityMode,0),0)</f>
        <v>0</v>
      </c>
      <c r="H317" s="220">
        <f>IFERROR(IF(AND(MIN(A317&gt;25,Age+A317&gt;=85),B317=12),VLOOKUP(A317,Output!$A$27:$AE$137,31,FALSE),0),0)</f>
        <v>0</v>
      </c>
      <c r="I317" s="221">
        <f>IFERROR(IF(AND(MIN(A317&gt;15,A317+Age&gt;=70),C317=1),VLOOKUP(A317,Output!$A$27:$AF$137,32,FALSE)*VLOOKUP('SV calc_ignore'!A317,Output!$A$27:$AG$137,33,FALSE)/IF(AnnuityMode=2,2,IF(AnnuityMode=4,4,IF(AnnuityMode=12,12,1))),0),0)</f>
        <v>20833.333333333332</v>
      </c>
      <c r="J317" s="227">
        <f t="shared" si="49"/>
        <v>0</v>
      </c>
      <c r="K317" s="209">
        <f t="shared" si="55"/>
        <v>0</v>
      </c>
      <c r="L317" s="209">
        <f t="shared" si="50"/>
        <v>0</v>
      </c>
      <c r="M317" s="210">
        <f t="shared" si="59"/>
        <v>0</v>
      </c>
      <c r="N317" s="211">
        <f t="shared" si="56"/>
        <v>0</v>
      </c>
      <c r="O317" s="194">
        <f t="shared" si="57"/>
        <v>0</v>
      </c>
      <c r="P317" s="212">
        <f t="shared" si="51"/>
        <v>0</v>
      </c>
      <c r="Q317">
        <f t="shared" si="52"/>
        <v>1648635.5528068261</v>
      </c>
      <c r="X317" s="216">
        <f t="shared" si="58"/>
        <v>25</v>
      </c>
      <c r="Y317">
        <f t="shared" si="53"/>
        <v>0</v>
      </c>
    </row>
    <row r="318" spans="1:25" x14ac:dyDescent="0.2">
      <c r="A318" s="204">
        <f>IF(MOD(COUNT($A$10:A317),12)=0,A317+1,A317)</f>
        <v>26</v>
      </c>
      <c r="B318" s="218">
        <f t="shared" si="54"/>
        <v>9</v>
      </c>
      <c r="C318" s="218">
        <f t="shared" si="48"/>
        <v>1</v>
      </c>
      <c r="D318" s="208">
        <f>IF(MOD(COUNT($D$10:D317),6)=0,D317+1,D317)</f>
        <v>52</v>
      </c>
      <c r="E318" s="208">
        <f>IF(MOD(COUNT($E$10:E317),3)=0,E317+1,E317)</f>
        <v>103</v>
      </c>
      <c r="F318" s="208">
        <f>IF(MOD(COUNT($F$10:F317),1)=0,F317+1,F317)</f>
        <v>309</v>
      </c>
      <c r="G318" s="204">
        <f>IFERROR(IF(C318=1,VLOOKUP(A318,Output!$A$27:$AB$137,28,FALSE)/AnnuityMode,0),0)</f>
        <v>0</v>
      </c>
      <c r="H318" s="220">
        <f>IFERROR(IF(AND(MIN(A318&gt;25,Age+A318&gt;=85),B318=12),VLOOKUP(A318,Output!$A$27:$AE$137,31,FALSE),0),0)</f>
        <v>0</v>
      </c>
      <c r="I318" s="221">
        <f>IFERROR(IF(AND(MIN(A318&gt;15,A318+Age&gt;=70),C318=1),VLOOKUP(A318,Output!$A$27:$AF$137,32,FALSE)*VLOOKUP('SV calc_ignore'!A318,Output!$A$27:$AG$137,33,FALSE)/IF(AnnuityMode=2,2,IF(AnnuityMode=4,4,IF(AnnuityMode=12,12,1))),0),0)</f>
        <v>20833.333333333332</v>
      </c>
      <c r="J318" s="227">
        <f t="shared" si="49"/>
        <v>0</v>
      </c>
      <c r="K318" s="209">
        <f t="shared" si="55"/>
        <v>0</v>
      </c>
      <c r="L318" s="209">
        <f t="shared" si="50"/>
        <v>0</v>
      </c>
      <c r="M318" s="210">
        <f t="shared" si="59"/>
        <v>0</v>
      </c>
      <c r="N318" s="211">
        <f t="shared" si="56"/>
        <v>0</v>
      </c>
      <c r="O318" s="194">
        <f t="shared" si="57"/>
        <v>0</v>
      </c>
      <c r="P318" s="212">
        <f t="shared" si="51"/>
        <v>0</v>
      </c>
      <c r="Q318">
        <f t="shared" si="52"/>
        <v>1638906.2615147298</v>
      </c>
      <c r="X318" s="216">
        <f t="shared" si="58"/>
        <v>25</v>
      </c>
      <c r="Y318">
        <f t="shared" si="53"/>
        <v>0</v>
      </c>
    </row>
    <row r="319" spans="1:25" x14ac:dyDescent="0.2">
      <c r="A319" s="204">
        <f>IF(MOD(COUNT($A$10:A318),12)=0,A318+1,A318)</f>
        <v>26</v>
      </c>
      <c r="B319" s="218">
        <f t="shared" si="54"/>
        <v>10</v>
      </c>
      <c r="C319" s="218">
        <f t="shared" si="48"/>
        <v>1</v>
      </c>
      <c r="D319" s="208">
        <f>IF(MOD(COUNT($D$10:D318),6)=0,D318+1,D318)</f>
        <v>52</v>
      </c>
      <c r="E319" s="208">
        <f>IF(MOD(COUNT($E$10:E318),3)=0,E318+1,E318)</f>
        <v>104</v>
      </c>
      <c r="F319" s="208">
        <f>IF(MOD(COUNT($F$10:F318),1)=0,F318+1,F318)</f>
        <v>310</v>
      </c>
      <c r="G319" s="204">
        <f>IFERROR(IF(C319=1,VLOOKUP(A319,Output!$A$27:$AB$137,28,FALSE)/AnnuityMode,0),0)</f>
        <v>0</v>
      </c>
      <c r="H319" s="220">
        <f>IFERROR(IF(AND(MIN(A319&gt;25,Age+A319&gt;=85),B319=12),VLOOKUP(A319,Output!$A$27:$AE$137,31,FALSE),0),0)</f>
        <v>0</v>
      </c>
      <c r="I319" s="221">
        <f>IFERROR(IF(AND(MIN(A319&gt;15,A319+Age&gt;=70),C319=1),VLOOKUP(A319,Output!$A$27:$AF$137,32,FALSE)*VLOOKUP('SV calc_ignore'!A319,Output!$A$27:$AG$137,33,FALSE)/IF(AnnuityMode=2,2,IF(AnnuityMode=4,4,IF(AnnuityMode=12,12,1))),0),0)</f>
        <v>20833.333333333332</v>
      </c>
      <c r="J319" s="227">
        <f t="shared" si="49"/>
        <v>0</v>
      </c>
      <c r="K319" s="209">
        <f t="shared" si="55"/>
        <v>0</v>
      </c>
      <c r="L319" s="209">
        <f t="shared" si="50"/>
        <v>0</v>
      </c>
      <c r="M319" s="210">
        <f t="shared" si="59"/>
        <v>0</v>
      </c>
      <c r="N319" s="211">
        <f t="shared" si="56"/>
        <v>0</v>
      </c>
      <c r="O319" s="194">
        <f t="shared" si="57"/>
        <v>0</v>
      </c>
      <c r="P319" s="212">
        <f t="shared" si="51"/>
        <v>0</v>
      </c>
      <c r="Q319">
        <f t="shared" si="52"/>
        <v>1629110.601926629</v>
      </c>
      <c r="X319" s="216">
        <f t="shared" si="58"/>
        <v>25</v>
      </c>
      <c r="Y319">
        <f t="shared" si="53"/>
        <v>0</v>
      </c>
    </row>
    <row r="320" spans="1:25" x14ac:dyDescent="0.2">
      <c r="A320" s="204">
        <f>IF(MOD(COUNT($A$10:A319),12)=0,A319+1,A319)</f>
        <v>26</v>
      </c>
      <c r="B320" s="218">
        <f t="shared" si="54"/>
        <v>11</v>
      </c>
      <c r="C320" s="218">
        <f t="shared" si="48"/>
        <v>1</v>
      </c>
      <c r="D320" s="208">
        <f>IF(MOD(COUNT($D$10:D319),6)=0,D319+1,D319)</f>
        <v>52</v>
      </c>
      <c r="E320" s="208">
        <f>IF(MOD(COUNT($E$10:E319),3)=0,E319+1,E319)</f>
        <v>104</v>
      </c>
      <c r="F320" s="208">
        <f>IF(MOD(COUNT($F$10:F319),1)=0,F319+1,F319)</f>
        <v>311</v>
      </c>
      <c r="G320" s="204">
        <f>IFERROR(IF(C320=1,VLOOKUP(A320,Output!$A$27:$AB$137,28,FALSE)/AnnuityMode,0),0)</f>
        <v>0</v>
      </c>
      <c r="H320" s="220">
        <f>IFERROR(IF(AND(MIN(A320&gt;25,Age+A320&gt;=85),B320=12),VLOOKUP(A320,Output!$A$27:$AE$137,31,FALSE),0),0)</f>
        <v>0</v>
      </c>
      <c r="I320" s="221">
        <f>IFERROR(IF(AND(MIN(A320&gt;15,A320+Age&gt;=70),C320=1),VLOOKUP(A320,Output!$A$27:$AF$137,32,FALSE)*VLOOKUP('SV calc_ignore'!A320,Output!$A$27:$AG$137,33,FALSE)/IF(AnnuityMode=2,2,IF(AnnuityMode=4,4,IF(AnnuityMode=12,12,1))),0),0)</f>
        <v>20833.333333333332</v>
      </c>
      <c r="J320" s="227">
        <f t="shared" si="49"/>
        <v>0</v>
      </c>
      <c r="K320" s="209">
        <f t="shared" si="55"/>
        <v>0</v>
      </c>
      <c r="L320" s="209">
        <f t="shared" si="50"/>
        <v>0</v>
      </c>
      <c r="M320" s="210">
        <f t="shared" si="59"/>
        <v>0</v>
      </c>
      <c r="N320" s="211">
        <f t="shared" si="56"/>
        <v>0</v>
      </c>
      <c r="O320" s="194">
        <f t="shared" si="57"/>
        <v>0</v>
      </c>
      <c r="P320" s="212">
        <f t="shared" si="51"/>
        <v>0</v>
      </c>
      <c r="Q320">
        <f t="shared" si="52"/>
        <v>1619248.1213116327</v>
      </c>
      <c r="X320" s="216">
        <f t="shared" si="58"/>
        <v>25</v>
      </c>
      <c r="Y320">
        <f t="shared" si="53"/>
        <v>0</v>
      </c>
    </row>
    <row r="321" spans="1:25" x14ac:dyDescent="0.2">
      <c r="A321" s="204">
        <f>IF(MOD(COUNT($A$10:A320),12)=0,A320+1,A320)</f>
        <v>26</v>
      </c>
      <c r="B321" s="218">
        <f t="shared" si="54"/>
        <v>12</v>
      </c>
      <c r="C321" s="218">
        <f t="shared" si="48"/>
        <v>1</v>
      </c>
      <c r="D321" s="208">
        <f>IF(MOD(COUNT($D$10:D320),6)=0,D320+1,D320)</f>
        <v>52</v>
      </c>
      <c r="E321" s="208">
        <f>IF(MOD(COUNT($E$10:E320),3)=0,E320+1,E320)</f>
        <v>104</v>
      </c>
      <c r="F321" s="208">
        <f>IF(MOD(COUNT($F$10:F320),1)=0,F320+1,F320)</f>
        <v>312</v>
      </c>
      <c r="G321" s="204">
        <f>IFERROR(IF(C321=1,VLOOKUP(A321,Output!$A$27:$AB$137,28,FALSE)/AnnuityMode,0),0)</f>
        <v>0</v>
      </c>
      <c r="H321" s="220">
        <f>IFERROR(IF(AND(MIN(A321&gt;25,Age+A321&gt;=85),B321=12),VLOOKUP(A321,Output!$A$27:$AE$137,31,FALSE),0),0)</f>
        <v>0</v>
      </c>
      <c r="I321" s="221">
        <f>IFERROR(IF(AND(MIN(A321&gt;15,A321+Age&gt;=70),C321=1),VLOOKUP(A321,Output!$A$27:$AF$137,32,FALSE)*VLOOKUP('SV calc_ignore'!A321,Output!$A$27:$AG$137,33,FALSE)/IF(AnnuityMode=2,2,IF(AnnuityMode=4,4,IF(AnnuityMode=12,12,1))),0),0)</f>
        <v>20833.333333333332</v>
      </c>
      <c r="J321" s="227">
        <f t="shared" si="49"/>
        <v>0</v>
      </c>
      <c r="K321" s="209">
        <f t="shared" si="55"/>
        <v>0</v>
      </c>
      <c r="L321" s="209">
        <f t="shared" si="50"/>
        <v>0</v>
      </c>
      <c r="M321" s="210">
        <f t="shared" si="59"/>
        <v>0</v>
      </c>
      <c r="N321" s="211">
        <f t="shared" si="56"/>
        <v>0</v>
      </c>
      <c r="O321" s="194">
        <f t="shared" si="57"/>
        <v>0</v>
      </c>
      <c r="P321" s="212">
        <f t="shared" si="51"/>
        <v>0</v>
      </c>
      <c r="Q321">
        <f t="shared" si="52"/>
        <v>1609318.3638505493</v>
      </c>
      <c r="X321" s="216">
        <f t="shared" si="58"/>
        <v>25</v>
      </c>
      <c r="Y321">
        <f t="shared" si="53"/>
        <v>0</v>
      </c>
    </row>
    <row r="322" spans="1:25" x14ac:dyDescent="0.2">
      <c r="A322" s="204">
        <f>IF(MOD(COUNT($A$10:A321),12)=0,A321+1,A321)</f>
        <v>27</v>
      </c>
      <c r="B322" s="218">
        <f t="shared" si="54"/>
        <v>1</v>
      </c>
      <c r="C322" s="218">
        <f t="shared" si="48"/>
        <v>1</v>
      </c>
      <c r="D322" s="208">
        <f>IF(MOD(COUNT($D$10:D321),6)=0,D321+1,D321)</f>
        <v>53</v>
      </c>
      <c r="E322" s="208">
        <f>IF(MOD(COUNT($E$10:E321),3)=0,E321+1,E321)</f>
        <v>105</v>
      </c>
      <c r="F322" s="208">
        <f>IF(MOD(COUNT($F$10:F321),1)=0,F321+1,F321)</f>
        <v>313</v>
      </c>
      <c r="G322" s="204">
        <f>IFERROR(IF(C322=1,VLOOKUP(A322,Output!$A$27:$AB$137,28,FALSE)/AnnuityMode,0),0)</f>
        <v>0</v>
      </c>
      <c r="H322" s="220">
        <f>IFERROR(IF(AND(MIN(A322&gt;25,Age+A322&gt;=85),B322=12),VLOOKUP(A322,Output!$A$27:$AE$137,31,FALSE),0),0)</f>
        <v>0</v>
      </c>
      <c r="I322" s="221">
        <f>IFERROR(IF(AND(MIN(A322&gt;15,A322+Age&gt;=70),C322=1),VLOOKUP(A322,Output!$A$27:$AF$137,32,FALSE)*VLOOKUP('SV calc_ignore'!A322,Output!$A$27:$AG$137,33,FALSE)/IF(AnnuityMode=2,2,IF(AnnuityMode=4,4,IF(AnnuityMode=12,12,1))),0),0)</f>
        <v>20833.333333333332</v>
      </c>
      <c r="J322" s="227">
        <f t="shared" si="49"/>
        <v>0</v>
      </c>
      <c r="K322" s="209">
        <f t="shared" si="55"/>
        <v>0</v>
      </c>
      <c r="L322" s="209">
        <f t="shared" si="50"/>
        <v>0</v>
      </c>
      <c r="M322" s="210">
        <f t="shared" si="59"/>
        <v>0</v>
      </c>
      <c r="N322" s="211">
        <f t="shared" si="56"/>
        <v>0</v>
      </c>
      <c r="O322" s="194">
        <f t="shared" si="57"/>
        <v>0</v>
      </c>
      <c r="P322" s="212">
        <f t="shared" si="51"/>
        <v>0</v>
      </c>
      <c r="Q322">
        <f t="shared" si="52"/>
        <v>1599320.8706148197</v>
      </c>
      <c r="X322" s="216">
        <f t="shared" si="58"/>
        <v>26</v>
      </c>
      <c r="Y322">
        <f t="shared" si="53"/>
        <v>0</v>
      </c>
    </row>
    <row r="323" spans="1:25" x14ac:dyDescent="0.2">
      <c r="A323" s="204">
        <f>IF(MOD(COUNT($A$10:A322),12)=0,A322+1,A322)</f>
        <v>27</v>
      </c>
      <c r="B323" s="218">
        <f t="shared" si="54"/>
        <v>2</v>
      </c>
      <c r="C323" s="218">
        <f t="shared" si="48"/>
        <v>1</v>
      </c>
      <c r="D323" s="208">
        <f>IF(MOD(COUNT($D$10:D322),6)=0,D322+1,D322)</f>
        <v>53</v>
      </c>
      <c r="E323" s="208">
        <f>IF(MOD(COUNT($E$10:E322),3)=0,E322+1,E322)</f>
        <v>105</v>
      </c>
      <c r="F323" s="208">
        <f>IF(MOD(COUNT($F$10:F322),1)=0,F322+1,F322)</f>
        <v>314</v>
      </c>
      <c r="G323" s="204">
        <f>IFERROR(IF(C323=1,VLOOKUP(A323,Output!$A$27:$AB$137,28,FALSE)/AnnuityMode,0),0)</f>
        <v>0</v>
      </c>
      <c r="H323" s="220">
        <f>IFERROR(IF(AND(MIN(A323&gt;25,Age+A323&gt;=85),B323=12),VLOOKUP(A323,Output!$A$27:$AE$137,31,FALSE),0),0)</f>
        <v>0</v>
      </c>
      <c r="I323" s="221">
        <f>IFERROR(IF(AND(MIN(A323&gt;15,A323+Age&gt;=70),C323=1),VLOOKUP(A323,Output!$A$27:$AF$137,32,FALSE)*VLOOKUP('SV calc_ignore'!A323,Output!$A$27:$AG$137,33,FALSE)/IF(AnnuityMode=2,2,IF(AnnuityMode=4,4,IF(AnnuityMode=12,12,1))),0),0)</f>
        <v>20833.333333333332</v>
      </c>
      <c r="J323" s="227">
        <f t="shared" si="49"/>
        <v>0</v>
      </c>
      <c r="K323" s="209">
        <f t="shared" si="55"/>
        <v>0</v>
      </c>
      <c r="L323" s="209">
        <f t="shared" si="50"/>
        <v>0</v>
      </c>
      <c r="M323" s="210">
        <f t="shared" si="59"/>
        <v>0</v>
      </c>
      <c r="N323" s="211">
        <f t="shared" si="56"/>
        <v>0</v>
      </c>
      <c r="O323" s="194">
        <f t="shared" si="57"/>
        <v>0</v>
      </c>
      <c r="P323" s="212">
        <f t="shared" si="51"/>
        <v>0</v>
      </c>
      <c r="Q323">
        <f t="shared" si="52"/>
        <v>1589255.1795453061</v>
      </c>
      <c r="X323" s="216">
        <f t="shared" si="58"/>
        <v>26</v>
      </c>
      <c r="Y323">
        <f t="shared" si="53"/>
        <v>0</v>
      </c>
    </row>
    <row r="324" spans="1:25" x14ac:dyDescent="0.2">
      <c r="A324" s="204">
        <f>IF(MOD(COUNT($A$10:A323),12)=0,A323+1,A323)</f>
        <v>27</v>
      </c>
      <c r="B324" s="218">
        <f t="shared" si="54"/>
        <v>3</v>
      </c>
      <c r="C324" s="218">
        <f t="shared" si="48"/>
        <v>1</v>
      </c>
      <c r="D324" s="208">
        <f>IF(MOD(COUNT($D$10:D323),6)=0,D323+1,D323)</f>
        <v>53</v>
      </c>
      <c r="E324" s="208">
        <f>IF(MOD(COUNT($E$10:E323),3)=0,E323+1,E323)</f>
        <v>105</v>
      </c>
      <c r="F324" s="208">
        <f>IF(MOD(COUNT($F$10:F323),1)=0,F323+1,F323)</f>
        <v>315</v>
      </c>
      <c r="G324" s="204">
        <f>IFERROR(IF(C324=1,VLOOKUP(A324,Output!$A$27:$AB$137,28,FALSE)/AnnuityMode,0),0)</f>
        <v>0</v>
      </c>
      <c r="H324" s="220">
        <f>IFERROR(IF(AND(MIN(A324&gt;25,Age+A324&gt;=85),B324=12),VLOOKUP(A324,Output!$A$27:$AE$137,31,FALSE),0),0)</f>
        <v>0</v>
      </c>
      <c r="I324" s="221">
        <f>IFERROR(IF(AND(MIN(A324&gt;15,A324+Age&gt;=70),C324=1),VLOOKUP(A324,Output!$A$27:$AF$137,32,FALSE)*VLOOKUP('SV calc_ignore'!A324,Output!$A$27:$AG$137,33,FALSE)/IF(AnnuityMode=2,2,IF(AnnuityMode=4,4,IF(AnnuityMode=12,12,1))),0),0)</f>
        <v>20833.333333333332</v>
      </c>
      <c r="J324" s="227">
        <f t="shared" si="49"/>
        <v>0</v>
      </c>
      <c r="K324" s="209">
        <f t="shared" si="55"/>
        <v>0</v>
      </c>
      <c r="L324" s="209">
        <f t="shared" si="50"/>
        <v>0</v>
      </c>
      <c r="M324" s="210">
        <f t="shared" si="59"/>
        <v>0</v>
      </c>
      <c r="N324" s="211">
        <f t="shared" si="56"/>
        <v>0</v>
      </c>
      <c r="O324" s="194">
        <f t="shared" si="57"/>
        <v>0</v>
      </c>
      <c r="P324" s="212">
        <f t="shared" si="51"/>
        <v>0</v>
      </c>
      <c r="Q324">
        <f t="shared" si="52"/>
        <v>1579120.825430938</v>
      </c>
      <c r="X324" s="216">
        <f t="shared" si="58"/>
        <v>26</v>
      </c>
      <c r="Y324">
        <f t="shared" si="53"/>
        <v>0</v>
      </c>
    </row>
    <row r="325" spans="1:25" x14ac:dyDescent="0.2">
      <c r="A325" s="204">
        <f>IF(MOD(COUNT($A$10:A324),12)=0,A324+1,A324)</f>
        <v>27</v>
      </c>
      <c r="B325" s="218">
        <f t="shared" si="54"/>
        <v>4</v>
      </c>
      <c r="C325" s="218">
        <f t="shared" si="48"/>
        <v>1</v>
      </c>
      <c r="D325" s="208">
        <f>IF(MOD(COUNT($D$10:D324),6)=0,D324+1,D324)</f>
        <v>53</v>
      </c>
      <c r="E325" s="208">
        <f>IF(MOD(COUNT($E$10:E324),3)=0,E324+1,E324)</f>
        <v>106</v>
      </c>
      <c r="F325" s="208">
        <f>IF(MOD(COUNT($F$10:F324),1)=0,F324+1,F324)</f>
        <v>316</v>
      </c>
      <c r="G325" s="204">
        <f>IFERROR(IF(C325=1,VLOOKUP(A325,Output!$A$27:$AB$137,28,FALSE)/AnnuityMode,0),0)</f>
        <v>0</v>
      </c>
      <c r="H325" s="220">
        <f>IFERROR(IF(AND(MIN(A325&gt;25,Age+A325&gt;=85),B325=12),VLOOKUP(A325,Output!$A$27:$AE$137,31,FALSE),0),0)</f>
        <v>0</v>
      </c>
      <c r="I325" s="221">
        <f>IFERROR(IF(AND(MIN(A325&gt;15,A325+Age&gt;=70),C325=1),VLOOKUP(A325,Output!$A$27:$AF$137,32,FALSE)*VLOOKUP('SV calc_ignore'!A325,Output!$A$27:$AG$137,33,FALSE)/IF(AnnuityMode=2,2,IF(AnnuityMode=4,4,IF(AnnuityMode=12,12,1))),0),0)</f>
        <v>20833.333333333332</v>
      </c>
      <c r="J325" s="227">
        <f t="shared" si="49"/>
        <v>0</v>
      </c>
      <c r="K325" s="209">
        <f t="shared" si="55"/>
        <v>0</v>
      </c>
      <c r="L325" s="209">
        <f t="shared" si="50"/>
        <v>0</v>
      </c>
      <c r="M325" s="210">
        <f t="shared" si="59"/>
        <v>0</v>
      </c>
      <c r="N325" s="211">
        <f t="shared" si="56"/>
        <v>0</v>
      </c>
      <c r="O325" s="194">
        <f t="shared" si="57"/>
        <v>0</v>
      </c>
      <c r="P325" s="212">
        <f t="shared" si="51"/>
        <v>0</v>
      </c>
      <c r="Q325">
        <f t="shared" si="52"/>
        <v>1568917.3398872106</v>
      </c>
      <c r="X325" s="216">
        <f t="shared" si="58"/>
        <v>26</v>
      </c>
      <c r="Y325">
        <f t="shared" si="53"/>
        <v>0</v>
      </c>
    </row>
    <row r="326" spans="1:25" x14ac:dyDescent="0.2">
      <c r="A326" s="204">
        <f>IF(MOD(COUNT($A$10:A325),12)=0,A325+1,A325)</f>
        <v>27</v>
      </c>
      <c r="B326" s="218">
        <f t="shared" si="54"/>
        <v>5</v>
      </c>
      <c r="C326" s="218">
        <f t="shared" si="48"/>
        <v>1</v>
      </c>
      <c r="D326" s="208">
        <f>IF(MOD(COUNT($D$10:D325),6)=0,D325+1,D325)</f>
        <v>53</v>
      </c>
      <c r="E326" s="208">
        <f>IF(MOD(COUNT($E$10:E325),3)=0,E325+1,E325)</f>
        <v>106</v>
      </c>
      <c r="F326" s="208">
        <f>IF(MOD(COUNT($F$10:F325),1)=0,F325+1,F325)</f>
        <v>317</v>
      </c>
      <c r="G326" s="204">
        <f>IFERROR(IF(C326=1,VLOOKUP(A326,Output!$A$27:$AB$137,28,FALSE)/AnnuityMode,0),0)</f>
        <v>0</v>
      </c>
      <c r="H326" s="220">
        <f>IFERROR(IF(AND(MIN(A326&gt;25,Age+A326&gt;=85),B326=12),VLOOKUP(A326,Output!$A$27:$AE$137,31,FALSE),0),0)</f>
        <v>0</v>
      </c>
      <c r="I326" s="221">
        <f>IFERROR(IF(AND(MIN(A326&gt;15,A326+Age&gt;=70),C326=1),VLOOKUP(A326,Output!$A$27:$AF$137,32,FALSE)*VLOOKUP('SV calc_ignore'!A326,Output!$A$27:$AG$137,33,FALSE)/IF(AnnuityMode=2,2,IF(AnnuityMode=4,4,IF(AnnuityMode=12,12,1))),0),0)</f>
        <v>20833.333333333332</v>
      </c>
      <c r="J326" s="227">
        <f t="shared" si="49"/>
        <v>0</v>
      </c>
      <c r="K326" s="209">
        <f t="shared" si="55"/>
        <v>0</v>
      </c>
      <c r="L326" s="209">
        <f t="shared" si="50"/>
        <v>0</v>
      </c>
      <c r="M326" s="210">
        <f t="shared" si="59"/>
        <v>0</v>
      </c>
      <c r="N326" s="211">
        <f t="shared" si="56"/>
        <v>0</v>
      </c>
      <c r="O326" s="194">
        <f t="shared" si="57"/>
        <v>0</v>
      </c>
      <c r="P326" s="212">
        <f t="shared" si="51"/>
        <v>0</v>
      </c>
      <c r="Q326">
        <f t="shared" si="52"/>
        <v>1558644.2513345368</v>
      </c>
      <c r="X326" s="216">
        <f t="shared" si="58"/>
        <v>26</v>
      </c>
      <c r="Y326">
        <f t="shared" si="53"/>
        <v>0</v>
      </c>
    </row>
    <row r="327" spans="1:25" x14ac:dyDescent="0.2">
      <c r="A327" s="204">
        <f>IF(MOD(COUNT($A$10:A326),12)=0,A326+1,A326)</f>
        <v>27</v>
      </c>
      <c r="B327" s="218">
        <f t="shared" si="54"/>
        <v>6</v>
      </c>
      <c r="C327" s="218">
        <f t="shared" si="48"/>
        <v>1</v>
      </c>
      <c r="D327" s="208">
        <f>IF(MOD(COUNT($D$10:D326),6)=0,D326+1,D326)</f>
        <v>53</v>
      </c>
      <c r="E327" s="208">
        <f>IF(MOD(COUNT($E$10:E326),3)=0,E326+1,E326)</f>
        <v>106</v>
      </c>
      <c r="F327" s="208">
        <f>IF(MOD(COUNT($F$10:F326),1)=0,F326+1,F326)</f>
        <v>318</v>
      </c>
      <c r="G327" s="204">
        <f>IFERROR(IF(C327=1,VLOOKUP(A327,Output!$A$27:$AB$137,28,FALSE)/AnnuityMode,0),0)</f>
        <v>0</v>
      </c>
      <c r="H327" s="220">
        <f>IFERROR(IF(AND(MIN(A327&gt;25,Age+A327&gt;=85),B327=12),VLOOKUP(A327,Output!$A$27:$AE$137,31,FALSE),0),0)</f>
        <v>0</v>
      </c>
      <c r="I327" s="221">
        <f>IFERROR(IF(AND(MIN(A327&gt;15,A327+Age&gt;=70),C327=1),VLOOKUP(A327,Output!$A$27:$AF$137,32,FALSE)*VLOOKUP('SV calc_ignore'!A327,Output!$A$27:$AG$137,33,FALSE)/IF(AnnuityMode=2,2,IF(AnnuityMode=4,4,IF(AnnuityMode=12,12,1))),0),0)</f>
        <v>20833.333333333332</v>
      </c>
      <c r="J327" s="227">
        <f t="shared" si="49"/>
        <v>0</v>
      </c>
      <c r="K327" s="209">
        <f t="shared" si="55"/>
        <v>0</v>
      </c>
      <c r="L327" s="209">
        <f t="shared" si="50"/>
        <v>0</v>
      </c>
      <c r="M327" s="210">
        <f t="shared" si="59"/>
        <v>0</v>
      </c>
      <c r="N327" s="211">
        <f t="shared" si="56"/>
        <v>0</v>
      </c>
      <c r="O327" s="194">
        <f t="shared" si="57"/>
        <v>0</v>
      </c>
      <c r="P327" s="212">
        <f t="shared" si="51"/>
        <v>0</v>
      </c>
      <c r="Q327">
        <f t="shared" si="52"/>
        <v>1548301.0849764531</v>
      </c>
      <c r="X327" s="216">
        <f t="shared" si="58"/>
        <v>26</v>
      </c>
      <c r="Y327">
        <f t="shared" si="53"/>
        <v>0</v>
      </c>
    </row>
    <row r="328" spans="1:25" x14ac:dyDescent="0.2">
      <c r="A328" s="204">
        <f>IF(MOD(COUNT($A$10:A327),12)=0,A327+1,A327)</f>
        <v>27</v>
      </c>
      <c r="B328" s="218">
        <f t="shared" si="54"/>
        <v>7</v>
      </c>
      <c r="C328" s="218">
        <f t="shared" si="48"/>
        <v>1</v>
      </c>
      <c r="D328" s="208">
        <f>IF(MOD(COUNT($D$10:D327),6)=0,D327+1,D327)</f>
        <v>54</v>
      </c>
      <c r="E328" s="208">
        <f>IF(MOD(COUNT($E$10:E327),3)=0,E327+1,E327)</f>
        <v>107</v>
      </c>
      <c r="F328" s="208">
        <f>IF(MOD(COUNT($F$10:F327),1)=0,F327+1,F327)</f>
        <v>319</v>
      </c>
      <c r="G328" s="204">
        <f>IFERROR(IF(C328=1,VLOOKUP(A328,Output!$A$27:$AB$137,28,FALSE)/AnnuityMode,0),0)</f>
        <v>0</v>
      </c>
      <c r="H328" s="220">
        <f>IFERROR(IF(AND(MIN(A328&gt;25,Age+A328&gt;=85),B328=12),VLOOKUP(A328,Output!$A$27:$AE$137,31,FALSE),0),0)</f>
        <v>0</v>
      </c>
      <c r="I328" s="221">
        <f>IFERROR(IF(AND(MIN(A328&gt;15,A328+Age&gt;=70),C328=1),VLOOKUP(A328,Output!$A$27:$AF$137,32,FALSE)*VLOOKUP('SV calc_ignore'!A328,Output!$A$27:$AG$137,33,FALSE)/IF(AnnuityMode=2,2,IF(AnnuityMode=4,4,IF(AnnuityMode=12,12,1))),0),0)</f>
        <v>20833.333333333332</v>
      </c>
      <c r="J328" s="227">
        <f t="shared" si="49"/>
        <v>0</v>
      </c>
      <c r="K328" s="209">
        <f t="shared" si="55"/>
        <v>0</v>
      </c>
      <c r="L328" s="209">
        <f t="shared" si="50"/>
        <v>0</v>
      </c>
      <c r="M328" s="210">
        <f t="shared" si="59"/>
        <v>0</v>
      </c>
      <c r="N328" s="211">
        <f t="shared" si="56"/>
        <v>0</v>
      </c>
      <c r="O328" s="194">
        <f t="shared" si="57"/>
        <v>0</v>
      </c>
      <c r="P328" s="212">
        <f t="shared" si="51"/>
        <v>0</v>
      </c>
      <c r="Q328">
        <f t="shared" si="52"/>
        <v>1537887.3627776746</v>
      </c>
      <c r="X328" s="216">
        <f t="shared" si="58"/>
        <v>26</v>
      </c>
      <c r="Y328">
        <f t="shared" si="53"/>
        <v>0</v>
      </c>
    </row>
    <row r="329" spans="1:25" x14ac:dyDescent="0.2">
      <c r="A329" s="204">
        <f>IF(MOD(COUNT($A$10:A328),12)=0,A328+1,A328)</f>
        <v>27</v>
      </c>
      <c r="B329" s="218">
        <f t="shared" si="54"/>
        <v>8</v>
      </c>
      <c r="C329" s="218">
        <f t="shared" si="48"/>
        <v>1</v>
      </c>
      <c r="D329" s="208">
        <f>IF(MOD(COUNT($D$10:D328),6)=0,D328+1,D328)</f>
        <v>54</v>
      </c>
      <c r="E329" s="208">
        <f>IF(MOD(COUNT($E$10:E328),3)=0,E328+1,E328)</f>
        <v>107</v>
      </c>
      <c r="F329" s="208">
        <f>IF(MOD(COUNT($F$10:F328),1)=0,F328+1,F328)</f>
        <v>320</v>
      </c>
      <c r="G329" s="204">
        <f>IFERROR(IF(C329=1,VLOOKUP(A329,Output!$A$27:$AB$137,28,FALSE)/AnnuityMode,0),0)</f>
        <v>0</v>
      </c>
      <c r="H329" s="220">
        <f>IFERROR(IF(AND(MIN(A329&gt;25,Age+A329&gt;=85),B329=12),VLOOKUP(A329,Output!$A$27:$AE$137,31,FALSE),0),0)</f>
        <v>0</v>
      </c>
      <c r="I329" s="221">
        <f>IFERROR(IF(AND(MIN(A329&gt;15,A329+Age&gt;=70),C329=1),VLOOKUP(A329,Output!$A$27:$AF$137,32,FALSE)*VLOOKUP('SV calc_ignore'!A329,Output!$A$27:$AG$137,33,FALSE)/IF(AnnuityMode=2,2,IF(AnnuityMode=4,4,IF(AnnuityMode=12,12,1))),0),0)</f>
        <v>20833.333333333332</v>
      </c>
      <c r="J329" s="227">
        <f t="shared" si="49"/>
        <v>0</v>
      </c>
      <c r="K329" s="209">
        <f t="shared" si="55"/>
        <v>0</v>
      </c>
      <c r="L329" s="209">
        <f t="shared" si="50"/>
        <v>0</v>
      </c>
      <c r="M329" s="210">
        <f t="shared" si="59"/>
        <v>0</v>
      </c>
      <c r="N329" s="211">
        <f t="shared" si="56"/>
        <v>0</v>
      </c>
      <c r="O329" s="194">
        <f t="shared" si="57"/>
        <v>0</v>
      </c>
      <c r="P329" s="212">
        <f t="shared" si="51"/>
        <v>0</v>
      </c>
      <c r="Q329">
        <f t="shared" si="52"/>
        <v>1527402.6034420021</v>
      </c>
      <c r="X329" s="216">
        <f t="shared" si="58"/>
        <v>26</v>
      </c>
      <c r="Y329">
        <f t="shared" si="53"/>
        <v>0</v>
      </c>
    </row>
    <row r="330" spans="1:25" x14ac:dyDescent="0.2">
      <c r="A330" s="204">
        <f>IF(MOD(COUNT($A$10:A329),12)=0,A329+1,A329)</f>
        <v>27</v>
      </c>
      <c r="B330" s="218">
        <f t="shared" si="54"/>
        <v>9</v>
      </c>
      <c r="C330" s="218">
        <f t="shared" ref="C330:C393" si="60">IF(AND(AnnuityMode=1,B330=12),1,IF(AND(OR(B330=6,B330=12),AnnuityMode=2),1,IF(AND(OR(B330=3,B330=6,B330=12,B330=9),AnnuityMode=4),1,IF(AND(OR(B330=1,B330=2,B330=3,B330=4,B330=5,B330=6,B330=7,B330=8,B330=9,B330=10,B330=11,B330=12),AnnuityMode=12),1,0))))</f>
        <v>1</v>
      </c>
      <c r="D330" s="208">
        <f>IF(MOD(COUNT($D$10:D329),6)=0,D329+1,D329)</f>
        <v>54</v>
      </c>
      <c r="E330" s="208">
        <f>IF(MOD(COUNT($E$10:E329),3)=0,E329+1,E329)</f>
        <v>107</v>
      </c>
      <c r="F330" s="208">
        <f>IF(MOD(COUNT($F$10:F329),1)=0,F329+1,F329)</f>
        <v>321</v>
      </c>
      <c r="G330" s="204">
        <f>IFERROR(IF(C330=1,VLOOKUP(A330,Output!$A$27:$AB$137,28,FALSE)/AnnuityMode,0),0)</f>
        <v>0</v>
      </c>
      <c r="H330" s="220">
        <f>IFERROR(IF(AND(MIN(A330&gt;25,Age+A330&gt;=85),B330=12),VLOOKUP(A330,Output!$A$27:$AE$137,31,FALSE),0),0)</f>
        <v>0</v>
      </c>
      <c r="I330" s="221">
        <f>IFERROR(IF(AND(MIN(A330&gt;15,A330+Age&gt;=70),C330=1),VLOOKUP(A330,Output!$A$27:$AF$137,32,FALSE)*VLOOKUP('SV calc_ignore'!A330,Output!$A$27:$AG$137,33,FALSE)/IF(AnnuityMode=2,2,IF(AnnuityMode=4,4,IF(AnnuityMode=12,12,1))),0),0)</f>
        <v>20833.333333333332</v>
      </c>
      <c r="J330" s="227">
        <f t="shared" ref="J330:J393" si="61">G330+(J331)*(1+$K$3)^(-1)</f>
        <v>0</v>
      </c>
      <c r="K330" s="209">
        <f t="shared" si="55"/>
        <v>0</v>
      </c>
      <c r="L330" s="209">
        <f t="shared" ref="L330:L393" si="62">(L331+G331)*$K$2</f>
        <v>0</v>
      </c>
      <c r="M330" s="210">
        <f t="shared" si="59"/>
        <v>0</v>
      </c>
      <c r="N330" s="211">
        <f t="shared" si="56"/>
        <v>0</v>
      </c>
      <c r="O330" s="194">
        <f t="shared" si="57"/>
        <v>0</v>
      </c>
      <c r="P330" s="212">
        <f t="shared" ref="P330:P393" si="63">(P331+H331)*(1+$K$3)^(-1)</f>
        <v>0</v>
      </c>
      <c r="Q330">
        <f t="shared" ref="Q330:Q393" si="64">(I330+(Q331)*(1+$K$3)^(-1))*(A330&lt;=$W$5)</f>
        <v>1516846.3223900776</v>
      </c>
      <c r="X330" s="216">
        <f t="shared" si="58"/>
        <v>26</v>
      </c>
      <c r="Y330">
        <f t="shared" ref="Y330:Y393" si="65">G330*(1-IF(AnnuityMode=1,$L$2,IF(AnnuityMode=2,$M$2,IF(AnnuityMode=4,$N$2,$K$2)))^(110*AnnuityMode-IF(AnnuityMode=1,X330,IF(AnnuityMode=2,D330,IF(AnnuityMode=4,E330,F330)))-0))/(IF(AnnuityMode=1,$L$3,IF(AnnuityMode=2,$M$3,IF(AnnuityMode=4,$N$3,$K$3))))</f>
        <v>0</v>
      </c>
    </row>
    <row r="331" spans="1:25" x14ac:dyDescent="0.2">
      <c r="A331" s="204">
        <f>IF(MOD(COUNT($A$10:A330),12)=0,A330+1,A330)</f>
        <v>27</v>
      </c>
      <c r="B331" s="218">
        <f t="shared" ref="B331:B394" si="66">IF(A330&lt;&gt;A331,1,B330+1)</f>
        <v>10</v>
      </c>
      <c r="C331" s="218">
        <f t="shared" si="60"/>
        <v>1</v>
      </c>
      <c r="D331" s="208">
        <f>IF(MOD(COUNT($D$10:D330),6)=0,D330+1,D330)</f>
        <v>54</v>
      </c>
      <c r="E331" s="208">
        <f>IF(MOD(COUNT($E$10:E330),3)=0,E330+1,E330)</f>
        <v>108</v>
      </c>
      <c r="F331" s="208">
        <f>IF(MOD(COUNT($F$10:F330),1)=0,F330+1,F330)</f>
        <v>322</v>
      </c>
      <c r="G331" s="204">
        <f>IFERROR(IF(C331=1,VLOOKUP(A331,Output!$A$27:$AB$137,28,FALSE)/AnnuityMode,0),0)</f>
        <v>0</v>
      </c>
      <c r="H331" s="220">
        <f>IFERROR(IF(AND(MIN(A331&gt;25,Age+A331&gt;=85),B331=12),VLOOKUP(A331,Output!$A$27:$AE$137,31,FALSE),0),0)</f>
        <v>0</v>
      </c>
      <c r="I331" s="221">
        <f>IFERROR(IF(AND(MIN(A331&gt;15,A331+Age&gt;=70),C331=1),VLOOKUP(A331,Output!$A$27:$AF$137,32,FALSE)*VLOOKUP('SV calc_ignore'!A331,Output!$A$27:$AG$137,33,FALSE)/IF(AnnuityMode=2,2,IF(AnnuityMode=4,4,IF(AnnuityMode=12,12,1))),0),0)</f>
        <v>20833.333333333332</v>
      </c>
      <c r="J331" s="227">
        <f t="shared" si="61"/>
        <v>0</v>
      </c>
      <c r="K331" s="209">
        <f t="shared" ref="K331:K394" si="67">IF(OR(K330&gt;$K$8,K330=0),0,K330+1)</f>
        <v>0</v>
      </c>
      <c r="L331" s="209">
        <f t="shared" si="62"/>
        <v>0</v>
      </c>
      <c r="M331" s="210">
        <f t="shared" si="59"/>
        <v>0</v>
      </c>
      <c r="N331" s="211">
        <f t="shared" ref="N331:N394" si="68">M331-L331-G331</f>
        <v>0</v>
      </c>
      <c r="O331" s="194">
        <f t="shared" ref="O331:O394" si="69">MAX($H$10:$H$897)/(1+$K$3)^($Q$5*12-F331)*(A331&lt;=$Q$5)</f>
        <v>0</v>
      </c>
      <c r="P331" s="212">
        <f t="shared" si="63"/>
        <v>0</v>
      </c>
      <c r="Q331">
        <f t="shared" si="64"/>
        <v>1506218.0317369883</v>
      </c>
      <c r="X331" s="216">
        <f t="shared" ref="X331:X394" si="70">A331-1</f>
        <v>26</v>
      </c>
      <c r="Y331">
        <f t="shared" si="65"/>
        <v>0</v>
      </c>
    </row>
    <row r="332" spans="1:25" x14ac:dyDescent="0.2">
      <c r="A332" s="204">
        <f>IF(MOD(COUNT($A$10:A331),12)=0,A331+1,A331)</f>
        <v>27</v>
      </c>
      <c r="B332" s="218">
        <f t="shared" si="66"/>
        <v>11</v>
      </c>
      <c r="C332" s="218">
        <f t="shared" si="60"/>
        <v>1</v>
      </c>
      <c r="D332" s="208">
        <f>IF(MOD(COUNT($D$10:D331),6)=0,D331+1,D331)</f>
        <v>54</v>
      </c>
      <c r="E332" s="208">
        <f>IF(MOD(COUNT($E$10:E331),3)=0,E331+1,E331)</f>
        <v>108</v>
      </c>
      <c r="F332" s="208">
        <f>IF(MOD(COUNT($F$10:F331),1)=0,F331+1,F331)</f>
        <v>323</v>
      </c>
      <c r="G332" s="204">
        <f>IFERROR(IF(C332=1,VLOOKUP(A332,Output!$A$27:$AB$137,28,FALSE)/AnnuityMode,0),0)</f>
        <v>0</v>
      </c>
      <c r="H332" s="220">
        <f>IFERROR(IF(AND(MIN(A332&gt;25,Age+A332&gt;=85),B332=12),VLOOKUP(A332,Output!$A$27:$AE$137,31,FALSE),0),0)</f>
        <v>0</v>
      </c>
      <c r="I332" s="221">
        <f>IFERROR(IF(AND(MIN(A332&gt;15,A332+Age&gt;=70),C332=1),VLOOKUP(A332,Output!$A$27:$AF$137,32,FALSE)*VLOOKUP('SV calc_ignore'!A332,Output!$A$27:$AG$137,33,FALSE)/IF(AnnuityMode=2,2,IF(AnnuityMode=4,4,IF(AnnuityMode=12,12,1))),0),0)</f>
        <v>20833.333333333332</v>
      </c>
      <c r="J332" s="227">
        <f t="shared" si="61"/>
        <v>0</v>
      </c>
      <c r="K332" s="209">
        <f t="shared" si="67"/>
        <v>0</v>
      </c>
      <c r="L332" s="209">
        <f t="shared" si="62"/>
        <v>0</v>
      </c>
      <c r="M332" s="210">
        <f t="shared" ref="M332:M381" si="71">L331*(1+$K$3)</f>
        <v>0</v>
      </c>
      <c r="N332" s="211">
        <f t="shared" si="68"/>
        <v>0</v>
      </c>
      <c r="O332" s="194">
        <f t="shared" si="69"/>
        <v>0</v>
      </c>
      <c r="P332" s="212">
        <f t="shared" si="63"/>
        <v>0</v>
      </c>
      <c r="Q332">
        <f t="shared" si="64"/>
        <v>1495517.2402697175</v>
      </c>
      <c r="X332" s="216">
        <f t="shared" si="70"/>
        <v>26</v>
      </c>
      <c r="Y332">
        <f t="shared" si="65"/>
        <v>0</v>
      </c>
    </row>
    <row r="333" spans="1:25" x14ac:dyDescent="0.2">
      <c r="A333" s="204">
        <f>IF(MOD(COUNT($A$10:A332),12)=0,A332+1,A332)</f>
        <v>27</v>
      </c>
      <c r="B333" s="218">
        <f t="shared" si="66"/>
        <v>12</v>
      </c>
      <c r="C333" s="218">
        <f t="shared" si="60"/>
        <v>1</v>
      </c>
      <c r="D333" s="208">
        <f>IF(MOD(COUNT($D$10:D332),6)=0,D332+1,D332)</f>
        <v>54</v>
      </c>
      <c r="E333" s="208">
        <f>IF(MOD(COUNT($E$10:E332),3)=0,E332+1,E332)</f>
        <v>108</v>
      </c>
      <c r="F333" s="208">
        <f>IF(MOD(COUNT($F$10:F332),1)=0,F332+1,F332)</f>
        <v>324</v>
      </c>
      <c r="G333" s="204">
        <f>IFERROR(IF(C333=1,VLOOKUP(A333,Output!$A$27:$AB$137,28,FALSE)/AnnuityMode,0),0)</f>
        <v>0</v>
      </c>
      <c r="H333" s="220">
        <f>IFERROR(IF(AND(MIN(A333&gt;25,Age+A333&gt;=85),B333=12),VLOOKUP(A333,Output!$A$27:$AE$137,31,FALSE),0),0)</f>
        <v>0</v>
      </c>
      <c r="I333" s="221">
        <f>IFERROR(IF(AND(MIN(A333&gt;15,A333+Age&gt;=70),C333=1),VLOOKUP(A333,Output!$A$27:$AF$137,32,FALSE)*VLOOKUP('SV calc_ignore'!A333,Output!$A$27:$AG$137,33,FALSE)/IF(AnnuityMode=2,2,IF(AnnuityMode=4,4,IF(AnnuityMode=12,12,1))),0),0)</f>
        <v>20833.333333333332</v>
      </c>
      <c r="J333" s="227">
        <f t="shared" si="61"/>
        <v>0</v>
      </c>
      <c r="K333" s="209">
        <f t="shared" si="67"/>
        <v>0</v>
      </c>
      <c r="L333" s="209">
        <f t="shared" si="62"/>
        <v>0</v>
      </c>
      <c r="M333" s="210">
        <f t="shared" si="71"/>
        <v>0</v>
      </c>
      <c r="N333" s="211">
        <f t="shared" si="68"/>
        <v>0</v>
      </c>
      <c r="O333" s="194">
        <f t="shared" si="69"/>
        <v>0</v>
      </c>
      <c r="P333" s="212">
        <f t="shared" si="63"/>
        <v>0</v>
      </c>
      <c r="Q333">
        <f t="shared" si="64"/>
        <v>1484743.4534244421</v>
      </c>
      <c r="X333" s="216">
        <f t="shared" si="70"/>
        <v>26</v>
      </c>
      <c r="Y333">
        <f t="shared" si="65"/>
        <v>0</v>
      </c>
    </row>
    <row r="334" spans="1:25" x14ac:dyDescent="0.2">
      <c r="A334" s="204">
        <f>IF(MOD(COUNT($A$10:A333),12)=0,A333+1,A333)</f>
        <v>28</v>
      </c>
      <c r="B334" s="218">
        <f t="shared" si="66"/>
        <v>1</v>
      </c>
      <c r="C334" s="218">
        <f t="shared" si="60"/>
        <v>1</v>
      </c>
      <c r="D334" s="208">
        <f>IF(MOD(COUNT($D$10:D333),6)=0,D333+1,D333)</f>
        <v>55</v>
      </c>
      <c r="E334" s="208">
        <f>IF(MOD(COUNT($E$10:E333),3)=0,E333+1,E333)</f>
        <v>109</v>
      </c>
      <c r="F334" s="208">
        <f>IF(MOD(COUNT($F$10:F333),1)=0,F333+1,F333)</f>
        <v>325</v>
      </c>
      <c r="G334" s="204">
        <f>IFERROR(IF(C334=1,VLOOKUP(A334,Output!$A$27:$AB$137,28,FALSE)/AnnuityMode,0),0)</f>
        <v>0</v>
      </c>
      <c r="H334" s="220">
        <f>IFERROR(IF(AND(MIN(A334&gt;25,Age+A334&gt;=85),B334=12),VLOOKUP(A334,Output!$A$27:$AE$137,31,FALSE),0),0)</f>
        <v>0</v>
      </c>
      <c r="I334" s="221">
        <f>IFERROR(IF(AND(MIN(A334&gt;15,A334+Age&gt;=70),C334=1),VLOOKUP(A334,Output!$A$27:$AF$137,32,FALSE)*VLOOKUP('SV calc_ignore'!A334,Output!$A$27:$AG$137,33,FALSE)/IF(AnnuityMode=2,2,IF(AnnuityMode=4,4,IF(AnnuityMode=12,12,1))),0),0)</f>
        <v>20833.333333333332</v>
      </c>
      <c r="J334" s="227">
        <f t="shared" si="61"/>
        <v>0</v>
      </c>
      <c r="K334" s="209">
        <f t="shared" si="67"/>
        <v>0</v>
      </c>
      <c r="L334" s="209">
        <f t="shared" si="62"/>
        <v>0</v>
      </c>
      <c r="M334" s="210">
        <f t="shared" si="71"/>
        <v>0</v>
      </c>
      <c r="N334" s="211">
        <f t="shared" si="68"/>
        <v>0</v>
      </c>
      <c r="O334" s="194">
        <f t="shared" si="69"/>
        <v>0</v>
      </c>
      <c r="P334" s="212">
        <f t="shared" si="63"/>
        <v>0</v>
      </c>
      <c r="Q334">
        <f t="shared" si="64"/>
        <v>1473896.1732636753</v>
      </c>
      <c r="X334" s="216">
        <f t="shared" si="70"/>
        <v>27</v>
      </c>
      <c r="Y334">
        <f t="shared" si="65"/>
        <v>0</v>
      </c>
    </row>
    <row r="335" spans="1:25" x14ac:dyDescent="0.2">
      <c r="A335" s="204">
        <f>IF(MOD(COUNT($A$10:A334),12)=0,A334+1,A334)</f>
        <v>28</v>
      </c>
      <c r="B335" s="218">
        <f t="shared" si="66"/>
        <v>2</v>
      </c>
      <c r="C335" s="218">
        <f t="shared" si="60"/>
        <v>1</v>
      </c>
      <c r="D335" s="208">
        <f>IF(MOD(COUNT($D$10:D334),6)=0,D334+1,D334)</f>
        <v>55</v>
      </c>
      <c r="E335" s="208">
        <f>IF(MOD(COUNT($E$10:E334),3)=0,E334+1,E334)</f>
        <v>109</v>
      </c>
      <c r="F335" s="208">
        <f>IF(MOD(COUNT($F$10:F334),1)=0,F334+1,F334)</f>
        <v>326</v>
      </c>
      <c r="G335" s="204">
        <f>IFERROR(IF(C335=1,VLOOKUP(A335,Output!$A$27:$AB$137,28,FALSE)/AnnuityMode,0),0)</f>
        <v>0</v>
      </c>
      <c r="H335" s="220">
        <f>IFERROR(IF(AND(MIN(A335&gt;25,Age+A335&gt;=85),B335=12),VLOOKUP(A335,Output!$A$27:$AE$137,31,FALSE),0),0)</f>
        <v>0</v>
      </c>
      <c r="I335" s="221">
        <f>IFERROR(IF(AND(MIN(A335&gt;15,A335+Age&gt;=70),C335=1),VLOOKUP(A335,Output!$A$27:$AF$137,32,FALSE)*VLOOKUP('SV calc_ignore'!A335,Output!$A$27:$AG$137,33,FALSE)/IF(AnnuityMode=2,2,IF(AnnuityMode=4,4,IF(AnnuityMode=12,12,1))),0),0)</f>
        <v>20833.333333333332</v>
      </c>
      <c r="J335" s="227">
        <f t="shared" si="61"/>
        <v>0</v>
      </c>
      <c r="K335" s="209">
        <f t="shared" si="67"/>
        <v>0</v>
      </c>
      <c r="L335" s="209">
        <f t="shared" si="62"/>
        <v>0</v>
      </c>
      <c r="M335" s="210">
        <f t="shared" si="71"/>
        <v>0</v>
      </c>
      <c r="N335" s="211">
        <f t="shared" si="68"/>
        <v>0</v>
      </c>
      <c r="O335" s="194">
        <f t="shared" si="69"/>
        <v>0</v>
      </c>
      <c r="P335" s="212">
        <f t="shared" si="63"/>
        <v>0</v>
      </c>
      <c r="Q335">
        <f t="shared" si="64"/>
        <v>1462974.8984532531</v>
      </c>
      <c r="X335" s="216">
        <f t="shared" si="70"/>
        <v>27</v>
      </c>
      <c r="Y335">
        <f t="shared" si="65"/>
        <v>0</v>
      </c>
    </row>
    <row r="336" spans="1:25" x14ac:dyDescent="0.2">
      <c r="A336" s="204">
        <f>IF(MOD(COUNT($A$10:A335),12)=0,A335+1,A335)</f>
        <v>28</v>
      </c>
      <c r="B336" s="218">
        <f t="shared" si="66"/>
        <v>3</v>
      </c>
      <c r="C336" s="218">
        <f t="shared" si="60"/>
        <v>1</v>
      </c>
      <c r="D336" s="208">
        <f>IF(MOD(COUNT($D$10:D335),6)=0,D335+1,D335)</f>
        <v>55</v>
      </c>
      <c r="E336" s="208">
        <f>IF(MOD(COUNT($E$10:E335),3)=0,E335+1,E335)</f>
        <v>109</v>
      </c>
      <c r="F336" s="208">
        <f>IF(MOD(COUNT($F$10:F335),1)=0,F335+1,F335)</f>
        <v>327</v>
      </c>
      <c r="G336" s="204">
        <f>IFERROR(IF(C336=1,VLOOKUP(A336,Output!$A$27:$AB$137,28,FALSE)/AnnuityMode,0),0)</f>
        <v>0</v>
      </c>
      <c r="H336" s="220">
        <f>IFERROR(IF(AND(MIN(A336&gt;25,Age+A336&gt;=85),B336=12),VLOOKUP(A336,Output!$A$27:$AE$137,31,FALSE),0),0)</f>
        <v>0</v>
      </c>
      <c r="I336" s="221">
        <f>IFERROR(IF(AND(MIN(A336&gt;15,A336+Age&gt;=70),C336=1),VLOOKUP(A336,Output!$A$27:$AF$137,32,FALSE)*VLOOKUP('SV calc_ignore'!A336,Output!$A$27:$AG$137,33,FALSE)/IF(AnnuityMode=2,2,IF(AnnuityMode=4,4,IF(AnnuityMode=12,12,1))),0),0)</f>
        <v>20833.333333333332</v>
      </c>
      <c r="J336" s="227">
        <f t="shared" si="61"/>
        <v>0</v>
      </c>
      <c r="K336" s="209">
        <f t="shared" si="67"/>
        <v>0</v>
      </c>
      <c r="L336" s="209">
        <f t="shared" si="62"/>
        <v>0</v>
      </c>
      <c r="M336" s="210">
        <f t="shared" si="71"/>
        <v>0</v>
      </c>
      <c r="N336" s="211">
        <f t="shared" si="68"/>
        <v>0</v>
      </c>
      <c r="O336" s="194">
        <f t="shared" si="69"/>
        <v>0</v>
      </c>
      <c r="P336" s="212">
        <f t="shared" si="63"/>
        <v>0</v>
      </c>
      <c r="Q336">
        <f t="shared" si="64"/>
        <v>1451979.1242391637</v>
      </c>
      <c r="X336" s="216">
        <f t="shared" si="70"/>
        <v>27</v>
      </c>
      <c r="Y336">
        <f t="shared" si="65"/>
        <v>0</v>
      </c>
    </row>
    <row r="337" spans="1:25" x14ac:dyDescent="0.2">
      <c r="A337" s="204">
        <f>IF(MOD(COUNT($A$10:A336),12)=0,A336+1,A336)</f>
        <v>28</v>
      </c>
      <c r="B337" s="218">
        <f t="shared" si="66"/>
        <v>4</v>
      </c>
      <c r="C337" s="218">
        <f t="shared" si="60"/>
        <v>1</v>
      </c>
      <c r="D337" s="208">
        <f>IF(MOD(COUNT($D$10:D336),6)=0,D336+1,D336)</f>
        <v>55</v>
      </c>
      <c r="E337" s="208">
        <f>IF(MOD(COUNT($E$10:E336),3)=0,E336+1,E336)</f>
        <v>110</v>
      </c>
      <c r="F337" s="208">
        <f>IF(MOD(COUNT($F$10:F336),1)=0,F336+1,F336)</f>
        <v>328</v>
      </c>
      <c r="G337" s="204">
        <f>IFERROR(IF(C337=1,VLOOKUP(A337,Output!$A$27:$AB$137,28,FALSE)/AnnuityMode,0),0)</f>
        <v>0</v>
      </c>
      <c r="H337" s="220">
        <f>IFERROR(IF(AND(MIN(A337&gt;25,Age+A337&gt;=85),B337=12),VLOOKUP(A337,Output!$A$27:$AE$137,31,FALSE),0),0)</f>
        <v>0</v>
      </c>
      <c r="I337" s="221">
        <f>IFERROR(IF(AND(MIN(A337&gt;15,A337+Age&gt;=70),C337=1),VLOOKUP(A337,Output!$A$27:$AF$137,32,FALSE)*VLOOKUP('SV calc_ignore'!A337,Output!$A$27:$AG$137,33,FALSE)/IF(AnnuityMode=2,2,IF(AnnuityMode=4,4,IF(AnnuityMode=12,12,1))),0),0)</f>
        <v>20833.333333333332</v>
      </c>
      <c r="J337" s="227">
        <f t="shared" si="61"/>
        <v>0</v>
      </c>
      <c r="K337" s="209">
        <f t="shared" si="67"/>
        <v>0</v>
      </c>
      <c r="L337" s="209">
        <f t="shared" si="62"/>
        <v>0</v>
      </c>
      <c r="M337" s="210">
        <f t="shared" si="71"/>
        <v>0</v>
      </c>
      <c r="N337" s="211">
        <f t="shared" si="68"/>
        <v>0</v>
      </c>
      <c r="O337" s="194">
        <f t="shared" si="69"/>
        <v>0</v>
      </c>
      <c r="P337" s="212">
        <f t="shared" si="63"/>
        <v>0</v>
      </c>
      <c r="Q337">
        <f t="shared" si="64"/>
        <v>1440908.3424242195</v>
      </c>
      <c r="X337" s="216">
        <f t="shared" si="70"/>
        <v>27</v>
      </c>
      <c r="Y337">
        <f t="shared" si="65"/>
        <v>0</v>
      </c>
    </row>
    <row r="338" spans="1:25" x14ac:dyDescent="0.2">
      <c r="A338" s="204">
        <f>IF(MOD(COUNT($A$10:A337),12)=0,A337+1,A337)</f>
        <v>28</v>
      </c>
      <c r="B338" s="218">
        <f t="shared" si="66"/>
        <v>5</v>
      </c>
      <c r="C338" s="218">
        <f t="shared" si="60"/>
        <v>1</v>
      </c>
      <c r="D338" s="208">
        <f>IF(MOD(COUNT($D$10:D337),6)=0,D337+1,D337)</f>
        <v>55</v>
      </c>
      <c r="E338" s="208">
        <f>IF(MOD(COUNT($E$10:E337),3)=0,E337+1,E337)</f>
        <v>110</v>
      </c>
      <c r="F338" s="208">
        <f>IF(MOD(COUNT($F$10:F337),1)=0,F337+1,F337)</f>
        <v>329</v>
      </c>
      <c r="G338" s="204">
        <f>IFERROR(IF(C338=1,VLOOKUP(A338,Output!$A$27:$AB$137,28,FALSE)/AnnuityMode,0),0)</f>
        <v>0</v>
      </c>
      <c r="H338" s="220">
        <f>IFERROR(IF(AND(MIN(A338&gt;25,Age+A338&gt;=85),B338=12),VLOOKUP(A338,Output!$A$27:$AE$137,31,FALSE),0),0)</f>
        <v>0</v>
      </c>
      <c r="I338" s="221">
        <f>IFERROR(IF(AND(MIN(A338&gt;15,A338+Age&gt;=70),C338=1),VLOOKUP(A338,Output!$A$27:$AF$137,32,FALSE)*VLOOKUP('SV calc_ignore'!A338,Output!$A$27:$AG$137,33,FALSE)/IF(AnnuityMode=2,2,IF(AnnuityMode=4,4,IF(AnnuityMode=12,12,1))),0),0)</f>
        <v>20833.333333333332</v>
      </c>
      <c r="J338" s="227">
        <f t="shared" si="61"/>
        <v>0</v>
      </c>
      <c r="K338" s="209">
        <f t="shared" si="67"/>
        <v>0</v>
      </c>
      <c r="L338" s="209">
        <f t="shared" si="62"/>
        <v>0</v>
      </c>
      <c r="M338" s="210">
        <f t="shared" si="71"/>
        <v>0</v>
      </c>
      <c r="N338" s="211">
        <f t="shared" si="68"/>
        <v>0</v>
      </c>
      <c r="O338" s="194">
        <f t="shared" si="69"/>
        <v>0</v>
      </c>
      <c r="P338" s="212">
        <f t="shared" si="63"/>
        <v>0</v>
      </c>
      <c r="Q338">
        <f t="shared" si="64"/>
        <v>1429762.0413445686</v>
      </c>
      <c r="X338" s="216">
        <f t="shared" si="70"/>
        <v>27</v>
      </c>
      <c r="Y338">
        <f t="shared" si="65"/>
        <v>0</v>
      </c>
    </row>
    <row r="339" spans="1:25" x14ac:dyDescent="0.2">
      <c r="A339" s="204">
        <f>IF(MOD(COUNT($A$10:A338),12)=0,A338+1,A338)</f>
        <v>28</v>
      </c>
      <c r="B339" s="218">
        <f t="shared" si="66"/>
        <v>6</v>
      </c>
      <c r="C339" s="218">
        <f t="shared" si="60"/>
        <v>1</v>
      </c>
      <c r="D339" s="208">
        <f>IF(MOD(COUNT($D$10:D338),6)=0,D338+1,D338)</f>
        <v>55</v>
      </c>
      <c r="E339" s="208">
        <f>IF(MOD(COUNT($E$10:E338),3)=0,E338+1,E338)</f>
        <v>110</v>
      </c>
      <c r="F339" s="208">
        <f>IF(MOD(COUNT($F$10:F338),1)=0,F338+1,F338)</f>
        <v>330</v>
      </c>
      <c r="G339" s="204">
        <f>IFERROR(IF(C339=1,VLOOKUP(A339,Output!$A$27:$AB$137,28,FALSE)/AnnuityMode,0),0)</f>
        <v>0</v>
      </c>
      <c r="H339" s="220">
        <f>IFERROR(IF(AND(MIN(A339&gt;25,Age+A339&gt;=85),B339=12),VLOOKUP(A339,Output!$A$27:$AE$137,31,FALSE),0),0)</f>
        <v>0</v>
      </c>
      <c r="I339" s="221">
        <f>IFERROR(IF(AND(MIN(A339&gt;15,A339+Age&gt;=70),C339=1),VLOOKUP(A339,Output!$A$27:$AF$137,32,FALSE)*VLOOKUP('SV calc_ignore'!A339,Output!$A$27:$AG$137,33,FALSE)/IF(AnnuityMode=2,2,IF(AnnuityMode=4,4,IF(AnnuityMode=12,12,1))),0),0)</f>
        <v>20833.333333333332</v>
      </c>
      <c r="J339" s="227">
        <f t="shared" si="61"/>
        <v>0</v>
      </c>
      <c r="K339" s="209">
        <f t="shared" si="67"/>
        <v>0</v>
      </c>
      <c r="L339" s="209">
        <f t="shared" si="62"/>
        <v>0</v>
      </c>
      <c r="M339" s="210">
        <f t="shared" si="71"/>
        <v>0</v>
      </c>
      <c r="N339" s="211">
        <f t="shared" si="68"/>
        <v>0</v>
      </c>
      <c r="O339" s="194">
        <f t="shared" si="69"/>
        <v>0</v>
      </c>
      <c r="P339" s="212">
        <f t="shared" si="63"/>
        <v>0</v>
      </c>
      <c r="Q339">
        <f t="shared" si="64"/>
        <v>1418539.7058460477</v>
      </c>
      <c r="X339" s="216">
        <f t="shared" si="70"/>
        <v>27</v>
      </c>
      <c r="Y339">
        <f t="shared" si="65"/>
        <v>0</v>
      </c>
    </row>
    <row r="340" spans="1:25" x14ac:dyDescent="0.2">
      <c r="A340" s="204">
        <f>IF(MOD(COUNT($A$10:A339),12)=0,A339+1,A339)</f>
        <v>28</v>
      </c>
      <c r="B340" s="218">
        <f t="shared" si="66"/>
        <v>7</v>
      </c>
      <c r="C340" s="218">
        <f t="shared" si="60"/>
        <v>1</v>
      </c>
      <c r="D340" s="208">
        <f>IF(MOD(COUNT($D$10:D339),6)=0,D339+1,D339)</f>
        <v>56</v>
      </c>
      <c r="E340" s="208">
        <f>IF(MOD(COUNT($E$10:E339),3)=0,E339+1,E339)</f>
        <v>111</v>
      </c>
      <c r="F340" s="208">
        <f>IF(MOD(COUNT($F$10:F339),1)=0,F339+1,F339)</f>
        <v>331</v>
      </c>
      <c r="G340" s="204">
        <f>IFERROR(IF(C340=1,VLOOKUP(A340,Output!$A$27:$AB$137,28,FALSE)/AnnuityMode,0),0)</f>
        <v>0</v>
      </c>
      <c r="H340" s="220">
        <f>IFERROR(IF(AND(MIN(A340&gt;25,Age+A340&gt;=85),B340=12),VLOOKUP(A340,Output!$A$27:$AE$137,31,FALSE),0),0)</f>
        <v>0</v>
      </c>
      <c r="I340" s="221">
        <f>IFERROR(IF(AND(MIN(A340&gt;15,A340+Age&gt;=70),C340=1),VLOOKUP(A340,Output!$A$27:$AF$137,32,FALSE)*VLOOKUP('SV calc_ignore'!A340,Output!$A$27:$AG$137,33,FALSE)/IF(AnnuityMode=2,2,IF(AnnuityMode=4,4,IF(AnnuityMode=12,12,1))),0),0)</f>
        <v>20833.333333333332</v>
      </c>
      <c r="J340" s="227">
        <f t="shared" si="61"/>
        <v>0</v>
      </c>
      <c r="K340" s="209">
        <f t="shared" si="67"/>
        <v>0</v>
      </c>
      <c r="L340" s="209">
        <f t="shared" si="62"/>
        <v>0</v>
      </c>
      <c r="M340" s="210">
        <f t="shared" si="71"/>
        <v>0</v>
      </c>
      <c r="N340" s="211">
        <f t="shared" si="68"/>
        <v>0</v>
      </c>
      <c r="O340" s="194">
        <f t="shared" si="69"/>
        <v>0</v>
      </c>
      <c r="P340" s="212">
        <f t="shared" si="63"/>
        <v>0</v>
      </c>
      <c r="Q340">
        <f t="shared" si="64"/>
        <v>1407240.8172603732</v>
      </c>
      <c r="X340" s="216">
        <f t="shared" si="70"/>
        <v>27</v>
      </c>
      <c r="Y340">
        <f t="shared" si="65"/>
        <v>0</v>
      </c>
    </row>
    <row r="341" spans="1:25" x14ac:dyDescent="0.2">
      <c r="A341" s="204">
        <f>IF(MOD(COUNT($A$10:A340),12)=0,A340+1,A340)</f>
        <v>28</v>
      </c>
      <c r="B341" s="218">
        <f t="shared" si="66"/>
        <v>8</v>
      </c>
      <c r="C341" s="218">
        <f t="shared" si="60"/>
        <v>1</v>
      </c>
      <c r="D341" s="208">
        <f>IF(MOD(COUNT($D$10:D340),6)=0,D340+1,D340)</f>
        <v>56</v>
      </c>
      <c r="E341" s="208">
        <f>IF(MOD(COUNT($E$10:E340),3)=0,E340+1,E340)</f>
        <v>111</v>
      </c>
      <c r="F341" s="208">
        <f>IF(MOD(COUNT($F$10:F340),1)=0,F340+1,F340)</f>
        <v>332</v>
      </c>
      <c r="G341" s="204">
        <f>IFERROR(IF(C341=1,VLOOKUP(A341,Output!$A$27:$AB$137,28,FALSE)/AnnuityMode,0),0)</f>
        <v>0</v>
      </c>
      <c r="H341" s="220">
        <f>IFERROR(IF(AND(MIN(A341&gt;25,Age+A341&gt;=85),B341=12),VLOOKUP(A341,Output!$A$27:$AE$137,31,FALSE),0),0)</f>
        <v>0</v>
      </c>
      <c r="I341" s="221">
        <f>IFERROR(IF(AND(MIN(A341&gt;15,A341+Age&gt;=70),C341=1),VLOOKUP(A341,Output!$A$27:$AF$137,32,FALSE)*VLOOKUP('SV calc_ignore'!A341,Output!$A$27:$AG$137,33,FALSE)/IF(AnnuityMode=2,2,IF(AnnuityMode=4,4,IF(AnnuityMode=12,12,1))),0),0)</f>
        <v>20833.333333333332</v>
      </c>
      <c r="J341" s="227">
        <f t="shared" si="61"/>
        <v>0</v>
      </c>
      <c r="K341" s="209">
        <f t="shared" si="67"/>
        <v>0</v>
      </c>
      <c r="L341" s="209">
        <f t="shared" si="62"/>
        <v>0</v>
      </c>
      <c r="M341" s="210">
        <f t="shared" si="71"/>
        <v>0</v>
      </c>
      <c r="N341" s="211">
        <f t="shared" si="68"/>
        <v>0</v>
      </c>
      <c r="O341" s="194">
        <f t="shared" si="69"/>
        <v>0</v>
      </c>
      <c r="P341" s="212">
        <f t="shared" si="63"/>
        <v>0</v>
      </c>
      <c r="Q341">
        <f t="shared" si="64"/>
        <v>1395864.8533811686</v>
      </c>
      <c r="X341" s="216">
        <f t="shared" si="70"/>
        <v>27</v>
      </c>
      <c r="Y341">
        <f t="shared" si="65"/>
        <v>0</v>
      </c>
    </row>
    <row r="342" spans="1:25" x14ac:dyDescent="0.2">
      <c r="A342" s="204">
        <f>IF(MOD(COUNT($A$10:A341),12)=0,A341+1,A341)</f>
        <v>28</v>
      </c>
      <c r="B342" s="218">
        <f t="shared" si="66"/>
        <v>9</v>
      </c>
      <c r="C342" s="218">
        <f t="shared" si="60"/>
        <v>1</v>
      </c>
      <c r="D342" s="208">
        <f>IF(MOD(COUNT($D$10:D341),6)=0,D341+1,D341)</f>
        <v>56</v>
      </c>
      <c r="E342" s="208">
        <f>IF(MOD(COUNT($E$10:E341),3)=0,E341+1,E341)</f>
        <v>111</v>
      </c>
      <c r="F342" s="208">
        <f>IF(MOD(COUNT($F$10:F341),1)=0,F341+1,F341)</f>
        <v>333</v>
      </c>
      <c r="G342" s="204">
        <f>IFERROR(IF(C342=1,VLOOKUP(A342,Output!$A$27:$AB$137,28,FALSE)/AnnuityMode,0),0)</f>
        <v>0</v>
      </c>
      <c r="H342" s="220">
        <f>IFERROR(IF(AND(MIN(A342&gt;25,Age+A342&gt;=85),B342=12),VLOOKUP(A342,Output!$A$27:$AE$137,31,FALSE),0),0)</f>
        <v>0</v>
      </c>
      <c r="I342" s="221">
        <f>IFERROR(IF(AND(MIN(A342&gt;15,A342+Age&gt;=70),C342=1),VLOOKUP(A342,Output!$A$27:$AF$137,32,FALSE)*VLOOKUP('SV calc_ignore'!A342,Output!$A$27:$AG$137,33,FALSE)/IF(AnnuityMode=2,2,IF(AnnuityMode=4,4,IF(AnnuityMode=12,12,1))),0),0)</f>
        <v>20833.333333333332</v>
      </c>
      <c r="J342" s="227">
        <f t="shared" si="61"/>
        <v>0</v>
      </c>
      <c r="K342" s="209">
        <f t="shared" si="67"/>
        <v>0</v>
      </c>
      <c r="L342" s="209">
        <f t="shared" si="62"/>
        <v>0</v>
      </c>
      <c r="M342" s="210">
        <f t="shared" si="71"/>
        <v>0</v>
      </c>
      <c r="N342" s="211">
        <f t="shared" si="68"/>
        <v>0</v>
      </c>
      <c r="O342" s="194">
        <f t="shared" si="69"/>
        <v>0</v>
      </c>
      <c r="P342" s="212">
        <f t="shared" si="63"/>
        <v>0</v>
      </c>
      <c r="Q342">
        <f t="shared" si="64"/>
        <v>1384411.2884398305</v>
      </c>
      <c r="X342" s="216">
        <f t="shared" si="70"/>
        <v>27</v>
      </c>
      <c r="Y342">
        <f t="shared" si="65"/>
        <v>0</v>
      </c>
    </row>
    <row r="343" spans="1:25" x14ac:dyDescent="0.2">
      <c r="A343" s="204">
        <f>IF(MOD(COUNT($A$10:A342),12)=0,A342+1,A342)</f>
        <v>28</v>
      </c>
      <c r="B343" s="218">
        <f t="shared" si="66"/>
        <v>10</v>
      </c>
      <c r="C343" s="218">
        <f t="shared" si="60"/>
        <v>1</v>
      </c>
      <c r="D343" s="208">
        <f>IF(MOD(COUNT($D$10:D342),6)=0,D342+1,D342)</f>
        <v>56</v>
      </c>
      <c r="E343" s="208">
        <f>IF(MOD(COUNT($E$10:E342),3)=0,E342+1,E342)</f>
        <v>112</v>
      </c>
      <c r="F343" s="208">
        <f>IF(MOD(COUNT($F$10:F342),1)=0,F342+1,F342)</f>
        <v>334</v>
      </c>
      <c r="G343" s="204">
        <f>IFERROR(IF(C343=1,VLOOKUP(A343,Output!$A$27:$AB$137,28,FALSE)/AnnuityMode,0),0)</f>
        <v>0</v>
      </c>
      <c r="H343" s="220">
        <f>IFERROR(IF(AND(MIN(A343&gt;25,Age+A343&gt;=85),B343=12),VLOOKUP(A343,Output!$A$27:$AE$137,31,FALSE),0),0)</f>
        <v>0</v>
      </c>
      <c r="I343" s="221">
        <f>IFERROR(IF(AND(MIN(A343&gt;15,A343+Age&gt;=70),C343=1),VLOOKUP(A343,Output!$A$27:$AF$137,32,FALSE)*VLOOKUP('SV calc_ignore'!A343,Output!$A$27:$AG$137,33,FALSE)/IF(AnnuityMode=2,2,IF(AnnuityMode=4,4,IF(AnnuityMode=12,12,1))),0),0)</f>
        <v>20833.333333333332</v>
      </c>
      <c r="J343" s="227">
        <f t="shared" si="61"/>
        <v>0</v>
      </c>
      <c r="K343" s="209">
        <f t="shared" si="67"/>
        <v>0</v>
      </c>
      <c r="L343" s="209">
        <f t="shared" si="62"/>
        <v>0</v>
      </c>
      <c r="M343" s="210">
        <f t="shared" si="71"/>
        <v>0</v>
      </c>
      <c r="N343" s="211">
        <f t="shared" si="68"/>
        <v>0</v>
      </c>
      <c r="O343" s="194">
        <f t="shared" si="69"/>
        <v>0</v>
      </c>
      <c r="P343" s="212">
        <f t="shared" si="63"/>
        <v>0</v>
      </c>
      <c r="Q343">
        <f t="shared" si="64"/>
        <v>1372879.5930812287</v>
      </c>
      <c r="X343" s="216">
        <f t="shared" si="70"/>
        <v>27</v>
      </c>
      <c r="Y343">
        <f t="shared" si="65"/>
        <v>0</v>
      </c>
    </row>
    <row r="344" spans="1:25" x14ac:dyDescent="0.2">
      <c r="A344" s="204">
        <f>IF(MOD(COUNT($A$10:A343),12)=0,A343+1,A343)</f>
        <v>28</v>
      </c>
      <c r="B344" s="218">
        <f t="shared" si="66"/>
        <v>11</v>
      </c>
      <c r="C344" s="218">
        <f t="shared" si="60"/>
        <v>1</v>
      </c>
      <c r="D344" s="208">
        <f>IF(MOD(COUNT($D$10:D343),6)=0,D343+1,D343)</f>
        <v>56</v>
      </c>
      <c r="E344" s="208">
        <f>IF(MOD(COUNT($E$10:E343),3)=0,E343+1,E343)</f>
        <v>112</v>
      </c>
      <c r="F344" s="208">
        <f>IF(MOD(COUNT($F$10:F343),1)=0,F343+1,F343)</f>
        <v>335</v>
      </c>
      <c r="G344" s="204">
        <f>IFERROR(IF(C344=1,VLOOKUP(A344,Output!$A$27:$AB$137,28,FALSE)/AnnuityMode,0),0)</f>
        <v>0</v>
      </c>
      <c r="H344" s="220">
        <f>IFERROR(IF(AND(MIN(A344&gt;25,Age+A344&gt;=85),B344=12),VLOOKUP(A344,Output!$A$27:$AE$137,31,FALSE),0),0)</f>
        <v>0</v>
      </c>
      <c r="I344" s="221">
        <f>IFERROR(IF(AND(MIN(A344&gt;15,A344+Age&gt;=70),C344=1),VLOOKUP(A344,Output!$A$27:$AF$137,32,FALSE)*VLOOKUP('SV calc_ignore'!A344,Output!$A$27:$AG$137,33,FALSE)/IF(AnnuityMode=2,2,IF(AnnuityMode=4,4,IF(AnnuityMode=12,12,1))),0),0)</f>
        <v>20833.333333333332</v>
      </c>
      <c r="J344" s="227">
        <f t="shared" si="61"/>
        <v>0</v>
      </c>
      <c r="K344" s="209">
        <f t="shared" si="67"/>
        <v>0</v>
      </c>
      <c r="L344" s="209">
        <f t="shared" si="62"/>
        <v>0</v>
      </c>
      <c r="M344" s="210">
        <f t="shared" si="71"/>
        <v>0</v>
      </c>
      <c r="N344" s="211">
        <f t="shared" si="68"/>
        <v>0</v>
      </c>
      <c r="O344" s="194">
        <f t="shared" si="69"/>
        <v>0</v>
      </c>
      <c r="P344" s="212">
        <f t="shared" si="63"/>
        <v>0</v>
      </c>
      <c r="Q344">
        <f t="shared" si="64"/>
        <v>1361269.2343392398</v>
      </c>
      <c r="X344" s="216">
        <f t="shared" si="70"/>
        <v>27</v>
      </c>
      <c r="Y344">
        <f t="shared" si="65"/>
        <v>0</v>
      </c>
    </row>
    <row r="345" spans="1:25" x14ac:dyDescent="0.2">
      <c r="A345" s="204">
        <f>IF(MOD(COUNT($A$10:A344),12)=0,A344+1,A344)</f>
        <v>28</v>
      </c>
      <c r="B345" s="218">
        <f t="shared" si="66"/>
        <v>12</v>
      </c>
      <c r="C345" s="218">
        <f t="shared" si="60"/>
        <v>1</v>
      </c>
      <c r="D345" s="208">
        <f>IF(MOD(COUNT($D$10:D344),6)=0,D344+1,D344)</f>
        <v>56</v>
      </c>
      <c r="E345" s="208">
        <f>IF(MOD(COUNT($E$10:E344),3)=0,E344+1,E344)</f>
        <v>112</v>
      </c>
      <c r="F345" s="208">
        <f>IF(MOD(COUNT($F$10:F344),1)=0,F344+1,F344)</f>
        <v>336</v>
      </c>
      <c r="G345" s="204">
        <f>IFERROR(IF(C345=1,VLOOKUP(A345,Output!$A$27:$AB$137,28,FALSE)/AnnuityMode,0),0)</f>
        <v>0</v>
      </c>
      <c r="H345" s="220">
        <f>IFERROR(IF(AND(MIN(A345&gt;25,Age+A345&gt;=85),B345=12),VLOOKUP(A345,Output!$A$27:$AE$137,31,FALSE),0),0)</f>
        <v>0</v>
      </c>
      <c r="I345" s="221">
        <f>IFERROR(IF(AND(MIN(A345&gt;15,A345+Age&gt;=70),C345=1),VLOOKUP(A345,Output!$A$27:$AF$137,32,FALSE)*VLOOKUP('SV calc_ignore'!A345,Output!$A$27:$AG$137,33,FALSE)/IF(AnnuityMode=2,2,IF(AnnuityMode=4,4,IF(AnnuityMode=12,12,1))),0),0)</f>
        <v>20833.333333333332</v>
      </c>
      <c r="J345" s="227">
        <f t="shared" si="61"/>
        <v>0</v>
      </c>
      <c r="K345" s="209">
        <f t="shared" si="67"/>
        <v>0</v>
      </c>
      <c r="L345" s="209">
        <f t="shared" si="62"/>
        <v>0</v>
      </c>
      <c r="M345" s="210">
        <f t="shared" si="71"/>
        <v>0</v>
      </c>
      <c r="N345" s="211">
        <f t="shared" si="68"/>
        <v>0</v>
      </c>
      <c r="O345" s="194">
        <f t="shared" si="69"/>
        <v>0</v>
      </c>
      <c r="P345" s="212">
        <f t="shared" si="63"/>
        <v>0</v>
      </c>
      <c r="Q345">
        <f t="shared" si="64"/>
        <v>1349579.675612116</v>
      </c>
      <c r="X345" s="216">
        <f t="shared" si="70"/>
        <v>27</v>
      </c>
      <c r="Y345">
        <f t="shared" si="65"/>
        <v>0</v>
      </c>
    </row>
    <row r="346" spans="1:25" x14ac:dyDescent="0.2">
      <c r="A346" s="204">
        <f>IF(MOD(COUNT($A$10:A345),12)=0,A345+1,A345)</f>
        <v>29</v>
      </c>
      <c r="B346" s="218">
        <f t="shared" si="66"/>
        <v>1</v>
      </c>
      <c r="C346" s="218">
        <f t="shared" si="60"/>
        <v>1</v>
      </c>
      <c r="D346" s="208">
        <f>IF(MOD(COUNT($D$10:D345),6)=0,D345+1,D345)</f>
        <v>57</v>
      </c>
      <c r="E346" s="208">
        <f>IF(MOD(COUNT($E$10:E345),3)=0,E345+1,E345)</f>
        <v>113</v>
      </c>
      <c r="F346" s="208">
        <f>IF(MOD(COUNT($F$10:F345),1)=0,F345+1,F345)</f>
        <v>337</v>
      </c>
      <c r="G346" s="204">
        <f>IFERROR(IF(C346=1,VLOOKUP(A346,Output!$A$27:$AB$137,28,FALSE)/AnnuityMode,0),0)</f>
        <v>0</v>
      </c>
      <c r="H346" s="220">
        <f>IFERROR(IF(AND(MIN(A346&gt;25,Age+A346&gt;=85),B346=12),VLOOKUP(A346,Output!$A$27:$AE$137,31,FALSE),0),0)</f>
        <v>0</v>
      </c>
      <c r="I346" s="221">
        <f>IFERROR(IF(AND(MIN(A346&gt;15,A346+Age&gt;=70),C346=1),VLOOKUP(A346,Output!$A$27:$AF$137,32,FALSE)*VLOOKUP('SV calc_ignore'!A346,Output!$A$27:$AG$137,33,FALSE)/IF(AnnuityMode=2,2,IF(AnnuityMode=4,4,IF(AnnuityMode=12,12,1))),0),0)</f>
        <v>20833.333333333332</v>
      </c>
      <c r="J346" s="227">
        <f t="shared" si="61"/>
        <v>0</v>
      </c>
      <c r="K346" s="209">
        <f t="shared" si="67"/>
        <v>0</v>
      </c>
      <c r="L346" s="209">
        <f t="shared" si="62"/>
        <v>0</v>
      </c>
      <c r="M346" s="210">
        <f t="shared" si="71"/>
        <v>0</v>
      </c>
      <c r="N346" s="211">
        <f t="shared" si="68"/>
        <v>0</v>
      </c>
      <c r="O346" s="194">
        <f t="shared" si="69"/>
        <v>0</v>
      </c>
      <c r="P346" s="212">
        <f t="shared" si="63"/>
        <v>0</v>
      </c>
      <c r="Q346">
        <f t="shared" si="64"/>
        <v>1337810.3766376842</v>
      </c>
      <c r="X346" s="216">
        <f t="shared" si="70"/>
        <v>28</v>
      </c>
      <c r="Y346">
        <f t="shared" si="65"/>
        <v>0</v>
      </c>
    </row>
    <row r="347" spans="1:25" x14ac:dyDescent="0.2">
      <c r="A347" s="204">
        <f>IF(MOD(COUNT($A$10:A346),12)=0,A346+1,A346)</f>
        <v>29</v>
      </c>
      <c r="B347" s="218">
        <f t="shared" si="66"/>
        <v>2</v>
      </c>
      <c r="C347" s="218">
        <f t="shared" si="60"/>
        <v>1</v>
      </c>
      <c r="D347" s="208">
        <f>IF(MOD(COUNT($D$10:D346),6)=0,D346+1,D346)</f>
        <v>57</v>
      </c>
      <c r="E347" s="208">
        <f>IF(MOD(COUNT($E$10:E346),3)=0,E346+1,E346)</f>
        <v>113</v>
      </c>
      <c r="F347" s="208">
        <f>IF(MOD(COUNT($F$10:F346),1)=0,F346+1,F346)</f>
        <v>338</v>
      </c>
      <c r="G347" s="204">
        <f>IFERROR(IF(C347=1,VLOOKUP(A347,Output!$A$27:$AB$137,28,FALSE)/AnnuityMode,0),0)</f>
        <v>0</v>
      </c>
      <c r="H347" s="220">
        <f>IFERROR(IF(AND(MIN(A347&gt;25,Age+A347&gt;=85),B347=12),VLOOKUP(A347,Output!$A$27:$AE$137,31,FALSE),0),0)</f>
        <v>0</v>
      </c>
      <c r="I347" s="221">
        <f>IFERROR(IF(AND(MIN(A347&gt;15,A347+Age&gt;=70),C347=1),VLOOKUP(A347,Output!$A$27:$AF$137,32,FALSE)*VLOOKUP('SV calc_ignore'!A347,Output!$A$27:$AG$137,33,FALSE)/IF(AnnuityMode=2,2,IF(AnnuityMode=4,4,IF(AnnuityMode=12,12,1))),0),0)</f>
        <v>20833.333333333332</v>
      </c>
      <c r="J347" s="227">
        <f t="shared" si="61"/>
        <v>0</v>
      </c>
      <c r="K347" s="209">
        <f t="shared" si="67"/>
        <v>0</v>
      </c>
      <c r="L347" s="209">
        <f t="shared" si="62"/>
        <v>0</v>
      </c>
      <c r="M347" s="210">
        <f t="shared" si="71"/>
        <v>0</v>
      </c>
      <c r="N347" s="211">
        <f t="shared" si="68"/>
        <v>0</v>
      </c>
      <c r="O347" s="194">
        <f t="shared" si="69"/>
        <v>0</v>
      </c>
      <c r="P347" s="212">
        <f t="shared" si="63"/>
        <v>0</v>
      </c>
      <c r="Q347">
        <f t="shared" si="64"/>
        <v>1325960.7934683762</v>
      </c>
      <c r="X347" s="216">
        <f t="shared" si="70"/>
        <v>28</v>
      </c>
      <c r="Y347">
        <f t="shared" si="65"/>
        <v>0</v>
      </c>
    </row>
    <row r="348" spans="1:25" x14ac:dyDescent="0.2">
      <c r="A348" s="204">
        <f>IF(MOD(COUNT($A$10:A347),12)=0,A347+1,A347)</f>
        <v>29</v>
      </c>
      <c r="B348" s="218">
        <f t="shared" si="66"/>
        <v>3</v>
      </c>
      <c r="C348" s="218">
        <f t="shared" si="60"/>
        <v>1</v>
      </c>
      <c r="D348" s="208">
        <f>IF(MOD(COUNT($D$10:D347),6)=0,D347+1,D347)</f>
        <v>57</v>
      </c>
      <c r="E348" s="208">
        <f>IF(MOD(COUNT($E$10:E347),3)=0,E347+1,E347)</f>
        <v>113</v>
      </c>
      <c r="F348" s="208">
        <f>IF(MOD(COUNT($F$10:F347),1)=0,F347+1,F347)</f>
        <v>339</v>
      </c>
      <c r="G348" s="204">
        <f>IFERROR(IF(C348=1,VLOOKUP(A348,Output!$A$27:$AB$137,28,FALSE)/AnnuityMode,0),0)</f>
        <v>0</v>
      </c>
      <c r="H348" s="220">
        <f>IFERROR(IF(AND(MIN(A348&gt;25,Age+A348&gt;=85),B348=12),VLOOKUP(A348,Output!$A$27:$AE$137,31,FALSE),0),0)</f>
        <v>0</v>
      </c>
      <c r="I348" s="221">
        <f>IFERROR(IF(AND(MIN(A348&gt;15,A348+Age&gt;=70),C348=1),VLOOKUP(A348,Output!$A$27:$AF$137,32,FALSE)*VLOOKUP('SV calc_ignore'!A348,Output!$A$27:$AG$137,33,FALSE)/IF(AnnuityMode=2,2,IF(AnnuityMode=4,4,IF(AnnuityMode=12,12,1))),0),0)</f>
        <v>20833.333333333332</v>
      </c>
      <c r="J348" s="227">
        <f t="shared" si="61"/>
        <v>0</v>
      </c>
      <c r="K348" s="209">
        <f t="shared" si="67"/>
        <v>0</v>
      </c>
      <c r="L348" s="209">
        <f t="shared" si="62"/>
        <v>0</v>
      </c>
      <c r="M348" s="210">
        <f t="shared" si="71"/>
        <v>0</v>
      </c>
      <c r="N348" s="211">
        <f t="shared" si="68"/>
        <v>0</v>
      </c>
      <c r="O348" s="194">
        <f t="shared" si="69"/>
        <v>0</v>
      </c>
      <c r="P348" s="212">
        <f t="shared" si="63"/>
        <v>0</v>
      </c>
      <c r="Q348">
        <f t="shared" si="64"/>
        <v>1314030.3784460893</v>
      </c>
      <c r="X348" s="216">
        <f t="shared" si="70"/>
        <v>28</v>
      </c>
      <c r="Y348">
        <f t="shared" si="65"/>
        <v>0</v>
      </c>
    </row>
    <row r="349" spans="1:25" x14ac:dyDescent="0.2">
      <c r="A349" s="204">
        <f>IF(MOD(COUNT($A$10:A348),12)=0,A348+1,A348)</f>
        <v>29</v>
      </c>
      <c r="B349" s="218">
        <f t="shared" si="66"/>
        <v>4</v>
      </c>
      <c r="C349" s="218">
        <f t="shared" si="60"/>
        <v>1</v>
      </c>
      <c r="D349" s="208">
        <f>IF(MOD(COUNT($D$10:D348),6)=0,D348+1,D348)</f>
        <v>57</v>
      </c>
      <c r="E349" s="208">
        <f>IF(MOD(COUNT($E$10:E348),3)=0,E348+1,E348)</f>
        <v>114</v>
      </c>
      <c r="F349" s="208">
        <f>IF(MOD(COUNT($F$10:F348),1)=0,F348+1,F348)</f>
        <v>340</v>
      </c>
      <c r="G349" s="204">
        <f>IFERROR(IF(C349=1,VLOOKUP(A349,Output!$A$27:$AB$137,28,FALSE)/AnnuityMode,0),0)</f>
        <v>0</v>
      </c>
      <c r="H349" s="220">
        <f>IFERROR(IF(AND(MIN(A349&gt;25,Age+A349&gt;=85),B349=12),VLOOKUP(A349,Output!$A$27:$AE$137,31,FALSE),0),0)</f>
        <v>0</v>
      </c>
      <c r="I349" s="221">
        <f>IFERROR(IF(AND(MIN(A349&gt;15,A349+Age&gt;=70),C349=1),VLOOKUP(A349,Output!$A$27:$AF$137,32,FALSE)*VLOOKUP('SV calc_ignore'!A349,Output!$A$27:$AG$137,33,FALSE)/IF(AnnuityMode=2,2,IF(AnnuityMode=4,4,IF(AnnuityMode=12,12,1))),0),0)</f>
        <v>20833.333333333332</v>
      </c>
      <c r="J349" s="227">
        <f t="shared" si="61"/>
        <v>0</v>
      </c>
      <c r="K349" s="209">
        <f t="shared" si="67"/>
        <v>0</v>
      </c>
      <c r="L349" s="209">
        <f t="shared" si="62"/>
        <v>0</v>
      </c>
      <c r="M349" s="210">
        <f t="shared" si="71"/>
        <v>0</v>
      </c>
      <c r="N349" s="211">
        <f t="shared" si="68"/>
        <v>0</v>
      </c>
      <c r="O349" s="194">
        <f t="shared" si="69"/>
        <v>0</v>
      </c>
      <c r="P349" s="212">
        <f t="shared" si="63"/>
        <v>0</v>
      </c>
      <c r="Q349">
        <f t="shared" si="64"/>
        <v>1302018.5801768748</v>
      </c>
      <c r="X349" s="216">
        <f t="shared" si="70"/>
        <v>28</v>
      </c>
      <c r="Y349">
        <f t="shared" si="65"/>
        <v>0</v>
      </c>
    </row>
    <row r="350" spans="1:25" x14ac:dyDescent="0.2">
      <c r="A350" s="204">
        <f>IF(MOD(COUNT($A$10:A349),12)=0,A349+1,A349)</f>
        <v>29</v>
      </c>
      <c r="B350" s="218">
        <f t="shared" si="66"/>
        <v>5</v>
      </c>
      <c r="C350" s="218">
        <f t="shared" si="60"/>
        <v>1</v>
      </c>
      <c r="D350" s="208">
        <f>IF(MOD(COUNT($D$10:D349),6)=0,D349+1,D349)</f>
        <v>57</v>
      </c>
      <c r="E350" s="208">
        <f>IF(MOD(COUNT($E$10:E349),3)=0,E349+1,E349)</f>
        <v>114</v>
      </c>
      <c r="F350" s="208">
        <f>IF(MOD(COUNT($F$10:F349),1)=0,F349+1,F349)</f>
        <v>341</v>
      </c>
      <c r="G350" s="204">
        <f>IFERROR(IF(C350=1,VLOOKUP(A350,Output!$A$27:$AB$137,28,FALSE)/AnnuityMode,0),0)</f>
        <v>0</v>
      </c>
      <c r="H350" s="220">
        <f>IFERROR(IF(AND(MIN(A350&gt;25,Age+A350&gt;=85),B350=12),VLOOKUP(A350,Output!$A$27:$AE$137,31,FALSE),0),0)</f>
        <v>0</v>
      </c>
      <c r="I350" s="221">
        <f>IFERROR(IF(AND(MIN(A350&gt;15,A350+Age&gt;=70),C350=1),VLOOKUP(A350,Output!$A$27:$AF$137,32,FALSE)*VLOOKUP('SV calc_ignore'!A350,Output!$A$27:$AG$137,33,FALSE)/IF(AnnuityMode=2,2,IF(AnnuityMode=4,4,IF(AnnuityMode=12,12,1))),0),0)</f>
        <v>20833.333333333332</v>
      </c>
      <c r="J350" s="227">
        <f t="shared" si="61"/>
        <v>0</v>
      </c>
      <c r="K350" s="209">
        <f t="shared" si="67"/>
        <v>0</v>
      </c>
      <c r="L350" s="209">
        <f t="shared" si="62"/>
        <v>0</v>
      </c>
      <c r="M350" s="210">
        <f t="shared" si="71"/>
        <v>0</v>
      </c>
      <c r="N350" s="211">
        <f t="shared" si="68"/>
        <v>0</v>
      </c>
      <c r="O350" s="194">
        <f t="shared" si="69"/>
        <v>0</v>
      </c>
      <c r="P350" s="212">
        <f t="shared" si="63"/>
        <v>0</v>
      </c>
      <c r="Q350">
        <f t="shared" si="64"/>
        <v>1289924.8435054536</v>
      </c>
      <c r="X350" s="216">
        <f t="shared" si="70"/>
        <v>28</v>
      </c>
      <c r="Y350">
        <f t="shared" si="65"/>
        <v>0</v>
      </c>
    </row>
    <row r="351" spans="1:25" x14ac:dyDescent="0.2">
      <c r="A351" s="204">
        <f>IF(MOD(COUNT($A$10:A350),12)=0,A350+1,A350)</f>
        <v>29</v>
      </c>
      <c r="B351" s="218">
        <f t="shared" si="66"/>
        <v>6</v>
      </c>
      <c r="C351" s="218">
        <f t="shared" si="60"/>
        <v>1</v>
      </c>
      <c r="D351" s="208">
        <f>IF(MOD(COUNT($D$10:D350),6)=0,D350+1,D350)</f>
        <v>57</v>
      </c>
      <c r="E351" s="208">
        <f>IF(MOD(COUNT($E$10:E350),3)=0,E350+1,E350)</f>
        <v>114</v>
      </c>
      <c r="F351" s="208">
        <f>IF(MOD(COUNT($F$10:F350),1)=0,F350+1,F350)</f>
        <v>342</v>
      </c>
      <c r="G351" s="204">
        <f>IFERROR(IF(C351=1,VLOOKUP(A351,Output!$A$27:$AB$137,28,FALSE)/AnnuityMode,0),0)</f>
        <v>0</v>
      </c>
      <c r="H351" s="220">
        <f>IFERROR(IF(AND(MIN(A351&gt;25,Age+A351&gt;=85),B351=12),VLOOKUP(A351,Output!$A$27:$AE$137,31,FALSE),0),0)</f>
        <v>0</v>
      </c>
      <c r="I351" s="221">
        <f>IFERROR(IF(AND(MIN(A351&gt;15,A351+Age&gt;=70),C351=1),VLOOKUP(A351,Output!$A$27:$AF$137,32,FALSE)*VLOOKUP('SV calc_ignore'!A351,Output!$A$27:$AG$137,33,FALSE)/IF(AnnuityMode=2,2,IF(AnnuityMode=4,4,IF(AnnuityMode=12,12,1))),0),0)</f>
        <v>20833.333333333332</v>
      </c>
      <c r="J351" s="227">
        <f t="shared" si="61"/>
        <v>0</v>
      </c>
      <c r="K351" s="209">
        <f t="shared" si="67"/>
        <v>0</v>
      </c>
      <c r="L351" s="209">
        <f t="shared" si="62"/>
        <v>0</v>
      </c>
      <c r="M351" s="210">
        <f t="shared" si="71"/>
        <v>0</v>
      </c>
      <c r="N351" s="211">
        <f t="shared" si="68"/>
        <v>0</v>
      </c>
      <c r="O351" s="194">
        <f t="shared" si="69"/>
        <v>0</v>
      </c>
      <c r="P351" s="212">
        <f t="shared" si="63"/>
        <v>0</v>
      </c>
      <c r="Q351">
        <f t="shared" si="64"/>
        <v>1277748.6094895585</v>
      </c>
      <c r="X351" s="216">
        <f t="shared" si="70"/>
        <v>28</v>
      </c>
      <c r="Y351">
        <f t="shared" si="65"/>
        <v>0</v>
      </c>
    </row>
    <row r="352" spans="1:25" x14ac:dyDescent="0.2">
      <c r="A352" s="204">
        <f>IF(MOD(COUNT($A$10:A351),12)=0,A351+1,A351)</f>
        <v>29</v>
      </c>
      <c r="B352" s="218">
        <f t="shared" si="66"/>
        <v>7</v>
      </c>
      <c r="C352" s="218">
        <f t="shared" si="60"/>
        <v>1</v>
      </c>
      <c r="D352" s="208">
        <f>IF(MOD(COUNT($D$10:D351),6)=0,D351+1,D351)</f>
        <v>58</v>
      </c>
      <c r="E352" s="208">
        <f>IF(MOD(COUNT($E$10:E351),3)=0,E351+1,E351)</f>
        <v>115</v>
      </c>
      <c r="F352" s="208">
        <f>IF(MOD(COUNT($F$10:F351),1)=0,F351+1,F351)</f>
        <v>343</v>
      </c>
      <c r="G352" s="204">
        <f>IFERROR(IF(C352=1,VLOOKUP(A352,Output!$A$27:$AB$137,28,FALSE)/AnnuityMode,0),0)</f>
        <v>0</v>
      </c>
      <c r="H352" s="220">
        <f>IFERROR(IF(AND(MIN(A352&gt;25,Age+A352&gt;=85),B352=12),VLOOKUP(A352,Output!$A$27:$AE$137,31,FALSE),0),0)</f>
        <v>0</v>
      </c>
      <c r="I352" s="221">
        <f>IFERROR(IF(AND(MIN(A352&gt;15,A352+Age&gt;=70),C352=1),VLOOKUP(A352,Output!$A$27:$AF$137,32,FALSE)*VLOOKUP('SV calc_ignore'!A352,Output!$A$27:$AG$137,33,FALSE)/IF(AnnuityMode=2,2,IF(AnnuityMode=4,4,IF(AnnuityMode=12,12,1))),0),0)</f>
        <v>20833.333333333332</v>
      </c>
      <c r="J352" s="227">
        <f t="shared" si="61"/>
        <v>0</v>
      </c>
      <c r="K352" s="209">
        <f t="shared" si="67"/>
        <v>0</v>
      </c>
      <c r="L352" s="209">
        <f t="shared" si="62"/>
        <v>0</v>
      </c>
      <c r="M352" s="210">
        <f t="shared" si="71"/>
        <v>0</v>
      </c>
      <c r="N352" s="211">
        <f t="shared" si="68"/>
        <v>0</v>
      </c>
      <c r="O352" s="194">
        <f t="shared" si="69"/>
        <v>0</v>
      </c>
      <c r="P352" s="212">
        <f t="shared" si="63"/>
        <v>0</v>
      </c>
      <c r="Q352">
        <f t="shared" si="64"/>
        <v>1265489.3153741015</v>
      </c>
      <c r="X352" s="216">
        <f t="shared" si="70"/>
        <v>28</v>
      </c>
      <c r="Y352">
        <f t="shared" si="65"/>
        <v>0</v>
      </c>
    </row>
    <row r="353" spans="1:25" x14ac:dyDescent="0.2">
      <c r="A353" s="204">
        <f>IF(MOD(COUNT($A$10:A352),12)=0,A352+1,A352)</f>
        <v>29</v>
      </c>
      <c r="B353" s="218">
        <f t="shared" si="66"/>
        <v>8</v>
      </c>
      <c r="C353" s="218">
        <f t="shared" si="60"/>
        <v>1</v>
      </c>
      <c r="D353" s="208">
        <f>IF(MOD(COUNT($D$10:D352),6)=0,D352+1,D352)</f>
        <v>58</v>
      </c>
      <c r="E353" s="208">
        <f>IF(MOD(COUNT($E$10:E352),3)=0,E352+1,E352)</f>
        <v>115</v>
      </c>
      <c r="F353" s="208">
        <f>IF(MOD(COUNT($F$10:F352),1)=0,F352+1,F352)</f>
        <v>344</v>
      </c>
      <c r="G353" s="204">
        <f>IFERROR(IF(C353=1,VLOOKUP(A353,Output!$A$27:$AB$137,28,FALSE)/AnnuityMode,0),0)</f>
        <v>0</v>
      </c>
      <c r="H353" s="220">
        <f>IFERROR(IF(AND(MIN(A353&gt;25,Age+A353&gt;=85),B353=12),VLOOKUP(A353,Output!$A$27:$AE$137,31,FALSE),0),0)</f>
        <v>0</v>
      </c>
      <c r="I353" s="221">
        <f>IFERROR(IF(AND(MIN(A353&gt;15,A353+Age&gt;=70),C353=1),VLOOKUP(A353,Output!$A$27:$AF$137,32,FALSE)*VLOOKUP('SV calc_ignore'!A353,Output!$A$27:$AG$137,33,FALSE)/IF(AnnuityMode=2,2,IF(AnnuityMode=4,4,IF(AnnuityMode=12,12,1))),0),0)</f>
        <v>20833.333333333332</v>
      </c>
      <c r="J353" s="227">
        <f t="shared" si="61"/>
        <v>0</v>
      </c>
      <c r="K353" s="209">
        <f t="shared" si="67"/>
        <v>0</v>
      </c>
      <c r="L353" s="209">
        <f t="shared" si="62"/>
        <v>0</v>
      </c>
      <c r="M353" s="210">
        <f t="shared" si="71"/>
        <v>0</v>
      </c>
      <c r="N353" s="211">
        <f t="shared" si="68"/>
        <v>0</v>
      </c>
      <c r="O353" s="194">
        <f t="shared" si="69"/>
        <v>0</v>
      </c>
      <c r="P353" s="212">
        <f t="shared" si="63"/>
        <v>0</v>
      </c>
      <c r="Q353">
        <f t="shared" si="64"/>
        <v>1253146.3945651646</v>
      </c>
      <c r="X353" s="216">
        <f t="shared" si="70"/>
        <v>28</v>
      </c>
      <c r="Y353">
        <f t="shared" si="65"/>
        <v>0</v>
      </c>
    </row>
    <row r="354" spans="1:25" x14ac:dyDescent="0.2">
      <c r="A354" s="204">
        <f>IF(MOD(COUNT($A$10:A353),12)=0,A353+1,A353)</f>
        <v>29</v>
      </c>
      <c r="B354" s="218">
        <f t="shared" si="66"/>
        <v>9</v>
      </c>
      <c r="C354" s="218">
        <f t="shared" si="60"/>
        <v>1</v>
      </c>
      <c r="D354" s="208">
        <f>IF(MOD(COUNT($D$10:D353),6)=0,D353+1,D353)</f>
        <v>58</v>
      </c>
      <c r="E354" s="208">
        <f>IF(MOD(COUNT($E$10:E353),3)=0,E353+1,E353)</f>
        <v>115</v>
      </c>
      <c r="F354" s="208">
        <f>IF(MOD(COUNT($F$10:F353),1)=0,F353+1,F353)</f>
        <v>345</v>
      </c>
      <c r="G354" s="204">
        <f>IFERROR(IF(C354=1,VLOOKUP(A354,Output!$A$27:$AB$137,28,FALSE)/AnnuityMode,0),0)</f>
        <v>0</v>
      </c>
      <c r="H354" s="220">
        <f>IFERROR(IF(AND(MIN(A354&gt;25,Age+A354&gt;=85),B354=12),VLOOKUP(A354,Output!$A$27:$AE$137,31,FALSE),0),0)</f>
        <v>0</v>
      </c>
      <c r="I354" s="221">
        <f>IFERROR(IF(AND(MIN(A354&gt;15,A354+Age&gt;=70),C354=1),VLOOKUP(A354,Output!$A$27:$AF$137,32,FALSE)*VLOOKUP('SV calc_ignore'!A354,Output!$A$27:$AG$137,33,FALSE)/IF(AnnuityMode=2,2,IF(AnnuityMode=4,4,IF(AnnuityMode=12,12,1))),0),0)</f>
        <v>20833.333333333332</v>
      </c>
      <c r="J354" s="227">
        <f t="shared" si="61"/>
        <v>0</v>
      </c>
      <c r="K354" s="209">
        <f t="shared" si="67"/>
        <v>0</v>
      </c>
      <c r="L354" s="209">
        <f t="shared" si="62"/>
        <v>0</v>
      </c>
      <c r="M354" s="210">
        <f t="shared" si="71"/>
        <v>0</v>
      </c>
      <c r="N354" s="211">
        <f t="shared" si="68"/>
        <v>0</v>
      </c>
      <c r="O354" s="194">
        <f t="shared" si="69"/>
        <v>0</v>
      </c>
      <c r="P354" s="212">
        <f t="shared" si="63"/>
        <v>0</v>
      </c>
      <c r="Q354">
        <f t="shared" si="64"/>
        <v>1240719.2766038128</v>
      </c>
      <c r="X354" s="216">
        <f t="shared" si="70"/>
        <v>28</v>
      </c>
      <c r="Y354">
        <f t="shared" si="65"/>
        <v>0</v>
      </c>
    </row>
    <row r="355" spans="1:25" x14ac:dyDescent="0.2">
      <c r="A355" s="204">
        <f>IF(MOD(COUNT($A$10:A354),12)=0,A354+1,A354)</f>
        <v>29</v>
      </c>
      <c r="B355" s="218">
        <f t="shared" si="66"/>
        <v>10</v>
      </c>
      <c r="C355" s="218">
        <f t="shared" si="60"/>
        <v>1</v>
      </c>
      <c r="D355" s="208">
        <f>IF(MOD(COUNT($D$10:D354),6)=0,D354+1,D354)</f>
        <v>58</v>
      </c>
      <c r="E355" s="208">
        <f>IF(MOD(COUNT($E$10:E354),3)=0,E354+1,E354)</f>
        <v>116</v>
      </c>
      <c r="F355" s="208">
        <f>IF(MOD(COUNT($F$10:F354),1)=0,F354+1,F354)</f>
        <v>346</v>
      </c>
      <c r="G355" s="204">
        <f>IFERROR(IF(C355=1,VLOOKUP(A355,Output!$A$27:$AB$137,28,FALSE)/AnnuityMode,0),0)</f>
        <v>0</v>
      </c>
      <c r="H355" s="220">
        <f>IFERROR(IF(AND(MIN(A355&gt;25,Age+A355&gt;=85),B355=12),VLOOKUP(A355,Output!$A$27:$AE$137,31,FALSE),0),0)</f>
        <v>0</v>
      </c>
      <c r="I355" s="221">
        <f>IFERROR(IF(AND(MIN(A355&gt;15,A355+Age&gt;=70),C355=1),VLOOKUP(A355,Output!$A$27:$AF$137,32,FALSE)*VLOOKUP('SV calc_ignore'!A355,Output!$A$27:$AG$137,33,FALSE)/IF(AnnuityMode=2,2,IF(AnnuityMode=4,4,IF(AnnuityMode=12,12,1))),0),0)</f>
        <v>20833.333333333332</v>
      </c>
      <c r="J355" s="227">
        <f t="shared" si="61"/>
        <v>0</v>
      </c>
      <c r="K355" s="209">
        <f t="shared" si="67"/>
        <v>0</v>
      </c>
      <c r="L355" s="209">
        <f t="shared" si="62"/>
        <v>0</v>
      </c>
      <c r="M355" s="210">
        <f t="shared" si="71"/>
        <v>0</v>
      </c>
      <c r="N355" s="211">
        <f t="shared" si="68"/>
        <v>0</v>
      </c>
      <c r="O355" s="194">
        <f t="shared" si="69"/>
        <v>0</v>
      </c>
      <c r="P355" s="212">
        <f t="shared" si="63"/>
        <v>0</v>
      </c>
      <c r="Q355">
        <f t="shared" si="64"/>
        <v>1228207.3871397297</v>
      </c>
      <c r="X355" s="216">
        <f t="shared" si="70"/>
        <v>28</v>
      </c>
      <c r="Y355">
        <f t="shared" si="65"/>
        <v>0</v>
      </c>
    </row>
    <row r="356" spans="1:25" x14ac:dyDescent="0.2">
      <c r="A356" s="204">
        <f>IF(MOD(COUNT($A$10:A355),12)=0,A355+1,A355)</f>
        <v>29</v>
      </c>
      <c r="B356" s="218">
        <f t="shared" si="66"/>
        <v>11</v>
      </c>
      <c r="C356" s="218">
        <f t="shared" si="60"/>
        <v>1</v>
      </c>
      <c r="D356" s="208">
        <f>IF(MOD(COUNT($D$10:D355),6)=0,D355+1,D355)</f>
        <v>58</v>
      </c>
      <c r="E356" s="208">
        <f>IF(MOD(COUNT($E$10:E355),3)=0,E355+1,E355)</f>
        <v>116</v>
      </c>
      <c r="F356" s="208">
        <f>IF(MOD(COUNT($F$10:F355),1)=0,F355+1,F355)</f>
        <v>347</v>
      </c>
      <c r="G356" s="204">
        <f>IFERROR(IF(C356=1,VLOOKUP(A356,Output!$A$27:$AB$137,28,FALSE)/AnnuityMode,0),0)</f>
        <v>0</v>
      </c>
      <c r="H356" s="220">
        <f>IFERROR(IF(AND(MIN(A356&gt;25,Age+A356&gt;=85),B356=12),VLOOKUP(A356,Output!$A$27:$AE$137,31,FALSE),0),0)</f>
        <v>0</v>
      </c>
      <c r="I356" s="221">
        <f>IFERROR(IF(AND(MIN(A356&gt;15,A356+Age&gt;=70),C356=1),VLOOKUP(A356,Output!$A$27:$AF$137,32,FALSE)*VLOOKUP('SV calc_ignore'!A356,Output!$A$27:$AG$137,33,FALSE)/IF(AnnuityMode=2,2,IF(AnnuityMode=4,4,IF(AnnuityMode=12,12,1))),0),0)</f>
        <v>20833.333333333332</v>
      </c>
      <c r="J356" s="227">
        <f t="shared" si="61"/>
        <v>0</v>
      </c>
      <c r="K356" s="209">
        <f t="shared" si="67"/>
        <v>0</v>
      </c>
      <c r="L356" s="209">
        <f t="shared" si="62"/>
        <v>0</v>
      </c>
      <c r="M356" s="210">
        <f t="shared" si="71"/>
        <v>0</v>
      </c>
      <c r="N356" s="211">
        <f t="shared" si="68"/>
        <v>0</v>
      </c>
      <c r="O356" s="194">
        <f t="shared" si="69"/>
        <v>0</v>
      </c>
      <c r="P356" s="212">
        <f t="shared" si="63"/>
        <v>0</v>
      </c>
      <c r="Q356">
        <f t="shared" si="64"/>
        <v>1215610.1479046717</v>
      </c>
      <c r="X356" s="216">
        <f t="shared" si="70"/>
        <v>28</v>
      </c>
      <c r="Y356">
        <f t="shared" si="65"/>
        <v>0</v>
      </c>
    </row>
    <row r="357" spans="1:25" x14ac:dyDescent="0.2">
      <c r="A357" s="204">
        <f>IF(MOD(COUNT($A$10:A356),12)=0,A356+1,A356)</f>
        <v>29</v>
      </c>
      <c r="B357" s="218">
        <f t="shared" si="66"/>
        <v>12</v>
      </c>
      <c r="C357" s="218">
        <f t="shared" si="60"/>
        <v>1</v>
      </c>
      <c r="D357" s="208">
        <f>IF(MOD(COUNT($D$10:D356),6)=0,D356+1,D356)</f>
        <v>58</v>
      </c>
      <c r="E357" s="208">
        <f>IF(MOD(COUNT($E$10:E356),3)=0,E356+1,E356)</f>
        <v>116</v>
      </c>
      <c r="F357" s="208">
        <f>IF(MOD(COUNT($F$10:F356),1)=0,F356+1,F356)</f>
        <v>348</v>
      </c>
      <c r="G357" s="204">
        <f>IFERROR(IF(C357=1,VLOOKUP(A357,Output!$A$27:$AB$137,28,FALSE)/AnnuityMode,0),0)</f>
        <v>0</v>
      </c>
      <c r="H357" s="220">
        <f>IFERROR(IF(AND(MIN(A357&gt;25,Age+A357&gt;=85),B357=12),VLOOKUP(A357,Output!$A$27:$AE$137,31,FALSE),0),0)</f>
        <v>0</v>
      </c>
      <c r="I357" s="221">
        <f>IFERROR(IF(AND(MIN(A357&gt;15,A357+Age&gt;=70),C357=1),VLOOKUP(A357,Output!$A$27:$AF$137,32,FALSE)*VLOOKUP('SV calc_ignore'!A357,Output!$A$27:$AG$137,33,FALSE)/IF(AnnuityMode=2,2,IF(AnnuityMode=4,4,IF(AnnuityMode=12,12,1))),0),0)</f>
        <v>20833.333333333332</v>
      </c>
      <c r="J357" s="227">
        <f t="shared" si="61"/>
        <v>0</v>
      </c>
      <c r="K357" s="209">
        <f t="shared" si="67"/>
        <v>0</v>
      </c>
      <c r="L357" s="209">
        <f t="shared" si="62"/>
        <v>0</v>
      </c>
      <c r="M357" s="210">
        <f t="shared" si="71"/>
        <v>0</v>
      </c>
      <c r="N357" s="211">
        <f t="shared" si="68"/>
        <v>0</v>
      </c>
      <c r="O357" s="194">
        <f t="shared" si="69"/>
        <v>0</v>
      </c>
      <c r="P357" s="212">
        <f t="shared" si="63"/>
        <v>0</v>
      </c>
      <c r="Q357">
        <f t="shared" si="64"/>
        <v>1202926.9766857424</v>
      </c>
      <c r="X357" s="216">
        <f t="shared" si="70"/>
        <v>28</v>
      </c>
      <c r="Y357">
        <f t="shared" si="65"/>
        <v>0</v>
      </c>
    </row>
    <row r="358" spans="1:25" x14ac:dyDescent="0.2">
      <c r="A358" s="204">
        <f>IF(MOD(COUNT($A$10:A357),12)=0,A357+1,A357)</f>
        <v>30</v>
      </c>
      <c r="B358" s="218">
        <f t="shared" si="66"/>
        <v>1</v>
      </c>
      <c r="C358" s="218">
        <f t="shared" si="60"/>
        <v>1</v>
      </c>
      <c r="D358" s="208">
        <f>IF(MOD(COUNT($D$10:D357),6)=0,D357+1,D357)</f>
        <v>59</v>
      </c>
      <c r="E358" s="208">
        <f>IF(MOD(COUNT($E$10:E357),3)=0,E357+1,E357)</f>
        <v>117</v>
      </c>
      <c r="F358" s="208">
        <f>IF(MOD(COUNT($F$10:F357),1)=0,F357+1,F357)</f>
        <v>349</v>
      </c>
      <c r="G358" s="204">
        <f>IFERROR(IF(C358=1,VLOOKUP(A358,Output!$A$27:$AB$137,28,FALSE)/AnnuityMode,0),0)</f>
        <v>0</v>
      </c>
      <c r="H358" s="220">
        <f>IFERROR(IF(AND(MIN(A358&gt;25,Age+A358&gt;=85),B358=12),VLOOKUP(A358,Output!$A$27:$AE$137,31,FALSE),0),0)</f>
        <v>0</v>
      </c>
      <c r="I358" s="221">
        <f>IFERROR(IF(AND(MIN(A358&gt;15,A358+Age&gt;=70),C358=1),VLOOKUP(A358,Output!$A$27:$AF$137,32,FALSE)*VLOOKUP('SV calc_ignore'!A358,Output!$A$27:$AG$137,33,FALSE)/IF(AnnuityMode=2,2,IF(AnnuityMode=4,4,IF(AnnuityMode=12,12,1))),0),0)</f>
        <v>20833.333333333332</v>
      </c>
      <c r="J358" s="227">
        <f t="shared" si="61"/>
        <v>0</v>
      </c>
      <c r="K358" s="209">
        <f t="shared" si="67"/>
        <v>0</v>
      </c>
      <c r="L358" s="209">
        <f t="shared" si="62"/>
        <v>0</v>
      </c>
      <c r="M358" s="210">
        <f t="shared" si="71"/>
        <v>0</v>
      </c>
      <c r="N358" s="211">
        <f t="shared" si="68"/>
        <v>0</v>
      </c>
      <c r="O358" s="194">
        <f t="shared" si="69"/>
        <v>0</v>
      </c>
      <c r="P358" s="212">
        <f t="shared" si="63"/>
        <v>0</v>
      </c>
      <c r="Q358">
        <f t="shared" si="64"/>
        <v>1190157.2872984838</v>
      </c>
      <c r="X358" s="216">
        <f t="shared" si="70"/>
        <v>29</v>
      </c>
      <c r="Y358">
        <f t="shared" si="65"/>
        <v>0</v>
      </c>
    </row>
    <row r="359" spans="1:25" x14ac:dyDescent="0.2">
      <c r="A359" s="204">
        <f>IF(MOD(COUNT($A$10:A358),12)=0,A358+1,A358)</f>
        <v>30</v>
      </c>
      <c r="B359" s="218">
        <f t="shared" si="66"/>
        <v>2</v>
      </c>
      <c r="C359" s="218">
        <f t="shared" si="60"/>
        <v>1</v>
      </c>
      <c r="D359" s="208">
        <f>IF(MOD(COUNT($D$10:D358),6)=0,D358+1,D358)</f>
        <v>59</v>
      </c>
      <c r="E359" s="208">
        <f>IF(MOD(COUNT($E$10:E358),3)=0,E358+1,E358)</f>
        <v>117</v>
      </c>
      <c r="F359" s="208">
        <f>IF(MOD(COUNT($F$10:F358),1)=0,F358+1,F358)</f>
        <v>350</v>
      </c>
      <c r="G359" s="204">
        <f>IFERROR(IF(C359=1,VLOOKUP(A359,Output!$A$27:$AB$137,28,FALSE)/AnnuityMode,0),0)</f>
        <v>0</v>
      </c>
      <c r="H359" s="220">
        <f>IFERROR(IF(AND(MIN(A359&gt;25,Age+A359&gt;=85),B359=12),VLOOKUP(A359,Output!$A$27:$AE$137,31,FALSE),0),0)</f>
        <v>0</v>
      </c>
      <c r="I359" s="221">
        <f>IFERROR(IF(AND(MIN(A359&gt;15,A359+Age&gt;=70),C359=1),VLOOKUP(A359,Output!$A$27:$AF$137,32,FALSE)*VLOOKUP('SV calc_ignore'!A359,Output!$A$27:$AG$137,33,FALSE)/IF(AnnuityMode=2,2,IF(AnnuityMode=4,4,IF(AnnuityMode=12,12,1))),0),0)</f>
        <v>20833.333333333332</v>
      </c>
      <c r="J359" s="227">
        <f t="shared" si="61"/>
        <v>0</v>
      </c>
      <c r="K359" s="209">
        <f t="shared" si="67"/>
        <v>0</v>
      </c>
      <c r="L359" s="209">
        <f t="shared" si="62"/>
        <v>0</v>
      </c>
      <c r="M359" s="210">
        <f t="shared" si="71"/>
        <v>0</v>
      </c>
      <c r="N359" s="211">
        <f t="shared" si="68"/>
        <v>0</v>
      </c>
      <c r="O359" s="194">
        <f t="shared" si="69"/>
        <v>0</v>
      </c>
      <c r="P359" s="212">
        <f t="shared" si="63"/>
        <v>0</v>
      </c>
      <c r="Q359">
        <f t="shared" si="64"/>
        <v>1177300.4895597845</v>
      </c>
      <c r="X359" s="216">
        <f t="shared" si="70"/>
        <v>29</v>
      </c>
      <c r="Y359">
        <f t="shared" si="65"/>
        <v>0</v>
      </c>
    </row>
    <row r="360" spans="1:25" x14ac:dyDescent="0.2">
      <c r="A360" s="204">
        <f>IF(MOD(COUNT($A$10:A359),12)=0,A359+1,A359)</f>
        <v>30</v>
      </c>
      <c r="B360" s="218">
        <f t="shared" si="66"/>
        <v>3</v>
      </c>
      <c r="C360" s="218">
        <f t="shared" si="60"/>
        <v>1</v>
      </c>
      <c r="D360" s="208">
        <f>IF(MOD(COUNT($D$10:D359),6)=0,D359+1,D359)</f>
        <v>59</v>
      </c>
      <c r="E360" s="208">
        <f>IF(MOD(COUNT($E$10:E359),3)=0,E359+1,E359)</f>
        <v>117</v>
      </c>
      <c r="F360" s="208">
        <f>IF(MOD(COUNT($F$10:F359),1)=0,F359+1,F359)</f>
        <v>351</v>
      </c>
      <c r="G360" s="204">
        <f>IFERROR(IF(C360=1,VLOOKUP(A360,Output!$A$27:$AB$137,28,FALSE)/AnnuityMode,0),0)</f>
        <v>0</v>
      </c>
      <c r="H360" s="220">
        <f>IFERROR(IF(AND(MIN(A360&gt;25,Age+A360&gt;=85),B360=12),VLOOKUP(A360,Output!$A$27:$AE$137,31,FALSE),0),0)</f>
        <v>0</v>
      </c>
      <c r="I360" s="221">
        <f>IFERROR(IF(AND(MIN(A360&gt;15,A360+Age&gt;=70),C360=1),VLOOKUP(A360,Output!$A$27:$AF$137,32,FALSE)*VLOOKUP('SV calc_ignore'!A360,Output!$A$27:$AG$137,33,FALSE)/IF(AnnuityMode=2,2,IF(AnnuityMode=4,4,IF(AnnuityMode=12,12,1))),0),0)</f>
        <v>20833.333333333332</v>
      </c>
      <c r="J360" s="227">
        <f t="shared" si="61"/>
        <v>0</v>
      </c>
      <c r="K360" s="209">
        <f t="shared" si="67"/>
        <v>0</v>
      </c>
      <c r="L360" s="209">
        <f t="shared" si="62"/>
        <v>0</v>
      </c>
      <c r="M360" s="210">
        <f t="shared" si="71"/>
        <v>0</v>
      </c>
      <c r="N360" s="211">
        <f t="shared" si="68"/>
        <v>0</v>
      </c>
      <c r="O360" s="194">
        <f t="shared" si="69"/>
        <v>0</v>
      </c>
      <c r="P360" s="212">
        <f t="shared" si="63"/>
        <v>0</v>
      </c>
      <c r="Q360">
        <f t="shared" si="64"/>
        <v>1164355.9892606032</v>
      </c>
      <c r="X360" s="216">
        <f t="shared" si="70"/>
        <v>29</v>
      </c>
      <c r="Y360">
        <f t="shared" si="65"/>
        <v>0</v>
      </c>
    </row>
    <row r="361" spans="1:25" x14ac:dyDescent="0.2">
      <c r="A361" s="204">
        <f>IF(MOD(COUNT($A$10:A360),12)=0,A360+1,A360)</f>
        <v>30</v>
      </c>
      <c r="B361" s="218">
        <f t="shared" si="66"/>
        <v>4</v>
      </c>
      <c r="C361" s="218">
        <f t="shared" si="60"/>
        <v>1</v>
      </c>
      <c r="D361" s="208">
        <f>IF(MOD(COUNT($D$10:D360),6)=0,D360+1,D360)</f>
        <v>59</v>
      </c>
      <c r="E361" s="208">
        <f>IF(MOD(COUNT($E$10:E360),3)=0,E360+1,E360)</f>
        <v>118</v>
      </c>
      <c r="F361" s="208">
        <f>IF(MOD(COUNT($F$10:F360),1)=0,F360+1,F360)</f>
        <v>352</v>
      </c>
      <c r="G361" s="204">
        <f>IFERROR(IF(C361=1,VLOOKUP(A361,Output!$A$27:$AB$137,28,FALSE)/AnnuityMode,0),0)</f>
        <v>0</v>
      </c>
      <c r="H361" s="220">
        <f>IFERROR(IF(AND(MIN(A361&gt;25,Age+A361&gt;=85),B361=12),VLOOKUP(A361,Output!$A$27:$AE$137,31,FALSE),0),0)</f>
        <v>0</v>
      </c>
      <c r="I361" s="221">
        <f>IFERROR(IF(AND(MIN(A361&gt;15,A361+Age&gt;=70),C361=1),VLOOKUP(A361,Output!$A$27:$AF$137,32,FALSE)*VLOOKUP('SV calc_ignore'!A361,Output!$A$27:$AG$137,33,FALSE)/IF(AnnuityMode=2,2,IF(AnnuityMode=4,4,IF(AnnuityMode=12,12,1))),0),0)</f>
        <v>20833.333333333332</v>
      </c>
      <c r="J361" s="227">
        <f t="shared" si="61"/>
        <v>0</v>
      </c>
      <c r="K361" s="209">
        <f t="shared" si="67"/>
        <v>0</v>
      </c>
      <c r="L361" s="209">
        <f t="shared" si="62"/>
        <v>0</v>
      </c>
      <c r="M361" s="210">
        <f t="shared" si="71"/>
        <v>0</v>
      </c>
      <c r="N361" s="211">
        <f t="shared" si="68"/>
        <v>0</v>
      </c>
      <c r="O361" s="194">
        <f t="shared" si="69"/>
        <v>0</v>
      </c>
      <c r="P361" s="212">
        <f t="shared" si="63"/>
        <v>0</v>
      </c>
      <c r="Q361">
        <f t="shared" si="64"/>
        <v>1151323.1881385054</v>
      </c>
      <c r="X361" s="216">
        <f t="shared" si="70"/>
        <v>29</v>
      </c>
      <c r="Y361">
        <f t="shared" si="65"/>
        <v>0</v>
      </c>
    </row>
    <row r="362" spans="1:25" x14ac:dyDescent="0.2">
      <c r="A362" s="204">
        <f>IF(MOD(COUNT($A$10:A361),12)=0,A361+1,A361)</f>
        <v>30</v>
      </c>
      <c r="B362" s="218">
        <f t="shared" si="66"/>
        <v>5</v>
      </c>
      <c r="C362" s="218">
        <f t="shared" si="60"/>
        <v>1</v>
      </c>
      <c r="D362" s="208">
        <f>IF(MOD(COUNT($D$10:D361),6)=0,D361+1,D361)</f>
        <v>59</v>
      </c>
      <c r="E362" s="208">
        <f>IF(MOD(COUNT($E$10:E361),3)=0,E361+1,E361)</f>
        <v>118</v>
      </c>
      <c r="F362" s="208">
        <f>IF(MOD(COUNT($F$10:F361),1)=0,F361+1,F361)</f>
        <v>353</v>
      </c>
      <c r="G362" s="204">
        <f>IFERROR(IF(C362=1,VLOOKUP(A362,Output!$A$27:$AB$137,28,FALSE)/AnnuityMode,0),0)</f>
        <v>0</v>
      </c>
      <c r="H362" s="220">
        <f>IFERROR(IF(AND(MIN(A362&gt;25,Age+A362&gt;=85),B362=12),VLOOKUP(A362,Output!$A$27:$AE$137,31,FALSE),0),0)</f>
        <v>0</v>
      </c>
      <c r="I362" s="221">
        <f>IFERROR(IF(AND(MIN(A362&gt;15,A362+Age&gt;=70),C362=1),VLOOKUP(A362,Output!$A$27:$AF$137,32,FALSE)*VLOOKUP('SV calc_ignore'!A362,Output!$A$27:$AG$137,33,FALSE)/IF(AnnuityMode=2,2,IF(AnnuityMode=4,4,IF(AnnuityMode=12,12,1))),0),0)</f>
        <v>20833.333333333332</v>
      </c>
      <c r="J362" s="227">
        <f t="shared" si="61"/>
        <v>0</v>
      </c>
      <c r="K362" s="209">
        <f t="shared" si="67"/>
        <v>0</v>
      </c>
      <c r="L362" s="209">
        <f t="shared" si="62"/>
        <v>0</v>
      </c>
      <c r="M362" s="210">
        <f t="shared" si="71"/>
        <v>0</v>
      </c>
      <c r="N362" s="211">
        <f t="shared" si="68"/>
        <v>0</v>
      </c>
      <c r="O362" s="194">
        <f t="shared" si="69"/>
        <v>0</v>
      </c>
      <c r="P362" s="212">
        <f t="shared" si="63"/>
        <v>0</v>
      </c>
      <c r="Q362">
        <f t="shared" si="64"/>
        <v>1138201.4838500132</v>
      </c>
      <c r="X362" s="216">
        <f t="shared" si="70"/>
        <v>29</v>
      </c>
      <c r="Y362">
        <f t="shared" si="65"/>
        <v>0</v>
      </c>
    </row>
    <row r="363" spans="1:25" x14ac:dyDescent="0.2">
      <c r="A363" s="204">
        <f>IF(MOD(COUNT($A$10:A362),12)=0,A362+1,A362)</f>
        <v>30</v>
      </c>
      <c r="B363" s="218">
        <f t="shared" si="66"/>
        <v>6</v>
      </c>
      <c r="C363" s="218">
        <f t="shared" si="60"/>
        <v>1</v>
      </c>
      <c r="D363" s="208">
        <f>IF(MOD(COUNT($D$10:D362),6)=0,D362+1,D362)</f>
        <v>59</v>
      </c>
      <c r="E363" s="208">
        <f>IF(MOD(COUNT($E$10:E362),3)=0,E362+1,E362)</f>
        <v>118</v>
      </c>
      <c r="F363" s="208">
        <f>IF(MOD(COUNT($F$10:F362),1)=0,F362+1,F362)</f>
        <v>354</v>
      </c>
      <c r="G363" s="204">
        <f>IFERROR(IF(C363=1,VLOOKUP(A363,Output!$A$27:$AB$137,28,FALSE)/AnnuityMode,0),0)</f>
        <v>0</v>
      </c>
      <c r="H363" s="220">
        <f>IFERROR(IF(AND(MIN(A363&gt;25,Age+A363&gt;=85),B363=12),VLOOKUP(A363,Output!$A$27:$AE$137,31,FALSE),0),0)</f>
        <v>0</v>
      </c>
      <c r="I363" s="221">
        <f>IFERROR(IF(AND(MIN(A363&gt;15,A363+Age&gt;=70),C363=1),VLOOKUP(A363,Output!$A$27:$AF$137,32,FALSE)*VLOOKUP('SV calc_ignore'!A363,Output!$A$27:$AG$137,33,FALSE)/IF(AnnuityMode=2,2,IF(AnnuityMode=4,4,IF(AnnuityMode=12,12,1))),0),0)</f>
        <v>20833.333333333332</v>
      </c>
      <c r="J363" s="227">
        <f t="shared" si="61"/>
        <v>0</v>
      </c>
      <c r="K363" s="209">
        <f t="shared" si="67"/>
        <v>0</v>
      </c>
      <c r="L363" s="209">
        <f t="shared" si="62"/>
        <v>0</v>
      </c>
      <c r="M363" s="210">
        <f t="shared" si="71"/>
        <v>0</v>
      </c>
      <c r="N363" s="211">
        <f t="shared" si="68"/>
        <v>0</v>
      </c>
      <c r="O363" s="194">
        <f t="shared" si="69"/>
        <v>0</v>
      </c>
      <c r="P363" s="212">
        <f t="shared" si="63"/>
        <v>0</v>
      </c>
      <c r="Q363">
        <f t="shared" si="64"/>
        <v>1124990.269942767</v>
      </c>
      <c r="X363" s="216">
        <f t="shared" si="70"/>
        <v>29</v>
      </c>
      <c r="Y363">
        <f t="shared" si="65"/>
        <v>0</v>
      </c>
    </row>
    <row r="364" spans="1:25" x14ac:dyDescent="0.2">
      <c r="A364" s="204">
        <f>IF(MOD(COUNT($A$10:A363),12)=0,A363+1,A363)</f>
        <v>30</v>
      </c>
      <c r="B364" s="218">
        <f t="shared" si="66"/>
        <v>7</v>
      </c>
      <c r="C364" s="218">
        <f t="shared" si="60"/>
        <v>1</v>
      </c>
      <c r="D364" s="208">
        <f>IF(MOD(COUNT($D$10:D363),6)=0,D363+1,D363)</f>
        <v>60</v>
      </c>
      <c r="E364" s="208">
        <f>IF(MOD(COUNT($E$10:E363),3)=0,E363+1,E363)</f>
        <v>119</v>
      </c>
      <c r="F364" s="208">
        <f>IF(MOD(COUNT($F$10:F363),1)=0,F363+1,F363)</f>
        <v>355</v>
      </c>
      <c r="G364" s="204">
        <f>IFERROR(IF(C364=1,VLOOKUP(A364,Output!$A$27:$AB$137,28,FALSE)/AnnuityMode,0),0)</f>
        <v>0</v>
      </c>
      <c r="H364" s="220">
        <f>IFERROR(IF(AND(MIN(A364&gt;25,Age+A364&gt;=85),B364=12),VLOOKUP(A364,Output!$A$27:$AE$137,31,FALSE),0),0)</f>
        <v>0</v>
      </c>
      <c r="I364" s="221">
        <f>IFERROR(IF(AND(MIN(A364&gt;15,A364+Age&gt;=70),C364=1),VLOOKUP(A364,Output!$A$27:$AF$137,32,FALSE)*VLOOKUP('SV calc_ignore'!A364,Output!$A$27:$AG$137,33,FALSE)/IF(AnnuityMode=2,2,IF(AnnuityMode=4,4,IF(AnnuityMode=12,12,1))),0),0)</f>
        <v>20833.333333333332</v>
      </c>
      <c r="J364" s="227">
        <f t="shared" si="61"/>
        <v>0</v>
      </c>
      <c r="K364" s="209">
        <f t="shared" si="67"/>
        <v>0</v>
      </c>
      <c r="L364" s="209">
        <f t="shared" si="62"/>
        <v>0</v>
      </c>
      <c r="M364" s="210">
        <f t="shared" si="71"/>
        <v>0</v>
      </c>
      <c r="N364" s="211">
        <f t="shared" si="68"/>
        <v>0</v>
      </c>
      <c r="O364" s="194">
        <f t="shared" si="69"/>
        <v>0</v>
      </c>
      <c r="P364" s="212">
        <f t="shared" si="63"/>
        <v>0</v>
      </c>
      <c r="Q364">
        <f t="shared" si="64"/>
        <v>1111688.9358274962</v>
      </c>
      <c r="X364" s="216">
        <f t="shared" si="70"/>
        <v>29</v>
      </c>
      <c r="Y364">
        <f t="shared" si="65"/>
        <v>0</v>
      </c>
    </row>
    <row r="365" spans="1:25" x14ac:dyDescent="0.2">
      <c r="A365" s="204">
        <f>IF(MOD(COUNT($A$10:A364),12)=0,A364+1,A364)</f>
        <v>30</v>
      </c>
      <c r="B365" s="218">
        <f t="shared" si="66"/>
        <v>8</v>
      </c>
      <c r="C365" s="218">
        <f t="shared" si="60"/>
        <v>1</v>
      </c>
      <c r="D365" s="208">
        <f>IF(MOD(COUNT($D$10:D364),6)=0,D364+1,D364)</f>
        <v>60</v>
      </c>
      <c r="E365" s="208">
        <f>IF(MOD(COUNT($E$10:E364),3)=0,E364+1,E364)</f>
        <v>119</v>
      </c>
      <c r="F365" s="208">
        <f>IF(MOD(COUNT($F$10:F364),1)=0,F364+1,F364)</f>
        <v>356</v>
      </c>
      <c r="G365" s="204">
        <f>IFERROR(IF(C365=1,VLOOKUP(A365,Output!$A$27:$AB$137,28,FALSE)/AnnuityMode,0),0)</f>
        <v>0</v>
      </c>
      <c r="H365" s="220">
        <f>IFERROR(IF(AND(MIN(A365&gt;25,Age+A365&gt;=85),B365=12),VLOOKUP(A365,Output!$A$27:$AE$137,31,FALSE),0),0)</f>
        <v>0</v>
      </c>
      <c r="I365" s="221">
        <f>IFERROR(IF(AND(MIN(A365&gt;15,A365+Age&gt;=70),C365=1),VLOOKUP(A365,Output!$A$27:$AF$137,32,FALSE)*VLOOKUP('SV calc_ignore'!A365,Output!$A$27:$AG$137,33,FALSE)/IF(AnnuityMode=2,2,IF(AnnuityMode=4,4,IF(AnnuityMode=12,12,1))),0),0)</f>
        <v>20833.333333333332</v>
      </c>
      <c r="J365" s="227">
        <f t="shared" si="61"/>
        <v>0</v>
      </c>
      <c r="K365" s="209">
        <f t="shared" si="67"/>
        <v>0</v>
      </c>
      <c r="L365" s="209">
        <f t="shared" si="62"/>
        <v>0</v>
      </c>
      <c r="M365" s="210">
        <f t="shared" si="71"/>
        <v>0</v>
      </c>
      <c r="N365" s="211">
        <f t="shared" si="68"/>
        <v>0</v>
      </c>
      <c r="O365" s="194">
        <f t="shared" si="69"/>
        <v>0</v>
      </c>
      <c r="P365" s="212">
        <f t="shared" si="63"/>
        <v>0</v>
      </c>
      <c r="Q365">
        <f t="shared" si="64"/>
        <v>1098296.8667497996</v>
      </c>
      <c r="X365" s="216">
        <f t="shared" si="70"/>
        <v>29</v>
      </c>
      <c r="Y365">
        <f t="shared" si="65"/>
        <v>0</v>
      </c>
    </row>
    <row r="366" spans="1:25" x14ac:dyDescent="0.2">
      <c r="A366" s="204">
        <f>IF(MOD(COUNT($A$10:A365),12)=0,A365+1,A365)</f>
        <v>30</v>
      </c>
      <c r="B366" s="218">
        <f t="shared" si="66"/>
        <v>9</v>
      </c>
      <c r="C366" s="218">
        <f t="shared" si="60"/>
        <v>1</v>
      </c>
      <c r="D366" s="208">
        <f>IF(MOD(COUNT($D$10:D365),6)=0,D365+1,D365)</f>
        <v>60</v>
      </c>
      <c r="E366" s="208">
        <f>IF(MOD(COUNT($E$10:E365),3)=0,E365+1,E365)</f>
        <v>119</v>
      </c>
      <c r="F366" s="208">
        <f>IF(MOD(COUNT($F$10:F365),1)=0,F365+1,F365)</f>
        <v>357</v>
      </c>
      <c r="G366" s="204">
        <f>IFERROR(IF(C366=1,VLOOKUP(A366,Output!$A$27:$AB$137,28,FALSE)/AnnuityMode,0),0)</f>
        <v>0</v>
      </c>
      <c r="H366" s="220">
        <f>IFERROR(IF(AND(MIN(A366&gt;25,Age+A366&gt;=85),B366=12),VLOOKUP(A366,Output!$A$27:$AE$137,31,FALSE),0),0)</f>
        <v>0</v>
      </c>
      <c r="I366" s="221">
        <f>IFERROR(IF(AND(MIN(A366&gt;15,A366+Age&gt;=70),C366=1),VLOOKUP(A366,Output!$A$27:$AF$137,32,FALSE)*VLOOKUP('SV calc_ignore'!A366,Output!$A$27:$AG$137,33,FALSE)/IF(AnnuityMode=2,2,IF(AnnuityMode=4,4,IF(AnnuityMode=12,12,1))),0),0)</f>
        <v>20833.333333333332</v>
      </c>
      <c r="J366" s="227">
        <f t="shared" si="61"/>
        <v>0</v>
      </c>
      <c r="K366" s="209">
        <f t="shared" si="67"/>
        <v>0</v>
      </c>
      <c r="L366" s="209">
        <f t="shared" si="62"/>
        <v>0</v>
      </c>
      <c r="M366" s="210">
        <f t="shared" si="71"/>
        <v>0</v>
      </c>
      <c r="N366" s="211">
        <f t="shared" si="68"/>
        <v>0</v>
      </c>
      <c r="O366" s="194">
        <f t="shared" si="69"/>
        <v>0</v>
      </c>
      <c r="P366" s="212">
        <f t="shared" si="63"/>
        <v>0</v>
      </c>
      <c r="Q366">
        <f t="shared" si="64"/>
        <v>1084813.4437617329</v>
      </c>
      <c r="X366" s="216">
        <f t="shared" si="70"/>
        <v>29</v>
      </c>
      <c r="Y366">
        <f t="shared" si="65"/>
        <v>0</v>
      </c>
    </row>
    <row r="367" spans="1:25" x14ac:dyDescent="0.2">
      <c r="A367" s="204">
        <f>IF(MOD(COUNT($A$10:A366),12)=0,A366+1,A366)</f>
        <v>30</v>
      </c>
      <c r="B367" s="218">
        <f t="shared" si="66"/>
        <v>10</v>
      </c>
      <c r="C367" s="218">
        <f t="shared" si="60"/>
        <v>1</v>
      </c>
      <c r="D367" s="208">
        <f>IF(MOD(COUNT($D$10:D366),6)=0,D366+1,D366)</f>
        <v>60</v>
      </c>
      <c r="E367" s="208">
        <f>IF(MOD(COUNT($E$10:E366),3)=0,E366+1,E366)</f>
        <v>120</v>
      </c>
      <c r="F367" s="208">
        <f>IF(MOD(COUNT($F$10:F366),1)=0,F366+1,F366)</f>
        <v>358</v>
      </c>
      <c r="G367" s="204">
        <f>IFERROR(IF(C367=1,VLOOKUP(A367,Output!$A$27:$AB$137,28,FALSE)/AnnuityMode,0),0)</f>
        <v>0</v>
      </c>
      <c r="H367" s="220">
        <f>IFERROR(IF(AND(MIN(A367&gt;25,Age+A367&gt;=85),B367=12),VLOOKUP(A367,Output!$A$27:$AE$137,31,FALSE),0),0)</f>
        <v>0</v>
      </c>
      <c r="I367" s="221">
        <f>IFERROR(IF(AND(MIN(A367&gt;15,A367+Age&gt;=70),C367=1),VLOOKUP(A367,Output!$A$27:$AF$137,32,FALSE)*VLOOKUP('SV calc_ignore'!A367,Output!$A$27:$AG$137,33,FALSE)/IF(AnnuityMode=2,2,IF(AnnuityMode=4,4,IF(AnnuityMode=12,12,1))),0),0)</f>
        <v>20833.333333333332</v>
      </c>
      <c r="J367" s="227">
        <f t="shared" si="61"/>
        <v>0</v>
      </c>
      <c r="K367" s="209">
        <f t="shared" si="67"/>
        <v>0</v>
      </c>
      <c r="L367" s="209">
        <f t="shared" si="62"/>
        <v>0</v>
      </c>
      <c r="M367" s="210">
        <f t="shared" si="71"/>
        <v>0</v>
      </c>
      <c r="N367" s="211">
        <f t="shared" si="68"/>
        <v>0</v>
      </c>
      <c r="O367" s="194">
        <f t="shared" si="69"/>
        <v>0</v>
      </c>
      <c r="P367" s="212">
        <f t="shared" si="63"/>
        <v>0</v>
      </c>
      <c r="Q367">
        <f t="shared" si="64"/>
        <v>1071238.0436932028</v>
      </c>
      <c r="X367" s="216">
        <f t="shared" si="70"/>
        <v>29</v>
      </c>
      <c r="Y367">
        <f t="shared" si="65"/>
        <v>0</v>
      </c>
    </row>
    <row r="368" spans="1:25" x14ac:dyDescent="0.2">
      <c r="A368" s="204">
        <f>IF(MOD(COUNT($A$10:A367),12)=0,A367+1,A367)</f>
        <v>30</v>
      </c>
      <c r="B368" s="218">
        <f t="shared" si="66"/>
        <v>11</v>
      </c>
      <c r="C368" s="218">
        <f t="shared" si="60"/>
        <v>1</v>
      </c>
      <c r="D368" s="208">
        <f>IF(MOD(COUNT($D$10:D367),6)=0,D367+1,D367)</f>
        <v>60</v>
      </c>
      <c r="E368" s="208">
        <f>IF(MOD(COUNT($E$10:E367),3)=0,E367+1,E367)</f>
        <v>120</v>
      </c>
      <c r="F368" s="208">
        <f>IF(MOD(COUNT($F$10:F367),1)=0,F367+1,F367)</f>
        <v>359</v>
      </c>
      <c r="G368" s="204">
        <f>IFERROR(IF(C368=1,VLOOKUP(A368,Output!$A$27:$AB$137,28,FALSE)/AnnuityMode,0),0)</f>
        <v>0</v>
      </c>
      <c r="H368" s="220">
        <f>IFERROR(IF(AND(MIN(A368&gt;25,Age+A368&gt;=85),B368=12),VLOOKUP(A368,Output!$A$27:$AE$137,31,FALSE),0),0)</f>
        <v>0</v>
      </c>
      <c r="I368" s="221">
        <f>IFERROR(IF(AND(MIN(A368&gt;15,A368+Age&gt;=70),C368=1),VLOOKUP(A368,Output!$A$27:$AF$137,32,FALSE)*VLOOKUP('SV calc_ignore'!A368,Output!$A$27:$AG$137,33,FALSE)/IF(AnnuityMode=2,2,IF(AnnuityMode=4,4,IF(AnnuityMode=12,12,1))),0),0)</f>
        <v>20833.333333333332</v>
      </c>
      <c r="J368" s="227">
        <f t="shared" si="61"/>
        <v>0</v>
      </c>
      <c r="K368" s="209">
        <f t="shared" si="67"/>
        <v>0</v>
      </c>
      <c r="L368" s="209">
        <f t="shared" si="62"/>
        <v>0</v>
      </c>
      <c r="M368" s="210">
        <f t="shared" si="71"/>
        <v>0</v>
      </c>
      <c r="N368" s="211">
        <f t="shared" si="68"/>
        <v>0</v>
      </c>
      <c r="O368" s="194">
        <f t="shared" si="69"/>
        <v>0</v>
      </c>
      <c r="P368" s="212">
        <f t="shared" si="63"/>
        <v>0</v>
      </c>
      <c r="Q368">
        <f t="shared" si="64"/>
        <v>1057570.039123165</v>
      </c>
      <c r="X368" s="216">
        <f t="shared" si="70"/>
        <v>29</v>
      </c>
      <c r="Y368">
        <f t="shared" si="65"/>
        <v>0</v>
      </c>
    </row>
    <row r="369" spans="1:25" x14ac:dyDescent="0.2">
      <c r="A369" s="204">
        <f>IF(MOD(COUNT($A$10:A368),12)=0,A368+1,A368)</f>
        <v>30</v>
      </c>
      <c r="B369" s="218">
        <f t="shared" si="66"/>
        <v>12</v>
      </c>
      <c r="C369" s="218">
        <f t="shared" si="60"/>
        <v>1</v>
      </c>
      <c r="D369" s="208">
        <f>IF(MOD(COUNT($D$10:D368),6)=0,D368+1,D368)</f>
        <v>60</v>
      </c>
      <c r="E369" s="208">
        <f>IF(MOD(COUNT($E$10:E368),3)=0,E368+1,E368)</f>
        <v>120</v>
      </c>
      <c r="F369" s="208">
        <f>IF(MOD(COUNT($F$10:F368),1)=0,F368+1,F368)</f>
        <v>360</v>
      </c>
      <c r="G369" s="204">
        <f>IFERROR(IF(C369=1,VLOOKUP(A369,Output!$A$27:$AB$137,28,FALSE)/AnnuityMode,0),0)</f>
        <v>0</v>
      </c>
      <c r="H369" s="220">
        <f>IFERROR(IF(AND(MIN(A369&gt;25,Age+A369&gt;=85),B369=12),VLOOKUP(A369,Output!$A$27:$AE$137,31,FALSE),0),0)</f>
        <v>0</v>
      </c>
      <c r="I369" s="221">
        <f>IFERROR(IF(AND(MIN(A369&gt;15,A369+Age&gt;=70),C369=1),VLOOKUP(A369,Output!$A$27:$AF$137,32,FALSE)*VLOOKUP('SV calc_ignore'!A369,Output!$A$27:$AG$137,33,FALSE)/IF(AnnuityMode=2,2,IF(AnnuityMode=4,4,IF(AnnuityMode=12,12,1))),0),0)</f>
        <v>20833.333333333332</v>
      </c>
      <c r="J369" s="227">
        <f t="shared" si="61"/>
        <v>0</v>
      </c>
      <c r="K369" s="209">
        <f t="shared" si="67"/>
        <v>0</v>
      </c>
      <c r="L369" s="209">
        <f t="shared" si="62"/>
        <v>0</v>
      </c>
      <c r="M369" s="210">
        <f t="shared" si="71"/>
        <v>0</v>
      </c>
      <c r="N369" s="211">
        <f t="shared" si="68"/>
        <v>0</v>
      </c>
      <c r="O369" s="194">
        <f t="shared" si="69"/>
        <v>0</v>
      </c>
      <c r="P369" s="212">
        <f t="shared" si="63"/>
        <v>0</v>
      </c>
      <c r="Q369">
        <f t="shared" si="64"/>
        <v>1043808.7983506266</v>
      </c>
      <c r="X369" s="216">
        <f t="shared" si="70"/>
        <v>29</v>
      </c>
      <c r="Y369">
        <f t="shared" si="65"/>
        <v>0</v>
      </c>
    </row>
    <row r="370" spans="1:25" x14ac:dyDescent="0.2">
      <c r="A370" s="204">
        <f>IF(MOD(COUNT($A$10:A369),12)=0,A369+1,A369)</f>
        <v>31</v>
      </c>
      <c r="B370" s="218">
        <f t="shared" si="66"/>
        <v>1</v>
      </c>
      <c r="C370" s="218">
        <f t="shared" si="60"/>
        <v>1</v>
      </c>
      <c r="D370" s="208">
        <f>IF(MOD(COUNT($D$10:D369),6)=0,D369+1,D369)</f>
        <v>61</v>
      </c>
      <c r="E370" s="208">
        <f>IF(MOD(COUNT($E$10:E369),3)=0,E369+1,E369)</f>
        <v>121</v>
      </c>
      <c r="F370" s="208">
        <f>IF(MOD(COUNT($F$10:F369),1)=0,F369+1,F369)</f>
        <v>361</v>
      </c>
      <c r="G370" s="204">
        <f>IFERROR(IF(C370=1,VLOOKUP(A370,Output!$A$27:$AB$137,28,FALSE)/AnnuityMode,0),0)</f>
        <v>0</v>
      </c>
      <c r="H370" s="220">
        <f>IFERROR(IF(AND(MIN(A370&gt;25,Age+A370&gt;=85),B370=12),VLOOKUP(A370,Output!$A$27:$AE$137,31,FALSE),0),0)</f>
        <v>0</v>
      </c>
      <c r="I370" s="221">
        <f>IFERROR(IF(AND(MIN(A370&gt;15,A370+Age&gt;=70),C370=1),VLOOKUP(A370,Output!$A$27:$AF$137,32,FALSE)*VLOOKUP('SV calc_ignore'!A370,Output!$A$27:$AG$137,33,FALSE)/IF(AnnuityMode=2,2,IF(AnnuityMode=4,4,IF(AnnuityMode=12,12,1))),0),0)</f>
        <v>20833.333333333332</v>
      </c>
      <c r="J370" s="227">
        <f t="shared" si="61"/>
        <v>0</v>
      </c>
      <c r="K370" s="209">
        <f t="shared" si="67"/>
        <v>0</v>
      </c>
      <c r="L370" s="209">
        <f t="shared" si="62"/>
        <v>0</v>
      </c>
      <c r="M370" s="210">
        <f t="shared" si="71"/>
        <v>0</v>
      </c>
      <c r="N370" s="211">
        <f t="shared" si="68"/>
        <v>0</v>
      </c>
      <c r="O370" s="194">
        <f t="shared" si="69"/>
        <v>0</v>
      </c>
      <c r="P370" s="212">
        <f t="shared" si="63"/>
        <v>0</v>
      </c>
      <c r="Q370">
        <f t="shared" si="64"/>
        <v>1029953.6853654508</v>
      </c>
      <c r="X370" s="216">
        <f t="shared" si="70"/>
        <v>30</v>
      </c>
      <c r="Y370">
        <f t="shared" si="65"/>
        <v>0</v>
      </c>
    </row>
    <row r="371" spans="1:25" x14ac:dyDescent="0.2">
      <c r="A371" s="204">
        <f>IF(MOD(COUNT($A$10:A370),12)=0,A370+1,A370)</f>
        <v>31</v>
      </c>
      <c r="B371" s="218">
        <f t="shared" si="66"/>
        <v>2</v>
      </c>
      <c r="C371" s="218">
        <f t="shared" si="60"/>
        <v>1</v>
      </c>
      <c r="D371" s="208">
        <f>IF(MOD(COUNT($D$10:D370),6)=0,D370+1,D370)</f>
        <v>61</v>
      </c>
      <c r="E371" s="208">
        <f>IF(MOD(COUNT($E$10:E370),3)=0,E370+1,E370)</f>
        <v>121</v>
      </c>
      <c r="F371" s="208">
        <f>IF(MOD(COUNT($F$10:F370),1)=0,F370+1,F370)</f>
        <v>362</v>
      </c>
      <c r="G371" s="204">
        <f>IFERROR(IF(C371=1,VLOOKUP(A371,Output!$A$27:$AB$137,28,FALSE)/AnnuityMode,0),0)</f>
        <v>0</v>
      </c>
      <c r="H371" s="220">
        <f>IFERROR(IF(AND(MIN(A371&gt;25,Age+A371&gt;=85),B371=12),VLOOKUP(A371,Output!$A$27:$AE$137,31,FALSE),0),0)</f>
        <v>0</v>
      </c>
      <c r="I371" s="221">
        <f>IFERROR(IF(AND(MIN(A371&gt;15,A371+Age&gt;=70),C371=1),VLOOKUP(A371,Output!$A$27:$AF$137,32,FALSE)*VLOOKUP('SV calc_ignore'!A371,Output!$A$27:$AG$137,33,FALSE)/IF(AnnuityMode=2,2,IF(AnnuityMode=4,4,IF(AnnuityMode=12,12,1))),0),0)</f>
        <v>20833.333333333332</v>
      </c>
      <c r="J371" s="227">
        <f t="shared" si="61"/>
        <v>0</v>
      </c>
      <c r="K371" s="209">
        <f t="shared" si="67"/>
        <v>0</v>
      </c>
      <c r="L371" s="209">
        <f t="shared" si="62"/>
        <v>0</v>
      </c>
      <c r="M371" s="210">
        <f t="shared" si="71"/>
        <v>0</v>
      </c>
      <c r="N371" s="211">
        <f t="shared" si="68"/>
        <v>0</v>
      </c>
      <c r="O371" s="194">
        <f t="shared" si="69"/>
        <v>0</v>
      </c>
      <c r="P371" s="212">
        <f t="shared" si="63"/>
        <v>0</v>
      </c>
      <c r="Q371">
        <f t="shared" si="64"/>
        <v>1016004.059818962</v>
      </c>
      <c r="X371" s="216">
        <f t="shared" si="70"/>
        <v>30</v>
      </c>
      <c r="Y371">
        <f t="shared" si="65"/>
        <v>0</v>
      </c>
    </row>
    <row r="372" spans="1:25" x14ac:dyDescent="0.2">
      <c r="A372" s="204">
        <f>IF(MOD(COUNT($A$10:A371),12)=0,A371+1,A371)</f>
        <v>31</v>
      </c>
      <c r="B372" s="218">
        <f t="shared" si="66"/>
        <v>3</v>
      </c>
      <c r="C372" s="218">
        <f t="shared" si="60"/>
        <v>1</v>
      </c>
      <c r="D372" s="208">
        <f>IF(MOD(COUNT($D$10:D371),6)=0,D371+1,D371)</f>
        <v>61</v>
      </c>
      <c r="E372" s="208">
        <f>IF(MOD(COUNT($E$10:E371),3)=0,E371+1,E371)</f>
        <v>121</v>
      </c>
      <c r="F372" s="208">
        <f>IF(MOD(COUNT($F$10:F371),1)=0,F371+1,F371)</f>
        <v>363</v>
      </c>
      <c r="G372" s="204">
        <f>IFERROR(IF(C372=1,VLOOKUP(A372,Output!$A$27:$AB$137,28,FALSE)/AnnuityMode,0),0)</f>
        <v>0</v>
      </c>
      <c r="H372" s="220">
        <f>IFERROR(IF(AND(MIN(A372&gt;25,Age+A372&gt;=85),B372=12),VLOOKUP(A372,Output!$A$27:$AE$137,31,FALSE),0),0)</f>
        <v>0</v>
      </c>
      <c r="I372" s="221">
        <f>IFERROR(IF(AND(MIN(A372&gt;15,A372+Age&gt;=70),C372=1),VLOOKUP(A372,Output!$A$27:$AF$137,32,FALSE)*VLOOKUP('SV calc_ignore'!A372,Output!$A$27:$AG$137,33,FALSE)/IF(AnnuityMode=2,2,IF(AnnuityMode=4,4,IF(AnnuityMode=12,12,1))),0),0)</f>
        <v>20833.333333333332</v>
      </c>
      <c r="J372" s="227">
        <f t="shared" si="61"/>
        <v>0</v>
      </c>
      <c r="K372" s="209">
        <f t="shared" si="67"/>
        <v>0</v>
      </c>
      <c r="L372" s="209">
        <f t="shared" si="62"/>
        <v>0</v>
      </c>
      <c r="M372" s="210">
        <f t="shared" si="71"/>
        <v>0</v>
      </c>
      <c r="N372" s="211">
        <f t="shared" si="68"/>
        <v>0</v>
      </c>
      <c r="O372" s="194">
        <f t="shared" si="69"/>
        <v>0</v>
      </c>
      <c r="P372" s="212">
        <f t="shared" si="63"/>
        <v>0</v>
      </c>
      <c r="Q372">
        <f t="shared" si="64"/>
        <v>1001959.2769943501</v>
      </c>
      <c r="X372" s="216">
        <f t="shared" si="70"/>
        <v>30</v>
      </c>
      <c r="Y372">
        <f t="shared" si="65"/>
        <v>0</v>
      </c>
    </row>
    <row r="373" spans="1:25" x14ac:dyDescent="0.2">
      <c r="A373" s="204">
        <f>IF(MOD(COUNT($A$10:A372),12)=0,A372+1,A372)</f>
        <v>31</v>
      </c>
      <c r="B373" s="218">
        <f t="shared" si="66"/>
        <v>4</v>
      </c>
      <c r="C373" s="218">
        <f t="shared" si="60"/>
        <v>1</v>
      </c>
      <c r="D373" s="208">
        <f>IF(MOD(COUNT($D$10:D372),6)=0,D372+1,D372)</f>
        <v>61</v>
      </c>
      <c r="E373" s="208">
        <f>IF(MOD(COUNT($E$10:E372),3)=0,E372+1,E372)</f>
        <v>122</v>
      </c>
      <c r="F373" s="208">
        <f>IF(MOD(COUNT($F$10:F372),1)=0,F372+1,F372)</f>
        <v>364</v>
      </c>
      <c r="G373" s="204">
        <f>IFERROR(IF(C373=1,VLOOKUP(A373,Output!$A$27:$AB$137,28,FALSE)/AnnuityMode,0),0)</f>
        <v>0</v>
      </c>
      <c r="H373" s="220">
        <f>IFERROR(IF(AND(MIN(A373&gt;25,Age+A373&gt;=85),B373=12),VLOOKUP(A373,Output!$A$27:$AE$137,31,FALSE),0),0)</f>
        <v>0</v>
      </c>
      <c r="I373" s="221">
        <f>IFERROR(IF(AND(MIN(A373&gt;15,A373+Age&gt;=70),C373=1),VLOOKUP(A373,Output!$A$27:$AF$137,32,FALSE)*VLOOKUP('SV calc_ignore'!A373,Output!$A$27:$AG$137,33,FALSE)/IF(AnnuityMode=2,2,IF(AnnuityMode=4,4,IF(AnnuityMode=12,12,1))),0),0)</f>
        <v>20833.333333333332</v>
      </c>
      <c r="J373" s="227">
        <f t="shared" si="61"/>
        <v>0</v>
      </c>
      <c r="K373" s="209">
        <f t="shared" si="67"/>
        <v>0</v>
      </c>
      <c r="L373" s="209">
        <f t="shared" si="62"/>
        <v>0</v>
      </c>
      <c r="M373" s="210">
        <f t="shared" si="71"/>
        <v>0</v>
      </c>
      <c r="N373" s="211">
        <f t="shared" si="68"/>
        <v>0</v>
      </c>
      <c r="O373" s="194">
        <f t="shared" si="69"/>
        <v>0</v>
      </c>
      <c r="P373" s="212">
        <f t="shared" si="63"/>
        <v>0</v>
      </c>
      <c r="Q373">
        <f t="shared" si="64"/>
        <v>987818.68777687382</v>
      </c>
      <c r="X373" s="216">
        <f t="shared" si="70"/>
        <v>30</v>
      </c>
      <c r="Y373">
        <f t="shared" si="65"/>
        <v>0</v>
      </c>
    </row>
    <row r="374" spans="1:25" x14ac:dyDescent="0.2">
      <c r="A374" s="204">
        <f>IF(MOD(COUNT($A$10:A373),12)=0,A373+1,A373)</f>
        <v>31</v>
      </c>
      <c r="B374" s="218">
        <f t="shared" si="66"/>
        <v>5</v>
      </c>
      <c r="C374" s="218">
        <f t="shared" si="60"/>
        <v>1</v>
      </c>
      <c r="D374" s="208">
        <f>IF(MOD(COUNT($D$10:D373),6)=0,D373+1,D373)</f>
        <v>61</v>
      </c>
      <c r="E374" s="208">
        <f>IF(MOD(COUNT($E$10:E373),3)=0,E373+1,E373)</f>
        <v>122</v>
      </c>
      <c r="F374" s="208">
        <f>IF(MOD(COUNT($F$10:F373),1)=0,F373+1,F373)</f>
        <v>365</v>
      </c>
      <c r="G374" s="204">
        <f>IFERROR(IF(C374=1,VLOOKUP(A374,Output!$A$27:$AB$137,28,FALSE)/AnnuityMode,0),0)</f>
        <v>0</v>
      </c>
      <c r="H374" s="220">
        <f>IFERROR(IF(AND(MIN(A374&gt;25,Age+A374&gt;=85),B374=12),VLOOKUP(A374,Output!$A$27:$AE$137,31,FALSE),0),0)</f>
        <v>0</v>
      </c>
      <c r="I374" s="221">
        <f>IFERROR(IF(AND(MIN(A374&gt;15,A374+Age&gt;=70),C374=1),VLOOKUP(A374,Output!$A$27:$AF$137,32,FALSE)*VLOOKUP('SV calc_ignore'!A374,Output!$A$27:$AG$137,33,FALSE)/IF(AnnuityMode=2,2,IF(AnnuityMode=4,4,IF(AnnuityMode=12,12,1))),0),0)</f>
        <v>20833.333333333332</v>
      </c>
      <c r="J374" s="227">
        <f t="shared" si="61"/>
        <v>0</v>
      </c>
      <c r="K374" s="209">
        <f t="shared" si="67"/>
        <v>0</v>
      </c>
      <c r="L374" s="209">
        <f t="shared" si="62"/>
        <v>0</v>
      </c>
      <c r="M374" s="210">
        <f t="shared" si="71"/>
        <v>0</v>
      </c>
      <c r="N374" s="211">
        <f t="shared" si="68"/>
        <v>0</v>
      </c>
      <c r="O374" s="194">
        <f t="shared" si="69"/>
        <v>0</v>
      </c>
      <c r="P374" s="212">
        <f t="shared" si="63"/>
        <v>0</v>
      </c>
      <c r="Q374">
        <f t="shared" si="64"/>
        <v>973581.63862385973</v>
      </c>
      <c r="X374" s="216">
        <f t="shared" si="70"/>
        <v>30</v>
      </c>
      <c r="Y374">
        <f t="shared" si="65"/>
        <v>0</v>
      </c>
    </row>
    <row r="375" spans="1:25" x14ac:dyDescent="0.2">
      <c r="A375" s="204">
        <f>IF(MOD(COUNT($A$10:A374),12)=0,A374+1,A374)</f>
        <v>31</v>
      </c>
      <c r="B375" s="218">
        <f t="shared" si="66"/>
        <v>6</v>
      </c>
      <c r="C375" s="218">
        <f t="shared" si="60"/>
        <v>1</v>
      </c>
      <c r="D375" s="208">
        <f>IF(MOD(COUNT($D$10:D374),6)=0,D374+1,D374)</f>
        <v>61</v>
      </c>
      <c r="E375" s="208">
        <f>IF(MOD(COUNT($E$10:E374),3)=0,E374+1,E374)</f>
        <v>122</v>
      </c>
      <c r="F375" s="208">
        <f>IF(MOD(COUNT($F$10:F374),1)=0,F374+1,F374)</f>
        <v>366</v>
      </c>
      <c r="G375" s="204">
        <f>IFERROR(IF(C375=1,VLOOKUP(A375,Output!$A$27:$AB$137,28,FALSE)/AnnuityMode,0),0)</f>
        <v>0</v>
      </c>
      <c r="H375" s="220">
        <f>IFERROR(IF(AND(MIN(A375&gt;25,Age+A375&gt;=85),B375=12),VLOOKUP(A375,Output!$A$27:$AE$137,31,FALSE),0),0)</f>
        <v>0</v>
      </c>
      <c r="I375" s="221">
        <f>IFERROR(IF(AND(MIN(A375&gt;15,A375+Age&gt;=70),C375=1),VLOOKUP(A375,Output!$A$27:$AF$137,32,FALSE)*VLOOKUP('SV calc_ignore'!A375,Output!$A$27:$AG$137,33,FALSE)/IF(AnnuityMode=2,2,IF(AnnuityMode=4,4,IF(AnnuityMode=12,12,1))),0),0)</f>
        <v>20833.333333333332</v>
      </c>
      <c r="J375" s="227">
        <f t="shared" si="61"/>
        <v>0</v>
      </c>
      <c r="K375" s="209">
        <f t="shared" si="67"/>
        <v>0</v>
      </c>
      <c r="L375" s="209">
        <f t="shared" si="62"/>
        <v>0</v>
      </c>
      <c r="M375" s="210">
        <f t="shared" si="71"/>
        <v>0</v>
      </c>
      <c r="N375" s="211">
        <f t="shared" si="68"/>
        <v>0</v>
      </c>
      <c r="O375" s="194">
        <f t="shared" si="69"/>
        <v>0</v>
      </c>
      <c r="P375" s="212">
        <f t="shared" si="63"/>
        <v>0</v>
      </c>
      <c r="Q375">
        <f t="shared" si="64"/>
        <v>959247.47153449745</v>
      </c>
      <c r="X375" s="216">
        <f t="shared" si="70"/>
        <v>30</v>
      </c>
      <c r="Y375">
        <f t="shared" si="65"/>
        <v>0</v>
      </c>
    </row>
    <row r="376" spans="1:25" x14ac:dyDescent="0.2">
      <c r="A376" s="204">
        <f>IF(MOD(COUNT($A$10:A375),12)=0,A375+1,A375)</f>
        <v>31</v>
      </c>
      <c r="B376" s="218">
        <f t="shared" si="66"/>
        <v>7</v>
      </c>
      <c r="C376" s="218">
        <f t="shared" si="60"/>
        <v>1</v>
      </c>
      <c r="D376" s="208">
        <f>IF(MOD(COUNT($D$10:D375),6)=0,D375+1,D375)</f>
        <v>62</v>
      </c>
      <c r="E376" s="208">
        <f>IF(MOD(COUNT($E$10:E375),3)=0,E375+1,E375)</f>
        <v>123</v>
      </c>
      <c r="F376" s="208">
        <f>IF(MOD(COUNT($F$10:F375),1)=0,F375+1,F375)</f>
        <v>367</v>
      </c>
      <c r="G376" s="204">
        <f>IFERROR(IF(C376=1,VLOOKUP(A376,Output!$A$27:$AB$137,28,FALSE)/AnnuityMode,0),0)</f>
        <v>0</v>
      </c>
      <c r="H376" s="220">
        <f>IFERROR(IF(AND(MIN(A376&gt;25,Age+A376&gt;=85),B376=12),VLOOKUP(A376,Output!$A$27:$AE$137,31,FALSE),0),0)</f>
        <v>0</v>
      </c>
      <c r="I376" s="221">
        <f>IFERROR(IF(AND(MIN(A376&gt;15,A376+Age&gt;=70),C376=1),VLOOKUP(A376,Output!$A$27:$AF$137,32,FALSE)*VLOOKUP('SV calc_ignore'!A376,Output!$A$27:$AG$137,33,FALSE)/IF(AnnuityMode=2,2,IF(AnnuityMode=4,4,IF(AnnuityMode=12,12,1))),0),0)</f>
        <v>20833.333333333332</v>
      </c>
      <c r="J376" s="227">
        <f t="shared" si="61"/>
        <v>0</v>
      </c>
      <c r="K376" s="209">
        <f t="shared" si="67"/>
        <v>0</v>
      </c>
      <c r="L376" s="209">
        <f t="shared" si="62"/>
        <v>0</v>
      </c>
      <c r="M376" s="210">
        <f t="shared" si="71"/>
        <v>0</v>
      </c>
      <c r="N376" s="211">
        <f t="shared" si="68"/>
        <v>0</v>
      </c>
      <c r="O376" s="194">
        <f t="shared" si="69"/>
        <v>0</v>
      </c>
      <c r="P376" s="212">
        <f t="shared" si="63"/>
        <v>0</v>
      </c>
      <c r="Q376">
        <f t="shared" si="64"/>
        <v>944815.52401942853</v>
      </c>
      <c r="X376" s="216">
        <f t="shared" si="70"/>
        <v>30</v>
      </c>
      <c r="Y376">
        <f t="shared" si="65"/>
        <v>0</v>
      </c>
    </row>
    <row r="377" spans="1:25" x14ac:dyDescent="0.2">
      <c r="A377" s="204">
        <f>IF(MOD(COUNT($A$10:A376),12)=0,A376+1,A376)</f>
        <v>31</v>
      </c>
      <c r="B377" s="218">
        <f t="shared" si="66"/>
        <v>8</v>
      </c>
      <c r="C377" s="218">
        <f t="shared" si="60"/>
        <v>1</v>
      </c>
      <c r="D377" s="208">
        <f>IF(MOD(COUNT($D$10:D376),6)=0,D376+1,D376)</f>
        <v>62</v>
      </c>
      <c r="E377" s="208">
        <f>IF(MOD(COUNT($E$10:E376),3)=0,E376+1,E376)</f>
        <v>123</v>
      </c>
      <c r="F377" s="208">
        <f>IF(MOD(COUNT($F$10:F376),1)=0,F376+1,F376)</f>
        <v>368</v>
      </c>
      <c r="G377" s="204">
        <f>IFERROR(IF(C377=1,VLOOKUP(A377,Output!$A$27:$AB$137,28,FALSE)/AnnuityMode,0),0)</f>
        <v>0</v>
      </c>
      <c r="H377" s="220">
        <f>IFERROR(IF(AND(MIN(A377&gt;25,Age+A377&gt;=85),B377=12),VLOOKUP(A377,Output!$A$27:$AE$137,31,FALSE),0),0)</f>
        <v>0</v>
      </c>
      <c r="I377" s="221">
        <f>IFERROR(IF(AND(MIN(A377&gt;15,A377+Age&gt;=70),C377=1),VLOOKUP(A377,Output!$A$27:$AF$137,32,FALSE)*VLOOKUP('SV calc_ignore'!A377,Output!$A$27:$AG$137,33,FALSE)/IF(AnnuityMode=2,2,IF(AnnuityMode=4,4,IF(AnnuityMode=12,12,1))),0),0)</f>
        <v>20833.333333333332</v>
      </c>
      <c r="J377" s="227">
        <f t="shared" si="61"/>
        <v>0</v>
      </c>
      <c r="K377" s="209">
        <f t="shared" si="67"/>
        <v>0</v>
      </c>
      <c r="L377" s="209">
        <f t="shared" si="62"/>
        <v>0</v>
      </c>
      <c r="M377" s="210">
        <f t="shared" si="71"/>
        <v>0</v>
      </c>
      <c r="N377" s="211">
        <f t="shared" si="68"/>
        <v>0</v>
      </c>
      <c r="O377" s="194">
        <f t="shared" si="69"/>
        <v>0</v>
      </c>
      <c r="P377" s="212">
        <f t="shared" si="63"/>
        <v>0</v>
      </c>
      <c r="Q377">
        <f t="shared" si="64"/>
        <v>930285.12907012762</v>
      </c>
      <c r="X377" s="216">
        <f t="shared" si="70"/>
        <v>30</v>
      </c>
      <c r="Y377">
        <f t="shared" si="65"/>
        <v>0</v>
      </c>
    </row>
    <row r="378" spans="1:25" x14ac:dyDescent="0.2">
      <c r="A378" s="204">
        <f>IF(MOD(COUNT($A$10:A377),12)=0,A377+1,A377)</f>
        <v>31</v>
      </c>
      <c r="B378" s="218">
        <f t="shared" si="66"/>
        <v>9</v>
      </c>
      <c r="C378" s="218">
        <f t="shared" si="60"/>
        <v>1</v>
      </c>
      <c r="D378" s="208">
        <f>IF(MOD(COUNT($D$10:D377),6)=0,D377+1,D377)</f>
        <v>62</v>
      </c>
      <c r="E378" s="208">
        <f>IF(MOD(COUNT($E$10:E377),3)=0,E377+1,E377)</f>
        <v>123</v>
      </c>
      <c r="F378" s="208">
        <f>IF(MOD(COUNT($F$10:F377),1)=0,F377+1,F377)</f>
        <v>369</v>
      </c>
      <c r="G378" s="204">
        <f>IFERROR(IF(C378=1,VLOOKUP(A378,Output!$A$27:$AB$137,28,FALSE)/AnnuityMode,0),0)</f>
        <v>0</v>
      </c>
      <c r="H378" s="220">
        <f>IFERROR(IF(AND(MIN(A378&gt;25,Age+A378&gt;=85),B378=12),VLOOKUP(A378,Output!$A$27:$AE$137,31,FALSE),0),0)</f>
        <v>0</v>
      </c>
      <c r="I378" s="221">
        <f>IFERROR(IF(AND(MIN(A378&gt;15,A378+Age&gt;=70),C378=1),VLOOKUP(A378,Output!$A$27:$AF$137,32,FALSE)*VLOOKUP('SV calc_ignore'!A378,Output!$A$27:$AG$137,33,FALSE)/IF(AnnuityMode=2,2,IF(AnnuityMode=4,4,IF(AnnuityMode=12,12,1))),0),0)</f>
        <v>20833.333333333332</v>
      </c>
      <c r="J378" s="227">
        <f t="shared" si="61"/>
        <v>0</v>
      </c>
      <c r="K378" s="209">
        <f t="shared" si="67"/>
        <v>0</v>
      </c>
      <c r="L378" s="209">
        <f t="shared" si="62"/>
        <v>0</v>
      </c>
      <c r="M378" s="210">
        <f t="shared" si="71"/>
        <v>0</v>
      </c>
      <c r="N378" s="211">
        <f t="shared" si="68"/>
        <v>0</v>
      </c>
      <c r="O378" s="194">
        <f t="shared" si="69"/>
        <v>0</v>
      </c>
      <c r="P378" s="212">
        <f t="shared" si="63"/>
        <v>0</v>
      </c>
      <c r="Q378">
        <f t="shared" si="64"/>
        <v>915655.61512807524</v>
      </c>
      <c r="X378" s="216">
        <f t="shared" si="70"/>
        <v>30</v>
      </c>
      <c r="Y378">
        <f t="shared" si="65"/>
        <v>0</v>
      </c>
    </row>
    <row r="379" spans="1:25" x14ac:dyDescent="0.2">
      <c r="A379" s="204">
        <f>IF(MOD(COUNT($A$10:A378),12)=0,A378+1,A378)</f>
        <v>31</v>
      </c>
      <c r="B379" s="218">
        <f t="shared" si="66"/>
        <v>10</v>
      </c>
      <c r="C379" s="218">
        <f t="shared" si="60"/>
        <v>1</v>
      </c>
      <c r="D379" s="208">
        <f>IF(MOD(COUNT($D$10:D378),6)=0,D378+1,D378)</f>
        <v>62</v>
      </c>
      <c r="E379" s="208">
        <f>IF(MOD(COUNT($E$10:E378),3)=0,E378+1,E378)</f>
        <v>124</v>
      </c>
      <c r="F379" s="208">
        <f>IF(MOD(COUNT($F$10:F378),1)=0,F378+1,F378)</f>
        <v>370</v>
      </c>
      <c r="G379" s="204">
        <f>IFERROR(IF(C379=1,VLOOKUP(A379,Output!$A$27:$AB$137,28,FALSE)/AnnuityMode,0),0)</f>
        <v>0</v>
      </c>
      <c r="H379" s="220">
        <f>IFERROR(IF(AND(MIN(A379&gt;25,Age+A379&gt;=85),B379=12),VLOOKUP(A379,Output!$A$27:$AE$137,31,FALSE),0),0)</f>
        <v>0</v>
      </c>
      <c r="I379" s="221">
        <f>IFERROR(IF(AND(MIN(A379&gt;15,A379+Age&gt;=70),C379=1),VLOOKUP(A379,Output!$A$27:$AF$137,32,FALSE)*VLOOKUP('SV calc_ignore'!A379,Output!$A$27:$AG$137,33,FALSE)/IF(AnnuityMode=2,2,IF(AnnuityMode=4,4,IF(AnnuityMode=12,12,1))),0),0)</f>
        <v>20833.333333333332</v>
      </c>
      <c r="J379" s="227">
        <f t="shared" si="61"/>
        <v>0</v>
      </c>
      <c r="K379" s="209">
        <f t="shared" si="67"/>
        <v>0</v>
      </c>
      <c r="L379" s="209">
        <f t="shared" si="62"/>
        <v>0</v>
      </c>
      <c r="M379" s="210">
        <f t="shared" si="71"/>
        <v>0</v>
      </c>
      <c r="N379" s="211">
        <f t="shared" si="68"/>
        <v>0</v>
      </c>
      <c r="O379" s="194">
        <f t="shared" si="69"/>
        <v>0</v>
      </c>
      <c r="P379" s="212">
        <f t="shared" si="63"/>
        <v>0</v>
      </c>
      <c r="Q379">
        <f t="shared" si="64"/>
        <v>900926.30605371995</v>
      </c>
      <c r="X379" s="216">
        <f t="shared" si="70"/>
        <v>30</v>
      </c>
      <c r="Y379">
        <f t="shared" si="65"/>
        <v>0</v>
      </c>
    </row>
    <row r="380" spans="1:25" x14ac:dyDescent="0.2">
      <c r="A380" s="204">
        <f>IF(MOD(COUNT($A$10:A379),12)=0,A379+1,A379)</f>
        <v>31</v>
      </c>
      <c r="B380" s="218">
        <f t="shared" si="66"/>
        <v>11</v>
      </c>
      <c r="C380" s="218">
        <f t="shared" si="60"/>
        <v>1</v>
      </c>
      <c r="D380" s="208">
        <f>IF(MOD(COUNT($D$10:D379),6)=0,D379+1,D379)</f>
        <v>62</v>
      </c>
      <c r="E380" s="208">
        <f>IF(MOD(COUNT($E$10:E379),3)=0,E379+1,E379)</f>
        <v>124</v>
      </c>
      <c r="F380" s="208">
        <f>IF(MOD(COUNT($F$10:F379),1)=0,F379+1,F379)</f>
        <v>371</v>
      </c>
      <c r="G380" s="204">
        <f>IFERROR(IF(C380=1,VLOOKUP(A380,Output!$A$27:$AB$137,28,FALSE)/AnnuityMode,0),0)</f>
        <v>0</v>
      </c>
      <c r="H380" s="220">
        <f>IFERROR(IF(AND(MIN(A380&gt;25,Age+A380&gt;=85),B380=12),VLOOKUP(A380,Output!$A$27:$AE$137,31,FALSE),0),0)</f>
        <v>0</v>
      </c>
      <c r="I380" s="221">
        <f>IFERROR(IF(AND(MIN(A380&gt;15,A380+Age&gt;=70),C380=1),VLOOKUP(A380,Output!$A$27:$AF$137,32,FALSE)*VLOOKUP('SV calc_ignore'!A380,Output!$A$27:$AG$137,33,FALSE)/IF(AnnuityMode=2,2,IF(AnnuityMode=4,4,IF(AnnuityMode=12,12,1))),0),0)</f>
        <v>20833.333333333332</v>
      </c>
      <c r="J380" s="227">
        <f t="shared" si="61"/>
        <v>0</v>
      </c>
      <c r="K380" s="209">
        <f t="shared" si="67"/>
        <v>0</v>
      </c>
      <c r="L380" s="209">
        <f t="shared" si="62"/>
        <v>0</v>
      </c>
      <c r="M380" s="210">
        <f t="shared" si="71"/>
        <v>0</v>
      </c>
      <c r="N380" s="211">
        <f t="shared" si="68"/>
        <v>0</v>
      </c>
      <c r="O380" s="194">
        <f t="shared" si="69"/>
        <v>0</v>
      </c>
      <c r="P380" s="212">
        <f t="shared" si="63"/>
        <v>0</v>
      </c>
      <c r="Q380">
        <f t="shared" si="64"/>
        <v>886096.52109522873</v>
      </c>
      <c r="X380" s="216">
        <f t="shared" si="70"/>
        <v>30</v>
      </c>
      <c r="Y380">
        <f t="shared" si="65"/>
        <v>0</v>
      </c>
    </row>
    <row r="381" spans="1:25" ht="13.5" thickBot="1" x14ac:dyDescent="0.25">
      <c r="A381" s="204">
        <f>IF(MOD(COUNT($A$10:A380),12)=0,A380+1,A380)</f>
        <v>31</v>
      </c>
      <c r="B381" s="218">
        <f t="shared" si="66"/>
        <v>12</v>
      </c>
      <c r="C381" s="218">
        <f t="shared" si="60"/>
        <v>1</v>
      </c>
      <c r="D381" s="208">
        <f>IF(MOD(COUNT($D$10:D380),6)=0,D380+1,D380)</f>
        <v>62</v>
      </c>
      <c r="E381" s="208">
        <f>IF(MOD(COUNT($E$10:E380),3)=0,E380+1,E380)</f>
        <v>124</v>
      </c>
      <c r="F381" s="208">
        <f>IF(MOD(COUNT($F$10:F380),1)=0,F380+1,F380)</f>
        <v>372</v>
      </c>
      <c r="G381" s="204">
        <f>IFERROR(IF(C381=1,VLOOKUP(A381,Output!$A$27:$AB$137,28,FALSE)/AnnuityMode,0),0)</f>
        <v>0</v>
      </c>
      <c r="H381" s="220">
        <f>IFERROR(IF(AND(MIN(A381&gt;25,Age+A381&gt;=85),B381=12),VLOOKUP(A381,Output!$A$27:$AE$137,31,FALSE),0),0)</f>
        <v>0</v>
      </c>
      <c r="I381" s="221">
        <f>IFERROR(IF(AND(MIN(A381&gt;15,A381+Age&gt;=70),C381=1),VLOOKUP(A381,Output!$A$27:$AF$137,32,FALSE)*VLOOKUP('SV calc_ignore'!A381,Output!$A$27:$AG$137,33,FALSE)/IF(AnnuityMode=2,2,IF(AnnuityMode=4,4,IF(AnnuityMode=12,12,1))),0),0)</f>
        <v>20833.333333333332</v>
      </c>
      <c r="J381" s="227">
        <f t="shared" si="61"/>
        <v>0</v>
      </c>
      <c r="K381" s="213">
        <f t="shared" si="67"/>
        <v>0</v>
      </c>
      <c r="L381" s="209">
        <f t="shared" si="62"/>
        <v>0</v>
      </c>
      <c r="M381" s="214">
        <f t="shared" si="71"/>
        <v>0</v>
      </c>
      <c r="N381" s="211">
        <f t="shared" si="68"/>
        <v>0</v>
      </c>
      <c r="O381" s="194">
        <f t="shared" si="69"/>
        <v>0</v>
      </c>
      <c r="P381" s="212">
        <f t="shared" si="63"/>
        <v>0</v>
      </c>
      <c r="Q381">
        <f t="shared" si="64"/>
        <v>871165.57485702448</v>
      </c>
      <c r="X381" s="216">
        <f t="shared" si="70"/>
        <v>30</v>
      </c>
      <c r="Y381">
        <f t="shared" si="65"/>
        <v>0</v>
      </c>
    </row>
    <row r="382" spans="1:25" ht="13.5" thickBot="1" x14ac:dyDescent="0.25">
      <c r="A382" s="204">
        <f>IF(MOD(COUNT($A$10:A381),12)=0,A381+1,A381)</f>
        <v>32</v>
      </c>
      <c r="B382" s="218">
        <f t="shared" si="66"/>
        <v>1</v>
      </c>
      <c r="C382" s="218">
        <f t="shared" si="60"/>
        <v>1</v>
      </c>
      <c r="D382" s="208">
        <f>IF(MOD(COUNT($D$10:D381),6)=0,D381+1,D381)</f>
        <v>63</v>
      </c>
      <c r="E382" s="208">
        <f>IF(MOD(COUNT($E$10:E381),3)=0,E381+1,E381)</f>
        <v>125</v>
      </c>
      <c r="F382" s="208">
        <f>IF(MOD(COUNT($F$10:F381),1)=0,F381+1,F381)</f>
        <v>373</v>
      </c>
      <c r="G382" s="204">
        <f>IFERROR(IF(C382=1,VLOOKUP(A382,Output!$A$27:$AB$137,28,FALSE)/AnnuityMode,0),0)</f>
        <v>0</v>
      </c>
      <c r="H382" s="220">
        <f>IFERROR(IF(AND(MIN(A382&gt;25,Age+A382&gt;=85),B382=12),VLOOKUP(A382,Output!$A$27:$AE$137,31,FALSE),0),0)</f>
        <v>0</v>
      </c>
      <c r="I382" s="221">
        <f>IFERROR(IF(AND(MIN(A382&gt;15,A382+Age&gt;=70),C382=1),VLOOKUP(A382,Output!$A$27:$AF$137,32,FALSE)*VLOOKUP('SV calc_ignore'!A382,Output!$A$27:$AG$137,33,FALSE)/IF(AnnuityMode=2,2,IF(AnnuityMode=4,4,IF(AnnuityMode=12,12,1))),0),0)</f>
        <v>20833.333333333332</v>
      </c>
      <c r="J382" s="227">
        <f t="shared" si="61"/>
        <v>0</v>
      </c>
      <c r="K382" s="213">
        <f t="shared" si="67"/>
        <v>0</v>
      </c>
      <c r="L382" s="209">
        <f t="shared" si="62"/>
        <v>0</v>
      </c>
      <c r="M382" s="214">
        <f t="shared" ref="M382:M445" si="72">L381*(1+$K$3)</f>
        <v>0</v>
      </c>
      <c r="N382" s="211">
        <f t="shared" si="68"/>
        <v>0</v>
      </c>
      <c r="O382" s="194">
        <f t="shared" si="69"/>
        <v>0</v>
      </c>
      <c r="P382" s="212">
        <f t="shared" si="63"/>
        <v>0</v>
      </c>
      <c r="Q382">
        <f t="shared" si="64"/>
        <v>856132.7772681088</v>
      </c>
      <c r="X382" s="216">
        <f t="shared" si="70"/>
        <v>31</v>
      </c>
      <c r="Y382">
        <f t="shared" si="65"/>
        <v>0</v>
      </c>
    </row>
    <row r="383" spans="1:25" ht="13.5" thickBot="1" x14ac:dyDescent="0.25">
      <c r="A383" s="204">
        <f>IF(MOD(COUNT($A$10:A382),12)=0,A382+1,A382)</f>
        <v>32</v>
      </c>
      <c r="B383" s="218">
        <f t="shared" si="66"/>
        <v>2</v>
      </c>
      <c r="C383" s="218">
        <f t="shared" si="60"/>
        <v>1</v>
      </c>
      <c r="D383" s="208">
        <f>IF(MOD(COUNT($D$10:D382),6)=0,D382+1,D382)</f>
        <v>63</v>
      </c>
      <c r="E383" s="208">
        <f>IF(MOD(COUNT($E$10:E382),3)=0,E382+1,E382)</f>
        <v>125</v>
      </c>
      <c r="F383" s="208">
        <f>IF(MOD(COUNT($F$10:F382),1)=0,F382+1,F382)</f>
        <v>374</v>
      </c>
      <c r="G383" s="204">
        <f>IFERROR(IF(C383=1,VLOOKUP(A383,Output!$A$27:$AB$137,28,FALSE)/AnnuityMode,0),0)</f>
        <v>0</v>
      </c>
      <c r="H383" s="220">
        <f>IFERROR(IF(AND(MIN(A383&gt;25,Age+A383&gt;=85),B383=12),VLOOKUP(A383,Output!$A$27:$AE$137,31,FALSE),0),0)</f>
        <v>0</v>
      </c>
      <c r="I383" s="221">
        <f>IFERROR(IF(AND(MIN(A383&gt;15,A383+Age&gt;=70),C383=1),VLOOKUP(A383,Output!$A$27:$AF$137,32,FALSE)*VLOOKUP('SV calc_ignore'!A383,Output!$A$27:$AG$137,33,FALSE)/IF(AnnuityMode=2,2,IF(AnnuityMode=4,4,IF(AnnuityMode=12,12,1))),0),0)</f>
        <v>20833.333333333332</v>
      </c>
      <c r="J383" s="227">
        <f t="shared" si="61"/>
        <v>0</v>
      </c>
      <c r="K383" s="213">
        <f t="shared" si="67"/>
        <v>0</v>
      </c>
      <c r="L383" s="209">
        <f t="shared" si="62"/>
        <v>0</v>
      </c>
      <c r="M383" s="214">
        <f t="shared" si="72"/>
        <v>0</v>
      </c>
      <c r="N383" s="211">
        <f t="shared" si="68"/>
        <v>0</v>
      </c>
      <c r="O383" s="194">
        <f t="shared" si="69"/>
        <v>0</v>
      </c>
      <c r="P383" s="212">
        <f t="shared" si="63"/>
        <v>0</v>
      </c>
      <c r="Q383">
        <f t="shared" si="64"/>
        <v>840997.43355016841</v>
      </c>
      <c r="X383" s="216">
        <f t="shared" si="70"/>
        <v>31</v>
      </c>
      <c r="Y383">
        <f t="shared" si="65"/>
        <v>0</v>
      </c>
    </row>
    <row r="384" spans="1:25" ht="13.5" thickBot="1" x14ac:dyDescent="0.25">
      <c r="A384" s="204">
        <f>IF(MOD(COUNT($A$10:A383),12)=0,A383+1,A383)</f>
        <v>32</v>
      </c>
      <c r="B384" s="218">
        <f t="shared" si="66"/>
        <v>3</v>
      </c>
      <c r="C384" s="218">
        <f t="shared" si="60"/>
        <v>1</v>
      </c>
      <c r="D384" s="208">
        <f>IF(MOD(COUNT($D$10:D383),6)=0,D383+1,D383)</f>
        <v>63</v>
      </c>
      <c r="E384" s="208">
        <f>IF(MOD(COUNT($E$10:E383),3)=0,E383+1,E383)</f>
        <v>125</v>
      </c>
      <c r="F384" s="208">
        <f>IF(MOD(COUNT($F$10:F383),1)=0,F383+1,F383)</f>
        <v>375</v>
      </c>
      <c r="G384" s="204">
        <f>IFERROR(IF(C384=1,VLOOKUP(A384,Output!$A$27:$AB$137,28,FALSE)/AnnuityMode,0),0)</f>
        <v>0</v>
      </c>
      <c r="H384" s="220">
        <f>IFERROR(IF(AND(MIN(A384&gt;25,Age+A384&gt;=85),B384=12),VLOOKUP(A384,Output!$A$27:$AE$137,31,FALSE),0),0)</f>
        <v>0</v>
      </c>
      <c r="I384" s="221">
        <f>IFERROR(IF(AND(MIN(A384&gt;15,A384+Age&gt;=70),C384=1),VLOOKUP(A384,Output!$A$27:$AF$137,32,FALSE)*VLOOKUP('SV calc_ignore'!A384,Output!$A$27:$AG$137,33,FALSE)/IF(AnnuityMode=2,2,IF(AnnuityMode=4,4,IF(AnnuityMode=12,12,1))),0),0)</f>
        <v>20833.333333333332</v>
      </c>
      <c r="J384" s="227">
        <f t="shared" si="61"/>
        <v>0</v>
      </c>
      <c r="K384" s="213">
        <f t="shared" si="67"/>
        <v>0</v>
      </c>
      <c r="L384" s="209">
        <f t="shared" si="62"/>
        <v>0</v>
      </c>
      <c r="M384" s="214">
        <f t="shared" si="72"/>
        <v>0</v>
      </c>
      <c r="N384" s="211">
        <f t="shared" si="68"/>
        <v>0</v>
      </c>
      <c r="O384" s="194">
        <f t="shared" si="69"/>
        <v>0</v>
      </c>
      <c r="P384" s="212">
        <f t="shared" si="63"/>
        <v>0</v>
      </c>
      <c r="Q384">
        <f t="shared" si="64"/>
        <v>825758.84418546455</v>
      </c>
      <c r="X384" s="216">
        <f t="shared" si="70"/>
        <v>31</v>
      </c>
      <c r="Y384">
        <f t="shared" si="65"/>
        <v>0</v>
      </c>
    </row>
    <row r="385" spans="1:25" ht="13.5" thickBot="1" x14ac:dyDescent="0.25">
      <c r="A385" s="204">
        <f>IF(MOD(COUNT($A$10:A384),12)=0,A384+1,A384)</f>
        <v>32</v>
      </c>
      <c r="B385" s="218">
        <f t="shared" si="66"/>
        <v>4</v>
      </c>
      <c r="C385" s="218">
        <f t="shared" si="60"/>
        <v>1</v>
      </c>
      <c r="D385" s="208">
        <f>IF(MOD(COUNT($D$10:D384),6)=0,D384+1,D384)</f>
        <v>63</v>
      </c>
      <c r="E385" s="208">
        <f>IF(MOD(COUNT($E$10:E384),3)=0,E384+1,E384)</f>
        <v>126</v>
      </c>
      <c r="F385" s="208">
        <f>IF(MOD(COUNT($F$10:F384),1)=0,F384+1,F384)</f>
        <v>376</v>
      </c>
      <c r="G385" s="204">
        <f>IFERROR(IF(C385=1,VLOOKUP(A385,Output!$A$27:$AB$137,28,FALSE)/AnnuityMode,0),0)</f>
        <v>0</v>
      </c>
      <c r="H385" s="220">
        <f>IFERROR(IF(AND(MIN(A385&gt;25,Age+A385&gt;=85),B385=12),VLOOKUP(A385,Output!$A$27:$AE$137,31,FALSE),0),0)</f>
        <v>0</v>
      </c>
      <c r="I385" s="221">
        <f>IFERROR(IF(AND(MIN(A385&gt;15,A385+Age&gt;=70),C385=1),VLOOKUP(A385,Output!$A$27:$AF$137,32,FALSE)*VLOOKUP('SV calc_ignore'!A385,Output!$A$27:$AG$137,33,FALSE)/IF(AnnuityMode=2,2,IF(AnnuityMode=4,4,IF(AnnuityMode=12,12,1))),0),0)</f>
        <v>20833.333333333332</v>
      </c>
      <c r="J385" s="227">
        <f t="shared" si="61"/>
        <v>0</v>
      </c>
      <c r="K385" s="213">
        <f t="shared" si="67"/>
        <v>0</v>
      </c>
      <c r="L385" s="209">
        <f t="shared" si="62"/>
        <v>0</v>
      </c>
      <c r="M385" s="214">
        <f t="shared" si="72"/>
        <v>0</v>
      </c>
      <c r="N385" s="211">
        <f t="shared" si="68"/>
        <v>0</v>
      </c>
      <c r="O385" s="194">
        <f t="shared" si="69"/>
        <v>0</v>
      </c>
      <c r="P385" s="212">
        <f t="shared" si="63"/>
        <v>0</v>
      </c>
      <c r="Q385">
        <f t="shared" si="64"/>
        <v>810416.30488450278</v>
      </c>
      <c r="X385" s="216">
        <f t="shared" si="70"/>
        <v>31</v>
      </c>
      <c r="Y385">
        <f t="shared" si="65"/>
        <v>0</v>
      </c>
    </row>
    <row r="386" spans="1:25" ht="13.5" thickBot="1" x14ac:dyDescent="0.25">
      <c r="A386" s="204">
        <f>IF(MOD(COUNT($A$10:A385),12)=0,A385+1,A385)</f>
        <v>32</v>
      </c>
      <c r="B386" s="218">
        <f t="shared" si="66"/>
        <v>5</v>
      </c>
      <c r="C386" s="218">
        <f t="shared" si="60"/>
        <v>1</v>
      </c>
      <c r="D386" s="208">
        <f>IF(MOD(COUNT($D$10:D385),6)=0,D385+1,D385)</f>
        <v>63</v>
      </c>
      <c r="E386" s="208">
        <f>IF(MOD(COUNT($E$10:E385),3)=0,E385+1,E385)</f>
        <v>126</v>
      </c>
      <c r="F386" s="208">
        <f>IF(MOD(COUNT($F$10:F385),1)=0,F385+1,F385)</f>
        <v>377</v>
      </c>
      <c r="G386" s="204">
        <f>IFERROR(IF(C386=1,VLOOKUP(A386,Output!$A$27:$AB$137,28,FALSE)/AnnuityMode,0),0)</f>
        <v>0</v>
      </c>
      <c r="H386" s="220">
        <f>IFERROR(IF(AND(MIN(A386&gt;25,Age+A386&gt;=85),B386=12),VLOOKUP(A386,Output!$A$27:$AE$137,31,FALSE),0),0)</f>
        <v>0</v>
      </c>
      <c r="I386" s="221">
        <f>IFERROR(IF(AND(MIN(A386&gt;15,A386+Age&gt;=70),C386=1),VLOOKUP(A386,Output!$A$27:$AF$137,32,FALSE)*VLOOKUP('SV calc_ignore'!A386,Output!$A$27:$AG$137,33,FALSE)/IF(AnnuityMode=2,2,IF(AnnuityMode=4,4,IF(AnnuityMode=12,12,1))),0),0)</f>
        <v>20833.333333333332</v>
      </c>
      <c r="J386" s="227">
        <f t="shared" si="61"/>
        <v>0</v>
      </c>
      <c r="K386" s="213">
        <f t="shared" si="67"/>
        <v>0</v>
      </c>
      <c r="L386" s="209">
        <f t="shared" si="62"/>
        <v>0</v>
      </c>
      <c r="M386" s="214">
        <f t="shared" si="72"/>
        <v>0</v>
      </c>
      <c r="N386" s="211">
        <f t="shared" si="68"/>
        <v>0</v>
      </c>
      <c r="O386" s="194">
        <f t="shared" si="69"/>
        <v>0</v>
      </c>
      <c r="P386" s="212">
        <f t="shared" si="63"/>
        <v>0</v>
      </c>
      <c r="Q386">
        <f t="shared" si="64"/>
        <v>794969.10655348247</v>
      </c>
      <c r="X386" s="216">
        <f t="shared" si="70"/>
        <v>31</v>
      </c>
      <c r="Y386">
        <f t="shared" si="65"/>
        <v>0</v>
      </c>
    </row>
    <row r="387" spans="1:25" ht="13.5" thickBot="1" x14ac:dyDescent="0.25">
      <c r="A387" s="204">
        <f>IF(MOD(COUNT($A$10:A386),12)=0,A386+1,A386)</f>
        <v>32</v>
      </c>
      <c r="B387" s="218">
        <f t="shared" si="66"/>
        <v>6</v>
      </c>
      <c r="C387" s="218">
        <f t="shared" si="60"/>
        <v>1</v>
      </c>
      <c r="D387" s="208">
        <f>IF(MOD(COUNT($D$10:D386),6)=0,D386+1,D386)</f>
        <v>63</v>
      </c>
      <c r="E387" s="208">
        <f>IF(MOD(COUNT($E$10:E386),3)=0,E386+1,E386)</f>
        <v>126</v>
      </c>
      <c r="F387" s="208">
        <f>IF(MOD(COUNT($F$10:F386),1)=0,F386+1,F386)</f>
        <v>378</v>
      </c>
      <c r="G387" s="204">
        <f>IFERROR(IF(C387=1,VLOOKUP(A387,Output!$A$27:$AB$137,28,FALSE)/AnnuityMode,0),0)</f>
        <v>0</v>
      </c>
      <c r="H387" s="220">
        <f>IFERROR(IF(AND(MIN(A387&gt;25,Age+A387&gt;=85),B387=12),VLOOKUP(A387,Output!$A$27:$AE$137,31,FALSE),0),0)</f>
        <v>0</v>
      </c>
      <c r="I387" s="221">
        <f>IFERROR(IF(AND(MIN(A387&gt;15,A387+Age&gt;=70),C387=1),VLOOKUP(A387,Output!$A$27:$AF$137,32,FALSE)*VLOOKUP('SV calc_ignore'!A387,Output!$A$27:$AG$137,33,FALSE)/IF(AnnuityMode=2,2,IF(AnnuityMode=4,4,IF(AnnuityMode=12,12,1))),0),0)</f>
        <v>20833.333333333332</v>
      </c>
      <c r="J387" s="227">
        <f t="shared" si="61"/>
        <v>0</v>
      </c>
      <c r="K387" s="213">
        <f t="shared" si="67"/>
        <v>0</v>
      </c>
      <c r="L387" s="209">
        <f t="shared" si="62"/>
        <v>0</v>
      </c>
      <c r="M387" s="214">
        <f t="shared" si="72"/>
        <v>0</v>
      </c>
      <c r="N387" s="211">
        <f t="shared" si="68"/>
        <v>0</v>
      </c>
      <c r="O387" s="194">
        <f t="shared" si="69"/>
        <v>0</v>
      </c>
      <c r="P387" s="212">
        <f t="shared" si="63"/>
        <v>0</v>
      </c>
      <c r="Q387">
        <f t="shared" si="64"/>
        <v>779416.53526152438</v>
      </c>
      <c r="X387" s="216">
        <f t="shared" si="70"/>
        <v>31</v>
      </c>
      <c r="Y387">
        <f t="shared" si="65"/>
        <v>0</v>
      </c>
    </row>
    <row r="388" spans="1:25" ht="13.5" thickBot="1" x14ac:dyDescent="0.25">
      <c r="A388" s="204">
        <f>IF(MOD(COUNT($A$10:A387),12)=0,A387+1,A387)</f>
        <v>32</v>
      </c>
      <c r="B388" s="218">
        <f t="shared" si="66"/>
        <v>7</v>
      </c>
      <c r="C388" s="218">
        <f t="shared" si="60"/>
        <v>1</v>
      </c>
      <c r="D388" s="208">
        <f>IF(MOD(COUNT($D$10:D387),6)=0,D387+1,D387)</f>
        <v>64</v>
      </c>
      <c r="E388" s="208">
        <f>IF(MOD(COUNT($E$10:E387),3)=0,E387+1,E387)</f>
        <v>127</v>
      </c>
      <c r="F388" s="208">
        <f>IF(MOD(COUNT($F$10:F387),1)=0,F387+1,F387)</f>
        <v>379</v>
      </c>
      <c r="G388" s="204">
        <f>IFERROR(IF(C388=1,VLOOKUP(A388,Output!$A$27:$AB$137,28,FALSE)/AnnuityMode,0),0)</f>
        <v>0</v>
      </c>
      <c r="H388" s="220">
        <f>IFERROR(IF(AND(MIN(A388&gt;25,Age+A388&gt;=85),B388=12),VLOOKUP(A388,Output!$A$27:$AE$137,31,FALSE),0),0)</f>
        <v>0</v>
      </c>
      <c r="I388" s="221">
        <f>IFERROR(IF(AND(MIN(A388&gt;15,A388+Age&gt;=70),C388=1),VLOOKUP(A388,Output!$A$27:$AF$137,32,FALSE)*VLOOKUP('SV calc_ignore'!A388,Output!$A$27:$AG$137,33,FALSE)/IF(AnnuityMode=2,2,IF(AnnuityMode=4,4,IF(AnnuityMode=12,12,1))),0),0)</f>
        <v>20833.333333333332</v>
      </c>
      <c r="J388" s="227">
        <f t="shared" si="61"/>
        <v>0</v>
      </c>
      <c r="K388" s="213">
        <f t="shared" si="67"/>
        <v>0</v>
      </c>
      <c r="L388" s="209">
        <f t="shared" si="62"/>
        <v>0</v>
      </c>
      <c r="M388" s="214">
        <f t="shared" si="72"/>
        <v>0</v>
      </c>
      <c r="N388" s="211">
        <f t="shared" si="68"/>
        <v>0</v>
      </c>
      <c r="O388" s="194">
        <f t="shared" si="69"/>
        <v>0</v>
      </c>
      <c r="P388" s="212">
        <f t="shared" si="63"/>
        <v>0</v>
      </c>
      <c r="Q388">
        <f t="shared" si="64"/>
        <v>763757.87220767455</v>
      </c>
      <c r="X388" s="216">
        <f t="shared" si="70"/>
        <v>31</v>
      </c>
      <c r="Y388">
        <f t="shared" si="65"/>
        <v>0</v>
      </c>
    </row>
    <row r="389" spans="1:25" ht="13.5" thickBot="1" x14ac:dyDescent="0.25">
      <c r="A389" s="204">
        <f>IF(MOD(COUNT($A$10:A388),12)=0,A388+1,A388)</f>
        <v>32</v>
      </c>
      <c r="B389" s="218">
        <f t="shared" si="66"/>
        <v>8</v>
      </c>
      <c r="C389" s="218">
        <f t="shared" si="60"/>
        <v>1</v>
      </c>
      <c r="D389" s="208">
        <f>IF(MOD(COUNT($D$10:D388),6)=0,D388+1,D388)</f>
        <v>64</v>
      </c>
      <c r="E389" s="208">
        <f>IF(MOD(COUNT($E$10:E388),3)=0,E388+1,E388)</f>
        <v>127</v>
      </c>
      <c r="F389" s="208">
        <f>IF(MOD(COUNT($F$10:F388),1)=0,F388+1,F388)</f>
        <v>380</v>
      </c>
      <c r="G389" s="204">
        <f>IFERROR(IF(C389=1,VLOOKUP(A389,Output!$A$27:$AB$137,28,FALSE)/AnnuityMode,0),0)</f>
        <v>0</v>
      </c>
      <c r="H389" s="220">
        <f>IFERROR(IF(AND(MIN(A389&gt;25,Age+A389&gt;=85),B389=12),VLOOKUP(A389,Output!$A$27:$AE$137,31,FALSE),0),0)</f>
        <v>0</v>
      </c>
      <c r="I389" s="221">
        <f>IFERROR(IF(AND(MIN(A389&gt;15,A389+Age&gt;=70),C389=1),VLOOKUP(A389,Output!$A$27:$AF$137,32,FALSE)*VLOOKUP('SV calc_ignore'!A389,Output!$A$27:$AG$137,33,FALSE)/IF(AnnuityMode=2,2,IF(AnnuityMode=4,4,IF(AnnuityMode=12,12,1))),0),0)</f>
        <v>20833.333333333332</v>
      </c>
      <c r="J389" s="227">
        <f t="shared" si="61"/>
        <v>0</v>
      </c>
      <c r="K389" s="213">
        <f t="shared" si="67"/>
        <v>0</v>
      </c>
      <c r="L389" s="209">
        <f t="shared" si="62"/>
        <v>0</v>
      </c>
      <c r="M389" s="214">
        <f t="shared" si="72"/>
        <v>0</v>
      </c>
      <c r="N389" s="211">
        <f t="shared" si="68"/>
        <v>0</v>
      </c>
      <c r="O389" s="194">
        <f t="shared" si="69"/>
        <v>0</v>
      </c>
      <c r="P389" s="212">
        <f t="shared" si="63"/>
        <v>0</v>
      </c>
      <c r="Q389">
        <f t="shared" si="64"/>
        <v>747992.39368768304</v>
      </c>
      <c r="X389" s="216">
        <f t="shared" si="70"/>
        <v>31</v>
      </c>
      <c r="Y389">
        <f t="shared" si="65"/>
        <v>0</v>
      </c>
    </row>
    <row r="390" spans="1:25" ht="13.5" thickBot="1" x14ac:dyDescent="0.25">
      <c r="A390" s="204">
        <f>IF(MOD(COUNT($A$10:A389),12)=0,A389+1,A389)</f>
        <v>32</v>
      </c>
      <c r="B390" s="218">
        <f t="shared" si="66"/>
        <v>9</v>
      </c>
      <c r="C390" s="218">
        <f t="shared" si="60"/>
        <v>1</v>
      </c>
      <c r="D390" s="208">
        <f>IF(MOD(COUNT($D$10:D389),6)=0,D389+1,D389)</f>
        <v>64</v>
      </c>
      <c r="E390" s="208">
        <f>IF(MOD(COUNT($E$10:E389),3)=0,E389+1,E389)</f>
        <v>127</v>
      </c>
      <c r="F390" s="208">
        <f>IF(MOD(COUNT($F$10:F389),1)=0,F389+1,F389)</f>
        <v>381</v>
      </c>
      <c r="G390" s="204">
        <f>IFERROR(IF(C390=1,VLOOKUP(A390,Output!$A$27:$AB$137,28,FALSE)/AnnuityMode,0),0)</f>
        <v>0</v>
      </c>
      <c r="H390" s="220">
        <f>IFERROR(IF(AND(MIN(A390&gt;25,Age+A390&gt;=85),B390=12),VLOOKUP(A390,Output!$A$27:$AE$137,31,FALSE),0),0)</f>
        <v>0</v>
      </c>
      <c r="I390" s="221">
        <f>IFERROR(IF(AND(MIN(A390&gt;15,A390+Age&gt;=70),C390=1),VLOOKUP(A390,Output!$A$27:$AF$137,32,FALSE)*VLOOKUP('SV calc_ignore'!A390,Output!$A$27:$AG$137,33,FALSE)/IF(AnnuityMode=2,2,IF(AnnuityMode=4,4,IF(AnnuityMode=12,12,1))),0),0)</f>
        <v>20833.333333333332</v>
      </c>
      <c r="J390" s="227">
        <f t="shared" si="61"/>
        <v>0</v>
      </c>
      <c r="K390" s="213">
        <f t="shared" si="67"/>
        <v>0</v>
      </c>
      <c r="L390" s="209">
        <f t="shared" si="62"/>
        <v>0</v>
      </c>
      <c r="M390" s="214">
        <f t="shared" si="72"/>
        <v>0</v>
      </c>
      <c r="N390" s="211">
        <f t="shared" si="68"/>
        <v>0</v>
      </c>
      <c r="O390" s="194">
        <f t="shared" si="69"/>
        <v>0</v>
      </c>
      <c r="P390" s="212">
        <f t="shared" si="63"/>
        <v>0</v>
      </c>
      <c r="Q390">
        <f t="shared" si="64"/>
        <v>732119.37106055627</v>
      </c>
      <c r="X390" s="216">
        <f t="shared" si="70"/>
        <v>31</v>
      </c>
      <c r="Y390">
        <f t="shared" si="65"/>
        <v>0</v>
      </c>
    </row>
    <row r="391" spans="1:25" ht="13.5" thickBot="1" x14ac:dyDescent="0.25">
      <c r="A391" s="204">
        <f>IF(MOD(COUNT($A$10:A390),12)=0,A390+1,A390)</f>
        <v>32</v>
      </c>
      <c r="B391" s="218">
        <f t="shared" si="66"/>
        <v>10</v>
      </c>
      <c r="C391" s="218">
        <f t="shared" si="60"/>
        <v>1</v>
      </c>
      <c r="D391" s="208">
        <f>IF(MOD(COUNT($D$10:D390),6)=0,D390+1,D390)</f>
        <v>64</v>
      </c>
      <c r="E391" s="208">
        <f>IF(MOD(COUNT($E$10:E390),3)=0,E390+1,E390)</f>
        <v>128</v>
      </c>
      <c r="F391" s="208">
        <f>IF(MOD(COUNT($F$10:F390),1)=0,F390+1,F390)</f>
        <v>382</v>
      </c>
      <c r="G391" s="204">
        <f>IFERROR(IF(C391=1,VLOOKUP(A391,Output!$A$27:$AB$137,28,FALSE)/AnnuityMode,0),0)</f>
        <v>0</v>
      </c>
      <c r="H391" s="220">
        <f>IFERROR(IF(AND(MIN(A391&gt;25,Age+A391&gt;=85),B391=12),VLOOKUP(A391,Output!$A$27:$AE$137,31,FALSE),0),0)</f>
        <v>0</v>
      </c>
      <c r="I391" s="221">
        <f>IFERROR(IF(AND(MIN(A391&gt;15,A391+Age&gt;=70),C391=1),VLOOKUP(A391,Output!$A$27:$AF$137,32,FALSE)*VLOOKUP('SV calc_ignore'!A391,Output!$A$27:$AG$137,33,FALSE)/IF(AnnuityMode=2,2,IF(AnnuityMode=4,4,IF(AnnuityMode=12,12,1))),0),0)</f>
        <v>20833.333333333332</v>
      </c>
      <c r="J391" s="227">
        <f t="shared" si="61"/>
        <v>0</v>
      </c>
      <c r="K391" s="213">
        <f t="shared" si="67"/>
        <v>0</v>
      </c>
      <c r="L391" s="209">
        <f t="shared" si="62"/>
        <v>0</v>
      </c>
      <c r="M391" s="214">
        <f t="shared" si="72"/>
        <v>0</v>
      </c>
      <c r="N391" s="211">
        <f t="shared" si="68"/>
        <v>0</v>
      </c>
      <c r="O391" s="194">
        <f t="shared" si="69"/>
        <v>0</v>
      </c>
      <c r="P391" s="212">
        <f t="shared" si="63"/>
        <v>0</v>
      </c>
      <c r="Q391">
        <f t="shared" si="64"/>
        <v>716138.07071488071</v>
      </c>
      <c r="X391" s="216">
        <f t="shared" si="70"/>
        <v>31</v>
      </c>
      <c r="Y391">
        <f t="shared" si="65"/>
        <v>0</v>
      </c>
    </row>
    <row r="392" spans="1:25" ht="13.5" thickBot="1" x14ac:dyDescent="0.25">
      <c r="A392" s="204">
        <f>IF(MOD(COUNT($A$10:A391),12)=0,A391+1,A391)</f>
        <v>32</v>
      </c>
      <c r="B392" s="218">
        <f t="shared" si="66"/>
        <v>11</v>
      </c>
      <c r="C392" s="218">
        <f t="shared" si="60"/>
        <v>1</v>
      </c>
      <c r="D392" s="208">
        <f>IF(MOD(COUNT($D$10:D391),6)=0,D391+1,D391)</f>
        <v>64</v>
      </c>
      <c r="E392" s="208">
        <f>IF(MOD(COUNT($E$10:E391),3)=0,E391+1,E391)</f>
        <v>128</v>
      </c>
      <c r="F392" s="208">
        <f>IF(MOD(COUNT($F$10:F391),1)=0,F391+1,F391)</f>
        <v>383</v>
      </c>
      <c r="G392" s="204">
        <f>IFERROR(IF(C392=1,VLOOKUP(A392,Output!$A$27:$AB$137,28,FALSE)/AnnuityMode,0),0)</f>
        <v>0</v>
      </c>
      <c r="H392" s="220">
        <f>IFERROR(IF(AND(MIN(A392&gt;25,Age+A392&gt;=85),B392=12),VLOOKUP(A392,Output!$A$27:$AE$137,31,FALSE),0),0)</f>
        <v>0</v>
      </c>
      <c r="I392" s="221">
        <f>IFERROR(IF(AND(MIN(A392&gt;15,A392+Age&gt;=70),C392=1),VLOOKUP(A392,Output!$A$27:$AF$137,32,FALSE)*VLOOKUP('SV calc_ignore'!A392,Output!$A$27:$AG$137,33,FALSE)/IF(AnnuityMode=2,2,IF(AnnuityMode=4,4,IF(AnnuityMode=12,12,1))),0),0)</f>
        <v>20833.333333333332</v>
      </c>
      <c r="J392" s="227">
        <f t="shared" si="61"/>
        <v>0</v>
      </c>
      <c r="K392" s="213">
        <f t="shared" si="67"/>
        <v>0</v>
      </c>
      <c r="L392" s="209">
        <f t="shared" si="62"/>
        <v>0</v>
      </c>
      <c r="M392" s="214">
        <f t="shared" si="72"/>
        <v>0</v>
      </c>
      <c r="N392" s="211">
        <f t="shared" si="68"/>
        <v>0</v>
      </c>
      <c r="O392" s="194">
        <f t="shared" si="69"/>
        <v>0</v>
      </c>
      <c r="P392" s="212">
        <f t="shared" si="63"/>
        <v>0</v>
      </c>
      <c r="Q392">
        <f t="shared" si="64"/>
        <v>700047.75403491769</v>
      </c>
      <c r="X392" s="216">
        <f t="shared" si="70"/>
        <v>31</v>
      </c>
      <c r="Y392">
        <f t="shared" si="65"/>
        <v>0</v>
      </c>
    </row>
    <row r="393" spans="1:25" ht="13.5" thickBot="1" x14ac:dyDescent="0.25">
      <c r="A393" s="204">
        <f>IF(MOD(COUNT($A$10:A392),12)=0,A392+1,A392)</f>
        <v>32</v>
      </c>
      <c r="B393" s="218">
        <f t="shared" si="66"/>
        <v>12</v>
      </c>
      <c r="C393" s="218">
        <f t="shared" si="60"/>
        <v>1</v>
      </c>
      <c r="D393" s="208">
        <f>IF(MOD(COUNT($D$10:D392),6)=0,D392+1,D392)</f>
        <v>64</v>
      </c>
      <c r="E393" s="208">
        <f>IF(MOD(COUNT($E$10:E392),3)=0,E392+1,E392)</f>
        <v>128</v>
      </c>
      <c r="F393" s="208">
        <f>IF(MOD(COUNT($F$10:F392),1)=0,F392+1,F392)</f>
        <v>384</v>
      </c>
      <c r="G393" s="204">
        <f>IFERROR(IF(C393=1,VLOOKUP(A393,Output!$A$27:$AB$137,28,FALSE)/AnnuityMode,0),0)</f>
        <v>0</v>
      </c>
      <c r="H393" s="220">
        <f>IFERROR(IF(AND(MIN(A393&gt;25,Age+A393&gt;=85),B393=12),VLOOKUP(A393,Output!$A$27:$AE$137,31,FALSE),0),0)</f>
        <v>0</v>
      </c>
      <c r="I393" s="221">
        <f>IFERROR(IF(AND(MIN(A393&gt;15,A393+Age&gt;=70),C393=1),VLOOKUP(A393,Output!$A$27:$AF$137,32,FALSE)*VLOOKUP('SV calc_ignore'!A393,Output!$A$27:$AG$137,33,FALSE)/IF(AnnuityMode=2,2,IF(AnnuityMode=4,4,IF(AnnuityMode=12,12,1))),0),0)</f>
        <v>20833.333333333332</v>
      </c>
      <c r="J393" s="227">
        <f t="shared" si="61"/>
        <v>0</v>
      </c>
      <c r="K393" s="213">
        <f t="shared" si="67"/>
        <v>0</v>
      </c>
      <c r="L393" s="209">
        <f t="shared" si="62"/>
        <v>0</v>
      </c>
      <c r="M393" s="214">
        <f t="shared" si="72"/>
        <v>0</v>
      </c>
      <c r="N393" s="211">
        <f t="shared" si="68"/>
        <v>0</v>
      </c>
      <c r="O393" s="194">
        <f t="shared" si="69"/>
        <v>0</v>
      </c>
      <c r="P393" s="212">
        <f t="shared" si="63"/>
        <v>0</v>
      </c>
      <c r="Q393">
        <f t="shared" si="64"/>
        <v>683847.67736646603</v>
      </c>
      <c r="X393" s="216">
        <f t="shared" si="70"/>
        <v>31</v>
      </c>
      <c r="Y393">
        <f t="shared" si="65"/>
        <v>0</v>
      </c>
    </row>
    <row r="394" spans="1:25" ht="13.5" thickBot="1" x14ac:dyDescent="0.25">
      <c r="A394" s="204">
        <f>IF(MOD(COUNT($A$10:A393),12)=0,A393+1,A393)</f>
        <v>33</v>
      </c>
      <c r="B394" s="218">
        <f t="shared" si="66"/>
        <v>1</v>
      </c>
      <c r="C394" s="218">
        <f t="shared" ref="C394:C457" si="73">IF(AND(AnnuityMode=1,B394=12),1,IF(AND(OR(B394=6,B394=12),AnnuityMode=2),1,IF(AND(OR(B394=3,B394=6,B394=12,B394=9),AnnuityMode=4),1,IF(AND(OR(B394=1,B394=2,B394=3,B394=4,B394=5,B394=6,B394=7,B394=8,B394=9,B394=10,B394=11,B394=12),AnnuityMode=12),1,0))))</f>
        <v>1</v>
      </c>
      <c r="D394" s="208">
        <f>IF(MOD(COUNT($D$10:D393),6)=0,D393+1,D393)</f>
        <v>65</v>
      </c>
      <c r="E394" s="208">
        <f>IF(MOD(COUNT($E$10:E393),3)=0,E393+1,E393)</f>
        <v>129</v>
      </c>
      <c r="F394" s="208">
        <f>IF(MOD(COUNT($F$10:F393),1)=0,F393+1,F393)</f>
        <v>385</v>
      </c>
      <c r="G394" s="204">
        <f>IFERROR(IF(C394=1,VLOOKUP(A394,Output!$A$27:$AB$137,28,FALSE)/AnnuityMode,0),0)</f>
        <v>0</v>
      </c>
      <c r="H394" s="220">
        <f>IFERROR(IF(AND(MIN(A394&gt;25,Age+A394&gt;=85),B394=12),VLOOKUP(A394,Output!$A$27:$AE$137,31,FALSE),0),0)</f>
        <v>0</v>
      </c>
      <c r="I394" s="221">
        <f>IFERROR(IF(AND(MIN(A394&gt;15,A394+Age&gt;=70),C394=1),VLOOKUP(A394,Output!$A$27:$AF$137,32,FALSE)*VLOOKUP('SV calc_ignore'!A394,Output!$A$27:$AG$137,33,FALSE)/IF(AnnuityMode=2,2,IF(AnnuityMode=4,4,IF(AnnuityMode=12,12,1))),0),0)</f>
        <v>20833.333333333332</v>
      </c>
      <c r="J394" s="227">
        <f t="shared" ref="J394:J457" si="74">G394+(J395)*(1+$K$3)^(-1)</f>
        <v>0</v>
      </c>
      <c r="K394" s="213">
        <f t="shared" si="67"/>
        <v>0</v>
      </c>
      <c r="L394" s="209">
        <f t="shared" ref="L394:L457" si="75">(L395+G395)*$K$2</f>
        <v>0</v>
      </c>
      <c r="M394" s="214">
        <f t="shared" si="72"/>
        <v>0</v>
      </c>
      <c r="N394" s="211">
        <f t="shared" si="68"/>
        <v>0</v>
      </c>
      <c r="O394" s="194">
        <f t="shared" si="69"/>
        <v>0</v>
      </c>
      <c r="P394" s="212">
        <f t="shared" ref="P394:P457" si="76">(P395+H395)*(1+$K$3)^(-1)</f>
        <v>0</v>
      </c>
      <c r="Q394">
        <f t="shared" ref="Q394:Q457" si="77">(I394+(Q395)*(1+$K$3)^(-1))*(A394&lt;=$W$5)</f>
        <v>667537.09198249248</v>
      </c>
      <c r="X394" s="216">
        <f t="shared" si="70"/>
        <v>32</v>
      </c>
      <c r="Y394">
        <f t="shared" ref="Y394:Y457" si="78">G394*(1-IF(AnnuityMode=1,$L$2,IF(AnnuityMode=2,$M$2,IF(AnnuityMode=4,$N$2,$K$2)))^(110*AnnuityMode-IF(AnnuityMode=1,X394,IF(AnnuityMode=2,D394,IF(AnnuityMode=4,E394,F394)))-0))/(IF(AnnuityMode=1,$L$3,IF(AnnuityMode=2,$M$3,IF(AnnuityMode=4,$N$3,$K$3))))</f>
        <v>0</v>
      </c>
    </row>
    <row r="395" spans="1:25" ht="13.5" thickBot="1" x14ac:dyDescent="0.25">
      <c r="A395" s="204">
        <f>IF(MOD(COUNT($A$10:A394),12)=0,A394+1,A394)</f>
        <v>33</v>
      </c>
      <c r="B395" s="218">
        <f t="shared" ref="B395:B458" si="79">IF(A394&lt;&gt;A395,1,B394+1)</f>
        <v>2</v>
      </c>
      <c r="C395" s="218">
        <f t="shared" si="73"/>
        <v>1</v>
      </c>
      <c r="D395" s="208">
        <f>IF(MOD(COUNT($D$10:D394),6)=0,D394+1,D394)</f>
        <v>65</v>
      </c>
      <c r="E395" s="208">
        <f>IF(MOD(COUNT($E$10:E394),3)=0,E394+1,E394)</f>
        <v>129</v>
      </c>
      <c r="F395" s="208">
        <f>IF(MOD(COUNT($F$10:F394),1)=0,F394+1,F394)</f>
        <v>386</v>
      </c>
      <c r="G395" s="204">
        <f>IFERROR(IF(C395=1,VLOOKUP(A395,Output!$A$27:$AB$137,28,FALSE)/AnnuityMode,0),0)</f>
        <v>0</v>
      </c>
      <c r="H395" s="220">
        <f>IFERROR(IF(AND(MIN(A395&gt;25,Age+A395&gt;=85),B395=12),VLOOKUP(A395,Output!$A$27:$AE$137,31,FALSE),0),0)</f>
        <v>0</v>
      </c>
      <c r="I395" s="221">
        <f>IFERROR(IF(AND(MIN(A395&gt;15,A395+Age&gt;=70),C395=1),VLOOKUP(A395,Output!$A$27:$AF$137,32,FALSE)*VLOOKUP('SV calc_ignore'!A395,Output!$A$27:$AG$137,33,FALSE)/IF(AnnuityMode=2,2,IF(AnnuityMode=4,4,IF(AnnuityMode=12,12,1))),0),0)</f>
        <v>20833.333333333332</v>
      </c>
      <c r="J395" s="227">
        <f t="shared" si="74"/>
        <v>0</v>
      </c>
      <c r="K395" s="213">
        <f t="shared" ref="K395:K458" si="80">IF(OR(K394&gt;$K$8,K394=0),0,K394+1)</f>
        <v>0</v>
      </c>
      <c r="L395" s="209">
        <f t="shared" si="75"/>
        <v>0</v>
      </c>
      <c r="M395" s="214">
        <f t="shared" si="72"/>
        <v>0</v>
      </c>
      <c r="N395" s="211">
        <f t="shared" ref="N395:N458" si="81">M395-L395-G395</f>
        <v>0</v>
      </c>
      <c r="O395" s="194">
        <f t="shared" ref="O395:O458" si="82">MAX($H$10:$H$897)/(1+$K$3)^($Q$5*12-F395)*(A395&lt;=$Q$5)</f>
        <v>0</v>
      </c>
      <c r="P395" s="212">
        <f t="shared" si="76"/>
        <v>0</v>
      </c>
      <c r="Q395">
        <f t="shared" si="77"/>
        <v>651115.24404852721</v>
      </c>
      <c r="X395" s="216">
        <f t="shared" ref="X395:X458" si="83">A395-1</f>
        <v>32</v>
      </c>
      <c r="Y395">
        <f t="shared" si="78"/>
        <v>0</v>
      </c>
    </row>
    <row r="396" spans="1:25" ht="13.5" thickBot="1" x14ac:dyDescent="0.25">
      <c r="A396" s="204">
        <f>IF(MOD(COUNT($A$10:A395),12)=0,A395+1,A395)</f>
        <v>33</v>
      </c>
      <c r="B396" s="218">
        <f t="shared" si="79"/>
        <v>3</v>
      </c>
      <c r="C396" s="218">
        <f t="shared" si="73"/>
        <v>1</v>
      </c>
      <c r="D396" s="208">
        <f>IF(MOD(COUNT($D$10:D395),6)=0,D395+1,D395)</f>
        <v>65</v>
      </c>
      <c r="E396" s="208">
        <f>IF(MOD(COUNT($E$10:E395),3)=0,E395+1,E395)</f>
        <v>129</v>
      </c>
      <c r="F396" s="208">
        <f>IF(MOD(COUNT($F$10:F395),1)=0,F395+1,F395)</f>
        <v>387</v>
      </c>
      <c r="G396" s="204">
        <f>IFERROR(IF(C396=1,VLOOKUP(A396,Output!$A$27:$AB$137,28,FALSE)/AnnuityMode,0),0)</f>
        <v>0</v>
      </c>
      <c r="H396" s="220">
        <f>IFERROR(IF(AND(MIN(A396&gt;25,Age+A396&gt;=85),B396=12),VLOOKUP(A396,Output!$A$27:$AE$137,31,FALSE),0),0)</f>
        <v>0</v>
      </c>
      <c r="I396" s="221">
        <f>IFERROR(IF(AND(MIN(A396&gt;15,A396+Age&gt;=70),C396=1),VLOOKUP(A396,Output!$A$27:$AF$137,32,FALSE)*VLOOKUP('SV calc_ignore'!A396,Output!$A$27:$AG$137,33,FALSE)/IF(AnnuityMode=2,2,IF(AnnuityMode=4,4,IF(AnnuityMode=12,12,1))),0),0)</f>
        <v>20833.333333333332</v>
      </c>
      <c r="J396" s="227">
        <f t="shared" si="74"/>
        <v>0</v>
      </c>
      <c r="K396" s="213">
        <f t="shared" si="80"/>
        <v>0</v>
      </c>
      <c r="L396" s="209">
        <f t="shared" si="75"/>
        <v>0</v>
      </c>
      <c r="M396" s="214">
        <f t="shared" si="72"/>
        <v>0</v>
      </c>
      <c r="N396" s="211">
        <f t="shared" si="81"/>
        <v>0</v>
      </c>
      <c r="O396" s="194">
        <f t="shared" si="82"/>
        <v>0</v>
      </c>
      <c r="P396" s="212">
        <f t="shared" si="76"/>
        <v>0</v>
      </c>
      <c r="Q396">
        <f t="shared" si="77"/>
        <v>634581.37458782352</v>
      </c>
      <c r="X396" s="216">
        <f t="shared" si="83"/>
        <v>32</v>
      </c>
      <c r="Y396">
        <f t="shared" si="78"/>
        <v>0</v>
      </c>
    </row>
    <row r="397" spans="1:25" ht="13.5" thickBot="1" x14ac:dyDescent="0.25">
      <c r="A397" s="204">
        <f>IF(MOD(COUNT($A$10:A396),12)=0,A396+1,A396)</f>
        <v>33</v>
      </c>
      <c r="B397" s="218">
        <f t="shared" si="79"/>
        <v>4</v>
      </c>
      <c r="C397" s="218">
        <f t="shared" si="73"/>
        <v>1</v>
      </c>
      <c r="D397" s="208">
        <f>IF(MOD(COUNT($D$10:D396),6)=0,D396+1,D396)</f>
        <v>65</v>
      </c>
      <c r="E397" s="208">
        <f>IF(MOD(COUNT($E$10:E396),3)=0,E396+1,E396)</f>
        <v>130</v>
      </c>
      <c r="F397" s="208">
        <f>IF(MOD(COUNT($F$10:F396),1)=0,F396+1,F396)</f>
        <v>388</v>
      </c>
      <c r="G397" s="204">
        <f>IFERROR(IF(C397=1,VLOOKUP(A397,Output!$A$27:$AB$137,28,FALSE)/AnnuityMode,0),0)</f>
        <v>0</v>
      </c>
      <c r="H397" s="220">
        <f>IFERROR(IF(AND(MIN(A397&gt;25,Age+A397&gt;=85),B397=12),VLOOKUP(A397,Output!$A$27:$AE$137,31,FALSE),0),0)</f>
        <v>0</v>
      </c>
      <c r="I397" s="221">
        <f>IFERROR(IF(AND(MIN(A397&gt;15,A397+Age&gt;=70),C397=1),VLOOKUP(A397,Output!$A$27:$AF$137,32,FALSE)*VLOOKUP('SV calc_ignore'!A397,Output!$A$27:$AG$137,33,FALSE)/IF(AnnuityMode=2,2,IF(AnnuityMode=4,4,IF(AnnuityMode=12,12,1))),0),0)</f>
        <v>20833.333333333332</v>
      </c>
      <c r="J397" s="227">
        <f t="shared" si="74"/>
        <v>0</v>
      </c>
      <c r="K397" s="213">
        <f t="shared" si="80"/>
        <v>0</v>
      </c>
      <c r="L397" s="209">
        <f t="shared" si="75"/>
        <v>0</v>
      </c>
      <c r="M397" s="214">
        <f t="shared" si="72"/>
        <v>0</v>
      </c>
      <c r="N397" s="211">
        <f t="shared" si="81"/>
        <v>0</v>
      </c>
      <c r="O397" s="194">
        <f t="shared" si="82"/>
        <v>0</v>
      </c>
      <c r="P397" s="212">
        <f t="shared" si="76"/>
        <v>0</v>
      </c>
      <c r="Q397">
        <f t="shared" si="77"/>
        <v>617934.71944627992</v>
      </c>
      <c r="X397" s="216">
        <f t="shared" si="83"/>
        <v>32</v>
      </c>
      <c r="Y397">
        <f t="shared" si="78"/>
        <v>0</v>
      </c>
    </row>
    <row r="398" spans="1:25" ht="13.5" thickBot="1" x14ac:dyDescent="0.25">
      <c r="A398" s="204">
        <f>IF(MOD(COUNT($A$10:A397),12)=0,A397+1,A397)</f>
        <v>33</v>
      </c>
      <c r="B398" s="218">
        <f t="shared" si="79"/>
        <v>5</v>
      </c>
      <c r="C398" s="218">
        <f t="shared" si="73"/>
        <v>1</v>
      </c>
      <c r="D398" s="208">
        <f>IF(MOD(COUNT($D$10:D397),6)=0,D397+1,D397)</f>
        <v>65</v>
      </c>
      <c r="E398" s="208">
        <f>IF(MOD(COUNT($E$10:E397),3)=0,E397+1,E397)</f>
        <v>130</v>
      </c>
      <c r="F398" s="208">
        <f>IF(MOD(COUNT($F$10:F397),1)=0,F397+1,F397)</f>
        <v>389</v>
      </c>
      <c r="G398" s="204">
        <f>IFERROR(IF(C398=1,VLOOKUP(A398,Output!$A$27:$AB$137,28,FALSE)/AnnuityMode,0),0)</f>
        <v>0</v>
      </c>
      <c r="H398" s="220">
        <f>IFERROR(IF(AND(MIN(A398&gt;25,Age+A398&gt;=85),B398=12),VLOOKUP(A398,Output!$A$27:$AE$137,31,FALSE),0),0)</f>
        <v>0</v>
      </c>
      <c r="I398" s="221">
        <f>IFERROR(IF(AND(MIN(A398&gt;15,A398+Age&gt;=70),C398=1),VLOOKUP(A398,Output!$A$27:$AF$137,32,FALSE)*VLOOKUP('SV calc_ignore'!A398,Output!$A$27:$AG$137,33,FALSE)/IF(AnnuityMode=2,2,IF(AnnuityMode=4,4,IF(AnnuityMode=12,12,1))),0),0)</f>
        <v>20833.333333333332</v>
      </c>
      <c r="J398" s="227">
        <f t="shared" si="74"/>
        <v>0</v>
      </c>
      <c r="K398" s="213">
        <f t="shared" si="80"/>
        <v>0</v>
      </c>
      <c r="L398" s="209">
        <f t="shared" si="75"/>
        <v>0</v>
      </c>
      <c r="M398" s="214">
        <f t="shared" si="72"/>
        <v>0</v>
      </c>
      <c r="N398" s="211">
        <f t="shared" si="81"/>
        <v>0</v>
      </c>
      <c r="O398" s="194">
        <f t="shared" si="82"/>
        <v>0</v>
      </c>
      <c r="P398" s="212">
        <f t="shared" si="76"/>
        <v>0</v>
      </c>
      <c r="Q398">
        <f t="shared" si="77"/>
        <v>601174.50925712287</v>
      </c>
      <c r="X398" s="216">
        <f t="shared" si="83"/>
        <v>32</v>
      </c>
      <c r="Y398">
        <f t="shared" si="78"/>
        <v>0</v>
      </c>
    </row>
    <row r="399" spans="1:25" ht="13.5" thickBot="1" x14ac:dyDescent="0.25">
      <c r="A399" s="204">
        <f>IF(MOD(COUNT($A$10:A398),12)=0,A398+1,A398)</f>
        <v>33</v>
      </c>
      <c r="B399" s="218">
        <f t="shared" si="79"/>
        <v>6</v>
      </c>
      <c r="C399" s="218">
        <f t="shared" si="73"/>
        <v>1</v>
      </c>
      <c r="D399" s="208">
        <f>IF(MOD(COUNT($D$10:D398),6)=0,D398+1,D398)</f>
        <v>65</v>
      </c>
      <c r="E399" s="208">
        <f>IF(MOD(COUNT($E$10:E398),3)=0,E398+1,E398)</f>
        <v>130</v>
      </c>
      <c r="F399" s="208">
        <f>IF(MOD(COUNT($F$10:F398),1)=0,F398+1,F398)</f>
        <v>390</v>
      </c>
      <c r="G399" s="204">
        <f>IFERROR(IF(C399=1,VLOOKUP(A399,Output!$A$27:$AB$137,28,FALSE)/AnnuityMode,0),0)</f>
        <v>0</v>
      </c>
      <c r="H399" s="220">
        <f>IFERROR(IF(AND(MIN(A399&gt;25,Age+A399&gt;=85),B399=12),VLOOKUP(A399,Output!$A$27:$AE$137,31,FALSE),0),0)</f>
        <v>0</v>
      </c>
      <c r="I399" s="221">
        <f>IFERROR(IF(AND(MIN(A399&gt;15,A399+Age&gt;=70),C399=1),VLOOKUP(A399,Output!$A$27:$AF$137,32,FALSE)*VLOOKUP('SV calc_ignore'!A399,Output!$A$27:$AG$137,33,FALSE)/IF(AnnuityMode=2,2,IF(AnnuityMode=4,4,IF(AnnuityMode=12,12,1))),0),0)</f>
        <v>20833.333333333332</v>
      </c>
      <c r="J399" s="227">
        <f t="shared" si="74"/>
        <v>0</v>
      </c>
      <c r="K399" s="213">
        <f t="shared" si="80"/>
        <v>0</v>
      </c>
      <c r="L399" s="209">
        <f t="shared" si="75"/>
        <v>0</v>
      </c>
      <c r="M399" s="214">
        <f t="shared" si="72"/>
        <v>0</v>
      </c>
      <c r="N399" s="211">
        <f t="shared" si="81"/>
        <v>0</v>
      </c>
      <c r="O399" s="194">
        <f t="shared" si="82"/>
        <v>0</v>
      </c>
      <c r="P399" s="212">
        <f t="shared" si="76"/>
        <v>0</v>
      </c>
      <c r="Q399">
        <f t="shared" si="77"/>
        <v>584299.96940534841</v>
      </c>
      <c r="X399" s="216">
        <f t="shared" si="83"/>
        <v>32</v>
      </c>
      <c r="Y399">
        <f t="shared" si="78"/>
        <v>0</v>
      </c>
    </row>
    <row r="400" spans="1:25" ht="13.5" thickBot="1" x14ac:dyDescent="0.25">
      <c r="A400" s="204">
        <f>IF(MOD(COUNT($A$10:A399),12)=0,A399+1,A399)</f>
        <v>33</v>
      </c>
      <c r="B400" s="218">
        <f t="shared" si="79"/>
        <v>7</v>
      </c>
      <c r="C400" s="218">
        <f t="shared" si="73"/>
        <v>1</v>
      </c>
      <c r="D400" s="208">
        <f>IF(MOD(COUNT($D$10:D399),6)=0,D399+1,D399)</f>
        <v>66</v>
      </c>
      <c r="E400" s="208">
        <f>IF(MOD(COUNT($E$10:E399),3)=0,E399+1,E399)</f>
        <v>131</v>
      </c>
      <c r="F400" s="208">
        <f>IF(MOD(COUNT($F$10:F399),1)=0,F399+1,F399)</f>
        <v>391</v>
      </c>
      <c r="G400" s="204">
        <f>IFERROR(IF(C400=1,VLOOKUP(A400,Output!$A$27:$AB$137,28,FALSE)/AnnuityMode,0),0)</f>
        <v>0</v>
      </c>
      <c r="H400" s="220">
        <f>IFERROR(IF(AND(MIN(A400&gt;25,Age+A400&gt;=85),B400=12),VLOOKUP(A400,Output!$A$27:$AE$137,31,FALSE),0),0)</f>
        <v>0</v>
      </c>
      <c r="I400" s="221">
        <f>IFERROR(IF(AND(MIN(A400&gt;15,A400+Age&gt;=70),C400=1),VLOOKUP(A400,Output!$A$27:$AF$137,32,FALSE)*VLOOKUP('SV calc_ignore'!A400,Output!$A$27:$AG$137,33,FALSE)/IF(AnnuityMode=2,2,IF(AnnuityMode=4,4,IF(AnnuityMode=12,12,1))),0),0)</f>
        <v>20833.333333333332</v>
      </c>
      <c r="J400" s="227">
        <f t="shared" si="74"/>
        <v>0</v>
      </c>
      <c r="K400" s="213">
        <f t="shared" si="80"/>
        <v>0</v>
      </c>
      <c r="L400" s="209">
        <f t="shared" si="75"/>
        <v>0</v>
      </c>
      <c r="M400" s="214">
        <f t="shared" si="72"/>
        <v>0</v>
      </c>
      <c r="N400" s="211">
        <f t="shared" si="81"/>
        <v>0</v>
      </c>
      <c r="O400" s="194">
        <f t="shared" si="82"/>
        <v>0</v>
      </c>
      <c r="P400" s="212">
        <f t="shared" si="76"/>
        <v>0</v>
      </c>
      <c r="Q400">
        <f t="shared" si="77"/>
        <v>567310.31999192131</v>
      </c>
      <c r="X400" s="216">
        <f t="shared" si="83"/>
        <v>32</v>
      </c>
      <c r="Y400">
        <f t="shared" si="78"/>
        <v>0</v>
      </c>
    </row>
    <row r="401" spans="1:25" ht="13.5" thickBot="1" x14ac:dyDescent="0.25">
      <c r="A401" s="204">
        <f>IF(MOD(COUNT($A$10:A400),12)=0,A400+1,A400)</f>
        <v>33</v>
      </c>
      <c r="B401" s="218">
        <f t="shared" si="79"/>
        <v>8</v>
      </c>
      <c r="C401" s="218">
        <f t="shared" si="73"/>
        <v>1</v>
      </c>
      <c r="D401" s="208">
        <f>IF(MOD(COUNT($D$10:D400),6)=0,D400+1,D400)</f>
        <v>66</v>
      </c>
      <c r="E401" s="208">
        <f>IF(MOD(COUNT($E$10:E400),3)=0,E400+1,E400)</f>
        <v>131</v>
      </c>
      <c r="F401" s="208">
        <f>IF(MOD(COUNT($F$10:F400),1)=0,F400+1,F400)</f>
        <v>392</v>
      </c>
      <c r="G401" s="204">
        <f>IFERROR(IF(C401=1,VLOOKUP(A401,Output!$A$27:$AB$137,28,FALSE)/AnnuityMode,0),0)</f>
        <v>0</v>
      </c>
      <c r="H401" s="220">
        <f>IFERROR(IF(AND(MIN(A401&gt;25,Age+A401&gt;=85),B401=12),VLOOKUP(A401,Output!$A$27:$AE$137,31,FALSE),0),0)</f>
        <v>0</v>
      </c>
      <c r="I401" s="221">
        <f>IFERROR(IF(AND(MIN(A401&gt;15,A401+Age&gt;=70),C401=1),VLOOKUP(A401,Output!$A$27:$AF$137,32,FALSE)*VLOOKUP('SV calc_ignore'!A401,Output!$A$27:$AG$137,33,FALSE)/IF(AnnuityMode=2,2,IF(AnnuityMode=4,4,IF(AnnuityMode=12,12,1))),0),0)</f>
        <v>20833.333333333332</v>
      </c>
      <c r="J401" s="227">
        <f t="shared" si="74"/>
        <v>0</v>
      </c>
      <c r="K401" s="213">
        <f t="shared" si="80"/>
        <v>0</v>
      </c>
      <c r="L401" s="209">
        <f t="shared" si="75"/>
        <v>0</v>
      </c>
      <c r="M401" s="214">
        <f t="shared" si="72"/>
        <v>0</v>
      </c>
      <c r="N401" s="211">
        <f t="shared" si="81"/>
        <v>0</v>
      </c>
      <c r="O401" s="194">
        <f t="shared" si="82"/>
        <v>0</v>
      </c>
      <c r="P401" s="212">
        <f t="shared" si="76"/>
        <v>0</v>
      </c>
      <c r="Q401">
        <f t="shared" si="77"/>
        <v>550204.77579773054</v>
      </c>
      <c r="X401" s="216">
        <f t="shared" si="83"/>
        <v>32</v>
      </c>
      <c r="Y401">
        <f t="shared" si="78"/>
        <v>0</v>
      </c>
    </row>
    <row r="402" spans="1:25" ht="13.5" thickBot="1" x14ac:dyDescent="0.25">
      <c r="A402" s="204">
        <f>IF(MOD(COUNT($A$10:A401),12)=0,A401+1,A401)</f>
        <v>33</v>
      </c>
      <c r="B402" s="218">
        <f t="shared" si="79"/>
        <v>9</v>
      </c>
      <c r="C402" s="218">
        <f t="shared" si="73"/>
        <v>1</v>
      </c>
      <c r="D402" s="208">
        <f>IF(MOD(COUNT($D$10:D401),6)=0,D401+1,D401)</f>
        <v>66</v>
      </c>
      <c r="E402" s="208">
        <f>IF(MOD(COUNT($E$10:E401),3)=0,E401+1,E401)</f>
        <v>131</v>
      </c>
      <c r="F402" s="208">
        <f>IF(MOD(COUNT($F$10:F401),1)=0,F401+1,F401)</f>
        <v>393</v>
      </c>
      <c r="G402" s="204">
        <f>IFERROR(IF(C402=1,VLOOKUP(A402,Output!$A$27:$AB$137,28,FALSE)/AnnuityMode,0),0)</f>
        <v>0</v>
      </c>
      <c r="H402" s="220">
        <f>IFERROR(IF(AND(MIN(A402&gt;25,Age+A402&gt;=85),B402=12),VLOOKUP(A402,Output!$A$27:$AE$137,31,FALSE),0),0)</f>
        <v>0</v>
      </c>
      <c r="I402" s="221">
        <f>IFERROR(IF(AND(MIN(A402&gt;15,A402+Age&gt;=70),C402=1),VLOOKUP(A402,Output!$A$27:$AF$137,32,FALSE)*VLOOKUP('SV calc_ignore'!A402,Output!$A$27:$AG$137,33,FALSE)/IF(AnnuityMode=2,2,IF(AnnuityMode=4,4,IF(AnnuityMode=12,12,1))),0),0)</f>
        <v>20833.333333333332</v>
      </c>
      <c r="J402" s="227">
        <f t="shared" si="74"/>
        <v>0</v>
      </c>
      <c r="K402" s="213">
        <f t="shared" si="80"/>
        <v>0</v>
      </c>
      <c r="L402" s="209">
        <f t="shared" si="75"/>
        <v>0</v>
      </c>
      <c r="M402" s="214">
        <f t="shared" si="72"/>
        <v>0</v>
      </c>
      <c r="N402" s="211">
        <f t="shared" si="81"/>
        <v>0</v>
      </c>
      <c r="O402" s="194">
        <f t="shared" si="82"/>
        <v>0</v>
      </c>
      <c r="P402" s="212">
        <f t="shared" si="76"/>
        <v>0</v>
      </c>
      <c r="Q402">
        <f t="shared" si="77"/>
        <v>532982.5462472979</v>
      </c>
      <c r="X402" s="216">
        <f t="shared" si="83"/>
        <v>32</v>
      </c>
      <c r="Y402">
        <f t="shared" si="78"/>
        <v>0</v>
      </c>
    </row>
    <row r="403" spans="1:25" ht="13.5" thickBot="1" x14ac:dyDescent="0.25">
      <c r="A403" s="204">
        <f>IF(MOD(COUNT($A$10:A402),12)=0,A402+1,A402)</f>
        <v>33</v>
      </c>
      <c r="B403" s="218">
        <f t="shared" si="79"/>
        <v>10</v>
      </c>
      <c r="C403" s="218">
        <f t="shared" si="73"/>
        <v>1</v>
      </c>
      <c r="D403" s="208">
        <f>IF(MOD(COUNT($D$10:D402),6)=0,D402+1,D402)</f>
        <v>66</v>
      </c>
      <c r="E403" s="208">
        <f>IF(MOD(COUNT($E$10:E402),3)=0,E402+1,E402)</f>
        <v>132</v>
      </c>
      <c r="F403" s="208">
        <f>IF(MOD(COUNT($F$10:F402),1)=0,F402+1,F402)</f>
        <v>394</v>
      </c>
      <c r="G403" s="204">
        <f>IFERROR(IF(C403=1,VLOOKUP(A403,Output!$A$27:$AB$137,28,FALSE)/AnnuityMode,0),0)</f>
        <v>0</v>
      </c>
      <c r="H403" s="220">
        <f>IFERROR(IF(AND(MIN(A403&gt;25,Age+A403&gt;=85),B403=12),VLOOKUP(A403,Output!$A$27:$AE$137,31,FALSE),0),0)</f>
        <v>0</v>
      </c>
      <c r="I403" s="221">
        <f>IFERROR(IF(AND(MIN(A403&gt;15,A403+Age&gt;=70),C403=1),VLOOKUP(A403,Output!$A$27:$AF$137,32,FALSE)*VLOOKUP('SV calc_ignore'!A403,Output!$A$27:$AG$137,33,FALSE)/IF(AnnuityMode=2,2,IF(AnnuityMode=4,4,IF(AnnuityMode=12,12,1))),0),0)</f>
        <v>20833.333333333332</v>
      </c>
      <c r="J403" s="227">
        <f t="shared" si="74"/>
        <v>0</v>
      </c>
      <c r="K403" s="213">
        <f t="shared" si="80"/>
        <v>0</v>
      </c>
      <c r="L403" s="209">
        <f t="shared" si="75"/>
        <v>0</v>
      </c>
      <c r="M403" s="214">
        <f t="shared" si="72"/>
        <v>0</v>
      </c>
      <c r="N403" s="211">
        <f t="shared" si="81"/>
        <v>0</v>
      </c>
      <c r="O403" s="194">
        <f t="shared" si="82"/>
        <v>0</v>
      </c>
      <c r="P403" s="212">
        <f t="shared" si="76"/>
        <v>0</v>
      </c>
      <c r="Q403">
        <f t="shared" si="77"/>
        <v>515642.83537223993</v>
      </c>
      <c r="X403" s="216">
        <f t="shared" si="83"/>
        <v>32</v>
      </c>
      <c r="Y403">
        <f t="shared" si="78"/>
        <v>0</v>
      </c>
    </row>
    <row r="404" spans="1:25" ht="13.5" thickBot="1" x14ac:dyDescent="0.25">
      <c r="A404" s="204">
        <f>IF(MOD(COUNT($A$10:A403),12)=0,A403+1,A403)</f>
        <v>33</v>
      </c>
      <c r="B404" s="218">
        <f t="shared" si="79"/>
        <v>11</v>
      </c>
      <c r="C404" s="218">
        <f t="shared" si="73"/>
        <v>1</v>
      </c>
      <c r="D404" s="208">
        <f>IF(MOD(COUNT($D$10:D403),6)=0,D403+1,D403)</f>
        <v>66</v>
      </c>
      <c r="E404" s="208">
        <f>IF(MOD(COUNT($E$10:E403),3)=0,E403+1,E403)</f>
        <v>132</v>
      </c>
      <c r="F404" s="208">
        <f>IF(MOD(COUNT($F$10:F403),1)=0,F403+1,F403)</f>
        <v>395</v>
      </c>
      <c r="G404" s="204">
        <f>IFERROR(IF(C404=1,VLOOKUP(A404,Output!$A$27:$AB$137,28,FALSE)/AnnuityMode,0),0)</f>
        <v>0</v>
      </c>
      <c r="H404" s="220">
        <f>IFERROR(IF(AND(MIN(A404&gt;25,Age+A404&gt;=85),B404=12),VLOOKUP(A404,Output!$A$27:$AE$137,31,FALSE),0),0)</f>
        <v>0</v>
      </c>
      <c r="I404" s="221">
        <f>IFERROR(IF(AND(MIN(A404&gt;15,A404+Age&gt;=70),C404=1),VLOOKUP(A404,Output!$A$27:$AF$137,32,FALSE)*VLOOKUP('SV calc_ignore'!A404,Output!$A$27:$AG$137,33,FALSE)/IF(AnnuityMode=2,2,IF(AnnuityMode=4,4,IF(AnnuityMode=12,12,1))),0),0)</f>
        <v>20833.333333333332</v>
      </c>
      <c r="J404" s="227">
        <f t="shared" si="74"/>
        <v>0</v>
      </c>
      <c r="K404" s="213">
        <f t="shared" si="80"/>
        <v>0</v>
      </c>
      <c r="L404" s="209">
        <f t="shared" si="75"/>
        <v>0</v>
      </c>
      <c r="M404" s="214">
        <f t="shared" si="72"/>
        <v>0</v>
      </c>
      <c r="N404" s="211">
        <f t="shared" si="81"/>
        <v>0</v>
      </c>
      <c r="O404" s="194">
        <f t="shared" si="82"/>
        <v>0</v>
      </c>
      <c r="P404" s="212">
        <f t="shared" si="76"/>
        <v>0</v>
      </c>
      <c r="Q404">
        <f t="shared" si="77"/>
        <v>498184.84177448013</v>
      </c>
      <c r="X404" s="216">
        <f t="shared" si="83"/>
        <v>32</v>
      </c>
      <c r="Y404">
        <f t="shared" si="78"/>
        <v>0</v>
      </c>
    </row>
    <row r="405" spans="1:25" ht="13.5" thickBot="1" x14ac:dyDescent="0.25">
      <c r="A405" s="204">
        <f>IF(MOD(COUNT($A$10:A404),12)=0,A404+1,A404)</f>
        <v>33</v>
      </c>
      <c r="B405" s="218">
        <f t="shared" si="79"/>
        <v>12</v>
      </c>
      <c r="C405" s="218">
        <f t="shared" si="73"/>
        <v>1</v>
      </c>
      <c r="D405" s="208">
        <f>IF(MOD(COUNT($D$10:D404),6)=0,D404+1,D404)</f>
        <v>66</v>
      </c>
      <c r="E405" s="208">
        <f>IF(MOD(COUNT($E$10:E404),3)=0,E404+1,E404)</f>
        <v>132</v>
      </c>
      <c r="F405" s="208">
        <f>IF(MOD(COUNT($F$10:F404),1)=0,F404+1,F404)</f>
        <v>396</v>
      </c>
      <c r="G405" s="204">
        <f>IFERROR(IF(C405=1,VLOOKUP(A405,Output!$A$27:$AB$137,28,FALSE)/AnnuityMode,0),0)</f>
        <v>0</v>
      </c>
      <c r="H405" s="220">
        <f>IFERROR(IF(AND(MIN(A405&gt;25,Age+A405&gt;=85),B405=12),VLOOKUP(A405,Output!$A$27:$AE$137,31,FALSE),0),0)</f>
        <v>0</v>
      </c>
      <c r="I405" s="221">
        <f>IFERROR(IF(AND(MIN(A405&gt;15,A405+Age&gt;=70),C405=1),VLOOKUP(A405,Output!$A$27:$AF$137,32,FALSE)*VLOOKUP('SV calc_ignore'!A405,Output!$A$27:$AG$137,33,FALSE)/IF(AnnuityMode=2,2,IF(AnnuityMode=4,4,IF(AnnuityMode=12,12,1))),0),0)</f>
        <v>20833.333333333332</v>
      </c>
      <c r="J405" s="227">
        <f t="shared" si="74"/>
        <v>0</v>
      </c>
      <c r="K405" s="213">
        <f t="shared" si="80"/>
        <v>0</v>
      </c>
      <c r="L405" s="209">
        <f t="shared" si="75"/>
        <v>0</v>
      </c>
      <c r="M405" s="214">
        <f t="shared" si="72"/>
        <v>0</v>
      </c>
      <c r="N405" s="211">
        <f t="shared" si="81"/>
        <v>0</v>
      </c>
      <c r="O405" s="194">
        <f t="shared" si="82"/>
        <v>0</v>
      </c>
      <c r="P405" s="212">
        <f t="shared" si="76"/>
        <v>0</v>
      </c>
      <c r="Q405">
        <f t="shared" si="77"/>
        <v>480607.75858921016</v>
      </c>
      <c r="X405" s="216">
        <f t="shared" si="83"/>
        <v>32</v>
      </c>
      <c r="Y405">
        <f t="shared" si="78"/>
        <v>0</v>
      </c>
    </row>
    <row r="406" spans="1:25" ht="13.5" thickBot="1" x14ac:dyDescent="0.25">
      <c r="A406" s="204">
        <f>IF(MOD(COUNT($A$10:A405),12)=0,A405+1,A405)</f>
        <v>34</v>
      </c>
      <c r="B406" s="218">
        <f t="shared" si="79"/>
        <v>1</v>
      </c>
      <c r="C406" s="218">
        <f t="shared" si="73"/>
        <v>1</v>
      </c>
      <c r="D406" s="208">
        <f>IF(MOD(COUNT($D$10:D405),6)=0,D405+1,D405)</f>
        <v>67</v>
      </c>
      <c r="E406" s="208">
        <f>IF(MOD(COUNT($E$10:E405),3)=0,E405+1,E405)</f>
        <v>133</v>
      </c>
      <c r="F406" s="208">
        <f>IF(MOD(COUNT($F$10:F405),1)=0,F405+1,F405)</f>
        <v>397</v>
      </c>
      <c r="G406" s="204">
        <f>IFERROR(IF(C406=1,VLOOKUP(A406,Output!$A$27:$AB$137,28,FALSE)/AnnuityMode,0),0)</f>
        <v>0</v>
      </c>
      <c r="H406" s="220">
        <f>IFERROR(IF(AND(MIN(A406&gt;25,Age+A406&gt;=85),B406=12),VLOOKUP(A406,Output!$A$27:$AE$137,31,FALSE),0),0)</f>
        <v>0</v>
      </c>
      <c r="I406" s="221">
        <f>IFERROR(IF(AND(MIN(A406&gt;15,A406+Age&gt;=70),C406=1),VLOOKUP(A406,Output!$A$27:$AF$137,32,FALSE)*VLOOKUP('SV calc_ignore'!A406,Output!$A$27:$AG$137,33,FALSE)/IF(AnnuityMode=2,2,IF(AnnuityMode=4,4,IF(AnnuityMode=12,12,1))),0),0)</f>
        <v>20833.333333333332</v>
      </c>
      <c r="J406" s="227">
        <f t="shared" si="74"/>
        <v>0</v>
      </c>
      <c r="K406" s="213">
        <f t="shared" si="80"/>
        <v>0</v>
      </c>
      <c r="L406" s="209">
        <f t="shared" si="75"/>
        <v>0</v>
      </c>
      <c r="M406" s="214">
        <f t="shared" si="72"/>
        <v>0</v>
      </c>
      <c r="N406" s="211">
        <f t="shared" si="81"/>
        <v>0</v>
      </c>
      <c r="O406" s="194">
        <f t="shared" si="82"/>
        <v>0</v>
      </c>
      <c r="P406" s="212">
        <f t="shared" si="76"/>
        <v>0</v>
      </c>
      <c r="Q406">
        <f t="shared" si="77"/>
        <v>462910.77344759891</v>
      </c>
      <c r="X406" s="216">
        <f t="shared" si="83"/>
        <v>33</v>
      </c>
      <c r="Y406">
        <f t="shared" si="78"/>
        <v>0</v>
      </c>
    </row>
    <row r="407" spans="1:25" ht="13.5" thickBot="1" x14ac:dyDescent="0.25">
      <c r="A407" s="204">
        <f>IF(MOD(COUNT($A$10:A406),12)=0,A406+1,A406)</f>
        <v>34</v>
      </c>
      <c r="B407" s="218">
        <f t="shared" si="79"/>
        <v>2</v>
      </c>
      <c r="C407" s="218">
        <f t="shared" si="73"/>
        <v>1</v>
      </c>
      <c r="D407" s="208">
        <f>IF(MOD(COUNT($D$10:D406),6)=0,D406+1,D406)</f>
        <v>67</v>
      </c>
      <c r="E407" s="208">
        <f>IF(MOD(COUNT($E$10:E406),3)=0,E406+1,E406)</f>
        <v>133</v>
      </c>
      <c r="F407" s="208">
        <f>IF(MOD(COUNT($F$10:F406),1)=0,F406+1,F406)</f>
        <v>398</v>
      </c>
      <c r="G407" s="204">
        <f>IFERROR(IF(C407=1,VLOOKUP(A407,Output!$A$27:$AB$137,28,FALSE)/AnnuityMode,0),0)</f>
        <v>0</v>
      </c>
      <c r="H407" s="220">
        <f>IFERROR(IF(AND(MIN(A407&gt;25,Age+A407&gt;=85),B407=12),VLOOKUP(A407,Output!$A$27:$AE$137,31,FALSE),0),0)</f>
        <v>0</v>
      </c>
      <c r="I407" s="221">
        <f>IFERROR(IF(AND(MIN(A407&gt;15,A407+Age&gt;=70),C407=1),VLOOKUP(A407,Output!$A$27:$AF$137,32,FALSE)*VLOOKUP('SV calc_ignore'!A407,Output!$A$27:$AG$137,33,FALSE)/IF(AnnuityMode=2,2,IF(AnnuityMode=4,4,IF(AnnuityMode=12,12,1))),0),0)</f>
        <v>20833.333333333332</v>
      </c>
      <c r="J407" s="227">
        <f t="shared" si="74"/>
        <v>0</v>
      </c>
      <c r="K407" s="213">
        <f t="shared" si="80"/>
        <v>0</v>
      </c>
      <c r="L407" s="209">
        <f t="shared" si="75"/>
        <v>0</v>
      </c>
      <c r="M407" s="214">
        <f t="shared" si="72"/>
        <v>0</v>
      </c>
      <c r="N407" s="211">
        <f t="shared" si="81"/>
        <v>0</v>
      </c>
      <c r="O407" s="194">
        <f t="shared" si="82"/>
        <v>0</v>
      </c>
      <c r="P407" s="212">
        <f t="shared" si="76"/>
        <v>0</v>
      </c>
      <c r="Q407">
        <f t="shared" si="77"/>
        <v>445093.06843924662</v>
      </c>
      <c r="X407" s="216">
        <f t="shared" si="83"/>
        <v>33</v>
      </c>
      <c r="Y407">
        <f t="shared" si="78"/>
        <v>0</v>
      </c>
    </row>
    <row r="408" spans="1:25" ht="13.5" thickBot="1" x14ac:dyDescent="0.25">
      <c r="A408" s="204">
        <f>IF(MOD(COUNT($A$10:A407),12)=0,A407+1,A407)</f>
        <v>34</v>
      </c>
      <c r="B408" s="218">
        <f t="shared" si="79"/>
        <v>3</v>
      </c>
      <c r="C408" s="218">
        <f t="shared" si="73"/>
        <v>1</v>
      </c>
      <c r="D408" s="208">
        <f>IF(MOD(COUNT($D$10:D407),6)=0,D407+1,D407)</f>
        <v>67</v>
      </c>
      <c r="E408" s="208">
        <f>IF(MOD(COUNT($E$10:E407),3)=0,E407+1,E407)</f>
        <v>133</v>
      </c>
      <c r="F408" s="208">
        <f>IF(MOD(COUNT($F$10:F407),1)=0,F407+1,F407)</f>
        <v>399</v>
      </c>
      <c r="G408" s="204">
        <f>IFERROR(IF(C408=1,VLOOKUP(A408,Output!$A$27:$AB$137,28,FALSE)/AnnuityMode,0),0)</f>
        <v>0</v>
      </c>
      <c r="H408" s="220">
        <f>IFERROR(IF(AND(MIN(A408&gt;25,Age+A408&gt;=85),B408=12),VLOOKUP(A408,Output!$A$27:$AE$137,31,FALSE),0),0)</f>
        <v>0</v>
      </c>
      <c r="I408" s="221">
        <f>IFERROR(IF(AND(MIN(A408&gt;15,A408+Age&gt;=70),C408=1),VLOOKUP(A408,Output!$A$27:$AF$137,32,FALSE)*VLOOKUP('SV calc_ignore'!A408,Output!$A$27:$AG$137,33,FALSE)/IF(AnnuityMode=2,2,IF(AnnuityMode=4,4,IF(AnnuityMode=12,12,1))),0),0)</f>
        <v>20833.333333333332</v>
      </c>
      <c r="J408" s="227">
        <f t="shared" si="74"/>
        <v>0</v>
      </c>
      <c r="K408" s="213">
        <f t="shared" si="80"/>
        <v>0</v>
      </c>
      <c r="L408" s="209">
        <f t="shared" si="75"/>
        <v>0</v>
      </c>
      <c r="M408" s="214">
        <f t="shared" si="72"/>
        <v>0</v>
      </c>
      <c r="N408" s="211">
        <f t="shared" si="81"/>
        <v>0</v>
      </c>
      <c r="O408" s="194">
        <f t="shared" si="82"/>
        <v>0</v>
      </c>
      <c r="P408" s="212">
        <f t="shared" si="76"/>
        <v>0</v>
      </c>
      <c r="Q408">
        <f t="shared" si="77"/>
        <v>427153.82007438317</v>
      </c>
      <c r="X408" s="216">
        <f t="shared" si="83"/>
        <v>33</v>
      </c>
      <c r="Y408">
        <f t="shared" si="78"/>
        <v>0</v>
      </c>
    </row>
    <row r="409" spans="1:25" ht="13.5" thickBot="1" x14ac:dyDescent="0.25">
      <c r="A409" s="204">
        <f>IF(MOD(COUNT($A$10:A408),12)=0,A408+1,A408)</f>
        <v>34</v>
      </c>
      <c r="B409" s="218">
        <f t="shared" si="79"/>
        <v>4</v>
      </c>
      <c r="C409" s="218">
        <f t="shared" si="73"/>
        <v>1</v>
      </c>
      <c r="D409" s="208">
        <f>IF(MOD(COUNT($D$10:D408),6)=0,D408+1,D408)</f>
        <v>67</v>
      </c>
      <c r="E409" s="208">
        <f>IF(MOD(COUNT($E$10:E408),3)=0,E408+1,E408)</f>
        <v>134</v>
      </c>
      <c r="F409" s="208">
        <f>IF(MOD(COUNT($F$10:F408),1)=0,F408+1,F408)</f>
        <v>400</v>
      </c>
      <c r="G409" s="204">
        <f>IFERROR(IF(C409=1,VLOOKUP(A409,Output!$A$27:$AB$137,28,FALSE)/AnnuityMode,0),0)</f>
        <v>0</v>
      </c>
      <c r="H409" s="220">
        <f>IFERROR(IF(AND(MIN(A409&gt;25,Age+A409&gt;=85),B409=12),VLOOKUP(A409,Output!$A$27:$AE$137,31,FALSE),0),0)</f>
        <v>0</v>
      </c>
      <c r="I409" s="221">
        <f>IFERROR(IF(AND(MIN(A409&gt;15,A409+Age&gt;=70),C409=1),VLOOKUP(A409,Output!$A$27:$AF$137,32,FALSE)*VLOOKUP('SV calc_ignore'!A409,Output!$A$27:$AG$137,33,FALSE)/IF(AnnuityMode=2,2,IF(AnnuityMode=4,4,IF(AnnuityMode=12,12,1))),0),0)</f>
        <v>20833.333333333332</v>
      </c>
      <c r="J409" s="227">
        <f t="shared" si="74"/>
        <v>0</v>
      </c>
      <c r="K409" s="213">
        <f t="shared" si="80"/>
        <v>0</v>
      </c>
      <c r="L409" s="209">
        <f t="shared" si="75"/>
        <v>0</v>
      </c>
      <c r="M409" s="214">
        <f t="shared" si="72"/>
        <v>0</v>
      </c>
      <c r="N409" s="211">
        <f t="shared" si="81"/>
        <v>0</v>
      </c>
      <c r="O409" s="194">
        <f t="shared" si="82"/>
        <v>0</v>
      </c>
      <c r="P409" s="212">
        <f t="shared" si="76"/>
        <v>0</v>
      </c>
      <c r="Q409">
        <f t="shared" si="77"/>
        <v>409092.19924580847</v>
      </c>
      <c r="X409" s="216">
        <f t="shared" si="83"/>
        <v>33</v>
      </c>
      <c r="Y409">
        <f t="shared" si="78"/>
        <v>0</v>
      </c>
    </row>
    <row r="410" spans="1:25" ht="13.5" thickBot="1" x14ac:dyDescent="0.25">
      <c r="A410" s="204">
        <f>IF(MOD(COUNT($A$10:A409),12)=0,A409+1,A409)</f>
        <v>34</v>
      </c>
      <c r="B410" s="218">
        <f t="shared" si="79"/>
        <v>5</v>
      </c>
      <c r="C410" s="218">
        <f t="shared" si="73"/>
        <v>1</v>
      </c>
      <c r="D410" s="208">
        <f>IF(MOD(COUNT($D$10:D409),6)=0,D409+1,D409)</f>
        <v>67</v>
      </c>
      <c r="E410" s="208">
        <f>IF(MOD(COUNT($E$10:E409),3)=0,E409+1,E409)</f>
        <v>134</v>
      </c>
      <c r="F410" s="208">
        <f>IF(MOD(COUNT($F$10:F409),1)=0,F409+1,F409)</f>
        <v>401</v>
      </c>
      <c r="G410" s="204">
        <f>IFERROR(IF(C410=1,VLOOKUP(A410,Output!$A$27:$AB$137,28,FALSE)/AnnuityMode,0),0)</f>
        <v>0</v>
      </c>
      <c r="H410" s="220">
        <f>IFERROR(IF(AND(MIN(A410&gt;25,Age+A410&gt;=85),B410=12),VLOOKUP(A410,Output!$A$27:$AE$137,31,FALSE),0),0)</f>
        <v>0</v>
      </c>
      <c r="I410" s="221">
        <f>IFERROR(IF(AND(MIN(A410&gt;15,A410+Age&gt;=70),C410=1),VLOOKUP(A410,Output!$A$27:$AF$137,32,FALSE)*VLOOKUP('SV calc_ignore'!A410,Output!$A$27:$AG$137,33,FALSE)/IF(AnnuityMode=2,2,IF(AnnuityMode=4,4,IF(AnnuityMode=12,12,1))),0),0)</f>
        <v>20833.333333333332</v>
      </c>
      <c r="J410" s="227">
        <f t="shared" si="74"/>
        <v>0</v>
      </c>
      <c r="K410" s="213">
        <f t="shared" si="80"/>
        <v>0</v>
      </c>
      <c r="L410" s="209">
        <f t="shared" si="75"/>
        <v>0</v>
      </c>
      <c r="M410" s="214">
        <f t="shared" si="72"/>
        <v>0</v>
      </c>
      <c r="N410" s="211">
        <f t="shared" si="81"/>
        <v>0</v>
      </c>
      <c r="O410" s="194">
        <f t="shared" si="82"/>
        <v>0</v>
      </c>
      <c r="P410" s="212">
        <f t="shared" si="76"/>
        <v>0</v>
      </c>
      <c r="Q410">
        <f t="shared" si="77"/>
        <v>390907.37119057315</v>
      </c>
      <c r="X410" s="216">
        <f t="shared" si="83"/>
        <v>33</v>
      </c>
      <c r="Y410">
        <f t="shared" si="78"/>
        <v>0</v>
      </c>
    </row>
    <row r="411" spans="1:25" ht="13.5" thickBot="1" x14ac:dyDescent="0.25">
      <c r="A411" s="204">
        <f>IF(MOD(COUNT($A$10:A410),12)=0,A410+1,A410)</f>
        <v>34</v>
      </c>
      <c r="B411" s="218">
        <f t="shared" si="79"/>
        <v>6</v>
      </c>
      <c r="C411" s="218">
        <f t="shared" si="73"/>
        <v>1</v>
      </c>
      <c r="D411" s="208">
        <f>IF(MOD(COUNT($D$10:D410),6)=0,D410+1,D410)</f>
        <v>67</v>
      </c>
      <c r="E411" s="208">
        <f>IF(MOD(COUNT($E$10:E410),3)=0,E410+1,E410)</f>
        <v>134</v>
      </c>
      <c r="F411" s="208">
        <f>IF(MOD(COUNT($F$10:F410),1)=0,F410+1,F410)</f>
        <v>402</v>
      </c>
      <c r="G411" s="204">
        <f>IFERROR(IF(C411=1,VLOOKUP(A411,Output!$A$27:$AB$137,28,FALSE)/AnnuityMode,0),0)</f>
        <v>0</v>
      </c>
      <c r="H411" s="220">
        <f>IFERROR(IF(AND(MIN(A411&gt;25,Age+A411&gt;=85),B411=12),VLOOKUP(A411,Output!$A$27:$AE$137,31,FALSE),0),0)</f>
        <v>0</v>
      </c>
      <c r="I411" s="221">
        <f>IFERROR(IF(AND(MIN(A411&gt;15,A411+Age&gt;=70),C411=1),VLOOKUP(A411,Output!$A$27:$AF$137,32,FALSE)*VLOOKUP('SV calc_ignore'!A411,Output!$A$27:$AG$137,33,FALSE)/IF(AnnuityMode=2,2,IF(AnnuityMode=4,4,IF(AnnuityMode=12,12,1))),0),0)</f>
        <v>20833.333333333332</v>
      </c>
      <c r="J411" s="227">
        <f t="shared" si="74"/>
        <v>0</v>
      </c>
      <c r="K411" s="213">
        <f t="shared" si="80"/>
        <v>0</v>
      </c>
      <c r="L411" s="209">
        <f t="shared" si="75"/>
        <v>0</v>
      </c>
      <c r="M411" s="214">
        <f t="shared" si="72"/>
        <v>0</v>
      </c>
      <c r="N411" s="211">
        <f t="shared" si="81"/>
        <v>0</v>
      </c>
      <c r="O411" s="194">
        <f t="shared" si="82"/>
        <v>0</v>
      </c>
      <c r="P411" s="212">
        <f t="shared" si="76"/>
        <v>0</v>
      </c>
      <c r="Q411">
        <f t="shared" si="77"/>
        <v>372598.49545139784</v>
      </c>
      <c r="X411" s="216">
        <f t="shared" si="83"/>
        <v>33</v>
      </c>
      <c r="Y411">
        <f t="shared" si="78"/>
        <v>0</v>
      </c>
    </row>
    <row r="412" spans="1:25" ht="13.5" thickBot="1" x14ac:dyDescent="0.25">
      <c r="A412" s="204">
        <f>IF(MOD(COUNT($A$10:A411),12)=0,A411+1,A411)</f>
        <v>34</v>
      </c>
      <c r="B412" s="218">
        <f t="shared" si="79"/>
        <v>7</v>
      </c>
      <c r="C412" s="218">
        <f t="shared" si="73"/>
        <v>1</v>
      </c>
      <c r="D412" s="208">
        <f>IF(MOD(COUNT($D$10:D411),6)=0,D411+1,D411)</f>
        <v>68</v>
      </c>
      <c r="E412" s="208">
        <f>IF(MOD(COUNT($E$10:E411),3)=0,E411+1,E411)</f>
        <v>135</v>
      </c>
      <c r="F412" s="208">
        <f>IF(MOD(COUNT($F$10:F411),1)=0,F411+1,F411)</f>
        <v>403</v>
      </c>
      <c r="G412" s="204">
        <f>IFERROR(IF(C412=1,VLOOKUP(A412,Output!$A$27:$AB$137,28,FALSE)/AnnuityMode,0),0)</f>
        <v>0</v>
      </c>
      <c r="H412" s="220">
        <f>IFERROR(IF(AND(MIN(A412&gt;25,Age+A412&gt;=85),B412=12),VLOOKUP(A412,Output!$A$27:$AE$137,31,FALSE),0),0)</f>
        <v>0</v>
      </c>
      <c r="I412" s="221">
        <f>IFERROR(IF(AND(MIN(A412&gt;15,A412+Age&gt;=70),C412=1),VLOOKUP(A412,Output!$A$27:$AF$137,32,FALSE)*VLOOKUP('SV calc_ignore'!A412,Output!$A$27:$AG$137,33,FALSE)/IF(AnnuityMode=2,2,IF(AnnuityMode=4,4,IF(AnnuityMode=12,12,1))),0),0)</f>
        <v>20833.333333333332</v>
      </c>
      <c r="J412" s="227">
        <f t="shared" si="74"/>
        <v>0</v>
      </c>
      <c r="K412" s="213">
        <f t="shared" si="80"/>
        <v>0</v>
      </c>
      <c r="L412" s="209">
        <f t="shared" si="75"/>
        <v>0</v>
      </c>
      <c r="M412" s="214">
        <f t="shared" si="72"/>
        <v>0</v>
      </c>
      <c r="N412" s="211">
        <f t="shared" si="81"/>
        <v>0</v>
      </c>
      <c r="O412" s="194">
        <f t="shared" si="82"/>
        <v>0</v>
      </c>
      <c r="P412" s="212">
        <f t="shared" si="76"/>
        <v>0</v>
      </c>
      <c r="Q412">
        <f t="shared" si="77"/>
        <v>354164.72583782952</v>
      </c>
      <c r="X412" s="216">
        <f t="shared" si="83"/>
        <v>33</v>
      </c>
      <c r="Y412">
        <f t="shared" si="78"/>
        <v>0</v>
      </c>
    </row>
    <row r="413" spans="1:25" ht="13.5" thickBot="1" x14ac:dyDescent="0.25">
      <c r="A413" s="204">
        <f>IF(MOD(COUNT($A$10:A412),12)=0,A412+1,A412)</f>
        <v>34</v>
      </c>
      <c r="B413" s="218">
        <f t="shared" si="79"/>
        <v>8</v>
      </c>
      <c r="C413" s="218">
        <f t="shared" si="73"/>
        <v>1</v>
      </c>
      <c r="D413" s="208">
        <f>IF(MOD(COUNT($D$10:D412),6)=0,D412+1,D412)</f>
        <v>68</v>
      </c>
      <c r="E413" s="208">
        <f>IF(MOD(COUNT($E$10:E412),3)=0,E412+1,E412)</f>
        <v>135</v>
      </c>
      <c r="F413" s="208">
        <f>IF(MOD(COUNT($F$10:F412),1)=0,F412+1,F412)</f>
        <v>404</v>
      </c>
      <c r="G413" s="204">
        <f>IFERROR(IF(C413=1,VLOOKUP(A413,Output!$A$27:$AB$137,28,FALSE)/AnnuityMode,0),0)</f>
        <v>0</v>
      </c>
      <c r="H413" s="220">
        <f>IFERROR(IF(AND(MIN(A413&gt;25,Age+A413&gt;=85),B413=12),VLOOKUP(A413,Output!$A$27:$AE$137,31,FALSE),0),0)</f>
        <v>0</v>
      </c>
      <c r="I413" s="221">
        <f>IFERROR(IF(AND(MIN(A413&gt;15,A413+Age&gt;=70),C413=1),VLOOKUP(A413,Output!$A$27:$AF$137,32,FALSE)*VLOOKUP('SV calc_ignore'!A413,Output!$A$27:$AG$137,33,FALSE)/IF(AnnuityMode=2,2,IF(AnnuityMode=4,4,IF(AnnuityMode=12,12,1))),0),0)</f>
        <v>20833.333333333332</v>
      </c>
      <c r="J413" s="227">
        <f t="shared" si="74"/>
        <v>0</v>
      </c>
      <c r="K413" s="213">
        <f t="shared" si="80"/>
        <v>0</v>
      </c>
      <c r="L413" s="209">
        <f t="shared" si="75"/>
        <v>0</v>
      </c>
      <c r="M413" s="214">
        <f t="shared" si="72"/>
        <v>0</v>
      </c>
      <c r="N413" s="211">
        <f t="shared" si="81"/>
        <v>0</v>
      </c>
      <c r="O413" s="194">
        <f t="shared" si="82"/>
        <v>0</v>
      </c>
      <c r="P413" s="212">
        <f t="shared" si="76"/>
        <v>0</v>
      </c>
      <c r="Q413">
        <f t="shared" si="77"/>
        <v>335605.2103871326</v>
      </c>
      <c r="X413" s="216">
        <f t="shared" si="83"/>
        <v>33</v>
      </c>
      <c r="Y413">
        <f t="shared" si="78"/>
        <v>0</v>
      </c>
    </row>
    <row r="414" spans="1:25" ht="13.5" thickBot="1" x14ac:dyDescent="0.25">
      <c r="A414" s="204">
        <f>IF(MOD(COUNT($A$10:A413),12)=0,A413+1,A413)</f>
        <v>34</v>
      </c>
      <c r="B414" s="218">
        <f t="shared" si="79"/>
        <v>9</v>
      </c>
      <c r="C414" s="218">
        <f t="shared" si="73"/>
        <v>1</v>
      </c>
      <c r="D414" s="208">
        <f>IF(MOD(COUNT($D$10:D413),6)=0,D413+1,D413)</f>
        <v>68</v>
      </c>
      <c r="E414" s="208">
        <f>IF(MOD(COUNT($E$10:E413),3)=0,E413+1,E413)</f>
        <v>135</v>
      </c>
      <c r="F414" s="208">
        <f>IF(MOD(COUNT($F$10:F413),1)=0,F413+1,F413)</f>
        <v>405</v>
      </c>
      <c r="G414" s="204">
        <f>IFERROR(IF(C414=1,VLOOKUP(A414,Output!$A$27:$AB$137,28,FALSE)/AnnuityMode,0),0)</f>
        <v>0</v>
      </c>
      <c r="H414" s="220">
        <f>IFERROR(IF(AND(MIN(A414&gt;25,Age+A414&gt;=85),B414=12),VLOOKUP(A414,Output!$A$27:$AE$137,31,FALSE),0),0)</f>
        <v>0</v>
      </c>
      <c r="I414" s="221">
        <f>IFERROR(IF(AND(MIN(A414&gt;15,A414+Age&gt;=70),C414=1),VLOOKUP(A414,Output!$A$27:$AF$137,32,FALSE)*VLOOKUP('SV calc_ignore'!A414,Output!$A$27:$AG$137,33,FALSE)/IF(AnnuityMode=2,2,IF(AnnuityMode=4,4,IF(AnnuityMode=12,12,1))),0),0)</f>
        <v>20833.333333333332</v>
      </c>
      <c r="J414" s="227">
        <f t="shared" si="74"/>
        <v>0</v>
      </c>
      <c r="K414" s="213">
        <f t="shared" si="80"/>
        <v>0</v>
      </c>
      <c r="L414" s="209">
        <f t="shared" si="75"/>
        <v>0</v>
      </c>
      <c r="M414" s="214">
        <f t="shared" si="72"/>
        <v>0</v>
      </c>
      <c r="N414" s="211">
        <f t="shared" si="81"/>
        <v>0</v>
      </c>
      <c r="O414" s="194">
        <f t="shared" si="82"/>
        <v>0</v>
      </c>
      <c r="P414" s="212">
        <f t="shared" si="76"/>
        <v>0</v>
      </c>
      <c r="Q414">
        <f t="shared" si="77"/>
        <v>316919.09132491326</v>
      </c>
      <c r="X414" s="216">
        <f t="shared" si="83"/>
        <v>33</v>
      </c>
      <c r="Y414">
        <f t="shared" si="78"/>
        <v>0</v>
      </c>
    </row>
    <row r="415" spans="1:25" ht="13.5" thickBot="1" x14ac:dyDescent="0.25">
      <c r="A415" s="204">
        <f>IF(MOD(COUNT($A$10:A414),12)=0,A414+1,A414)</f>
        <v>34</v>
      </c>
      <c r="B415" s="218">
        <f t="shared" si="79"/>
        <v>10</v>
      </c>
      <c r="C415" s="218">
        <f t="shared" si="73"/>
        <v>1</v>
      </c>
      <c r="D415" s="208">
        <f>IF(MOD(COUNT($D$10:D414),6)=0,D414+1,D414)</f>
        <v>68</v>
      </c>
      <c r="E415" s="208">
        <f>IF(MOD(COUNT($E$10:E414),3)=0,E414+1,E414)</f>
        <v>136</v>
      </c>
      <c r="F415" s="208">
        <f>IF(MOD(COUNT($F$10:F414),1)=0,F414+1,F414)</f>
        <v>406</v>
      </c>
      <c r="G415" s="204">
        <f>IFERROR(IF(C415=1,VLOOKUP(A415,Output!$A$27:$AB$137,28,FALSE)/AnnuityMode,0),0)</f>
        <v>0</v>
      </c>
      <c r="H415" s="220">
        <f>IFERROR(IF(AND(MIN(A415&gt;25,Age+A415&gt;=85),B415=12),VLOOKUP(A415,Output!$A$27:$AE$137,31,FALSE),0),0)</f>
        <v>0</v>
      </c>
      <c r="I415" s="221">
        <f>IFERROR(IF(AND(MIN(A415&gt;15,A415+Age&gt;=70),C415=1),VLOOKUP(A415,Output!$A$27:$AF$137,32,FALSE)*VLOOKUP('SV calc_ignore'!A415,Output!$A$27:$AG$137,33,FALSE)/IF(AnnuityMode=2,2,IF(AnnuityMode=4,4,IF(AnnuityMode=12,12,1))),0),0)</f>
        <v>20833.333333333332</v>
      </c>
      <c r="J415" s="227">
        <f t="shared" si="74"/>
        <v>0</v>
      </c>
      <c r="K415" s="213">
        <f t="shared" si="80"/>
        <v>0</v>
      </c>
      <c r="L415" s="209">
        <f t="shared" si="75"/>
        <v>0</v>
      </c>
      <c r="M415" s="214">
        <f t="shared" si="72"/>
        <v>0</v>
      </c>
      <c r="N415" s="211">
        <f t="shared" si="81"/>
        <v>0</v>
      </c>
      <c r="O415" s="194">
        <f t="shared" si="82"/>
        <v>0</v>
      </c>
      <c r="P415" s="212">
        <f t="shared" si="76"/>
        <v>0</v>
      </c>
      <c r="Q415">
        <f t="shared" si="77"/>
        <v>298105.5050254754</v>
      </c>
      <c r="X415" s="216">
        <f t="shared" si="83"/>
        <v>33</v>
      </c>
      <c r="Y415">
        <f t="shared" si="78"/>
        <v>0</v>
      </c>
    </row>
    <row r="416" spans="1:25" ht="13.5" thickBot="1" x14ac:dyDescent="0.25">
      <c r="A416" s="204">
        <f>IF(MOD(COUNT($A$10:A415),12)=0,A415+1,A415)</f>
        <v>34</v>
      </c>
      <c r="B416" s="218">
        <f t="shared" si="79"/>
        <v>11</v>
      </c>
      <c r="C416" s="218">
        <f t="shared" si="73"/>
        <v>1</v>
      </c>
      <c r="D416" s="208">
        <f>IF(MOD(COUNT($D$10:D415),6)=0,D415+1,D415)</f>
        <v>68</v>
      </c>
      <c r="E416" s="208">
        <f>IF(MOD(COUNT($E$10:E415),3)=0,E415+1,E415)</f>
        <v>136</v>
      </c>
      <c r="F416" s="208">
        <f>IF(MOD(COUNT($F$10:F415),1)=0,F415+1,F415)</f>
        <v>407</v>
      </c>
      <c r="G416" s="204">
        <f>IFERROR(IF(C416=1,VLOOKUP(A416,Output!$A$27:$AB$137,28,FALSE)/AnnuityMode,0),0)</f>
        <v>0</v>
      </c>
      <c r="H416" s="220">
        <f>IFERROR(IF(AND(MIN(A416&gt;25,Age+A416&gt;=85),B416=12),VLOOKUP(A416,Output!$A$27:$AE$137,31,FALSE),0),0)</f>
        <v>0</v>
      </c>
      <c r="I416" s="221">
        <f>IFERROR(IF(AND(MIN(A416&gt;15,A416+Age&gt;=70),C416=1),VLOOKUP(A416,Output!$A$27:$AF$137,32,FALSE)*VLOOKUP('SV calc_ignore'!A416,Output!$A$27:$AG$137,33,FALSE)/IF(AnnuityMode=2,2,IF(AnnuityMode=4,4,IF(AnnuityMode=12,12,1))),0),0)</f>
        <v>20833.333333333332</v>
      </c>
      <c r="J416" s="227">
        <f t="shared" si="74"/>
        <v>0</v>
      </c>
      <c r="K416" s="213">
        <f t="shared" si="80"/>
        <v>0</v>
      </c>
      <c r="L416" s="209">
        <f t="shared" si="75"/>
        <v>0</v>
      </c>
      <c r="M416" s="214">
        <f t="shared" si="72"/>
        <v>0</v>
      </c>
      <c r="N416" s="211">
        <f t="shared" si="81"/>
        <v>0</v>
      </c>
      <c r="O416" s="194">
        <f t="shared" si="82"/>
        <v>0</v>
      </c>
      <c r="P416" s="212">
        <f t="shared" si="76"/>
        <v>0</v>
      </c>
      <c r="Q416">
        <f t="shared" si="77"/>
        <v>279163.58197190601</v>
      </c>
      <c r="X416" s="216">
        <f t="shared" si="83"/>
        <v>33</v>
      </c>
      <c r="Y416">
        <f t="shared" si="78"/>
        <v>0</v>
      </c>
    </row>
    <row r="417" spans="1:25" ht="13.5" thickBot="1" x14ac:dyDescent="0.25">
      <c r="A417" s="204">
        <f>IF(MOD(COUNT($A$10:A416),12)=0,A416+1,A416)</f>
        <v>34</v>
      </c>
      <c r="B417" s="218">
        <f t="shared" si="79"/>
        <v>12</v>
      </c>
      <c r="C417" s="218">
        <f t="shared" si="73"/>
        <v>1</v>
      </c>
      <c r="D417" s="208">
        <f>IF(MOD(COUNT($D$10:D416),6)=0,D416+1,D416)</f>
        <v>68</v>
      </c>
      <c r="E417" s="208">
        <f>IF(MOD(COUNT($E$10:E416),3)=0,E416+1,E416)</f>
        <v>136</v>
      </c>
      <c r="F417" s="208">
        <f>IF(MOD(COUNT($F$10:F416),1)=0,F416+1,F416)</f>
        <v>408</v>
      </c>
      <c r="G417" s="204">
        <f>IFERROR(IF(C417=1,VLOOKUP(A417,Output!$A$27:$AB$137,28,FALSE)/AnnuityMode,0),0)</f>
        <v>0</v>
      </c>
      <c r="H417" s="220">
        <f>IFERROR(IF(AND(MIN(A417&gt;25,Age+A417&gt;=85),B417=12),VLOOKUP(A417,Output!$A$27:$AE$137,31,FALSE),0),0)</f>
        <v>0</v>
      </c>
      <c r="I417" s="221">
        <f>IFERROR(IF(AND(MIN(A417&gt;15,A417+Age&gt;=70),C417=1),VLOOKUP(A417,Output!$A$27:$AF$137,32,FALSE)*VLOOKUP('SV calc_ignore'!A417,Output!$A$27:$AG$137,33,FALSE)/IF(AnnuityMode=2,2,IF(AnnuityMode=4,4,IF(AnnuityMode=12,12,1))),0),0)</f>
        <v>20833.333333333332</v>
      </c>
      <c r="J417" s="227">
        <f t="shared" si="74"/>
        <v>0</v>
      </c>
      <c r="K417" s="213">
        <f t="shared" si="80"/>
        <v>0</v>
      </c>
      <c r="L417" s="209">
        <f t="shared" si="75"/>
        <v>0</v>
      </c>
      <c r="M417" s="214">
        <f t="shared" si="72"/>
        <v>0</v>
      </c>
      <c r="N417" s="211">
        <f t="shared" si="81"/>
        <v>0</v>
      </c>
      <c r="O417" s="194">
        <f t="shared" si="82"/>
        <v>0</v>
      </c>
      <c r="P417" s="212">
        <f t="shared" si="76"/>
        <v>0</v>
      </c>
      <c r="Q417">
        <f t="shared" si="77"/>
        <v>260092.4467158881</v>
      </c>
      <c r="X417" s="216">
        <f t="shared" si="83"/>
        <v>33</v>
      </c>
      <c r="Y417">
        <f t="shared" si="78"/>
        <v>0</v>
      </c>
    </row>
    <row r="418" spans="1:25" ht="13.5" thickBot="1" x14ac:dyDescent="0.25">
      <c r="A418" s="204">
        <f>IF(MOD(COUNT($A$10:A417),12)=0,A417+1,A417)</f>
        <v>35</v>
      </c>
      <c r="B418" s="218">
        <f t="shared" si="79"/>
        <v>1</v>
      </c>
      <c r="C418" s="218">
        <f t="shared" si="73"/>
        <v>1</v>
      </c>
      <c r="D418" s="208">
        <f>IF(MOD(COUNT($D$10:D417),6)=0,D417+1,D417)</f>
        <v>69</v>
      </c>
      <c r="E418" s="208">
        <f>IF(MOD(COUNT($E$10:E417),3)=0,E417+1,E417)</f>
        <v>137</v>
      </c>
      <c r="F418" s="208">
        <f>IF(MOD(COUNT($F$10:F417),1)=0,F417+1,F417)</f>
        <v>409</v>
      </c>
      <c r="G418" s="204">
        <f>IFERROR(IF(C418=1,VLOOKUP(A418,Output!$A$27:$AB$137,28,FALSE)/AnnuityMode,0),0)</f>
        <v>0</v>
      </c>
      <c r="H418" s="220">
        <f>IFERROR(IF(AND(MIN(A418&gt;25,Age+A418&gt;=85),B418=12),VLOOKUP(A418,Output!$A$27:$AE$137,31,FALSE),0),0)</f>
        <v>0</v>
      </c>
      <c r="I418" s="221">
        <f>IFERROR(IF(AND(MIN(A418&gt;15,A418+Age&gt;=70),C418=1),VLOOKUP(A418,Output!$A$27:$AF$137,32,FALSE)*VLOOKUP('SV calc_ignore'!A418,Output!$A$27:$AG$137,33,FALSE)/IF(AnnuityMode=2,2,IF(AnnuityMode=4,4,IF(AnnuityMode=12,12,1))),0),0)</f>
        <v>20833.333333333332</v>
      </c>
      <c r="J418" s="227">
        <f t="shared" si="74"/>
        <v>0</v>
      </c>
      <c r="K418" s="213">
        <f t="shared" si="80"/>
        <v>0</v>
      </c>
      <c r="L418" s="209">
        <f t="shared" si="75"/>
        <v>0</v>
      </c>
      <c r="M418" s="214">
        <f t="shared" si="72"/>
        <v>0</v>
      </c>
      <c r="N418" s="211">
        <f t="shared" si="81"/>
        <v>0</v>
      </c>
      <c r="O418" s="194">
        <f t="shared" si="82"/>
        <v>0</v>
      </c>
      <c r="P418" s="212">
        <f t="shared" si="76"/>
        <v>0</v>
      </c>
      <c r="Q418">
        <f t="shared" si="77"/>
        <v>240891.21783723988</v>
      </c>
      <c r="X418" s="216">
        <f t="shared" si="83"/>
        <v>34</v>
      </c>
      <c r="Y418">
        <f t="shared" si="78"/>
        <v>0</v>
      </c>
    </row>
    <row r="419" spans="1:25" ht="13.5" thickBot="1" x14ac:dyDescent="0.25">
      <c r="A419" s="204">
        <f>IF(MOD(COUNT($A$10:A418),12)=0,A418+1,A418)</f>
        <v>35</v>
      </c>
      <c r="B419" s="218">
        <f t="shared" si="79"/>
        <v>2</v>
      </c>
      <c r="C419" s="218">
        <f t="shared" si="73"/>
        <v>1</v>
      </c>
      <c r="D419" s="208">
        <f>IF(MOD(COUNT($D$10:D418),6)=0,D418+1,D418)</f>
        <v>69</v>
      </c>
      <c r="E419" s="208">
        <f>IF(MOD(COUNT($E$10:E418),3)=0,E418+1,E418)</f>
        <v>137</v>
      </c>
      <c r="F419" s="208">
        <f>IF(MOD(COUNT($F$10:F418),1)=0,F418+1,F418)</f>
        <v>410</v>
      </c>
      <c r="G419" s="204">
        <f>IFERROR(IF(C419=1,VLOOKUP(A419,Output!$A$27:$AB$137,28,FALSE)/AnnuityMode,0),0)</f>
        <v>0</v>
      </c>
      <c r="H419" s="220">
        <f>IFERROR(IF(AND(MIN(A419&gt;25,Age+A419&gt;=85),B419=12),VLOOKUP(A419,Output!$A$27:$AE$137,31,FALSE),0),0)</f>
        <v>0</v>
      </c>
      <c r="I419" s="221">
        <f>IFERROR(IF(AND(MIN(A419&gt;15,A419+Age&gt;=70),C419=1),VLOOKUP(A419,Output!$A$27:$AF$137,32,FALSE)*VLOOKUP('SV calc_ignore'!A419,Output!$A$27:$AG$137,33,FALSE)/IF(AnnuityMode=2,2,IF(AnnuityMode=4,4,IF(AnnuityMode=12,12,1))),0),0)</f>
        <v>20833.333333333332</v>
      </c>
      <c r="J419" s="227">
        <f t="shared" si="74"/>
        <v>0</v>
      </c>
      <c r="K419" s="213">
        <f t="shared" si="80"/>
        <v>0</v>
      </c>
      <c r="L419" s="209">
        <f t="shared" si="75"/>
        <v>0</v>
      </c>
      <c r="M419" s="214">
        <f t="shared" si="72"/>
        <v>0</v>
      </c>
      <c r="N419" s="211">
        <f t="shared" si="81"/>
        <v>0</v>
      </c>
      <c r="O419" s="194">
        <f t="shared" si="82"/>
        <v>0</v>
      </c>
      <c r="P419" s="212">
        <f t="shared" si="76"/>
        <v>0</v>
      </c>
      <c r="Q419">
        <f t="shared" si="77"/>
        <v>221559.00790317761</v>
      </c>
      <c r="X419" s="216">
        <f t="shared" si="83"/>
        <v>34</v>
      </c>
      <c r="Y419">
        <f t="shared" si="78"/>
        <v>0</v>
      </c>
    </row>
    <row r="420" spans="1:25" ht="13.5" thickBot="1" x14ac:dyDescent="0.25">
      <c r="A420" s="204">
        <f>IF(MOD(COUNT($A$10:A419),12)=0,A419+1,A419)</f>
        <v>35</v>
      </c>
      <c r="B420" s="218">
        <f t="shared" si="79"/>
        <v>3</v>
      </c>
      <c r="C420" s="218">
        <f t="shared" si="73"/>
        <v>1</v>
      </c>
      <c r="D420" s="208">
        <f>IF(MOD(COUNT($D$10:D419),6)=0,D419+1,D419)</f>
        <v>69</v>
      </c>
      <c r="E420" s="208">
        <f>IF(MOD(COUNT($E$10:E419),3)=0,E419+1,E419)</f>
        <v>137</v>
      </c>
      <c r="F420" s="208">
        <f>IF(MOD(COUNT($F$10:F419),1)=0,F419+1,F419)</f>
        <v>411</v>
      </c>
      <c r="G420" s="204">
        <f>IFERROR(IF(C420=1,VLOOKUP(A420,Output!$A$27:$AB$137,28,FALSE)/AnnuityMode,0),0)</f>
        <v>0</v>
      </c>
      <c r="H420" s="220">
        <f>IFERROR(IF(AND(MIN(A420&gt;25,Age+A420&gt;=85),B420=12),VLOOKUP(A420,Output!$A$27:$AE$137,31,FALSE),0),0)</f>
        <v>0</v>
      </c>
      <c r="I420" s="221">
        <f>IFERROR(IF(AND(MIN(A420&gt;15,A420+Age&gt;=70),C420=1),VLOOKUP(A420,Output!$A$27:$AF$137,32,FALSE)*VLOOKUP('SV calc_ignore'!A420,Output!$A$27:$AG$137,33,FALSE)/IF(AnnuityMode=2,2,IF(AnnuityMode=4,4,IF(AnnuityMode=12,12,1))),0),0)</f>
        <v>20833.333333333332</v>
      </c>
      <c r="J420" s="227">
        <f t="shared" si="74"/>
        <v>0</v>
      </c>
      <c r="K420" s="213">
        <f t="shared" si="80"/>
        <v>0</v>
      </c>
      <c r="L420" s="209">
        <f t="shared" si="75"/>
        <v>0</v>
      </c>
      <c r="M420" s="214">
        <f t="shared" si="72"/>
        <v>0</v>
      </c>
      <c r="N420" s="211">
        <f t="shared" si="81"/>
        <v>0</v>
      </c>
      <c r="O420" s="194">
        <f t="shared" si="82"/>
        <v>0</v>
      </c>
      <c r="P420" s="212">
        <f t="shared" si="76"/>
        <v>0</v>
      </c>
      <c r="Q420">
        <f t="shared" si="77"/>
        <v>202094.92342730076</v>
      </c>
      <c r="X420" s="216">
        <f t="shared" si="83"/>
        <v>34</v>
      </c>
      <c r="Y420">
        <f t="shared" si="78"/>
        <v>0</v>
      </c>
    </row>
    <row r="421" spans="1:25" ht="13.5" thickBot="1" x14ac:dyDescent="0.25">
      <c r="A421" s="204">
        <f>IF(MOD(COUNT($A$10:A420),12)=0,A420+1,A420)</f>
        <v>35</v>
      </c>
      <c r="B421" s="218">
        <f t="shared" si="79"/>
        <v>4</v>
      </c>
      <c r="C421" s="218">
        <f t="shared" si="73"/>
        <v>1</v>
      </c>
      <c r="D421" s="208">
        <f>IF(MOD(COUNT($D$10:D420),6)=0,D420+1,D420)</f>
        <v>69</v>
      </c>
      <c r="E421" s="208">
        <f>IF(MOD(COUNT($E$10:E420),3)=0,E420+1,E420)</f>
        <v>138</v>
      </c>
      <c r="F421" s="208">
        <f>IF(MOD(COUNT($F$10:F420),1)=0,F420+1,F420)</f>
        <v>412</v>
      </c>
      <c r="G421" s="204">
        <f>IFERROR(IF(C421=1,VLOOKUP(A421,Output!$A$27:$AB$137,28,FALSE)/AnnuityMode,0),0)</f>
        <v>0</v>
      </c>
      <c r="H421" s="220">
        <f>IFERROR(IF(AND(MIN(A421&gt;25,Age+A421&gt;=85),B421=12),VLOOKUP(A421,Output!$A$27:$AE$137,31,FALSE),0),0)</f>
        <v>0</v>
      </c>
      <c r="I421" s="221">
        <f>IFERROR(IF(AND(MIN(A421&gt;15,A421+Age&gt;=70),C421=1),VLOOKUP(A421,Output!$A$27:$AF$137,32,FALSE)*VLOOKUP('SV calc_ignore'!A421,Output!$A$27:$AG$137,33,FALSE)/IF(AnnuityMode=2,2,IF(AnnuityMode=4,4,IF(AnnuityMode=12,12,1))),0),0)</f>
        <v>20833.333333333332</v>
      </c>
      <c r="J421" s="227">
        <f t="shared" si="74"/>
        <v>0</v>
      </c>
      <c r="K421" s="213">
        <f t="shared" si="80"/>
        <v>0</v>
      </c>
      <c r="L421" s="209">
        <f t="shared" si="75"/>
        <v>0</v>
      </c>
      <c r="M421" s="214">
        <f t="shared" si="72"/>
        <v>0</v>
      </c>
      <c r="N421" s="211">
        <f t="shared" si="81"/>
        <v>0</v>
      </c>
      <c r="O421" s="194">
        <f t="shared" si="82"/>
        <v>0</v>
      </c>
      <c r="P421" s="212">
        <f t="shared" si="76"/>
        <v>0</v>
      </c>
      <c r="Q421">
        <f t="shared" si="77"/>
        <v>182498.06482829718</v>
      </c>
      <c r="X421" s="216">
        <f t="shared" si="83"/>
        <v>34</v>
      </c>
      <c r="Y421">
        <f t="shared" si="78"/>
        <v>0</v>
      </c>
    </row>
    <row r="422" spans="1:25" ht="13.5" thickBot="1" x14ac:dyDescent="0.25">
      <c r="A422" s="204">
        <f>IF(MOD(COUNT($A$10:A421),12)=0,A421+1,A421)</f>
        <v>35</v>
      </c>
      <c r="B422" s="218">
        <f t="shared" si="79"/>
        <v>5</v>
      </c>
      <c r="C422" s="218">
        <f t="shared" si="73"/>
        <v>1</v>
      </c>
      <c r="D422" s="208">
        <f>IF(MOD(COUNT($D$10:D421),6)=0,D421+1,D421)</f>
        <v>69</v>
      </c>
      <c r="E422" s="208">
        <f>IF(MOD(COUNT($E$10:E421),3)=0,E421+1,E421)</f>
        <v>138</v>
      </c>
      <c r="F422" s="208">
        <f>IF(MOD(COUNT($F$10:F421),1)=0,F421+1,F421)</f>
        <v>413</v>
      </c>
      <c r="G422" s="204">
        <f>IFERROR(IF(C422=1,VLOOKUP(A422,Output!$A$27:$AB$137,28,FALSE)/AnnuityMode,0),0)</f>
        <v>0</v>
      </c>
      <c r="H422" s="220">
        <f>IFERROR(IF(AND(MIN(A422&gt;25,Age+A422&gt;=85),B422=12),VLOOKUP(A422,Output!$A$27:$AE$137,31,FALSE),0),0)</f>
        <v>0</v>
      </c>
      <c r="I422" s="221">
        <f>IFERROR(IF(AND(MIN(A422&gt;15,A422+Age&gt;=70),C422=1),VLOOKUP(A422,Output!$A$27:$AF$137,32,FALSE)*VLOOKUP('SV calc_ignore'!A422,Output!$A$27:$AG$137,33,FALSE)/IF(AnnuityMode=2,2,IF(AnnuityMode=4,4,IF(AnnuityMode=12,12,1))),0),0)</f>
        <v>20833.333333333332</v>
      </c>
      <c r="J422" s="227">
        <f t="shared" si="74"/>
        <v>0</v>
      </c>
      <c r="K422" s="213">
        <f t="shared" si="80"/>
        <v>0</v>
      </c>
      <c r="L422" s="209">
        <f t="shared" si="75"/>
        <v>0</v>
      </c>
      <c r="M422" s="214">
        <f t="shared" si="72"/>
        <v>0</v>
      </c>
      <c r="N422" s="211">
        <f t="shared" si="81"/>
        <v>0</v>
      </c>
      <c r="O422" s="194">
        <f t="shared" si="82"/>
        <v>0</v>
      </c>
      <c r="P422" s="212">
        <f t="shared" si="76"/>
        <v>0</v>
      </c>
      <c r="Q422">
        <f t="shared" si="77"/>
        <v>162767.52638836679</v>
      </c>
      <c r="X422" s="216">
        <f t="shared" si="83"/>
        <v>34</v>
      </c>
      <c r="Y422">
        <f t="shared" si="78"/>
        <v>0</v>
      </c>
    </row>
    <row r="423" spans="1:25" ht="13.5" thickBot="1" x14ac:dyDescent="0.25">
      <c r="A423" s="204">
        <f>IF(MOD(COUNT($A$10:A422),12)=0,A422+1,A422)</f>
        <v>35</v>
      </c>
      <c r="B423" s="218">
        <f t="shared" si="79"/>
        <v>6</v>
      </c>
      <c r="C423" s="218">
        <f t="shared" si="73"/>
        <v>1</v>
      </c>
      <c r="D423" s="208">
        <f>IF(MOD(COUNT($D$10:D422),6)=0,D422+1,D422)</f>
        <v>69</v>
      </c>
      <c r="E423" s="208">
        <f>IF(MOD(COUNT($E$10:E422),3)=0,E422+1,E422)</f>
        <v>138</v>
      </c>
      <c r="F423" s="208">
        <f>IF(MOD(COUNT($F$10:F422),1)=0,F422+1,F422)</f>
        <v>414</v>
      </c>
      <c r="G423" s="204">
        <f>IFERROR(IF(C423=1,VLOOKUP(A423,Output!$A$27:$AB$137,28,FALSE)/AnnuityMode,0),0)</f>
        <v>0</v>
      </c>
      <c r="H423" s="220">
        <f>IFERROR(IF(AND(MIN(A423&gt;25,Age+A423&gt;=85),B423=12),VLOOKUP(A423,Output!$A$27:$AE$137,31,FALSE),0),0)</f>
        <v>0</v>
      </c>
      <c r="I423" s="221">
        <f>IFERROR(IF(AND(MIN(A423&gt;15,A423+Age&gt;=70),C423=1),VLOOKUP(A423,Output!$A$27:$AF$137,32,FALSE)*VLOOKUP('SV calc_ignore'!A423,Output!$A$27:$AG$137,33,FALSE)/IF(AnnuityMode=2,2,IF(AnnuityMode=4,4,IF(AnnuityMode=12,12,1))),0),0)</f>
        <v>20833.333333333332</v>
      </c>
      <c r="J423" s="227">
        <f t="shared" si="74"/>
        <v>0</v>
      </c>
      <c r="K423" s="213">
        <f t="shared" si="80"/>
        <v>0</v>
      </c>
      <c r="L423" s="209">
        <f t="shared" si="75"/>
        <v>0</v>
      </c>
      <c r="M423" s="214">
        <f t="shared" si="72"/>
        <v>0</v>
      </c>
      <c r="N423" s="211">
        <f t="shared" si="81"/>
        <v>0</v>
      </c>
      <c r="O423" s="194">
        <f t="shared" si="82"/>
        <v>0</v>
      </c>
      <c r="P423" s="212">
        <f t="shared" si="76"/>
        <v>0</v>
      </c>
      <c r="Q423">
        <f t="shared" si="77"/>
        <v>142902.39621136157</v>
      </c>
      <c r="X423" s="216">
        <f t="shared" si="83"/>
        <v>34</v>
      </c>
      <c r="Y423">
        <f t="shared" si="78"/>
        <v>0</v>
      </c>
    </row>
    <row r="424" spans="1:25" ht="13.5" thickBot="1" x14ac:dyDescent="0.25">
      <c r="A424" s="204">
        <f>IF(MOD(COUNT($A$10:A423),12)=0,A423+1,A423)</f>
        <v>35</v>
      </c>
      <c r="B424" s="218">
        <f t="shared" si="79"/>
        <v>7</v>
      </c>
      <c r="C424" s="218">
        <f t="shared" si="73"/>
        <v>1</v>
      </c>
      <c r="D424" s="208">
        <f>IF(MOD(COUNT($D$10:D423),6)=0,D423+1,D423)</f>
        <v>70</v>
      </c>
      <c r="E424" s="208">
        <f>IF(MOD(COUNT($E$10:E423),3)=0,E423+1,E423)</f>
        <v>139</v>
      </c>
      <c r="F424" s="208">
        <f>IF(MOD(COUNT($F$10:F423),1)=0,F423+1,F423)</f>
        <v>415</v>
      </c>
      <c r="G424" s="204">
        <f>IFERROR(IF(C424=1,VLOOKUP(A424,Output!$A$27:$AB$137,28,FALSE)/AnnuityMode,0),0)</f>
        <v>0</v>
      </c>
      <c r="H424" s="220">
        <f>IFERROR(IF(AND(MIN(A424&gt;25,Age+A424&gt;=85),B424=12),VLOOKUP(A424,Output!$A$27:$AE$137,31,FALSE),0),0)</f>
        <v>0</v>
      </c>
      <c r="I424" s="221">
        <f>IFERROR(IF(AND(MIN(A424&gt;15,A424+Age&gt;=70),C424=1),VLOOKUP(A424,Output!$A$27:$AF$137,32,FALSE)*VLOOKUP('SV calc_ignore'!A424,Output!$A$27:$AG$137,33,FALSE)/IF(AnnuityMode=2,2,IF(AnnuityMode=4,4,IF(AnnuityMode=12,12,1))),0),0)</f>
        <v>20833.333333333332</v>
      </c>
      <c r="J424" s="227">
        <f t="shared" si="74"/>
        <v>0</v>
      </c>
      <c r="K424" s="213">
        <f t="shared" si="80"/>
        <v>0</v>
      </c>
      <c r="L424" s="209">
        <f t="shared" si="75"/>
        <v>0</v>
      </c>
      <c r="M424" s="214">
        <f t="shared" si="72"/>
        <v>0</v>
      </c>
      <c r="N424" s="211">
        <f t="shared" si="81"/>
        <v>0</v>
      </c>
      <c r="O424" s="194">
        <f t="shared" si="82"/>
        <v>0</v>
      </c>
      <c r="P424" s="212">
        <f t="shared" si="76"/>
        <v>0</v>
      </c>
      <c r="Q424">
        <f t="shared" si="77"/>
        <v>122901.75618063993</v>
      </c>
      <c r="X424" s="216">
        <f t="shared" si="83"/>
        <v>34</v>
      </c>
      <c r="Y424">
        <f t="shared" si="78"/>
        <v>0</v>
      </c>
    </row>
    <row r="425" spans="1:25" ht="13.5" thickBot="1" x14ac:dyDescent="0.25">
      <c r="A425" s="204">
        <f>IF(MOD(COUNT($A$10:A424),12)=0,A424+1,A424)</f>
        <v>35</v>
      </c>
      <c r="B425" s="218">
        <f t="shared" si="79"/>
        <v>8</v>
      </c>
      <c r="C425" s="218">
        <f t="shared" si="73"/>
        <v>1</v>
      </c>
      <c r="D425" s="208">
        <f>IF(MOD(COUNT($D$10:D424),6)=0,D424+1,D424)</f>
        <v>70</v>
      </c>
      <c r="E425" s="208">
        <f>IF(MOD(COUNT($E$10:E424),3)=0,E424+1,E424)</f>
        <v>139</v>
      </c>
      <c r="F425" s="208">
        <f>IF(MOD(COUNT($F$10:F424),1)=0,F424+1,F424)</f>
        <v>416</v>
      </c>
      <c r="G425" s="204">
        <f>IFERROR(IF(C425=1,VLOOKUP(A425,Output!$A$27:$AB$137,28,FALSE)/AnnuityMode,0),0)</f>
        <v>0</v>
      </c>
      <c r="H425" s="220">
        <f>IFERROR(IF(AND(MIN(A425&gt;25,Age+A425&gt;=85),B425=12),VLOOKUP(A425,Output!$A$27:$AE$137,31,FALSE),0),0)</f>
        <v>0</v>
      </c>
      <c r="I425" s="221">
        <f>IFERROR(IF(AND(MIN(A425&gt;15,A425+Age&gt;=70),C425=1),VLOOKUP(A425,Output!$A$27:$AF$137,32,FALSE)*VLOOKUP('SV calc_ignore'!A425,Output!$A$27:$AG$137,33,FALSE)/IF(AnnuityMode=2,2,IF(AnnuityMode=4,4,IF(AnnuityMode=12,12,1))),0),0)</f>
        <v>20833.333333333332</v>
      </c>
      <c r="J425" s="227">
        <f t="shared" si="74"/>
        <v>0</v>
      </c>
      <c r="K425" s="213">
        <f t="shared" si="80"/>
        <v>0</v>
      </c>
      <c r="L425" s="209">
        <f t="shared" si="75"/>
        <v>0</v>
      </c>
      <c r="M425" s="214">
        <f t="shared" si="72"/>
        <v>0</v>
      </c>
      <c r="N425" s="211">
        <f t="shared" si="81"/>
        <v>0</v>
      </c>
      <c r="O425" s="194">
        <f t="shared" si="82"/>
        <v>0</v>
      </c>
      <c r="P425" s="212">
        <f t="shared" si="76"/>
        <v>0</v>
      </c>
      <c r="Q425">
        <f t="shared" si="77"/>
        <v>102764.68191663374</v>
      </c>
      <c r="X425" s="216">
        <f t="shared" si="83"/>
        <v>34</v>
      </c>
      <c r="Y425">
        <f t="shared" si="78"/>
        <v>0</v>
      </c>
    </row>
    <row r="426" spans="1:25" ht="13.5" thickBot="1" x14ac:dyDescent="0.25">
      <c r="A426" s="204">
        <f>IF(MOD(COUNT($A$10:A425),12)=0,A425+1,A425)</f>
        <v>35</v>
      </c>
      <c r="B426" s="218">
        <f t="shared" si="79"/>
        <v>9</v>
      </c>
      <c r="C426" s="218">
        <f t="shared" si="73"/>
        <v>1</v>
      </c>
      <c r="D426" s="208">
        <f>IF(MOD(COUNT($D$10:D425),6)=0,D425+1,D425)</f>
        <v>70</v>
      </c>
      <c r="E426" s="208">
        <f>IF(MOD(COUNT($E$10:E425),3)=0,E425+1,E425)</f>
        <v>139</v>
      </c>
      <c r="F426" s="208">
        <f>IF(MOD(COUNT($F$10:F425),1)=0,F425+1,F425)</f>
        <v>417</v>
      </c>
      <c r="G426" s="204">
        <f>IFERROR(IF(C426=1,VLOOKUP(A426,Output!$A$27:$AB$137,28,FALSE)/AnnuityMode,0),0)</f>
        <v>0</v>
      </c>
      <c r="H426" s="220">
        <f>IFERROR(IF(AND(MIN(A426&gt;25,Age+A426&gt;=85),B426=12),VLOOKUP(A426,Output!$A$27:$AE$137,31,FALSE),0),0)</f>
        <v>0</v>
      </c>
      <c r="I426" s="221">
        <f>IFERROR(IF(AND(MIN(A426&gt;15,A426+Age&gt;=70),C426=1),VLOOKUP(A426,Output!$A$27:$AF$137,32,FALSE)*VLOOKUP('SV calc_ignore'!A426,Output!$A$27:$AG$137,33,FALSE)/IF(AnnuityMode=2,2,IF(AnnuityMode=4,4,IF(AnnuityMode=12,12,1))),0),0)</f>
        <v>20833.333333333332</v>
      </c>
      <c r="J426" s="227">
        <f t="shared" si="74"/>
        <v>0</v>
      </c>
      <c r="K426" s="213">
        <f t="shared" si="80"/>
        <v>0</v>
      </c>
      <c r="L426" s="209">
        <f t="shared" si="75"/>
        <v>0</v>
      </c>
      <c r="M426" s="214">
        <f t="shared" si="72"/>
        <v>0</v>
      </c>
      <c r="N426" s="211">
        <f t="shared" si="81"/>
        <v>0</v>
      </c>
      <c r="O426" s="194">
        <f t="shared" si="82"/>
        <v>0</v>
      </c>
      <c r="P426" s="212">
        <f t="shared" si="76"/>
        <v>0</v>
      </c>
      <c r="Q426">
        <f t="shared" si="77"/>
        <v>82490.242734125728</v>
      </c>
      <c r="X426" s="216">
        <f t="shared" si="83"/>
        <v>34</v>
      </c>
      <c r="Y426">
        <f t="shared" si="78"/>
        <v>0</v>
      </c>
    </row>
    <row r="427" spans="1:25" ht="13.5" thickBot="1" x14ac:dyDescent="0.25">
      <c r="A427" s="204">
        <f>IF(MOD(COUNT($A$10:A426),12)=0,A426+1,A426)</f>
        <v>35</v>
      </c>
      <c r="B427" s="218">
        <f t="shared" si="79"/>
        <v>10</v>
      </c>
      <c r="C427" s="218">
        <f t="shared" si="73"/>
        <v>1</v>
      </c>
      <c r="D427" s="208">
        <f>IF(MOD(COUNT($D$10:D426),6)=0,D426+1,D426)</f>
        <v>70</v>
      </c>
      <c r="E427" s="208">
        <f>IF(MOD(COUNT($E$10:E426),3)=0,E426+1,E426)</f>
        <v>140</v>
      </c>
      <c r="F427" s="208">
        <f>IF(MOD(COUNT($F$10:F426),1)=0,F426+1,F426)</f>
        <v>418</v>
      </c>
      <c r="G427" s="204">
        <f>IFERROR(IF(C427=1,VLOOKUP(A427,Output!$A$27:$AB$137,28,FALSE)/AnnuityMode,0),0)</f>
        <v>0</v>
      </c>
      <c r="H427" s="220">
        <f>IFERROR(IF(AND(MIN(A427&gt;25,Age+A427&gt;=85),B427=12),VLOOKUP(A427,Output!$A$27:$AE$137,31,FALSE),0),0)</f>
        <v>0</v>
      </c>
      <c r="I427" s="221">
        <f>IFERROR(IF(AND(MIN(A427&gt;15,A427+Age&gt;=70),C427=1),VLOOKUP(A427,Output!$A$27:$AF$137,32,FALSE)*VLOOKUP('SV calc_ignore'!A427,Output!$A$27:$AG$137,33,FALSE)/IF(AnnuityMode=2,2,IF(AnnuityMode=4,4,IF(AnnuityMode=12,12,1))),0),0)</f>
        <v>20833.333333333332</v>
      </c>
      <c r="J427" s="227">
        <f t="shared" si="74"/>
        <v>0</v>
      </c>
      <c r="K427" s="213">
        <f t="shared" si="80"/>
        <v>0</v>
      </c>
      <c r="L427" s="209">
        <f t="shared" si="75"/>
        <v>0</v>
      </c>
      <c r="M427" s="214">
        <f t="shared" si="72"/>
        <v>0</v>
      </c>
      <c r="N427" s="211">
        <f t="shared" si="81"/>
        <v>0</v>
      </c>
      <c r="O427" s="194">
        <f t="shared" si="82"/>
        <v>0</v>
      </c>
      <c r="P427" s="212">
        <f t="shared" si="76"/>
        <v>0</v>
      </c>
      <c r="Q427">
        <f t="shared" si="77"/>
        <v>62077.501599235635</v>
      </c>
      <c r="X427" s="216">
        <f t="shared" si="83"/>
        <v>34</v>
      </c>
      <c r="Y427">
        <f t="shared" si="78"/>
        <v>0</v>
      </c>
    </row>
    <row r="428" spans="1:25" ht="13.5" thickBot="1" x14ac:dyDescent="0.25">
      <c r="A428" s="204">
        <f>IF(MOD(COUNT($A$10:A427),12)=0,A427+1,A427)</f>
        <v>35</v>
      </c>
      <c r="B428" s="218">
        <f t="shared" si="79"/>
        <v>11</v>
      </c>
      <c r="C428" s="218">
        <f t="shared" si="73"/>
        <v>1</v>
      </c>
      <c r="D428" s="208">
        <f>IF(MOD(COUNT($D$10:D427),6)=0,D427+1,D427)</f>
        <v>70</v>
      </c>
      <c r="E428" s="208">
        <f>IF(MOD(COUNT($E$10:E427),3)=0,E427+1,E427)</f>
        <v>140</v>
      </c>
      <c r="F428" s="208">
        <f>IF(MOD(COUNT($F$10:F427),1)=0,F427+1,F427)</f>
        <v>419</v>
      </c>
      <c r="G428" s="204">
        <f>IFERROR(IF(C428=1,VLOOKUP(A428,Output!$A$27:$AB$137,28,FALSE)/AnnuityMode,0),0)</f>
        <v>0</v>
      </c>
      <c r="H428" s="220">
        <f>IFERROR(IF(AND(MIN(A428&gt;25,Age+A428&gt;=85),B428=12),VLOOKUP(A428,Output!$A$27:$AE$137,31,FALSE),0),0)</f>
        <v>0</v>
      </c>
      <c r="I428" s="221">
        <f>IFERROR(IF(AND(MIN(A428&gt;15,A428+Age&gt;=70),C428=1),VLOOKUP(A428,Output!$A$27:$AF$137,32,FALSE)*VLOOKUP('SV calc_ignore'!A428,Output!$A$27:$AG$137,33,FALSE)/IF(AnnuityMode=2,2,IF(AnnuityMode=4,4,IF(AnnuityMode=12,12,1))),0),0)</f>
        <v>20833.333333333332</v>
      </c>
      <c r="J428" s="227">
        <f t="shared" si="74"/>
        <v>0</v>
      </c>
      <c r="K428" s="213">
        <f t="shared" si="80"/>
        <v>0</v>
      </c>
      <c r="L428" s="209">
        <f t="shared" si="75"/>
        <v>0</v>
      </c>
      <c r="M428" s="214">
        <f t="shared" si="72"/>
        <v>0</v>
      </c>
      <c r="N428" s="211">
        <f t="shared" si="81"/>
        <v>0</v>
      </c>
      <c r="O428" s="194">
        <f t="shared" si="82"/>
        <v>0</v>
      </c>
      <c r="P428" s="212">
        <f t="shared" si="76"/>
        <v>0</v>
      </c>
      <c r="Q428">
        <f t="shared" si="77"/>
        <v>41525.515086112791</v>
      </c>
      <c r="X428" s="216">
        <f t="shared" si="83"/>
        <v>34</v>
      </c>
      <c r="Y428">
        <f t="shared" si="78"/>
        <v>0</v>
      </c>
    </row>
    <row r="429" spans="1:25" ht="13.5" thickBot="1" x14ac:dyDescent="0.25">
      <c r="A429" s="204">
        <f>IF(MOD(COUNT($A$10:A428),12)=0,A428+1,A428)</f>
        <v>35</v>
      </c>
      <c r="B429" s="218">
        <f t="shared" si="79"/>
        <v>12</v>
      </c>
      <c r="C429" s="218">
        <f t="shared" si="73"/>
        <v>1</v>
      </c>
      <c r="D429" s="208">
        <f>IF(MOD(COUNT($D$10:D428),6)=0,D428+1,D428)</f>
        <v>70</v>
      </c>
      <c r="E429" s="208">
        <f>IF(MOD(COUNT($E$10:E428),3)=0,E428+1,E428)</f>
        <v>140</v>
      </c>
      <c r="F429" s="208">
        <f>IF(MOD(COUNT($F$10:F428),1)=0,F428+1,F428)</f>
        <v>420</v>
      </c>
      <c r="G429" s="204">
        <f>IFERROR(IF(C429=1,VLOOKUP(A429,Output!$A$27:$AB$137,28,FALSE)/AnnuityMode,0),0)</f>
        <v>0</v>
      </c>
      <c r="H429" s="220">
        <f>IFERROR(IF(AND(MIN(A429&gt;25,Age+A429&gt;=85),B429=12),VLOOKUP(A429,Output!$A$27:$AE$137,31,FALSE),0),0)</f>
        <v>0</v>
      </c>
      <c r="I429" s="221">
        <f>IFERROR(IF(AND(MIN(A429&gt;15,A429+Age&gt;=70),C429=1),VLOOKUP(A429,Output!$A$27:$AF$137,32,FALSE)*VLOOKUP('SV calc_ignore'!A429,Output!$A$27:$AG$137,33,FALSE)/IF(AnnuityMode=2,2,IF(AnnuityMode=4,4,IF(AnnuityMode=12,12,1))),0),0)</f>
        <v>20833.333333333332</v>
      </c>
      <c r="J429" s="227">
        <f t="shared" si="74"/>
        <v>0</v>
      </c>
      <c r="K429" s="213">
        <f t="shared" si="80"/>
        <v>0</v>
      </c>
      <c r="L429" s="209">
        <f t="shared" si="75"/>
        <v>0</v>
      </c>
      <c r="M429" s="214">
        <f t="shared" si="72"/>
        <v>0</v>
      </c>
      <c r="N429" s="211">
        <f t="shared" si="81"/>
        <v>0</v>
      </c>
      <c r="O429" s="194">
        <f t="shared" si="82"/>
        <v>0</v>
      </c>
      <c r="P429" s="212">
        <f t="shared" si="76"/>
        <v>0</v>
      </c>
      <c r="Q429">
        <f t="shared" si="77"/>
        <v>20833.333333333332</v>
      </c>
      <c r="X429" s="216">
        <f t="shared" si="83"/>
        <v>34</v>
      </c>
      <c r="Y429">
        <f t="shared" si="78"/>
        <v>0</v>
      </c>
    </row>
    <row r="430" spans="1:25" ht="13.5" thickBot="1" x14ac:dyDescent="0.25">
      <c r="A430" s="204">
        <f>IF(MOD(COUNT($A$10:A429),12)=0,A429+1,A429)</f>
        <v>36</v>
      </c>
      <c r="B430" s="218">
        <f t="shared" si="79"/>
        <v>1</v>
      </c>
      <c r="C430" s="218">
        <f t="shared" si="73"/>
        <v>1</v>
      </c>
      <c r="D430" s="208">
        <f>IF(MOD(COUNT($D$10:D429),6)=0,D429+1,D429)</f>
        <v>71</v>
      </c>
      <c r="E430" s="208">
        <f>IF(MOD(COUNT($E$10:E429),3)=0,E429+1,E429)</f>
        <v>141</v>
      </c>
      <c r="F430" s="208">
        <f>IF(MOD(COUNT($F$10:F429),1)=0,F429+1,F429)</f>
        <v>421</v>
      </c>
      <c r="G430" s="204">
        <f>IFERROR(IF(C430=1,VLOOKUP(A430,Output!$A$27:$AB$137,28,FALSE)/AnnuityMode,0),0)</f>
        <v>0</v>
      </c>
      <c r="H430" s="220">
        <f>IFERROR(IF(AND(MIN(A430&gt;25,Age+A430&gt;=85),B430=12),VLOOKUP(A430,Output!$A$27:$AE$137,31,FALSE),0),0)</f>
        <v>0</v>
      </c>
      <c r="I430" s="221">
        <f>IFERROR(IF(AND(MIN(A430&gt;15,A430+Age&gt;=70),C430=1),VLOOKUP(A430,Output!$A$27:$AF$137,32,FALSE)*VLOOKUP('SV calc_ignore'!A430,Output!$A$27:$AG$137,33,FALSE)/IF(AnnuityMode=2,2,IF(AnnuityMode=4,4,IF(AnnuityMode=12,12,1))),0),0)</f>
        <v>0</v>
      </c>
      <c r="J430" s="227">
        <f t="shared" si="74"/>
        <v>0</v>
      </c>
      <c r="K430" s="213">
        <f t="shared" si="80"/>
        <v>0</v>
      </c>
      <c r="L430" s="209">
        <f t="shared" si="75"/>
        <v>0</v>
      </c>
      <c r="M430" s="214">
        <f t="shared" si="72"/>
        <v>0</v>
      </c>
      <c r="N430" s="211">
        <f t="shared" si="81"/>
        <v>0</v>
      </c>
      <c r="O430" s="194">
        <f t="shared" si="82"/>
        <v>0</v>
      </c>
      <c r="P430" s="212">
        <f t="shared" si="76"/>
        <v>0</v>
      </c>
      <c r="Q430">
        <f t="shared" si="77"/>
        <v>0</v>
      </c>
      <c r="X430" s="216">
        <f t="shared" si="83"/>
        <v>35</v>
      </c>
      <c r="Y430">
        <f t="shared" si="78"/>
        <v>0</v>
      </c>
    </row>
    <row r="431" spans="1:25" ht="13.5" thickBot="1" x14ac:dyDescent="0.25">
      <c r="A431" s="204">
        <f>IF(MOD(COUNT($A$10:A430),12)=0,A430+1,A430)</f>
        <v>36</v>
      </c>
      <c r="B431" s="218">
        <f t="shared" si="79"/>
        <v>2</v>
      </c>
      <c r="C431" s="218">
        <f t="shared" si="73"/>
        <v>1</v>
      </c>
      <c r="D431" s="208">
        <f>IF(MOD(COUNT($D$10:D430),6)=0,D430+1,D430)</f>
        <v>71</v>
      </c>
      <c r="E431" s="208">
        <f>IF(MOD(COUNT($E$10:E430),3)=0,E430+1,E430)</f>
        <v>141</v>
      </c>
      <c r="F431" s="208">
        <f>IF(MOD(COUNT($F$10:F430),1)=0,F430+1,F430)</f>
        <v>422</v>
      </c>
      <c r="G431" s="204">
        <f>IFERROR(IF(C431=1,VLOOKUP(A431,Output!$A$27:$AB$137,28,FALSE)/AnnuityMode,0),0)</f>
        <v>0</v>
      </c>
      <c r="H431" s="220">
        <f>IFERROR(IF(AND(MIN(A431&gt;25,Age+A431&gt;=85),B431=12),VLOOKUP(A431,Output!$A$27:$AE$137,31,FALSE),0),0)</f>
        <v>0</v>
      </c>
      <c r="I431" s="221">
        <f>IFERROR(IF(AND(MIN(A431&gt;15,A431+Age&gt;=70),C431=1),VLOOKUP(A431,Output!$A$27:$AF$137,32,FALSE)*VLOOKUP('SV calc_ignore'!A431,Output!$A$27:$AG$137,33,FALSE)/IF(AnnuityMode=2,2,IF(AnnuityMode=4,4,IF(AnnuityMode=12,12,1))),0),0)</f>
        <v>0</v>
      </c>
      <c r="J431" s="227">
        <f t="shared" si="74"/>
        <v>0</v>
      </c>
      <c r="K431" s="213">
        <f t="shared" si="80"/>
        <v>0</v>
      </c>
      <c r="L431" s="209">
        <f t="shared" si="75"/>
        <v>0</v>
      </c>
      <c r="M431" s="214">
        <f t="shared" si="72"/>
        <v>0</v>
      </c>
      <c r="N431" s="211">
        <f t="shared" si="81"/>
        <v>0</v>
      </c>
      <c r="O431" s="194">
        <f t="shared" si="82"/>
        <v>0</v>
      </c>
      <c r="P431" s="212">
        <f t="shared" si="76"/>
        <v>0</v>
      </c>
      <c r="Q431">
        <f t="shared" si="77"/>
        <v>0</v>
      </c>
      <c r="X431" s="216">
        <f t="shared" si="83"/>
        <v>35</v>
      </c>
      <c r="Y431">
        <f t="shared" si="78"/>
        <v>0</v>
      </c>
    </row>
    <row r="432" spans="1:25" ht="13.5" thickBot="1" x14ac:dyDescent="0.25">
      <c r="A432" s="204">
        <f>IF(MOD(COUNT($A$10:A431),12)=0,A431+1,A431)</f>
        <v>36</v>
      </c>
      <c r="B432" s="218">
        <f t="shared" si="79"/>
        <v>3</v>
      </c>
      <c r="C432" s="218">
        <f t="shared" si="73"/>
        <v>1</v>
      </c>
      <c r="D432" s="208">
        <f>IF(MOD(COUNT($D$10:D431),6)=0,D431+1,D431)</f>
        <v>71</v>
      </c>
      <c r="E432" s="208">
        <f>IF(MOD(COUNT($E$10:E431),3)=0,E431+1,E431)</f>
        <v>141</v>
      </c>
      <c r="F432" s="208">
        <f>IF(MOD(COUNT($F$10:F431),1)=0,F431+1,F431)</f>
        <v>423</v>
      </c>
      <c r="G432" s="204">
        <f>IFERROR(IF(C432=1,VLOOKUP(A432,Output!$A$27:$AB$137,28,FALSE)/AnnuityMode,0),0)</f>
        <v>0</v>
      </c>
      <c r="H432" s="220">
        <f>IFERROR(IF(AND(MIN(A432&gt;25,Age+A432&gt;=85),B432=12),VLOOKUP(A432,Output!$A$27:$AE$137,31,FALSE),0),0)</f>
        <v>0</v>
      </c>
      <c r="I432" s="221">
        <f>IFERROR(IF(AND(MIN(A432&gt;15,A432+Age&gt;=70),C432=1),VLOOKUP(A432,Output!$A$27:$AF$137,32,FALSE)*VLOOKUP('SV calc_ignore'!A432,Output!$A$27:$AG$137,33,FALSE)/IF(AnnuityMode=2,2,IF(AnnuityMode=4,4,IF(AnnuityMode=12,12,1))),0),0)</f>
        <v>0</v>
      </c>
      <c r="J432" s="227">
        <f t="shared" si="74"/>
        <v>0</v>
      </c>
      <c r="K432" s="213">
        <f t="shared" si="80"/>
        <v>0</v>
      </c>
      <c r="L432" s="209">
        <f t="shared" si="75"/>
        <v>0</v>
      </c>
      <c r="M432" s="214">
        <f t="shared" si="72"/>
        <v>0</v>
      </c>
      <c r="N432" s="211">
        <f t="shared" si="81"/>
        <v>0</v>
      </c>
      <c r="O432" s="194">
        <f t="shared" si="82"/>
        <v>0</v>
      </c>
      <c r="P432" s="212">
        <f t="shared" si="76"/>
        <v>0</v>
      </c>
      <c r="Q432">
        <f t="shared" si="77"/>
        <v>0</v>
      </c>
      <c r="X432" s="216">
        <f t="shared" si="83"/>
        <v>35</v>
      </c>
      <c r="Y432">
        <f t="shared" si="78"/>
        <v>0</v>
      </c>
    </row>
    <row r="433" spans="1:25" ht="13.5" thickBot="1" x14ac:dyDescent="0.25">
      <c r="A433" s="204">
        <f>IF(MOD(COUNT($A$10:A432),12)=0,A432+1,A432)</f>
        <v>36</v>
      </c>
      <c r="B433" s="218">
        <f t="shared" si="79"/>
        <v>4</v>
      </c>
      <c r="C433" s="218">
        <f t="shared" si="73"/>
        <v>1</v>
      </c>
      <c r="D433" s="208">
        <f>IF(MOD(COUNT($D$10:D432),6)=0,D432+1,D432)</f>
        <v>71</v>
      </c>
      <c r="E433" s="208">
        <f>IF(MOD(COUNT($E$10:E432),3)=0,E432+1,E432)</f>
        <v>142</v>
      </c>
      <c r="F433" s="208">
        <f>IF(MOD(COUNT($F$10:F432),1)=0,F432+1,F432)</f>
        <v>424</v>
      </c>
      <c r="G433" s="204">
        <f>IFERROR(IF(C433=1,VLOOKUP(A433,Output!$A$27:$AB$137,28,FALSE)/AnnuityMode,0),0)</f>
        <v>0</v>
      </c>
      <c r="H433" s="220">
        <f>IFERROR(IF(AND(MIN(A433&gt;25,Age+A433&gt;=85),B433=12),VLOOKUP(A433,Output!$A$27:$AE$137,31,FALSE),0),0)</f>
        <v>0</v>
      </c>
      <c r="I433" s="221">
        <f>IFERROR(IF(AND(MIN(A433&gt;15,A433+Age&gt;=70),C433=1),VLOOKUP(A433,Output!$A$27:$AF$137,32,FALSE)*VLOOKUP('SV calc_ignore'!A433,Output!$A$27:$AG$137,33,FALSE)/IF(AnnuityMode=2,2,IF(AnnuityMode=4,4,IF(AnnuityMode=12,12,1))),0),0)</f>
        <v>0</v>
      </c>
      <c r="J433" s="227">
        <f t="shared" si="74"/>
        <v>0</v>
      </c>
      <c r="K433" s="213">
        <f t="shared" si="80"/>
        <v>0</v>
      </c>
      <c r="L433" s="209">
        <f t="shared" si="75"/>
        <v>0</v>
      </c>
      <c r="M433" s="214">
        <f t="shared" si="72"/>
        <v>0</v>
      </c>
      <c r="N433" s="211">
        <f t="shared" si="81"/>
        <v>0</v>
      </c>
      <c r="O433" s="194">
        <f t="shared" si="82"/>
        <v>0</v>
      </c>
      <c r="P433" s="212">
        <f t="shared" si="76"/>
        <v>0</v>
      </c>
      <c r="Q433">
        <f t="shared" si="77"/>
        <v>0</v>
      </c>
      <c r="X433" s="216">
        <f t="shared" si="83"/>
        <v>35</v>
      </c>
      <c r="Y433">
        <f t="shared" si="78"/>
        <v>0</v>
      </c>
    </row>
    <row r="434" spans="1:25" ht="13.5" thickBot="1" x14ac:dyDescent="0.25">
      <c r="A434" s="204">
        <f>IF(MOD(COUNT($A$10:A433),12)=0,A433+1,A433)</f>
        <v>36</v>
      </c>
      <c r="B434" s="218">
        <f t="shared" si="79"/>
        <v>5</v>
      </c>
      <c r="C434" s="218">
        <f t="shared" si="73"/>
        <v>1</v>
      </c>
      <c r="D434" s="208">
        <f>IF(MOD(COUNT($D$10:D433),6)=0,D433+1,D433)</f>
        <v>71</v>
      </c>
      <c r="E434" s="208">
        <f>IF(MOD(COUNT($E$10:E433),3)=0,E433+1,E433)</f>
        <v>142</v>
      </c>
      <c r="F434" s="208">
        <f>IF(MOD(COUNT($F$10:F433),1)=0,F433+1,F433)</f>
        <v>425</v>
      </c>
      <c r="G434" s="204">
        <f>IFERROR(IF(C434=1,VLOOKUP(A434,Output!$A$27:$AB$137,28,FALSE)/AnnuityMode,0),0)</f>
        <v>0</v>
      </c>
      <c r="H434" s="220">
        <f>IFERROR(IF(AND(MIN(A434&gt;25,Age+A434&gt;=85),B434=12),VLOOKUP(A434,Output!$A$27:$AE$137,31,FALSE),0),0)</f>
        <v>0</v>
      </c>
      <c r="I434" s="221">
        <f>IFERROR(IF(AND(MIN(A434&gt;15,A434+Age&gt;=70),C434=1),VLOOKUP(A434,Output!$A$27:$AF$137,32,FALSE)*VLOOKUP('SV calc_ignore'!A434,Output!$A$27:$AG$137,33,FALSE)/IF(AnnuityMode=2,2,IF(AnnuityMode=4,4,IF(AnnuityMode=12,12,1))),0),0)</f>
        <v>0</v>
      </c>
      <c r="J434" s="227">
        <f t="shared" si="74"/>
        <v>0</v>
      </c>
      <c r="K434" s="213">
        <f t="shared" si="80"/>
        <v>0</v>
      </c>
      <c r="L434" s="209">
        <f t="shared" si="75"/>
        <v>0</v>
      </c>
      <c r="M434" s="214">
        <f t="shared" si="72"/>
        <v>0</v>
      </c>
      <c r="N434" s="211">
        <f t="shared" si="81"/>
        <v>0</v>
      </c>
      <c r="O434" s="194">
        <f t="shared" si="82"/>
        <v>0</v>
      </c>
      <c r="P434" s="212">
        <f t="shared" si="76"/>
        <v>0</v>
      </c>
      <c r="Q434">
        <f t="shared" si="77"/>
        <v>0</v>
      </c>
      <c r="X434" s="216">
        <f t="shared" si="83"/>
        <v>35</v>
      </c>
      <c r="Y434">
        <f t="shared" si="78"/>
        <v>0</v>
      </c>
    </row>
    <row r="435" spans="1:25" ht="13.5" thickBot="1" x14ac:dyDescent="0.25">
      <c r="A435" s="204">
        <f>IF(MOD(COUNT($A$10:A434),12)=0,A434+1,A434)</f>
        <v>36</v>
      </c>
      <c r="B435" s="218">
        <f t="shared" si="79"/>
        <v>6</v>
      </c>
      <c r="C435" s="218">
        <f t="shared" si="73"/>
        <v>1</v>
      </c>
      <c r="D435" s="208">
        <f>IF(MOD(COUNT($D$10:D434),6)=0,D434+1,D434)</f>
        <v>71</v>
      </c>
      <c r="E435" s="208">
        <f>IF(MOD(COUNT($E$10:E434),3)=0,E434+1,E434)</f>
        <v>142</v>
      </c>
      <c r="F435" s="208">
        <f>IF(MOD(COUNT($F$10:F434),1)=0,F434+1,F434)</f>
        <v>426</v>
      </c>
      <c r="G435" s="204">
        <f>IFERROR(IF(C435=1,VLOOKUP(A435,Output!$A$27:$AB$137,28,FALSE)/AnnuityMode,0),0)</f>
        <v>0</v>
      </c>
      <c r="H435" s="220">
        <f>IFERROR(IF(AND(MIN(A435&gt;25,Age+A435&gt;=85),B435=12),VLOOKUP(A435,Output!$A$27:$AE$137,31,FALSE),0),0)</f>
        <v>0</v>
      </c>
      <c r="I435" s="221">
        <f>IFERROR(IF(AND(MIN(A435&gt;15,A435+Age&gt;=70),C435=1),VLOOKUP(A435,Output!$A$27:$AF$137,32,FALSE)*VLOOKUP('SV calc_ignore'!A435,Output!$A$27:$AG$137,33,FALSE)/IF(AnnuityMode=2,2,IF(AnnuityMode=4,4,IF(AnnuityMode=12,12,1))),0),0)</f>
        <v>0</v>
      </c>
      <c r="J435" s="227">
        <f t="shared" si="74"/>
        <v>0</v>
      </c>
      <c r="K435" s="213">
        <f t="shared" si="80"/>
        <v>0</v>
      </c>
      <c r="L435" s="209">
        <f t="shared" si="75"/>
        <v>0</v>
      </c>
      <c r="M435" s="214">
        <f t="shared" si="72"/>
        <v>0</v>
      </c>
      <c r="N435" s="211">
        <f t="shared" si="81"/>
        <v>0</v>
      </c>
      <c r="O435" s="194">
        <f t="shared" si="82"/>
        <v>0</v>
      </c>
      <c r="P435" s="212">
        <f t="shared" si="76"/>
        <v>0</v>
      </c>
      <c r="Q435">
        <f t="shared" si="77"/>
        <v>0</v>
      </c>
      <c r="X435" s="216">
        <f t="shared" si="83"/>
        <v>35</v>
      </c>
      <c r="Y435">
        <f t="shared" si="78"/>
        <v>0</v>
      </c>
    </row>
    <row r="436" spans="1:25" ht="13.5" thickBot="1" x14ac:dyDescent="0.25">
      <c r="A436" s="204">
        <f>IF(MOD(COUNT($A$10:A435),12)=0,A435+1,A435)</f>
        <v>36</v>
      </c>
      <c r="B436" s="218">
        <f t="shared" si="79"/>
        <v>7</v>
      </c>
      <c r="C436" s="218">
        <f t="shared" si="73"/>
        <v>1</v>
      </c>
      <c r="D436" s="208">
        <f>IF(MOD(COUNT($D$10:D435),6)=0,D435+1,D435)</f>
        <v>72</v>
      </c>
      <c r="E436" s="208">
        <f>IF(MOD(COUNT($E$10:E435),3)=0,E435+1,E435)</f>
        <v>143</v>
      </c>
      <c r="F436" s="208">
        <f>IF(MOD(COUNT($F$10:F435),1)=0,F435+1,F435)</f>
        <v>427</v>
      </c>
      <c r="G436" s="204">
        <f>IFERROR(IF(C436=1,VLOOKUP(A436,Output!$A$27:$AB$137,28,FALSE)/AnnuityMode,0),0)</f>
        <v>0</v>
      </c>
      <c r="H436" s="220">
        <f>IFERROR(IF(AND(MIN(A436&gt;25,Age+A436&gt;=85),B436=12),VLOOKUP(A436,Output!$A$27:$AE$137,31,FALSE),0),0)</f>
        <v>0</v>
      </c>
      <c r="I436" s="221">
        <f>IFERROR(IF(AND(MIN(A436&gt;15,A436+Age&gt;=70),C436=1),VLOOKUP(A436,Output!$A$27:$AF$137,32,FALSE)*VLOOKUP('SV calc_ignore'!A436,Output!$A$27:$AG$137,33,FALSE)/IF(AnnuityMode=2,2,IF(AnnuityMode=4,4,IF(AnnuityMode=12,12,1))),0),0)</f>
        <v>0</v>
      </c>
      <c r="J436" s="227">
        <f t="shared" si="74"/>
        <v>0</v>
      </c>
      <c r="K436" s="213">
        <f t="shared" si="80"/>
        <v>0</v>
      </c>
      <c r="L436" s="209">
        <f t="shared" si="75"/>
        <v>0</v>
      </c>
      <c r="M436" s="214">
        <f t="shared" si="72"/>
        <v>0</v>
      </c>
      <c r="N436" s="211">
        <f t="shared" si="81"/>
        <v>0</v>
      </c>
      <c r="O436" s="194">
        <f t="shared" si="82"/>
        <v>0</v>
      </c>
      <c r="P436" s="212">
        <f t="shared" si="76"/>
        <v>0</v>
      </c>
      <c r="Q436">
        <f t="shared" si="77"/>
        <v>0</v>
      </c>
      <c r="X436" s="216">
        <f t="shared" si="83"/>
        <v>35</v>
      </c>
      <c r="Y436">
        <f t="shared" si="78"/>
        <v>0</v>
      </c>
    </row>
    <row r="437" spans="1:25" ht="13.5" thickBot="1" x14ac:dyDescent="0.25">
      <c r="A437" s="204">
        <f>IF(MOD(COUNT($A$10:A436),12)=0,A436+1,A436)</f>
        <v>36</v>
      </c>
      <c r="B437" s="218">
        <f t="shared" si="79"/>
        <v>8</v>
      </c>
      <c r="C437" s="218">
        <f t="shared" si="73"/>
        <v>1</v>
      </c>
      <c r="D437" s="208">
        <f>IF(MOD(COUNT($D$10:D436),6)=0,D436+1,D436)</f>
        <v>72</v>
      </c>
      <c r="E437" s="208">
        <f>IF(MOD(COUNT($E$10:E436),3)=0,E436+1,E436)</f>
        <v>143</v>
      </c>
      <c r="F437" s="208">
        <f>IF(MOD(COUNT($F$10:F436),1)=0,F436+1,F436)</f>
        <v>428</v>
      </c>
      <c r="G437" s="204">
        <f>IFERROR(IF(C437=1,VLOOKUP(A437,Output!$A$27:$AB$137,28,FALSE)/AnnuityMode,0),0)</f>
        <v>0</v>
      </c>
      <c r="H437" s="220">
        <f>IFERROR(IF(AND(MIN(A437&gt;25,Age+A437&gt;=85),B437=12),VLOOKUP(A437,Output!$A$27:$AE$137,31,FALSE),0),0)</f>
        <v>0</v>
      </c>
      <c r="I437" s="221">
        <f>IFERROR(IF(AND(MIN(A437&gt;15,A437+Age&gt;=70),C437=1),VLOOKUP(A437,Output!$A$27:$AF$137,32,FALSE)*VLOOKUP('SV calc_ignore'!A437,Output!$A$27:$AG$137,33,FALSE)/IF(AnnuityMode=2,2,IF(AnnuityMode=4,4,IF(AnnuityMode=12,12,1))),0),0)</f>
        <v>0</v>
      </c>
      <c r="J437" s="227">
        <f t="shared" si="74"/>
        <v>0</v>
      </c>
      <c r="K437" s="213">
        <f t="shared" si="80"/>
        <v>0</v>
      </c>
      <c r="L437" s="209">
        <f t="shared" si="75"/>
        <v>0</v>
      </c>
      <c r="M437" s="214">
        <f t="shared" si="72"/>
        <v>0</v>
      </c>
      <c r="N437" s="211">
        <f t="shared" si="81"/>
        <v>0</v>
      </c>
      <c r="O437" s="194">
        <f t="shared" si="82"/>
        <v>0</v>
      </c>
      <c r="P437" s="212">
        <f t="shared" si="76"/>
        <v>0</v>
      </c>
      <c r="Q437">
        <f t="shared" si="77"/>
        <v>0</v>
      </c>
      <c r="X437" s="216">
        <f t="shared" si="83"/>
        <v>35</v>
      </c>
      <c r="Y437">
        <f t="shared" si="78"/>
        <v>0</v>
      </c>
    </row>
    <row r="438" spans="1:25" ht="13.5" thickBot="1" x14ac:dyDescent="0.25">
      <c r="A438" s="204">
        <f>IF(MOD(COUNT($A$10:A437),12)=0,A437+1,A437)</f>
        <v>36</v>
      </c>
      <c r="B438" s="218">
        <f t="shared" si="79"/>
        <v>9</v>
      </c>
      <c r="C438" s="218">
        <f t="shared" si="73"/>
        <v>1</v>
      </c>
      <c r="D438" s="208">
        <f>IF(MOD(COUNT($D$10:D437),6)=0,D437+1,D437)</f>
        <v>72</v>
      </c>
      <c r="E438" s="208">
        <f>IF(MOD(COUNT($E$10:E437),3)=0,E437+1,E437)</f>
        <v>143</v>
      </c>
      <c r="F438" s="208">
        <f>IF(MOD(COUNT($F$10:F437),1)=0,F437+1,F437)</f>
        <v>429</v>
      </c>
      <c r="G438" s="204">
        <f>IFERROR(IF(C438=1,VLOOKUP(A438,Output!$A$27:$AB$137,28,FALSE)/AnnuityMode,0),0)</f>
        <v>0</v>
      </c>
      <c r="H438" s="220">
        <f>IFERROR(IF(AND(MIN(A438&gt;25,Age+A438&gt;=85),B438=12),VLOOKUP(A438,Output!$A$27:$AE$137,31,FALSE),0),0)</f>
        <v>0</v>
      </c>
      <c r="I438" s="221">
        <f>IFERROR(IF(AND(MIN(A438&gt;15,A438+Age&gt;=70),C438=1),VLOOKUP(A438,Output!$A$27:$AF$137,32,FALSE)*VLOOKUP('SV calc_ignore'!A438,Output!$A$27:$AG$137,33,FALSE)/IF(AnnuityMode=2,2,IF(AnnuityMode=4,4,IF(AnnuityMode=12,12,1))),0),0)</f>
        <v>0</v>
      </c>
      <c r="J438" s="227">
        <f t="shared" si="74"/>
        <v>0</v>
      </c>
      <c r="K438" s="213">
        <f t="shared" si="80"/>
        <v>0</v>
      </c>
      <c r="L438" s="209">
        <f t="shared" si="75"/>
        <v>0</v>
      </c>
      <c r="M438" s="214">
        <f t="shared" si="72"/>
        <v>0</v>
      </c>
      <c r="N438" s="211">
        <f t="shared" si="81"/>
        <v>0</v>
      </c>
      <c r="O438" s="194">
        <f t="shared" si="82"/>
        <v>0</v>
      </c>
      <c r="P438" s="212">
        <f t="shared" si="76"/>
        <v>0</v>
      </c>
      <c r="Q438">
        <f t="shared" si="77"/>
        <v>0</v>
      </c>
      <c r="X438" s="216">
        <f t="shared" si="83"/>
        <v>35</v>
      </c>
      <c r="Y438">
        <f t="shared" si="78"/>
        <v>0</v>
      </c>
    </row>
    <row r="439" spans="1:25" ht="13.5" thickBot="1" x14ac:dyDescent="0.25">
      <c r="A439" s="204">
        <f>IF(MOD(COUNT($A$10:A438),12)=0,A438+1,A438)</f>
        <v>36</v>
      </c>
      <c r="B439" s="218">
        <f t="shared" si="79"/>
        <v>10</v>
      </c>
      <c r="C439" s="218">
        <f t="shared" si="73"/>
        <v>1</v>
      </c>
      <c r="D439" s="208">
        <f>IF(MOD(COUNT($D$10:D438),6)=0,D438+1,D438)</f>
        <v>72</v>
      </c>
      <c r="E439" s="208">
        <f>IF(MOD(COUNT($E$10:E438),3)=0,E438+1,E438)</f>
        <v>144</v>
      </c>
      <c r="F439" s="208">
        <f>IF(MOD(COUNT($F$10:F438),1)=0,F438+1,F438)</f>
        <v>430</v>
      </c>
      <c r="G439" s="204">
        <f>IFERROR(IF(C439=1,VLOOKUP(A439,Output!$A$27:$AB$137,28,FALSE)/AnnuityMode,0),0)</f>
        <v>0</v>
      </c>
      <c r="H439" s="220">
        <f>IFERROR(IF(AND(MIN(A439&gt;25,Age+A439&gt;=85),B439=12),VLOOKUP(A439,Output!$A$27:$AE$137,31,FALSE),0),0)</f>
        <v>0</v>
      </c>
      <c r="I439" s="221">
        <f>IFERROR(IF(AND(MIN(A439&gt;15,A439+Age&gt;=70),C439=1),VLOOKUP(A439,Output!$A$27:$AF$137,32,FALSE)*VLOOKUP('SV calc_ignore'!A439,Output!$A$27:$AG$137,33,FALSE)/IF(AnnuityMode=2,2,IF(AnnuityMode=4,4,IF(AnnuityMode=12,12,1))),0),0)</f>
        <v>0</v>
      </c>
      <c r="J439" s="227">
        <f t="shared" si="74"/>
        <v>0</v>
      </c>
      <c r="K439" s="213">
        <f t="shared" si="80"/>
        <v>0</v>
      </c>
      <c r="L439" s="209">
        <f t="shared" si="75"/>
        <v>0</v>
      </c>
      <c r="M439" s="214">
        <f t="shared" si="72"/>
        <v>0</v>
      </c>
      <c r="N439" s="211">
        <f t="shared" si="81"/>
        <v>0</v>
      </c>
      <c r="O439" s="194">
        <f t="shared" si="82"/>
        <v>0</v>
      </c>
      <c r="P439" s="212">
        <f t="shared" si="76"/>
        <v>0</v>
      </c>
      <c r="Q439">
        <f t="shared" si="77"/>
        <v>0</v>
      </c>
      <c r="X439" s="216">
        <f t="shared" si="83"/>
        <v>35</v>
      </c>
      <c r="Y439">
        <f t="shared" si="78"/>
        <v>0</v>
      </c>
    </row>
    <row r="440" spans="1:25" ht="13.5" thickBot="1" x14ac:dyDescent="0.25">
      <c r="A440" s="204">
        <f>IF(MOD(COUNT($A$10:A439),12)=0,A439+1,A439)</f>
        <v>36</v>
      </c>
      <c r="B440" s="218">
        <f t="shared" si="79"/>
        <v>11</v>
      </c>
      <c r="C440" s="218">
        <f t="shared" si="73"/>
        <v>1</v>
      </c>
      <c r="D440" s="208">
        <f>IF(MOD(COUNT($D$10:D439),6)=0,D439+1,D439)</f>
        <v>72</v>
      </c>
      <c r="E440" s="208">
        <f>IF(MOD(COUNT($E$10:E439),3)=0,E439+1,E439)</f>
        <v>144</v>
      </c>
      <c r="F440" s="208">
        <f>IF(MOD(COUNT($F$10:F439),1)=0,F439+1,F439)</f>
        <v>431</v>
      </c>
      <c r="G440" s="204">
        <f>IFERROR(IF(C440=1,VLOOKUP(A440,Output!$A$27:$AB$137,28,FALSE)/AnnuityMode,0),0)</f>
        <v>0</v>
      </c>
      <c r="H440" s="220">
        <f>IFERROR(IF(AND(MIN(A440&gt;25,Age+A440&gt;=85),B440=12),VLOOKUP(A440,Output!$A$27:$AE$137,31,FALSE),0),0)</f>
        <v>0</v>
      </c>
      <c r="I440" s="221">
        <f>IFERROR(IF(AND(MIN(A440&gt;15,A440+Age&gt;=70),C440=1),VLOOKUP(A440,Output!$A$27:$AF$137,32,FALSE)*VLOOKUP('SV calc_ignore'!A440,Output!$A$27:$AG$137,33,FALSE)/IF(AnnuityMode=2,2,IF(AnnuityMode=4,4,IF(AnnuityMode=12,12,1))),0),0)</f>
        <v>0</v>
      </c>
      <c r="J440" s="227">
        <f t="shared" si="74"/>
        <v>0</v>
      </c>
      <c r="K440" s="213">
        <f t="shared" si="80"/>
        <v>0</v>
      </c>
      <c r="L440" s="209">
        <f t="shared" si="75"/>
        <v>0</v>
      </c>
      <c r="M440" s="214">
        <f t="shared" si="72"/>
        <v>0</v>
      </c>
      <c r="N440" s="211">
        <f t="shared" si="81"/>
        <v>0</v>
      </c>
      <c r="O440" s="194">
        <f t="shared" si="82"/>
        <v>0</v>
      </c>
      <c r="P440" s="212">
        <f t="shared" si="76"/>
        <v>0</v>
      </c>
      <c r="Q440">
        <f t="shared" si="77"/>
        <v>0</v>
      </c>
      <c r="X440" s="216">
        <f t="shared" si="83"/>
        <v>35</v>
      </c>
      <c r="Y440">
        <f t="shared" si="78"/>
        <v>0</v>
      </c>
    </row>
    <row r="441" spans="1:25" ht="13.5" thickBot="1" x14ac:dyDescent="0.25">
      <c r="A441" s="204">
        <f>IF(MOD(COUNT($A$10:A440),12)=0,A440+1,A440)</f>
        <v>36</v>
      </c>
      <c r="B441" s="218">
        <f t="shared" si="79"/>
        <v>12</v>
      </c>
      <c r="C441" s="218">
        <f t="shared" si="73"/>
        <v>1</v>
      </c>
      <c r="D441" s="208">
        <f>IF(MOD(COUNT($D$10:D440),6)=0,D440+1,D440)</f>
        <v>72</v>
      </c>
      <c r="E441" s="208">
        <f>IF(MOD(COUNT($E$10:E440),3)=0,E440+1,E440)</f>
        <v>144</v>
      </c>
      <c r="F441" s="208">
        <f>IF(MOD(COUNT($F$10:F440),1)=0,F440+1,F440)</f>
        <v>432</v>
      </c>
      <c r="G441" s="204">
        <f>IFERROR(IF(C441=1,VLOOKUP(A441,Output!$A$27:$AB$137,28,FALSE)/AnnuityMode,0),0)</f>
        <v>0</v>
      </c>
      <c r="H441" s="220">
        <f>IFERROR(IF(AND(MIN(A441&gt;25,Age+A441&gt;=85),B441=12),VLOOKUP(A441,Output!$A$27:$AE$137,31,FALSE),0),0)</f>
        <v>0</v>
      </c>
      <c r="I441" s="221">
        <f>IFERROR(IF(AND(MIN(A441&gt;15,A441+Age&gt;=70),C441=1),VLOOKUP(A441,Output!$A$27:$AF$137,32,FALSE)*VLOOKUP('SV calc_ignore'!A441,Output!$A$27:$AG$137,33,FALSE)/IF(AnnuityMode=2,2,IF(AnnuityMode=4,4,IF(AnnuityMode=12,12,1))),0),0)</f>
        <v>0</v>
      </c>
      <c r="J441" s="227">
        <f t="shared" si="74"/>
        <v>0</v>
      </c>
      <c r="K441" s="213">
        <f t="shared" si="80"/>
        <v>0</v>
      </c>
      <c r="L441" s="209">
        <f t="shared" si="75"/>
        <v>0</v>
      </c>
      <c r="M441" s="214">
        <f t="shared" si="72"/>
        <v>0</v>
      </c>
      <c r="N441" s="211">
        <f t="shared" si="81"/>
        <v>0</v>
      </c>
      <c r="O441" s="194">
        <f t="shared" si="82"/>
        <v>0</v>
      </c>
      <c r="P441" s="212">
        <f t="shared" si="76"/>
        <v>0</v>
      </c>
      <c r="Q441">
        <f t="shared" si="77"/>
        <v>0</v>
      </c>
      <c r="X441" s="216">
        <f t="shared" si="83"/>
        <v>35</v>
      </c>
      <c r="Y441">
        <f t="shared" si="78"/>
        <v>0</v>
      </c>
    </row>
    <row r="442" spans="1:25" ht="13.5" thickBot="1" x14ac:dyDescent="0.25">
      <c r="A442" s="204">
        <f>IF(MOD(COUNT($A$10:A441),12)=0,A441+1,A441)</f>
        <v>37</v>
      </c>
      <c r="B442" s="218">
        <f t="shared" si="79"/>
        <v>1</v>
      </c>
      <c r="C442" s="218">
        <f t="shared" si="73"/>
        <v>1</v>
      </c>
      <c r="D442" s="208">
        <f>IF(MOD(COUNT($D$10:D441),6)=0,D441+1,D441)</f>
        <v>73</v>
      </c>
      <c r="E442" s="208">
        <f>IF(MOD(COUNT($E$10:E441),3)=0,E441+1,E441)</f>
        <v>145</v>
      </c>
      <c r="F442" s="208">
        <f>IF(MOD(COUNT($F$10:F441),1)=0,F441+1,F441)</f>
        <v>433</v>
      </c>
      <c r="G442" s="204">
        <f>IFERROR(IF(C442=1,VLOOKUP(A442,Output!$A$27:$AB$137,28,FALSE)/AnnuityMode,0),0)</f>
        <v>0</v>
      </c>
      <c r="H442" s="220">
        <f>IFERROR(IF(AND(MIN(A442&gt;25,Age+A442&gt;=85),B442=12),VLOOKUP(A442,Output!$A$27:$AE$137,31,FALSE),0),0)</f>
        <v>0</v>
      </c>
      <c r="I442" s="221">
        <f>IFERROR(IF(AND(MIN(A442&gt;15,A442+Age&gt;=70),C442=1),VLOOKUP(A442,Output!$A$27:$AF$137,32,FALSE)*VLOOKUP('SV calc_ignore'!A442,Output!$A$27:$AG$137,33,FALSE)/IF(AnnuityMode=2,2,IF(AnnuityMode=4,4,IF(AnnuityMode=12,12,1))),0),0)</f>
        <v>0</v>
      </c>
      <c r="J442" s="227">
        <f t="shared" si="74"/>
        <v>0</v>
      </c>
      <c r="K442" s="213">
        <f t="shared" si="80"/>
        <v>0</v>
      </c>
      <c r="L442" s="209">
        <f t="shared" si="75"/>
        <v>0</v>
      </c>
      <c r="M442" s="214">
        <f t="shared" si="72"/>
        <v>0</v>
      </c>
      <c r="N442" s="211">
        <f t="shared" si="81"/>
        <v>0</v>
      </c>
      <c r="O442" s="194">
        <f t="shared" si="82"/>
        <v>0</v>
      </c>
      <c r="P442" s="212">
        <f t="shared" si="76"/>
        <v>0</v>
      </c>
      <c r="Q442">
        <f t="shared" si="77"/>
        <v>0</v>
      </c>
      <c r="X442" s="216">
        <f t="shared" si="83"/>
        <v>36</v>
      </c>
      <c r="Y442">
        <f t="shared" si="78"/>
        <v>0</v>
      </c>
    </row>
    <row r="443" spans="1:25" ht="13.5" thickBot="1" x14ac:dyDescent="0.25">
      <c r="A443" s="204">
        <f>IF(MOD(COUNT($A$10:A442),12)=0,A442+1,A442)</f>
        <v>37</v>
      </c>
      <c r="B443" s="218">
        <f t="shared" si="79"/>
        <v>2</v>
      </c>
      <c r="C443" s="218">
        <f t="shared" si="73"/>
        <v>1</v>
      </c>
      <c r="D443" s="208">
        <f>IF(MOD(COUNT($D$10:D442),6)=0,D442+1,D442)</f>
        <v>73</v>
      </c>
      <c r="E443" s="208">
        <f>IF(MOD(COUNT($E$10:E442),3)=0,E442+1,E442)</f>
        <v>145</v>
      </c>
      <c r="F443" s="208">
        <f>IF(MOD(COUNT($F$10:F442),1)=0,F442+1,F442)</f>
        <v>434</v>
      </c>
      <c r="G443" s="204">
        <f>IFERROR(IF(C443=1,VLOOKUP(A443,Output!$A$27:$AB$137,28,FALSE)/AnnuityMode,0),0)</f>
        <v>0</v>
      </c>
      <c r="H443" s="220">
        <f>IFERROR(IF(AND(MIN(A443&gt;25,Age+A443&gt;=85),B443=12),VLOOKUP(A443,Output!$A$27:$AE$137,31,FALSE),0),0)</f>
        <v>0</v>
      </c>
      <c r="I443" s="221">
        <f>IFERROR(IF(AND(MIN(A443&gt;15,A443+Age&gt;=70),C443=1),VLOOKUP(A443,Output!$A$27:$AF$137,32,FALSE)*VLOOKUP('SV calc_ignore'!A443,Output!$A$27:$AG$137,33,FALSE)/IF(AnnuityMode=2,2,IF(AnnuityMode=4,4,IF(AnnuityMode=12,12,1))),0),0)</f>
        <v>0</v>
      </c>
      <c r="J443" s="227">
        <f t="shared" si="74"/>
        <v>0</v>
      </c>
      <c r="K443" s="213">
        <f t="shared" si="80"/>
        <v>0</v>
      </c>
      <c r="L443" s="209">
        <f t="shared" si="75"/>
        <v>0</v>
      </c>
      <c r="M443" s="214">
        <f t="shared" si="72"/>
        <v>0</v>
      </c>
      <c r="N443" s="211">
        <f t="shared" si="81"/>
        <v>0</v>
      </c>
      <c r="O443" s="194">
        <f t="shared" si="82"/>
        <v>0</v>
      </c>
      <c r="P443" s="212">
        <f t="shared" si="76"/>
        <v>0</v>
      </c>
      <c r="Q443">
        <f t="shared" si="77"/>
        <v>0</v>
      </c>
      <c r="X443" s="216">
        <f t="shared" si="83"/>
        <v>36</v>
      </c>
      <c r="Y443">
        <f t="shared" si="78"/>
        <v>0</v>
      </c>
    </row>
    <row r="444" spans="1:25" ht="13.5" thickBot="1" x14ac:dyDescent="0.25">
      <c r="A444" s="204">
        <f>IF(MOD(COUNT($A$10:A443),12)=0,A443+1,A443)</f>
        <v>37</v>
      </c>
      <c r="B444" s="218">
        <f t="shared" si="79"/>
        <v>3</v>
      </c>
      <c r="C444" s="218">
        <f t="shared" si="73"/>
        <v>1</v>
      </c>
      <c r="D444" s="208">
        <f>IF(MOD(COUNT($D$10:D443),6)=0,D443+1,D443)</f>
        <v>73</v>
      </c>
      <c r="E444" s="208">
        <f>IF(MOD(COUNT($E$10:E443),3)=0,E443+1,E443)</f>
        <v>145</v>
      </c>
      <c r="F444" s="208">
        <f>IF(MOD(COUNT($F$10:F443),1)=0,F443+1,F443)</f>
        <v>435</v>
      </c>
      <c r="G444" s="204">
        <f>IFERROR(IF(C444=1,VLOOKUP(A444,Output!$A$27:$AB$137,28,FALSE)/AnnuityMode,0),0)</f>
        <v>0</v>
      </c>
      <c r="H444" s="220">
        <f>IFERROR(IF(AND(MIN(A444&gt;25,Age+A444&gt;=85),B444=12),VLOOKUP(A444,Output!$A$27:$AE$137,31,FALSE),0),0)</f>
        <v>0</v>
      </c>
      <c r="I444" s="221">
        <f>IFERROR(IF(AND(MIN(A444&gt;15,A444+Age&gt;=70),C444=1),VLOOKUP(A444,Output!$A$27:$AF$137,32,FALSE)*VLOOKUP('SV calc_ignore'!A444,Output!$A$27:$AG$137,33,FALSE)/IF(AnnuityMode=2,2,IF(AnnuityMode=4,4,IF(AnnuityMode=12,12,1))),0),0)</f>
        <v>0</v>
      </c>
      <c r="J444" s="227">
        <f t="shared" si="74"/>
        <v>0</v>
      </c>
      <c r="K444" s="213">
        <f t="shared" si="80"/>
        <v>0</v>
      </c>
      <c r="L444" s="209">
        <f t="shared" si="75"/>
        <v>0</v>
      </c>
      <c r="M444" s="214">
        <f t="shared" si="72"/>
        <v>0</v>
      </c>
      <c r="N444" s="211">
        <f t="shared" si="81"/>
        <v>0</v>
      </c>
      <c r="O444" s="194">
        <f t="shared" si="82"/>
        <v>0</v>
      </c>
      <c r="P444" s="212">
        <f t="shared" si="76"/>
        <v>0</v>
      </c>
      <c r="Q444">
        <f t="shared" si="77"/>
        <v>0</v>
      </c>
      <c r="X444" s="216">
        <f t="shared" si="83"/>
        <v>36</v>
      </c>
      <c r="Y444">
        <f t="shared" si="78"/>
        <v>0</v>
      </c>
    </row>
    <row r="445" spans="1:25" ht="13.5" thickBot="1" x14ac:dyDescent="0.25">
      <c r="A445" s="204">
        <f>IF(MOD(COUNT($A$10:A444),12)=0,A444+1,A444)</f>
        <v>37</v>
      </c>
      <c r="B445" s="218">
        <f t="shared" si="79"/>
        <v>4</v>
      </c>
      <c r="C445" s="218">
        <f t="shared" si="73"/>
        <v>1</v>
      </c>
      <c r="D445" s="208">
        <f>IF(MOD(COUNT($D$10:D444),6)=0,D444+1,D444)</f>
        <v>73</v>
      </c>
      <c r="E445" s="208">
        <f>IF(MOD(COUNT($E$10:E444),3)=0,E444+1,E444)</f>
        <v>146</v>
      </c>
      <c r="F445" s="208">
        <f>IF(MOD(COUNT($F$10:F444),1)=0,F444+1,F444)</f>
        <v>436</v>
      </c>
      <c r="G445" s="204">
        <f>IFERROR(IF(C445=1,VLOOKUP(A445,Output!$A$27:$AB$137,28,FALSE)/AnnuityMode,0),0)</f>
        <v>0</v>
      </c>
      <c r="H445" s="220">
        <f>IFERROR(IF(AND(MIN(A445&gt;25,Age+A445&gt;=85),B445=12),VLOOKUP(A445,Output!$A$27:$AE$137,31,FALSE),0),0)</f>
        <v>0</v>
      </c>
      <c r="I445" s="221">
        <f>IFERROR(IF(AND(MIN(A445&gt;15,A445+Age&gt;=70),C445=1),VLOOKUP(A445,Output!$A$27:$AF$137,32,FALSE)*VLOOKUP('SV calc_ignore'!A445,Output!$A$27:$AG$137,33,FALSE)/IF(AnnuityMode=2,2,IF(AnnuityMode=4,4,IF(AnnuityMode=12,12,1))),0),0)</f>
        <v>0</v>
      </c>
      <c r="J445" s="227">
        <f t="shared" si="74"/>
        <v>0</v>
      </c>
      <c r="K445" s="213">
        <f t="shared" si="80"/>
        <v>0</v>
      </c>
      <c r="L445" s="209">
        <f t="shared" si="75"/>
        <v>0</v>
      </c>
      <c r="M445" s="214">
        <f t="shared" si="72"/>
        <v>0</v>
      </c>
      <c r="N445" s="211">
        <f t="shared" si="81"/>
        <v>0</v>
      </c>
      <c r="O445" s="194">
        <f t="shared" si="82"/>
        <v>0</v>
      </c>
      <c r="P445" s="212">
        <f t="shared" si="76"/>
        <v>0</v>
      </c>
      <c r="Q445">
        <f t="shared" si="77"/>
        <v>0</v>
      </c>
      <c r="X445" s="216">
        <f t="shared" si="83"/>
        <v>36</v>
      </c>
      <c r="Y445">
        <f t="shared" si="78"/>
        <v>0</v>
      </c>
    </row>
    <row r="446" spans="1:25" ht="13.5" thickBot="1" x14ac:dyDescent="0.25">
      <c r="A446" s="204">
        <f>IF(MOD(COUNT($A$10:A445),12)=0,A445+1,A445)</f>
        <v>37</v>
      </c>
      <c r="B446" s="218">
        <f t="shared" si="79"/>
        <v>5</v>
      </c>
      <c r="C446" s="218">
        <f t="shared" si="73"/>
        <v>1</v>
      </c>
      <c r="D446" s="208">
        <f>IF(MOD(COUNT($D$10:D445),6)=0,D445+1,D445)</f>
        <v>73</v>
      </c>
      <c r="E446" s="208">
        <f>IF(MOD(COUNT($E$10:E445),3)=0,E445+1,E445)</f>
        <v>146</v>
      </c>
      <c r="F446" s="208">
        <f>IF(MOD(COUNT($F$10:F445),1)=0,F445+1,F445)</f>
        <v>437</v>
      </c>
      <c r="G446" s="204">
        <f>IFERROR(IF(C446=1,VLOOKUP(A446,Output!$A$27:$AB$137,28,FALSE)/AnnuityMode,0),0)</f>
        <v>0</v>
      </c>
      <c r="H446" s="220">
        <f>IFERROR(IF(AND(MIN(A446&gt;25,Age+A446&gt;=85),B446=12),VLOOKUP(A446,Output!$A$27:$AE$137,31,FALSE),0),0)</f>
        <v>0</v>
      </c>
      <c r="I446" s="221">
        <f>IFERROR(IF(AND(MIN(A446&gt;15,A446+Age&gt;=70),C446=1),VLOOKUP(A446,Output!$A$27:$AF$137,32,FALSE)*VLOOKUP('SV calc_ignore'!A446,Output!$A$27:$AG$137,33,FALSE)/IF(AnnuityMode=2,2,IF(AnnuityMode=4,4,IF(AnnuityMode=12,12,1))),0),0)</f>
        <v>0</v>
      </c>
      <c r="J446" s="227">
        <f t="shared" si="74"/>
        <v>0</v>
      </c>
      <c r="K446" s="213">
        <f t="shared" si="80"/>
        <v>0</v>
      </c>
      <c r="L446" s="209">
        <f t="shared" si="75"/>
        <v>0</v>
      </c>
      <c r="M446" s="214">
        <f t="shared" ref="M446:M509" si="84">L445*(1+$K$3)</f>
        <v>0</v>
      </c>
      <c r="N446" s="211">
        <f t="shared" si="81"/>
        <v>0</v>
      </c>
      <c r="O446" s="194">
        <f t="shared" si="82"/>
        <v>0</v>
      </c>
      <c r="P446" s="212">
        <f t="shared" si="76"/>
        <v>0</v>
      </c>
      <c r="Q446">
        <f t="shared" si="77"/>
        <v>0</v>
      </c>
      <c r="X446" s="216">
        <f t="shared" si="83"/>
        <v>36</v>
      </c>
      <c r="Y446">
        <f t="shared" si="78"/>
        <v>0</v>
      </c>
    </row>
    <row r="447" spans="1:25" ht="13.5" thickBot="1" x14ac:dyDescent="0.25">
      <c r="A447" s="204">
        <f>IF(MOD(COUNT($A$10:A446),12)=0,A446+1,A446)</f>
        <v>37</v>
      </c>
      <c r="B447" s="218">
        <f t="shared" si="79"/>
        <v>6</v>
      </c>
      <c r="C447" s="218">
        <f t="shared" si="73"/>
        <v>1</v>
      </c>
      <c r="D447" s="208">
        <f>IF(MOD(COUNT($D$10:D446),6)=0,D446+1,D446)</f>
        <v>73</v>
      </c>
      <c r="E447" s="208">
        <f>IF(MOD(COUNT($E$10:E446),3)=0,E446+1,E446)</f>
        <v>146</v>
      </c>
      <c r="F447" s="208">
        <f>IF(MOD(COUNT($F$10:F446),1)=0,F446+1,F446)</f>
        <v>438</v>
      </c>
      <c r="G447" s="204">
        <f>IFERROR(IF(C447=1,VLOOKUP(A447,Output!$A$27:$AB$137,28,FALSE)/AnnuityMode,0),0)</f>
        <v>0</v>
      </c>
      <c r="H447" s="220">
        <f>IFERROR(IF(AND(MIN(A447&gt;25,Age+A447&gt;=85),B447=12),VLOOKUP(A447,Output!$A$27:$AE$137,31,FALSE),0),0)</f>
        <v>0</v>
      </c>
      <c r="I447" s="221">
        <f>IFERROR(IF(AND(MIN(A447&gt;15,A447+Age&gt;=70),C447=1),VLOOKUP(A447,Output!$A$27:$AF$137,32,FALSE)*VLOOKUP('SV calc_ignore'!A447,Output!$A$27:$AG$137,33,FALSE)/IF(AnnuityMode=2,2,IF(AnnuityMode=4,4,IF(AnnuityMode=12,12,1))),0),0)</f>
        <v>0</v>
      </c>
      <c r="J447" s="227">
        <f t="shared" si="74"/>
        <v>0</v>
      </c>
      <c r="K447" s="213">
        <f t="shared" si="80"/>
        <v>0</v>
      </c>
      <c r="L447" s="209">
        <f t="shared" si="75"/>
        <v>0</v>
      </c>
      <c r="M447" s="214">
        <f t="shared" si="84"/>
        <v>0</v>
      </c>
      <c r="N447" s="211">
        <f t="shared" si="81"/>
        <v>0</v>
      </c>
      <c r="O447" s="194">
        <f t="shared" si="82"/>
        <v>0</v>
      </c>
      <c r="P447" s="212">
        <f t="shared" si="76"/>
        <v>0</v>
      </c>
      <c r="Q447">
        <f t="shared" si="77"/>
        <v>0</v>
      </c>
      <c r="X447" s="216">
        <f t="shared" si="83"/>
        <v>36</v>
      </c>
      <c r="Y447">
        <f t="shared" si="78"/>
        <v>0</v>
      </c>
    </row>
    <row r="448" spans="1:25" ht="13.5" thickBot="1" x14ac:dyDescent="0.25">
      <c r="A448" s="204">
        <f>IF(MOD(COUNT($A$10:A447),12)=0,A447+1,A447)</f>
        <v>37</v>
      </c>
      <c r="B448" s="218">
        <f t="shared" si="79"/>
        <v>7</v>
      </c>
      <c r="C448" s="218">
        <f t="shared" si="73"/>
        <v>1</v>
      </c>
      <c r="D448" s="208">
        <f>IF(MOD(COUNT($D$10:D447),6)=0,D447+1,D447)</f>
        <v>74</v>
      </c>
      <c r="E448" s="208">
        <f>IF(MOD(COUNT($E$10:E447),3)=0,E447+1,E447)</f>
        <v>147</v>
      </c>
      <c r="F448" s="208">
        <f>IF(MOD(COUNT($F$10:F447),1)=0,F447+1,F447)</f>
        <v>439</v>
      </c>
      <c r="G448" s="204">
        <f>IFERROR(IF(C448=1,VLOOKUP(A448,Output!$A$27:$AB$137,28,FALSE)/AnnuityMode,0),0)</f>
        <v>0</v>
      </c>
      <c r="H448" s="220">
        <f>IFERROR(IF(AND(MIN(A448&gt;25,Age+A448&gt;=85),B448=12),VLOOKUP(A448,Output!$A$27:$AE$137,31,FALSE),0),0)</f>
        <v>0</v>
      </c>
      <c r="I448" s="221">
        <f>IFERROR(IF(AND(MIN(A448&gt;15,A448+Age&gt;=70),C448=1),VLOOKUP(A448,Output!$A$27:$AF$137,32,FALSE)*VLOOKUP('SV calc_ignore'!A448,Output!$A$27:$AG$137,33,FALSE)/IF(AnnuityMode=2,2,IF(AnnuityMode=4,4,IF(AnnuityMode=12,12,1))),0),0)</f>
        <v>0</v>
      </c>
      <c r="J448" s="227">
        <f t="shared" si="74"/>
        <v>0</v>
      </c>
      <c r="K448" s="213">
        <f t="shared" si="80"/>
        <v>0</v>
      </c>
      <c r="L448" s="209">
        <f t="shared" si="75"/>
        <v>0</v>
      </c>
      <c r="M448" s="214">
        <f t="shared" si="84"/>
        <v>0</v>
      </c>
      <c r="N448" s="211">
        <f t="shared" si="81"/>
        <v>0</v>
      </c>
      <c r="O448" s="194">
        <f t="shared" si="82"/>
        <v>0</v>
      </c>
      <c r="P448" s="212">
        <f t="shared" si="76"/>
        <v>0</v>
      </c>
      <c r="Q448">
        <f t="shared" si="77"/>
        <v>0</v>
      </c>
      <c r="X448" s="216">
        <f t="shared" si="83"/>
        <v>36</v>
      </c>
      <c r="Y448">
        <f t="shared" si="78"/>
        <v>0</v>
      </c>
    </row>
    <row r="449" spans="1:25" ht="13.5" thickBot="1" x14ac:dyDescent="0.25">
      <c r="A449" s="204">
        <f>IF(MOD(COUNT($A$10:A448),12)=0,A448+1,A448)</f>
        <v>37</v>
      </c>
      <c r="B449" s="218">
        <f t="shared" si="79"/>
        <v>8</v>
      </c>
      <c r="C449" s="218">
        <f t="shared" si="73"/>
        <v>1</v>
      </c>
      <c r="D449" s="208">
        <f>IF(MOD(COUNT($D$10:D448),6)=0,D448+1,D448)</f>
        <v>74</v>
      </c>
      <c r="E449" s="208">
        <f>IF(MOD(COUNT($E$10:E448),3)=0,E448+1,E448)</f>
        <v>147</v>
      </c>
      <c r="F449" s="208">
        <f>IF(MOD(COUNT($F$10:F448),1)=0,F448+1,F448)</f>
        <v>440</v>
      </c>
      <c r="G449" s="204">
        <f>IFERROR(IF(C449=1,VLOOKUP(A449,Output!$A$27:$AB$137,28,FALSE)/AnnuityMode,0),0)</f>
        <v>0</v>
      </c>
      <c r="H449" s="220">
        <f>IFERROR(IF(AND(MIN(A449&gt;25,Age+A449&gt;=85),B449=12),VLOOKUP(A449,Output!$A$27:$AE$137,31,FALSE),0),0)</f>
        <v>0</v>
      </c>
      <c r="I449" s="221">
        <f>IFERROR(IF(AND(MIN(A449&gt;15,A449+Age&gt;=70),C449=1),VLOOKUP(A449,Output!$A$27:$AF$137,32,FALSE)*VLOOKUP('SV calc_ignore'!A449,Output!$A$27:$AG$137,33,FALSE)/IF(AnnuityMode=2,2,IF(AnnuityMode=4,4,IF(AnnuityMode=12,12,1))),0),0)</f>
        <v>0</v>
      </c>
      <c r="J449" s="227">
        <f t="shared" si="74"/>
        <v>0</v>
      </c>
      <c r="K449" s="213">
        <f t="shared" si="80"/>
        <v>0</v>
      </c>
      <c r="L449" s="209">
        <f t="shared" si="75"/>
        <v>0</v>
      </c>
      <c r="M449" s="214">
        <f t="shared" si="84"/>
        <v>0</v>
      </c>
      <c r="N449" s="211">
        <f t="shared" si="81"/>
        <v>0</v>
      </c>
      <c r="O449" s="194">
        <f t="shared" si="82"/>
        <v>0</v>
      </c>
      <c r="P449" s="212">
        <f t="shared" si="76"/>
        <v>0</v>
      </c>
      <c r="Q449">
        <f t="shared" si="77"/>
        <v>0</v>
      </c>
      <c r="X449" s="216">
        <f t="shared" si="83"/>
        <v>36</v>
      </c>
      <c r="Y449">
        <f t="shared" si="78"/>
        <v>0</v>
      </c>
    </row>
    <row r="450" spans="1:25" ht="13.5" thickBot="1" x14ac:dyDescent="0.25">
      <c r="A450" s="204">
        <f>IF(MOD(COUNT($A$10:A449),12)=0,A449+1,A449)</f>
        <v>37</v>
      </c>
      <c r="B450" s="218">
        <f t="shared" si="79"/>
        <v>9</v>
      </c>
      <c r="C450" s="218">
        <f t="shared" si="73"/>
        <v>1</v>
      </c>
      <c r="D450" s="208">
        <f>IF(MOD(COUNT($D$10:D449),6)=0,D449+1,D449)</f>
        <v>74</v>
      </c>
      <c r="E450" s="208">
        <f>IF(MOD(COUNT($E$10:E449),3)=0,E449+1,E449)</f>
        <v>147</v>
      </c>
      <c r="F450" s="208">
        <f>IF(MOD(COUNT($F$10:F449),1)=0,F449+1,F449)</f>
        <v>441</v>
      </c>
      <c r="G450" s="204">
        <f>IFERROR(IF(C450=1,VLOOKUP(A450,Output!$A$27:$AB$137,28,FALSE)/AnnuityMode,0),0)</f>
        <v>0</v>
      </c>
      <c r="H450" s="220">
        <f>IFERROR(IF(AND(MIN(A450&gt;25,Age+A450&gt;=85),B450=12),VLOOKUP(A450,Output!$A$27:$AE$137,31,FALSE),0),0)</f>
        <v>0</v>
      </c>
      <c r="I450" s="221">
        <f>IFERROR(IF(AND(MIN(A450&gt;15,A450+Age&gt;=70),C450=1),VLOOKUP(A450,Output!$A$27:$AF$137,32,FALSE)*VLOOKUP('SV calc_ignore'!A450,Output!$A$27:$AG$137,33,FALSE)/IF(AnnuityMode=2,2,IF(AnnuityMode=4,4,IF(AnnuityMode=12,12,1))),0),0)</f>
        <v>0</v>
      </c>
      <c r="J450" s="227">
        <f t="shared" si="74"/>
        <v>0</v>
      </c>
      <c r="K450" s="213">
        <f t="shared" si="80"/>
        <v>0</v>
      </c>
      <c r="L450" s="209">
        <f t="shared" si="75"/>
        <v>0</v>
      </c>
      <c r="M450" s="214">
        <f t="shared" si="84"/>
        <v>0</v>
      </c>
      <c r="N450" s="211">
        <f t="shared" si="81"/>
        <v>0</v>
      </c>
      <c r="O450" s="194">
        <f t="shared" si="82"/>
        <v>0</v>
      </c>
      <c r="P450" s="212">
        <f t="shared" si="76"/>
        <v>0</v>
      </c>
      <c r="Q450">
        <f t="shared" si="77"/>
        <v>0</v>
      </c>
      <c r="X450" s="216">
        <f t="shared" si="83"/>
        <v>36</v>
      </c>
      <c r="Y450">
        <f t="shared" si="78"/>
        <v>0</v>
      </c>
    </row>
    <row r="451" spans="1:25" ht="13.5" thickBot="1" x14ac:dyDescent="0.25">
      <c r="A451" s="204">
        <f>IF(MOD(COUNT($A$10:A450),12)=0,A450+1,A450)</f>
        <v>37</v>
      </c>
      <c r="B451" s="218">
        <f t="shared" si="79"/>
        <v>10</v>
      </c>
      <c r="C451" s="218">
        <f t="shared" si="73"/>
        <v>1</v>
      </c>
      <c r="D451" s="208">
        <f>IF(MOD(COUNT($D$10:D450),6)=0,D450+1,D450)</f>
        <v>74</v>
      </c>
      <c r="E451" s="208">
        <f>IF(MOD(COUNT($E$10:E450),3)=0,E450+1,E450)</f>
        <v>148</v>
      </c>
      <c r="F451" s="208">
        <f>IF(MOD(COUNT($F$10:F450),1)=0,F450+1,F450)</f>
        <v>442</v>
      </c>
      <c r="G451" s="204">
        <f>IFERROR(IF(C451=1,VLOOKUP(A451,Output!$A$27:$AB$137,28,FALSE)/AnnuityMode,0),0)</f>
        <v>0</v>
      </c>
      <c r="H451" s="220">
        <f>IFERROR(IF(AND(MIN(A451&gt;25,Age+A451&gt;=85),B451=12),VLOOKUP(A451,Output!$A$27:$AE$137,31,FALSE),0),0)</f>
        <v>0</v>
      </c>
      <c r="I451" s="221">
        <f>IFERROR(IF(AND(MIN(A451&gt;15,A451+Age&gt;=70),C451=1),VLOOKUP(A451,Output!$A$27:$AF$137,32,FALSE)*VLOOKUP('SV calc_ignore'!A451,Output!$A$27:$AG$137,33,FALSE)/IF(AnnuityMode=2,2,IF(AnnuityMode=4,4,IF(AnnuityMode=12,12,1))),0),0)</f>
        <v>0</v>
      </c>
      <c r="J451" s="227">
        <f t="shared" si="74"/>
        <v>0</v>
      </c>
      <c r="K451" s="213">
        <f t="shared" si="80"/>
        <v>0</v>
      </c>
      <c r="L451" s="209">
        <f t="shared" si="75"/>
        <v>0</v>
      </c>
      <c r="M451" s="214">
        <f t="shared" si="84"/>
        <v>0</v>
      </c>
      <c r="N451" s="211">
        <f t="shared" si="81"/>
        <v>0</v>
      </c>
      <c r="O451" s="194">
        <f t="shared" si="82"/>
        <v>0</v>
      </c>
      <c r="P451" s="212">
        <f t="shared" si="76"/>
        <v>0</v>
      </c>
      <c r="Q451">
        <f t="shared" si="77"/>
        <v>0</v>
      </c>
      <c r="X451" s="216">
        <f t="shared" si="83"/>
        <v>36</v>
      </c>
      <c r="Y451">
        <f t="shared" si="78"/>
        <v>0</v>
      </c>
    </row>
    <row r="452" spans="1:25" ht="13.5" thickBot="1" x14ac:dyDescent="0.25">
      <c r="A452" s="204">
        <f>IF(MOD(COUNT($A$10:A451),12)=0,A451+1,A451)</f>
        <v>37</v>
      </c>
      <c r="B452" s="218">
        <f t="shared" si="79"/>
        <v>11</v>
      </c>
      <c r="C452" s="218">
        <f t="shared" si="73"/>
        <v>1</v>
      </c>
      <c r="D452" s="208">
        <f>IF(MOD(COUNT($D$10:D451),6)=0,D451+1,D451)</f>
        <v>74</v>
      </c>
      <c r="E452" s="208">
        <f>IF(MOD(COUNT($E$10:E451),3)=0,E451+1,E451)</f>
        <v>148</v>
      </c>
      <c r="F452" s="208">
        <f>IF(MOD(COUNT($F$10:F451),1)=0,F451+1,F451)</f>
        <v>443</v>
      </c>
      <c r="G452" s="204">
        <f>IFERROR(IF(C452=1,VLOOKUP(A452,Output!$A$27:$AB$137,28,FALSE)/AnnuityMode,0),0)</f>
        <v>0</v>
      </c>
      <c r="H452" s="220">
        <f>IFERROR(IF(AND(MIN(A452&gt;25,Age+A452&gt;=85),B452=12),VLOOKUP(A452,Output!$A$27:$AE$137,31,FALSE),0),0)</f>
        <v>0</v>
      </c>
      <c r="I452" s="221">
        <f>IFERROR(IF(AND(MIN(A452&gt;15,A452+Age&gt;=70),C452=1),VLOOKUP(A452,Output!$A$27:$AF$137,32,FALSE)*VLOOKUP('SV calc_ignore'!A452,Output!$A$27:$AG$137,33,FALSE)/IF(AnnuityMode=2,2,IF(AnnuityMode=4,4,IF(AnnuityMode=12,12,1))),0),0)</f>
        <v>0</v>
      </c>
      <c r="J452" s="227">
        <f t="shared" si="74"/>
        <v>0</v>
      </c>
      <c r="K452" s="213">
        <f t="shared" si="80"/>
        <v>0</v>
      </c>
      <c r="L452" s="209">
        <f t="shared" si="75"/>
        <v>0</v>
      </c>
      <c r="M452" s="214">
        <f t="shared" si="84"/>
        <v>0</v>
      </c>
      <c r="N452" s="211">
        <f t="shared" si="81"/>
        <v>0</v>
      </c>
      <c r="O452" s="194">
        <f t="shared" si="82"/>
        <v>0</v>
      </c>
      <c r="P452" s="212">
        <f t="shared" si="76"/>
        <v>0</v>
      </c>
      <c r="Q452">
        <f t="shared" si="77"/>
        <v>0</v>
      </c>
      <c r="X452" s="216">
        <f t="shared" si="83"/>
        <v>36</v>
      </c>
      <c r="Y452">
        <f t="shared" si="78"/>
        <v>0</v>
      </c>
    </row>
    <row r="453" spans="1:25" ht="13.5" thickBot="1" x14ac:dyDescent="0.25">
      <c r="A453" s="204">
        <f>IF(MOD(COUNT($A$10:A452),12)=0,A452+1,A452)</f>
        <v>37</v>
      </c>
      <c r="B453" s="218">
        <f t="shared" si="79"/>
        <v>12</v>
      </c>
      <c r="C453" s="218">
        <f t="shared" si="73"/>
        <v>1</v>
      </c>
      <c r="D453" s="208">
        <f>IF(MOD(COUNT($D$10:D452),6)=0,D452+1,D452)</f>
        <v>74</v>
      </c>
      <c r="E453" s="208">
        <f>IF(MOD(COUNT($E$10:E452),3)=0,E452+1,E452)</f>
        <v>148</v>
      </c>
      <c r="F453" s="208">
        <f>IF(MOD(COUNT($F$10:F452),1)=0,F452+1,F452)</f>
        <v>444</v>
      </c>
      <c r="G453" s="204">
        <f>IFERROR(IF(C453=1,VLOOKUP(A453,Output!$A$27:$AB$137,28,FALSE)/AnnuityMode,0),0)</f>
        <v>0</v>
      </c>
      <c r="H453" s="220">
        <f>IFERROR(IF(AND(MIN(A453&gt;25,Age+A453&gt;=85),B453=12),VLOOKUP(A453,Output!$A$27:$AE$137,31,FALSE),0),0)</f>
        <v>0</v>
      </c>
      <c r="I453" s="221">
        <f>IFERROR(IF(AND(MIN(A453&gt;15,A453+Age&gt;=70),C453=1),VLOOKUP(A453,Output!$A$27:$AF$137,32,FALSE)*VLOOKUP('SV calc_ignore'!A453,Output!$A$27:$AG$137,33,FALSE)/IF(AnnuityMode=2,2,IF(AnnuityMode=4,4,IF(AnnuityMode=12,12,1))),0),0)</f>
        <v>0</v>
      </c>
      <c r="J453" s="227">
        <f t="shared" si="74"/>
        <v>0</v>
      </c>
      <c r="K453" s="213">
        <f t="shared" si="80"/>
        <v>0</v>
      </c>
      <c r="L453" s="209">
        <f t="shared" si="75"/>
        <v>0</v>
      </c>
      <c r="M453" s="214">
        <f t="shared" si="84"/>
        <v>0</v>
      </c>
      <c r="N453" s="211">
        <f t="shared" si="81"/>
        <v>0</v>
      </c>
      <c r="O453" s="194">
        <f t="shared" si="82"/>
        <v>0</v>
      </c>
      <c r="P453" s="212">
        <f t="shared" si="76"/>
        <v>0</v>
      </c>
      <c r="Q453">
        <f t="shared" si="77"/>
        <v>0</v>
      </c>
      <c r="X453" s="216">
        <f t="shared" si="83"/>
        <v>36</v>
      </c>
      <c r="Y453">
        <f t="shared" si="78"/>
        <v>0</v>
      </c>
    </row>
    <row r="454" spans="1:25" ht="13.5" thickBot="1" x14ac:dyDescent="0.25">
      <c r="A454" s="204">
        <f>IF(MOD(COUNT($A$10:A453),12)=0,A453+1,A453)</f>
        <v>38</v>
      </c>
      <c r="B454" s="218">
        <f t="shared" si="79"/>
        <v>1</v>
      </c>
      <c r="C454" s="218">
        <f t="shared" si="73"/>
        <v>1</v>
      </c>
      <c r="D454" s="208">
        <f>IF(MOD(COUNT($D$10:D453),6)=0,D453+1,D453)</f>
        <v>75</v>
      </c>
      <c r="E454" s="208">
        <f>IF(MOD(COUNT($E$10:E453),3)=0,E453+1,E453)</f>
        <v>149</v>
      </c>
      <c r="F454" s="208">
        <f>IF(MOD(COUNT($F$10:F453),1)=0,F453+1,F453)</f>
        <v>445</v>
      </c>
      <c r="G454" s="204">
        <f>IFERROR(IF(C454=1,VLOOKUP(A454,Output!$A$27:$AB$137,28,FALSE)/AnnuityMode,0),0)</f>
        <v>0</v>
      </c>
      <c r="H454" s="220">
        <f>IFERROR(IF(AND(MIN(A454&gt;25,Age+A454&gt;=85),B454=12),VLOOKUP(A454,Output!$A$27:$AE$137,31,FALSE),0),0)</f>
        <v>0</v>
      </c>
      <c r="I454" s="221">
        <f>IFERROR(IF(AND(MIN(A454&gt;15,A454+Age&gt;=70),C454=1),VLOOKUP(A454,Output!$A$27:$AF$137,32,FALSE)*VLOOKUP('SV calc_ignore'!A454,Output!$A$27:$AG$137,33,FALSE)/IF(AnnuityMode=2,2,IF(AnnuityMode=4,4,IF(AnnuityMode=12,12,1))),0),0)</f>
        <v>0</v>
      </c>
      <c r="J454" s="227">
        <f t="shared" si="74"/>
        <v>0</v>
      </c>
      <c r="K454" s="213">
        <f t="shared" si="80"/>
        <v>0</v>
      </c>
      <c r="L454" s="209">
        <f t="shared" si="75"/>
        <v>0</v>
      </c>
      <c r="M454" s="214">
        <f t="shared" si="84"/>
        <v>0</v>
      </c>
      <c r="N454" s="211">
        <f t="shared" si="81"/>
        <v>0</v>
      </c>
      <c r="O454" s="194">
        <f t="shared" si="82"/>
        <v>0</v>
      </c>
      <c r="P454" s="212">
        <f t="shared" si="76"/>
        <v>0</v>
      </c>
      <c r="Q454">
        <f t="shared" si="77"/>
        <v>0</v>
      </c>
      <c r="X454" s="216">
        <f t="shared" si="83"/>
        <v>37</v>
      </c>
      <c r="Y454">
        <f t="shared" si="78"/>
        <v>0</v>
      </c>
    </row>
    <row r="455" spans="1:25" ht="13.5" thickBot="1" x14ac:dyDescent="0.25">
      <c r="A455" s="204">
        <f>IF(MOD(COUNT($A$10:A454),12)=0,A454+1,A454)</f>
        <v>38</v>
      </c>
      <c r="B455" s="218">
        <f t="shared" si="79"/>
        <v>2</v>
      </c>
      <c r="C455" s="218">
        <f t="shared" si="73"/>
        <v>1</v>
      </c>
      <c r="D455" s="208">
        <f>IF(MOD(COUNT($D$10:D454),6)=0,D454+1,D454)</f>
        <v>75</v>
      </c>
      <c r="E455" s="208">
        <f>IF(MOD(COUNT($E$10:E454),3)=0,E454+1,E454)</f>
        <v>149</v>
      </c>
      <c r="F455" s="208">
        <f>IF(MOD(COUNT($F$10:F454),1)=0,F454+1,F454)</f>
        <v>446</v>
      </c>
      <c r="G455" s="204">
        <f>IFERROR(IF(C455=1,VLOOKUP(A455,Output!$A$27:$AB$137,28,FALSE)/AnnuityMode,0),0)</f>
        <v>0</v>
      </c>
      <c r="H455" s="220">
        <f>IFERROR(IF(AND(MIN(A455&gt;25,Age+A455&gt;=85),B455=12),VLOOKUP(A455,Output!$A$27:$AE$137,31,FALSE),0),0)</f>
        <v>0</v>
      </c>
      <c r="I455" s="221">
        <f>IFERROR(IF(AND(MIN(A455&gt;15,A455+Age&gt;=70),C455=1),VLOOKUP(A455,Output!$A$27:$AF$137,32,FALSE)*VLOOKUP('SV calc_ignore'!A455,Output!$A$27:$AG$137,33,FALSE)/IF(AnnuityMode=2,2,IF(AnnuityMode=4,4,IF(AnnuityMode=12,12,1))),0),0)</f>
        <v>0</v>
      </c>
      <c r="J455" s="227">
        <f t="shared" si="74"/>
        <v>0</v>
      </c>
      <c r="K455" s="213">
        <f t="shared" si="80"/>
        <v>0</v>
      </c>
      <c r="L455" s="209">
        <f t="shared" si="75"/>
        <v>0</v>
      </c>
      <c r="M455" s="214">
        <f t="shared" si="84"/>
        <v>0</v>
      </c>
      <c r="N455" s="211">
        <f t="shared" si="81"/>
        <v>0</v>
      </c>
      <c r="O455" s="194">
        <f t="shared" si="82"/>
        <v>0</v>
      </c>
      <c r="P455" s="212">
        <f t="shared" si="76"/>
        <v>0</v>
      </c>
      <c r="Q455">
        <f t="shared" si="77"/>
        <v>0</v>
      </c>
      <c r="X455" s="216">
        <f t="shared" si="83"/>
        <v>37</v>
      </c>
      <c r="Y455">
        <f t="shared" si="78"/>
        <v>0</v>
      </c>
    </row>
    <row r="456" spans="1:25" ht="13.5" thickBot="1" x14ac:dyDescent="0.25">
      <c r="A456" s="204">
        <f>IF(MOD(COUNT($A$10:A455),12)=0,A455+1,A455)</f>
        <v>38</v>
      </c>
      <c r="B456" s="218">
        <f t="shared" si="79"/>
        <v>3</v>
      </c>
      <c r="C456" s="218">
        <f t="shared" si="73"/>
        <v>1</v>
      </c>
      <c r="D456" s="208">
        <f>IF(MOD(COUNT($D$10:D455),6)=0,D455+1,D455)</f>
        <v>75</v>
      </c>
      <c r="E456" s="208">
        <f>IF(MOD(COUNT($E$10:E455),3)=0,E455+1,E455)</f>
        <v>149</v>
      </c>
      <c r="F456" s="208">
        <f>IF(MOD(COUNT($F$10:F455),1)=0,F455+1,F455)</f>
        <v>447</v>
      </c>
      <c r="G456" s="204">
        <f>IFERROR(IF(C456=1,VLOOKUP(A456,Output!$A$27:$AB$137,28,FALSE)/AnnuityMode,0),0)</f>
        <v>0</v>
      </c>
      <c r="H456" s="220">
        <f>IFERROR(IF(AND(MIN(A456&gt;25,Age+A456&gt;=85),B456=12),VLOOKUP(A456,Output!$A$27:$AE$137,31,FALSE),0),0)</f>
        <v>0</v>
      </c>
      <c r="I456" s="221">
        <f>IFERROR(IF(AND(MIN(A456&gt;15,A456+Age&gt;=70),C456=1),VLOOKUP(A456,Output!$A$27:$AF$137,32,FALSE)*VLOOKUP('SV calc_ignore'!A456,Output!$A$27:$AG$137,33,FALSE)/IF(AnnuityMode=2,2,IF(AnnuityMode=4,4,IF(AnnuityMode=12,12,1))),0),0)</f>
        <v>0</v>
      </c>
      <c r="J456" s="227">
        <f t="shared" si="74"/>
        <v>0</v>
      </c>
      <c r="K456" s="213">
        <f t="shared" si="80"/>
        <v>0</v>
      </c>
      <c r="L456" s="209">
        <f t="shared" si="75"/>
        <v>0</v>
      </c>
      <c r="M456" s="214">
        <f t="shared" si="84"/>
        <v>0</v>
      </c>
      <c r="N456" s="211">
        <f t="shared" si="81"/>
        <v>0</v>
      </c>
      <c r="O456" s="194">
        <f t="shared" si="82"/>
        <v>0</v>
      </c>
      <c r="P456" s="212">
        <f t="shared" si="76"/>
        <v>0</v>
      </c>
      <c r="Q456">
        <f t="shared" si="77"/>
        <v>0</v>
      </c>
      <c r="X456" s="216">
        <f t="shared" si="83"/>
        <v>37</v>
      </c>
      <c r="Y456">
        <f t="shared" si="78"/>
        <v>0</v>
      </c>
    </row>
    <row r="457" spans="1:25" ht="13.5" thickBot="1" x14ac:dyDescent="0.25">
      <c r="A457" s="204">
        <f>IF(MOD(COUNT($A$10:A456),12)=0,A456+1,A456)</f>
        <v>38</v>
      </c>
      <c r="B457" s="218">
        <f t="shared" si="79"/>
        <v>4</v>
      </c>
      <c r="C457" s="218">
        <f t="shared" si="73"/>
        <v>1</v>
      </c>
      <c r="D457" s="208">
        <f>IF(MOD(COUNT($D$10:D456),6)=0,D456+1,D456)</f>
        <v>75</v>
      </c>
      <c r="E457" s="208">
        <f>IF(MOD(COUNT($E$10:E456),3)=0,E456+1,E456)</f>
        <v>150</v>
      </c>
      <c r="F457" s="208">
        <f>IF(MOD(COUNT($F$10:F456),1)=0,F456+1,F456)</f>
        <v>448</v>
      </c>
      <c r="G457" s="204">
        <f>IFERROR(IF(C457=1,VLOOKUP(A457,Output!$A$27:$AB$137,28,FALSE)/AnnuityMode,0),0)</f>
        <v>0</v>
      </c>
      <c r="H457" s="220">
        <f>IFERROR(IF(AND(MIN(A457&gt;25,Age+A457&gt;=85),B457=12),VLOOKUP(A457,Output!$A$27:$AE$137,31,FALSE),0),0)</f>
        <v>0</v>
      </c>
      <c r="I457" s="221">
        <f>IFERROR(IF(AND(MIN(A457&gt;15,A457+Age&gt;=70),C457=1),VLOOKUP(A457,Output!$A$27:$AF$137,32,FALSE)*VLOOKUP('SV calc_ignore'!A457,Output!$A$27:$AG$137,33,FALSE)/IF(AnnuityMode=2,2,IF(AnnuityMode=4,4,IF(AnnuityMode=12,12,1))),0),0)</f>
        <v>0</v>
      </c>
      <c r="J457" s="227">
        <f t="shared" si="74"/>
        <v>0</v>
      </c>
      <c r="K457" s="213">
        <f t="shared" si="80"/>
        <v>0</v>
      </c>
      <c r="L457" s="209">
        <f t="shared" si="75"/>
        <v>0</v>
      </c>
      <c r="M457" s="214">
        <f t="shared" si="84"/>
        <v>0</v>
      </c>
      <c r="N457" s="211">
        <f t="shared" si="81"/>
        <v>0</v>
      </c>
      <c r="O457" s="194">
        <f t="shared" si="82"/>
        <v>0</v>
      </c>
      <c r="P457" s="212">
        <f t="shared" si="76"/>
        <v>0</v>
      </c>
      <c r="Q457">
        <f t="shared" si="77"/>
        <v>0</v>
      </c>
      <c r="X457" s="216">
        <f t="shared" si="83"/>
        <v>37</v>
      </c>
      <c r="Y457">
        <f t="shared" si="78"/>
        <v>0</v>
      </c>
    </row>
    <row r="458" spans="1:25" ht="13.5" thickBot="1" x14ac:dyDescent="0.25">
      <c r="A458" s="204">
        <f>IF(MOD(COUNT($A$10:A457),12)=0,A457+1,A457)</f>
        <v>38</v>
      </c>
      <c r="B458" s="218">
        <f t="shared" si="79"/>
        <v>5</v>
      </c>
      <c r="C458" s="218">
        <f t="shared" ref="C458:C521" si="85">IF(AND(AnnuityMode=1,B458=12),1,IF(AND(OR(B458=6,B458=12),AnnuityMode=2),1,IF(AND(OR(B458=3,B458=6,B458=12,B458=9),AnnuityMode=4),1,IF(AND(OR(B458=1,B458=2,B458=3,B458=4,B458=5,B458=6,B458=7,B458=8,B458=9,B458=10,B458=11,B458=12),AnnuityMode=12),1,0))))</f>
        <v>1</v>
      </c>
      <c r="D458" s="208">
        <f>IF(MOD(COUNT($D$10:D457),6)=0,D457+1,D457)</f>
        <v>75</v>
      </c>
      <c r="E458" s="208">
        <f>IF(MOD(COUNT($E$10:E457),3)=0,E457+1,E457)</f>
        <v>150</v>
      </c>
      <c r="F458" s="208">
        <f>IF(MOD(COUNT($F$10:F457),1)=0,F457+1,F457)</f>
        <v>449</v>
      </c>
      <c r="G458" s="204">
        <f>IFERROR(IF(C458=1,VLOOKUP(A458,Output!$A$27:$AB$137,28,FALSE)/AnnuityMode,0),0)</f>
        <v>0</v>
      </c>
      <c r="H458" s="220">
        <f>IFERROR(IF(AND(MIN(A458&gt;25,Age+A458&gt;=85),B458=12),VLOOKUP(A458,Output!$A$27:$AE$137,31,FALSE),0),0)</f>
        <v>0</v>
      </c>
      <c r="I458" s="221">
        <f>IFERROR(IF(AND(MIN(A458&gt;15,A458+Age&gt;=70),C458=1),VLOOKUP(A458,Output!$A$27:$AF$137,32,FALSE)*VLOOKUP('SV calc_ignore'!A458,Output!$A$27:$AG$137,33,FALSE)/IF(AnnuityMode=2,2,IF(AnnuityMode=4,4,IF(AnnuityMode=12,12,1))),0),0)</f>
        <v>0</v>
      </c>
      <c r="J458" s="227">
        <f t="shared" ref="J458:J521" si="86">G458+(J459)*(1+$K$3)^(-1)</f>
        <v>0</v>
      </c>
      <c r="K458" s="213">
        <f t="shared" si="80"/>
        <v>0</v>
      </c>
      <c r="L458" s="209">
        <f t="shared" ref="L458:L521" si="87">(L459+G459)*$K$2</f>
        <v>0</v>
      </c>
      <c r="M458" s="214">
        <f t="shared" si="84"/>
        <v>0</v>
      </c>
      <c r="N458" s="211">
        <f t="shared" si="81"/>
        <v>0</v>
      </c>
      <c r="O458" s="194">
        <f t="shared" si="82"/>
        <v>0</v>
      </c>
      <c r="P458" s="212">
        <f t="shared" ref="P458:P521" si="88">(P459+H459)*(1+$K$3)^(-1)</f>
        <v>0</v>
      </c>
      <c r="Q458">
        <f t="shared" ref="Q458:Q488" si="89">(I458+(Q459)*(1+$K$3)^(-1))*(A458&lt;=$W$5)</f>
        <v>0</v>
      </c>
      <c r="X458" s="216">
        <f t="shared" si="83"/>
        <v>37</v>
      </c>
      <c r="Y458">
        <f t="shared" ref="Y458:Y521" si="90">G458*(1-IF(AnnuityMode=1,$L$2,IF(AnnuityMode=2,$M$2,IF(AnnuityMode=4,$N$2,$K$2)))^(110*AnnuityMode-IF(AnnuityMode=1,X458,IF(AnnuityMode=2,D458,IF(AnnuityMode=4,E458,F458)))-0))/(IF(AnnuityMode=1,$L$3,IF(AnnuityMode=2,$M$3,IF(AnnuityMode=4,$N$3,$K$3))))</f>
        <v>0</v>
      </c>
    </row>
    <row r="459" spans="1:25" ht="13.5" thickBot="1" x14ac:dyDescent="0.25">
      <c r="A459" s="204">
        <f>IF(MOD(COUNT($A$10:A458),12)=0,A458+1,A458)</f>
        <v>38</v>
      </c>
      <c r="B459" s="218">
        <f t="shared" ref="B459:B522" si="91">IF(A458&lt;&gt;A459,1,B458+1)</f>
        <v>6</v>
      </c>
      <c r="C459" s="218">
        <f t="shared" si="85"/>
        <v>1</v>
      </c>
      <c r="D459" s="208">
        <f>IF(MOD(COUNT($D$10:D458),6)=0,D458+1,D458)</f>
        <v>75</v>
      </c>
      <c r="E459" s="208">
        <f>IF(MOD(COUNT($E$10:E458),3)=0,E458+1,E458)</f>
        <v>150</v>
      </c>
      <c r="F459" s="208">
        <f>IF(MOD(COUNT($F$10:F458),1)=0,F458+1,F458)</f>
        <v>450</v>
      </c>
      <c r="G459" s="204">
        <f>IFERROR(IF(C459=1,VLOOKUP(A459,Output!$A$27:$AB$137,28,FALSE)/AnnuityMode,0),0)</f>
        <v>0</v>
      </c>
      <c r="H459" s="220">
        <f>IFERROR(IF(AND(MIN(A459&gt;25,Age+A459&gt;=85),B459=12),VLOOKUP(A459,Output!$A$27:$AE$137,31,FALSE),0),0)</f>
        <v>0</v>
      </c>
      <c r="I459" s="221">
        <f>IFERROR(IF(AND(MIN(A459&gt;15,A459+Age&gt;=70),C459=1),VLOOKUP(A459,Output!$A$27:$AF$137,32,FALSE)*VLOOKUP('SV calc_ignore'!A459,Output!$A$27:$AG$137,33,FALSE)/IF(AnnuityMode=2,2,IF(AnnuityMode=4,4,IF(AnnuityMode=12,12,1))),0),0)</f>
        <v>0</v>
      </c>
      <c r="J459" s="227">
        <f t="shared" si="86"/>
        <v>0</v>
      </c>
      <c r="K459" s="213">
        <f t="shared" ref="K459:K522" si="92">IF(OR(K458&gt;$K$8,K458=0),0,K458+1)</f>
        <v>0</v>
      </c>
      <c r="L459" s="209">
        <f t="shared" si="87"/>
        <v>0</v>
      </c>
      <c r="M459" s="214">
        <f t="shared" si="84"/>
        <v>0</v>
      </c>
      <c r="N459" s="211">
        <f t="shared" ref="N459:N522" si="93">M459-L459-G459</f>
        <v>0</v>
      </c>
      <c r="O459" s="194">
        <f t="shared" ref="O459:O522" si="94">MAX($H$10:$H$897)/(1+$K$3)^($Q$5*12-F459)*(A459&lt;=$Q$5)</f>
        <v>0</v>
      </c>
      <c r="P459" s="212">
        <f t="shared" si="88"/>
        <v>0</v>
      </c>
      <c r="Q459">
        <f t="shared" si="89"/>
        <v>0</v>
      </c>
      <c r="X459" s="216">
        <f t="shared" ref="X459:X522" si="95">A459-1</f>
        <v>37</v>
      </c>
      <c r="Y459">
        <f t="shared" si="90"/>
        <v>0</v>
      </c>
    </row>
    <row r="460" spans="1:25" ht="13.5" thickBot="1" x14ac:dyDescent="0.25">
      <c r="A460" s="204">
        <f>IF(MOD(COUNT($A$10:A459),12)=0,A459+1,A459)</f>
        <v>38</v>
      </c>
      <c r="B460" s="218">
        <f t="shared" si="91"/>
        <v>7</v>
      </c>
      <c r="C460" s="218">
        <f t="shared" si="85"/>
        <v>1</v>
      </c>
      <c r="D460" s="208">
        <f>IF(MOD(COUNT($D$10:D459),6)=0,D459+1,D459)</f>
        <v>76</v>
      </c>
      <c r="E460" s="208">
        <f>IF(MOD(COUNT($E$10:E459),3)=0,E459+1,E459)</f>
        <v>151</v>
      </c>
      <c r="F460" s="208">
        <f>IF(MOD(COUNT($F$10:F459),1)=0,F459+1,F459)</f>
        <v>451</v>
      </c>
      <c r="G460" s="204">
        <f>IFERROR(IF(C460=1,VLOOKUP(A460,Output!$A$27:$AB$137,28,FALSE)/AnnuityMode,0),0)</f>
        <v>0</v>
      </c>
      <c r="H460" s="220">
        <f>IFERROR(IF(AND(MIN(A460&gt;25,Age+A460&gt;=85),B460=12),VLOOKUP(A460,Output!$A$27:$AE$137,31,FALSE),0),0)</f>
        <v>0</v>
      </c>
      <c r="I460" s="221">
        <f>IFERROR(IF(AND(MIN(A460&gt;15,A460+Age&gt;=70),C460=1),VLOOKUP(A460,Output!$A$27:$AF$137,32,FALSE)*VLOOKUP('SV calc_ignore'!A460,Output!$A$27:$AG$137,33,FALSE)/IF(AnnuityMode=2,2,IF(AnnuityMode=4,4,IF(AnnuityMode=12,12,1))),0),0)</f>
        <v>0</v>
      </c>
      <c r="J460" s="227">
        <f t="shared" si="86"/>
        <v>0</v>
      </c>
      <c r="K460" s="213">
        <f t="shared" si="92"/>
        <v>0</v>
      </c>
      <c r="L460" s="209">
        <f t="shared" si="87"/>
        <v>0</v>
      </c>
      <c r="M460" s="214">
        <f t="shared" si="84"/>
        <v>0</v>
      </c>
      <c r="N460" s="211">
        <f t="shared" si="93"/>
        <v>0</v>
      </c>
      <c r="O460" s="194">
        <f t="shared" si="94"/>
        <v>0</v>
      </c>
      <c r="P460" s="212">
        <f t="shared" si="88"/>
        <v>0</v>
      </c>
      <c r="Q460">
        <f t="shared" si="89"/>
        <v>0</v>
      </c>
      <c r="X460" s="216">
        <f t="shared" si="95"/>
        <v>37</v>
      </c>
      <c r="Y460">
        <f t="shared" si="90"/>
        <v>0</v>
      </c>
    </row>
    <row r="461" spans="1:25" ht="13.5" thickBot="1" x14ac:dyDescent="0.25">
      <c r="A461" s="204">
        <f>IF(MOD(COUNT($A$10:A460),12)=0,A460+1,A460)</f>
        <v>38</v>
      </c>
      <c r="B461" s="218">
        <f t="shared" si="91"/>
        <v>8</v>
      </c>
      <c r="C461" s="218">
        <f t="shared" si="85"/>
        <v>1</v>
      </c>
      <c r="D461" s="208">
        <f>IF(MOD(COUNT($D$10:D460),6)=0,D460+1,D460)</f>
        <v>76</v>
      </c>
      <c r="E461" s="208">
        <f>IF(MOD(COUNT($E$10:E460),3)=0,E460+1,E460)</f>
        <v>151</v>
      </c>
      <c r="F461" s="208">
        <f>IF(MOD(COUNT($F$10:F460),1)=0,F460+1,F460)</f>
        <v>452</v>
      </c>
      <c r="G461" s="204">
        <f>IFERROR(IF(C461=1,VLOOKUP(A461,Output!$A$27:$AB$137,28,FALSE)/AnnuityMode,0),0)</f>
        <v>0</v>
      </c>
      <c r="H461" s="220">
        <f>IFERROR(IF(AND(MIN(A461&gt;25,Age+A461&gt;=85),B461=12),VLOOKUP(A461,Output!$A$27:$AE$137,31,FALSE),0),0)</f>
        <v>0</v>
      </c>
      <c r="I461" s="221">
        <f>IFERROR(IF(AND(MIN(A461&gt;15,A461+Age&gt;=70),C461=1),VLOOKUP(A461,Output!$A$27:$AF$137,32,FALSE)*VLOOKUP('SV calc_ignore'!A461,Output!$A$27:$AG$137,33,FALSE)/IF(AnnuityMode=2,2,IF(AnnuityMode=4,4,IF(AnnuityMode=12,12,1))),0),0)</f>
        <v>0</v>
      </c>
      <c r="J461" s="227">
        <f t="shared" si="86"/>
        <v>0</v>
      </c>
      <c r="K461" s="213">
        <f t="shared" si="92"/>
        <v>0</v>
      </c>
      <c r="L461" s="209">
        <f t="shared" si="87"/>
        <v>0</v>
      </c>
      <c r="M461" s="214">
        <f t="shared" si="84"/>
        <v>0</v>
      </c>
      <c r="N461" s="211">
        <f t="shared" si="93"/>
        <v>0</v>
      </c>
      <c r="O461" s="194">
        <f t="shared" si="94"/>
        <v>0</v>
      </c>
      <c r="P461" s="212">
        <f t="shared" si="88"/>
        <v>0</v>
      </c>
      <c r="Q461">
        <f t="shared" si="89"/>
        <v>0</v>
      </c>
      <c r="X461" s="216">
        <f t="shared" si="95"/>
        <v>37</v>
      </c>
      <c r="Y461">
        <f t="shared" si="90"/>
        <v>0</v>
      </c>
    </row>
    <row r="462" spans="1:25" ht="13.5" thickBot="1" x14ac:dyDescent="0.25">
      <c r="A462" s="204">
        <f>IF(MOD(COUNT($A$10:A461),12)=0,A461+1,A461)</f>
        <v>38</v>
      </c>
      <c r="B462" s="218">
        <f t="shared" si="91"/>
        <v>9</v>
      </c>
      <c r="C462" s="218">
        <f t="shared" si="85"/>
        <v>1</v>
      </c>
      <c r="D462" s="208">
        <f>IF(MOD(COUNT($D$10:D461),6)=0,D461+1,D461)</f>
        <v>76</v>
      </c>
      <c r="E462" s="208">
        <f>IF(MOD(COUNT($E$10:E461),3)=0,E461+1,E461)</f>
        <v>151</v>
      </c>
      <c r="F462" s="208">
        <f>IF(MOD(COUNT($F$10:F461),1)=0,F461+1,F461)</f>
        <v>453</v>
      </c>
      <c r="G462" s="204">
        <f>IFERROR(IF(C462=1,VLOOKUP(A462,Output!$A$27:$AB$137,28,FALSE)/AnnuityMode,0),0)</f>
        <v>0</v>
      </c>
      <c r="H462" s="220">
        <f>IFERROR(IF(AND(MIN(A462&gt;25,Age+A462&gt;=85),B462=12),VLOOKUP(A462,Output!$A$27:$AE$137,31,FALSE),0),0)</f>
        <v>0</v>
      </c>
      <c r="I462" s="221">
        <f>IFERROR(IF(AND(MIN(A462&gt;15,A462+Age&gt;=70),C462=1),VLOOKUP(A462,Output!$A$27:$AF$137,32,FALSE)*VLOOKUP('SV calc_ignore'!A462,Output!$A$27:$AG$137,33,FALSE)/IF(AnnuityMode=2,2,IF(AnnuityMode=4,4,IF(AnnuityMode=12,12,1))),0),0)</f>
        <v>0</v>
      </c>
      <c r="J462" s="227">
        <f t="shared" si="86"/>
        <v>0</v>
      </c>
      <c r="K462" s="213">
        <f t="shared" si="92"/>
        <v>0</v>
      </c>
      <c r="L462" s="209">
        <f t="shared" si="87"/>
        <v>0</v>
      </c>
      <c r="M462" s="214">
        <f t="shared" si="84"/>
        <v>0</v>
      </c>
      <c r="N462" s="211">
        <f t="shared" si="93"/>
        <v>0</v>
      </c>
      <c r="O462" s="194">
        <f t="shared" si="94"/>
        <v>0</v>
      </c>
      <c r="P462" s="212">
        <f t="shared" si="88"/>
        <v>0</v>
      </c>
      <c r="Q462">
        <f t="shared" si="89"/>
        <v>0</v>
      </c>
      <c r="X462" s="216">
        <f t="shared" si="95"/>
        <v>37</v>
      </c>
      <c r="Y462">
        <f t="shared" si="90"/>
        <v>0</v>
      </c>
    </row>
    <row r="463" spans="1:25" ht="13.5" thickBot="1" x14ac:dyDescent="0.25">
      <c r="A463" s="204">
        <f>IF(MOD(COUNT($A$10:A462),12)=0,A462+1,A462)</f>
        <v>38</v>
      </c>
      <c r="B463" s="218">
        <f t="shared" si="91"/>
        <v>10</v>
      </c>
      <c r="C463" s="218">
        <f t="shared" si="85"/>
        <v>1</v>
      </c>
      <c r="D463" s="208">
        <f>IF(MOD(COUNT($D$10:D462),6)=0,D462+1,D462)</f>
        <v>76</v>
      </c>
      <c r="E463" s="208">
        <f>IF(MOD(COUNT($E$10:E462),3)=0,E462+1,E462)</f>
        <v>152</v>
      </c>
      <c r="F463" s="208">
        <f>IF(MOD(COUNT($F$10:F462),1)=0,F462+1,F462)</f>
        <v>454</v>
      </c>
      <c r="G463" s="204">
        <f>IFERROR(IF(C463=1,VLOOKUP(A463,Output!$A$27:$AB$137,28,FALSE)/AnnuityMode,0),0)</f>
        <v>0</v>
      </c>
      <c r="H463" s="220">
        <f>IFERROR(IF(AND(MIN(A463&gt;25,Age+A463&gt;=85),B463=12),VLOOKUP(A463,Output!$A$27:$AE$137,31,FALSE),0),0)</f>
        <v>0</v>
      </c>
      <c r="I463" s="221">
        <f>IFERROR(IF(AND(MIN(A463&gt;15,A463+Age&gt;=70),C463=1),VLOOKUP(A463,Output!$A$27:$AF$137,32,FALSE)*VLOOKUP('SV calc_ignore'!A463,Output!$A$27:$AG$137,33,FALSE)/IF(AnnuityMode=2,2,IF(AnnuityMode=4,4,IF(AnnuityMode=12,12,1))),0),0)</f>
        <v>0</v>
      </c>
      <c r="J463" s="227">
        <f t="shared" si="86"/>
        <v>0</v>
      </c>
      <c r="K463" s="213">
        <f t="shared" si="92"/>
        <v>0</v>
      </c>
      <c r="L463" s="209">
        <f t="shared" si="87"/>
        <v>0</v>
      </c>
      <c r="M463" s="214">
        <f t="shared" si="84"/>
        <v>0</v>
      </c>
      <c r="N463" s="211">
        <f t="shared" si="93"/>
        <v>0</v>
      </c>
      <c r="O463" s="194">
        <f t="shared" si="94"/>
        <v>0</v>
      </c>
      <c r="P463" s="212">
        <f t="shared" si="88"/>
        <v>0</v>
      </c>
      <c r="Q463">
        <f t="shared" si="89"/>
        <v>0</v>
      </c>
      <c r="X463" s="216">
        <f t="shared" si="95"/>
        <v>37</v>
      </c>
      <c r="Y463">
        <f t="shared" si="90"/>
        <v>0</v>
      </c>
    </row>
    <row r="464" spans="1:25" ht="13.5" thickBot="1" x14ac:dyDescent="0.25">
      <c r="A464" s="204">
        <f>IF(MOD(COUNT($A$10:A463),12)=0,A463+1,A463)</f>
        <v>38</v>
      </c>
      <c r="B464" s="218">
        <f t="shared" si="91"/>
        <v>11</v>
      </c>
      <c r="C464" s="218">
        <f t="shared" si="85"/>
        <v>1</v>
      </c>
      <c r="D464" s="208">
        <f>IF(MOD(COUNT($D$10:D463),6)=0,D463+1,D463)</f>
        <v>76</v>
      </c>
      <c r="E464" s="208">
        <f>IF(MOD(COUNT($E$10:E463),3)=0,E463+1,E463)</f>
        <v>152</v>
      </c>
      <c r="F464" s="208">
        <f>IF(MOD(COUNT($F$10:F463),1)=0,F463+1,F463)</f>
        <v>455</v>
      </c>
      <c r="G464" s="204">
        <f>IFERROR(IF(C464=1,VLOOKUP(A464,Output!$A$27:$AB$137,28,FALSE)/AnnuityMode,0),0)</f>
        <v>0</v>
      </c>
      <c r="H464" s="220">
        <f>IFERROR(IF(AND(MIN(A464&gt;25,Age+A464&gt;=85),B464=12),VLOOKUP(A464,Output!$A$27:$AE$137,31,FALSE),0),0)</f>
        <v>0</v>
      </c>
      <c r="I464" s="221">
        <f>IFERROR(IF(AND(MIN(A464&gt;15,A464+Age&gt;=70),C464=1),VLOOKUP(A464,Output!$A$27:$AF$137,32,FALSE)*VLOOKUP('SV calc_ignore'!A464,Output!$A$27:$AG$137,33,FALSE)/IF(AnnuityMode=2,2,IF(AnnuityMode=4,4,IF(AnnuityMode=12,12,1))),0),0)</f>
        <v>0</v>
      </c>
      <c r="J464" s="227">
        <f t="shared" si="86"/>
        <v>0</v>
      </c>
      <c r="K464" s="213">
        <f t="shared" si="92"/>
        <v>0</v>
      </c>
      <c r="L464" s="209">
        <f t="shared" si="87"/>
        <v>0</v>
      </c>
      <c r="M464" s="214">
        <f t="shared" si="84"/>
        <v>0</v>
      </c>
      <c r="N464" s="211">
        <f t="shared" si="93"/>
        <v>0</v>
      </c>
      <c r="O464" s="194">
        <f t="shared" si="94"/>
        <v>0</v>
      </c>
      <c r="P464" s="212">
        <f t="shared" si="88"/>
        <v>0</v>
      </c>
      <c r="Q464">
        <f t="shared" si="89"/>
        <v>0</v>
      </c>
      <c r="X464" s="216">
        <f t="shared" si="95"/>
        <v>37</v>
      </c>
      <c r="Y464">
        <f t="shared" si="90"/>
        <v>0</v>
      </c>
    </row>
    <row r="465" spans="1:25" ht="13.5" thickBot="1" x14ac:dyDescent="0.25">
      <c r="A465" s="204">
        <f>IF(MOD(COUNT($A$10:A464),12)=0,A464+1,A464)</f>
        <v>38</v>
      </c>
      <c r="B465" s="218">
        <f t="shared" si="91"/>
        <v>12</v>
      </c>
      <c r="C465" s="218">
        <f t="shared" si="85"/>
        <v>1</v>
      </c>
      <c r="D465" s="208">
        <f>IF(MOD(COUNT($D$10:D464),6)=0,D464+1,D464)</f>
        <v>76</v>
      </c>
      <c r="E465" s="208">
        <f>IF(MOD(COUNT($E$10:E464),3)=0,E464+1,E464)</f>
        <v>152</v>
      </c>
      <c r="F465" s="208">
        <f>IF(MOD(COUNT($F$10:F464),1)=0,F464+1,F464)</f>
        <v>456</v>
      </c>
      <c r="G465" s="204">
        <f>IFERROR(IF(C465=1,VLOOKUP(A465,Output!$A$27:$AB$137,28,FALSE)/AnnuityMode,0),0)</f>
        <v>0</v>
      </c>
      <c r="H465" s="220">
        <f>IFERROR(IF(AND(MIN(A465&gt;25,Age+A465&gt;=85),B465=12),VLOOKUP(A465,Output!$A$27:$AE$137,31,FALSE),0),0)</f>
        <v>0</v>
      </c>
      <c r="I465" s="221">
        <f>IFERROR(IF(AND(MIN(A465&gt;15,A465+Age&gt;=70),C465=1),VLOOKUP(A465,Output!$A$27:$AF$137,32,FALSE)*VLOOKUP('SV calc_ignore'!A465,Output!$A$27:$AG$137,33,FALSE)/IF(AnnuityMode=2,2,IF(AnnuityMode=4,4,IF(AnnuityMode=12,12,1))),0),0)</f>
        <v>0</v>
      </c>
      <c r="J465" s="227">
        <f t="shared" si="86"/>
        <v>0</v>
      </c>
      <c r="K465" s="213">
        <f t="shared" si="92"/>
        <v>0</v>
      </c>
      <c r="L465" s="209">
        <f t="shared" si="87"/>
        <v>0</v>
      </c>
      <c r="M465" s="214">
        <f t="shared" si="84"/>
        <v>0</v>
      </c>
      <c r="N465" s="211">
        <f t="shared" si="93"/>
        <v>0</v>
      </c>
      <c r="O465" s="194">
        <f t="shared" si="94"/>
        <v>0</v>
      </c>
      <c r="P465" s="212">
        <f t="shared" si="88"/>
        <v>0</v>
      </c>
      <c r="Q465">
        <f t="shared" si="89"/>
        <v>0</v>
      </c>
      <c r="X465" s="216">
        <f t="shared" si="95"/>
        <v>37</v>
      </c>
      <c r="Y465">
        <f t="shared" si="90"/>
        <v>0</v>
      </c>
    </row>
    <row r="466" spans="1:25" ht="13.5" thickBot="1" x14ac:dyDescent="0.25">
      <c r="A466" s="204">
        <f>IF(MOD(COUNT($A$10:A465),12)=0,A465+1,A465)</f>
        <v>39</v>
      </c>
      <c r="B466" s="218">
        <f t="shared" si="91"/>
        <v>1</v>
      </c>
      <c r="C466" s="218">
        <f t="shared" si="85"/>
        <v>1</v>
      </c>
      <c r="D466" s="208">
        <f>IF(MOD(COUNT($D$10:D465),6)=0,D465+1,D465)</f>
        <v>77</v>
      </c>
      <c r="E466" s="208">
        <f>IF(MOD(COUNT($E$10:E465),3)=0,E465+1,E465)</f>
        <v>153</v>
      </c>
      <c r="F466" s="208">
        <f>IF(MOD(COUNT($F$10:F465),1)=0,F465+1,F465)</f>
        <v>457</v>
      </c>
      <c r="G466" s="204">
        <f>IFERROR(IF(C466=1,VLOOKUP(A466,Output!$A$27:$AB$137,28,FALSE)/AnnuityMode,0),0)</f>
        <v>0</v>
      </c>
      <c r="H466" s="220">
        <f>IFERROR(IF(AND(MIN(A466&gt;25,Age+A466&gt;=85),B466=12),VLOOKUP(A466,Output!$A$27:$AE$137,31,FALSE),0),0)</f>
        <v>0</v>
      </c>
      <c r="I466" s="221">
        <f>IFERROR(IF(AND(MIN(A466&gt;15,A466+Age&gt;=70),C466=1),VLOOKUP(A466,Output!$A$27:$AF$137,32,FALSE)*VLOOKUP('SV calc_ignore'!A466,Output!$A$27:$AG$137,33,FALSE)/IF(AnnuityMode=2,2,IF(AnnuityMode=4,4,IF(AnnuityMode=12,12,1))),0),0)</f>
        <v>0</v>
      </c>
      <c r="J466" s="227">
        <f t="shared" si="86"/>
        <v>0</v>
      </c>
      <c r="K466" s="213">
        <f t="shared" si="92"/>
        <v>0</v>
      </c>
      <c r="L466" s="209">
        <f t="shared" si="87"/>
        <v>0</v>
      </c>
      <c r="M466" s="214">
        <f t="shared" si="84"/>
        <v>0</v>
      </c>
      <c r="N466" s="211">
        <f t="shared" si="93"/>
        <v>0</v>
      </c>
      <c r="O466" s="194">
        <f t="shared" si="94"/>
        <v>0</v>
      </c>
      <c r="P466" s="212">
        <f t="shared" si="88"/>
        <v>0</v>
      </c>
      <c r="Q466">
        <f t="shared" si="89"/>
        <v>0</v>
      </c>
      <c r="X466" s="216">
        <f t="shared" si="95"/>
        <v>38</v>
      </c>
      <c r="Y466">
        <f t="shared" si="90"/>
        <v>0</v>
      </c>
    </row>
    <row r="467" spans="1:25" ht="13.5" thickBot="1" x14ac:dyDescent="0.25">
      <c r="A467" s="204">
        <f>IF(MOD(COUNT($A$10:A466),12)=0,A466+1,A466)</f>
        <v>39</v>
      </c>
      <c r="B467" s="218">
        <f t="shared" si="91"/>
        <v>2</v>
      </c>
      <c r="C467" s="218">
        <f t="shared" si="85"/>
        <v>1</v>
      </c>
      <c r="D467" s="208">
        <f>IF(MOD(COUNT($D$10:D466),6)=0,D466+1,D466)</f>
        <v>77</v>
      </c>
      <c r="E467" s="208">
        <f>IF(MOD(COUNT($E$10:E466),3)=0,E466+1,E466)</f>
        <v>153</v>
      </c>
      <c r="F467" s="208">
        <f>IF(MOD(COUNT($F$10:F466),1)=0,F466+1,F466)</f>
        <v>458</v>
      </c>
      <c r="G467" s="204">
        <f>IFERROR(IF(C467=1,VLOOKUP(A467,Output!$A$27:$AB$137,28,FALSE)/AnnuityMode,0),0)</f>
        <v>0</v>
      </c>
      <c r="H467" s="220">
        <f>IFERROR(IF(AND(MIN(A467&gt;25,Age+A467&gt;=85),B467=12),VLOOKUP(A467,Output!$A$27:$AE$137,31,FALSE),0),0)</f>
        <v>0</v>
      </c>
      <c r="I467" s="221">
        <f>IFERROR(IF(AND(MIN(A467&gt;15,A467+Age&gt;=70),C467=1),VLOOKUP(A467,Output!$A$27:$AF$137,32,FALSE)*VLOOKUP('SV calc_ignore'!A467,Output!$A$27:$AG$137,33,FALSE)/IF(AnnuityMode=2,2,IF(AnnuityMode=4,4,IF(AnnuityMode=12,12,1))),0),0)</f>
        <v>0</v>
      </c>
      <c r="J467" s="227">
        <f t="shared" si="86"/>
        <v>0</v>
      </c>
      <c r="K467" s="213">
        <f t="shared" si="92"/>
        <v>0</v>
      </c>
      <c r="L467" s="209">
        <f t="shared" si="87"/>
        <v>0</v>
      </c>
      <c r="M467" s="214">
        <f t="shared" si="84"/>
        <v>0</v>
      </c>
      <c r="N467" s="211">
        <f t="shared" si="93"/>
        <v>0</v>
      </c>
      <c r="O467" s="194">
        <f t="shared" si="94"/>
        <v>0</v>
      </c>
      <c r="P467" s="212">
        <f t="shared" si="88"/>
        <v>0</v>
      </c>
      <c r="Q467">
        <f t="shared" si="89"/>
        <v>0</v>
      </c>
      <c r="X467" s="216">
        <f t="shared" si="95"/>
        <v>38</v>
      </c>
      <c r="Y467">
        <f t="shared" si="90"/>
        <v>0</v>
      </c>
    </row>
    <row r="468" spans="1:25" ht="13.5" thickBot="1" x14ac:dyDescent="0.25">
      <c r="A468" s="204">
        <f>IF(MOD(COUNT($A$10:A467),12)=0,A467+1,A467)</f>
        <v>39</v>
      </c>
      <c r="B468" s="218">
        <f t="shared" si="91"/>
        <v>3</v>
      </c>
      <c r="C468" s="218">
        <f t="shared" si="85"/>
        <v>1</v>
      </c>
      <c r="D468" s="208">
        <f>IF(MOD(COUNT($D$10:D467),6)=0,D467+1,D467)</f>
        <v>77</v>
      </c>
      <c r="E468" s="208">
        <f>IF(MOD(COUNT($E$10:E467),3)=0,E467+1,E467)</f>
        <v>153</v>
      </c>
      <c r="F468" s="208">
        <f>IF(MOD(COUNT($F$10:F467),1)=0,F467+1,F467)</f>
        <v>459</v>
      </c>
      <c r="G468" s="204">
        <f>IFERROR(IF(C468=1,VLOOKUP(A468,Output!$A$27:$AB$137,28,FALSE)/AnnuityMode,0),0)</f>
        <v>0</v>
      </c>
      <c r="H468" s="220">
        <f>IFERROR(IF(AND(MIN(A468&gt;25,Age+A468&gt;=85),B468=12),VLOOKUP(A468,Output!$A$27:$AE$137,31,FALSE),0),0)</f>
        <v>0</v>
      </c>
      <c r="I468" s="221">
        <f>IFERROR(IF(AND(MIN(A468&gt;15,A468+Age&gt;=70),C468=1),VLOOKUP(A468,Output!$A$27:$AF$137,32,FALSE)*VLOOKUP('SV calc_ignore'!A468,Output!$A$27:$AG$137,33,FALSE)/IF(AnnuityMode=2,2,IF(AnnuityMode=4,4,IF(AnnuityMode=12,12,1))),0),0)</f>
        <v>0</v>
      </c>
      <c r="J468" s="227">
        <f t="shared" si="86"/>
        <v>0</v>
      </c>
      <c r="K468" s="213">
        <f t="shared" si="92"/>
        <v>0</v>
      </c>
      <c r="L468" s="209">
        <f t="shared" si="87"/>
        <v>0</v>
      </c>
      <c r="M468" s="214">
        <f t="shared" si="84"/>
        <v>0</v>
      </c>
      <c r="N468" s="211">
        <f t="shared" si="93"/>
        <v>0</v>
      </c>
      <c r="O468" s="194">
        <f t="shared" si="94"/>
        <v>0</v>
      </c>
      <c r="P468" s="212">
        <f t="shared" si="88"/>
        <v>0</v>
      </c>
      <c r="Q468">
        <f t="shared" si="89"/>
        <v>0</v>
      </c>
      <c r="X468" s="216">
        <f t="shared" si="95"/>
        <v>38</v>
      </c>
      <c r="Y468">
        <f t="shared" si="90"/>
        <v>0</v>
      </c>
    </row>
    <row r="469" spans="1:25" ht="13.5" thickBot="1" x14ac:dyDescent="0.25">
      <c r="A469" s="204">
        <f>IF(MOD(COUNT($A$10:A468),12)=0,A468+1,A468)</f>
        <v>39</v>
      </c>
      <c r="B469" s="218">
        <f t="shared" si="91"/>
        <v>4</v>
      </c>
      <c r="C469" s="218">
        <f t="shared" si="85"/>
        <v>1</v>
      </c>
      <c r="D469" s="208">
        <f>IF(MOD(COUNT($D$10:D468),6)=0,D468+1,D468)</f>
        <v>77</v>
      </c>
      <c r="E469" s="208">
        <f>IF(MOD(COUNT($E$10:E468),3)=0,E468+1,E468)</f>
        <v>154</v>
      </c>
      <c r="F469" s="208">
        <f>IF(MOD(COUNT($F$10:F468),1)=0,F468+1,F468)</f>
        <v>460</v>
      </c>
      <c r="G469" s="204">
        <f>IFERROR(IF(C469=1,VLOOKUP(A469,Output!$A$27:$AB$137,28,FALSE)/AnnuityMode,0),0)</f>
        <v>0</v>
      </c>
      <c r="H469" s="220">
        <f>IFERROR(IF(AND(MIN(A469&gt;25,Age+A469&gt;=85),B469=12),VLOOKUP(A469,Output!$A$27:$AE$137,31,FALSE),0),0)</f>
        <v>0</v>
      </c>
      <c r="I469" s="221">
        <f>IFERROR(IF(AND(MIN(A469&gt;15,A469+Age&gt;=70),C469=1),VLOOKUP(A469,Output!$A$27:$AF$137,32,FALSE)*VLOOKUP('SV calc_ignore'!A469,Output!$A$27:$AG$137,33,FALSE)/IF(AnnuityMode=2,2,IF(AnnuityMode=4,4,IF(AnnuityMode=12,12,1))),0),0)</f>
        <v>0</v>
      </c>
      <c r="J469" s="227">
        <f t="shared" si="86"/>
        <v>0</v>
      </c>
      <c r="K469" s="213">
        <f t="shared" si="92"/>
        <v>0</v>
      </c>
      <c r="L469" s="209">
        <f t="shared" si="87"/>
        <v>0</v>
      </c>
      <c r="M469" s="214">
        <f t="shared" si="84"/>
        <v>0</v>
      </c>
      <c r="N469" s="211">
        <f t="shared" si="93"/>
        <v>0</v>
      </c>
      <c r="O469" s="194">
        <f t="shared" si="94"/>
        <v>0</v>
      </c>
      <c r="P469" s="212">
        <f t="shared" si="88"/>
        <v>0</v>
      </c>
      <c r="Q469">
        <f t="shared" si="89"/>
        <v>0</v>
      </c>
      <c r="X469" s="216">
        <f t="shared" si="95"/>
        <v>38</v>
      </c>
      <c r="Y469">
        <f t="shared" si="90"/>
        <v>0</v>
      </c>
    </row>
    <row r="470" spans="1:25" ht="13.5" thickBot="1" x14ac:dyDescent="0.25">
      <c r="A470" s="204">
        <f>IF(MOD(COUNT($A$10:A469),12)=0,A469+1,A469)</f>
        <v>39</v>
      </c>
      <c r="B470" s="218">
        <f t="shared" si="91"/>
        <v>5</v>
      </c>
      <c r="C470" s="218">
        <f t="shared" si="85"/>
        <v>1</v>
      </c>
      <c r="D470" s="208">
        <f>IF(MOD(COUNT($D$10:D469),6)=0,D469+1,D469)</f>
        <v>77</v>
      </c>
      <c r="E470" s="208">
        <f>IF(MOD(COUNT($E$10:E469),3)=0,E469+1,E469)</f>
        <v>154</v>
      </c>
      <c r="F470" s="208">
        <f>IF(MOD(COUNT($F$10:F469),1)=0,F469+1,F469)</f>
        <v>461</v>
      </c>
      <c r="G470" s="204">
        <f>IFERROR(IF(C470=1,VLOOKUP(A470,Output!$A$27:$AB$137,28,FALSE)/AnnuityMode,0),0)</f>
        <v>0</v>
      </c>
      <c r="H470" s="220">
        <f>IFERROR(IF(AND(MIN(A470&gt;25,Age+A470&gt;=85),B470=12),VLOOKUP(A470,Output!$A$27:$AE$137,31,FALSE),0),0)</f>
        <v>0</v>
      </c>
      <c r="I470" s="221">
        <f>IFERROR(IF(AND(MIN(A470&gt;15,A470+Age&gt;=70),C470=1),VLOOKUP(A470,Output!$A$27:$AF$137,32,FALSE)*VLOOKUP('SV calc_ignore'!A470,Output!$A$27:$AG$137,33,FALSE)/IF(AnnuityMode=2,2,IF(AnnuityMode=4,4,IF(AnnuityMode=12,12,1))),0),0)</f>
        <v>0</v>
      </c>
      <c r="J470" s="227">
        <f t="shared" si="86"/>
        <v>0</v>
      </c>
      <c r="K470" s="213">
        <f t="shared" si="92"/>
        <v>0</v>
      </c>
      <c r="L470" s="209">
        <f t="shared" si="87"/>
        <v>0</v>
      </c>
      <c r="M470" s="214">
        <f t="shared" si="84"/>
        <v>0</v>
      </c>
      <c r="N470" s="211">
        <f t="shared" si="93"/>
        <v>0</v>
      </c>
      <c r="O470" s="194">
        <f t="shared" si="94"/>
        <v>0</v>
      </c>
      <c r="P470" s="212">
        <f t="shared" si="88"/>
        <v>0</v>
      </c>
      <c r="Q470">
        <f t="shared" si="89"/>
        <v>0</v>
      </c>
      <c r="X470" s="216">
        <f t="shared" si="95"/>
        <v>38</v>
      </c>
      <c r="Y470">
        <f t="shared" si="90"/>
        <v>0</v>
      </c>
    </row>
    <row r="471" spans="1:25" ht="13.5" thickBot="1" x14ac:dyDescent="0.25">
      <c r="A471" s="204">
        <f>IF(MOD(COUNT($A$10:A470),12)=0,A470+1,A470)</f>
        <v>39</v>
      </c>
      <c r="B471" s="218">
        <f t="shared" si="91"/>
        <v>6</v>
      </c>
      <c r="C471" s="218">
        <f t="shared" si="85"/>
        <v>1</v>
      </c>
      <c r="D471" s="208">
        <f>IF(MOD(COUNT($D$10:D470),6)=0,D470+1,D470)</f>
        <v>77</v>
      </c>
      <c r="E471" s="208">
        <f>IF(MOD(COUNT($E$10:E470),3)=0,E470+1,E470)</f>
        <v>154</v>
      </c>
      <c r="F471" s="208">
        <f>IF(MOD(COUNT($F$10:F470),1)=0,F470+1,F470)</f>
        <v>462</v>
      </c>
      <c r="G471" s="204">
        <f>IFERROR(IF(C471=1,VLOOKUP(A471,Output!$A$27:$AB$137,28,FALSE)/AnnuityMode,0),0)</f>
        <v>0</v>
      </c>
      <c r="H471" s="220">
        <f>IFERROR(IF(AND(MIN(A471&gt;25,Age+A471&gt;=85),B471=12),VLOOKUP(A471,Output!$A$27:$AE$137,31,FALSE),0),0)</f>
        <v>0</v>
      </c>
      <c r="I471" s="221">
        <f>IFERROR(IF(AND(MIN(A471&gt;15,A471+Age&gt;=70),C471=1),VLOOKUP(A471,Output!$A$27:$AF$137,32,FALSE)*VLOOKUP('SV calc_ignore'!A471,Output!$A$27:$AG$137,33,FALSE)/IF(AnnuityMode=2,2,IF(AnnuityMode=4,4,IF(AnnuityMode=12,12,1))),0),0)</f>
        <v>0</v>
      </c>
      <c r="J471" s="227">
        <f t="shared" si="86"/>
        <v>0</v>
      </c>
      <c r="K471" s="213">
        <f t="shared" si="92"/>
        <v>0</v>
      </c>
      <c r="L471" s="209">
        <f t="shared" si="87"/>
        <v>0</v>
      </c>
      <c r="M471" s="214">
        <f t="shared" si="84"/>
        <v>0</v>
      </c>
      <c r="N471" s="211">
        <f t="shared" si="93"/>
        <v>0</v>
      </c>
      <c r="O471" s="194">
        <f t="shared" si="94"/>
        <v>0</v>
      </c>
      <c r="P471" s="212">
        <f t="shared" si="88"/>
        <v>0</v>
      </c>
      <c r="Q471">
        <f t="shared" si="89"/>
        <v>0</v>
      </c>
      <c r="X471" s="216">
        <f t="shared" si="95"/>
        <v>38</v>
      </c>
      <c r="Y471">
        <f t="shared" si="90"/>
        <v>0</v>
      </c>
    </row>
    <row r="472" spans="1:25" ht="13.5" thickBot="1" x14ac:dyDescent="0.25">
      <c r="A472" s="204">
        <f>IF(MOD(COUNT($A$10:A471),12)=0,A471+1,A471)</f>
        <v>39</v>
      </c>
      <c r="B472" s="218">
        <f t="shared" si="91"/>
        <v>7</v>
      </c>
      <c r="C472" s="218">
        <f t="shared" si="85"/>
        <v>1</v>
      </c>
      <c r="D472" s="208">
        <f>IF(MOD(COUNT($D$10:D471),6)=0,D471+1,D471)</f>
        <v>78</v>
      </c>
      <c r="E472" s="208">
        <f>IF(MOD(COUNT($E$10:E471),3)=0,E471+1,E471)</f>
        <v>155</v>
      </c>
      <c r="F472" s="208">
        <f>IF(MOD(COUNT($F$10:F471),1)=0,F471+1,F471)</f>
        <v>463</v>
      </c>
      <c r="G472" s="204">
        <f>IFERROR(IF(C472=1,VLOOKUP(A472,Output!$A$27:$AB$137,28,FALSE)/AnnuityMode,0),0)</f>
        <v>0</v>
      </c>
      <c r="H472" s="220">
        <f>IFERROR(IF(AND(MIN(A472&gt;25,Age+A472&gt;=85),B472=12),VLOOKUP(A472,Output!$A$27:$AE$137,31,FALSE),0),0)</f>
        <v>0</v>
      </c>
      <c r="I472" s="221">
        <f>IFERROR(IF(AND(MIN(A472&gt;15,A472+Age&gt;=70),C472=1),VLOOKUP(A472,Output!$A$27:$AF$137,32,FALSE)*VLOOKUP('SV calc_ignore'!A472,Output!$A$27:$AG$137,33,FALSE)/IF(AnnuityMode=2,2,IF(AnnuityMode=4,4,IF(AnnuityMode=12,12,1))),0),0)</f>
        <v>0</v>
      </c>
      <c r="J472" s="227">
        <f t="shared" si="86"/>
        <v>0</v>
      </c>
      <c r="K472" s="213">
        <f t="shared" si="92"/>
        <v>0</v>
      </c>
      <c r="L472" s="209">
        <f t="shared" si="87"/>
        <v>0</v>
      </c>
      <c r="M472" s="214">
        <f t="shared" si="84"/>
        <v>0</v>
      </c>
      <c r="N472" s="211">
        <f t="shared" si="93"/>
        <v>0</v>
      </c>
      <c r="O472" s="194">
        <f t="shared" si="94"/>
        <v>0</v>
      </c>
      <c r="P472" s="212">
        <f t="shared" si="88"/>
        <v>0</v>
      </c>
      <c r="Q472">
        <f t="shared" si="89"/>
        <v>0</v>
      </c>
      <c r="X472" s="216">
        <f t="shared" si="95"/>
        <v>38</v>
      </c>
      <c r="Y472">
        <f t="shared" si="90"/>
        <v>0</v>
      </c>
    </row>
    <row r="473" spans="1:25" ht="13.5" thickBot="1" x14ac:dyDescent="0.25">
      <c r="A473" s="204">
        <f>IF(MOD(COUNT($A$10:A472),12)=0,A472+1,A472)</f>
        <v>39</v>
      </c>
      <c r="B473" s="218">
        <f t="shared" si="91"/>
        <v>8</v>
      </c>
      <c r="C473" s="218">
        <f t="shared" si="85"/>
        <v>1</v>
      </c>
      <c r="D473" s="208">
        <f>IF(MOD(COUNT($D$10:D472),6)=0,D472+1,D472)</f>
        <v>78</v>
      </c>
      <c r="E473" s="208">
        <f>IF(MOD(COUNT($E$10:E472),3)=0,E472+1,E472)</f>
        <v>155</v>
      </c>
      <c r="F473" s="208">
        <f>IF(MOD(COUNT($F$10:F472),1)=0,F472+1,F472)</f>
        <v>464</v>
      </c>
      <c r="G473" s="204">
        <f>IFERROR(IF(C473=1,VLOOKUP(A473,Output!$A$27:$AB$137,28,FALSE)/AnnuityMode,0),0)</f>
        <v>0</v>
      </c>
      <c r="H473" s="220">
        <f>IFERROR(IF(AND(MIN(A473&gt;25,Age+A473&gt;=85),B473=12),VLOOKUP(A473,Output!$A$27:$AE$137,31,FALSE),0),0)</f>
        <v>0</v>
      </c>
      <c r="I473" s="221">
        <f>IFERROR(IF(AND(MIN(A473&gt;15,A473+Age&gt;=70),C473=1),VLOOKUP(A473,Output!$A$27:$AF$137,32,FALSE)*VLOOKUP('SV calc_ignore'!A473,Output!$A$27:$AG$137,33,FALSE)/IF(AnnuityMode=2,2,IF(AnnuityMode=4,4,IF(AnnuityMode=12,12,1))),0),0)</f>
        <v>0</v>
      </c>
      <c r="J473" s="227">
        <f t="shared" si="86"/>
        <v>0</v>
      </c>
      <c r="K473" s="213">
        <f t="shared" si="92"/>
        <v>0</v>
      </c>
      <c r="L473" s="209">
        <f t="shared" si="87"/>
        <v>0</v>
      </c>
      <c r="M473" s="214">
        <f t="shared" si="84"/>
        <v>0</v>
      </c>
      <c r="N473" s="211">
        <f t="shared" si="93"/>
        <v>0</v>
      </c>
      <c r="O473" s="194">
        <f t="shared" si="94"/>
        <v>0</v>
      </c>
      <c r="P473" s="212">
        <f t="shared" si="88"/>
        <v>0</v>
      </c>
      <c r="Q473">
        <f t="shared" si="89"/>
        <v>0</v>
      </c>
      <c r="X473" s="216">
        <f t="shared" si="95"/>
        <v>38</v>
      </c>
      <c r="Y473">
        <f t="shared" si="90"/>
        <v>0</v>
      </c>
    </row>
    <row r="474" spans="1:25" ht="13.5" thickBot="1" x14ac:dyDescent="0.25">
      <c r="A474" s="204">
        <f>IF(MOD(COUNT($A$10:A473),12)=0,A473+1,A473)</f>
        <v>39</v>
      </c>
      <c r="B474" s="218">
        <f t="shared" si="91"/>
        <v>9</v>
      </c>
      <c r="C474" s="218">
        <f t="shared" si="85"/>
        <v>1</v>
      </c>
      <c r="D474" s="208">
        <f>IF(MOD(COUNT($D$10:D473),6)=0,D473+1,D473)</f>
        <v>78</v>
      </c>
      <c r="E474" s="208">
        <f>IF(MOD(COUNT($E$10:E473),3)=0,E473+1,E473)</f>
        <v>155</v>
      </c>
      <c r="F474" s="208">
        <f>IF(MOD(COUNT($F$10:F473),1)=0,F473+1,F473)</f>
        <v>465</v>
      </c>
      <c r="G474" s="204">
        <f>IFERROR(IF(C474=1,VLOOKUP(A474,Output!$A$27:$AB$137,28,FALSE)/AnnuityMode,0),0)</f>
        <v>0</v>
      </c>
      <c r="H474" s="220">
        <f>IFERROR(IF(AND(MIN(A474&gt;25,Age+A474&gt;=85),B474=12),VLOOKUP(A474,Output!$A$27:$AE$137,31,FALSE),0),0)</f>
        <v>0</v>
      </c>
      <c r="I474" s="221">
        <f>IFERROR(IF(AND(MIN(A474&gt;15,A474+Age&gt;=70),C474=1),VLOOKUP(A474,Output!$A$27:$AF$137,32,FALSE)*VLOOKUP('SV calc_ignore'!A474,Output!$A$27:$AG$137,33,FALSE)/IF(AnnuityMode=2,2,IF(AnnuityMode=4,4,IF(AnnuityMode=12,12,1))),0),0)</f>
        <v>0</v>
      </c>
      <c r="J474" s="227">
        <f t="shared" si="86"/>
        <v>0</v>
      </c>
      <c r="K474" s="213">
        <f t="shared" si="92"/>
        <v>0</v>
      </c>
      <c r="L474" s="209">
        <f t="shared" si="87"/>
        <v>0</v>
      </c>
      <c r="M474" s="214">
        <f t="shared" si="84"/>
        <v>0</v>
      </c>
      <c r="N474" s="211">
        <f t="shared" si="93"/>
        <v>0</v>
      </c>
      <c r="O474" s="194">
        <f t="shared" si="94"/>
        <v>0</v>
      </c>
      <c r="P474" s="212">
        <f t="shared" si="88"/>
        <v>0</v>
      </c>
      <c r="Q474">
        <f t="shared" si="89"/>
        <v>0</v>
      </c>
      <c r="X474" s="216">
        <f t="shared" si="95"/>
        <v>38</v>
      </c>
      <c r="Y474">
        <f t="shared" si="90"/>
        <v>0</v>
      </c>
    </row>
    <row r="475" spans="1:25" ht="13.5" thickBot="1" x14ac:dyDescent="0.25">
      <c r="A475" s="204">
        <f>IF(MOD(COUNT($A$10:A474),12)=0,A474+1,A474)</f>
        <v>39</v>
      </c>
      <c r="B475" s="218">
        <f t="shared" si="91"/>
        <v>10</v>
      </c>
      <c r="C475" s="218">
        <f t="shared" si="85"/>
        <v>1</v>
      </c>
      <c r="D475" s="208">
        <f>IF(MOD(COUNT($D$10:D474),6)=0,D474+1,D474)</f>
        <v>78</v>
      </c>
      <c r="E475" s="208">
        <f>IF(MOD(COUNT($E$10:E474),3)=0,E474+1,E474)</f>
        <v>156</v>
      </c>
      <c r="F475" s="208">
        <f>IF(MOD(COUNT($F$10:F474),1)=0,F474+1,F474)</f>
        <v>466</v>
      </c>
      <c r="G475" s="204">
        <f>IFERROR(IF(C475=1,VLOOKUP(A475,Output!$A$27:$AB$137,28,FALSE)/AnnuityMode,0),0)</f>
        <v>0</v>
      </c>
      <c r="H475" s="220">
        <f>IFERROR(IF(AND(MIN(A475&gt;25,Age+A475&gt;=85),B475=12),VLOOKUP(A475,Output!$A$27:$AE$137,31,FALSE),0),0)</f>
        <v>0</v>
      </c>
      <c r="I475" s="221">
        <f>IFERROR(IF(AND(MIN(A475&gt;15,A475+Age&gt;=70),C475=1),VLOOKUP(A475,Output!$A$27:$AF$137,32,FALSE)*VLOOKUP('SV calc_ignore'!A475,Output!$A$27:$AG$137,33,FALSE)/IF(AnnuityMode=2,2,IF(AnnuityMode=4,4,IF(AnnuityMode=12,12,1))),0),0)</f>
        <v>0</v>
      </c>
      <c r="J475" s="227">
        <f t="shared" si="86"/>
        <v>0</v>
      </c>
      <c r="K475" s="213">
        <f t="shared" si="92"/>
        <v>0</v>
      </c>
      <c r="L475" s="209">
        <f t="shared" si="87"/>
        <v>0</v>
      </c>
      <c r="M475" s="214">
        <f t="shared" si="84"/>
        <v>0</v>
      </c>
      <c r="N475" s="211">
        <f t="shared" si="93"/>
        <v>0</v>
      </c>
      <c r="O475" s="194">
        <f t="shared" si="94"/>
        <v>0</v>
      </c>
      <c r="P475" s="212">
        <f t="shared" si="88"/>
        <v>0</v>
      </c>
      <c r="Q475">
        <f t="shared" si="89"/>
        <v>0</v>
      </c>
      <c r="X475" s="216">
        <f t="shared" si="95"/>
        <v>38</v>
      </c>
      <c r="Y475">
        <f t="shared" si="90"/>
        <v>0</v>
      </c>
    </row>
    <row r="476" spans="1:25" ht="13.5" thickBot="1" x14ac:dyDescent="0.25">
      <c r="A476" s="204">
        <f>IF(MOD(COUNT($A$10:A475),12)=0,A475+1,A475)</f>
        <v>39</v>
      </c>
      <c r="B476" s="218">
        <f t="shared" si="91"/>
        <v>11</v>
      </c>
      <c r="C476" s="218">
        <f t="shared" si="85"/>
        <v>1</v>
      </c>
      <c r="D476" s="208">
        <f>IF(MOD(COUNT($D$10:D475),6)=0,D475+1,D475)</f>
        <v>78</v>
      </c>
      <c r="E476" s="208">
        <f>IF(MOD(COUNT($E$10:E475),3)=0,E475+1,E475)</f>
        <v>156</v>
      </c>
      <c r="F476" s="208">
        <f>IF(MOD(COUNT($F$10:F475),1)=0,F475+1,F475)</f>
        <v>467</v>
      </c>
      <c r="G476" s="204">
        <f>IFERROR(IF(C476=1,VLOOKUP(A476,Output!$A$27:$AB$137,28,FALSE)/AnnuityMode,0),0)</f>
        <v>0</v>
      </c>
      <c r="H476" s="220">
        <f>IFERROR(IF(AND(MIN(A476&gt;25,Age+A476&gt;=85),B476=12),VLOOKUP(A476,Output!$A$27:$AE$137,31,FALSE),0),0)</f>
        <v>0</v>
      </c>
      <c r="I476" s="221">
        <f>IFERROR(IF(AND(MIN(A476&gt;15,A476+Age&gt;=70),C476=1),VLOOKUP(A476,Output!$A$27:$AF$137,32,FALSE)*VLOOKUP('SV calc_ignore'!A476,Output!$A$27:$AG$137,33,FALSE)/IF(AnnuityMode=2,2,IF(AnnuityMode=4,4,IF(AnnuityMode=12,12,1))),0),0)</f>
        <v>0</v>
      </c>
      <c r="J476" s="227">
        <f t="shared" si="86"/>
        <v>0</v>
      </c>
      <c r="K476" s="213">
        <f t="shared" si="92"/>
        <v>0</v>
      </c>
      <c r="L476" s="209">
        <f t="shared" si="87"/>
        <v>0</v>
      </c>
      <c r="M476" s="214">
        <f t="shared" si="84"/>
        <v>0</v>
      </c>
      <c r="N476" s="211">
        <f t="shared" si="93"/>
        <v>0</v>
      </c>
      <c r="O476" s="194">
        <f t="shared" si="94"/>
        <v>0</v>
      </c>
      <c r="P476" s="212">
        <f t="shared" si="88"/>
        <v>0</v>
      </c>
      <c r="Q476">
        <f t="shared" si="89"/>
        <v>0</v>
      </c>
      <c r="X476" s="216">
        <f t="shared" si="95"/>
        <v>38</v>
      </c>
      <c r="Y476">
        <f t="shared" si="90"/>
        <v>0</v>
      </c>
    </row>
    <row r="477" spans="1:25" ht="13.5" thickBot="1" x14ac:dyDescent="0.25">
      <c r="A477" s="204">
        <f>IF(MOD(COUNT($A$10:A476),12)=0,A476+1,A476)</f>
        <v>39</v>
      </c>
      <c r="B477" s="218">
        <f t="shared" si="91"/>
        <v>12</v>
      </c>
      <c r="C477" s="218">
        <f t="shared" si="85"/>
        <v>1</v>
      </c>
      <c r="D477" s="208">
        <f>IF(MOD(COUNT($D$10:D476),6)=0,D476+1,D476)</f>
        <v>78</v>
      </c>
      <c r="E477" s="208">
        <f>IF(MOD(COUNT($E$10:E476),3)=0,E476+1,E476)</f>
        <v>156</v>
      </c>
      <c r="F477" s="208">
        <f>IF(MOD(COUNT($F$10:F476),1)=0,F476+1,F476)</f>
        <v>468</v>
      </c>
      <c r="G477" s="204">
        <f>IFERROR(IF(C477=1,VLOOKUP(A477,Output!$A$27:$AB$137,28,FALSE)/AnnuityMode,0),0)</f>
        <v>0</v>
      </c>
      <c r="H477" s="220">
        <f>IFERROR(IF(AND(MIN(A477&gt;25,Age+A477&gt;=85),B477=12),VLOOKUP(A477,Output!$A$27:$AE$137,31,FALSE),0),0)</f>
        <v>0</v>
      </c>
      <c r="I477" s="221">
        <f>IFERROR(IF(AND(MIN(A477&gt;15,A477+Age&gt;=70),C477=1),VLOOKUP(A477,Output!$A$27:$AF$137,32,FALSE)*VLOOKUP('SV calc_ignore'!A477,Output!$A$27:$AG$137,33,FALSE)/IF(AnnuityMode=2,2,IF(AnnuityMode=4,4,IF(AnnuityMode=12,12,1))),0),0)</f>
        <v>0</v>
      </c>
      <c r="J477" s="227">
        <f t="shared" si="86"/>
        <v>0</v>
      </c>
      <c r="K477" s="213">
        <f t="shared" si="92"/>
        <v>0</v>
      </c>
      <c r="L477" s="209">
        <f t="shared" si="87"/>
        <v>0</v>
      </c>
      <c r="M477" s="214">
        <f t="shared" si="84"/>
        <v>0</v>
      </c>
      <c r="N477" s="211">
        <f t="shared" si="93"/>
        <v>0</v>
      </c>
      <c r="O477" s="194">
        <f t="shared" si="94"/>
        <v>0</v>
      </c>
      <c r="P477" s="212">
        <f t="shared" si="88"/>
        <v>0</v>
      </c>
      <c r="Q477">
        <f t="shared" si="89"/>
        <v>0</v>
      </c>
      <c r="X477" s="216">
        <f t="shared" si="95"/>
        <v>38</v>
      </c>
      <c r="Y477">
        <f t="shared" si="90"/>
        <v>0</v>
      </c>
    </row>
    <row r="478" spans="1:25" ht="13.5" thickBot="1" x14ac:dyDescent="0.25">
      <c r="A478" s="204">
        <f>IF(MOD(COUNT($A$10:A477),12)=0,A477+1,A477)</f>
        <v>40</v>
      </c>
      <c r="B478" s="218">
        <f t="shared" si="91"/>
        <v>1</v>
      </c>
      <c r="C478" s="218">
        <f t="shared" si="85"/>
        <v>1</v>
      </c>
      <c r="D478" s="208">
        <f>IF(MOD(COUNT($D$10:D477),6)=0,D477+1,D477)</f>
        <v>79</v>
      </c>
      <c r="E478" s="208">
        <f>IF(MOD(COUNT($E$10:E477),3)=0,E477+1,E477)</f>
        <v>157</v>
      </c>
      <c r="F478" s="208">
        <f>IF(MOD(COUNT($F$10:F477),1)=0,F477+1,F477)</f>
        <v>469</v>
      </c>
      <c r="G478" s="204">
        <f>IFERROR(IF(C478=1,VLOOKUP(A478,Output!$A$27:$AB$137,28,FALSE)/AnnuityMode,0),0)</f>
        <v>0</v>
      </c>
      <c r="H478" s="220">
        <f>IFERROR(IF(AND(MIN(A478&gt;25,Age+A478&gt;=85),B478=12),VLOOKUP(A478,Output!$A$27:$AE$137,31,FALSE),0),0)</f>
        <v>0</v>
      </c>
      <c r="I478" s="221">
        <f>IFERROR(IF(AND(MIN(A478&gt;15,A478+Age&gt;=70),C478=1),VLOOKUP(A478,Output!$A$27:$AF$137,32,FALSE)*VLOOKUP('SV calc_ignore'!A478,Output!$A$27:$AG$137,33,FALSE)/IF(AnnuityMode=2,2,IF(AnnuityMode=4,4,IF(AnnuityMode=12,12,1))),0),0)</f>
        <v>0</v>
      </c>
      <c r="J478" s="227">
        <f t="shared" si="86"/>
        <v>0</v>
      </c>
      <c r="K478" s="213">
        <f t="shared" si="92"/>
        <v>0</v>
      </c>
      <c r="L478" s="209">
        <f t="shared" si="87"/>
        <v>0</v>
      </c>
      <c r="M478" s="214">
        <f t="shared" si="84"/>
        <v>0</v>
      </c>
      <c r="N478" s="211">
        <f t="shared" si="93"/>
        <v>0</v>
      </c>
      <c r="O478" s="194">
        <f t="shared" si="94"/>
        <v>0</v>
      </c>
      <c r="P478" s="212">
        <f t="shared" si="88"/>
        <v>0</v>
      </c>
      <c r="Q478">
        <f t="shared" si="89"/>
        <v>0</v>
      </c>
      <c r="X478" s="216">
        <f t="shared" si="95"/>
        <v>39</v>
      </c>
      <c r="Y478">
        <f t="shared" si="90"/>
        <v>0</v>
      </c>
    </row>
    <row r="479" spans="1:25" ht="13.5" thickBot="1" x14ac:dyDescent="0.25">
      <c r="A479" s="204">
        <f>IF(MOD(COUNT($A$10:A478),12)=0,A478+1,A478)</f>
        <v>40</v>
      </c>
      <c r="B479" s="218">
        <f t="shared" si="91"/>
        <v>2</v>
      </c>
      <c r="C479" s="218">
        <f t="shared" si="85"/>
        <v>1</v>
      </c>
      <c r="D479" s="208">
        <f>IF(MOD(COUNT($D$10:D478),6)=0,D478+1,D478)</f>
        <v>79</v>
      </c>
      <c r="E479" s="208">
        <f>IF(MOD(COUNT($E$10:E478),3)=0,E478+1,E478)</f>
        <v>157</v>
      </c>
      <c r="F479" s="208">
        <f>IF(MOD(COUNT($F$10:F478),1)=0,F478+1,F478)</f>
        <v>470</v>
      </c>
      <c r="G479" s="204">
        <f>IFERROR(IF(C479=1,VLOOKUP(A479,Output!$A$27:$AB$137,28,FALSE)/AnnuityMode,0),0)</f>
        <v>0</v>
      </c>
      <c r="H479" s="220">
        <f>IFERROR(IF(AND(MIN(A479&gt;25,Age+A479&gt;=85),B479=12),VLOOKUP(A479,Output!$A$27:$AE$137,31,FALSE),0),0)</f>
        <v>0</v>
      </c>
      <c r="I479" s="221">
        <f>IFERROR(IF(AND(MIN(A479&gt;15,A479+Age&gt;=70),C479=1),VLOOKUP(A479,Output!$A$27:$AF$137,32,FALSE)*VLOOKUP('SV calc_ignore'!A479,Output!$A$27:$AG$137,33,FALSE)/IF(AnnuityMode=2,2,IF(AnnuityMode=4,4,IF(AnnuityMode=12,12,1))),0),0)</f>
        <v>0</v>
      </c>
      <c r="J479" s="227">
        <f t="shared" si="86"/>
        <v>0</v>
      </c>
      <c r="K479" s="213">
        <f t="shared" si="92"/>
        <v>0</v>
      </c>
      <c r="L479" s="209">
        <f t="shared" si="87"/>
        <v>0</v>
      </c>
      <c r="M479" s="214">
        <f t="shared" si="84"/>
        <v>0</v>
      </c>
      <c r="N479" s="211">
        <f t="shared" si="93"/>
        <v>0</v>
      </c>
      <c r="O479" s="194">
        <f t="shared" si="94"/>
        <v>0</v>
      </c>
      <c r="P479" s="212">
        <f t="shared" si="88"/>
        <v>0</v>
      </c>
      <c r="Q479">
        <f t="shared" si="89"/>
        <v>0</v>
      </c>
      <c r="X479" s="216">
        <f t="shared" si="95"/>
        <v>39</v>
      </c>
      <c r="Y479">
        <f t="shared" si="90"/>
        <v>0</v>
      </c>
    </row>
    <row r="480" spans="1:25" ht="13.5" thickBot="1" x14ac:dyDescent="0.25">
      <c r="A480" s="204">
        <f>IF(MOD(COUNT($A$10:A479),12)=0,A479+1,A479)</f>
        <v>40</v>
      </c>
      <c r="B480" s="218">
        <f t="shared" si="91"/>
        <v>3</v>
      </c>
      <c r="C480" s="218">
        <f t="shared" si="85"/>
        <v>1</v>
      </c>
      <c r="D480" s="208">
        <f>IF(MOD(COUNT($D$10:D479),6)=0,D479+1,D479)</f>
        <v>79</v>
      </c>
      <c r="E480" s="208">
        <f>IF(MOD(COUNT($E$10:E479),3)=0,E479+1,E479)</f>
        <v>157</v>
      </c>
      <c r="F480" s="208">
        <f>IF(MOD(COUNT($F$10:F479),1)=0,F479+1,F479)</f>
        <v>471</v>
      </c>
      <c r="G480" s="204">
        <f>IFERROR(IF(C480=1,VLOOKUP(A480,Output!$A$27:$AB$137,28,FALSE)/AnnuityMode,0),0)</f>
        <v>0</v>
      </c>
      <c r="H480" s="220">
        <f>IFERROR(IF(AND(MIN(A480&gt;25,Age+A480&gt;=85),B480=12),VLOOKUP(A480,Output!$A$27:$AE$137,31,FALSE),0),0)</f>
        <v>0</v>
      </c>
      <c r="I480" s="221">
        <f>IFERROR(IF(AND(MIN(A480&gt;15,A480+Age&gt;=70),C480=1),VLOOKUP(A480,Output!$A$27:$AF$137,32,FALSE)*VLOOKUP('SV calc_ignore'!A480,Output!$A$27:$AG$137,33,FALSE)/IF(AnnuityMode=2,2,IF(AnnuityMode=4,4,IF(AnnuityMode=12,12,1))),0),0)</f>
        <v>0</v>
      </c>
      <c r="J480" s="227">
        <f t="shared" si="86"/>
        <v>0</v>
      </c>
      <c r="K480" s="213">
        <f t="shared" si="92"/>
        <v>0</v>
      </c>
      <c r="L480" s="209">
        <f t="shared" si="87"/>
        <v>0</v>
      </c>
      <c r="M480" s="214">
        <f t="shared" si="84"/>
        <v>0</v>
      </c>
      <c r="N480" s="211">
        <f t="shared" si="93"/>
        <v>0</v>
      </c>
      <c r="O480" s="194">
        <f t="shared" si="94"/>
        <v>0</v>
      </c>
      <c r="P480" s="212">
        <f t="shared" si="88"/>
        <v>0</v>
      </c>
      <c r="Q480">
        <f t="shared" si="89"/>
        <v>0</v>
      </c>
      <c r="X480" s="216">
        <f t="shared" si="95"/>
        <v>39</v>
      </c>
      <c r="Y480">
        <f t="shared" si="90"/>
        <v>0</v>
      </c>
    </row>
    <row r="481" spans="1:25" ht="13.5" thickBot="1" x14ac:dyDescent="0.25">
      <c r="A481" s="204">
        <f>IF(MOD(COUNT($A$10:A480),12)=0,A480+1,A480)</f>
        <v>40</v>
      </c>
      <c r="B481" s="218">
        <f t="shared" si="91"/>
        <v>4</v>
      </c>
      <c r="C481" s="218">
        <f t="shared" si="85"/>
        <v>1</v>
      </c>
      <c r="D481" s="208">
        <f>IF(MOD(COUNT($D$10:D480),6)=0,D480+1,D480)</f>
        <v>79</v>
      </c>
      <c r="E481" s="208">
        <f>IF(MOD(COUNT($E$10:E480),3)=0,E480+1,E480)</f>
        <v>158</v>
      </c>
      <c r="F481" s="208">
        <f>IF(MOD(COUNT($F$10:F480),1)=0,F480+1,F480)</f>
        <v>472</v>
      </c>
      <c r="G481" s="204">
        <f>IFERROR(IF(C481=1,VLOOKUP(A481,Output!$A$27:$AB$137,28,FALSE)/AnnuityMode,0),0)</f>
        <v>0</v>
      </c>
      <c r="H481" s="220">
        <f>IFERROR(IF(AND(MIN(A481&gt;25,Age+A481&gt;=85),B481=12),VLOOKUP(A481,Output!$A$27:$AE$137,31,FALSE),0),0)</f>
        <v>0</v>
      </c>
      <c r="I481" s="221">
        <f>IFERROR(IF(AND(MIN(A481&gt;15,A481+Age&gt;=70),C481=1),VLOOKUP(A481,Output!$A$27:$AF$137,32,FALSE)*VLOOKUP('SV calc_ignore'!A481,Output!$A$27:$AG$137,33,FALSE)/IF(AnnuityMode=2,2,IF(AnnuityMode=4,4,IF(AnnuityMode=12,12,1))),0),0)</f>
        <v>0</v>
      </c>
      <c r="J481" s="227">
        <f t="shared" si="86"/>
        <v>0</v>
      </c>
      <c r="K481" s="213">
        <f t="shared" si="92"/>
        <v>0</v>
      </c>
      <c r="L481" s="209">
        <f t="shared" si="87"/>
        <v>0</v>
      </c>
      <c r="M481" s="214">
        <f t="shared" si="84"/>
        <v>0</v>
      </c>
      <c r="N481" s="211">
        <f t="shared" si="93"/>
        <v>0</v>
      </c>
      <c r="O481" s="194">
        <f t="shared" si="94"/>
        <v>0</v>
      </c>
      <c r="P481" s="212">
        <f t="shared" si="88"/>
        <v>0</v>
      </c>
      <c r="Q481">
        <f t="shared" si="89"/>
        <v>0</v>
      </c>
      <c r="X481" s="216">
        <f t="shared" si="95"/>
        <v>39</v>
      </c>
      <c r="Y481">
        <f t="shared" si="90"/>
        <v>0</v>
      </c>
    </row>
    <row r="482" spans="1:25" ht="13.5" thickBot="1" x14ac:dyDescent="0.25">
      <c r="A482" s="204">
        <f>IF(MOD(COUNT($A$10:A481),12)=0,A481+1,A481)</f>
        <v>40</v>
      </c>
      <c r="B482" s="218">
        <f t="shared" si="91"/>
        <v>5</v>
      </c>
      <c r="C482" s="218">
        <f t="shared" si="85"/>
        <v>1</v>
      </c>
      <c r="D482" s="208">
        <f>IF(MOD(COUNT($D$10:D481),6)=0,D481+1,D481)</f>
        <v>79</v>
      </c>
      <c r="E482" s="208">
        <f>IF(MOD(COUNT($E$10:E481),3)=0,E481+1,E481)</f>
        <v>158</v>
      </c>
      <c r="F482" s="208">
        <f>IF(MOD(COUNT($F$10:F481),1)=0,F481+1,F481)</f>
        <v>473</v>
      </c>
      <c r="G482" s="204">
        <f>IFERROR(IF(C482=1,VLOOKUP(A482,Output!$A$27:$AB$137,28,FALSE)/AnnuityMode,0),0)</f>
        <v>0</v>
      </c>
      <c r="H482" s="220">
        <f>IFERROR(IF(AND(MIN(A482&gt;25,Age+A482&gt;=85),B482=12),VLOOKUP(A482,Output!$A$27:$AE$137,31,FALSE),0),0)</f>
        <v>0</v>
      </c>
      <c r="I482" s="221">
        <f>IFERROR(IF(AND(MIN(A482&gt;15,A482+Age&gt;=70),C482=1),VLOOKUP(A482,Output!$A$27:$AF$137,32,FALSE)*VLOOKUP('SV calc_ignore'!A482,Output!$A$27:$AG$137,33,FALSE)/IF(AnnuityMode=2,2,IF(AnnuityMode=4,4,IF(AnnuityMode=12,12,1))),0),0)</f>
        <v>0</v>
      </c>
      <c r="J482" s="227">
        <f t="shared" si="86"/>
        <v>0</v>
      </c>
      <c r="K482" s="213">
        <f t="shared" si="92"/>
        <v>0</v>
      </c>
      <c r="L482" s="209">
        <f t="shared" si="87"/>
        <v>0</v>
      </c>
      <c r="M482" s="214">
        <f t="shared" si="84"/>
        <v>0</v>
      </c>
      <c r="N482" s="211">
        <f t="shared" si="93"/>
        <v>0</v>
      </c>
      <c r="O482" s="194">
        <f t="shared" si="94"/>
        <v>0</v>
      </c>
      <c r="P482" s="212">
        <f t="shared" si="88"/>
        <v>0</v>
      </c>
      <c r="Q482">
        <f t="shared" si="89"/>
        <v>0</v>
      </c>
      <c r="X482" s="216">
        <f t="shared" si="95"/>
        <v>39</v>
      </c>
      <c r="Y482">
        <f t="shared" si="90"/>
        <v>0</v>
      </c>
    </row>
    <row r="483" spans="1:25" ht="13.5" thickBot="1" x14ac:dyDescent="0.25">
      <c r="A483" s="204">
        <f>IF(MOD(COUNT($A$10:A482),12)=0,A482+1,A482)</f>
        <v>40</v>
      </c>
      <c r="B483" s="218">
        <f t="shared" si="91"/>
        <v>6</v>
      </c>
      <c r="C483" s="218">
        <f t="shared" si="85"/>
        <v>1</v>
      </c>
      <c r="D483" s="208">
        <f>IF(MOD(COUNT($D$10:D482),6)=0,D482+1,D482)</f>
        <v>79</v>
      </c>
      <c r="E483" s="208">
        <f>IF(MOD(COUNT($E$10:E482),3)=0,E482+1,E482)</f>
        <v>158</v>
      </c>
      <c r="F483" s="208">
        <f>IF(MOD(COUNT($F$10:F482),1)=0,F482+1,F482)</f>
        <v>474</v>
      </c>
      <c r="G483" s="204">
        <f>IFERROR(IF(C483=1,VLOOKUP(A483,Output!$A$27:$AB$137,28,FALSE)/AnnuityMode,0),0)</f>
        <v>0</v>
      </c>
      <c r="H483" s="220">
        <f>IFERROR(IF(AND(MIN(A483&gt;25,Age+A483&gt;=85),B483=12),VLOOKUP(A483,Output!$A$27:$AE$137,31,FALSE),0),0)</f>
        <v>0</v>
      </c>
      <c r="I483" s="221">
        <f>IFERROR(IF(AND(MIN(A483&gt;15,A483+Age&gt;=70),C483=1),VLOOKUP(A483,Output!$A$27:$AF$137,32,FALSE)*VLOOKUP('SV calc_ignore'!A483,Output!$A$27:$AG$137,33,FALSE)/IF(AnnuityMode=2,2,IF(AnnuityMode=4,4,IF(AnnuityMode=12,12,1))),0),0)</f>
        <v>0</v>
      </c>
      <c r="J483" s="227">
        <f t="shared" si="86"/>
        <v>0</v>
      </c>
      <c r="K483" s="213">
        <f t="shared" si="92"/>
        <v>0</v>
      </c>
      <c r="L483" s="209">
        <f t="shared" si="87"/>
        <v>0</v>
      </c>
      <c r="M483" s="214">
        <f t="shared" si="84"/>
        <v>0</v>
      </c>
      <c r="N483" s="211">
        <f t="shared" si="93"/>
        <v>0</v>
      </c>
      <c r="O483" s="194">
        <f t="shared" si="94"/>
        <v>0</v>
      </c>
      <c r="P483" s="212">
        <f t="shared" si="88"/>
        <v>0</v>
      </c>
      <c r="Q483">
        <f t="shared" si="89"/>
        <v>0</v>
      </c>
      <c r="X483" s="216">
        <f t="shared" si="95"/>
        <v>39</v>
      </c>
      <c r="Y483">
        <f t="shared" si="90"/>
        <v>0</v>
      </c>
    </row>
    <row r="484" spans="1:25" ht="13.5" thickBot="1" x14ac:dyDescent="0.25">
      <c r="A484" s="204">
        <f>IF(MOD(COUNT($A$10:A483),12)=0,A483+1,A483)</f>
        <v>40</v>
      </c>
      <c r="B484" s="218">
        <f t="shared" si="91"/>
        <v>7</v>
      </c>
      <c r="C484" s="218">
        <f t="shared" si="85"/>
        <v>1</v>
      </c>
      <c r="D484" s="208">
        <f>IF(MOD(COUNT($D$10:D483),6)=0,D483+1,D483)</f>
        <v>80</v>
      </c>
      <c r="E484" s="208">
        <f>IF(MOD(COUNT($E$10:E483),3)=0,E483+1,E483)</f>
        <v>159</v>
      </c>
      <c r="F484" s="208">
        <f>IF(MOD(COUNT($F$10:F483),1)=0,F483+1,F483)</f>
        <v>475</v>
      </c>
      <c r="G484" s="204">
        <f>IFERROR(IF(C484=1,VLOOKUP(A484,Output!$A$27:$AB$137,28,FALSE)/AnnuityMode,0),0)</f>
        <v>0</v>
      </c>
      <c r="H484" s="220">
        <f>IFERROR(IF(AND(MIN(A484&gt;25,Age+A484&gt;=85),B484=12),VLOOKUP(A484,Output!$A$27:$AE$137,31,FALSE),0),0)</f>
        <v>0</v>
      </c>
      <c r="I484" s="221">
        <f>IFERROR(IF(AND(MIN(A484&gt;15,A484+Age&gt;=70),C484=1),VLOOKUP(A484,Output!$A$27:$AF$137,32,FALSE)*VLOOKUP('SV calc_ignore'!A484,Output!$A$27:$AG$137,33,FALSE)/IF(AnnuityMode=2,2,IF(AnnuityMode=4,4,IF(AnnuityMode=12,12,1))),0),0)</f>
        <v>0</v>
      </c>
      <c r="J484" s="227">
        <f t="shared" si="86"/>
        <v>0</v>
      </c>
      <c r="K484" s="213">
        <f t="shared" si="92"/>
        <v>0</v>
      </c>
      <c r="L484" s="209">
        <f t="shared" si="87"/>
        <v>0</v>
      </c>
      <c r="M484" s="214">
        <f t="shared" si="84"/>
        <v>0</v>
      </c>
      <c r="N484" s="211">
        <f t="shared" si="93"/>
        <v>0</v>
      </c>
      <c r="O484" s="194">
        <f t="shared" si="94"/>
        <v>0</v>
      </c>
      <c r="P484" s="212">
        <f t="shared" si="88"/>
        <v>0</v>
      </c>
      <c r="Q484">
        <f t="shared" si="89"/>
        <v>0</v>
      </c>
      <c r="X484" s="216">
        <f t="shared" si="95"/>
        <v>39</v>
      </c>
      <c r="Y484">
        <f t="shared" si="90"/>
        <v>0</v>
      </c>
    </row>
    <row r="485" spans="1:25" ht="13.5" thickBot="1" x14ac:dyDescent="0.25">
      <c r="A485" s="204">
        <f>IF(MOD(COUNT($A$10:A484),12)=0,A484+1,A484)</f>
        <v>40</v>
      </c>
      <c r="B485" s="218">
        <f t="shared" si="91"/>
        <v>8</v>
      </c>
      <c r="C485" s="218">
        <f t="shared" si="85"/>
        <v>1</v>
      </c>
      <c r="D485" s="208">
        <f>IF(MOD(COUNT($D$10:D484),6)=0,D484+1,D484)</f>
        <v>80</v>
      </c>
      <c r="E485" s="208">
        <f>IF(MOD(COUNT($E$10:E484),3)=0,E484+1,E484)</f>
        <v>159</v>
      </c>
      <c r="F485" s="208">
        <f>IF(MOD(COUNT($F$10:F484),1)=0,F484+1,F484)</f>
        <v>476</v>
      </c>
      <c r="G485" s="204">
        <f>IFERROR(IF(C485=1,VLOOKUP(A485,Output!$A$27:$AB$137,28,FALSE)/AnnuityMode,0),0)</f>
        <v>0</v>
      </c>
      <c r="H485" s="220">
        <f>IFERROR(IF(AND(MIN(A485&gt;25,Age+A485&gt;=85),B485=12),VLOOKUP(A485,Output!$A$27:$AE$137,31,FALSE),0),0)</f>
        <v>0</v>
      </c>
      <c r="I485" s="221">
        <f>IFERROR(IF(AND(MIN(A485&gt;15,A485+Age&gt;=70),C485=1),VLOOKUP(A485,Output!$A$27:$AF$137,32,FALSE)*VLOOKUP('SV calc_ignore'!A485,Output!$A$27:$AG$137,33,FALSE)/IF(AnnuityMode=2,2,IF(AnnuityMode=4,4,IF(AnnuityMode=12,12,1))),0),0)</f>
        <v>0</v>
      </c>
      <c r="J485" s="227">
        <f t="shared" si="86"/>
        <v>0</v>
      </c>
      <c r="K485" s="213">
        <f t="shared" si="92"/>
        <v>0</v>
      </c>
      <c r="L485" s="209">
        <f t="shared" si="87"/>
        <v>0</v>
      </c>
      <c r="M485" s="214">
        <f t="shared" si="84"/>
        <v>0</v>
      </c>
      <c r="N485" s="211">
        <f t="shared" si="93"/>
        <v>0</v>
      </c>
      <c r="O485" s="194">
        <f t="shared" si="94"/>
        <v>0</v>
      </c>
      <c r="P485" s="212">
        <f t="shared" si="88"/>
        <v>0</v>
      </c>
      <c r="Q485">
        <f t="shared" si="89"/>
        <v>0</v>
      </c>
      <c r="X485" s="216">
        <f t="shared" si="95"/>
        <v>39</v>
      </c>
      <c r="Y485">
        <f t="shared" si="90"/>
        <v>0</v>
      </c>
    </row>
    <row r="486" spans="1:25" ht="13.5" thickBot="1" x14ac:dyDescent="0.25">
      <c r="A486" s="204">
        <f>IF(MOD(COUNT($A$10:A485),12)=0,A485+1,A485)</f>
        <v>40</v>
      </c>
      <c r="B486" s="218">
        <f t="shared" si="91"/>
        <v>9</v>
      </c>
      <c r="C486" s="218">
        <f t="shared" si="85"/>
        <v>1</v>
      </c>
      <c r="D486" s="208">
        <f>IF(MOD(COUNT($D$10:D485),6)=0,D485+1,D485)</f>
        <v>80</v>
      </c>
      <c r="E486" s="208">
        <f>IF(MOD(COUNT($E$10:E485),3)=0,E485+1,E485)</f>
        <v>159</v>
      </c>
      <c r="F486" s="208">
        <f>IF(MOD(COUNT($F$10:F485),1)=0,F485+1,F485)</f>
        <v>477</v>
      </c>
      <c r="G486" s="204">
        <f>IFERROR(IF(C486=1,VLOOKUP(A486,Output!$A$27:$AB$137,28,FALSE)/AnnuityMode,0),0)</f>
        <v>0</v>
      </c>
      <c r="H486" s="220">
        <f>IFERROR(IF(AND(MIN(A486&gt;25,Age+A486&gt;=85),B486=12),VLOOKUP(A486,Output!$A$27:$AE$137,31,FALSE),0),0)</f>
        <v>0</v>
      </c>
      <c r="I486" s="221">
        <f>IFERROR(IF(AND(MIN(A486&gt;15,A486+Age&gt;=70),C486=1),VLOOKUP(A486,Output!$A$27:$AF$137,32,FALSE)*VLOOKUP('SV calc_ignore'!A486,Output!$A$27:$AG$137,33,FALSE)/IF(AnnuityMode=2,2,IF(AnnuityMode=4,4,IF(AnnuityMode=12,12,1))),0),0)</f>
        <v>0</v>
      </c>
      <c r="J486" s="227">
        <f t="shared" si="86"/>
        <v>0</v>
      </c>
      <c r="K486" s="213">
        <f t="shared" si="92"/>
        <v>0</v>
      </c>
      <c r="L486" s="209">
        <f t="shared" si="87"/>
        <v>0</v>
      </c>
      <c r="M486" s="214">
        <f t="shared" si="84"/>
        <v>0</v>
      </c>
      <c r="N486" s="211">
        <f t="shared" si="93"/>
        <v>0</v>
      </c>
      <c r="O486" s="194">
        <f t="shared" si="94"/>
        <v>0</v>
      </c>
      <c r="P486" s="212">
        <f t="shared" si="88"/>
        <v>0</v>
      </c>
      <c r="Q486">
        <f t="shared" si="89"/>
        <v>0</v>
      </c>
      <c r="X486" s="216">
        <f t="shared" si="95"/>
        <v>39</v>
      </c>
      <c r="Y486">
        <f t="shared" si="90"/>
        <v>0</v>
      </c>
    </row>
    <row r="487" spans="1:25" ht="13.5" thickBot="1" x14ac:dyDescent="0.25">
      <c r="A487" s="204">
        <f>IF(MOD(COUNT($A$10:A486),12)=0,A486+1,A486)</f>
        <v>40</v>
      </c>
      <c r="B487" s="218">
        <f t="shared" si="91"/>
        <v>10</v>
      </c>
      <c r="C487" s="218">
        <f t="shared" si="85"/>
        <v>1</v>
      </c>
      <c r="D487" s="208">
        <f>IF(MOD(COUNT($D$10:D486),6)=0,D486+1,D486)</f>
        <v>80</v>
      </c>
      <c r="E487" s="208">
        <f>IF(MOD(COUNT($E$10:E486),3)=0,E486+1,E486)</f>
        <v>160</v>
      </c>
      <c r="F487" s="208">
        <f>IF(MOD(COUNT($F$10:F486),1)=0,F486+1,F486)</f>
        <v>478</v>
      </c>
      <c r="G487" s="204">
        <f>IFERROR(IF(C487=1,VLOOKUP(A487,Output!$A$27:$AB$137,28,FALSE)/AnnuityMode,0),0)</f>
        <v>0</v>
      </c>
      <c r="H487" s="220">
        <f>IFERROR(IF(AND(MIN(A487&gt;25,Age+A487&gt;=85),B487=12),VLOOKUP(A487,Output!$A$27:$AE$137,31,FALSE),0),0)</f>
        <v>0</v>
      </c>
      <c r="I487" s="221">
        <f>IFERROR(IF(AND(MIN(A487&gt;15,A487+Age&gt;=70),C487=1),VLOOKUP(A487,Output!$A$27:$AF$137,32,FALSE)*VLOOKUP('SV calc_ignore'!A487,Output!$A$27:$AG$137,33,FALSE)/IF(AnnuityMode=2,2,IF(AnnuityMode=4,4,IF(AnnuityMode=12,12,1))),0),0)</f>
        <v>0</v>
      </c>
      <c r="J487" s="227">
        <f t="shared" si="86"/>
        <v>0</v>
      </c>
      <c r="K487" s="213">
        <f t="shared" si="92"/>
        <v>0</v>
      </c>
      <c r="L487" s="209">
        <f t="shared" si="87"/>
        <v>0</v>
      </c>
      <c r="M487" s="214">
        <f t="shared" si="84"/>
        <v>0</v>
      </c>
      <c r="N487" s="211">
        <f t="shared" si="93"/>
        <v>0</v>
      </c>
      <c r="O487" s="194">
        <f t="shared" si="94"/>
        <v>0</v>
      </c>
      <c r="P487" s="212">
        <f t="shared" si="88"/>
        <v>0</v>
      </c>
      <c r="Q487">
        <f t="shared" si="89"/>
        <v>0</v>
      </c>
      <c r="X487" s="216">
        <f t="shared" si="95"/>
        <v>39</v>
      </c>
      <c r="Y487">
        <f t="shared" si="90"/>
        <v>0</v>
      </c>
    </row>
    <row r="488" spans="1:25" ht="13.5" thickBot="1" x14ac:dyDescent="0.25">
      <c r="A488" s="204">
        <f>IF(MOD(COUNT($A$10:A487),12)=0,A487+1,A487)</f>
        <v>40</v>
      </c>
      <c r="B488" s="218">
        <f t="shared" si="91"/>
        <v>11</v>
      </c>
      <c r="C488" s="218">
        <f t="shared" si="85"/>
        <v>1</v>
      </c>
      <c r="D488" s="208">
        <f>IF(MOD(COUNT($D$10:D487),6)=0,D487+1,D487)</f>
        <v>80</v>
      </c>
      <c r="E488" s="208">
        <f>IF(MOD(COUNT($E$10:E487),3)=0,E487+1,E487)</f>
        <v>160</v>
      </c>
      <c r="F488" s="208">
        <f>IF(MOD(COUNT($F$10:F487),1)=0,F487+1,F487)</f>
        <v>479</v>
      </c>
      <c r="G488" s="204">
        <f>IFERROR(IF(C488=1,VLOOKUP(A488,Output!$A$27:$AB$137,28,FALSE)/AnnuityMode,0),0)</f>
        <v>0</v>
      </c>
      <c r="H488" s="220">
        <f>IFERROR(IF(AND(MIN(A488&gt;25,Age+A488&gt;=85),B488=12),VLOOKUP(A488,Output!$A$27:$AE$137,31,FALSE),0),0)</f>
        <v>0</v>
      </c>
      <c r="I488" s="221">
        <f>IFERROR(IF(AND(MIN(A488&gt;15,A488+Age&gt;=70),C488=1),VLOOKUP(A488,Output!$A$27:$AF$137,32,FALSE)*VLOOKUP('SV calc_ignore'!A488,Output!$A$27:$AG$137,33,FALSE)/IF(AnnuityMode=2,2,IF(AnnuityMode=4,4,IF(AnnuityMode=12,12,1))),0),0)</f>
        <v>0</v>
      </c>
      <c r="J488" s="227">
        <f t="shared" si="86"/>
        <v>0</v>
      </c>
      <c r="K488" s="213">
        <f t="shared" si="92"/>
        <v>0</v>
      </c>
      <c r="L488" s="209">
        <f t="shared" si="87"/>
        <v>0</v>
      </c>
      <c r="M488" s="214">
        <f t="shared" si="84"/>
        <v>0</v>
      </c>
      <c r="N488" s="211">
        <f t="shared" si="93"/>
        <v>0</v>
      </c>
      <c r="O488" s="194">
        <f t="shared" si="94"/>
        <v>0</v>
      </c>
      <c r="P488" s="212">
        <f t="shared" si="88"/>
        <v>0</v>
      </c>
      <c r="Q488">
        <f t="shared" si="89"/>
        <v>0</v>
      </c>
      <c r="X488" s="216">
        <f t="shared" si="95"/>
        <v>39</v>
      </c>
      <c r="Y488">
        <f t="shared" si="90"/>
        <v>0</v>
      </c>
    </row>
    <row r="489" spans="1:25" ht="13.5" thickBot="1" x14ac:dyDescent="0.25">
      <c r="A489" s="204">
        <f>IF(MOD(COUNT($A$10:A488),12)=0,A488+1,A488)</f>
        <v>40</v>
      </c>
      <c r="B489" s="218">
        <f t="shared" si="91"/>
        <v>12</v>
      </c>
      <c r="C489" s="218">
        <f t="shared" si="85"/>
        <v>1</v>
      </c>
      <c r="D489" s="208">
        <f>IF(MOD(COUNT($D$10:D488),6)=0,D488+1,D488)</f>
        <v>80</v>
      </c>
      <c r="E489" s="208">
        <f>IF(MOD(COUNT($E$10:E488),3)=0,E488+1,E488)</f>
        <v>160</v>
      </c>
      <c r="F489" s="208">
        <f>IF(MOD(COUNT($F$10:F488),1)=0,F488+1,F488)</f>
        <v>480</v>
      </c>
      <c r="G489" s="204">
        <f>IFERROR(IF(C489=1,VLOOKUP(A489,Output!$A$27:$AB$137,28,FALSE)/AnnuityMode,0),0)</f>
        <v>0</v>
      </c>
      <c r="H489" s="220">
        <f>IFERROR(IF(AND(MIN(A489&gt;25,Age+A489&gt;=85),B489=12),VLOOKUP(A489,Output!$A$27:$AE$137,31,FALSE),0),0)</f>
        <v>0</v>
      </c>
      <c r="I489" s="221">
        <f>IFERROR(IF(AND(MIN(A489&gt;15,A489+Age&gt;=70),C489=1),VLOOKUP(A489,Output!$A$27:$AF$137,32,FALSE)*VLOOKUP('SV calc_ignore'!A489,Output!$A$27:$AG$137,33,FALSE)/IF(AnnuityMode=2,2,IF(AnnuityMode=4,4,IF(AnnuityMode=12,12,1))),0),0)</f>
        <v>0</v>
      </c>
      <c r="J489" s="227">
        <f t="shared" si="86"/>
        <v>0</v>
      </c>
      <c r="K489" s="213">
        <f t="shared" si="92"/>
        <v>0</v>
      </c>
      <c r="L489" s="209">
        <f t="shared" si="87"/>
        <v>0</v>
      </c>
      <c r="M489" s="214">
        <f t="shared" si="84"/>
        <v>0</v>
      </c>
      <c r="N489" s="211">
        <f t="shared" si="93"/>
        <v>0</v>
      </c>
      <c r="O489" s="194">
        <f t="shared" si="94"/>
        <v>0</v>
      </c>
      <c r="P489" s="212">
        <f t="shared" si="88"/>
        <v>0</v>
      </c>
      <c r="Q489">
        <f>(I489+(Q490)*(1+$K$3)^(-1))*(A489&lt;=$W$5)</f>
        <v>0</v>
      </c>
      <c r="X489" s="216">
        <f t="shared" si="95"/>
        <v>39</v>
      </c>
      <c r="Y489">
        <f t="shared" si="90"/>
        <v>0</v>
      </c>
    </row>
    <row r="490" spans="1:25" ht="13.5" thickBot="1" x14ac:dyDescent="0.25">
      <c r="A490" s="204">
        <f>IF(MOD(COUNT($A$10:A489),12)=0,A489+1,A489)</f>
        <v>41</v>
      </c>
      <c r="B490" s="218">
        <f t="shared" si="91"/>
        <v>1</v>
      </c>
      <c r="C490" s="218">
        <f t="shared" si="85"/>
        <v>1</v>
      </c>
      <c r="D490" s="208">
        <f>IF(MOD(COUNT($D$10:D489),6)=0,D489+1,D489)</f>
        <v>81</v>
      </c>
      <c r="E490" s="208">
        <f>IF(MOD(COUNT($E$10:E489),3)=0,E489+1,E489)</f>
        <v>161</v>
      </c>
      <c r="F490" s="208">
        <f>IF(MOD(COUNT($F$10:F489),1)=0,F489+1,F489)</f>
        <v>481</v>
      </c>
      <c r="G490" s="204">
        <f>IFERROR(IF(C490=1,VLOOKUP(A490,Output!$A$27:$AB$137,28,FALSE)/AnnuityMode,0),0)</f>
        <v>0</v>
      </c>
      <c r="H490" s="220">
        <f>IFERROR(IF(AND(MIN(A490&gt;25,Age+A490&gt;=85),B490=12),VLOOKUP(A490,Output!$A$27:$AE$137,31,FALSE),0),0)</f>
        <v>0</v>
      </c>
      <c r="I490" s="221">
        <f>IFERROR(IF(AND(MIN(A490&gt;15,A490+Age&gt;=70),C490=1),VLOOKUP(A490,Output!$A$27:$AF$137,32,FALSE)*VLOOKUP('SV calc_ignore'!A490,Output!$A$27:$AG$137,33,FALSE)/IF(AnnuityMode=2,2,IF(AnnuityMode=4,4,IF(AnnuityMode=12,12,1))),0),0)</f>
        <v>0</v>
      </c>
      <c r="J490" s="227">
        <f t="shared" si="86"/>
        <v>0</v>
      </c>
      <c r="K490" s="213">
        <f t="shared" si="92"/>
        <v>0</v>
      </c>
      <c r="L490" s="209">
        <f t="shared" si="87"/>
        <v>0</v>
      </c>
      <c r="M490" s="214">
        <f t="shared" si="84"/>
        <v>0</v>
      </c>
      <c r="N490" s="211">
        <f t="shared" si="93"/>
        <v>0</v>
      </c>
      <c r="O490" s="194">
        <f t="shared" si="94"/>
        <v>0</v>
      </c>
      <c r="P490" s="212">
        <f t="shared" si="88"/>
        <v>0</v>
      </c>
      <c r="Q490">
        <f t="shared" ref="Q490:Q553" si="96">(I490+(Q491)*(1+$K$3)^(-1))*(A490&lt;=$W$5)</f>
        <v>0</v>
      </c>
      <c r="X490" s="216">
        <f t="shared" si="95"/>
        <v>40</v>
      </c>
      <c r="Y490">
        <f t="shared" si="90"/>
        <v>0</v>
      </c>
    </row>
    <row r="491" spans="1:25" ht="13.5" thickBot="1" x14ac:dyDescent="0.25">
      <c r="A491" s="204">
        <f>IF(MOD(COUNT($A$10:A490),12)=0,A490+1,A490)</f>
        <v>41</v>
      </c>
      <c r="B491" s="218">
        <f t="shared" si="91"/>
        <v>2</v>
      </c>
      <c r="C491" s="218">
        <f t="shared" si="85"/>
        <v>1</v>
      </c>
      <c r="D491" s="208">
        <f>IF(MOD(COUNT($D$10:D490),6)=0,D490+1,D490)</f>
        <v>81</v>
      </c>
      <c r="E491" s="208">
        <f>IF(MOD(COUNT($E$10:E490),3)=0,E490+1,E490)</f>
        <v>161</v>
      </c>
      <c r="F491" s="208">
        <f>IF(MOD(COUNT($F$10:F490),1)=0,F490+1,F490)</f>
        <v>482</v>
      </c>
      <c r="G491" s="204">
        <f>IFERROR(IF(C491=1,VLOOKUP(A491,Output!$A$27:$AB$137,28,FALSE)/AnnuityMode,0),0)</f>
        <v>0</v>
      </c>
      <c r="H491" s="220">
        <f>IFERROR(IF(AND(MIN(A491&gt;25,Age+A491&gt;=85),B491=12),VLOOKUP(A491,Output!$A$27:$AE$137,31,FALSE),0),0)</f>
        <v>0</v>
      </c>
      <c r="I491" s="221">
        <f>IFERROR(IF(AND(MIN(A491&gt;15,A491+Age&gt;=70),C491=1),VLOOKUP(A491,Output!$A$27:$AF$137,32,FALSE)*VLOOKUP('SV calc_ignore'!A491,Output!$A$27:$AG$137,33,FALSE)/IF(AnnuityMode=2,2,IF(AnnuityMode=4,4,IF(AnnuityMode=12,12,1))),0),0)</f>
        <v>0</v>
      </c>
      <c r="J491" s="227">
        <f t="shared" si="86"/>
        <v>0</v>
      </c>
      <c r="K491" s="213">
        <f t="shared" si="92"/>
        <v>0</v>
      </c>
      <c r="L491" s="209">
        <f t="shared" si="87"/>
        <v>0</v>
      </c>
      <c r="M491" s="214">
        <f t="shared" si="84"/>
        <v>0</v>
      </c>
      <c r="N491" s="211">
        <f t="shared" si="93"/>
        <v>0</v>
      </c>
      <c r="O491" s="194">
        <f t="shared" si="94"/>
        <v>0</v>
      </c>
      <c r="P491" s="212">
        <f t="shared" si="88"/>
        <v>0</v>
      </c>
      <c r="Q491">
        <f t="shared" si="96"/>
        <v>0</v>
      </c>
      <c r="X491" s="216">
        <f t="shared" si="95"/>
        <v>40</v>
      </c>
      <c r="Y491">
        <f t="shared" si="90"/>
        <v>0</v>
      </c>
    </row>
    <row r="492" spans="1:25" ht="13.5" thickBot="1" x14ac:dyDescent="0.25">
      <c r="A492" s="204">
        <f>IF(MOD(COUNT($A$10:A491),12)=0,A491+1,A491)</f>
        <v>41</v>
      </c>
      <c r="B492" s="218">
        <f t="shared" si="91"/>
        <v>3</v>
      </c>
      <c r="C492" s="218">
        <f t="shared" si="85"/>
        <v>1</v>
      </c>
      <c r="D492" s="208">
        <f>IF(MOD(COUNT($D$10:D491),6)=0,D491+1,D491)</f>
        <v>81</v>
      </c>
      <c r="E492" s="208">
        <f>IF(MOD(COUNT($E$10:E491),3)=0,E491+1,E491)</f>
        <v>161</v>
      </c>
      <c r="F492" s="208">
        <f>IF(MOD(COUNT($F$10:F491),1)=0,F491+1,F491)</f>
        <v>483</v>
      </c>
      <c r="G492" s="204">
        <f>IFERROR(IF(C492=1,VLOOKUP(A492,Output!$A$27:$AB$137,28,FALSE)/AnnuityMode,0),0)</f>
        <v>0</v>
      </c>
      <c r="H492" s="220">
        <f>IFERROR(IF(AND(MIN(A492&gt;25,Age+A492&gt;=85),B492=12),VLOOKUP(A492,Output!$A$27:$AE$137,31,FALSE),0),0)</f>
        <v>0</v>
      </c>
      <c r="I492" s="221">
        <f>IFERROR(IF(AND(MIN(A492&gt;15,A492+Age&gt;=70),C492=1),VLOOKUP(A492,Output!$A$27:$AF$137,32,FALSE)*VLOOKUP('SV calc_ignore'!A492,Output!$A$27:$AG$137,33,FALSE)/IF(AnnuityMode=2,2,IF(AnnuityMode=4,4,IF(AnnuityMode=12,12,1))),0),0)</f>
        <v>0</v>
      </c>
      <c r="J492" s="227">
        <f t="shared" si="86"/>
        <v>0</v>
      </c>
      <c r="K492" s="213">
        <f t="shared" si="92"/>
        <v>0</v>
      </c>
      <c r="L492" s="209">
        <f t="shared" si="87"/>
        <v>0</v>
      </c>
      <c r="M492" s="214">
        <f t="shared" si="84"/>
        <v>0</v>
      </c>
      <c r="N492" s="211">
        <f t="shared" si="93"/>
        <v>0</v>
      </c>
      <c r="O492" s="194">
        <f t="shared" si="94"/>
        <v>0</v>
      </c>
      <c r="P492" s="212">
        <f t="shared" si="88"/>
        <v>0</v>
      </c>
      <c r="Q492">
        <f t="shared" si="96"/>
        <v>0</v>
      </c>
      <c r="X492" s="216">
        <f t="shared" si="95"/>
        <v>40</v>
      </c>
      <c r="Y492">
        <f t="shared" si="90"/>
        <v>0</v>
      </c>
    </row>
    <row r="493" spans="1:25" ht="13.5" thickBot="1" x14ac:dyDescent="0.25">
      <c r="A493" s="204">
        <f>IF(MOD(COUNT($A$10:A492),12)=0,A492+1,A492)</f>
        <v>41</v>
      </c>
      <c r="B493" s="218">
        <f t="shared" si="91"/>
        <v>4</v>
      </c>
      <c r="C493" s="218">
        <f t="shared" si="85"/>
        <v>1</v>
      </c>
      <c r="D493" s="208">
        <f>IF(MOD(COUNT($D$10:D492),6)=0,D492+1,D492)</f>
        <v>81</v>
      </c>
      <c r="E493" s="208">
        <f>IF(MOD(COUNT($E$10:E492),3)=0,E492+1,E492)</f>
        <v>162</v>
      </c>
      <c r="F493" s="208">
        <f>IF(MOD(COUNT($F$10:F492),1)=0,F492+1,F492)</f>
        <v>484</v>
      </c>
      <c r="G493" s="204">
        <f>IFERROR(IF(C493=1,VLOOKUP(A493,Output!$A$27:$AB$137,28,FALSE)/AnnuityMode,0),0)</f>
        <v>0</v>
      </c>
      <c r="H493" s="220">
        <f>IFERROR(IF(AND(MIN(A493&gt;25,Age+A493&gt;=85),B493=12),VLOOKUP(A493,Output!$A$27:$AE$137,31,FALSE),0),0)</f>
        <v>0</v>
      </c>
      <c r="I493" s="221">
        <f>IFERROR(IF(AND(MIN(A493&gt;15,A493+Age&gt;=70),C493=1),VLOOKUP(A493,Output!$A$27:$AF$137,32,FALSE)*VLOOKUP('SV calc_ignore'!A493,Output!$A$27:$AG$137,33,FALSE)/IF(AnnuityMode=2,2,IF(AnnuityMode=4,4,IF(AnnuityMode=12,12,1))),0),0)</f>
        <v>0</v>
      </c>
      <c r="J493" s="227">
        <f t="shared" si="86"/>
        <v>0</v>
      </c>
      <c r="K493" s="213">
        <f t="shared" si="92"/>
        <v>0</v>
      </c>
      <c r="L493" s="209">
        <f t="shared" si="87"/>
        <v>0</v>
      </c>
      <c r="M493" s="214">
        <f t="shared" si="84"/>
        <v>0</v>
      </c>
      <c r="N493" s="211">
        <f t="shared" si="93"/>
        <v>0</v>
      </c>
      <c r="O493" s="194">
        <f t="shared" si="94"/>
        <v>0</v>
      </c>
      <c r="P493" s="212">
        <f t="shared" si="88"/>
        <v>0</v>
      </c>
      <c r="Q493">
        <f t="shared" si="96"/>
        <v>0</v>
      </c>
      <c r="X493" s="216">
        <f t="shared" si="95"/>
        <v>40</v>
      </c>
      <c r="Y493">
        <f t="shared" si="90"/>
        <v>0</v>
      </c>
    </row>
    <row r="494" spans="1:25" ht="13.5" thickBot="1" x14ac:dyDescent="0.25">
      <c r="A494" s="204">
        <f>IF(MOD(COUNT($A$10:A493),12)=0,A493+1,A493)</f>
        <v>41</v>
      </c>
      <c r="B494" s="218">
        <f t="shared" si="91"/>
        <v>5</v>
      </c>
      <c r="C494" s="218">
        <f t="shared" si="85"/>
        <v>1</v>
      </c>
      <c r="D494" s="208">
        <f>IF(MOD(COUNT($D$10:D493),6)=0,D493+1,D493)</f>
        <v>81</v>
      </c>
      <c r="E494" s="208">
        <f>IF(MOD(COUNT($E$10:E493),3)=0,E493+1,E493)</f>
        <v>162</v>
      </c>
      <c r="F494" s="208">
        <f>IF(MOD(COUNT($F$10:F493),1)=0,F493+1,F493)</f>
        <v>485</v>
      </c>
      <c r="G494" s="204">
        <f>IFERROR(IF(C494=1,VLOOKUP(A494,Output!$A$27:$AB$137,28,FALSE)/AnnuityMode,0),0)</f>
        <v>0</v>
      </c>
      <c r="H494" s="220">
        <f>IFERROR(IF(AND(MIN(A494&gt;25,Age+A494&gt;=85),B494=12),VLOOKUP(A494,Output!$A$27:$AE$137,31,FALSE),0),0)</f>
        <v>0</v>
      </c>
      <c r="I494" s="221">
        <f>IFERROR(IF(AND(MIN(A494&gt;15,A494+Age&gt;=70),C494=1),VLOOKUP(A494,Output!$A$27:$AF$137,32,FALSE)*VLOOKUP('SV calc_ignore'!A494,Output!$A$27:$AG$137,33,FALSE)/IF(AnnuityMode=2,2,IF(AnnuityMode=4,4,IF(AnnuityMode=12,12,1))),0),0)</f>
        <v>0</v>
      </c>
      <c r="J494" s="227">
        <f t="shared" si="86"/>
        <v>0</v>
      </c>
      <c r="K494" s="213">
        <f t="shared" si="92"/>
        <v>0</v>
      </c>
      <c r="L494" s="209">
        <f t="shared" si="87"/>
        <v>0</v>
      </c>
      <c r="M494" s="214">
        <f t="shared" si="84"/>
        <v>0</v>
      </c>
      <c r="N494" s="211">
        <f t="shared" si="93"/>
        <v>0</v>
      </c>
      <c r="O494" s="194">
        <f t="shared" si="94"/>
        <v>0</v>
      </c>
      <c r="P494" s="212">
        <f t="shared" si="88"/>
        <v>0</v>
      </c>
      <c r="Q494">
        <f t="shared" si="96"/>
        <v>0</v>
      </c>
      <c r="X494" s="216">
        <f t="shared" si="95"/>
        <v>40</v>
      </c>
      <c r="Y494">
        <f t="shared" si="90"/>
        <v>0</v>
      </c>
    </row>
    <row r="495" spans="1:25" ht="13.5" thickBot="1" x14ac:dyDescent="0.25">
      <c r="A495" s="204">
        <f>IF(MOD(COUNT($A$10:A494),12)=0,A494+1,A494)</f>
        <v>41</v>
      </c>
      <c r="B495" s="218">
        <f t="shared" si="91"/>
        <v>6</v>
      </c>
      <c r="C495" s="218">
        <f t="shared" si="85"/>
        <v>1</v>
      </c>
      <c r="D495" s="208">
        <f>IF(MOD(COUNT($D$10:D494),6)=0,D494+1,D494)</f>
        <v>81</v>
      </c>
      <c r="E495" s="208">
        <f>IF(MOD(COUNT($E$10:E494),3)=0,E494+1,E494)</f>
        <v>162</v>
      </c>
      <c r="F495" s="208">
        <f>IF(MOD(COUNT($F$10:F494),1)=0,F494+1,F494)</f>
        <v>486</v>
      </c>
      <c r="G495" s="204">
        <f>IFERROR(IF(C495=1,VLOOKUP(A495,Output!$A$27:$AB$137,28,FALSE)/AnnuityMode,0),0)</f>
        <v>0</v>
      </c>
      <c r="H495" s="220">
        <f>IFERROR(IF(AND(MIN(A495&gt;25,Age+A495&gt;=85),B495=12),VLOOKUP(A495,Output!$A$27:$AE$137,31,FALSE),0),0)</f>
        <v>0</v>
      </c>
      <c r="I495" s="221">
        <f>IFERROR(IF(AND(MIN(A495&gt;15,A495+Age&gt;=70),C495=1),VLOOKUP(A495,Output!$A$27:$AF$137,32,FALSE)*VLOOKUP('SV calc_ignore'!A495,Output!$A$27:$AG$137,33,FALSE)/IF(AnnuityMode=2,2,IF(AnnuityMode=4,4,IF(AnnuityMode=12,12,1))),0),0)</f>
        <v>0</v>
      </c>
      <c r="J495" s="227">
        <f t="shared" si="86"/>
        <v>0</v>
      </c>
      <c r="K495" s="213">
        <f t="shared" si="92"/>
        <v>0</v>
      </c>
      <c r="L495" s="209">
        <f t="shared" si="87"/>
        <v>0</v>
      </c>
      <c r="M495" s="214">
        <f t="shared" si="84"/>
        <v>0</v>
      </c>
      <c r="N495" s="211">
        <f t="shared" si="93"/>
        <v>0</v>
      </c>
      <c r="O495" s="194">
        <f t="shared" si="94"/>
        <v>0</v>
      </c>
      <c r="P495" s="212">
        <f t="shared" si="88"/>
        <v>0</v>
      </c>
      <c r="Q495">
        <f t="shared" si="96"/>
        <v>0</v>
      </c>
      <c r="X495" s="216">
        <f t="shared" si="95"/>
        <v>40</v>
      </c>
      <c r="Y495">
        <f t="shared" si="90"/>
        <v>0</v>
      </c>
    </row>
    <row r="496" spans="1:25" ht="13.5" thickBot="1" x14ac:dyDescent="0.25">
      <c r="A496" s="204">
        <f>IF(MOD(COUNT($A$10:A495),12)=0,A495+1,A495)</f>
        <v>41</v>
      </c>
      <c r="B496" s="218">
        <f t="shared" si="91"/>
        <v>7</v>
      </c>
      <c r="C496" s="218">
        <f t="shared" si="85"/>
        <v>1</v>
      </c>
      <c r="D496" s="208">
        <f>IF(MOD(COUNT($D$10:D495),6)=0,D495+1,D495)</f>
        <v>82</v>
      </c>
      <c r="E496" s="208">
        <f>IF(MOD(COUNT($E$10:E495),3)=0,E495+1,E495)</f>
        <v>163</v>
      </c>
      <c r="F496" s="208">
        <f>IF(MOD(COUNT($F$10:F495),1)=0,F495+1,F495)</f>
        <v>487</v>
      </c>
      <c r="G496" s="204">
        <f>IFERROR(IF(C496=1,VLOOKUP(A496,Output!$A$27:$AB$137,28,FALSE)/AnnuityMode,0),0)</f>
        <v>0</v>
      </c>
      <c r="H496" s="220">
        <f>IFERROR(IF(AND(MIN(A496&gt;25,Age+A496&gt;=85),B496=12),VLOOKUP(A496,Output!$A$27:$AE$137,31,FALSE),0),0)</f>
        <v>0</v>
      </c>
      <c r="I496" s="221">
        <f>IFERROR(IF(AND(MIN(A496&gt;15,A496+Age&gt;=70),C496=1),VLOOKUP(A496,Output!$A$27:$AF$137,32,FALSE)*VLOOKUP('SV calc_ignore'!A496,Output!$A$27:$AG$137,33,FALSE)/IF(AnnuityMode=2,2,IF(AnnuityMode=4,4,IF(AnnuityMode=12,12,1))),0),0)</f>
        <v>0</v>
      </c>
      <c r="J496" s="227">
        <f t="shared" si="86"/>
        <v>0</v>
      </c>
      <c r="K496" s="213">
        <f t="shared" si="92"/>
        <v>0</v>
      </c>
      <c r="L496" s="209">
        <f t="shared" si="87"/>
        <v>0</v>
      </c>
      <c r="M496" s="214">
        <f t="shared" si="84"/>
        <v>0</v>
      </c>
      <c r="N496" s="211">
        <f t="shared" si="93"/>
        <v>0</v>
      </c>
      <c r="O496" s="194">
        <f t="shared" si="94"/>
        <v>0</v>
      </c>
      <c r="P496" s="212">
        <f t="shared" si="88"/>
        <v>0</v>
      </c>
      <c r="Q496">
        <f t="shared" si="96"/>
        <v>0</v>
      </c>
      <c r="X496" s="216">
        <f t="shared" si="95"/>
        <v>40</v>
      </c>
      <c r="Y496">
        <f t="shared" si="90"/>
        <v>0</v>
      </c>
    </row>
    <row r="497" spans="1:25" ht="13.5" thickBot="1" x14ac:dyDescent="0.25">
      <c r="A497" s="204">
        <f>IF(MOD(COUNT($A$10:A496),12)=0,A496+1,A496)</f>
        <v>41</v>
      </c>
      <c r="B497" s="218">
        <f t="shared" si="91"/>
        <v>8</v>
      </c>
      <c r="C497" s="218">
        <f t="shared" si="85"/>
        <v>1</v>
      </c>
      <c r="D497" s="208">
        <f>IF(MOD(COUNT($D$10:D496),6)=0,D496+1,D496)</f>
        <v>82</v>
      </c>
      <c r="E497" s="208">
        <f>IF(MOD(COUNT($E$10:E496),3)=0,E496+1,E496)</f>
        <v>163</v>
      </c>
      <c r="F497" s="208">
        <f>IF(MOD(COUNT($F$10:F496),1)=0,F496+1,F496)</f>
        <v>488</v>
      </c>
      <c r="G497" s="204">
        <f>IFERROR(IF(C497=1,VLOOKUP(A497,Output!$A$27:$AB$137,28,FALSE)/AnnuityMode,0),0)</f>
        <v>0</v>
      </c>
      <c r="H497" s="220">
        <f>IFERROR(IF(AND(MIN(A497&gt;25,Age+A497&gt;=85),B497=12),VLOOKUP(A497,Output!$A$27:$AE$137,31,FALSE),0),0)</f>
        <v>0</v>
      </c>
      <c r="I497" s="221">
        <f>IFERROR(IF(AND(MIN(A497&gt;15,A497+Age&gt;=70),C497=1),VLOOKUP(A497,Output!$A$27:$AF$137,32,FALSE)*VLOOKUP('SV calc_ignore'!A497,Output!$A$27:$AG$137,33,FALSE)/IF(AnnuityMode=2,2,IF(AnnuityMode=4,4,IF(AnnuityMode=12,12,1))),0),0)</f>
        <v>0</v>
      </c>
      <c r="J497" s="227">
        <f t="shared" si="86"/>
        <v>0</v>
      </c>
      <c r="K497" s="213">
        <f t="shared" si="92"/>
        <v>0</v>
      </c>
      <c r="L497" s="209">
        <f t="shared" si="87"/>
        <v>0</v>
      </c>
      <c r="M497" s="214">
        <f t="shared" si="84"/>
        <v>0</v>
      </c>
      <c r="N497" s="211">
        <f t="shared" si="93"/>
        <v>0</v>
      </c>
      <c r="O497" s="194">
        <f t="shared" si="94"/>
        <v>0</v>
      </c>
      <c r="P497" s="212">
        <f t="shared" si="88"/>
        <v>0</v>
      </c>
      <c r="Q497">
        <f t="shared" si="96"/>
        <v>0</v>
      </c>
      <c r="X497" s="216">
        <f t="shared" si="95"/>
        <v>40</v>
      </c>
      <c r="Y497">
        <f t="shared" si="90"/>
        <v>0</v>
      </c>
    </row>
    <row r="498" spans="1:25" ht="13.5" thickBot="1" x14ac:dyDescent="0.25">
      <c r="A498" s="204">
        <f>IF(MOD(COUNT($A$10:A497),12)=0,A497+1,A497)</f>
        <v>41</v>
      </c>
      <c r="B498" s="218">
        <f t="shared" si="91"/>
        <v>9</v>
      </c>
      <c r="C498" s="218">
        <f t="shared" si="85"/>
        <v>1</v>
      </c>
      <c r="D498" s="208">
        <f>IF(MOD(COUNT($D$10:D497),6)=0,D497+1,D497)</f>
        <v>82</v>
      </c>
      <c r="E498" s="208">
        <f>IF(MOD(COUNT($E$10:E497),3)=0,E497+1,E497)</f>
        <v>163</v>
      </c>
      <c r="F498" s="208">
        <f>IF(MOD(COUNT($F$10:F497),1)=0,F497+1,F497)</f>
        <v>489</v>
      </c>
      <c r="G498" s="204">
        <f>IFERROR(IF(C498=1,VLOOKUP(A498,Output!$A$27:$AB$137,28,FALSE)/AnnuityMode,0),0)</f>
        <v>0</v>
      </c>
      <c r="H498" s="220">
        <f>IFERROR(IF(AND(MIN(A498&gt;25,Age+A498&gt;=85),B498=12),VLOOKUP(A498,Output!$A$27:$AE$137,31,FALSE),0),0)</f>
        <v>0</v>
      </c>
      <c r="I498" s="221">
        <f>IFERROR(IF(AND(MIN(A498&gt;15,A498+Age&gt;=70),C498=1),VLOOKUP(A498,Output!$A$27:$AF$137,32,FALSE)*VLOOKUP('SV calc_ignore'!A498,Output!$A$27:$AG$137,33,FALSE)/IF(AnnuityMode=2,2,IF(AnnuityMode=4,4,IF(AnnuityMode=12,12,1))),0),0)</f>
        <v>0</v>
      </c>
      <c r="J498" s="227">
        <f t="shared" si="86"/>
        <v>0</v>
      </c>
      <c r="K498" s="213">
        <f t="shared" si="92"/>
        <v>0</v>
      </c>
      <c r="L498" s="209">
        <f t="shared" si="87"/>
        <v>0</v>
      </c>
      <c r="M498" s="214">
        <f t="shared" si="84"/>
        <v>0</v>
      </c>
      <c r="N498" s="211">
        <f t="shared" si="93"/>
        <v>0</v>
      </c>
      <c r="O498" s="194">
        <f t="shared" si="94"/>
        <v>0</v>
      </c>
      <c r="P498" s="212">
        <f t="shared" si="88"/>
        <v>0</v>
      </c>
      <c r="Q498">
        <f t="shared" si="96"/>
        <v>0</v>
      </c>
      <c r="X498" s="216">
        <f t="shared" si="95"/>
        <v>40</v>
      </c>
      <c r="Y498">
        <f t="shared" si="90"/>
        <v>0</v>
      </c>
    </row>
    <row r="499" spans="1:25" ht="13.5" thickBot="1" x14ac:dyDescent="0.25">
      <c r="A499" s="204">
        <f>IF(MOD(COUNT($A$10:A498),12)=0,A498+1,A498)</f>
        <v>41</v>
      </c>
      <c r="B499" s="218">
        <f t="shared" si="91"/>
        <v>10</v>
      </c>
      <c r="C499" s="218">
        <f t="shared" si="85"/>
        <v>1</v>
      </c>
      <c r="D499" s="208">
        <f>IF(MOD(COUNT($D$10:D498),6)=0,D498+1,D498)</f>
        <v>82</v>
      </c>
      <c r="E499" s="208">
        <f>IF(MOD(COUNT($E$10:E498),3)=0,E498+1,E498)</f>
        <v>164</v>
      </c>
      <c r="F499" s="208">
        <f>IF(MOD(COUNT($F$10:F498),1)=0,F498+1,F498)</f>
        <v>490</v>
      </c>
      <c r="G499" s="204">
        <f>IFERROR(IF(C499=1,VLOOKUP(A499,Output!$A$27:$AB$137,28,FALSE)/AnnuityMode,0),0)</f>
        <v>0</v>
      </c>
      <c r="H499" s="220">
        <f>IFERROR(IF(AND(MIN(A499&gt;25,Age+A499&gt;=85),B499=12),VLOOKUP(A499,Output!$A$27:$AE$137,31,FALSE),0),0)</f>
        <v>0</v>
      </c>
      <c r="I499" s="221">
        <f>IFERROR(IF(AND(MIN(A499&gt;15,A499+Age&gt;=70),C499=1),VLOOKUP(A499,Output!$A$27:$AF$137,32,FALSE)*VLOOKUP('SV calc_ignore'!A499,Output!$A$27:$AG$137,33,FALSE)/IF(AnnuityMode=2,2,IF(AnnuityMode=4,4,IF(AnnuityMode=12,12,1))),0),0)</f>
        <v>0</v>
      </c>
      <c r="J499" s="227">
        <f t="shared" si="86"/>
        <v>0</v>
      </c>
      <c r="K499" s="213">
        <f t="shared" si="92"/>
        <v>0</v>
      </c>
      <c r="L499" s="209">
        <f t="shared" si="87"/>
        <v>0</v>
      </c>
      <c r="M499" s="214">
        <f t="shared" si="84"/>
        <v>0</v>
      </c>
      <c r="N499" s="211">
        <f t="shared" si="93"/>
        <v>0</v>
      </c>
      <c r="O499" s="194">
        <f t="shared" si="94"/>
        <v>0</v>
      </c>
      <c r="P499" s="212">
        <f t="shared" si="88"/>
        <v>0</v>
      </c>
      <c r="Q499">
        <f t="shared" si="96"/>
        <v>0</v>
      </c>
      <c r="X499" s="216">
        <f t="shared" si="95"/>
        <v>40</v>
      </c>
      <c r="Y499">
        <f t="shared" si="90"/>
        <v>0</v>
      </c>
    </row>
    <row r="500" spans="1:25" ht="13.5" thickBot="1" x14ac:dyDescent="0.25">
      <c r="A500" s="204">
        <f>IF(MOD(COUNT($A$10:A499),12)=0,A499+1,A499)</f>
        <v>41</v>
      </c>
      <c r="B500" s="218">
        <f t="shared" si="91"/>
        <v>11</v>
      </c>
      <c r="C500" s="218">
        <f t="shared" si="85"/>
        <v>1</v>
      </c>
      <c r="D500" s="208">
        <f>IF(MOD(COUNT($D$10:D499),6)=0,D499+1,D499)</f>
        <v>82</v>
      </c>
      <c r="E500" s="208">
        <f>IF(MOD(COUNT($E$10:E499),3)=0,E499+1,E499)</f>
        <v>164</v>
      </c>
      <c r="F500" s="208">
        <f>IF(MOD(COUNT($F$10:F499),1)=0,F499+1,F499)</f>
        <v>491</v>
      </c>
      <c r="G500" s="204">
        <f>IFERROR(IF(C500=1,VLOOKUP(A500,Output!$A$27:$AB$137,28,FALSE)/AnnuityMode,0),0)</f>
        <v>0</v>
      </c>
      <c r="H500" s="220">
        <f>IFERROR(IF(AND(MIN(A500&gt;25,Age+A500&gt;=85),B500=12),VLOOKUP(A500,Output!$A$27:$AE$137,31,FALSE),0),0)</f>
        <v>0</v>
      </c>
      <c r="I500" s="221">
        <f>IFERROR(IF(AND(MIN(A500&gt;15,A500+Age&gt;=70),C500=1),VLOOKUP(A500,Output!$A$27:$AF$137,32,FALSE)*VLOOKUP('SV calc_ignore'!A500,Output!$A$27:$AG$137,33,FALSE)/IF(AnnuityMode=2,2,IF(AnnuityMode=4,4,IF(AnnuityMode=12,12,1))),0),0)</f>
        <v>0</v>
      </c>
      <c r="J500" s="227">
        <f t="shared" si="86"/>
        <v>0</v>
      </c>
      <c r="K500" s="213">
        <f t="shared" si="92"/>
        <v>0</v>
      </c>
      <c r="L500" s="209">
        <f t="shared" si="87"/>
        <v>0</v>
      </c>
      <c r="M500" s="214">
        <f t="shared" si="84"/>
        <v>0</v>
      </c>
      <c r="N500" s="211">
        <f t="shared" si="93"/>
        <v>0</v>
      </c>
      <c r="O500" s="194">
        <f t="shared" si="94"/>
        <v>0</v>
      </c>
      <c r="P500" s="212">
        <f t="shared" si="88"/>
        <v>0</v>
      </c>
      <c r="Q500">
        <f t="shared" si="96"/>
        <v>0</v>
      </c>
      <c r="X500" s="216">
        <f t="shared" si="95"/>
        <v>40</v>
      </c>
      <c r="Y500">
        <f t="shared" si="90"/>
        <v>0</v>
      </c>
    </row>
    <row r="501" spans="1:25" ht="13.5" thickBot="1" x14ac:dyDescent="0.25">
      <c r="A501" s="204">
        <f>IF(MOD(COUNT($A$10:A500),12)=0,A500+1,A500)</f>
        <v>41</v>
      </c>
      <c r="B501" s="218">
        <f t="shared" si="91"/>
        <v>12</v>
      </c>
      <c r="C501" s="218">
        <f t="shared" si="85"/>
        <v>1</v>
      </c>
      <c r="D501" s="208">
        <f>IF(MOD(COUNT($D$10:D500),6)=0,D500+1,D500)</f>
        <v>82</v>
      </c>
      <c r="E501" s="208">
        <f>IF(MOD(COUNT($E$10:E500),3)=0,E500+1,E500)</f>
        <v>164</v>
      </c>
      <c r="F501" s="208">
        <f>IF(MOD(COUNT($F$10:F500),1)=0,F500+1,F500)</f>
        <v>492</v>
      </c>
      <c r="G501" s="204">
        <f>IFERROR(IF(C501=1,VLOOKUP(A501,Output!$A$27:$AB$137,28,FALSE)/AnnuityMode,0),0)</f>
        <v>0</v>
      </c>
      <c r="H501" s="220">
        <f>IFERROR(IF(AND(MIN(A501&gt;25,Age+A501&gt;=85),B501=12),VLOOKUP(A501,Output!$A$27:$AE$137,31,FALSE),0),0)</f>
        <v>0</v>
      </c>
      <c r="I501" s="221">
        <f>IFERROR(IF(AND(MIN(A501&gt;15,A501+Age&gt;=70),C501=1),VLOOKUP(A501,Output!$A$27:$AF$137,32,FALSE)*VLOOKUP('SV calc_ignore'!A501,Output!$A$27:$AG$137,33,FALSE)/IF(AnnuityMode=2,2,IF(AnnuityMode=4,4,IF(AnnuityMode=12,12,1))),0),0)</f>
        <v>0</v>
      </c>
      <c r="J501" s="227">
        <f t="shared" si="86"/>
        <v>0</v>
      </c>
      <c r="K501" s="213">
        <f t="shared" si="92"/>
        <v>0</v>
      </c>
      <c r="L501" s="209">
        <f t="shared" si="87"/>
        <v>0</v>
      </c>
      <c r="M501" s="214">
        <f t="shared" si="84"/>
        <v>0</v>
      </c>
      <c r="N501" s="211">
        <f t="shared" si="93"/>
        <v>0</v>
      </c>
      <c r="O501" s="194">
        <f t="shared" si="94"/>
        <v>0</v>
      </c>
      <c r="P501" s="212">
        <f t="shared" si="88"/>
        <v>0</v>
      </c>
      <c r="Q501">
        <f t="shared" si="96"/>
        <v>0</v>
      </c>
      <c r="X501" s="216">
        <f t="shared" si="95"/>
        <v>40</v>
      </c>
      <c r="Y501">
        <f t="shared" si="90"/>
        <v>0</v>
      </c>
    </row>
    <row r="502" spans="1:25" ht="13.5" thickBot="1" x14ac:dyDescent="0.25">
      <c r="A502" s="204">
        <f>IF(MOD(COUNT($A$10:A501),12)=0,A501+1,A501)</f>
        <v>42</v>
      </c>
      <c r="B502" s="218">
        <f t="shared" si="91"/>
        <v>1</v>
      </c>
      <c r="C502" s="218">
        <f t="shared" si="85"/>
        <v>1</v>
      </c>
      <c r="D502" s="208">
        <f>IF(MOD(COUNT($D$10:D501),6)=0,D501+1,D501)</f>
        <v>83</v>
      </c>
      <c r="E502" s="208">
        <f>IF(MOD(COUNT($E$10:E501),3)=0,E501+1,E501)</f>
        <v>165</v>
      </c>
      <c r="F502" s="208">
        <f>IF(MOD(COUNT($F$10:F501),1)=0,F501+1,F501)</f>
        <v>493</v>
      </c>
      <c r="G502" s="204">
        <f>IFERROR(IF(C502=1,VLOOKUP(A502,Output!$A$27:$AB$137,28,FALSE)/AnnuityMode,0),0)</f>
        <v>0</v>
      </c>
      <c r="H502" s="220">
        <f>IFERROR(IF(AND(MIN(A502&gt;25,Age+A502&gt;=85),B502=12),VLOOKUP(A502,Output!$A$27:$AE$137,31,FALSE),0),0)</f>
        <v>0</v>
      </c>
      <c r="I502" s="221">
        <f>IFERROR(IF(AND(MIN(A502&gt;15,A502+Age&gt;=70),C502=1),VLOOKUP(A502,Output!$A$27:$AF$137,32,FALSE)*VLOOKUP('SV calc_ignore'!A502,Output!$A$27:$AG$137,33,FALSE)/IF(AnnuityMode=2,2,IF(AnnuityMode=4,4,IF(AnnuityMode=12,12,1))),0),0)</f>
        <v>0</v>
      </c>
      <c r="J502" s="227">
        <f t="shared" si="86"/>
        <v>0</v>
      </c>
      <c r="K502" s="213">
        <f t="shared" si="92"/>
        <v>0</v>
      </c>
      <c r="L502" s="209">
        <f t="shared" si="87"/>
        <v>0</v>
      </c>
      <c r="M502" s="214">
        <f t="shared" si="84"/>
        <v>0</v>
      </c>
      <c r="N502" s="211">
        <f t="shared" si="93"/>
        <v>0</v>
      </c>
      <c r="O502" s="194">
        <f t="shared" si="94"/>
        <v>0</v>
      </c>
      <c r="P502" s="212">
        <f t="shared" si="88"/>
        <v>0</v>
      </c>
      <c r="Q502">
        <f t="shared" si="96"/>
        <v>0</v>
      </c>
      <c r="X502" s="216">
        <f t="shared" si="95"/>
        <v>41</v>
      </c>
      <c r="Y502">
        <f t="shared" si="90"/>
        <v>0</v>
      </c>
    </row>
    <row r="503" spans="1:25" ht="13.5" thickBot="1" x14ac:dyDescent="0.25">
      <c r="A503" s="204">
        <f>IF(MOD(COUNT($A$10:A502),12)=0,A502+1,A502)</f>
        <v>42</v>
      </c>
      <c r="B503" s="218">
        <f t="shared" si="91"/>
        <v>2</v>
      </c>
      <c r="C503" s="218">
        <f t="shared" si="85"/>
        <v>1</v>
      </c>
      <c r="D503" s="208">
        <f>IF(MOD(COUNT($D$10:D502),6)=0,D502+1,D502)</f>
        <v>83</v>
      </c>
      <c r="E503" s="208">
        <f>IF(MOD(COUNT($E$10:E502),3)=0,E502+1,E502)</f>
        <v>165</v>
      </c>
      <c r="F503" s="208">
        <f>IF(MOD(COUNT($F$10:F502),1)=0,F502+1,F502)</f>
        <v>494</v>
      </c>
      <c r="G503" s="204">
        <f>IFERROR(IF(C503=1,VLOOKUP(A503,Output!$A$27:$AB$137,28,FALSE)/AnnuityMode,0),0)</f>
        <v>0</v>
      </c>
      <c r="H503" s="220">
        <f>IFERROR(IF(AND(MIN(A503&gt;25,Age+A503&gt;=85),B503=12),VLOOKUP(A503,Output!$A$27:$AE$137,31,FALSE),0),0)</f>
        <v>0</v>
      </c>
      <c r="I503" s="221">
        <f>IFERROR(IF(AND(MIN(A503&gt;15,A503+Age&gt;=70),C503=1),VLOOKUP(A503,Output!$A$27:$AF$137,32,FALSE)*VLOOKUP('SV calc_ignore'!A503,Output!$A$27:$AG$137,33,FALSE)/IF(AnnuityMode=2,2,IF(AnnuityMode=4,4,IF(AnnuityMode=12,12,1))),0),0)</f>
        <v>0</v>
      </c>
      <c r="J503" s="227">
        <f t="shared" si="86"/>
        <v>0</v>
      </c>
      <c r="K503" s="213">
        <f t="shared" si="92"/>
        <v>0</v>
      </c>
      <c r="L503" s="209">
        <f t="shared" si="87"/>
        <v>0</v>
      </c>
      <c r="M503" s="214">
        <f t="shared" si="84"/>
        <v>0</v>
      </c>
      <c r="N503" s="211">
        <f t="shared" si="93"/>
        <v>0</v>
      </c>
      <c r="O503" s="194">
        <f t="shared" si="94"/>
        <v>0</v>
      </c>
      <c r="P503" s="212">
        <f t="shared" si="88"/>
        <v>0</v>
      </c>
      <c r="Q503">
        <f t="shared" si="96"/>
        <v>0</v>
      </c>
      <c r="X503" s="216">
        <f t="shared" si="95"/>
        <v>41</v>
      </c>
      <c r="Y503">
        <f t="shared" si="90"/>
        <v>0</v>
      </c>
    </row>
    <row r="504" spans="1:25" ht="13.5" thickBot="1" x14ac:dyDescent="0.25">
      <c r="A504" s="204">
        <f>IF(MOD(COUNT($A$10:A503),12)=0,A503+1,A503)</f>
        <v>42</v>
      </c>
      <c r="B504" s="218">
        <f t="shared" si="91"/>
        <v>3</v>
      </c>
      <c r="C504" s="218">
        <f t="shared" si="85"/>
        <v>1</v>
      </c>
      <c r="D504" s="208">
        <f>IF(MOD(COUNT($D$10:D503),6)=0,D503+1,D503)</f>
        <v>83</v>
      </c>
      <c r="E504" s="208">
        <f>IF(MOD(COUNT($E$10:E503),3)=0,E503+1,E503)</f>
        <v>165</v>
      </c>
      <c r="F504" s="208">
        <f>IF(MOD(COUNT($F$10:F503),1)=0,F503+1,F503)</f>
        <v>495</v>
      </c>
      <c r="G504" s="204">
        <f>IFERROR(IF(C504=1,VLOOKUP(A504,Output!$A$27:$AB$137,28,FALSE)/AnnuityMode,0),0)</f>
        <v>0</v>
      </c>
      <c r="H504" s="220">
        <f>IFERROR(IF(AND(MIN(A504&gt;25,Age+A504&gt;=85),B504=12),VLOOKUP(A504,Output!$A$27:$AE$137,31,FALSE),0),0)</f>
        <v>0</v>
      </c>
      <c r="I504" s="221">
        <f>IFERROR(IF(AND(MIN(A504&gt;15,A504+Age&gt;=70),C504=1),VLOOKUP(A504,Output!$A$27:$AF$137,32,FALSE)*VLOOKUP('SV calc_ignore'!A504,Output!$A$27:$AG$137,33,FALSE)/IF(AnnuityMode=2,2,IF(AnnuityMode=4,4,IF(AnnuityMode=12,12,1))),0),0)</f>
        <v>0</v>
      </c>
      <c r="J504" s="227">
        <f t="shared" si="86"/>
        <v>0</v>
      </c>
      <c r="K504" s="213">
        <f t="shared" si="92"/>
        <v>0</v>
      </c>
      <c r="L504" s="209">
        <f t="shared" si="87"/>
        <v>0</v>
      </c>
      <c r="M504" s="214">
        <f t="shared" si="84"/>
        <v>0</v>
      </c>
      <c r="N504" s="211">
        <f t="shared" si="93"/>
        <v>0</v>
      </c>
      <c r="O504" s="194">
        <f t="shared" si="94"/>
        <v>0</v>
      </c>
      <c r="P504" s="212">
        <f t="shared" si="88"/>
        <v>0</v>
      </c>
      <c r="Q504">
        <f t="shared" si="96"/>
        <v>0</v>
      </c>
      <c r="X504" s="216">
        <f t="shared" si="95"/>
        <v>41</v>
      </c>
      <c r="Y504">
        <f t="shared" si="90"/>
        <v>0</v>
      </c>
    </row>
    <row r="505" spans="1:25" ht="13.5" thickBot="1" x14ac:dyDescent="0.25">
      <c r="A505" s="204">
        <f>IF(MOD(COUNT($A$10:A504),12)=0,A504+1,A504)</f>
        <v>42</v>
      </c>
      <c r="B505" s="218">
        <f t="shared" si="91"/>
        <v>4</v>
      </c>
      <c r="C505" s="218">
        <f t="shared" si="85"/>
        <v>1</v>
      </c>
      <c r="D505" s="208">
        <f>IF(MOD(COUNT($D$10:D504),6)=0,D504+1,D504)</f>
        <v>83</v>
      </c>
      <c r="E505" s="208">
        <f>IF(MOD(COUNT($E$10:E504),3)=0,E504+1,E504)</f>
        <v>166</v>
      </c>
      <c r="F505" s="208">
        <f>IF(MOD(COUNT($F$10:F504),1)=0,F504+1,F504)</f>
        <v>496</v>
      </c>
      <c r="G505" s="204">
        <f>IFERROR(IF(C505=1,VLOOKUP(A505,Output!$A$27:$AB$137,28,FALSE)/AnnuityMode,0),0)</f>
        <v>0</v>
      </c>
      <c r="H505" s="220">
        <f>IFERROR(IF(AND(MIN(A505&gt;25,Age+A505&gt;=85),B505=12),VLOOKUP(A505,Output!$A$27:$AE$137,31,FALSE),0),0)</f>
        <v>0</v>
      </c>
      <c r="I505" s="221">
        <f>IFERROR(IF(AND(MIN(A505&gt;15,A505+Age&gt;=70),C505=1),VLOOKUP(A505,Output!$A$27:$AF$137,32,FALSE)*VLOOKUP('SV calc_ignore'!A505,Output!$A$27:$AG$137,33,FALSE)/IF(AnnuityMode=2,2,IF(AnnuityMode=4,4,IF(AnnuityMode=12,12,1))),0),0)</f>
        <v>0</v>
      </c>
      <c r="J505" s="227">
        <f t="shared" si="86"/>
        <v>0</v>
      </c>
      <c r="K505" s="213">
        <f t="shared" si="92"/>
        <v>0</v>
      </c>
      <c r="L505" s="209">
        <f t="shared" si="87"/>
        <v>0</v>
      </c>
      <c r="M505" s="214">
        <f t="shared" si="84"/>
        <v>0</v>
      </c>
      <c r="N505" s="211">
        <f t="shared" si="93"/>
        <v>0</v>
      </c>
      <c r="O505" s="194">
        <f t="shared" si="94"/>
        <v>0</v>
      </c>
      <c r="P505" s="212">
        <f t="shared" si="88"/>
        <v>0</v>
      </c>
      <c r="Q505">
        <f t="shared" si="96"/>
        <v>0</v>
      </c>
      <c r="X505" s="216">
        <f t="shared" si="95"/>
        <v>41</v>
      </c>
      <c r="Y505">
        <f t="shared" si="90"/>
        <v>0</v>
      </c>
    </row>
    <row r="506" spans="1:25" ht="13.5" thickBot="1" x14ac:dyDescent="0.25">
      <c r="A506" s="204">
        <f>IF(MOD(COUNT($A$10:A505),12)=0,A505+1,A505)</f>
        <v>42</v>
      </c>
      <c r="B506" s="218">
        <f t="shared" si="91"/>
        <v>5</v>
      </c>
      <c r="C506" s="218">
        <f t="shared" si="85"/>
        <v>1</v>
      </c>
      <c r="D506" s="208">
        <f>IF(MOD(COUNT($D$10:D505),6)=0,D505+1,D505)</f>
        <v>83</v>
      </c>
      <c r="E506" s="208">
        <f>IF(MOD(COUNT($E$10:E505),3)=0,E505+1,E505)</f>
        <v>166</v>
      </c>
      <c r="F506" s="208">
        <f>IF(MOD(COUNT($F$10:F505),1)=0,F505+1,F505)</f>
        <v>497</v>
      </c>
      <c r="G506" s="204">
        <f>IFERROR(IF(C506=1,VLOOKUP(A506,Output!$A$27:$AB$137,28,FALSE)/AnnuityMode,0),0)</f>
        <v>0</v>
      </c>
      <c r="H506" s="220">
        <f>IFERROR(IF(AND(MIN(A506&gt;25,Age+A506&gt;=85),B506=12),VLOOKUP(A506,Output!$A$27:$AE$137,31,FALSE),0),0)</f>
        <v>0</v>
      </c>
      <c r="I506" s="221">
        <f>IFERROR(IF(AND(MIN(A506&gt;15,A506+Age&gt;=70),C506=1),VLOOKUP(A506,Output!$A$27:$AF$137,32,FALSE)*VLOOKUP('SV calc_ignore'!A506,Output!$A$27:$AG$137,33,FALSE)/IF(AnnuityMode=2,2,IF(AnnuityMode=4,4,IF(AnnuityMode=12,12,1))),0),0)</f>
        <v>0</v>
      </c>
      <c r="J506" s="227">
        <f t="shared" si="86"/>
        <v>0</v>
      </c>
      <c r="K506" s="213">
        <f t="shared" si="92"/>
        <v>0</v>
      </c>
      <c r="L506" s="209">
        <f t="shared" si="87"/>
        <v>0</v>
      </c>
      <c r="M506" s="214">
        <f t="shared" si="84"/>
        <v>0</v>
      </c>
      <c r="N506" s="211">
        <f t="shared" si="93"/>
        <v>0</v>
      </c>
      <c r="O506" s="194">
        <f t="shared" si="94"/>
        <v>0</v>
      </c>
      <c r="P506" s="212">
        <f t="shared" si="88"/>
        <v>0</v>
      </c>
      <c r="Q506">
        <f t="shared" si="96"/>
        <v>0</v>
      </c>
      <c r="X506" s="216">
        <f t="shared" si="95"/>
        <v>41</v>
      </c>
      <c r="Y506">
        <f t="shared" si="90"/>
        <v>0</v>
      </c>
    </row>
    <row r="507" spans="1:25" ht="13.5" thickBot="1" x14ac:dyDescent="0.25">
      <c r="A507" s="204">
        <f>IF(MOD(COUNT($A$10:A506),12)=0,A506+1,A506)</f>
        <v>42</v>
      </c>
      <c r="B507" s="218">
        <f t="shared" si="91"/>
        <v>6</v>
      </c>
      <c r="C507" s="218">
        <f t="shared" si="85"/>
        <v>1</v>
      </c>
      <c r="D507" s="208">
        <f>IF(MOD(COUNT($D$10:D506),6)=0,D506+1,D506)</f>
        <v>83</v>
      </c>
      <c r="E507" s="208">
        <f>IF(MOD(COUNT($E$10:E506),3)=0,E506+1,E506)</f>
        <v>166</v>
      </c>
      <c r="F507" s="208">
        <f>IF(MOD(COUNT($F$10:F506),1)=0,F506+1,F506)</f>
        <v>498</v>
      </c>
      <c r="G507" s="204">
        <f>IFERROR(IF(C507=1,VLOOKUP(A507,Output!$A$27:$AB$137,28,FALSE)/AnnuityMode,0),0)</f>
        <v>0</v>
      </c>
      <c r="H507" s="220">
        <f>IFERROR(IF(AND(MIN(A507&gt;25,Age+A507&gt;=85),B507=12),VLOOKUP(A507,Output!$A$27:$AE$137,31,FALSE),0),0)</f>
        <v>0</v>
      </c>
      <c r="I507" s="221">
        <f>IFERROR(IF(AND(MIN(A507&gt;15,A507+Age&gt;=70),C507=1),VLOOKUP(A507,Output!$A$27:$AF$137,32,FALSE)*VLOOKUP('SV calc_ignore'!A507,Output!$A$27:$AG$137,33,FALSE)/IF(AnnuityMode=2,2,IF(AnnuityMode=4,4,IF(AnnuityMode=12,12,1))),0),0)</f>
        <v>0</v>
      </c>
      <c r="J507" s="227">
        <f t="shared" si="86"/>
        <v>0</v>
      </c>
      <c r="K507" s="213">
        <f t="shared" si="92"/>
        <v>0</v>
      </c>
      <c r="L507" s="209">
        <f t="shared" si="87"/>
        <v>0</v>
      </c>
      <c r="M507" s="214">
        <f t="shared" si="84"/>
        <v>0</v>
      </c>
      <c r="N507" s="211">
        <f t="shared" si="93"/>
        <v>0</v>
      </c>
      <c r="O507" s="194">
        <f t="shared" si="94"/>
        <v>0</v>
      </c>
      <c r="P507" s="212">
        <f t="shared" si="88"/>
        <v>0</v>
      </c>
      <c r="Q507">
        <f t="shared" si="96"/>
        <v>0</v>
      </c>
      <c r="X507" s="216">
        <f t="shared" si="95"/>
        <v>41</v>
      </c>
      <c r="Y507">
        <f t="shared" si="90"/>
        <v>0</v>
      </c>
    </row>
    <row r="508" spans="1:25" ht="13.5" thickBot="1" x14ac:dyDescent="0.25">
      <c r="A508" s="204">
        <f>IF(MOD(COUNT($A$10:A507),12)=0,A507+1,A507)</f>
        <v>42</v>
      </c>
      <c r="B508" s="218">
        <f t="shared" si="91"/>
        <v>7</v>
      </c>
      <c r="C508" s="218">
        <f t="shared" si="85"/>
        <v>1</v>
      </c>
      <c r="D508" s="208">
        <f>IF(MOD(COUNT($D$10:D507),6)=0,D507+1,D507)</f>
        <v>84</v>
      </c>
      <c r="E508" s="208">
        <f>IF(MOD(COUNT($E$10:E507),3)=0,E507+1,E507)</f>
        <v>167</v>
      </c>
      <c r="F508" s="208">
        <f>IF(MOD(COUNT($F$10:F507),1)=0,F507+1,F507)</f>
        <v>499</v>
      </c>
      <c r="G508" s="204">
        <f>IFERROR(IF(C508=1,VLOOKUP(A508,Output!$A$27:$AB$137,28,FALSE)/AnnuityMode,0),0)</f>
        <v>0</v>
      </c>
      <c r="H508" s="220">
        <f>IFERROR(IF(AND(MIN(A508&gt;25,Age+A508&gt;=85),B508=12),VLOOKUP(A508,Output!$A$27:$AE$137,31,FALSE),0),0)</f>
        <v>0</v>
      </c>
      <c r="I508" s="221">
        <f>IFERROR(IF(AND(MIN(A508&gt;15,A508+Age&gt;=70),C508=1),VLOOKUP(A508,Output!$A$27:$AF$137,32,FALSE)*VLOOKUP('SV calc_ignore'!A508,Output!$A$27:$AG$137,33,FALSE)/IF(AnnuityMode=2,2,IF(AnnuityMode=4,4,IF(AnnuityMode=12,12,1))),0),0)</f>
        <v>0</v>
      </c>
      <c r="J508" s="227">
        <f t="shared" si="86"/>
        <v>0</v>
      </c>
      <c r="K508" s="213">
        <f t="shared" si="92"/>
        <v>0</v>
      </c>
      <c r="L508" s="209">
        <f t="shared" si="87"/>
        <v>0</v>
      </c>
      <c r="M508" s="214">
        <f t="shared" si="84"/>
        <v>0</v>
      </c>
      <c r="N508" s="211">
        <f t="shared" si="93"/>
        <v>0</v>
      </c>
      <c r="O508" s="194">
        <f t="shared" si="94"/>
        <v>0</v>
      </c>
      <c r="P508" s="212">
        <f t="shared" si="88"/>
        <v>0</v>
      </c>
      <c r="Q508">
        <f t="shared" si="96"/>
        <v>0</v>
      </c>
      <c r="X508" s="216">
        <f t="shared" si="95"/>
        <v>41</v>
      </c>
      <c r="Y508">
        <f t="shared" si="90"/>
        <v>0</v>
      </c>
    </row>
    <row r="509" spans="1:25" ht="13.5" thickBot="1" x14ac:dyDescent="0.25">
      <c r="A509" s="204">
        <f>IF(MOD(COUNT($A$10:A508),12)=0,A508+1,A508)</f>
        <v>42</v>
      </c>
      <c r="B509" s="218">
        <f t="shared" si="91"/>
        <v>8</v>
      </c>
      <c r="C509" s="218">
        <f t="shared" si="85"/>
        <v>1</v>
      </c>
      <c r="D509" s="208">
        <f>IF(MOD(COUNT($D$10:D508),6)=0,D508+1,D508)</f>
        <v>84</v>
      </c>
      <c r="E509" s="208">
        <f>IF(MOD(COUNT($E$10:E508),3)=0,E508+1,E508)</f>
        <v>167</v>
      </c>
      <c r="F509" s="208">
        <f>IF(MOD(COUNT($F$10:F508),1)=0,F508+1,F508)</f>
        <v>500</v>
      </c>
      <c r="G509" s="204">
        <f>IFERROR(IF(C509=1,VLOOKUP(A509,Output!$A$27:$AB$137,28,FALSE)/AnnuityMode,0),0)</f>
        <v>0</v>
      </c>
      <c r="H509" s="220">
        <f>IFERROR(IF(AND(MIN(A509&gt;25,Age+A509&gt;=85),B509=12),VLOOKUP(A509,Output!$A$27:$AE$137,31,FALSE),0),0)</f>
        <v>0</v>
      </c>
      <c r="I509" s="221">
        <f>IFERROR(IF(AND(MIN(A509&gt;15,A509+Age&gt;=70),C509=1),VLOOKUP(A509,Output!$A$27:$AF$137,32,FALSE)*VLOOKUP('SV calc_ignore'!A509,Output!$A$27:$AG$137,33,FALSE)/IF(AnnuityMode=2,2,IF(AnnuityMode=4,4,IF(AnnuityMode=12,12,1))),0),0)</f>
        <v>0</v>
      </c>
      <c r="J509" s="227">
        <f t="shared" si="86"/>
        <v>0</v>
      </c>
      <c r="K509" s="213">
        <f t="shared" si="92"/>
        <v>0</v>
      </c>
      <c r="L509" s="209">
        <f t="shared" si="87"/>
        <v>0</v>
      </c>
      <c r="M509" s="214">
        <f t="shared" si="84"/>
        <v>0</v>
      </c>
      <c r="N509" s="211">
        <f t="shared" si="93"/>
        <v>0</v>
      </c>
      <c r="O509" s="194">
        <f t="shared" si="94"/>
        <v>0</v>
      </c>
      <c r="P509" s="212">
        <f t="shared" si="88"/>
        <v>0</v>
      </c>
      <c r="Q509">
        <f t="shared" si="96"/>
        <v>0</v>
      </c>
      <c r="X509" s="216">
        <f t="shared" si="95"/>
        <v>41</v>
      </c>
      <c r="Y509">
        <f t="shared" si="90"/>
        <v>0</v>
      </c>
    </row>
    <row r="510" spans="1:25" ht="13.5" thickBot="1" x14ac:dyDescent="0.25">
      <c r="A510" s="204">
        <f>IF(MOD(COUNT($A$10:A509),12)=0,A509+1,A509)</f>
        <v>42</v>
      </c>
      <c r="B510" s="218">
        <f t="shared" si="91"/>
        <v>9</v>
      </c>
      <c r="C510" s="218">
        <f t="shared" si="85"/>
        <v>1</v>
      </c>
      <c r="D510" s="208">
        <f>IF(MOD(COUNT($D$10:D509),6)=0,D509+1,D509)</f>
        <v>84</v>
      </c>
      <c r="E510" s="208">
        <f>IF(MOD(COUNT($E$10:E509),3)=0,E509+1,E509)</f>
        <v>167</v>
      </c>
      <c r="F510" s="208">
        <f>IF(MOD(COUNT($F$10:F509),1)=0,F509+1,F509)</f>
        <v>501</v>
      </c>
      <c r="G510" s="204">
        <f>IFERROR(IF(C510=1,VLOOKUP(A510,Output!$A$27:$AB$137,28,FALSE)/AnnuityMode,0),0)</f>
        <v>0</v>
      </c>
      <c r="H510" s="220">
        <f>IFERROR(IF(AND(MIN(A510&gt;25,Age+A510&gt;=85),B510=12),VLOOKUP(A510,Output!$A$27:$AE$137,31,FALSE),0),0)</f>
        <v>0</v>
      </c>
      <c r="I510" s="221">
        <f>IFERROR(IF(AND(MIN(A510&gt;15,A510+Age&gt;=70),C510=1),VLOOKUP(A510,Output!$A$27:$AF$137,32,FALSE)*VLOOKUP('SV calc_ignore'!A510,Output!$A$27:$AG$137,33,FALSE)/IF(AnnuityMode=2,2,IF(AnnuityMode=4,4,IF(AnnuityMode=12,12,1))),0),0)</f>
        <v>0</v>
      </c>
      <c r="J510" s="227">
        <f t="shared" si="86"/>
        <v>0</v>
      </c>
      <c r="K510" s="213">
        <f t="shared" si="92"/>
        <v>0</v>
      </c>
      <c r="L510" s="209">
        <f t="shared" si="87"/>
        <v>0</v>
      </c>
      <c r="M510" s="214">
        <f t="shared" ref="M510:M573" si="97">L509*(1+$K$3)</f>
        <v>0</v>
      </c>
      <c r="N510" s="211">
        <f t="shared" si="93"/>
        <v>0</v>
      </c>
      <c r="O510" s="194">
        <f t="shared" si="94"/>
        <v>0</v>
      </c>
      <c r="P510" s="212">
        <f t="shared" si="88"/>
        <v>0</v>
      </c>
      <c r="Q510">
        <f t="shared" si="96"/>
        <v>0</v>
      </c>
      <c r="X510" s="216">
        <f t="shared" si="95"/>
        <v>41</v>
      </c>
      <c r="Y510">
        <f t="shared" si="90"/>
        <v>0</v>
      </c>
    </row>
    <row r="511" spans="1:25" ht="13.5" thickBot="1" x14ac:dyDescent="0.25">
      <c r="A511" s="204">
        <f>IF(MOD(COUNT($A$10:A510),12)=0,A510+1,A510)</f>
        <v>42</v>
      </c>
      <c r="B511" s="218">
        <f t="shared" si="91"/>
        <v>10</v>
      </c>
      <c r="C511" s="218">
        <f t="shared" si="85"/>
        <v>1</v>
      </c>
      <c r="D511" s="208">
        <f>IF(MOD(COUNT($D$10:D510),6)=0,D510+1,D510)</f>
        <v>84</v>
      </c>
      <c r="E511" s="208">
        <f>IF(MOD(COUNT($E$10:E510),3)=0,E510+1,E510)</f>
        <v>168</v>
      </c>
      <c r="F511" s="208">
        <f>IF(MOD(COUNT($F$10:F510),1)=0,F510+1,F510)</f>
        <v>502</v>
      </c>
      <c r="G511" s="204">
        <f>IFERROR(IF(C511=1,VLOOKUP(A511,Output!$A$27:$AB$137,28,FALSE)/AnnuityMode,0),0)</f>
        <v>0</v>
      </c>
      <c r="H511" s="220">
        <f>IFERROR(IF(AND(MIN(A511&gt;25,Age+A511&gt;=85),B511=12),VLOOKUP(A511,Output!$A$27:$AE$137,31,FALSE),0),0)</f>
        <v>0</v>
      </c>
      <c r="I511" s="221">
        <f>IFERROR(IF(AND(MIN(A511&gt;15,A511+Age&gt;=70),C511=1),VLOOKUP(A511,Output!$A$27:$AF$137,32,FALSE)*VLOOKUP('SV calc_ignore'!A511,Output!$A$27:$AG$137,33,FALSE)/IF(AnnuityMode=2,2,IF(AnnuityMode=4,4,IF(AnnuityMode=12,12,1))),0),0)</f>
        <v>0</v>
      </c>
      <c r="J511" s="227">
        <f t="shared" si="86"/>
        <v>0</v>
      </c>
      <c r="K511" s="213">
        <f t="shared" si="92"/>
        <v>0</v>
      </c>
      <c r="L511" s="209">
        <f t="shared" si="87"/>
        <v>0</v>
      </c>
      <c r="M511" s="214">
        <f t="shared" si="97"/>
        <v>0</v>
      </c>
      <c r="N511" s="211">
        <f t="shared" si="93"/>
        <v>0</v>
      </c>
      <c r="O511" s="194">
        <f t="shared" si="94"/>
        <v>0</v>
      </c>
      <c r="P511" s="212">
        <f t="shared" si="88"/>
        <v>0</v>
      </c>
      <c r="Q511">
        <f t="shared" si="96"/>
        <v>0</v>
      </c>
      <c r="X511" s="216">
        <f t="shared" si="95"/>
        <v>41</v>
      </c>
      <c r="Y511">
        <f t="shared" si="90"/>
        <v>0</v>
      </c>
    </row>
    <row r="512" spans="1:25" ht="13.5" thickBot="1" x14ac:dyDescent="0.25">
      <c r="A512" s="204">
        <f>IF(MOD(COUNT($A$10:A511),12)=0,A511+1,A511)</f>
        <v>42</v>
      </c>
      <c r="B512" s="218">
        <f t="shared" si="91"/>
        <v>11</v>
      </c>
      <c r="C512" s="218">
        <f t="shared" si="85"/>
        <v>1</v>
      </c>
      <c r="D512" s="208">
        <f>IF(MOD(COUNT($D$10:D511),6)=0,D511+1,D511)</f>
        <v>84</v>
      </c>
      <c r="E512" s="208">
        <f>IF(MOD(COUNT($E$10:E511),3)=0,E511+1,E511)</f>
        <v>168</v>
      </c>
      <c r="F512" s="208">
        <f>IF(MOD(COUNT($F$10:F511),1)=0,F511+1,F511)</f>
        <v>503</v>
      </c>
      <c r="G512" s="204">
        <f>IFERROR(IF(C512=1,VLOOKUP(A512,Output!$A$27:$AB$137,28,FALSE)/AnnuityMode,0),0)</f>
        <v>0</v>
      </c>
      <c r="H512" s="220">
        <f>IFERROR(IF(AND(MIN(A512&gt;25,Age+A512&gt;=85),B512=12),VLOOKUP(A512,Output!$A$27:$AE$137,31,FALSE),0),0)</f>
        <v>0</v>
      </c>
      <c r="I512" s="221">
        <f>IFERROR(IF(AND(MIN(A512&gt;15,A512+Age&gt;=70),C512=1),VLOOKUP(A512,Output!$A$27:$AF$137,32,FALSE)*VLOOKUP('SV calc_ignore'!A512,Output!$A$27:$AG$137,33,FALSE)/IF(AnnuityMode=2,2,IF(AnnuityMode=4,4,IF(AnnuityMode=12,12,1))),0),0)</f>
        <v>0</v>
      </c>
      <c r="J512" s="227">
        <f t="shared" si="86"/>
        <v>0</v>
      </c>
      <c r="K512" s="213">
        <f t="shared" si="92"/>
        <v>0</v>
      </c>
      <c r="L512" s="209">
        <f t="shared" si="87"/>
        <v>0</v>
      </c>
      <c r="M512" s="214">
        <f t="shared" si="97"/>
        <v>0</v>
      </c>
      <c r="N512" s="211">
        <f t="shared" si="93"/>
        <v>0</v>
      </c>
      <c r="O512" s="194">
        <f t="shared" si="94"/>
        <v>0</v>
      </c>
      <c r="P512" s="212">
        <f t="shared" si="88"/>
        <v>0</v>
      </c>
      <c r="Q512">
        <f t="shared" si="96"/>
        <v>0</v>
      </c>
      <c r="X512" s="216">
        <f t="shared" si="95"/>
        <v>41</v>
      </c>
      <c r="Y512">
        <f t="shared" si="90"/>
        <v>0</v>
      </c>
    </row>
    <row r="513" spans="1:25" ht="13.5" thickBot="1" x14ac:dyDescent="0.25">
      <c r="A513" s="204">
        <f>IF(MOD(COUNT($A$10:A512),12)=0,A512+1,A512)</f>
        <v>42</v>
      </c>
      <c r="B513" s="218">
        <f t="shared" si="91"/>
        <v>12</v>
      </c>
      <c r="C513" s="218">
        <f t="shared" si="85"/>
        <v>1</v>
      </c>
      <c r="D513" s="208">
        <f>IF(MOD(COUNT($D$10:D512),6)=0,D512+1,D512)</f>
        <v>84</v>
      </c>
      <c r="E513" s="208">
        <f>IF(MOD(COUNT($E$10:E512),3)=0,E512+1,E512)</f>
        <v>168</v>
      </c>
      <c r="F513" s="208">
        <f>IF(MOD(COUNT($F$10:F512),1)=0,F512+1,F512)</f>
        <v>504</v>
      </c>
      <c r="G513" s="204">
        <f>IFERROR(IF(C513=1,VLOOKUP(A513,Output!$A$27:$AB$137,28,FALSE)/AnnuityMode,0),0)</f>
        <v>0</v>
      </c>
      <c r="H513" s="220">
        <f>IFERROR(IF(AND(MIN(A513&gt;25,Age+A513&gt;=85),B513=12),VLOOKUP(A513,Output!$A$27:$AE$137,31,FALSE),0),0)</f>
        <v>0</v>
      </c>
      <c r="I513" s="221">
        <f>IFERROR(IF(AND(MIN(A513&gt;15,A513+Age&gt;=70),C513=1),VLOOKUP(A513,Output!$A$27:$AF$137,32,FALSE)*VLOOKUP('SV calc_ignore'!A513,Output!$A$27:$AG$137,33,FALSE)/IF(AnnuityMode=2,2,IF(AnnuityMode=4,4,IF(AnnuityMode=12,12,1))),0),0)</f>
        <v>0</v>
      </c>
      <c r="J513" s="227">
        <f t="shared" si="86"/>
        <v>0</v>
      </c>
      <c r="K513" s="213">
        <f t="shared" si="92"/>
        <v>0</v>
      </c>
      <c r="L513" s="209">
        <f t="shared" si="87"/>
        <v>0</v>
      </c>
      <c r="M513" s="214">
        <f t="shared" si="97"/>
        <v>0</v>
      </c>
      <c r="N513" s="211">
        <f t="shared" si="93"/>
        <v>0</v>
      </c>
      <c r="O513" s="194">
        <f t="shared" si="94"/>
        <v>0</v>
      </c>
      <c r="P513" s="212">
        <f t="shared" si="88"/>
        <v>0</v>
      </c>
      <c r="Q513">
        <f t="shared" si="96"/>
        <v>0</v>
      </c>
      <c r="X513" s="216">
        <f t="shared" si="95"/>
        <v>41</v>
      </c>
      <c r="Y513">
        <f t="shared" si="90"/>
        <v>0</v>
      </c>
    </row>
    <row r="514" spans="1:25" ht="13.5" thickBot="1" x14ac:dyDescent="0.25">
      <c r="A514" s="204">
        <f>IF(MOD(COUNT($A$10:A513),12)=0,A513+1,A513)</f>
        <v>43</v>
      </c>
      <c r="B514" s="218">
        <f t="shared" si="91"/>
        <v>1</v>
      </c>
      <c r="C514" s="218">
        <f t="shared" si="85"/>
        <v>1</v>
      </c>
      <c r="D514" s="208">
        <f>IF(MOD(COUNT($D$10:D513),6)=0,D513+1,D513)</f>
        <v>85</v>
      </c>
      <c r="E514" s="208">
        <f>IF(MOD(COUNT($E$10:E513),3)=0,E513+1,E513)</f>
        <v>169</v>
      </c>
      <c r="F514" s="208">
        <f>IF(MOD(COUNT($F$10:F513),1)=0,F513+1,F513)</f>
        <v>505</v>
      </c>
      <c r="G514" s="204">
        <f>IFERROR(IF(C514=1,VLOOKUP(A514,Output!$A$27:$AB$137,28,FALSE)/AnnuityMode,0),0)</f>
        <v>0</v>
      </c>
      <c r="H514" s="220">
        <f>IFERROR(IF(AND(MIN(A514&gt;25,Age+A514&gt;=85),B514=12),VLOOKUP(A514,Output!$A$27:$AE$137,31,FALSE),0),0)</f>
        <v>0</v>
      </c>
      <c r="I514" s="221">
        <f>IFERROR(IF(AND(MIN(A514&gt;15,A514+Age&gt;=70),C514=1),VLOOKUP(A514,Output!$A$27:$AF$137,32,FALSE)*VLOOKUP('SV calc_ignore'!A514,Output!$A$27:$AG$137,33,FALSE)/IF(AnnuityMode=2,2,IF(AnnuityMode=4,4,IF(AnnuityMode=12,12,1))),0),0)</f>
        <v>0</v>
      </c>
      <c r="J514" s="227">
        <f t="shared" si="86"/>
        <v>0</v>
      </c>
      <c r="K514" s="213">
        <f t="shared" si="92"/>
        <v>0</v>
      </c>
      <c r="L514" s="209">
        <f t="shared" si="87"/>
        <v>0</v>
      </c>
      <c r="M514" s="214">
        <f t="shared" si="97"/>
        <v>0</v>
      </c>
      <c r="N514" s="211">
        <f t="shared" si="93"/>
        <v>0</v>
      </c>
      <c r="O514" s="194">
        <f t="shared" si="94"/>
        <v>0</v>
      </c>
      <c r="P514" s="212">
        <f t="shared" si="88"/>
        <v>0</v>
      </c>
      <c r="Q514">
        <f t="shared" si="96"/>
        <v>0</v>
      </c>
      <c r="X514" s="216">
        <f t="shared" si="95"/>
        <v>42</v>
      </c>
      <c r="Y514">
        <f t="shared" si="90"/>
        <v>0</v>
      </c>
    </row>
    <row r="515" spans="1:25" ht="13.5" thickBot="1" x14ac:dyDescent="0.25">
      <c r="A515" s="204">
        <f>IF(MOD(COUNT($A$10:A514),12)=0,A514+1,A514)</f>
        <v>43</v>
      </c>
      <c r="B515" s="218">
        <f t="shared" si="91"/>
        <v>2</v>
      </c>
      <c r="C515" s="218">
        <f t="shared" si="85"/>
        <v>1</v>
      </c>
      <c r="D515" s="208">
        <f>IF(MOD(COUNT($D$10:D514),6)=0,D514+1,D514)</f>
        <v>85</v>
      </c>
      <c r="E515" s="208">
        <f>IF(MOD(COUNT($E$10:E514),3)=0,E514+1,E514)</f>
        <v>169</v>
      </c>
      <c r="F515" s="208">
        <f>IF(MOD(COUNT($F$10:F514),1)=0,F514+1,F514)</f>
        <v>506</v>
      </c>
      <c r="G515" s="204">
        <f>IFERROR(IF(C515=1,VLOOKUP(A515,Output!$A$27:$AB$137,28,FALSE)/AnnuityMode,0),0)</f>
        <v>0</v>
      </c>
      <c r="H515" s="220">
        <f>IFERROR(IF(AND(MIN(A515&gt;25,Age+A515&gt;=85),B515=12),VLOOKUP(A515,Output!$A$27:$AE$137,31,FALSE),0),0)</f>
        <v>0</v>
      </c>
      <c r="I515" s="221">
        <f>IFERROR(IF(AND(MIN(A515&gt;15,A515+Age&gt;=70),C515=1),VLOOKUP(A515,Output!$A$27:$AF$137,32,FALSE)*VLOOKUP('SV calc_ignore'!A515,Output!$A$27:$AG$137,33,FALSE)/IF(AnnuityMode=2,2,IF(AnnuityMode=4,4,IF(AnnuityMode=12,12,1))),0),0)</f>
        <v>0</v>
      </c>
      <c r="J515" s="227">
        <f t="shared" si="86"/>
        <v>0</v>
      </c>
      <c r="K515" s="213">
        <f t="shared" si="92"/>
        <v>0</v>
      </c>
      <c r="L515" s="209">
        <f t="shared" si="87"/>
        <v>0</v>
      </c>
      <c r="M515" s="214">
        <f t="shared" si="97"/>
        <v>0</v>
      </c>
      <c r="N515" s="211">
        <f t="shared" si="93"/>
        <v>0</v>
      </c>
      <c r="O515" s="194">
        <f t="shared" si="94"/>
        <v>0</v>
      </c>
      <c r="P515" s="212">
        <f t="shared" si="88"/>
        <v>0</v>
      </c>
      <c r="Q515">
        <f t="shared" si="96"/>
        <v>0</v>
      </c>
      <c r="X515" s="216">
        <f t="shared" si="95"/>
        <v>42</v>
      </c>
      <c r="Y515">
        <f t="shared" si="90"/>
        <v>0</v>
      </c>
    </row>
    <row r="516" spans="1:25" ht="13.5" thickBot="1" x14ac:dyDescent="0.25">
      <c r="A516" s="204">
        <f>IF(MOD(COUNT($A$10:A515),12)=0,A515+1,A515)</f>
        <v>43</v>
      </c>
      <c r="B516" s="218">
        <f t="shared" si="91"/>
        <v>3</v>
      </c>
      <c r="C516" s="218">
        <f t="shared" si="85"/>
        <v>1</v>
      </c>
      <c r="D516" s="208">
        <f>IF(MOD(COUNT($D$10:D515),6)=0,D515+1,D515)</f>
        <v>85</v>
      </c>
      <c r="E516" s="208">
        <f>IF(MOD(COUNT($E$10:E515),3)=0,E515+1,E515)</f>
        <v>169</v>
      </c>
      <c r="F516" s="208">
        <f>IF(MOD(COUNT($F$10:F515),1)=0,F515+1,F515)</f>
        <v>507</v>
      </c>
      <c r="G516" s="204">
        <f>IFERROR(IF(C516=1,VLOOKUP(A516,Output!$A$27:$AB$137,28,FALSE)/AnnuityMode,0),0)</f>
        <v>0</v>
      </c>
      <c r="H516" s="220">
        <f>IFERROR(IF(AND(MIN(A516&gt;25,Age+A516&gt;=85),B516=12),VLOOKUP(A516,Output!$A$27:$AE$137,31,FALSE),0),0)</f>
        <v>0</v>
      </c>
      <c r="I516" s="221">
        <f>IFERROR(IF(AND(MIN(A516&gt;15,A516+Age&gt;=70),C516=1),VLOOKUP(A516,Output!$A$27:$AF$137,32,FALSE)*VLOOKUP('SV calc_ignore'!A516,Output!$A$27:$AG$137,33,FALSE)/IF(AnnuityMode=2,2,IF(AnnuityMode=4,4,IF(AnnuityMode=12,12,1))),0),0)</f>
        <v>0</v>
      </c>
      <c r="J516" s="227">
        <f t="shared" si="86"/>
        <v>0</v>
      </c>
      <c r="K516" s="213">
        <f t="shared" si="92"/>
        <v>0</v>
      </c>
      <c r="L516" s="209">
        <f t="shared" si="87"/>
        <v>0</v>
      </c>
      <c r="M516" s="214">
        <f t="shared" si="97"/>
        <v>0</v>
      </c>
      <c r="N516" s="211">
        <f t="shared" si="93"/>
        <v>0</v>
      </c>
      <c r="O516" s="194">
        <f t="shared" si="94"/>
        <v>0</v>
      </c>
      <c r="P516" s="212">
        <f t="shared" si="88"/>
        <v>0</v>
      </c>
      <c r="Q516">
        <f t="shared" si="96"/>
        <v>0</v>
      </c>
      <c r="X516" s="216">
        <f t="shared" si="95"/>
        <v>42</v>
      </c>
      <c r="Y516">
        <f t="shared" si="90"/>
        <v>0</v>
      </c>
    </row>
    <row r="517" spans="1:25" ht="13.5" thickBot="1" x14ac:dyDescent="0.25">
      <c r="A517" s="204">
        <f>IF(MOD(COUNT($A$10:A516),12)=0,A516+1,A516)</f>
        <v>43</v>
      </c>
      <c r="B517" s="218">
        <f t="shared" si="91"/>
        <v>4</v>
      </c>
      <c r="C517" s="218">
        <f t="shared" si="85"/>
        <v>1</v>
      </c>
      <c r="D517" s="208">
        <f>IF(MOD(COUNT($D$10:D516),6)=0,D516+1,D516)</f>
        <v>85</v>
      </c>
      <c r="E517" s="208">
        <f>IF(MOD(COUNT($E$10:E516),3)=0,E516+1,E516)</f>
        <v>170</v>
      </c>
      <c r="F517" s="208">
        <f>IF(MOD(COUNT($F$10:F516),1)=0,F516+1,F516)</f>
        <v>508</v>
      </c>
      <c r="G517" s="204">
        <f>IFERROR(IF(C517=1,VLOOKUP(A517,Output!$A$27:$AB$137,28,FALSE)/AnnuityMode,0),0)</f>
        <v>0</v>
      </c>
      <c r="H517" s="220">
        <f>IFERROR(IF(AND(MIN(A517&gt;25,Age+A517&gt;=85),B517=12),VLOOKUP(A517,Output!$A$27:$AE$137,31,FALSE),0),0)</f>
        <v>0</v>
      </c>
      <c r="I517" s="221">
        <f>IFERROR(IF(AND(MIN(A517&gt;15,A517+Age&gt;=70),C517=1),VLOOKUP(A517,Output!$A$27:$AF$137,32,FALSE)*VLOOKUP('SV calc_ignore'!A517,Output!$A$27:$AG$137,33,FALSE)/IF(AnnuityMode=2,2,IF(AnnuityMode=4,4,IF(AnnuityMode=12,12,1))),0),0)</f>
        <v>0</v>
      </c>
      <c r="J517" s="227">
        <f t="shared" si="86"/>
        <v>0</v>
      </c>
      <c r="K517" s="213">
        <f t="shared" si="92"/>
        <v>0</v>
      </c>
      <c r="L517" s="209">
        <f t="shared" si="87"/>
        <v>0</v>
      </c>
      <c r="M517" s="214">
        <f t="shared" si="97"/>
        <v>0</v>
      </c>
      <c r="N517" s="211">
        <f t="shared" si="93"/>
        <v>0</v>
      </c>
      <c r="O517" s="194">
        <f t="shared" si="94"/>
        <v>0</v>
      </c>
      <c r="P517" s="212">
        <f t="shared" si="88"/>
        <v>0</v>
      </c>
      <c r="Q517">
        <f t="shared" si="96"/>
        <v>0</v>
      </c>
      <c r="X517" s="216">
        <f t="shared" si="95"/>
        <v>42</v>
      </c>
      <c r="Y517">
        <f t="shared" si="90"/>
        <v>0</v>
      </c>
    </row>
    <row r="518" spans="1:25" ht="13.5" thickBot="1" x14ac:dyDescent="0.25">
      <c r="A518" s="204">
        <f>IF(MOD(COUNT($A$10:A517),12)=0,A517+1,A517)</f>
        <v>43</v>
      </c>
      <c r="B518" s="218">
        <f t="shared" si="91"/>
        <v>5</v>
      </c>
      <c r="C518" s="218">
        <f t="shared" si="85"/>
        <v>1</v>
      </c>
      <c r="D518" s="208">
        <f>IF(MOD(COUNT($D$10:D517),6)=0,D517+1,D517)</f>
        <v>85</v>
      </c>
      <c r="E518" s="208">
        <f>IF(MOD(COUNT($E$10:E517),3)=0,E517+1,E517)</f>
        <v>170</v>
      </c>
      <c r="F518" s="208">
        <f>IF(MOD(COUNT($F$10:F517),1)=0,F517+1,F517)</f>
        <v>509</v>
      </c>
      <c r="G518" s="204">
        <f>IFERROR(IF(C518=1,VLOOKUP(A518,Output!$A$27:$AB$137,28,FALSE)/AnnuityMode,0),0)</f>
        <v>0</v>
      </c>
      <c r="H518" s="220">
        <f>IFERROR(IF(AND(MIN(A518&gt;25,Age+A518&gt;=85),B518=12),VLOOKUP(A518,Output!$A$27:$AE$137,31,FALSE),0),0)</f>
        <v>0</v>
      </c>
      <c r="I518" s="221">
        <f>IFERROR(IF(AND(MIN(A518&gt;15,A518+Age&gt;=70),C518=1),VLOOKUP(A518,Output!$A$27:$AF$137,32,FALSE)*VLOOKUP('SV calc_ignore'!A518,Output!$A$27:$AG$137,33,FALSE)/IF(AnnuityMode=2,2,IF(AnnuityMode=4,4,IF(AnnuityMode=12,12,1))),0),0)</f>
        <v>0</v>
      </c>
      <c r="J518" s="227">
        <f t="shared" si="86"/>
        <v>0</v>
      </c>
      <c r="K518" s="213">
        <f t="shared" si="92"/>
        <v>0</v>
      </c>
      <c r="L518" s="209">
        <f t="shared" si="87"/>
        <v>0</v>
      </c>
      <c r="M518" s="214">
        <f t="shared" si="97"/>
        <v>0</v>
      </c>
      <c r="N518" s="211">
        <f t="shared" si="93"/>
        <v>0</v>
      </c>
      <c r="O518" s="194">
        <f t="shared" si="94"/>
        <v>0</v>
      </c>
      <c r="P518" s="212">
        <f t="shared" si="88"/>
        <v>0</v>
      </c>
      <c r="Q518">
        <f t="shared" si="96"/>
        <v>0</v>
      </c>
      <c r="X518" s="216">
        <f t="shared" si="95"/>
        <v>42</v>
      </c>
      <c r="Y518">
        <f t="shared" si="90"/>
        <v>0</v>
      </c>
    </row>
    <row r="519" spans="1:25" ht="13.5" thickBot="1" x14ac:dyDescent="0.25">
      <c r="A519" s="204">
        <f>IF(MOD(COUNT($A$10:A518),12)=0,A518+1,A518)</f>
        <v>43</v>
      </c>
      <c r="B519" s="218">
        <f t="shared" si="91"/>
        <v>6</v>
      </c>
      <c r="C519" s="218">
        <f t="shared" si="85"/>
        <v>1</v>
      </c>
      <c r="D519" s="208">
        <f>IF(MOD(COUNT($D$10:D518),6)=0,D518+1,D518)</f>
        <v>85</v>
      </c>
      <c r="E519" s="208">
        <f>IF(MOD(COUNT($E$10:E518),3)=0,E518+1,E518)</f>
        <v>170</v>
      </c>
      <c r="F519" s="208">
        <f>IF(MOD(COUNT($F$10:F518),1)=0,F518+1,F518)</f>
        <v>510</v>
      </c>
      <c r="G519" s="204">
        <f>IFERROR(IF(C519=1,VLOOKUP(A519,Output!$A$27:$AB$137,28,FALSE)/AnnuityMode,0),0)</f>
        <v>0</v>
      </c>
      <c r="H519" s="220">
        <f>IFERROR(IF(AND(MIN(A519&gt;25,Age+A519&gt;=85),B519=12),VLOOKUP(A519,Output!$A$27:$AE$137,31,FALSE),0),0)</f>
        <v>0</v>
      </c>
      <c r="I519" s="221">
        <f>IFERROR(IF(AND(MIN(A519&gt;15,A519+Age&gt;=70),C519=1),VLOOKUP(A519,Output!$A$27:$AF$137,32,FALSE)*VLOOKUP('SV calc_ignore'!A519,Output!$A$27:$AG$137,33,FALSE)/IF(AnnuityMode=2,2,IF(AnnuityMode=4,4,IF(AnnuityMode=12,12,1))),0),0)</f>
        <v>0</v>
      </c>
      <c r="J519" s="227">
        <f t="shared" si="86"/>
        <v>0</v>
      </c>
      <c r="K519" s="213">
        <f t="shared" si="92"/>
        <v>0</v>
      </c>
      <c r="L519" s="209">
        <f t="shared" si="87"/>
        <v>0</v>
      </c>
      <c r="M519" s="214">
        <f t="shared" si="97"/>
        <v>0</v>
      </c>
      <c r="N519" s="211">
        <f t="shared" si="93"/>
        <v>0</v>
      </c>
      <c r="O519" s="194">
        <f t="shared" si="94"/>
        <v>0</v>
      </c>
      <c r="P519" s="212">
        <f t="shared" si="88"/>
        <v>0</v>
      </c>
      <c r="Q519">
        <f t="shared" si="96"/>
        <v>0</v>
      </c>
      <c r="X519" s="216">
        <f t="shared" si="95"/>
        <v>42</v>
      </c>
      <c r="Y519">
        <f t="shared" si="90"/>
        <v>0</v>
      </c>
    </row>
    <row r="520" spans="1:25" ht="13.5" thickBot="1" x14ac:dyDescent="0.25">
      <c r="A520" s="204">
        <f>IF(MOD(COUNT($A$10:A519),12)=0,A519+1,A519)</f>
        <v>43</v>
      </c>
      <c r="B520" s="218">
        <f t="shared" si="91"/>
        <v>7</v>
      </c>
      <c r="C520" s="218">
        <f t="shared" si="85"/>
        <v>1</v>
      </c>
      <c r="D520" s="208">
        <f>IF(MOD(COUNT($D$10:D519),6)=0,D519+1,D519)</f>
        <v>86</v>
      </c>
      <c r="E520" s="208">
        <f>IF(MOD(COUNT($E$10:E519),3)=0,E519+1,E519)</f>
        <v>171</v>
      </c>
      <c r="F520" s="208">
        <f>IF(MOD(COUNT($F$10:F519),1)=0,F519+1,F519)</f>
        <v>511</v>
      </c>
      <c r="G520" s="204">
        <f>IFERROR(IF(C520=1,VLOOKUP(A520,Output!$A$27:$AB$137,28,FALSE)/AnnuityMode,0),0)</f>
        <v>0</v>
      </c>
      <c r="H520" s="220">
        <f>IFERROR(IF(AND(MIN(A520&gt;25,Age+A520&gt;=85),B520=12),VLOOKUP(A520,Output!$A$27:$AE$137,31,FALSE),0),0)</f>
        <v>0</v>
      </c>
      <c r="I520" s="221">
        <f>IFERROR(IF(AND(MIN(A520&gt;15,A520+Age&gt;=70),C520=1),VLOOKUP(A520,Output!$A$27:$AF$137,32,FALSE)*VLOOKUP('SV calc_ignore'!A520,Output!$A$27:$AG$137,33,FALSE)/IF(AnnuityMode=2,2,IF(AnnuityMode=4,4,IF(AnnuityMode=12,12,1))),0),0)</f>
        <v>0</v>
      </c>
      <c r="J520" s="227">
        <f t="shared" si="86"/>
        <v>0</v>
      </c>
      <c r="K520" s="213">
        <f t="shared" si="92"/>
        <v>0</v>
      </c>
      <c r="L520" s="209">
        <f t="shared" si="87"/>
        <v>0</v>
      </c>
      <c r="M520" s="214">
        <f t="shared" si="97"/>
        <v>0</v>
      </c>
      <c r="N520" s="211">
        <f t="shared" si="93"/>
        <v>0</v>
      </c>
      <c r="O520" s="194">
        <f t="shared" si="94"/>
        <v>0</v>
      </c>
      <c r="P520" s="212">
        <f t="shared" si="88"/>
        <v>0</v>
      </c>
      <c r="Q520">
        <f t="shared" si="96"/>
        <v>0</v>
      </c>
      <c r="X520" s="216">
        <f t="shared" si="95"/>
        <v>42</v>
      </c>
      <c r="Y520">
        <f t="shared" si="90"/>
        <v>0</v>
      </c>
    </row>
    <row r="521" spans="1:25" ht="13.5" thickBot="1" x14ac:dyDescent="0.25">
      <c r="A521" s="204">
        <f>IF(MOD(COUNT($A$10:A520),12)=0,A520+1,A520)</f>
        <v>43</v>
      </c>
      <c r="B521" s="218">
        <f t="shared" si="91"/>
        <v>8</v>
      </c>
      <c r="C521" s="218">
        <f t="shared" si="85"/>
        <v>1</v>
      </c>
      <c r="D521" s="208">
        <f>IF(MOD(COUNT($D$10:D520),6)=0,D520+1,D520)</f>
        <v>86</v>
      </c>
      <c r="E521" s="208">
        <f>IF(MOD(COUNT($E$10:E520),3)=0,E520+1,E520)</f>
        <v>171</v>
      </c>
      <c r="F521" s="208">
        <f>IF(MOD(COUNT($F$10:F520),1)=0,F520+1,F520)</f>
        <v>512</v>
      </c>
      <c r="G521" s="204">
        <f>IFERROR(IF(C521=1,VLOOKUP(A521,Output!$A$27:$AB$137,28,FALSE)/AnnuityMode,0),0)</f>
        <v>0</v>
      </c>
      <c r="H521" s="220">
        <f>IFERROR(IF(AND(MIN(A521&gt;25,Age+A521&gt;=85),B521=12),VLOOKUP(A521,Output!$A$27:$AE$137,31,FALSE),0),0)</f>
        <v>0</v>
      </c>
      <c r="I521" s="221">
        <f>IFERROR(IF(AND(MIN(A521&gt;15,A521+Age&gt;=70),C521=1),VLOOKUP(A521,Output!$A$27:$AF$137,32,FALSE)*VLOOKUP('SV calc_ignore'!A521,Output!$A$27:$AG$137,33,FALSE)/IF(AnnuityMode=2,2,IF(AnnuityMode=4,4,IF(AnnuityMode=12,12,1))),0),0)</f>
        <v>0</v>
      </c>
      <c r="J521" s="227">
        <f t="shared" si="86"/>
        <v>0</v>
      </c>
      <c r="K521" s="213">
        <f t="shared" si="92"/>
        <v>0</v>
      </c>
      <c r="L521" s="209">
        <f t="shared" si="87"/>
        <v>0</v>
      </c>
      <c r="M521" s="214">
        <f t="shared" si="97"/>
        <v>0</v>
      </c>
      <c r="N521" s="211">
        <f t="shared" si="93"/>
        <v>0</v>
      </c>
      <c r="O521" s="194">
        <f t="shared" si="94"/>
        <v>0</v>
      </c>
      <c r="P521" s="212">
        <f t="shared" si="88"/>
        <v>0</v>
      </c>
      <c r="Q521">
        <f t="shared" si="96"/>
        <v>0</v>
      </c>
      <c r="X521" s="216">
        <f t="shared" si="95"/>
        <v>42</v>
      </c>
      <c r="Y521">
        <f t="shared" si="90"/>
        <v>0</v>
      </c>
    </row>
    <row r="522" spans="1:25" ht="13.5" thickBot="1" x14ac:dyDescent="0.25">
      <c r="A522" s="204">
        <f>IF(MOD(COUNT($A$10:A521),12)=0,A521+1,A521)</f>
        <v>43</v>
      </c>
      <c r="B522" s="218">
        <f t="shared" si="91"/>
        <v>9</v>
      </c>
      <c r="C522" s="218">
        <f t="shared" ref="C522:C585" si="98">IF(AND(AnnuityMode=1,B522=12),1,IF(AND(OR(B522=6,B522=12),AnnuityMode=2),1,IF(AND(OR(B522=3,B522=6,B522=12,B522=9),AnnuityMode=4),1,IF(AND(OR(B522=1,B522=2,B522=3,B522=4,B522=5,B522=6,B522=7,B522=8,B522=9,B522=10,B522=11,B522=12),AnnuityMode=12),1,0))))</f>
        <v>1</v>
      </c>
      <c r="D522" s="208">
        <f>IF(MOD(COUNT($D$10:D521),6)=0,D521+1,D521)</f>
        <v>86</v>
      </c>
      <c r="E522" s="208">
        <f>IF(MOD(COUNT($E$10:E521),3)=0,E521+1,E521)</f>
        <v>171</v>
      </c>
      <c r="F522" s="208">
        <f>IF(MOD(COUNT($F$10:F521),1)=0,F521+1,F521)</f>
        <v>513</v>
      </c>
      <c r="G522" s="204">
        <f>IFERROR(IF(C522=1,VLOOKUP(A522,Output!$A$27:$AB$137,28,FALSE)/AnnuityMode,0),0)</f>
        <v>0</v>
      </c>
      <c r="H522" s="220">
        <f>IFERROR(IF(AND(MIN(A522&gt;25,Age+A522&gt;=85),B522=12),VLOOKUP(A522,Output!$A$27:$AE$137,31,FALSE),0),0)</f>
        <v>0</v>
      </c>
      <c r="I522" s="221">
        <f>IFERROR(IF(AND(MIN(A522&gt;15,A522+Age&gt;=70),C522=1),VLOOKUP(A522,Output!$A$27:$AF$137,32,FALSE)*VLOOKUP('SV calc_ignore'!A522,Output!$A$27:$AG$137,33,FALSE)/IF(AnnuityMode=2,2,IF(AnnuityMode=4,4,IF(AnnuityMode=12,12,1))),0),0)</f>
        <v>0</v>
      </c>
      <c r="J522" s="227">
        <f t="shared" ref="J522:J585" si="99">G522+(J523)*(1+$K$3)^(-1)</f>
        <v>0</v>
      </c>
      <c r="K522" s="213">
        <f t="shared" si="92"/>
        <v>0</v>
      </c>
      <c r="L522" s="209">
        <f t="shared" ref="L522:L585" si="100">(L523+G523)*$K$2</f>
        <v>0</v>
      </c>
      <c r="M522" s="214">
        <f t="shared" si="97"/>
        <v>0</v>
      </c>
      <c r="N522" s="211">
        <f t="shared" si="93"/>
        <v>0</v>
      </c>
      <c r="O522" s="194">
        <f t="shared" si="94"/>
        <v>0</v>
      </c>
      <c r="P522" s="212">
        <f t="shared" ref="P522:P585" si="101">(P523+H523)*(1+$K$3)^(-1)</f>
        <v>0</v>
      </c>
      <c r="Q522">
        <f t="shared" si="96"/>
        <v>0</v>
      </c>
      <c r="X522" s="216">
        <f t="shared" si="95"/>
        <v>42</v>
      </c>
      <c r="Y522">
        <f t="shared" ref="Y522:Y585" si="102">G522*(1-IF(AnnuityMode=1,$L$2,IF(AnnuityMode=2,$M$2,IF(AnnuityMode=4,$N$2,$K$2)))^(110*AnnuityMode-IF(AnnuityMode=1,X522,IF(AnnuityMode=2,D522,IF(AnnuityMode=4,E522,F522)))-0))/(IF(AnnuityMode=1,$L$3,IF(AnnuityMode=2,$M$3,IF(AnnuityMode=4,$N$3,$K$3))))</f>
        <v>0</v>
      </c>
    </row>
    <row r="523" spans="1:25" ht="13.5" thickBot="1" x14ac:dyDescent="0.25">
      <c r="A523" s="204">
        <f>IF(MOD(COUNT($A$10:A522),12)=0,A522+1,A522)</f>
        <v>43</v>
      </c>
      <c r="B523" s="218">
        <f t="shared" ref="B523:B586" si="103">IF(A522&lt;&gt;A523,1,B522+1)</f>
        <v>10</v>
      </c>
      <c r="C523" s="218">
        <f t="shared" si="98"/>
        <v>1</v>
      </c>
      <c r="D523" s="208">
        <f>IF(MOD(COUNT($D$10:D522),6)=0,D522+1,D522)</f>
        <v>86</v>
      </c>
      <c r="E523" s="208">
        <f>IF(MOD(COUNT($E$10:E522),3)=0,E522+1,E522)</f>
        <v>172</v>
      </c>
      <c r="F523" s="208">
        <f>IF(MOD(COUNT($F$10:F522),1)=0,F522+1,F522)</f>
        <v>514</v>
      </c>
      <c r="G523" s="204">
        <f>IFERROR(IF(C523=1,VLOOKUP(A523,Output!$A$27:$AB$137,28,FALSE)/AnnuityMode,0),0)</f>
        <v>0</v>
      </c>
      <c r="H523" s="220">
        <f>IFERROR(IF(AND(MIN(A523&gt;25,Age+A523&gt;=85),B523=12),VLOOKUP(A523,Output!$A$27:$AE$137,31,FALSE),0),0)</f>
        <v>0</v>
      </c>
      <c r="I523" s="221">
        <f>IFERROR(IF(AND(MIN(A523&gt;15,A523+Age&gt;=70),C523=1),VLOOKUP(A523,Output!$A$27:$AF$137,32,FALSE)*VLOOKUP('SV calc_ignore'!A523,Output!$A$27:$AG$137,33,FALSE)/IF(AnnuityMode=2,2,IF(AnnuityMode=4,4,IF(AnnuityMode=12,12,1))),0),0)</f>
        <v>0</v>
      </c>
      <c r="J523" s="227">
        <f t="shared" si="99"/>
        <v>0</v>
      </c>
      <c r="K523" s="213">
        <f t="shared" ref="K523:K586" si="104">IF(OR(K522&gt;$K$8,K522=0),0,K522+1)</f>
        <v>0</v>
      </c>
      <c r="L523" s="209">
        <f t="shared" si="100"/>
        <v>0</v>
      </c>
      <c r="M523" s="214">
        <f t="shared" si="97"/>
        <v>0</v>
      </c>
      <c r="N523" s="211">
        <f t="shared" ref="N523:N586" si="105">M523-L523-G523</f>
        <v>0</v>
      </c>
      <c r="O523" s="194">
        <f t="shared" ref="O523:O586" si="106">MAX($H$10:$H$897)/(1+$K$3)^($Q$5*12-F523)*(A523&lt;=$Q$5)</f>
        <v>0</v>
      </c>
      <c r="P523" s="212">
        <f t="shared" si="101"/>
        <v>0</v>
      </c>
      <c r="Q523">
        <f t="shared" si="96"/>
        <v>0</v>
      </c>
      <c r="X523" s="216">
        <f t="shared" ref="X523:X586" si="107">A523-1</f>
        <v>42</v>
      </c>
      <c r="Y523">
        <f t="shared" si="102"/>
        <v>0</v>
      </c>
    </row>
    <row r="524" spans="1:25" ht="13.5" thickBot="1" x14ac:dyDescent="0.25">
      <c r="A524" s="204">
        <f>IF(MOD(COUNT($A$10:A523),12)=0,A523+1,A523)</f>
        <v>43</v>
      </c>
      <c r="B524" s="218">
        <f t="shared" si="103"/>
        <v>11</v>
      </c>
      <c r="C524" s="218">
        <f t="shared" si="98"/>
        <v>1</v>
      </c>
      <c r="D524" s="208">
        <f>IF(MOD(COUNT($D$10:D523),6)=0,D523+1,D523)</f>
        <v>86</v>
      </c>
      <c r="E524" s="208">
        <f>IF(MOD(COUNT($E$10:E523),3)=0,E523+1,E523)</f>
        <v>172</v>
      </c>
      <c r="F524" s="208">
        <f>IF(MOD(COUNT($F$10:F523),1)=0,F523+1,F523)</f>
        <v>515</v>
      </c>
      <c r="G524" s="204">
        <f>IFERROR(IF(C524=1,VLOOKUP(A524,Output!$A$27:$AB$137,28,FALSE)/AnnuityMode,0),0)</f>
        <v>0</v>
      </c>
      <c r="H524" s="220">
        <f>IFERROR(IF(AND(MIN(A524&gt;25,Age+A524&gt;=85),B524=12),VLOOKUP(A524,Output!$A$27:$AE$137,31,FALSE),0),0)</f>
        <v>0</v>
      </c>
      <c r="I524" s="221">
        <f>IFERROR(IF(AND(MIN(A524&gt;15,A524+Age&gt;=70),C524=1),VLOOKUP(A524,Output!$A$27:$AF$137,32,FALSE)*VLOOKUP('SV calc_ignore'!A524,Output!$A$27:$AG$137,33,FALSE)/IF(AnnuityMode=2,2,IF(AnnuityMode=4,4,IF(AnnuityMode=12,12,1))),0),0)</f>
        <v>0</v>
      </c>
      <c r="J524" s="227">
        <f t="shared" si="99"/>
        <v>0</v>
      </c>
      <c r="K524" s="213">
        <f t="shared" si="104"/>
        <v>0</v>
      </c>
      <c r="L524" s="209">
        <f t="shared" si="100"/>
        <v>0</v>
      </c>
      <c r="M524" s="214">
        <f t="shared" si="97"/>
        <v>0</v>
      </c>
      <c r="N524" s="211">
        <f t="shared" si="105"/>
        <v>0</v>
      </c>
      <c r="O524" s="194">
        <f t="shared" si="106"/>
        <v>0</v>
      </c>
      <c r="P524" s="212">
        <f t="shared" si="101"/>
        <v>0</v>
      </c>
      <c r="Q524">
        <f t="shared" si="96"/>
        <v>0</v>
      </c>
      <c r="X524" s="216">
        <f t="shared" si="107"/>
        <v>42</v>
      </c>
      <c r="Y524">
        <f t="shared" si="102"/>
        <v>0</v>
      </c>
    </row>
    <row r="525" spans="1:25" ht="13.5" thickBot="1" x14ac:dyDescent="0.25">
      <c r="A525" s="204">
        <f>IF(MOD(COUNT($A$10:A524),12)=0,A524+1,A524)</f>
        <v>43</v>
      </c>
      <c r="B525" s="218">
        <f t="shared" si="103"/>
        <v>12</v>
      </c>
      <c r="C525" s="218">
        <f t="shared" si="98"/>
        <v>1</v>
      </c>
      <c r="D525" s="208">
        <f>IF(MOD(COUNT($D$10:D524),6)=0,D524+1,D524)</f>
        <v>86</v>
      </c>
      <c r="E525" s="208">
        <f>IF(MOD(COUNT($E$10:E524),3)=0,E524+1,E524)</f>
        <v>172</v>
      </c>
      <c r="F525" s="208">
        <f>IF(MOD(COUNT($F$10:F524),1)=0,F524+1,F524)</f>
        <v>516</v>
      </c>
      <c r="G525" s="204">
        <f>IFERROR(IF(C525=1,VLOOKUP(A525,Output!$A$27:$AB$137,28,FALSE)/AnnuityMode,0),0)</f>
        <v>0</v>
      </c>
      <c r="H525" s="220">
        <f>IFERROR(IF(AND(MIN(A525&gt;25,Age+A525&gt;=85),B525=12),VLOOKUP(A525,Output!$A$27:$AE$137,31,FALSE),0),0)</f>
        <v>0</v>
      </c>
      <c r="I525" s="221">
        <f>IFERROR(IF(AND(MIN(A525&gt;15,A525+Age&gt;=70),C525=1),VLOOKUP(A525,Output!$A$27:$AF$137,32,FALSE)*VLOOKUP('SV calc_ignore'!A525,Output!$A$27:$AG$137,33,FALSE)/IF(AnnuityMode=2,2,IF(AnnuityMode=4,4,IF(AnnuityMode=12,12,1))),0),0)</f>
        <v>0</v>
      </c>
      <c r="J525" s="227">
        <f t="shared" si="99"/>
        <v>0</v>
      </c>
      <c r="K525" s="213">
        <f t="shared" si="104"/>
        <v>0</v>
      </c>
      <c r="L525" s="209">
        <f t="shared" si="100"/>
        <v>0</v>
      </c>
      <c r="M525" s="214">
        <f t="shared" si="97"/>
        <v>0</v>
      </c>
      <c r="N525" s="211">
        <f t="shared" si="105"/>
        <v>0</v>
      </c>
      <c r="O525" s="194">
        <f t="shared" si="106"/>
        <v>0</v>
      </c>
      <c r="P525" s="212">
        <f t="shared" si="101"/>
        <v>0</v>
      </c>
      <c r="Q525">
        <f t="shared" si="96"/>
        <v>0</v>
      </c>
      <c r="X525" s="216">
        <f t="shared" si="107"/>
        <v>42</v>
      </c>
      <c r="Y525">
        <f t="shared" si="102"/>
        <v>0</v>
      </c>
    </row>
    <row r="526" spans="1:25" ht="13.5" thickBot="1" x14ac:dyDescent="0.25">
      <c r="A526" s="204">
        <f>IF(MOD(COUNT($A$10:A525),12)=0,A525+1,A525)</f>
        <v>44</v>
      </c>
      <c r="B526" s="218">
        <f t="shared" si="103"/>
        <v>1</v>
      </c>
      <c r="C526" s="218">
        <f t="shared" si="98"/>
        <v>1</v>
      </c>
      <c r="D526" s="208">
        <f>IF(MOD(COUNT($D$10:D525),6)=0,D525+1,D525)</f>
        <v>87</v>
      </c>
      <c r="E526" s="208">
        <f>IF(MOD(COUNT($E$10:E525),3)=0,E525+1,E525)</f>
        <v>173</v>
      </c>
      <c r="F526" s="208">
        <f>IF(MOD(COUNT($F$10:F525),1)=0,F525+1,F525)</f>
        <v>517</v>
      </c>
      <c r="G526" s="204">
        <f>IFERROR(IF(C526=1,VLOOKUP(A526,Output!$A$27:$AB$137,28,FALSE)/AnnuityMode,0),0)</f>
        <v>0</v>
      </c>
      <c r="H526" s="220">
        <f>IFERROR(IF(AND(MIN(A526&gt;25,Age+A526&gt;=85),B526=12),VLOOKUP(A526,Output!$A$27:$AE$137,31,FALSE),0),0)</f>
        <v>0</v>
      </c>
      <c r="I526" s="221">
        <f>IFERROR(IF(AND(MIN(A526&gt;15,A526+Age&gt;=70),C526=1),VLOOKUP(A526,Output!$A$27:$AF$137,32,FALSE)*VLOOKUP('SV calc_ignore'!A526,Output!$A$27:$AG$137,33,FALSE)/IF(AnnuityMode=2,2,IF(AnnuityMode=4,4,IF(AnnuityMode=12,12,1))),0),0)</f>
        <v>0</v>
      </c>
      <c r="J526" s="227">
        <f t="shared" si="99"/>
        <v>0</v>
      </c>
      <c r="K526" s="213">
        <f t="shared" si="104"/>
        <v>0</v>
      </c>
      <c r="L526" s="209">
        <f t="shared" si="100"/>
        <v>0</v>
      </c>
      <c r="M526" s="214">
        <f t="shared" si="97"/>
        <v>0</v>
      </c>
      <c r="N526" s="211">
        <f t="shared" si="105"/>
        <v>0</v>
      </c>
      <c r="O526" s="194">
        <f t="shared" si="106"/>
        <v>0</v>
      </c>
      <c r="P526" s="212">
        <f t="shared" si="101"/>
        <v>0</v>
      </c>
      <c r="Q526">
        <f t="shared" si="96"/>
        <v>0</v>
      </c>
      <c r="X526" s="216">
        <f t="shared" si="107"/>
        <v>43</v>
      </c>
      <c r="Y526">
        <f t="shared" si="102"/>
        <v>0</v>
      </c>
    </row>
    <row r="527" spans="1:25" ht="13.5" thickBot="1" x14ac:dyDescent="0.25">
      <c r="A527" s="204">
        <f>IF(MOD(COUNT($A$10:A526),12)=0,A526+1,A526)</f>
        <v>44</v>
      </c>
      <c r="B527" s="218">
        <f t="shared" si="103"/>
        <v>2</v>
      </c>
      <c r="C527" s="218">
        <f t="shared" si="98"/>
        <v>1</v>
      </c>
      <c r="D527" s="208">
        <f>IF(MOD(COUNT($D$10:D526),6)=0,D526+1,D526)</f>
        <v>87</v>
      </c>
      <c r="E527" s="208">
        <f>IF(MOD(COUNT($E$10:E526),3)=0,E526+1,E526)</f>
        <v>173</v>
      </c>
      <c r="F527" s="208">
        <f>IF(MOD(COUNT($F$10:F526),1)=0,F526+1,F526)</f>
        <v>518</v>
      </c>
      <c r="G527" s="204">
        <f>IFERROR(IF(C527=1,VLOOKUP(A527,Output!$A$27:$AB$137,28,FALSE)/AnnuityMode,0),0)</f>
        <v>0</v>
      </c>
      <c r="H527" s="220">
        <f>IFERROR(IF(AND(MIN(A527&gt;25,Age+A527&gt;=85),B527=12),VLOOKUP(A527,Output!$A$27:$AE$137,31,FALSE),0),0)</f>
        <v>0</v>
      </c>
      <c r="I527" s="221">
        <f>IFERROR(IF(AND(MIN(A527&gt;15,A527+Age&gt;=70),C527=1),VLOOKUP(A527,Output!$A$27:$AF$137,32,FALSE)*VLOOKUP('SV calc_ignore'!A527,Output!$A$27:$AG$137,33,FALSE)/IF(AnnuityMode=2,2,IF(AnnuityMode=4,4,IF(AnnuityMode=12,12,1))),0),0)</f>
        <v>0</v>
      </c>
      <c r="J527" s="227">
        <f t="shared" si="99"/>
        <v>0</v>
      </c>
      <c r="K527" s="213">
        <f t="shared" si="104"/>
        <v>0</v>
      </c>
      <c r="L527" s="209">
        <f t="shared" si="100"/>
        <v>0</v>
      </c>
      <c r="M527" s="214">
        <f t="shared" si="97"/>
        <v>0</v>
      </c>
      <c r="N527" s="211">
        <f t="shared" si="105"/>
        <v>0</v>
      </c>
      <c r="O527" s="194">
        <f t="shared" si="106"/>
        <v>0</v>
      </c>
      <c r="P527" s="212">
        <f t="shared" si="101"/>
        <v>0</v>
      </c>
      <c r="Q527">
        <f t="shared" si="96"/>
        <v>0</v>
      </c>
      <c r="X527" s="216">
        <f t="shared" si="107"/>
        <v>43</v>
      </c>
      <c r="Y527">
        <f t="shared" si="102"/>
        <v>0</v>
      </c>
    </row>
    <row r="528" spans="1:25" ht="13.5" thickBot="1" x14ac:dyDescent="0.25">
      <c r="A528" s="204">
        <f>IF(MOD(COUNT($A$10:A527),12)=0,A527+1,A527)</f>
        <v>44</v>
      </c>
      <c r="B528" s="218">
        <f t="shared" si="103"/>
        <v>3</v>
      </c>
      <c r="C528" s="218">
        <f t="shared" si="98"/>
        <v>1</v>
      </c>
      <c r="D528" s="208">
        <f>IF(MOD(COUNT($D$10:D527),6)=0,D527+1,D527)</f>
        <v>87</v>
      </c>
      <c r="E528" s="208">
        <f>IF(MOD(COUNT($E$10:E527),3)=0,E527+1,E527)</f>
        <v>173</v>
      </c>
      <c r="F528" s="208">
        <f>IF(MOD(COUNT($F$10:F527),1)=0,F527+1,F527)</f>
        <v>519</v>
      </c>
      <c r="G528" s="204">
        <f>IFERROR(IF(C528=1,VLOOKUP(A528,Output!$A$27:$AB$137,28,FALSE)/AnnuityMode,0),0)</f>
        <v>0</v>
      </c>
      <c r="H528" s="220">
        <f>IFERROR(IF(AND(MIN(A528&gt;25,Age+A528&gt;=85),B528=12),VLOOKUP(A528,Output!$A$27:$AE$137,31,FALSE),0),0)</f>
        <v>0</v>
      </c>
      <c r="I528" s="221">
        <f>IFERROR(IF(AND(MIN(A528&gt;15,A528+Age&gt;=70),C528=1),VLOOKUP(A528,Output!$A$27:$AF$137,32,FALSE)*VLOOKUP('SV calc_ignore'!A528,Output!$A$27:$AG$137,33,FALSE)/IF(AnnuityMode=2,2,IF(AnnuityMode=4,4,IF(AnnuityMode=12,12,1))),0),0)</f>
        <v>0</v>
      </c>
      <c r="J528" s="227">
        <f t="shared" si="99"/>
        <v>0</v>
      </c>
      <c r="K528" s="213">
        <f t="shared" si="104"/>
        <v>0</v>
      </c>
      <c r="L528" s="209">
        <f t="shared" si="100"/>
        <v>0</v>
      </c>
      <c r="M528" s="214">
        <f t="shared" si="97"/>
        <v>0</v>
      </c>
      <c r="N528" s="211">
        <f t="shared" si="105"/>
        <v>0</v>
      </c>
      <c r="O528" s="194">
        <f t="shared" si="106"/>
        <v>0</v>
      </c>
      <c r="P528" s="212">
        <f t="shared" si="101"/>
        <v>0</v>
      </c>
      <c r="Q528">
        <f t="shared" si="96"/>
        <v>0</v>
      </c>
      <c r="X528" s="216">
        <f t="shared" si="107"/>
        <v>43</v>
      </c>
      <c r="Y528">
        <f t="shared" si="102"/>
        <v>0</v>
      </c>
    </row>
    <row r="529" spans="1:25" ht="13.5" thickBot="1" x14ac:dyDescent="0.25">
      <c r="A529" s="204">
        <f>IF(MOD(COUNT($A$10:A528),12)=0,A528+1,A528)</f>
        <v>44</v>
      </c>
      <c r="B529" s="218">
        <f t="shared" si="103"/>
        <v>4</v>
      </c>
      <c r="C529" s="218">
        <f t="shared" si="98"/>
        <v>1</v>
      </c>
      <c r="D529" s="208">
        <f>IF(MOD(COUNT($D$10:D528),6)=0,D528+1,D528)</f>
        <v>87</v>
      </c>
      <c r="E529" s="208">
        <f>IF(MOD(COUNT($E$10:E528),3)=0,E528+1,E528)</f>
        <v>174</v>
      </c>
      <c r="F529" s="208">
        <f>IF(MOD(COUNT($F$10:F528),1)=0,F528+1,F528)</f>
        <v>520</v>
      </c>
      <c r="G529" s="204">
        <f>IFERROR(IF(C529=1,VLOOKUP(A529,Output!$A$27:$AB$137,28,FALSE)/AnnuityMode,0),0)</f>
        <v>0</v>
      </c>
      <c r="H529" s="220">
        <f>IFERROR(IF(AND(MIN(A529&gt;25,Age+A529&gt;=85),B529=12),VLOOKUP(A529,Output!$A$27:$AE$137,31,FALSE),0),0)</f>
        <v>0</v>
      </c>
      <c r="I529" s="221">
        <f>IFERROR(IF(AND(MIN(A529&gt;15,A529+Age&gt;=70),C529=1),VLOOKUP(A529,Output!$A$27:$AF$137,32,FALSE)*VLOOKUP('SV calc_ignore'!A529,Output!$A$27:$AG$137,33,FALSE)/IF(AnnuityMode=2,2,IF(AnnuityMode=4,4,IF(AnnuityMode=12,12,1))),0),0)</f>
        <v>0</v>
      </c>
      <c r="J529" s="227">
        <f t="shared" si="99"/>
        <v>0</v>
      </c>
      <c r="K529" s="213">
        <f t="shared" si="104"/>
        <v>0</v>
      </c>
      <c r="L529" s="209">
        <f t="shared" si="100"/>
        <v>0</v>
      </c>
      <c r="M529" s="214">
        <f t="shared" si="97"/>
        <v>0</v>
      </c>
      <c r="N529" s="211">
        <f t="shared" si="105"/>
        <v>0</v>
      </c>
      <c r="O529" s="194">
        <f t="shared" si="106"/>
        <v>0</v>
      </c>
      <c r="P529" s="212">
        <f t="shared" si="101"/>
        <v>0</v>
      </c>
      <c r="Q529">
        <f t="shared" si="96"/>
        <v>0</v>
      </c>
      <c r="X529" s="216">
        <f t="shared" si="107"/>
        <v>43</v>
      </c>
      <c r="Y529">
        <f t="shared" si="102"/>
        <v>0</v>
      </c>
    </row>
    <row r="530" spans="1:25" ht="13.5" thickBot="1" x14ac:dyDescent="0.25">
      <c r="A530" s="204">
        <f>IF(MOD(COUNT($A$10:A529),12)=0,A529+1,A529)</f>
        <v>44</v>
      </c>
      <c r="B530" s="218">
        <f t="shared" si="103"/>
        <v>5</v>
      </c>
      <c r="C530" s="218">
        <f t="shared" si="98"/>
        <v>1</v>
      </c>
      <c r="D530" s="208">
        <f>IF(MOD(COUNT($D$10:D529),6)=0,D529+1,D529)</f>
        <v>87</v>
      </c>
      <c r="E530" s="208">
        <f>IF(MOD(COUNT($E$10:E529),3)=0,E529+1,E529)</f>
        <v>174</v>
      </c>
      <c r="F530" s="208">
        <f>IF(MOD(COUNT($F$10:F529),1)=0,F529+1,F529)</f>
        <v>521</v>
      </c>
      <c r="G530" s="204">
        <f>IFERROR(IF(C530=1,VLOOKUP(A530,Output!$A$27:$AB$137,28,FALSE)/AnnuityMode,0),0)</f>
        <v>0</v>
      </c>
      <c r="H530" s="220">
        <f>IFERROR(IF(AND(MIN(A530&gt;25,Age+A530&gt;=85),B530=12),VLOOKUP(A530,Output!$A$27:$AE$137,31,FALSE),0),0)</f>
        <v>0</v>
      </c>
      <c r="I530" s="221">
        <f>IFERROR(IF(AND(MIN(A530&gt;15,A530+Age&gt;=70),C530=1),VLOOKUP(A530,Output!$A$27:$AF$137,32,FALSE)*VLOOKUP('SV calc_ignore'!A530,Output!$A$27:$AG$137,33,FALSE)/IF(AnnuityMode=2,2,IF(AnnuityMode=4,4,IF(AnnuityMode=12,12,1))),0),0)</f>
        <v>0</v>
      </c>
      <c r="J530" s="227">
        <f t="shared" si="99"/>
        <v>0</v>
      </c>
      <c r="K530" s="213">
        <f t="shared" si="104"/>
        <v>0</v>
      </c>
      <c r="L530" s="209">
        <f t="shared" si="100"/>
        <v>0</v>
      </c>
      <c r="M530" s="214">
        <f t="shared" si="97"/>
        <v>0</v>
      </c>
      <c r="N530" s="211">
        <f t="shared" si="105"/>
        <v>0</v>
      </c>
      <c r="O530" s="194">
        <f t="shared" si="106"/>
        <v>0</v>
      </c>
      <c r="P530" s="212">
        <f t="shared" si="101"/>
        <v>0</v>
      </c>
      <c r="Q530">
        <f t="shared" si="96"/>
        <v>0</v>
      </c>
      <c r="X530" s="216">
        <f t="shared" si="107"/>
        <v>43</v>
      </c>
      <c r="Y530">
        <f t="shared" si="102"/>
        <v>0</v>
      </c>
    </row>
    <row r="531" spans="1:25" ht="13.5" thickBot="1" x14ac:dyDescent="0.25">
      <c r="A531" s="204">
        <f>IF(MOD(COUNT($A$10:A530),12)=0,A530+1,A530)</f>
        <v>44</v>
      </c>
      <c r="B531" s="218">
        <f t="shared" si="103"/>
        <v>6</v>
      </c>
      <c r="C531" s="218">
        <f t="shared" si="98"/>
        <v>1</v>
      </c>
      <c r="D531" s="208">
        <f>IF(MOD(COUNT($D$10:D530),6)=0,D530+1,D530)</f>
        <v>87</v>
      </c>
      <c r="E531" s="208">
        <f>IF(MOD(COUNT($E$10:E530),3)=0,E530+1,E530)</f>
        <v>174</v>
      </c>
      <c r="F531" s="208">
        <f>IF(MOD(COUNT($F$10:F530),1)=0,F530+1,F530)</f>
        <v>522</v>
      </c>
      <c r="G531" s="204">
        <f>IFERROR(IF(C531=1,VLOOKUP(A531,Output!$A$27:$AB$137,28,FALSE)/AnnuityMode,0),0)</f>
        <v>0</v>
      </c>
      <c r="H531" s="220">
        <f>IFERROR(IF(AND(MIN(A531&gt;25,Age+A531&gt;=85),B531=12),VLOOKUP(A531,Output!$A$27:$AE$137,31,FALSE),0),0)</f>
        <v>0</v>
      </c>
      <c r="I531" s="221">
        <f>IFERROR(IF(AND(MIN(A531&gt;15,A531+Age&gt;=70),C531=1),VLOOKUP(A531,Output!$A$27:$AF$137,32,FALSE)*VLOOKUP('SV calc_ignore'!A531,Output!$A$27:$AG$137,33,FALSE)/IF(AnnuityMode=2,2,IF(AnnuityMode=4,4,IF(AnnuityMode=12,12,1))),0),0)</f>
        <v>0</v>
      </c>
      <c r="J531" s="227">
        <f t="shared" si="99"/>
        <v>0</v>
      </c>
      <c r="K531" s="213">
        <f t="shared" si="104"/>
        <v>0</v>
      </c>
      <c r="L531" s="209">
        <f t="shared" si="100"/>
        <v>0</v>
      </c>
      <c r="M531" s="214">
        <f t="shared" si="97"/>
        <v>0</v>
      </c>
      <c r="N531" s="211">
        <f t="shared" si="105"/>
        <v>0</v>
      </c>
      <c r="O531" s="194">
        <f t="shared" si="106"/>
        <v>0</v>
      </c>
      <c r="P531" s="212">
        <f t="shared" si="101"/>
        <v>0</v>
      </c>
      <c r="Q531">
        <f t="shared" si="96"/>
        <v>0</v>
      </c>
      <c r="X531" s="216">
        <f t="shared" si="107"/>
        <v>43</v>
      </c>
      <c r="Y531">
        <f t="shared" si="102"/>
        <v>0</v>
      </c>
    </row>
    <row r="532" spans="1:25" ht="13.5" thickBot="1" x14ac:dyDescent="0.25">
      <c r="A532" s="204">
        <f>IF(MOD(COUNT($A$10:A531),12)=0,A531+1,A531)</f>
        <v>44</v>
      </c>
      <c r="B532" s="218">
        <f t="shared" si="103"/>
        <v>7</v>
      </c>
      <c r="C532" s="218">
        <f t="shared" si="98"/>
        <v>1</v>
      </c>
      <c r="D532" s="208">
        <f>IF(MOD(COUNT($D$10:D531),6)=0,D531+1,D531)</f>
        <v>88</v>
      </c>
      <c r="E532" s="208">
        <f>IF(MOD(COUNT($E$10:E531),3)=0,E531+1,E531)</f>
        <v>175</v>
      </c>
      <c r="F532" s="208">
        <f>IF(MOD(COUNT($F$10:F531),1)=0,F531+1,F531)</f>
        <v>523</v>
      </c>
      <c r="G532" s="204">
        <f>IFERROR(IF(C532=1,VLOOKUP(A532,Output!$A$27:$AB$137,28,FALSE)/AnnuityMode,0),0)</f>
        <v>0</v>
      </c>
      <c r="H532" s="220">
        <f>IFERROR(IF(AND(MIN(A532&gt;25,Age+A532&gt;=85),B532=12),VLOOKUP(A532,Output!$A$27:$AE$137,31,FALSE),0),0)</f>
        <v>0</v>
      </c>
      <c r="I532" s="221">
        <f>IFERROR(IF(AND(MIN(A532&gt;15,A532+Age&gt;=70),C532=1),VLOOKUP(A532,Output!$A$27:$AF$137,32,FALSE)*VLOOKUP('SV calc_ignore'!A532,Output!$A$27:$AG$137,33,FALSE)/IF(AnnuityMode=2,2,IF(AnnuityMode=4,4,IF(AnnuityMode=12,12,1))),0),0)</f>
        <v>0</v>
      </c>
      <c r="J532" s="227">
        <f t="shared" si="99"/>
        <v>0</v>
      </c>
      <c r="K532" s="213">
        <f t="shared" si="104"/>
        <v>0</v>
      </c>
      <c r="L532" s="209">
        <f t="shared" si="100"/>
        <v>0</v>
      </c>
      <c r="M532" s="214">
        <f t="shared" si="97"/>
        <v>0</v>
      </c>
      <c r="N532" s="211">
        <f t="shared" si="105"/>
        <v>0</v>
      </c>
      <c r="O532" s="194">
        <f t="shared" si="106"/>
        <v>0</v>
      </c>
      <c r="P532" s="212">
        <f t="shared" si="101"/>
        <v>0</v>
      </c>
      <c r="Q532">
        <f t="shared" si="96"/>
        <v>0</v>
      </c>
      <c r="X532" s="216">
        <f t="shared" si="107"/>
        <v>43</v>
      </c>
      <c r="Y532">
        <f t="shared" si="102"/>
        <v>0</v>
      </c>
    </row>
    <row r="533" spans="1:25" ht="13.5" thickBot="1" x14ac:dyDescent="0.25">
      <c r="A533" s="204">
        <f>IF(MOD(COUNT($A$10:A532),12)=0,A532+1,A532)</f>
        <v>44</v>
      </c>
      <c r="B533" s="218">
        <f t="shared" si="103"/>
        <v>8</v>
      </c>
      <c r="C533" s="218">
        <f t="shared" si="98"/>
        <v>1</v>
      </c>
      <c r="D533" s="208">
        <f>IF(MOD(COUNT($D$10:D532),6)=0,D532+1,D532)</f>
        <v>88</v>
      </c>
      <c r="E533" s="208">
        <f>IF(MOD(COUNT($E$10:E532),3)=0,E532+1,E532)</f>
        <v>175</v>
      </c>
      <c r="F533" s="208">
        <f>IF(MOD(COUNT($F$10:F532),1)=0,F532+1,F532)</f>
        <v>524</v>
      </c>
      <c r="G533" s="204">
        <f>IFERROR(IF(C533=1,VLOOKUP(A533,Output!$A$27:$AB$137,28,FALSE)/AnnuityMode,0),0)</f>
        <v>0</v>
      </c>
      <c r="H533" s="220">
        <f>IFERROR(IF(AND(MIN(A533&gt;25,Age+A533&gt;=85),B533=12),VLOOKUP(A533,Output!$A$27:$AE$137,31,FALSE),0),0)</f>
        <v>0</v>
      </c>
      <c r="I533" s="221">
        <f>IFERROR(IF(AND(MIN(A533&gt;15,A533+Age&gt;=70),C533=1),VLOOKUP(A533,Output!$A$27:$AF$137,32,FALSE)*VLOOKUP('SV calc_ignore'!A533,Output!$A$27:$AG$137,33,FALSE)/IF(AnnuityMode=2,2,IF(AnnuityMode=4,4,IF(AnnuityMode=12,12,1))),0),0)</f>
        <v>0</v>
      </c>
      <c r="J533" s="227">
        <f t="shared" si="99"/>
        <v>0</v>
      </c>
      <c r="K533" s="213">
        <f t="shared" si="104"/>
        <v>0</v>
      </c>
      <c r="L533" s="209">
        <f t="shared" si="100"/>
        <v>0</v>
      </c>
      <c r="M533" s="214">
        <f t="shared" si="97"/>
        <v>0</v>
      </c>
      <c r="N533" s="211">
        <f t="shared" si="105"/>
        <v>0</v>
      </c>
      <c r="O533" s="194">
        <f t="shared" si="106"/>
        <v>0</v>
      </c>
      <c r="P533" s="212">
        <f t="shared" si="101"/>
        <v>0</v>
      </c>
      <c r="Q533">
        <f t="shared" si="96"/>
        <v>0</v>
      </c>
      <c r="X533" s="216">
        <f t="shared" si="107"/>
        <v>43</v>
      </c>
      <c r="Y533">
        <f t="shared" si="102"/>
        <v>0</v>
      </c>
    </row>
    <row r="534" spans="1:25" ht="13.5" thickBot="1" x14ac:dyDescent="0.25">
      <c r="A534" s="204">
        <f>IF(MOD(COUNT($A$10:A533),12)=0,A533+1,A533)</f>
        <v>44</v>
      </c>
      <c r="B534" s="218">
        <f t="shared" si="103"/>
        <v>9</v>
      </c>
      <c r="C534" s="218">
        <f t="shared" si="98"/>
        <v>1</v>
      </c>
      <c r="D534" s="208">
        <f>IF(MOD(COUNT($D$10:D533),6)=0,D533+1,D533)</f>
        <v>88</v>
      </c>
      <c r="E534" s="208">
        <f>IF(MOD(COUNT($E$10:E533),3)=0,E533+1,E533)</f>
        <v>175</v>
      </c>
      <c r="F534" s="208">
        <f>IF(MOD(COUNT($F$10:F533),1)=0,F533+1,F533)</f>
        <v>525</v>
      </c>
      <c r="G534" s="204">
        <f>IFERROR(IF(C534=1,VLOOKUP(A534,Output!$A$27:$AB$137,28,FALSE)/AnnuityMode,0),0)</f>
        <v>0</v>
      </c>
      <c r="H534" s="220">
        <f>IFERROR(IF(AND(MIN(A534&gt;25,Age+A534&gt;=85),B534=12),VLOOKUP(A534,Output!$A$27:$AE$137,31,FALSE),0),0)</f>
        <v>0</v>
      </c>
      <c r="I534" s="221">
        <f>IFERROR(IF(AND(MIN(A534&gt;15,A534+Age&gt;=70),C534=1),VLOOKUP(A534,Output!$A$27:$AF$137,32,FALSE)*VLOOKUP('SV calc_ignore'!A534,Output!$A$27:$AG$137,33,FALSE)/IF(AnnuityMode=2,2,IF(AnnuityMode=4,4,IF(AnnuityMode=12,12,1))),0),0)</f>
        <v>0</v>
      </c>
      <c r="J534" s="227">
        <f t="shared" si="99"/>
        <v>0</v>
      </c>
      <c r="K534" s="213">
        <f t="shared" si="104"/>
        <v>0</v>
      </c>
      <c r="L534" s="209">
        <f t="shared" si="100"/>
        <v>0</v>
      </c>
      <c r="M534" s="214">
        <f t="shared" si="97"/>
        <v>0</v>
      </c>
      <c r="N534" s="211">
        <f t="shared" si="105"/>
        <v>0</v>
      </c>
      <c r="O534" s="194">
        <f t="shared" si="106"/>
        <v>0</v>
      </c>
      <c r="P534" s="212">
        <f t="shared" si="101"/>
        <v>0</v>
      </c>
      <c r="Q534">
        <f t="shared" si="96"/>
        <v>0</v>
      </c>
      <c r="X534" s="216">
        <f t="shared" si="107"/>
        <v>43</v>
      </c>
      <c r="Y534">
        <f t="shared" si="102"/>
        <v>0</v>
      </c>
    </row>
    <row r="535" spans="1:25" ht="13.5" thickBot="1" x14ac:dyDescent="0.25">
      <c r="A535" s="204">
        <f>IF(MOD(COUNT($A$10:A534),12)=0,A534+1,A534)</f>
        <v>44</v>
      </c>
      <c r="B535" s="218">
        <f t="shared" si="103"/>
        <v>10</v>
      </c>
      <c r="C535" s="218">
        <f t="shared" si="98"/>
        <v>1</v>
      </c>
      <c r="D535" s="208">
        <f>IF(MOD(COUNT($D$10:D534),6)=0,D534+1,D534)</f>
        <v>88</v>
      </c>
      <c r="E535" s="208">
        <f>IF(MOD(COUNT($E$10:E534),3)=0,E534+1,E534)</f>
        <v>176</v>
      </c>
      <c r="F535" s="208">
        <f>IF(MOD(COUNT($F$10:F534),1)=0,F534+1,F534)</f>
        <v>526</v>
      </c>
      <c r="G535" s="204">
        <f>IFERROR(IF(C535=1,VLOOKUP(A535,Output!$A$27:$AB$137,28,FALSE)/AnnuityMode,0),0)</f>
        <v>0</v>
      </c>
      <c r="H535" s="220">
        <f>IFERROR(IF(AND(MIN(A535&gt;25,Age+A535&gt;=85),B535=12),VLOOKUP(A535,Output!$A$27:$AE$137,31,FALSE),0),0)</f>
        <v>0</v>
      </c>
      <c r="I535" s="221">
        <f>IFERROR(IF(AND(MIN(A535&gt;15,A535+Age&gt;=70),C535=1),VLOOKUP(A535,Output!$A$27:$AF$137,32,FALSE)*VLOOKUP('SV calc_ignore'!A535,Output!$A$27:$AG$137,33,FALSE)/IF(AnnuityMode=2,2,IF(AnnuityMode=4,4,IF(AnnuityMode=12,12,1))),0),0)</f>
        <v>0</v>
      </c>
      <c r="J535" s="227">
        <f t="shared" si="99"/>
        <v>0</v>
      </c>
      <c r="K535" s="213">
        <f t="shared" si="104"/>
        <v>0</v>
      </c>
      <c r="L535" s="209">
        <f t="shared" si="100"/>
        <v>0</v>
      </c>
      <c r="M535" s="214">
        <f t="shared" si="97"/>
        <v>0</v>
      </c>
      <c r="N535" s="211">
        <f t="shared" si="105"/>
        <v>0</v>
      </c>
      <c r="O535" s="194">
        <f t="shared" si="106"/>
        <v>0</v>
      </c>
      <c r="P535" s="212">
        <f t="shared" si="101"/>
        <v>0</v>
      </c>
      <c r="Q535">
        <f t="shared" si="96"/>
        <v>0</v>
      </c>
      <c r="X535" s="216">
        <f t="shared" si="107"/>
        <v>43</v>
      </c>
      <c r="Y535">
        <f t="shared" si="102"/>
        <v>0</v>
      </c>
    </row>
    <row r="536" spans="1:25" ht="13.5" thickBot="1" x14ac:dyDescent="0.25">
      <c r="A536" s="204">
        <f>IF(MOD(COUNT($A$10:A535),12)=0,A535+1,A535)</f>
        <v>44</v>
      </c>
      <c r="B536" s="218">
        <f t="shared" si="103"/>
        <v>11</v>
      </c>
      <c r="C536" s="218">
        <f t="shared" si="98"/>
        <v>1</v>
      </c>
      <c r="D536" s="208">
        <f>IF(MOD(COUNT($D$10:D535),6)=0,D535+1,D535)</f>
        <v>88</v>
      </c>
      <c r="E536" s="208">
        <f>IF(MOD(COUNT($E$10:E535),3)=0,E535+1,E535)</f>
        <v>176</v>
      </c>
      <c r="F536" s="208">
        <f>IF(MOD(COUNT($F$10:F535),1)=0,F535+1,F535)</f>
        <v>527</v>
      </c>
      <c r="G536" s="204">
        <f>IFERROR(IF(C536=1,VLOOKUP(A536,Output!$A$27:$AB$137,28,FALSE)/AnnuityMode,0),0)</f>
        <v>0</v>
      </c>
      <c r="H536" s="220">
        <f>IFERROR(IF(AND(MIN(A536&gt;25,Age+A536&gt;=85),B536=12),VLOOKUP(A536,Output!$A$27:$AE$137,31,FALSE),0),0)</f>
        <v>0</v>
      </c>
      <c r="I536" s="221">
        <f>IFERROR(IF(AND(MIN(A536&gt;15,A536+Age&gt;=70),C536=1),VLOOKUP(A536,Output!$A$27:$AF$137,32,FALSE)*VLOOKUP('SV calc_ignore'!A536,Output!$A$27:$AG$137,33,FALSE)/IF(AnnuityMode=2,2,IF(AnnuityMode=4,4,IF(AnnuityMode=12,12,1))),0),0)</f>
        <v>0</v>
      </c>
      <c r="J536" s="227">
        <f t="shared" si="99"/>
        <v>0</v>
      </c>
      <c r="K536" s="213">
        <f t="shared" si="104"/>
        <v>0</v>
      </c>
      <c r="L536" s="209">
        <f t="shared" si="100"/>
        <v>0</v>
      </c>
      <c r="M536" s="214">
        <f t="shared" si="97"/>
        <v>0</v>
      </c>
      <c r="N536" s="211">
        <f t="shared" si="105"/>
        <v>0</v>
      </c>
      <c r="O536" s="194">
        <f t="shared" si="106"/>
        <v>0</v>
      </c>
      <c r="P536" s="212">
        <f t="shared" si="101"/>
        <v>0</v>
      </c>
      <c r="Q536">
        <f t="shared" si="96"/>
        <v>0</v>
      </c>
      <c r="X536" s="216">
        <f t="shared" si="107"/>
        <v>43</v>
      </c>
      <c r="Y536">
        <f t="shared" si="102"/>
        <v>0</v>
      </c>
    </row>
    <row r="537" spans="1:25" ht="13.5" thickBot="1" x14ac:dyDescent="0.25">
      <c r="A537" s="204">
        <f>IF(MOD(COUNT($A$10:A536),12)=0,A536+1,A536)</f>
        <v>44</v>
      </c>
      <c r="B537" s="218">
        <f t="shared" si="103"/>
        <v>12</v>
      </c>
      <c r="C537" s="218">
        <f t="shared" si="98"/>
        <v>1</v>
      </c>
      <c r="D537" s="208">
        <f>IF(MOD(COUNT($D$10:D536),6)=0,D536+1,D536)</f>
        <v>88</v>
      </c>
      <c r="E537" s="208">
        <f>IF(MOD(COUNT($E$10:E536),3)=0,E536+1,E536)</f>
        <v>176</v>
      </c>
      <c r="F537" s="208">
        <f>IF(MOD(COUNT($F$10:F536),1)=0,F536+1,F536)</f>
        <v>528</v>
      </c>
      <c r="G537" s="204">
        <f>IFERROR(IF(C537=1,VLOOKUP(A537,Output!$A$27:$AB$137,28,FALSE)/AnnuityMode,0),0)</f>
        <v>0</v>
      </c>
      <c r="H537" s="220">
        <f>IFERROR(IF(AND(MIN(A537&gt;25,Age+A537&gt;=85),B537=12),VLOOKUP(A537,Output!$A$27:$AE$137,31,FALSE),0),0)</f>
        <v>0</v>
      </c>
      <c r="I537" s="221">
        <f>IFERROR(IF(AND(MIN(A537&gt;15,A537+Age&gt;=70),C537=1),VLOOKUP(A537,Output!$A$27:$AF$137,32,FALSE)*VLOOKUP('SV calc_ignore'!A537,Output!$A$27:$AG$137,33,FALSE)/IF(AnnuityMode=2,2,IF(AnnuityMode=4,4,IF(AnnuityMode=12,12,1))),0),0)</f>
        <v>0</v>
      </c>
      <c r="J537" s="227">
        <f t="shared" si="99"/>
        <v>0</v>
      </c>
      <c r="K537" s="213">
        <f t="shared" si="104"/>
        <v>0</v>
      </c>
      <c r="L537" s="209">
        <f t="shared" si="100"/>
        <v>0</v>
      </c>
      <c r="M537" s="214">
        <f t="shared" si="97"/>
        <v>0</v>
      </c>
      <c r="N537" s="211">
        <f t="shared" si="105"/>
        <v>0</v>
      </c>
      <c r="O537" s="194">
        <f t="shared" si="106"/>
        <v>0</v>
      </c>
      <c r="P537" s="212">
        <f t="shared" si="101"/>
        <v>0</v>
      </c>
      <c r="Q537">
        <f t="shared" si="96"/>
        <v>0</v>
      </c>
      <c r="X537" s="216">
        <f t="shared" si="107"/>
        <v>43</v>
      </c>
      <c r="Y537">
        <f t="shared" si="102"/>
        <v>0</v>
      </c>
    </row>
    <row r="538" spans="1:25" ht="13.5" thickBot="1" x14ac:dyDescent="0.25">
      <c r="A538" s="204">
        <f>IF(MOD(COUNT($A$10:A537),12)=0,A537+1,A537)</f>
        <v>45</v>
      </c>
      <c r="B538" s="218">
        <f t="shared" si="103"/>
        <v>1</v>
      </c>
      <c r="C538" s="218">
        <f t="shared" si="98"/>
        <v>1</v>
      </c>
      <c r="D538" s="208">
        <f>IF(MOD(COUNT($D$10:D537),6)=0,D537+1,D537)</f>
        <v>89</v>
      </c>
      <c r="E538" s="208">
        <f>IF(MOD(COUNT($E$10:E537),3)=0,E537+1,E537)</f>
        <v>177</v>
      </c>
      <c r="F538" s="208">
        <f>IF(MOD(COUNT($F$10:F537),1)=0,F537+1,F537)</f>
        <v>529</v>
      </c>
      <c r="G538" s="204">
        <f>IFERROR(IF(C538=1,VLOOKUP(A538,Output!$A$27:$AB$137,28,FALSE)/AnnuityMode,0),0)</f>
        <v>0</v>
      </c>
      <c r="H538" s="220">
        <f>IFERROR(IF(AND(MIN(A538&gt;25,Age+A538&gt;=85),B538=12),VLOOKUP(A538,Output!$A$27:$AE$137,31,FALSE),0),0)</f>
        <v>0</v>
      </c>
      <c r="I538" s="221">
        <f>IFERROR(IF(AND(MIN(A538&gt;15,A538+Age&gt;=70),C538=1),VLOOKUP(A538,Output!$A$27:$AF$137,32,FALSE)*VLOOKUP('SV calc_ignore'!A538,Output!$A$27:$AG$137,33,FALSE)/IF(AnnuityMode=2,2,IF(AnnuityMode=4,4,IF(AnnuityMode=12,12,1))),0),0)</f>
        <v>0</v>
      </c>
      <c r="J538" s="227">
        <f t="shared" si="99"/>
        <v>0</v>
      </c>
      <c r="K538" s="213">
        <f t="shared" si="104"/>
        <v>0</v>
      </c>
      <c r="L538" s="209">
        <f t="shared" si="100"/>
        <v>0</v>
      </c>
      <c r="M538" s="214">
        <f t="shared" si="97"/>
        <v>0</v>
      </c>
      <c r="N538" s="211">
        <f t="shared" si="105"/>
        <v>0</v>
      </c>
      <c r="O538" s="194">
        <f t="shared" si="106"/>
        <v>0</v>
      </c>
      <c r="P538" s="212">
        <f t="shared" si="101"/>
        <v>0</v>
      </c>
      <c r="Q538">
        <f t="shared" si="96"/>
        <v>0</v>
      </c>
      <c r="X538" s="216">
        <f t="shared" si="107"/>
        <v>44</v>
      </c>
      <c r="Y538">
        <f t="shared" si="102"/>
        <v>0</v>
      </c>
    </row>
    <row r="539" spans="1:25" ht="13.5" thickBot="1" x14ac:dyDescent="0.25">
      <c r="A539" s="204">
        <f>IF(MOD(COUNT($A$10:A538),12)=0,A538+1,A538)</f>
        <v>45</v>
      </c>
      <c r="B539" s="218">
        <f t="shared" si="103"/>
        <v>2</v>
      </c>
      <c r="C539" s="218">
        <f t="shared" si="98"/>
        <v>1</v>
      </c>
      <c r="D539" s="208">
        <f>IF(MOD(COUNT($D$10:D538),6)=0,D538+1,D538)</f>
        <v>89</v>
      </c>
      <c r="E539" s="208">
        <f>IF(MOD(COUNT($E$10:E538),3)=0,E538+1,E538)</f>
        <v>177</v>
      </c>
      <c r="F539" s="208">
        <f>IF(MOD(COUNT($F$10:F538),1)=0,F538+1,F538)</f>
        <v>530</v>
      </c>
      <c r="G539" s="204">
        <f>IFERROR(IF(C539=1,VLOOKUP(A539,Output!$A$27:$AB$137,28,FALSE)/AnnuityMode,0),0)</f>
        <v>0</v>
      </c>
      <c r="H539" s="220">
        <f>IFERROR(IF(AND(MIN(A539&gt;25,Age+A539&gt;=85),B539=12),VLOOKUP(A539,Output!$A$27:$AE$137,31,FALSE),0),0)</f>
        <v>0</v>
      </c>
      <c r="I539" s="221">
        <f>IFERROR(IF(AND(MIN(A539&gt;15,A539+Age&gt;=70),C539=1),VLOOKUP(A539,Output!$A$27:$AF$137,32,FALSE)*VLOOKUP('SV calc_ignore'!A539,Output!$A$27:$AG$137,33,FALSE)/IF(AnnuityMode=2,2,IF(AnnuityMode=4,4,IF(AnnuityMode=12,12,1))),0),0)</f>
        <v>0</v>
      </c>
      <c r="J539" s="227">
        <f t="shared" si="99"/>
        <v>0</v>
      </c>
      <c r="K539" s="213">
        <f t="shared" si="104"/>
        <v>0</v>
      </c>
      <c r="L539" s="209">
        <f t="shared" si="100"/>
        <v>0</v>
      </c>
      <c r="M539" s="214">
        <f t="shared" si="97"/>
        <v>0</v>
      </c>
      <c r="N539" s="211">
        <f t="shared" si="105"/>
        <v>0</v>
      </c>
      <c r="O539" s="194">
        <f t="shared" si="106"/>
        <v>0</v>
      </c>
      <c r="P539" s="212">
        <f t="shared" si="101"/>
        <v>0</v>
      </c>
      <c r="Q539">
        <f t="shared" si="96"/>
        <v>0</v>
      </c>
      <c r="X539" s="216">
        <f t="shared" si="107"/>
        <v>44</v>
      </c>
      <c r="Y539">
        <f t="shared" si="102"/>
        <v>0</v>
      </c>
    </row>
    <row r="540" spans="1:25" ht="13.5" thickBot="1" x14ac:dyDescent="0.25">
      <c r="A540" s="204">
        <f>IF(MOD(COUNT($A$10:A539),12)=0,A539+1,A539)</f>
        <v>45</v>
      </c>
      <c r="B540" s="218">
        <f t="shared" si="103"/>
        <v>3</v>
      </c>
      <c r="C540" s="218">
        <f t="shared" si="98"/>
        <v>1</v>
      </c>
      <c r="D540" s="208">
        <f>IF(MOD(COUNT($D$10:D539),6)=0,D539+1,D539)</f>
        <v>89</v>
      </c>
      <c r="E540" s="208">
        <f>IF(MOD(COUNT($E$10:E539),3)=0,E539+1,E539)</f>
        <v>177</v>
      </c>
      <c r="F540" s="208">
        <f>IF(MOD(COUNT($F$10:F539),1)=0,F539+1,F539)</f>
        <v>531</v>
      </c>
      <c r="G540" s="204">
        <f>IFERROR(IF(C540=1,VLOOKUP(A540,Output!$A$27:$AB$137,28,FALSE)/AnnuityMode,0),0)</f>
        <v>0</v>
      </c>
      <c r="H540" s="220">
        <f>IFERROR(IF(AND(MIN(A540&gt;25,Age+A540&gt;=85),B540=12),VLOOKUP(A540,Output!$A$27:$AE$137,31,FALSE),0),0)</f>
        <v>0</v>
      </c>
      <c r="I540" s="221">
        <f>IFERROR(IF(AND(MIN(A540&gt;15,A540+Age&gt;=70),C540=1),VLOOKUP(A540,Output!$A$27:$AF$137,32,FALSE)*VLOOKUP('SV calc_ignore'!A540,Output!$A$27:$AG$137,33,FALSE)/IF(AnnuityMode=2,2,IF(AnnuityMode=4,4,IF(AnnuityMode=12,12,1))),0),0)</f>
        <v>0</v>
      </c>
      <c r="J540" s="227">
        <f t="shared" si="99"/>
        <v>0</v>
      </c>
      <c r="K540" s="213">
        <f t="shared" si="104"/>
        <v>0</v>
      </c>
      <c r="L540" s="209">
        <f t="shared" si="100"/>
        <v>0</v>
      </c>
      <c r="M540" s="214">
        <f t="shared" si="97"/>
        <v>0</v>
      </c>
      <c r="N540" s="211">
        <f t="shared" si="105"/>
        <v>0</v>
      </c>
      <c r="O540" s="194">
        <f t="shared" si="106"/>
        <v>0</v>
      </c>
      <c r="P540" s="212">
        <f t="shared" si="101"/>
        <v>0</v>
      </c>
      <c r="Q540">
        <f t="shared" si="96"/>
        <v>0</v>
      </c>
      <c r="X540" s="216">
        <f t="shared" si="107"/>
        <v>44</v>
      </c>
      <c r="Y540">
        <f t="shared" si="102"/>
        <v>0</v>
      </c>
    </row>
    <row r="541" spans="1:25" ht="13.5" thickBot="1" x14ac:dyDescent="0.25">
      <c r="A541" s="204">
        <f>IF(MOD(COUNT($A$10:A540),12)=0,A540+1,A540)</f>
        <v>45</v>
      </c>
      <c r="B541" s="218">
        <f t="shared" si="103"/>
        <v>4</v>
      </c>
      <c r="C541" s="218">
        <f t="shared" si="98"/>
        <v>1</v>
      </c>
      <c r="D541" s="208">
        <f>IF(MOD(COUNT($D$10:D540),6)=0,D540+1,D540)</f>
        <v>89</v>
      </c>
      <c r="E541" s="208">
        <f>IF(MOD(COUNT($E$10:E540),3)=0,E540+1,E540)</f>
        <v>178</v>
      </c>
      <c r="F541" s="208">
        <f>IF(MOD(COUNT($F$10:F540),1)=0,F540+1,F540)</f>
        <v>532</v>
      </c>
      <c r="G541" s="204">
        <f>IFERROR(IF(C541=1,VLOOKUP(A541,Output!$A$27:$AB$137,28,FALSE)/AnnuityMode,0),0)</f>
        <v>0</v>
      </c>
      <c r="H541" s="220">
        <f>IFERROR(IF(AND(MIN(A541&gt;25,Age+A541&gt;=85),B541=12),VLOOKUP(A541,Output!$A$27:$AE$137,31,FALSE),0),0)</f>
        <v>0</v>
      </c>
      <c r="I541" s="221">
        <f>IFERROR(IF(AND(MIN(A541&gt;15,A541+Age&gt;=70),C541=1),VLOOKUP(A541,Output!$A$27:$AF$137,32,FALSE)*VLOOKUP('SV calc_ignore'!A541,Output!$A$27:$AG$137,33,FALSE)/IF(AnnuityMode=2,2,IF(AnnuityMode=4,4,IF(AnnuityMode=12,12,1))),0),0)</f>
        <v>0</v>
      </c>
      <c r="J541" s="227">
        <f t="shared" si="99"/>
        <v>0</v>
      </c>
      <c r="K541" s="213">
        <f t="shared" si="104"/>
        <v>0</v>
      </c>
      <c r="L541" s="209">
        <f t="shared" si="100"/>
        <v>0</v>
      </c>
      <c r="M541" s="214">
        <f t="shared" si="97"/>
        <v>0</v>
      </c>
      <c r="N541" s="211">
        <f t="shared" si="105"/>
        <v>0</v>
      </c>
      <c r="O541" s="194">
        <f t="shared" si="106"/>
        <v>0</v>
      </c>
      <c r="P541" s="212">
        <f t="shared" si="101"/>
        <v>0</v>
      </c>
      <c r="Q541">
        <f t="shared" si="96"/>
        <v>0</v>
      </c>
      <c r="X541" s="216">
        <f t="shared" si="107"/>
        <v>44</v>
      </c>
      <c r="Y541">
        <f t="shared" si="102"/>
        <v>0</v>
      </c>
    </row>
    <row r="542" spans="1:25" ht="13.5" thickBot="1" x14ac:dyDescent="0.25">
      <c r="A542" s="204">
        <f>IF(MOD(COUNT($A$10:A541),12)=0,A541+1,A541)</f>
        <v>45</v>
      </c>
      <c r="B542" s="218">
        <f t="shared" si="103"/>
        <v>5</v>
      </c>
      <c r="C542" s="218">
        <f t="shared" si="98"/>
        <v>1</v>
      </c>
      <c r="D542" s="208">
        <f>IF(MOD(COUNT($D$10:D541),6)=0,D541+1,D541)</f>
        <v>89</v>
      </c>
      <c r="E542" s="208">
        <f>IF(MOD(COUNT($E$10:E541),3)=0,E541+1,E541)</f>
        <v>178</v>
      </c>
      <c r="F542" s="208">
        <f>IF(MOD(COUNT($F$10:F541),1)=0,F541+1,F541)</f>
        <v>533</v>
      </c>
      <c r="G542" s="204">
        <f>IFERROR(IF(C542=1,VLOOKUP(A542,Output!$A$27:$AB$137,28,FALSE)/AnnuityMode,0),0)</f>
        <v>0</v>
      </c>
      <c r="H542" s="220">
        <f>IFERROR(IF(AND(MIN(A542&gt;25,Age+A542&gt;=85),B542=12),VLOOKUP(A542,Output!$A$27:$AE$137,31,FALSE),0),0)</f>
        <v>0</v>
      </c>
      <c r="I542" s="221">
        <f>IFERROR(IF(AND(MIN(A542&gt;15,A542+Age&gt;=70),C542=1),VLOOKUP(A542,Output!$A$27:$AF$137,32,FALSE)*VLOOKUP('SV calc_ignore'!A542,Output!$A$27:$AG$137,33,FALSE)/IF(AnnuityMode=2,2,IF(AnnuityMode=4,4,IF(AnnuityMode=12,12,1))),0),0)</f>
        <v>0</v>
      </c>
      <c r="J542" s="227">
        <f t="shared" si="99"/>
        <v>0</v>
      </c>
      <c r="K542" s="213">
        <f t="shared" si="104"/>
        <v>0</v>
      </c>
      <c r="L542" s="209">
        <f t="shared" si="100"/>
        <v>0</v>
      </c>
      <c r="M542" s="214">
        <f t="shared" si="97"/>
        <v>0</v>
      </c>
      <c r="N542" s="211">
        <f t="shared" si="105"/>
        <v>0</v>
      </c>
      <c r="O542" s="194">
        <f t="shared" si="106"/>
        <v>0</v>
      </c>
      <c r="P542" s="212">
        <f t="shared" si="101"/>
        <v>0</v>
      </c>
      <c r="Q542">
        <f t="shared" si="96"/>
        <v>0</v>
      </c>
      <c r="X542" s="216">
        <f t="shared" si="107"/>
        <v>44</v>
      </c>
      <c r="Y542">
        <f t="shared" si="102"/>
        <v>0</v>
      </c>
    </row>
    <row r="543" spans="1:25" ht="13.5" thickBot="1" x14ac:dyDescent="0.25">
      <c r="A543" s="204">
        <f>IF(MOD(COUNT($A$10:A542),12)=0,A542+1,A542)</f>
        <v>45</v>
      </c>
      <c r="B543" s="218">
        <f t="shared" si="103"/>
        <v>6</v>
      </c>
      <c r="C543" s="218">
        <f t="shared" si="98"/>
        <v>1</v>
      </c>
      <c r="D543" s="208">
        <f>IF(MOD(COUNT($D$10:D542),6)=0,D542+1,D542)</f>
        <v>89</v>
      </c>
      <c r="E543" s="208">
        <f>IF(MOD(COUNT($E$10:E542),3)=0,E542+1,E542)</f>
        <v>178</v>
      </c>
      <c r="F543" s="208">
        <f>IF(MOD(COUNT($F$10:F542),1)=0,F542+1,F542)</f>
        <v>534</v>
      </c>
      <c r="G543" s="204">
        <f>IFERROR(IF(C543=1,VLOOKUP(A543,Output!$A$27:$AB$137,28,FALSE)/AnnuityMode,0),0)</f>
        <v>0</v>
      </c>
      <c r="H543" s="220">
        <f>IFERROR(IF(AND(MIN(A543&gt;25,Age+A543&gt;=85),B543=12),VLOOKUP(A543,Output!$A$27:$AE$137,31,FALSE),0),0)</f>
        <v>0</v>
      </c>
      <c r="I543" s="221">
        <f>IFERROR(IF(AND(MIN(A543&gt;15,A543+Age&gt;=70),C543=1),VLOOKUP(A543,Output!$A$27:$AF$137,32,FALSE)*VLOOKUP('SV calc_ignore'!A543,Output!$A$27:$AG$137,33,FALSE)/IF(AnnuityMode=2,2,IF(AnnuityMode=4,4,IF(AnnuityMode=12,12,1))),0),0)</f>
        <v>0</v>
      </c>
      <c r="J543" s="227">
        <f t="shared" si="99"/>
        <v>0</v>
      </c>
      <c r="K543" s="213">
        <f t="shared" si="104"/>
        <v>0</v>
      </c>
      <c r="L543" s="209">
        <f t="shared" si="100"/>
        <v>0</v>
      </c>
      <c r="M543" s="214">
        <f t="shared" si="97"/>
        <v>0</v>
      </c>
      <c r="N543" s="211">
        <f t="shared" si="105"/>
        <v>0</v>
      </c>
      <c r="O543" s="194">
        <f t="shared" si="106"/>
        <v>0</v>
      </c>
      <c r="P543" s="212">
        <f t="shared" si="101"/>
        <v>0</v>
      </c>
      <c r="Q543">
        <f t="shared" si="96"/>
        <v>0</v>
      </c>
      <c r="X543" s="216">
        <f t="shared" si="107"/>
        <v>44</v>
      </c>
      <c r="Y543">
        <f t="shared" si="102"/>
        <v>0</v>
      </c>
    </row>
    <row r="544" spans="1:25" ht="13.5" thickBot="1" x14ac:dyDescent="0.25">
      <c r="A544" s="204">
        <f>IF(MOD(COUNT($A$10:A543),12)=0,A543+1,A543)</f>
        <v>45</v>
      </c>
      <c r="B544" s="218">
        <f t="shared" si="103"/>
        <v>7</v>
      </c>
      <c r="C544" s="218">
        <f t="shared" si="98"/>
        <v>1</v>
      </c>
      <c r="D544" s="208">
        <f>IF(MOD(COUNT($D$10:D543),6)=0,D543+1,D543)</f>
        <v>90</v>
      </c>
      <c r="E544" s="208">
        <f>IF(MOD(COUNT($E$10:E543),3)=0,E543+1,E543)</f>
        <v>179</v>
      </c>
      <c r="F544" s="208">
        <f>IF(MOD(COUNT($F$10:F543),1)=0,F543+1,F543)</f>
        <v>535</v>
      </c>
      <c r="G544" s="204">
        <f>IFERROR(IF(C544=1,VLOOKUP(A544,Output!$A$27:$AB$137,28,FALSE)/AnnuityMode,0),0)</f>
        <v>0</v>
      </c>
      <c r="H544" s="220">
        <f>IFERROR(IF(AND(MIN(A544&gt;25,Age+A544&gt;=85),B544=12),VLOOKUP(A544,Output!$A$27:$AE$137,31,FALSE),0),0)</f>
        <v>0</v>
      </c>
      <c r="I544" s="221">
        <f>IFERROR(IF(AND(MIN(A544&gt;15,A544+Age&gt;=70),C544=1),VLOOKUP(A544,Output!$A$27:$AF$137,32,FALSE)*VLOOKUP('SV calc_ignore'!A544,Output!$A$27:$AG$137,33,FALSE)/IF(AnnuityMode=2,2,IF(AnnuityMode=4,4,IF(AnnuityMode=12,12,1))),0),0)</f>
        <v>0</v>
      </c>
      <c r="J544" s="227">
        <f t="shared" si="99"/>
        <v>0</v>
      </c>
      <c r="K544" s="213">
        <f t="shared" si="104"/>
        <v>0</v>
      </c>
      <c r="L544" s="209">
        <f t="shared" si="100"/>
        <v>0</v>
      </c>
      <c r="M544" s="214">
        <f t="shared" si="97"/>
        <v>0</v>
      </c>
      <c r="N544" s="211">
        <f t="shared" si="105"/>
        <v>0</v>
      </c>
      <c r="O544" s="194">
        <f t="shared" si="106"/>
        <v>0</v>
      </c>
      <c r="P544" s="212">
        <f t="shared" si="101"/>
        <v>0</v>
      </c>
      <c r="Q544">
        <f t="shared" si="96"/>
        <v>0</v>
      </c>
      <c r="X544" s="216">
        <f t="shared" si="107"/>
        <v>44</v>
      </c>
      <c r="Y544">
        <f t="shared" si="102"/>
        <v>0</v>
      </c>
    </row>
    <row r="545" spans="1:25" ht="13.5" thickBot="1" x14ac:dyDescent="0.25">
      <c r="A545" s="204">
        <f>IF(MOD(COUNT($A$10:A544),12)=0,A544+1,A544)</f>
        <v>45</v>
      </c>
      <c r="B545" s="218">
        <f t="shared" si="103"/>
        <v>8</v>
      </c>
      <c r="C545" s="218">
        <f t="shared" si="98"/>
        <v>1</v>
      </c>
      <c r="D545" s="208">
        <f>IF(MOD(COUNT($D$10:D544),6)=0,D544+1,D544)</f>
        <v>90</v>
      </c>
      <c r="E545" s="208">
        <f>IF(MOD(COUNT($E$10:E544),3)=0,E544+1,E544)</f>
        <v>179</v>
      </c>
      <c r="F545" s="208">
        <f>IF(MOD(COUNT($F$10:F544),1)=0,F544+1,F544)</f>
        <v>536</v>
      </c>
      <c r="G545" s="204">
        <f>IFERROR(IF(C545=1,VLOOKUP(A545,Output!$A$27:$AB$137,28,FALSE)/AnnuityMode,0),0)</f>
        <v>0</v>
      </c>
      <c r="H545" s="220">
        <f>IFERROR(IF(AND(MIN(A545&gt;25,Age+A545&gt;=85),B545=12),VLOOKUP(A545,Output!$A$27:$AE$137,31,FALSE),0),0)</f>
        <v>0</v>
      </c>
      <c r="I545" s="221">
        <f>IFERROR(IF(AND(MIN(A545&gt;15,A545+Age&gt;=70),C545=1),VLOOKUP(A545,Output!$A$27:$AF$137,32,FALSE)*VLOOKUP('SV calc_ignore'!A545,Output!$A$27:$AG$137,33,FALSE)/IF(AnnuityMode=2,2,IF(AnnuityMode=4,4,IF(AnnuityMode=12,12,1))),0),0)</f>
        <v>0</v>
      </c>
      <c r="J545" s="227">
        <f t="shared" si="99"/>
        <v>0</v>
      </c>
      <c r="K545" s="213">
        <f t="shared" si="104"/>
        <v>0</v>
      </c>
      <c r="L545" s="209">
        <f t="shared" si="100"/>
        <v>0</v>
      </c>
      <c r="M545" s="214">
        <f t="shared" si="97"/>
        <v>0</v>
      </c>
      <c r="N545" s="211">
        <f t="shared" si="105"/>
        <v>0</v>
      </c>
      <c r="O545" s="194">
        <f t="shared" si="106"/>
        <v>0</v>
      </c>
      <c r="P545" s="212">
        <f t="shared" si="101"/>
        <v>0</v>
      </c>
      <c r="Q545">
        <f t="shared" si="96"/>
        <v>0</v>
      </c>
      <c r="X545" s="216">
        <f t="shared" si="107"/>
        <v>44</v>
      </c>
      <c r="Y545">
        <f t="shared" si="102"/>
        <v>0</v>
      </c>
    </row>
    <row r="546" spans="1:25" ht="13.5" thickBot="1" x14ac:dyDescent="0.25">
      <c r="A546" s="204">
        <f>IF(MOD(COUNT($A$10:A545),12)=0,A545+1,A545)</f>
        <v>45</v>
      </c>
      <c r="B546" s="218">
        <f t="shared" si="103"/>
        <v>9</v>
      </c>
      <c r="C546" s="218">
        <f t="shared" si="98"/>
        <v>1</v>
      </c>
      <c r="D546" s="208">
        <f>IF(MOD(COUNT($D$10:D545),6)=0,D545+1,D545)</f>
        <v>90</v>
      </c>
      <c r="E546" s="208">
        <f>IF(MOD(COUNT($E$10:E545),3)=0,E545+1,E545)</f>
        <v>179</v>
      </c>
      <c r="F546" s="208">
        <f>IF(MOD(COUNT($F$10:F545),1)=0,F545+1,F545)</f>
        <v>537</v>
      </c>
      <c r="G546" s="204">
        <f>IFERROR(IF(C546=1,VLOOKUP(A546,Output!$A$27:$AB$137,28,FALSE)/AnnuityMode,0),0)</f>
        <v>0</v>
      </c>
      <c r="H546" s="220">
        <f>IFERROR(IF(AND(MIN(A546&gt;25,Age+A546&gt;=85),B546=12),VLOOKUP(A546,Output!$A$27:$AE$137,31,FALSE),0),0)</f>
        <v>0</v>
      </c>
      <c r="I546" s="221">
        <f>IFERROR(IF(AND(MIN(A546&gt;15,A546+Age&gt;=70),C546=1),VLOOKUP(A546,Output!$A$27:$AF$137,32,FALSE)*VLOOKUP('SV calc_ignore'!A546,Output!$A$27:$AG$137,33,FALSE)/IF(AnnuityMode=2,2,IF(AnnuityMode=4,4,IF(AnnuityMode=12,12,1))),0),0)</f>
        <v>0</v>
      </c>
      <c r="J546" s="227">
        <f t="shared" si="99"/>
        <v>0</v>
      </c>
      <c r="K546" s="213">
        <f t="shared" si="104"/>
        <v>0</v>
      </c>
      <c r="L546" s="209">
        <f t="shared" si="100"/>
        <v>0</v>
      </c>
      <c r="M546" s="214">
        <f t="shared" si="97"/>
        <v>0</v>
      </c>
      <c r="N546" s="211">
        <f t="shared" si="105"/>
        <v>0</v>
      </c>
      <c r="O546" s="194">
        <f t="shared" si="106"/>
        <v>0</v>
      </c>
      <c r="P546" s="212">
        <f t="shared" si="101"/>
        <v>0</v>
      </c>
      <c r="Q546">
        <f t="shared" si="96"/>
        <v>0</v>
      </c>
      <c r="X546" s="216">
        <f t="shared" si="107"/>
        <v>44</v>
      </c>
      <c r="Y546">
        <f t="shared" si="102"/>
        <v>0</v>
      </c>
    </row>
    <row r="547" spans="1:25" ht="13.5" thickBot="1" x14ac:dyDescent="0.25">
      <c r="A547" s="204">
        <f>IF(MOD(COUNT($A$10:A546),12)=0,A546+1,A546)</f>
        <v>45</v>
      </c>
      <c r="B547" s="218">
        <f t="shared" si="103"/>
        <v>10</v>
      </c>
      <c r="C547" s="218">
        <f t="shared" si="98"/>
        <v>1</v>
      </c>
      <c r="D547" s="208">
        <f>IF(MOD(COUNT($D$10:D546),6)=0,D546+1,D546)</f>
        <v>90</v>
      </c>
      <c r="E547" s="208">
        <f>IF(MOD(COUNT($E$10:E546),3)=0,E546+1,E546)</f>
        <v>180</v>
      </c>
      <c r="F547" s="208">
        <f>IF(MOD(COUNT($F$10:F546),1)=0,F546+1,F546)</f>
        <v>538</v>
      </c>
      <c r="G547" s="204">
        <f>IFERROR(IF(C547=1,VLOOKUP(A547,Output!$A$27:$AB$137,28,FALSE)/AnnuityMode,0),0)</f>
        <v>0</v>
      </c>
      <c r="H547" s="220">
        <f>IFERROR(IF(AND(MIN(A547&gt;25,Age+A547&gt;=85),B547=12),VLOOKUP(A547,Output!$A$27:$AE$137,31,FALSE),0),0)</f>
        <v>0</v>
      </c>
      <c r="I547" s="221">
        <f>IFERROR(IF(AND(MIN(A547&gt;15,A547+Age&gt;=70),C547=1),VLOOKUP(A547,Output!$A$27:$AF$137,32,FALSE)*VLOOKUP('SV calc_ignore'!A547,Output!$A$27:$AG$137,33,FALSE)/IF(AnnuityMode=2,2,IF(AnnuityMode=4,4,IF(AnnuityMode=12,12,1))),0),0)</f>
        <v>0</v>
      </c>
      <c r="J547" s="227">
        <f t="shared" si="99"/>
        <v>0</v>
      </c>
      <c r="K547" s="213">
        <f t="shared" si="104"/>
        <v>0</v>
      </c>
      <c r="L547" s="209">
        <f t="shared" si="100"/>
        <v>0</v>
      </c>
      <c r="M547" s="214">
        <f t="shared" si="97"/>
        <v>0</v>
      </c>
      <c r="N547" s="211">
        <f t="shared" si="105"/>
        <v>0</v>
      </c>
      <c r="O547" s="194">
        <f t="shared" si="106"/>
        <v>0</v>
      </c>
      <c r="P547" s="212">
        <f t="shared" si="101"/>
        <v>0</v>
      </c>
      <c r="Q547">
        <f t="shared" si="96"/>
        <v>0</v>
      </c>
      <c r="X547" s="216">
        <f t="shared" si="107"/>
        <v>44</v>
      </c>
      <c r="Y547">
        <f t="shared" si="102"/>
        <v>0</v>
      </c>
    </row>
    <row r="548" spans="1:25" ht="13.5" thickBot="1" x14ac:dyDescent="0.25">
      <c r="A548" s="204">
        <f>IF(MOD(COUNT($A$10:A547),12)=0,A547+1,A547)</f>
        <v>45</v>
      </c>
      <c r="B548" s="218">
        <f t="shared" si="103"/>
        <v>11</v>
      </c>
      <c r="C548" s="218">
        <f t="shared" si="98"/>
        <v>1</v>
      </c>
      <c r="D548" s="208">
        <f>IF(MOD(COUNT($D$10:D547),6)=0,D547+1,D547)</f>
        <v>90</v>
      </c>
      <c r="E548" s="208">
        <f>IF(MOD(COUNT($E$10:E547),3)=0,E547+1,E547)</f>
        <v>180</v>
      </c>
      <c r="F548" s="208">
        <f>IF(MOD(COUNT($F$10:F547),1)=0,F547+1,F547)</f>
        <v>539</v>
      </c>
      <c r="G548" s="204">
        <f>IFERROR(IF(C548=1,VLOOKUP(A548,Output!$A$27:$AB$137,28,FALSE)/AnnuityMode,0),0)</f>
        <v>0</v>
      </c>
      <c r="H548" s="220">
        <f>IFERROR(IF(AND(MIN(A548&gt;25,Age+A548&gt;=85),B548=12),VLOOKUP(A548,Output!$A$27:$AE$137,31,FALSE),0),0)</f>
        <v>0</v>
      </c>
      <c r="I548" s="221">
        <f>IFERROR(IF(AND(MIN(A548&gt;15,A548+Age&gt;=70),C548=1),VLOOKUP(A548,Output!$A$27:$AF$137,32,FALSE)*VLOOKUP('SV calc_ignore'!A548,Output!$A$27:$AG$137,33,FALSE)/IF(AnnuityMode=2,2,IF(AnnuityMode=4,4,IF(AnnuityMode=12,12,1))),0),0)</f>
        <v>0</v>
      </c>
      <c r="J548" s="227">
        <f t="shared" si="99"/>
        <v>0</v>
      </c>
      <c r="K548" s="213">
        <f t="shared" si="104"/>
        <v>0</v>
      </c>
      <c r="L548" s="209">
        <f t="shared" si="100"/>
        <v>0</v>
      </c>
      <c r="M548" s="214">
        <f t="shared" si="97"/>
        <v>0</v>
      </c>
      <c r="N548" s="211">
        <f t="shared" si="105"/>
        <v>0</v>
      </c>
      <c r="O548" s="194">
        <f t="shared" si="106"/>
        <v>0</v>
      </c>
      <c r="P548" s="212">
        <f t="shared" si="101"/>
        <v>0</v>
      </c>
      <c r="Q548">
        <f t="shared" si="96"/>
        <v>0</v>
      </c>
      <c r="X548" s="216">
        <f t="shared" si="107"/>
        <v>44</v>
      </c>
      <c r="Y548">
        <f t="shared" si="102"/>
        <v>0</v>
      </c>
    </row>
    <row r="549" spans="1:25" ht="13.5" thickBot="1" x14ac:dyDescent="0.25">
      <c r="A549" s="204">
        <f>IF(MOD(COUNT($A$10:A548),12)=0,A548+1,A548)</f>
        <v>45</v>
      </c>
      <c r="B549" s="218">
        <f t="shared" si="103"/>
        <v>12</v>
      </c>
      <c r="C549" s="218">
        <f t="shared" si="98"/>
        <v>1</v>
      </c>
      <c r="D549" s="208">
        <f>IF(MOD(COUNT($D$10:D548),6)=0,D548+1,D548)</f>
        <v>90</v>
      </c>
      <c r="E549" s="208">
        <f>IF(MOD(COUNT($E$10:E548),3)=0,E548+1,E548)</f>
        <v>180</v>
      </c>
      <c r="F549" s="208">
        <f>IF(MOD(COUNT($F$10:F548),1)=0,F548+1,F548)</f>
        <v>540</v>
      </c>
      <c r="G549" s="204">
        <f>IFERROR(IF(C549=1,VLOOKUP(A549,Output!$A$27:$AB$137,28,FALSE)/AnnuityMode,0),0)</f>
        <v>0</v>
      </c>
      <c r="H549" s="220">
        <f>IFERROR(IF(AND(MIN(A549&gt;25,Age+A549&gt;=85),B549=12),VLOOKUP(A549,Output!$A$27:$AE$137,31,FALSE),0),0)</f>
        <v>0</v>
      </c>
      <c r="I549" s="221">
        <f>IFERROR(IF(AND(MIN(A549&gt;15,A549+Age&gt;=70),C549=1),VLOOKUP(A549,Output!$A$27:$AF$137,32,FALSE)*VLOOKUP('SV calc_ignore'!A549,Output!$A$27:$AG$137,33,FALSE)/IF(AnnuityMode=2,2,IF(AnnuityMode=4,4,IF(AnnuityMode=12,12,1))),0),0)</f>
        <v>0</v>
      </c>
      <c r="J549" s="227">
        <f t="shared" si="99"/>
        <v>0</v>
      </c>
      <c r="K549" s="213">
        <f t="shared" si="104"/>
        <v>0</v>
      </c>
      <c r="L549" s="209">
        <f t="shared" si="100"/>
        <v>0</v>
      </c>
      <c r="M549" s="214">
        <f t="shared" si="97"/>
        <v>0</v>
      </c>
      <c r="N549" s="211">
        <f t="shared" si="105"/>
        <v>0</v>
      </c>
      <c r="O549" s="194">
        <f t="shared" si="106"/>
        <v>0</v>
      </c>
      <c r="P549" s="212">
        <f t="shared" si="101"/>
        <v>0</v>
      </c>
      <c r="Q549">
        <f t="shared" si="96"/>
        <v>0</v>
      </c>
      <c r="X549" s="216">
        <f t="shared" si="107"/>
        <v>44</v>
      </c>
      <c r="Y549">
        <f t="shared" si="102"/>
        <v>0</v>
      </c>
    </row>
    <row r="550" spans="1:25" ht="13.5" thickBot="1" x14ac:dyDescent="0.25">
      <c r="A550" s="204">
        <f>IF(MOD(COUNT($A$10:A549),12)=0,A549+1,A549)</f>
        <v>46</v>
      </c>
      <c r="B550" s="218">
        <f t="shared" si="103"/>
        <v>1</v>
      </c>
      <c r="C550" s="218">
        <f t="shared" si="98"/>
        <v>1</v>
      </c>
      <c r="D550" s="208">
        <f>IF(MOD(COUNT($D$10:D549),6)=0,D549+1,D549)</f>
        <v>91</v>
      </c>
      <c r="E550" s="208">
        <f>IF(MOD(COUNT($E$10:E549),3)=0,E549+1,E549)</f>
        <v>181</v>
      </c>
      <c r="F550" s="208">
        <f>IF(MOD(COUNT($F$10:F549),1)=0,F549+1,F549)</f>
        <v>541</v>
      </c>
      <c r="G550" s="204">
        <f>IFERROR(IF(C550=1,VLOOKUP(A550,Output!$A$27:$AB$137,28,FALSE)/AnnuityMode,0),0)</f>
        <v>0</v>
      </c>
      <c r="H550" s="220">
        <f>IFERROR(IF(AND(MIN(A550&gt;25,Age+A550&gt;=85),B550=12),VLOOKUP(A550,Output!$A$27:$AE$137,31,FALSE),0),0)</f>
        <v>0</v>
      </c>
      <c r="I550" s="221">
        <f>IFERROR(IF(AND(MIN(A550&gt;15,A550+Age&gt;=70),C550=1),VLOOKUP(A550,Output!$A$27:$AF$137,32,FALSE)*VLOOKUP('SV calc_ignore'!A550,Output!$A$27:$AG$137,33,FALSE)/IF(AnnuityMode=2,2,IF(AnnuityMode=4,4,IF(AnnuityMode=12,12,1))),0),0)</f>
        <v>0</v>
      </c>
      <c r="J550" s="227">
        <f t="shared" si="99"/>
        <v>0</v>
      </c>
      <c r="K550" s="213">
        <f t="shared" si="104"/>
        <v>0</v>
      </c>
      <c r="L550" s="209">
        <f t="shared" si="100"/>
        <v>0</v>
      </c>
      <c r="M550" s="214">
        <f t="shared" si="97"/>
        <v>0</v>
      </c>
      <c r="N550" s="211">
        <f t="shared" si="105"/>
        <v>0</v>
      </c>
      <c r="O550" s="194">
        <f t="shared" si="106"/>
        <v>0</v>
      </c>
      <c r="P550" s="212">
        <f t="shared" si="101"/>
        <v>0</v>
      </c>
      <c r="Q550">
        <f t="shared" si="96"/>
        <v>0</v>
      </c>
      <c r="X550" s="216">
        <f t="shared" si="107"/>
        <v>45</v>
      </c>
      <c r="Y550">
        <f t="shared" si="102"/>
        <v>0</v>
      </c>
    </row>
    <row r="551" spans="1:25" ht="13.5" thickBot="1" x14ac:dyDescent="0.25">
      <c r="A551" s="204">
        <f>IF(MOD(COUNT($A$10:A550),12)=0,A550+1,A550)</f>
        <v>46</v>
      </c>
      <c r="B551" s="218">
        <f t="shared" si="103"/>
        <v>2</v>
      </c>
      <c r="C551" s="218">
        <f t="shared" si="98"/>
        <v>1</v>
      </c>
      <c r="D551" s="208">
        <f>IF(MOD(COUNT($D$10:D550),6)=0,D550+1,D550)</f>
        <v>91</v>
      </c>
      <c r="E551" s="208">
        <f>IF(MOD(COUNT($E$10:E550),3)=0,E550+1,E550)</f>
        <v>181</v>
      </c>
      <c r="F551" s="208">
        <f>IF(MOD(COUNT($F$10:F550),1)=0,F550+1,F550)</f>
        <v>542</v>
      </c>
      <c r="G551" s="204">
        <f>IFERROR(IF(C551=1,VLOOKUP(A551,Output!$A$27:$AB$137,28,FALSE)/AnnuityMode,0),0)</f>
        <v>0</v>
      </c>
      <c r="H551" s="220">
        <f>IFERROR(IF(AND(MIN(A551&gt;25,Age+A551&gt;=85),B551=12),VLOOKUP(A551,Output!$A$27:$AE$137,31,FALSE),0),0)</f>
        <v>0</v>
      </c>
      <c r="I551" s="221">
        <f>IFERROR(IF(AND(MIN(A551&gt;15,A551+Age&gt;=70),C551=1),VLOOKUP(A551,Output!$A$27:$AF$137,32,FALSE)*VLOOKUP('SV calc_ignore'!A551,Output!$A$27:$AG$137,33,FALSE)/IF(AnnuityMode=2,2,IF(AnnuityMode=4,4,IF(AnnuityMode=12,12,1))),0),0)</f>
        <v>0</v>
      </c>
      <c r="J551" s="227">
        <f t="shared" si="99"/>
        <v>0</v>
      </c>
      <c r="K551" s="213">
        <f t="shared" si="104"/>
        <v>0</v>
      </c>
      <c r="L551" s="209">
        <f t="shared" si="100"/>
        <v>0</v>
      </c>
      <c r="M551" s="214">
        <f t="shared" si="97"/>
        <v>0</v>
      </c>
      <c r="N551" s="211">
        <f t="shared" si="105"/>
        <v>0</v>
      </c>
      <c r="O551" s="194">
        <f t="shared" si="106"/>
        <v>0</v>
      </c>
      <c r="P551" s="212">
        <f t="shared" si="101"/>
        <v>0</v>
      </c>
      <c r="Q551">
        <f t="shared" si="96"/>
        <v>0</v>
      </c>
      <c r="X551" s="216">
        <f t="shared" si="107"/>
        <v>45</v>
      </c>
      <c r="Y551">
        <f t="shared" si="102"/>
        <v>0</v>
      </c>
    </row>
    <row r="552" spans="1:25" ht="13.5" thickBot="1" x14ac:dyDescent="0.25">
      <c r="A552" s="204">
        <f>IF(MOD(COUNT($A$10:A551),12)=0,A551+1,A551)</f>
        <v>46</v>
      </c>
      <c r="B552" s="218">
        <f t="shared" si="103"/>
        <v>3</v>
      </c>
      <c r="C552" s="218">
        <f t="shared" si="98"/>
        <v>1</v>
      </c>
      <c r="D552" s="208">
        <f>IF(MOD(COUNT($D$10:D551),6)=0,D551+1,D551)</f>
        <v>91</v>
      </c>
      <c r="E552" s="208">
        <f>IF(MOD(COUNT($E$10:E551),3)=0,E551+1,E551)</f>
        <v>181</v>
      </c>
      <c r="F552" s="208">
        <f>IF(MOD(COUNT($F$10:F551),1)=0,F551+1,F551)</f>
        <v>543</v>
      </c>
      <c r="G552" s="204">
        <f>IFERROR(IF(C552=1,VLOOKUP(A552,Output!$A$27:$AB$137,28,FALSE)/AnnuityMode,0),0)</f>
        <v>0</v>
      </c>
      <c r="H552" s="220">
        <f>IFERROR(IF(AND(MIN(A552&gt;25,Age+A552&gt;=85),B552=12),VLOOKUP(A552,Output!$A$27:$AE$137,31,FALSE),0),0)</f>
        <v>0</v>
      </c>
      <c r="I552" s="221">
        <f>IFERROR(IF(AND(MIN(A552&gt;15,A552+Age&gt;=70),C552=1),VLOOKUP(A552,Output!$A$27:$AF$137,32,FALSE)*VLOOKUP('SV calc_ignore'!A552,Output!$A$27:$AG$137,33,FALSE)/IF(AnnuityMode=2,2,IF(AnnuityMode=4,4,IF(AnnuityMode=12,12,1))),0),0)</f>
        <v>0</v>
      </c>
      <c r="J552" s="227">
        <f t="shared" si="99"/>
        <v>0</v>
      </c>
      <c r="K552" s="213">
        <f t="shared" si="104"/>
        <v>0</v>
      </c>
      <c r="L552" s="209">
        <f t="shared" si="100"/>
        <v>0</v>
      </c>
      <c r="M552" s="214">
        <f t="shared" si="97"/>
        <v>0</v>
      </c>
      <c r="N552" s="211">
        <f t="shared" si="105"/>
        <v>0</v>
      </c>
      <c r="O552" s="194">
        <f t="shared" si="106"/>
        <v>0</v>
      </c>
      <c r="P552" s="212">
        <f t="shared" si="101"/>
        <v>0</v>
      </c>
      <c r="Q552">
        <f t="shared" si="96"/>
        <v>0</v>
      </c>
      <c r="X552" s="216">
        <f t="shared" si="107"/>
        <v>45</v>
      </c>
      <c r="Y552">
        <f t="shared" si="102"/>
        <v>0</v>
      </c>
    </row>
    <row r="553" spans="1:25" ht="13.5" thickBot="1" x14ac:dyDescent="0.25">
      <c r="A553" s="204">
        <f>IF(MOD(COUNT($A$10:A552),12)=0,A552+1,A552)</f>
        <v>46</v>
      </c>
      <c r="B553" s="218">
        <f t="shared" si="103"/>
        <v>4</v>
      </c>
      <c r="C553" s="218">
        <f t="shared" si="98"/>
        <v>1</v>
      </c>
      <c r="D553" s="208">
        <f>IF(MOD(COUNT($D$10:D552),6)=0,D552+1,D552)</f>
        <v>91</v>
      </c>
      <c r="E553" s="208">
        <f>IF(MOD(COUNT($E$10:E552),3)=0,E552+1,E552)</f>
        <v>182</v>
      </c>
      <c r="F553" s="208">
        <f>IF(MOD(COUNT($F$10:F552),1)=0,F552+1,F552)</f>
        <v>544</v>
      </c>
      <c r="G553" s="204">
        <f>IFERROR(IF(C553=1,VLOOKUP(A553,Output!$A$27:$AB$137,28,FALSE)/AnnuityMode,0),0)</f>
        <v>0</v>
      </c>
      <c r="H553" s="220">
        <f>IFERROR(IF(AND(MIN(A553&gt;25,Age+A553&gt;=85),B553=12),VLOOKUP(A553,Output!$A$27:$AE$137,31,FALSE),0),0)</f>
        <v>0</v>
      </c>
      <c r="I553" s="221">
        <f>IFERROR(IF(AND(MIN(A553&gt;15,A553+Age&gt;=70),C553=1),VLOOKUP(A553,Output!$A$27:$AF$137,32,FALSE)*VLOOKUP('SV calc_ignore'!A553,Output!$A$27:$AG$137,33,FALSE)/IF(AnnuityMode=2,2,IF(AnnuityMode=4,4,IF(AnnuityMode=12,12,1))),0),0)</f>
        <v>0</v>
      </c>
      <c r="J553" s="227">
        <f t="shared" si="99"/>
        <v>0</v>
      </c>
      <c r="K553" s="213">
        <f t="shared" si="104"/>
        <v>0</v>
      </c>
      <c r="L553" s="209">
        <f t="shared" si="100"/>
        <v>0</v>
      </c>
      <c r="M553" s="214">
        <f t="shared" si="97"/>
        <v>0</v>
      </c>
      <c r="N553" s="211">
        <f t="shared" si="105"/>
        <v>0</v>
      </c>
      <c r="O553" s="194">
        <f t="shared" si="106"/>
        <v>0</v>
      </c>
      <c r="P553" s="212">
        <f t="shared" si="101"/>
        <v>0</v>
      </c>
      <c r="Q553">
        <f t="shared" si="96"/>
        <v>0</v>
      </c>
      <c r="X553" s="216">
        <f t="shared" si="107"/>
        <v>45</v>
      </c>
      <c r="Y553">
        <f t="shared" si="102"/>
        <v>0</v>
      </c>
    </row>
    <row r="554" spans="1:25" ht="13.5" thickBot="1" x14ac:dyDescent="0.25">
      <c r="A554" s="204">
        <f>IF(MOD(COUNT($A$10:A553),12)=0,A553+1,A553)</f>
        <v>46</v>
      </c>
      <c r="B554" s="218">
        <f t="shared" si="103"/>
        <v>5</v>
      </c>
      <c r="C554" s="218">
        <f t="shared" si="98"/>
        <v>1</v>
      </c>
      <c r="D554" s="208">
        <f>IF(MOD(COUNT($D$10:D553),6)=0,D553+1,D553)</f>
        <v>91</v>
      </c>
      <c r="E554" s="208">
        <f>IF(MOD(COUNT($E$10:E553),3)=0,E553+1,E553)</f>
        <v>182</v>
      </c>
      <c r="F554" s="208">
        <f>IF(MOD(COUNT($F$10:F553),1)=0,F553+1,F553)</f>
        <v>545</v>
      </c>
      <c r="G554" s="204">
        <f>IFERROR(IF(C554=1,VLOOKUP(A554,Output!$A$27:$AB$137,28,FALSE)/AnnuityMode,0),0)</f>
        <v>0</v>
      </c>
      <c r="H554" s="220">
        <f>IFERROR(IF(AND(MIN(A554&gt;25,Age+A554&gt;=85),B554=12),VLOOKUP(A554,Output!$A$27:$AE$137,31,FALSE),0),0)</f>
        <v>0</v>
      </c>
      <c r="I554" s="221">
        <f>IFERROR(IF(AND(MIN(A554&gt;15,A554+Age&gt;=70),C554=1),VLOOKUP(A554,Output!$A$27:$AF$137,32,FALSE)*VLOOKUP('SV calc_ignore'!A554,Output!$A$27:$AG$137,33,FALSE)/IF(AnnuityMode=2,2,IF(AnnuityMode=4,4,IF(AnnuityMode=12,12,1))),0),0)</f>
        <v>0</v>
      </c>
      <c r="J554" s="227">
        <f t="shared" si="99"/>
        <v>0</v>
      </c>
      <c r="K554" s="213">
        <f t="shared" si="104"/>
        <v>0</v>
      </c>
      <c r="L554" s="209">
        <f t="shared" si="100"/>
        <v>0</v>
      </c>
      <c r="M554" s="214">
        <f t="shared" si="97"/>
        <v>0</v>
      </c>
      <c r="N554" s="211">
        <f t="shared" si="105"/>
        <v>0</v>
      </c>
      <c r="O554" s="194">
        <f t="shared" si="106"/>
        <v>0</v>
      </c>
      <c r="P554" s="212">
        <f t="shared" si="101"/>
        <v>0</v>
      </c>
      <c r="Q554">
        <f t="shared" ref="Q554:Q617" si="108">(I554+(Q555)*(1+$K$3)^(-1))*(A554&lt;=$W$5)</f>
        <v>0</v>
      </c>
      <c r="X554" s="216">
        <f t="shared" si="107"/>
        <v>45</v>
      </c>
      <c r="Y554">
        <f t="shared" si="102"/>
        <v>0</v>
      </c>
    </row>
    <row r="555" spans="1:25" ht="13.5" thickBot="1" x14ac:dyDescent="0.25">
      <c r="A555" s="204">
        <f>IF(MOD(COUNT($A$10:A554),12)=0,A554+1,A554)</f>
        <v>46</v>
      </c>
      <c r="B555" s="218">
        <f t="shared" si="103"/>
        <v>6</v>
      </c>
      <c r="C555" s="218">
        <f t="shared" si="98"/>
        <v>1</v>
      </c>
      <c r="D555" s="208">
        <f>IF(MOD(COUNT($D$10:D554),6)=0,D554+1,D554)</f>
        <v>91</v>
      </c>
      <c r="E555" s="208">
        <f>IF(MOD(COUNT($E$10:E554),3)=0,E554+1,E554)</f>
        <v>182</v>
      </c>
      <c r="F555" s="208">
        <f>IF(MOD(COUNT($F$10:F554),1)=0,F554+1,F554)</f>
        <v>546</v>
      </c>
      <c r="G555" s="204">
        <f>IFERROR(IF(C555=1,VLOOKUP(A555,Output!$A$27:$AB$137,28,FALSE)/AnnuityMode,0),0)</f>
        <v>0</v>
      </c>
      <c r="H555" s="220">
        <f>IFERROR(IF(AND(MIN(A555&gt;25,Age+A555&gt;=85),B555=12),VLOOKUP(A555,Output!$A$27:$AE$137,31,FALSE),0),0)</f>
        <v>0</v>
      </c>
      <c r="I555" s="221">
        <f>IFERROR(IF(AND(MIN(A555&gt;15,A555+Age&gt;=70),C555=1),VLOOKUP(A555,Output!$A$27:$AF$137,32,FALSE)*VLOOKUP('SV calc_ignore'!A555,Output!$A$27:$AG$137,33,FALSE)/IF(AnnuityMode=2,2,IF(AnnuityMode=4,4,IF(AnnuityMode=12,12,1))),0),0)</f>
        <v>0</v>
      </c>
      <c r="J555" s="227">
        <f t="shared" si="99"/>
        <v>0</v>
      </c>
      <c r="K555" s="213">
        <f t="shared" si="104"/>
        <v>0</v>
      </c>
      <c r="L555" s="209">
        <f t="shared" si="100"/>
        <v>0</v>
      </c>
      <c r="M555" s="214">
        <f t="shared" si="97"/>
        <v>0</v>
      </c>
      <c r="N555" s="211">
        <f t="shared" si="105"/>
        <v>0</v>
      </c>
      <c r="O555" s="194">
        <f t="shared" si="106"/>
        <v>0</v>
      </c>
      <c r="P555" s="212">
        <f t="shared" si="101"/>
        <v>0</v>
      </c>
      <c r="Q555">
        <f t="shared" si="108"/>
        <v>0</v>
      </c>
      <c r="X555" s="216">
        <f t="shared" si="107"/>
        <v>45</v>
      </c>
      <c r="Y555">
        <f t="shared" si="102"/>
        <v>0</v>
      </c>
    </row>
    <row r="556" spans="1:25" ht="13.5" thickBot="1" x14ac:dyDescent="0.25">
      <c r="A556" s="204">
        <f>IF(MOD(COUNT($A$10:A555),12)=0,A555+1,A555)</f>
        <v>46</v>
      </c>
      <c r="B556" s="218">
        <f t="shared" si="103"/>
        <v>7</v>
      </c>
      <c r="C556" s="218">
        <f t="shared" si="98"/>
        <v>1</v>
      </c>
      <c r="D556" s="208">
        <f>IF(MOD(COUNT($D$10:D555),6)=0,D555+1,D555)</f>
        <v>92</v>
      </c>
      <c r="E556" s="208">
        <f>IF(MOD(COUNT($E$10:E555),3)=0,E555+1,E555)</f>
        <v>183</v>
      </c>
      <c r="F556" s="208">
        <f>IF(MOD(COUNT($F$10:F555),1)=0,F555+1,F555)</f>
        <v>547</v>
      </c>
      <c r="G556" s="204">
        <f>IFERROR(IF(C556=1,VLOOKUP(A556,Output!$A$27:$AB$137,28,FALSE)/AnnuityMode,0),0)</f>
        <v>0</v>
      </c>
      <c r="H556" s="220">
        <f>IFERROR(IF(AND(MIN(A556&gt;25,Age+A556&gt;=85),B556=12),VLOOKUP(A556,Output!$A$27:$AE$137,31,FALSE),0),0)</f>
        <v>0</v>
      </c>
      <c r="I556" s="221">
        <f>IFERROR(IF(AND(MIN(A556&gt;15,A556+Age&gt;=70),C556=1),VLOOKUP(A556,Output!$A$27:$AF$137,32,FALSE)*VLOOKUP('SV calc_ignore'!A556,Output!$A$27:$AG$137,33,FALSE)/IF(AnnuityMode=2,2,IF(AnnuityMode=4,4,IF(AnnuityMode=12,12,1))),0),0)</f>
        <v>0</v>
      </c>
      <c r="J556" s="227">
        <f t="shared" si="99"/>
        <v>0</v>
      </c>
      <c r="K556" s="213">
        <f t="shared" si="104"/>
        <v>0</v>
      </c>
      <c r="L556" s="209">
        <f t="shared" si="100"/>
        <v>0</v>
      </c>
      <c r="M556" s="214">
        <f t="shared" si="97"/>
        <v>0</v>
      </c>
      <c r="N556" s="211">
        <f t="shared" si="105"/>
        <v>0</v>
      </c>
      <c r="O556" s="194">
        <f t="shared" si="106"/>
        <v>0</v>
      </c>
      <c r="P556" s="212">
        <f t="shared" si="101"/>
        <v>0</v>
      </c>
      <c r="Q556">
        <f t="shared" si="108"/>
        <v>0</v>
      </c>
      <c r="X556" s="216">
        <f t="shared" si="107"/>
        <v>45</v>
      </c>
      <c r="Y556">
        <f t="shared" si="102"/>
        <v>0</v>
      </c>
    </row>
    <row r="557" spans="1:25" ht="13.5" thickBot="1" x14ac:dyDescent="0.25">
      <c r="A557" s="204">
        <f>IF(MOD(COUNT($A$10:A556),12)=0,A556+1,A556)</f>
        <v>46</v>
      </c>
      <c r="B557" s="218">
        <f t="shared" si="103"/>
        <v>8</v>
      </c>
      <c r="C557" s="218">
        <f t="shared" si="98"/>
        <v>1</v>
      </c>
      <c r="D557" s="208">
        <f>IF(MOD(COUNT($D$10:D556),6)=0,D556+1,D556)</f>
        <v>92</v>
      </c>
      <c r="E557" s="208">
        <f>IF(MOD(COUNT($E$10:E556),3)=0,E556+1,E556)</f>
        <v>183</v>
      </c>
      <c r="F557" s="208">
        <f>IF(MOD(COUNT($F$10:F556),1)=0,F556+1,F556)</f>
        <v>548</v>
      </c>
      <c r="G557" s="204">
        <f>IFERROR(IF(C557=1,VLOOKUP(A557,Output!$A$27:$AB$137,28,FALSE)/AnnuityMode,0),0)</f>
        <v>0</v>
      </c>
      <c r="H557" s="220">
        <f>IFERROR(IF(AND(MIN(A557&gt;25,Age+A557&gt;=85),B557=12),VLOOKUP(A557,Output!$A$27:$AE$137,31,FALSE),0),0)</f>
        <v>0</v>
      </c>
      <c r="I557" s="221">
        <f>IFERROR(IF(AND(MIN(A557&gt;15,A557+Age&gt;=70),C557=1),VLOOKUP(A557,Output!$A$27:$AF$137,32,FALSE)*VLOOKUP('SV calc_ignore'!A557,Output!$A$27:$AG$137,33,FALSE)/IF(AnnuityMode=2,2,IF(AnnuityMode=4,4,IF(AnnuityMode=12,12,1))),0),0)</f>
        <v>0</v>
      </c>
      <c r="J557" s="227">
        <f t="shared" si="99"/>
        <v>0</v>
      </c>
      <c r="K557" s="213">
        <f t="shared" si="104"/>
        <v>0</v>
      </c>
      <c r="L557" s="209">
        <f t="shared" si="100"/>
        <v>0</v>
      </c>
      <c r="M557" s="214">
        <f t="shared" si="97"/>
        <v>0</v>
      </c>
      <c r="N557" s="211">
        <f t="shared" si="105"/>
        <v>0</v>
      </c>
      <c r="O557" s="194">
        <f t="shared" si="106"/>
        <v>0</v>
      </c>
      <c r="P557" s="212">
        <f t="shared" si="101"/>
        <v>0</v>
      </c>
      <c r="Q557">
        <f t="shared" si="108"/>
        <v>0</v>
      </c>
      <c r="X557" s="216">
        <f t="shared" si="107"/>
        <v>45</v>
      </c>
      <c r="Y557">
        <f t="shared" si="102"/>
        <v>0</v>
      </c>
    </row>
    <row r="558" spans="1:25" ht="13.5" thickBot="1" x14ac:dyDescent="0.25">
      <c r="A558" s="204">
        <f>IF(MOD(COUNT($A$10:A557),12)=0,A557+1,A557)</f>
        <v>46</v>
      </c>
      <c r="B558" s="218">
        <f t="shared" si="103"/>
        <v>9</v>
      </c>
      <c r="C558" s="218">
        <f t="shared" si="98"/>
        <v>1</v>
      </c>
      <c r="D558" s="208">
        <f>IF(MOD(COUNT($D$10:D557),6)=0,D557+1,D557)</f>
        <v>92</v>
      </c>
      <c r="E558" s="208">
        <f>IF(MOD(COUNT($E$10:E557),3)=0,E557+1,E557)</f>
        <v>183</v>
      </c>
      <c r="F558" s="208">
        <f>IF(MOD(COUNT($F$10:F557),1)=0,F557+1,F557)</f>
        <v>549</v>
      </c>
      <c r="G558" s="204">
        <f>IFERROR(IF(C558=1,VLOOKUP(A558,Output!$A$27:$AB$137,28,FALSE)/AnnuityMode,0),0)</f>
        <v>0</v>
      </c>
      <c r="H558" s="220">
        <f>IFERROR(IF(AND(MIN(A558&gt;25,Age+A558&gt;=85),B558=12),VLOOKUP(A558,Output!$A$27:$AE$137,31,FALSE),0),0)</f>
        <v>0</v>
      </c>
      <c r="I558" s="221">
        <f>IFERROR(IF(AND(MIN(A558&gt;15,A558+Age&gt;=70),C558=1),VLOOKUP(A558,Output!$A$27:$AF$137,32,FALSE)*VLOOKUP('SV calc_ignore'!A558,Output!$A$27:$AG$137,33,FALSE)/IF(AnnuityMode=2,2,IF(AnnuityMode=4,4,IF(AnnuityMode=12,12,1))),0),0)</f>
        <v>0</v>
      </c>
      <c r="J558" s="227">
        <f t="shared" si="99"/>
        <v>0</v>
      </c>
      <c r="K558" s="213">
        <f t="shared" si="104"/>
        <v>0</v>
      </c>
      <c r="L558" s="209">
        <f t="shared" si="100"/>
        <v>0</v>
      </c>
      <c r="M558" s="214">
        <f t="shared" si="97"/>
        <v>0</v>
      </c>
      <c r="N558" s="211">
        <f t="shared" si="105"/>
        <v>0</v>
      </c>
      <c r="O558" s="194">
        <f t="shared" si="106"/>
        <v>0</v>
      </c>
      <c r="P558" s="212">
        <f t="shared" si="101"/>
        <v>0</v>
      </c>
      <c r="Q558">
        <f t="shared" si="108"/>
        <v>0</v>
      </c>
      <c r="X558" s="216">
        <f t="shared" si="107"/>
        <v>45</v>
      </c>
      <c r="Y558">
        <f t="shared" si="102"/>
        <v>0</v>
      </c>
    </row>
    <row r="559" spans="1:25" ht="13.5" thickBot="1" x14ac:dyDescent="0.25">
      <c r="A559" s="204">
        <f>IF(MOD(COUNT($A$10:A558),12)=0,A558+1,A558)</f>
        <v>46</v>
      </c>
      <c r="B559" s="218">
        <f t="shared" si="103"/>
        <v>10</v>
      </c>
      <c r="C559" s="218">
        <f t="shared" si="98"/>
        <v>1</v>
      </c>
      <c r="D559" s="208">
        <f>IF(MOD(COUNT($D$10:D558),6)=0,D558+1,D558)</f>
        <v>92</v>
      </c>
      <c r="E559" s="208">
        <f>IF(MOD(COUNT($E$10:E558),3)=0,E558+1,E558)</f>
        <v>184</v>
      </c>
      <c r="F559" s="208">
        <f>IF(MOD(COUNT($F$10:F558),1)=0,F558+1,F558)</f>
        <v>550</v>
      </c>
      <c r="G559" s="204">
        <f>IFERROR(IF(C559=1,VLOOKUP(A559,Output!$A$27:$AB$137,28,FALSE)/AnnuityMode,0),0)</f>
        <v>0</v>
      </c>
      <c r="H559" s="220">
        <f>IFERROR(IF(AND(MIN(A559&gt;25,Age+A559&gt;=85),B559=12),VLOOKUP(A559,Output!$A$27:$AE$137,31,FALSE),0),0)</f>
        <v>0</v>
      </c>
      <c r="I559" s="221">
        <f>IFERROR(IF(AND(MIN(A559&gt;15,A559+Age&gt;=70),C559=1),VLOOKUP(A559,Output!$A$27:$AF$137,32,FALSE)*VLOOKUP('SV calc_ignore'!A559,Output!$A$27:$AG$137,33,FALSE)/IF(AnnuityMode=2,2,IF(AnnuityMode=4,4,IF(AnnuityMode=12,12,1))),0),0)</f>
        <v>0</v>
      </c>
      <c r="J559" s="227">
        <f t="shared" si="99"/>
        <v>0</v>
      </c>
      <c r="K559" s="213">
        <f t="shared" si="104"/>
        <v>0</v>
      </c>
      <c r="L559" s="209">
        <f t="shared" si="100"/>
        <v>0</v>
      </c>
      <c r="M559" s="214">
        <f t="shared" si="97"/>
        <v>0</v>
      </c>
      <c r="N559" s="211">
        <f t="shared" si="105"/>
        <v>0</v>
      </c>
      <c r="O559" s="194">
        <f t="shared" si="106"/>
        <v>0</v>
      </c>
      <c r="P559" s="212">
        <f t="shared" si="101"/>
        <v>0</v>
      </c>
      <c r="Q559">
        <f t="shared" si="108"/>
        <v>0</v>
      </c>
      <c r="X559" s="216">
        <f t="shared" si="107"/>
        <v>45</v>
      </c>
      <c r="Y559">
        <f t="shared" si="102"/>
        <v>0</v>
      </c>
    </row>
    <row r="560" spans="1:25" ht="13.5" thickBot="1" x14ac:dyDescent="0.25">
      <c r="A560" s="204">
        <f>IF(MOD(COUNT($A$10:A559),12)=0,A559+1,A559)</f>
        <v>46</v>
      </c>
      <c r="B560" s="218">
        <f t="shared" si="103"/>
        <v>11</v>
      </c>
      <c r="C560" s="218">
        <f t="shared" si="98"/>
        <v>1</v>
      </c>
      <c r="D560" s="208">
        <f>IF(MOD(COUNT($D$10:D559),6)=0,D559+1,D559)</f>
        <v>92</v>
      </c>
      <c r="E560" s="208">
        <f>IF(MOD(COUNT($E$10:E559),3)=0,E559+1,E559)</f>
        <v>184</v>
      </c>
      <c r="F560" s="208">
        <f>IF(MOD(COUNT($F$10:F559),1)=0,F559+1,F559)</f>
        <v>551</v>
      </c>
      <c r="G560" s="204">
        <f>IFERROR(IF(C560=1,VLOOKUP(A560,Output!$A$27:$AB$137,28,FALSE)/AnnuityMode,0),0)</f>
        <v>0</v>
      </c>
      <c r="H560" s="220">
        <f>IFERROR(IF(AND(MIN(A560&gt;25,Age+A560&gt;=85),B560=12),VLOOKUP(A560,Output!$A$27:$AE$137,31,FALSE),0),0)</f>
        <v>0</v>
      </c>
      <c r="I560" s="221">
        <f>IFERROR(IF(AND(MIN(A560&gt;15,A560+Age&gt;=70),C560=1),VLOOKUP(A560,Output!$A$27:$AF$137,32,FALSE)*VLOOKUP('SV calc_ignore'!A560,Output!$A$27:$AG$137,33,FALSE)/IF(AnnuityMode=2,2,IF(AnnuityMode=4,4,IF(AnnuityMode=12,12,1))),0),0)</f>
        <v>0</v>
      </c>
      <c r="J560" s="227">
        <f t="shared" si="99"/>
        <v>0</v>
      </c>
      <c r="K560" s="213">
        <f t="shared" si="104"/>
        <v>0</v>
      </c>
      <c r="L560" s="209">
        <f t="shared" si="100"/>
        <v>0</v>
      </c>
      <c r="M560" s="214">
        <f t="shared" si="97"/>
        <v>0</v>
      </c>
      <c r="N560" s="211">
        <f t="shared" si="105"/>
        <v>0</v>
      </c>
      <c r="O560" s="194">
        <f t="shared" si="106"/>
        <v>0</v>
      </c>
      <c r="P560" s="212">
        <f t="shared" si="101"/>
        <v>0</v>
      </c>
      <c r="Q560">
        <f t="shared" si="108"/>
        <v>0</v>
      </c>
      <c r="X560" s="216">
        <f t="shared" si="107"/>
        <v>45</v>
      </c>
      <c r="Y560">
        <f t="shared" si="102"/>
        <v>0</v>
      </c>
    </row>
    <row r="561" spans="1:25" ht="13.5" thickBot="1" x14ac:dyDescent="0.25">
      <c r="A561" s="204">
        <f>IF(MOD(COUNT($A$10:A560),12)=0,A560+1,A560)</f>
        <v>46</v>
      </c>
      <c r="B561" s="218">
        <f t="shared" si="103"/>
        <v>12</v>
      </c>
      <c r="C561" s="218">
        <f t="shared" si="98"/>
        <v>1</v>
      </c>
      <c r="D561" s="208">
        <f>IF(MOD(COUNT($D$10:D560),6)=0,D560+1,D560)</f>
        <v>92</v>
      </c>
      <c r="E561" s="208">
        <f>IF(MOD(COUNT($E$10:E560),3)=0,E560+1,E560)</f>
        <v>184</v>
      </c>
      <c r="F561" s="208">
        <f>IF(MOD(COUNT($F$10:F560),1)=0,F560+1,F560)</f>
        <v>552</v>
      </c>
      <c r="G561" s="204">
        <f>IFERROR(IF(C561=1,VLOOKUP(A561,Output!$A$27:$AB$137,28,FALSE)/AnnuityMode,0),0)</f>
        <v>0</v>
      </c>
      <c r="H561" s="220">
        <f>IFERROR(IF(AND(MIN(A561&gt;25,Age+A561&gt;=85),B561=12),VLOOKUP(A561,Output!$A$27:$AE$137,31,FALSE),0),0)</f>
        <v>0</v>
      </c>
      <c r="I561" s="221">
        <f>IFERROR(IF(AND(MIN(A561&gt;15,A561+Age&gt;=70),C561=1),VLOOKUP(A561,Output!$A$27:$AF$137,32,FALSE)*VLOOKUP('SV calc_ignore'!A561,Output!$A$27:$AG$137,33,FALSE)/IF(AnnuityMode=2,2,IF(AnnuityMode=4,4,IF(AnnuityMode=12,12,1))),0),0)</f>
        <v>0</v>
      </c>
      <c r="J561" s="227">
        <f t="shared" si="99"/>
        <v>0</v>
      </c>
      <c r="K561" s="213">
        <f t="shared" si="104"/>
        <v>0</v>
      </c>
      <c r="L561" s="209">
        <f t="shared" si="100"/>
        <v>0</v>
      </c>
      <c r="M561" s="214">
        <f t="shared" si="97"/>
        <v>0</v>
      </c>
      <c r="N561" s="211">
        <f t="shared" si="105"/>
        <v>0</v>
      </c>
      <c r="O561" s="194">
        <f t="shared" si="106"/>
        <v>0</v>
      </c>
      <c r="P561" s="212">
        <f t="shared" si="101"/>
        <v>0</v>
      </c>
      <c r="Q561">
        <f t="shared" si="108"/>
        <v>0</v>
      </c>
      <c r="X561" s="216">
        <f t="shared" si="107"/>
        <v>45</v>
      </c>
      <c r="Y561">
        <f t="shared" si="102"/>
        <v>0</v>
      </c>
    </row>
    <row r="562" spans="1:25" ht="13.5" thickBot="1" x14ac:dyDescent="0.25">
      <c r="A562" s="204">
        <f>IF(MOD(COUNT($A$10:A561),12)=0,A561+1,A561)</f>
        <v>47</v>
      </c>
      <c r="B562" s="218">
        <f t="shared" si="103"/>
        <v>1</v>
      </c>
      <c r="C562" s="218">
        <f t="shared" si="98"/>
        <v>1</v>
      </c>
      <c r="D562" s="208">
        <f>IF(MOD(COUNT($D$10:D561),6)=0,D561+1,D561)</f>
        <v>93</v>
      </c>
      <c r="E562" s="208">
        <f>IF(MOD(COUNT($E$10:E561),3)=0,E561+1,E561)</f>
        <v>185</v>
      </c>
      <c r="F562" s="208">
        <f>IF(MOD(COUNT($F$10:F561),1)=0,F561+1,F561)</f>
        <v>553</v>
      </c>
      <c r="G562" s="204">
        <f>IFERROR(IF(C562=1,VLOOKUP(A562,Output!$A$27:$AB$137,28,FALSE)/AnnuityMode,0),0)</f>
        <v>0</v>
      </c>
      <c r="H562" s="220">
        <f>IFERROR(IF(AND(MIN(A562&gt;25,Age+A562&gt;=85),B562=12),VLOOKUP(A562,Output!$A$27:$AE$137,31,FALSE),0),0)</f>
        <v>0</v>
      </c>
      <c r="I562" s="221">
        <f>IFERROR(IF(AND(MIN(A562&gt;15,A562+Age&gt;=70),C562=1),VLOOKUP(A562,Output!$A$27:$AF$137,32,FALSE)*VLOOKUP('SV calc_ignore'!A562,Output!$A$27:$AG$137,33,FALSE)/IF(AnnuityMode=2,2,IF(AnnuityMode=4,4,IF(AnnuityMode=12,12,1))),0),0)</f>
        <v>0</v>
      </c>
      <c r="J562" s="227">
        <f t="shared" si="99"/>
        <v>0</v>
      </c>
      <c r="K562" s="213">
        <f t="shared" si="104"/>
        <v>0</v>
      </c>
      <c r="L562" s="209">
        <f t="shared" si="100"/>
        <v>0</v>
      </c>
      <c r="M562" s="214">
        <f t="shared" si="97"/>
        <v>0</v>
      </c>
      <c r="N562" s="211">
        <f t="shared" si="105"/>
        <v>0</v>
      </c>
      <c r="O562" s="194">
        <f t="shared" si="106"/>
        <v>0</v>
      </c>
      <c r="P562" s="212">
        <f t="shared" si="101"/>
        <v>0</v>
      </c>
      <c r="Q562">
        <f t="shared" si="108"/>
        <v>0</v>
      </c>
      <c r="X562" s="216">
        <f t="shared" si="107"/>
        <v>46</v>
      </c>
      <c r="Y562">
        <f t="shared" si="102"/>
        <v>0</v>
      </c>
    </row>
    <row r="563" spans="1:25" ht="13.5" thickBot="1" x14ac:dyDescent="0.25">
      <c r="A563" s="204">
        <f>IF(MOD(COUNT($A$10:A562),12)=0,A562+1,A562)</f>
        <v>47</v>
      </c>
      <c r="B563" s="218">
        <f t="shared" si="103"/>
        <v>2</v>
      </c>
      <c r="C563" s="218">
        <f t="shared" si="98"/>
        <v>1</v>
      </c>
      <c r="D563" s="208">
        <f>IF(MOD(COUNT($D$10:D562),6)=0,D562+1,D562)</f>
        <v>93</v>
      </c>
      <c r="E563" s="208">
        <f>IF(MOD(COUNT($E$10:E562),3)=0,E562+1,E562)</f>
        <v>185</v>
      </c>
      <c r="F563" s="208">
        <f>IF(MOD(COUNT($F$10:F562),1)=0,F562+1,F562)</f>
        <v>554</v>
      </c>
      <c r="G563" s="204">
        <f>IFERROR(IF(C563=1,VLOOKUP(A563,Output!$A$27:$AB$137,28,FALSE)/AnnuityMode,0),0)</f>
        <v>0</v>
      </c>
      <c r="H563" s="220">
        <f>IFERROR(IF(AND(MIN(A563&gt;25,Age+A563&gt;=85),B563=12),VLOOKUP(A563,Output!$A$27:$AE$137,31,FALSE),0),0)</f>
        <v>0</v>
      </c>
      <c r="I563" s="221">
        <f>IFERROR(IF(AND(MIN(A563&gt;15,A563+Age&gt;=70),C563=1),VLOOKUP(A563,Output!$A$27:$AF$137,32,FALSE)*VLOOKUP('SV calc_ignore'!A563,Output!$A$27:$AG$137,33,FALSE)/IF(AnnuityMode=2,2,IF(AnnuityMode=4,4,IF(AnnuityMode=12,12,1))),0),0)</f>
        <v>0</v>
      </c>
      <c r="J563" s="227">
        <f t="shared" si="99"/>
        <v>0</v>
      </c>
      <c r="K563" s="213">
        <f t="shared" si="104"/>
        <v>0</v>
      </c>
      <c r="L563" s="209">
        <f t="shared" si="100"/>
        <v>0</v>
      </c>
      <c r="M563" s="214">
        <f t="shared" si="97"/>
        <v>0</v>
      </c>
      <c r="N563" s="211">
        <f t="shared" si="105"/>
        <v>0</v>
      </c>
      <c r="O563" s="194">
        <f t="shared" si="106"/>
        <v>0</v>
      </c>
      <c r="P563" s="212">
        <f t="shared" si="101"/>
        <v>0</v>
      </c>
      <c r="Q563">
        <f t="shared" si="108"/>
        <v>0</v>
      </c>
      <c r="X563" s="216">
        <f t="shared" si="107"/>
        <v>46</v>
      </c>
      <c r="Y563">
        <f t="shared" si="102"/>
        <v>0</v>
      </c>
    </row>
    <row r="564" spans="1:25" ht="13.5" thickBot="1" x14ac:dyDescent="0.25">
      <c r="A564" s="204">
        <f>IF(MOD(COUNT($A$10:A563),12)=0,A563+1,A563)</f>
        <v>47</v>
      </c>
      <c r="B564" s="218">
        <f t="shared" si="103"/>
        <v>3</v>
      </c>
      <c r="C564" s="218">
        <f t="shared" si="98"/>
        <v>1</v>
      </c>
      <c r="D564" s="208">
        <f>IF(MOD(COUNT($D$10:D563),6)=0,D563+1,D563)</f>
        <v>93</v>
      </c>
      <c r="E564" s="208">
        <f>IF(MOD(COUNT($E$10:E563),3)=0,E563+1,E563)</f>
        <v>185</v>
      </c>
      <c r="F564" s="208">
        <f>IF(MOD(COUNT($F$10:F563),1)=0,F563+1,F563)</f>
        <v>555</v>
      </c>
      <c r="G564" s="204">
        <f>IFERROR(IF(C564=1,VLOOKUP(A564,Output!$A$27:$AB$137,28,FALSE)/AnnuityMode,0),0)</f>
        <v>0</v>
      </c>
      <c r="H564" s="220">
        <f>IFERROR(IF(AND(MIN(A564&gt;25,Age+A564&gt;=85),B564=12),VLOOKUP(A564,Output!$A$27:$AE$137,31,FALSE),0),0)</f>
        <v>0</v>
      </c>
      <c r="I564" s="221">
        <f>IFERROR(IF(AND(MIN(A564&gt;15,A564+Age&gt;=70),C564=1),VLOOKUP(A564,Output!$A$27:$AF$137,32,FALSE)*VLOOKUP('SV calc_ignore'!A564,Output!$A$27:$AG$137,33,FALSE)/IF(AnnuityMode=2,2,IF(AnnuityMode=4,4,IF(AnnuityMode=12,12,1))),0),0)</f>
        <v>0</v>
      </c>
      <c r="J564" s="227">
        <f t="shared" si="99"/>
        <v>0</v>
      </c>
      <c r="K564" s="213">
        <f t="shared" si="104"/>
        <v>0</v>
      </c>
      <c r="L564" s="209">
        <f t="shared" si="100"/>
        <v>0</v>
      </c>
      <c r="M564" s="214">
        <f t="shared" si="97"/>
        <v>0</v>
      </c>
      <c r="N564" s="211">
        <f t="shared" si="105"/>
        <v>0</v>
      </c>
      <c r="O564" s="194">
        <f t="shared" si="106"/>
        <v>0</v>
      </c>
      <c r="P564" s="212">
        <f t="shared" si="101"/>
        <v>0</v>
      </c>
      <c r="Q564">
        <f t="shared" si="108"/>
        <v>0</v>
      </c>
      <c r="X564" s="216">
        <f t="shared" si="107"/>
        <v>46</v>
      </c>
      <c r="Y564">
        <f t="shared" si="102"/>
        <v>0</v>
      </c>
    </row>
    <row r="565" spans="1:25" ht="13.5" thickBot="1" x14ac:dyDescent="0.25">
      <c r="A565" s="204">
        <f>IF(MOD(COUNT($A$10:A564),12)=0,A564+1,A564)</f>
        <v>47</v>
      </c>
      <c r="B565" s="218">
        <f t="shared" si="103"/>
        <v>4</v>
      </c>
      <c r="C565" s="218">
        <f t="shared" si="98"/>
        <v>1</v>
      </c>
      <c r="D565" s="208">
        <f>IF(MOD(COUNT($D$10:D564),6)=0,D564+1,D564)</f>
        <v>93</v>
      </c>
      <c r="E565" s="208">
        <f>IF(MOD(COUNT($E$10:E564),3)=0,E564+1,E564)</f>
        <v>186</v>
      </c>
      <c r="F565" s="208">
        <f>IF(MOD(COUNT($F$10:F564),1)=0,F564+1,F564)</f>
        <v>556</v>
      </c>
      <c r="G565" s="204">
        <f>IFERROR(IF(C565=1,VLOOKUP(A565,Output!$A$27:$AB$137,28,FALSE)/AnnuityMode,0),0)</f>
        <v>0</v>
      </c>
      <c r="H565" s="220">
        <f>IFERROR(IF(AND(MIN(A565&gt;25,Age+A565&gt;=85),B565=12),VLOOKUP(A565,Output!$A$27:$AE$137,31,FALSE),0),0)</f>
        <v>0</v>
      </c>
      <c r="I565" s="221">
        <f>IFERROR(IF(AND(MIN(A565&gt;15,A565+Age&gt;=70),C565=1),VLOOKUP(A565,Output!$A$27:$AF$137,32,FALSE)*VLOOKUP('SV calc_ignore'!A565,Output!$A$27:$AG$137,33,FALSE)/IF(AnnuityMode=2,2,IF(AnnuityMode=4,4,IF(AnnuityMode=12,12,1))),0),0)</f>
        <v>0</v>
      </c>
      <c r="J565" s="227">
        <f t="shared" si="99"/>
        <v>0</v>
      </c>
      <c r="K565" s="213">
        <f t="shared" si="104"/>
        <v>0</v>
      </c>
      <c r="L565" s="209">
        <f t="shared" si="100"/>
        <v>0</v>
      </c>
      <c r="M565" s="214">
        <f t="shared" si="97"/>
        <v>0</v>
      </c>
      <c r="N565" s="211">
        <f t="shared" si="105"/>
        <v>0</v>
      </c>
      <c r="O565" s="194">
        <f t="shared" si="106"/>
        <v>0</v>
      </c>
      <c r="P565" s="212">
        <f t="shared" si="101"/>
        <v>0</v>
      </c>
      <c r="Q565">
        <f t="shared" si="108"/>
        <v>0</v>
      </c>
      <c r="X565" s="216">
        <f t="shared" si="107"/>
        <v>46</v>
      </c>
      <c r="Y565">
        <f t="shared" si="102"/>
        <v>0</v>
      </c>
    </row>
    <row r="566" spans="1:25" ht="13.5" thickBot="1" x14ac:dyDescent="0.25">
      <c r="A566" s="204">
        <f>IF(MOD(COUNT($A$10:A565),12)=0,A565+1,A565)</f>
        <v>47</v>
      </c>
      <c r="B566" s="218">
        <f t="shared" si="103"/>
        <v>5</v>
      </c>
      <c r="C566" s="218">
        <f t="shared" si="98"/>
        <v>1</v>
      </c>
      <c r="D566" s="208">
        <f>IF(MOD(COUNT($D$10:D565),6)=0,D565+1,D565)</f>
        <v>93</v>
      </c>
      <c r="E566" s="208">
        <f>IF(MOD(COUNT($E$10:E565),3)=0,E565+1,E565)</f>
        <v>186</v>
      </c>
      <c r="F566" s="208">
        <f>IF(MOD(COUNT($F$10:F565),1)=0,F565+1,F565)</f>
        <v>557</v>
      </c>
      <c r="G566" s="204">
        <f>IFERROR(IF(C566=1,VLOOKUP(A566,Output!$A$27:$AB$137,28,FALSE)/AnnuityMode,0),0)</f>
        <v>0</v>
      </c>
      <c r="H566" s="220">
        <f>IFERROR(IF(AND(MIN(A566&gt;25,Age+A566&gt;=85),B566=12),VLOOKUP(A566,Output!$A$27:$AE$137,31,FALSE),0),0)</f>
        <v>0</v>
      </c>
      <c r="I566" s="221">
        <f>IFERROR(IF(AND(MIN(A566&gt;15,A566+Age&gt;=70),C566=1),VLOOKUP(A566,Output!$A$27:$AF$137,32,FALSE)*VLOOKUP('SV calc_ignore'!A566,Output!$A$27:$AG$137,33,FALSE)/IF(AnnuityMode=2,2,IF(AnnuityMode=4,4,IF(AnnuityMode=12,12,1))),0),0)</f>
        <v>0</v>
      </c>
      <c r="J566" s="227">
        <f t="shared" si="99"/>
        <v>0</v>
      </c>
      <c r="K566" s="213">
        <f t="shared" si="104"/>
        <v>0</v>
      </c>
      <c r="L566" s="209">
        <f t="shared" si="100"/>
        <v>0</v>
      </c>
      <c r="M566" s="214">
        <f t="shared" si="97"/>
        <v>0</v>
      </c>
      <c r="N566" s="211">
        <f t="shared" si="105"/>
        <v>0</v>
      </c>
      <c r="O566" s="194">
        <f t="shared" si="106"/>
        <v>0</v>
      </c>
      <c r="P566" s="212">
        <f t="shared" si="101"/>
        <v>0</v>
      </c>
      <c r="Q566">
        <f t="shared" si="108"/>
        <v>0</v>
      </c>
      <c r="X566" s="216">
        <f t="shared" si="107"/>
        <v>46</v>
      </c>
      <c r="Y566">
        <f t="shared" si="102"/>
        <v>0</v>
      </c>
    </row>
    <row r="567" spans="1:25" ht="13.5" thickBot="1" x14ac:dyDescent="0.25">
      <c r="A567" s="204">
        <f>IF(MOD(COUNT($A$10:A566),12)=0,A566+1,A566)</f>
        <v>47</v>
      </c>
      <c r="B567" s="218">
        <f t="shared" si="103"/>
        <v>6</v>
      </c>
      <c r="C567" s="218">
        <f t="shared" si="98"/>
        <v>1</v>
      </c>
      <c r="D567" s="208">
        <f>IF(MOD(COUNT($D$10:D566),6)=0,D566+1,D566)</f>
        <v>93</v>
      </c>
      <c r="E567" s="208">
        <f>IF(MOD(COUNT($E$10:E566),3)=0,E566+1,E566)</f>
        <v>186</v>
      </c>
      <c r="F567" s="208">
        <f>IF(MOD(COUNT($F$10:F566),1)=0,F566+1,F566)</f>
        <v>558</v>
      </c>
      <c r="G567" s="204">
        <f>IFERROR(IF(C567=1,VLOOKUP(A567,Output!$A$27:$AB$137,28,FALSE)/AnnuityMode,0),0)</f>
        <v>0</v>
      </c>
      <c r="H567" s="220">
        <f>IFERROR(IF(AND(MIN(A567&gt;25,Age+A567&gt;=85),B567=12),VLOOKUP(A567,Output!$A$27:$AE$137,31,FALSE),0),0)</f>
        <v>0</v>
      </c>
      <c r="I567" s="221">
        <f>IFERROR(IF(AND(MIN(A567&gt;15,A567+Age&gt;=70),C567=1),VLOOKUP(A567,Output!$A$27:$AF$137,32,FALSE)*VLOOKUP('SV calc_ignore'!A567,Output!$A$27:$AG$137,33,FALSE)/IF(AnnuityMode=2,2,IF(AnnuityMode=4,4,IF(AnnuityMode=12,12,1))),0),0)</f>
        <v>0</v>
      </c>
      <c r="J567" s="227">
        <f t="shared" si="99"/>
        <v>0</v>
      </c>
      <c r="K567" s="213">
        <f t="shared" si="104"/>
        <v>0</v>
      </c>
      <c r="L567" s="209">
        <f t="shared" si="100"/>
        <v>0</v>
      </c>
      <c r="M567" s="214">
        <f t="shared" si="97"/>
        <v>0</v>
      </c>
      <c r="N567" s="211">
        <f t="shared" si="105"/>
        <v>0</v>
      </c>
      <c r="O567" s="194">
        <f t="shared" si="106"/>
        <v>0</v>
      </c>
      <c r="P567" s="212">
        <f t="shared" si="101"/>
        <v>0</v>
      </c>
      <c r="Q567">
        <f t="shared" si="108"/>
        <v>0</v>
      </c>
      <c r="X567" s="216">
        <f t="shared" si="107"/>
        <v>46</v>
      </c>
      <c r="Y567">
        <f t="shared" si="102"/>
        <v>0</v>
      </c>
    </row>
    <row r="568" spans="1:25" ht="13.5" thickBot="1" x14ac:dyDescent="0.25">
      <c r="A568" s="204">
        <f>IF(MOD(COUNT($A$10:A567),12)=0,A567+1,A567)</f>
        <v>47</v>
      </c>
      <c r="B568" s="218">
        <f t="shared" si="103"/>
        <v>7</v>
      </c>
      <c r="C568" s="218">
        <f t="shared" si="98"/>
        <v>1</v>
      </c>
      <c r="D568" s="208">
        <f>IF(MOD(COUNT($D$10:D567),6)=0,D567+1,D567)</f>
        <v>94</v>
      </c>
      <c r="E568" s="208">
        <f>IF(MOD(COUNT($E$10:E567),3)=0,E567+1,E567)</f>
        <v>187</v>
      </c>
      <c r="F568" s="208">
        <f>IF(MOD(COUNT($F$10:F567),1)=0,F567+1,F567)</f>
        <v>559</v>
      </c>
      <c r="G568" s="204">
        <f>IFERROR(IF(C568=1,VLOOKUP(A568,Output!$A$27:$AB$137,28,FALSE)/AnnuityMode,0),0)</f>
        <v>0</v>
      </c>
      <c r="H568" s="220">
        <f>IFERROR(IF(AND(MIN(A568&gt;25,Age+A568&gt;=85),B568=12),VLOOKUP(A568,Output!$A$27:$AE$137,31,FALSE),0),0)</f>
        <v>0</v>
      </c>
      <c r="I568" s="221">
        <f>IFERROR(IF(AND(MIN(A568&gt;15,A568+Age&gt;=70),C568=1),VLOOKUP(A568,Output!$A$27:$AF$137,32,FALSE)*VLOOKUP('SV calc_ignore'!A568,Output!$A$27:$AG$137,33,FALSE)/IF(AnnuityMode=2,2,IF(AnnuityMode=4,4,IF(AnnuityMode=12,12,1))),0),0)</f>
        <v>0</v>
      </c>
      <c r="J568" s="227">
        <f t="shared" si="99"/>
        <v>0</v>
      </c>
      <c r="K568" s="213">
        <f t="shared" si="104"/>
        <v>0</v>
      </c>
      <c r="L568" s="209">
        <f t="shared" si="100"/>
        <v>0</v>
      </c>
      <c r="M568" s="214">
        <f t="shared" si="97"/>
        <v>0</v>
      </c>
      <c r="N568" s="211">
        <f t="shared" si="105"/>
        <v>0</v>
      </c>
      <c r="O568" s="194">
        <f t="shared" si="106"/>
        <v>0</v>
      </c>
      <c r="P568" s="212">
        <f t="shared" si="101"/>
        <v>0</v>
      </c>
      <c r="Q568">
        <f t="shared" si="108"/>
        <v>0</v>
      </c>
      <c r="X568" s="216">
        <f t="shared" si="107"/>
        <v>46</v>
      </c>
      <c r="Y568">
        <f t="shared" si="102"/>
        <v>0</v>
      </c>
    </row>
    <row r="569" spans="1:25" ht="13.5" thickBot="1" x14ac:dyDescent="0.25">
      <c r="A569" s="204">
        <f>IF(MOD(COUNT($A$10:A568),12)=0,A568+1,A568)</f>
        <v>47</v>
      </c>
      <c r="B569" s="218">
        <f t="shared" si="103"/>
        <v>8</v>
      </c>
      <c r="C569" s="218">
        <f t="shared" si="98"/>
        <v>1</v>
      </c>
      <c r="D569" s="208">
        <f>IF(MOD(COUNT($D$10:D568),6)=0,D568+1,D568)</f>
        <v>94</v>
      </c>
      <c r="E569" s="208">
        <f>IF(MOD(COUNT($E$10:E568),3)=0,E568+1,E568)</f>
        <v>187</v>
      </c>
      <c r="F569" s="208">
        <f>IF(MOD(COUNT($F$10:F568),1)=0,F568+1,F568)</f>
        <v>560</v>
      </c>
      <c r="G569" s="204">
        <f>IFERROR(IF(C569=1,VLOOKUP(A569,Output!$A$27:$AB$137,28,FALSE)/AnnuityMode,0),0)</f>
        <v>0</v>
      </c>
      <c r="H569" s="220">
        <f>IFERROR(IF(AND(MIN(A569&gt;25,Age+A569&gt;=85),B569=12),VLOOKUP(A569,Output!$A$27:$AE$137,31,FALSE),0),0)</f>
        <v>0</v>
      </c>
      <c r="I569" s="221">
        <f>IFERROR(IF(AND(MIN(A569&gt;15,A569+Age&gt;=70),C569=1),VLOOKUP(A569,Output!$A$27:$AF$137,32,FALSE)*VLOOKUP('SV calc_ignore'!A569,Output!$A$27:$AG$137,33,FALSE)/IF(AnnuityMode=2,2,IF(AnnuityMode=4,4,IF(AnnuityMode=12,12,1))),0),0)</f>
        <v>0</v>
      </c>
      <c r="J569" s="227">
        <f t="shared" si="99"/>
        <v>0</v>
      </c>
      <c r="K569" s="213">
        <f t="shared" si="104"/>
        <v>0</v>
      </c>
      <c r="L569" s="209">
        <f t="shared" si="100"/>
        <v>0</v>
      </c>
      <c r="M569" s="214">
        <f t="shared" si="97"/>
        <v>0</v>
      </c>
      <c r="N569" s="211">
        <f t="shared" si="105"/>
        <v>0</v>
      </c>
      <c r="O569" s="194">
        <f t="shared" si="106"/>
        <v>0</v>
      </c>
      <c r="P569" s="212">
        <f t="shared" si="101"/>
        <v>0</v>
      </c>
      <c r="Q569">
        <f t="shared" si="108"/>
        <v>0</v>
      </c>
      <c r="X569" s="216">
        <f t="shared" si="107"/>
        <v>46</v>
      </c>
      <c r="Y569">
        <f t="shared" si="102"/>
        <v>0</v>
      </c>
    </row>
    <row r="570" spans="1:25" ht="13.5" thickBot="1" x14ac:dyDescent="0.25">
      <c r="A570" s="204">
        <f>IF(MOD(COUNT($A$10:A569),12)=0,A569+1,A569)</f>
        <v>47</v>
      </c>
      <c r="B570" s="218">
        <f t="shared" si="103"/>
        <v>9</v>
      </c>
      <c r="C570" s="218">
        <f t="shared" si="98"/>
        <v>1</v>
      </c>
      <c r="D570" s="208">
        <f>IF(MOD(COUNT($D$10:D569),6)=0,D569+1,D569)</f>
        <v>94</v>
      </c>
      <c r="E570" s="208">
        <f>IF(MOD(COUNT($E$10:E569),3)=0,E569+1,E569)</f>
        <v>187</v>
      </c>
      <c r="F570" s="208">
        <f>IF(MOD(COUNT($F$10:F569),1)=0,F569+1,F569)</f>
        <v>561</v>
      </c>
      <c r="G570" s="204">
        <f>IFERROR(IF(C570=1,VLOOKUP(A570,Output!$A$27:$AB$137,28,FALSE)/AnnuityMode,0),0)</f>
        <v>0</v>
      </c>
      <c r="H570" s="220">
        <f>IFERROR(IF(AND(MIN(A570&gt;25,Age+A570&gt;=85),B570=12),VLOOKUP(A570,Output!$A$27:$AE$137,31,FALSE),0),0)</f>
        <v>0</v>
      </c>
      <c r="I570" s="221">
        <f>IFERROR(IF(AND(MIN(A570&gt;15,A570+Age&gt;=70),C570=1),VLOOKUP(A570,Output!$A$27:$AF$137,32,FALSE)*VLOOKUP('SV calc_ignore'!A570,Output!$A$27:$AG$137,33,FALSE)/IF(AnnuityMode=2,2,IF(AnnuityMode=4,4,IF(AnnuityMode=12,12,1))),0),0)</f>
        <v>0</v>
      </c>
      <c r="J570" s="227">
        <f t="shared" si="99"/>
        <v>0</v>
      </c>
      <c r="K570" s="213">
        <f t="shared" si="104"/>
        <v>0</v>
      </c>
      <c r="L570" s="209">
        <f t="shared" si="100"/>
        <v>0</v>
      </c>
      <c r="M570" s="214">
        <f t="shared" si="97"/>
        <v>0</v>
      </c>
      <c r="N570" s="211">
        <f t="shared" si="105"/>
        <v>0</v>
      </c>
      <c r="O570" s="194">
        <f t="shared" si="106"/>
        <v>0</v>
      </c>
      <c r="P570" s="212">
        <f t="shared" si="101"/>
        <v>0</v>
      </c>
      <c r="Q570">
        <f t="shared" si="108"/>
        <v>0</v>
      </c>
      <c r="X570" s="216">
        <f t="shared" si="107"/>
        <v>46</v>
      </c>
      <c r="Y570">
        <f t="shared" si="102"/>
        <v>0</v>
      </c>
    </row>
    <row r="571" spans="1:25" ht="13.5" thickBot="1" x14ac:dyDescent="0.25">
      <c r="A571" s="204">
        <f>IF(MOD(COUNT($A$10:A570),12)=0,A570+1,A570)</f>
        <v>47</v>
      </c>
      <c r="B571" s="218">
        <f t="shared" si="103"/>
        <v>10</v>
      </c>
      <c r="C571" s="218">
        <f t="shared" si="98"/>
        <v>1</v>
      </c>
      <c r="D571" s="208">
        <f>IF(MOD(COUNT($D$10:D570),6)=0,D570+1,D570)</f>
        <v>94</v>
      </c>
      <c r="E571" s="208">
        <f>IF(MOD(COUNT($E$10:E570),3)=0,E570+1,E570)</f>
        <v>188</v>
      </c>
      <c r="F571" s="208">
        <f>IF(MOD(COUNT($F$10:F570),1)=0,F570+1,F570)</f>
        <v>562</v>
      </c>
      <c r="G571" s="204">
        <f>IFERROR(IF(C571=1,VLOOKUP(A571,Output!$A$27:$AB$137,28,FALSE)/AnnuityMode,0),0)</f>
        <v>0</v>
      </c>
      <c r="H571" s="220">
        <f>IFERROR(IF(AND(MIN(A571&gt;25,Age+A571&gt;=85),B571=12),VLOOKUP(A571,Output!$A$27:$AE$137,31,FALSE),0),0)</f>
        <v>0</v>
      </c>
      <c r="I571" s="221">
        <f>IFERROR(IF(AND(MIN(A571&gt;15,A571+Age&gt;=70),C571=1),VLOOKUP(A571,Output!$A$27:$AF$137,32,FALSE)*VLOOKUP('SV calc_ignore'!A571,Output!$A$27:$AG$137,33,FALSE)/IF(AnnuityMode=2,2,IF(AnnuityMode=4,4,IF(AnnuityMode=12,12,1))),0),0)</f>
        <v>0</v>
      </c>
      <c r="J571" s="227">
        <f t="shared" si="99"/>
        <v>0</v>
      </c>
      <c r="K571" s="213">
        <f t="shared" si="104"/>
        <v>0</v>
      </c>
      <c r="L571" s="209">
        <f t="shared" si="100"/>
        <v>0</v>
      </c>
      <c r="M571" s="214">
        <f t="shared" si="97"/>
        <v>0</v>
      </c>
      <c r="N571" s="211">
        <f t="shared" si="105"/>
        <v>0</v>
      </c>
      <c r="O571" s="194">
        <f t="shared" si="106"/>
        <v>0</v>
      </c>
      <c r="P571" s="212">
        <f t="shared" si="101"/>
        <v>0</v>
      </c>
      <c r="Q571">
        <f t="shared" si="108"/>
        <v>0</v>
      </c>
      <c r="X571" s="216">
        <f t="shared" si="107"/>
        <v>46</v>
      </c>
      <c r="Y571">
        <f t="shared" si="102"/>
        <v>0</v>
      </c>
    </row>
    <row r="572" spans="1:25" ht="13.5" thickBot="1" x14ac:dyDescent="0.25">
      <c r="A572" s="204">
        <f>IF(MOD(COUNT($A$10:A571),12)=0,A571+1,A571)</f>
        <v>47</v>
      </c>
      <c r="B572" s="218">
        <f t="shared" si="103"/>
        <v>11</v>
      </c>
      <c r="C572" s="218">
        <f t="shared" si="98"/>
        <v>1</v>
      </c>
      <c r="D572" s="208">
        <f>IF(MOD(COUNT($D$10:D571),6)=0,D571+1,D571)</f>
        <v>94</v>
      </c>
      <c r="E572" s="208">
        <f>IF(MOD(COUNT($E$10:E571),3)=0,E571+1,E571)</f>
        <v>188</v>
      </c>
      <c r="F572" s="208">
        <f>IF(MOD(COUNT($F$10:F571),1)=0,F571+1,F571)</f>
        <v>563</v>
      </c>
      <c r="G572" s="204">
        <f>IFERROR(IF(C572=1,VLOOKUP(A572,Output!$A$27:$AB$137,28,FALSE)/AnnuityMode,0),0)</f>
        <v>0</v>
      </c>
      <c r="H572" s="220">
        <f>IFERROR(IF(AND(MIN(A572&gt;25,Age+A572&gt;=85),B572=12),VLOOKUP(A572,Output!$A$27:$AE$137,31,FALSE),0),0)</f>
        <v>0</v>
      </c>
      <c r="I572" s="221">
        <f>IFERROR(IF(AND(MIN(A572&gt;15,A572+Age&gt;=70),C572=1),VLOOKUP(A572,Output!$A$27:$AF$137,32,FALSE)*VLOOKUP('SV calc_ignore'!A572,Output!$A$27:$AG$137,33,FALSE)/IF(AnnuityMode=2,2,IF(AnnuityMode=4,4,IF(AnnuityMode=12,12,1))),0),0)</f>
        <v>0</v>
      </c>
      <c r="J572" s="227">
        <f t="shared" si="99"/>
        <v>0</v>
      </c>
      <c r="K572" s="213">
        <f t="shared" si="104"/>
        <v>0</v>
      </c>
      <c r="L572" s="209">
        <f t="shared" si="100"/>
        <v>0</v>
      </c>
      <c r="M572" s="214">
        <f t="shared" si="97"/>
        <v>0</v>
      </c>
      <c r="N572" s="211">
        <f t="shared" si="105"/>
        <v>0</v>
      </c>
      <c r="O572" s="194">
        <f t="shared" si="106"/>
        <v>0</v>
      </c>
      <c r="P572" s="212">
        <f t="shared" si="101"/>
        <v>0</v>
      </c>
      <c r="Q572">
        <f t="shared" si="108"/>
        <v>0</v>
      </c>
      <c r="X572" s="216">
        <f t="shared" si="107"/>
        <v>46</v>
      </c>
      <c r="Y572">
        <f t="shared" si="102"/>
        <v>0</v>
      </c>
    </row>
    <row r="573" spans="1:25" ht="13.5" thickBot="1" x14ac:dyDescent="0.25">
      <c r="A573" s="204">
        <f>IF(MOD(COUNT($A$10:A572),12)=0,A572+1,A572)</f>
        <v>47</v>
      </c>
      <c r="B573" s="218">
        <f t="shared" si="103"/>
        <v>12</v>
      </c>
      <c r="C573" s="218">
        <f t="shared" si="98"/>
        <v>1</v>
      </c>
      <c r="D573" s="208">
        <f>IF(MOD(COUNT($D$10:D572),6)=0,D572+1,D572)</f>
        <v>94</v>
      </c>
      <c r="E573" s="208">
        <f>IF(MOD(COUNT($E$10:E572),3)=0,E572+1,E572)</f>
        <v>188</v>
      </c>
      <c r="F573" s="208">
        <f>IF(MOD(COUNT($F$10:F572),1)=0,F572+1,F572)</f>
        <v>564</v>
      </c>
      <c r="G573" s="204">
        <f>IFERROR(IF(C573=1,VLOOKUP(A573,Output!$A$27:$AB$137,28,FALSE)/AnnuityMode,0),0)</f>
        <v>0</v>
      </c>
      <c r="H573" s="220">
        <f>IFERROR(IF(AND(MIN(A573&gt;25,Age+A573&gt;=85),B573=12),VLOOKUP(A573,Output!$A$27:$AE$137,31,FALSE),0),0)</f>
        <v>0</v>
      </c>
      <c r="I573" s="221">
        <f>IFERROR(IF(AND(MIN(A573&gt;15,A573+Age&gt;=70),C573=1),VLOOKUP(A573,Output!$A$27:$AF$137,32,FALSE)*VLOOKUP('SV calc_ignore'!A573,Output!$A$27:$AG$137,33,FALSE)/IF(AnnuityMode=2,2,IF(AnnuityMode=4,4,IF(AnnuityMode=12,12,1))),0),0)</f>
        <v>0</v>
      </c>
      <c r="J573" s="227">
        <f t="shared" si="99"/>
        <v>0</v>
      </c>
      <c r="K573" s="213">
        <f t="shared" si="104"/>
        <v>0</v>
      </c>
      <c r="L573" s="209">
        <f t="shared" si="100"/>
        <v>0</v>
      </c>
      <c r="M573" s="214">
        <f t="shared" si="97"/>
        <v>0</v>
      </c>
      <c r="N573" s="211">
        <f t="shared" si="105"/>
        <v>0</v>
      </c>
      <c r="O573" s="194">
        <f t="shared" si="106"/>
        <v>0</v>
      </c>
      <c r="P573" s="212">
        <f t="shared" si="101"/>
        <v>0</v>
      </c>
      <c r="Q573">
        <f t="shared" si="108"/>
        <v>0</v>
      </c>
      <c r="X573" s="216">
        <f t="shared" si="107"/>
        <v>46</v>
      </c>
      <c r="Y573">
        <f t="shared" si="102"/>
        <v>0</v>
      </c>
    </row>
    <row r="574" spans="1:25" ht="13.5" thickBot="1" x14ac:dyDescent="0.25">
      <c r="A574" s="204">
        <f>IF(MOD(COUNT($A$10:A573),12)=0,A573+1,A573)</f>
        <v>48</v>
      </c>
      <c r="B574" s="218">
        <f t="shared" si="103"/>
        <v>1</v>
      </c>
      <c r="C574" s="218">
        <f t="shared" si="98"/>
        <v>1</v>
      </c>
      <c r="D574" s="208">
        <f>IF(MOD(COUNT($D$10:D573),6)=0,D573+1,D573)</f>
        <v>95</v>
      </c>
      <c r="E574" s="208">
        <f>IF(MOD(COUNT($E$10:E573),3)=0,E573+1,E573)</f>
        <v>189</v>
      </c>
      <c r="F574" s="208">
        <f>IF(MOD(COUNT($F$10:F573),1)=0,F573+1,F573)</f>
        <v>565</v>
      </c>
      <c r="G574" s="204">
        <f>IFERROR(IF(C574=1,VLOOKUP(A574,Output!$A$27:$AB$137,28,FALSE)/AnnuityMode,0),0)</f>
        <v>0</v>
      </c>
      <c r="H574" s="220">
        <f>IFERROR(IF(AND(MIN(A574&gt;25,Age+A574&gt;=85),B574=12),VLOOKUP(A574,Output!$A$27:$AE$137,31,FALSE),0),0)</f>
        <v>0</v>
      </c>
      <c r="I574" s="221">
        <f>IFERROR(IF(AND(MIN(A574&gt;15,A574+Age&gt;=70),C574=1),VLOOKUP(A574,Output!$A$27:$AF$137,32,FALSE)*VLOOKUP('SV calc_ignore'!A574,Output!$A$27:$AG$137,33,FALSE)/IF(AnnuityMode=2,2,IF(AnnuityMode=4,4,IF(AnnuityMode=12,12,1))),0),0)</f>
        <v>0</v>
      </c>
      <c r="J574" s="227">
        <f t="shared" si="99"/>
        <v>0</v>
      </c>
      <c r="K574" s="213">
        <f t="shared" si="104"/>
        <v>0</v>
      </c>
      <c r="L574" s="209">
        <f t="shared" si="100"/>
        <v>0</v>
      </c>
      <c r="M574" s="214">
        <f t="shared" ref="M574:M637" si="109">L573*(1+$K$3)</f>
        <v>0</v>
      </c>
      <c r="N574" s="211">
        <f t="shared" si="105"/>
        <v>0</v>
      </c>
      <c r="O574" s="194">
        <f t="shared" si="106"/>
        <v>0</v>
      </c>
      <c r="P574" s="212">
        <f t="shared" si="101"/>
        <v>0</v>
      </c>
      <c r="Q574">
        <f t="shared" si="108"/>
        <v>0</v>
      </c>
      <c r="X574" s="216">
        <f t="shared" si="107"/>
        <v>47</v>
      </c>
      <c r="Y574">
        <f t="shared" si="102"/>
        <v>0</v>
      </c>
    </row>
    <row r="575" spans="1:25" ht="13.5" thickBot="1" x14ac:dyDescent="0.25">
      <c r="A575" s="204">
        <f>IF(MOD(COUNT($A$10:A574),12)=0,A574+1,A574)</f>
        <v>48</v>
      </c>
      <c r="B575" s="218">
        <f t="shared" si="103"/>
        <v>2</v>
      </c>
      <c r="C575" s="218">
        <f t="shared" si="98"/>
        <v>1</v>
      </c>
      <c r="D575" s="208">
        <f>IF(MOD(COUNT($D$10:D574),6)=0,D574+1,D574)</f>
        <v>95</v>
      </c>
      <c r="E575" s="208">
        <f>IF(MOD(COUNT($E$10:E574),3)=0,E574+1,E574)</f>
        <v>189</v>
      </c>
      <c r="F575" s="208">
        <f>IF(MOD(COUNT($F$10:F574),1)=0,F574+1,F574)</f>
        <v>566</v>
      </c>
      <c r="G575" s="204">
        <f>IFERROR(IF(C575=1,VLOOKUP(A575,Output!$A$27:$AB$137,28,FALSE)/AnnuityMode,0),0)</f>
        <v>0</v>
      </c>
      <c r="H575" s="220">
        <f>IFERROR(IF(AND(MIN(A575&gt;25,Age+A575&gt;=85),B575=12),VLOOKUP(A575,Output!$A$27:$AE$137,31,FALSE),0),0)</f>
        <v>0</v>
      </c>
      <c r="I575" s="221">
        <f>IFERROR(IF(AND(MIN(A575&gt;15,A575+Age&gt;=70),C575=1),VLOOKUP(A575,Output!$A$27:$AF$137,32,FALSE)*VLOOKUP('SV calc_ignore'!A575,Output!$A$27:$AG$137,33,FALSE)/IF(AnnuityMode=2,2,IF(AnnuityMode=4,4,IF(AnnuityMode=12,12,1))),0),0)</f>
        <v>0</v>
      </c>
      <c r="J575" s="227">
        <f t="shared" si="99"/>
        <v>0</v>
      </c>
      <c r="K575" s="213">
        <f t="shared" si="104"/>
        <v>0</v>
      </c>
      <c r="L575" s="209">
        <f t="shared" si="100"/>
        <v>0</v>
      </c>
      <c r="M575" s="214">
        <f t="shared" si="109"/>
        <v>0</v>
      </c>
      <c r="N575" s="211">
        <f t="shared" si="105"/>
        <v>0</v>
      </c>
      <c r="O575" s="194">
        <f t="shared" si="106"/>
        <v>0</v>
      </c>
      <c r="P575" s="212">
        <f t="shared" si="101"/>
        <v>0</v>
      </c>
      <c r="Q575">
        <f t="shared" si="108"/>
        <v>0</v>
      </c>
      <c r="X575" s="216">
        <f t="shared" si="107"/>
        <v>47</v>
      </c>
      <c r="Y575">
        <f t="shared" si="102"/>
        <v>0</v>
      </c>
    </row>
    <row r="576" spans="1:25" ht="13.5" thickBot="1" x14ac:dyDescent="0.25">
      <c r="A576" s="204">
        <f>IF(MOD(COUNT($A$10:A575),12)=0,A575+1,A575)</f>
        <v>48</v>
      </c>
      <c r="B576" s="218">
        <f t="shared" si="103"/>
        <v>3</v>
      </c>
      <c r="C576" s="218">
        <f t="shared" si="98"/>
        <v>1</v>
      </c>
      <c r="D576" s="208">
        <f>IF(MOD(COUNT($D$10:D575),6)=0,D575+1,D575)</f>
        <v>95</v>
      </c>
      <c r="E576" s="208">
        <f>IF(MOD(COUNT($E$10:E575),3)=0,E575+1,E575)</f>
        <v>189</v>
      </c>
      <c r="F576" s="208">
        <f>IF(MOD(COUNT($F$10:F575),1)=0,F575+1,F575)</f>
        <v>567</v>
      </c>
      <c r="G576" s="204">
        <f>IFERROR(IF(C576=1,VLOOKUP(A576,Output!$A$27:$AB$137,28,FALSE)/AnnuityMode,0),0)</f>
        <v>0</v>
      </c>
      <c r="H576" s="220">
        <f>IFERROR(IF(AND(MIN(A576&gt;25,Age+A576&gt;=85),B576=12),VLOOKUP(A576,Output!$A$27:$AE$137,31,FALSE),0),0)</f>
        <v>0</v>
      </c>
      <c r="I576" s="221">
        <f>IFERROR(IF(AND(MIN(A576&gt;15,A576+Age&gt;=70),C576=1),VLOOKUP(A576,Output!$A$27:$AF$137,32,FALSE)*VLOOKUP('SV calc_ignore'!A576,Output!$A$27:$AG$137,33,FALSE)/IF(AnnuityMode=2,2,IF(AnnuityMode=4,4,IF(AnnuityMode=12,12,1))),0),0)</f>
        <v>0</v>
      </c>
      <c r="J576" s="227">
        <f t="shared" si="99"/>
        <v>0</v>
      </c>
      <c r="K576" s="213">
        <f t="shared" si="104"/>
        <v>0</v>
      </c>
      <c r="L576" s="209">
        <f t="shared" si="100"/>
        <v>0</v>
      </c>
      <c r="M576" s="214">
        <f t="shared" si="109"/>
        <v>0</v>
      </c>
      <c r="N576" s="211">
        <f t="shared" si="105"/>
        <v>0</v>
      </c>
      <c r="O576" s="194">
        <f t="shared" si="106"/>
        <v>0</v>
      </c>
      <c r="P576" s="212">
        <f t="shared" si="101"/>
        <v>0</v>
      </c>
      <c r="Q576">
        <f t="shared" si="108"/>
        <v>0</v>
      </c>
      <c r="X576" s="216">
        <f t="shared" si="107"/>
        <v>47</v>
      </c>
      <c r="Y576">
        <f t="shared" si="102"/>
        <v>0</v>
      </c>
    </row>
    <row r="577" spans="1:25" ht="13.5" thickBot="1" x14ac:dyDescent="0.25">
      <c r="A577" s="204">
        <f>IF(MOD(COUNT($A$10:A576),12)=0,A576+1,A576)</f>
        <v>48</v>
      </c>
      <c r="B577" s="218">
        <f t="shared" si="103"/>
        <v>4</v>
      </c>
      <c r="C577" s="218">
        <f t="shared" si="98"/>
        <v>1</v>
      </c>
      <c r="D577" s="208">
        <f>IF(MOD(COUNT($D$10:D576),6)=0,D576+1,D576)</f>
        <v>95</v>
      </c>
      <c r="E577" s="208">
        <f>IF(MOD(COUNT($E$10:E576),3)=0,E576+1,E576)</f>
        <v>190</v>
      </c>
      <c r="F577" s="208">
        <f>IF(MOD(COUNT($F$10:F576),1)=0,F576+1,F576)</f>
        <v>568</v>
      </c>
      <c r="G577" s="204">
        <f>IFERROR(IF(C577=1,VLOOKUP(A577,Output!$A$27:$AB$137,28,FALSE)/AnnuityMode,0),0)</f>
        <v>0</v>
      </c>
      <c r="H577" s="220">
        <f>IFERROR(IF(AND(MIN(A577&gt;25,Age+A577&gt;=85),B577=12),VLOOKUP(A577,Output!$A$27:$AE$137,31,FALSE),0),0)</f>
        <v>0</v>
      </c>
      <c r="I577" s="221">
        <f>IFERROR(IF(AND(MIN(A577&gt;15,A577+Age&gt;=70),C577=1),VLOOKUP(A577,Output!$A$27:$AF$137,32,FALSE)*VLOOKUP('SV calc_ignore'!A577,Output!$A$27:$AG$137,33,FALSE)/IF(AnnuityMode=2,2,IF(AnnuityMode=4,4,IF(AnnuityMode=12,12,1))),0),0)</f>
        <v>0</v>
      </c>
      <c r="J577" s="227">
        <f t="shared" si="99"/>
        <v>0</v>
      </c>
      <c r="K577" s="213">
        <f t="shared" si="104"/>
        <v>0</v>
      </c>
      <c r="L577" s="209">
        <f t="shared" si="100"/>
        <v>0</v>
      </c>
      <c r="M577" s="214">
        <f t="shared" si="109"/>
        <v>0</v>
      </c>
      <c r="N577" s="211">
        <f t="shared" si="105"/>
        <v>0</v>
      </c>
      <c r="O577" s="194">
        <f t="shared" si="106"/>
        <v>0</v>
      </c>
      <c r="P577" s="212">
        <f t="shared" si="101"/>
        <v>0</v>
      </c>
      <c r="Q577">
        <f t="shared" si="108"/>
        <v>0</v>
      </c>
      <c r="X577" s="216">
        <f t="shared" si="107"/>
        <v>47</v>
      </c>
      <c r="Y577">
        <f t="shared" si="102"/>
        <v>0</v>
      </c>
    </row>
    <row r="578" spans="1:25" ht="13.5" thickBot="1" x14ac:dyDescent="0.25">
      <c r="A578" s="204">
        <f>IF(MOD(COUNT($A$10:A577),12)=0,A577+1,A577)</f>
        <v>48</v>
      </c>
      <c r="B578" s="218">
        <f t="shared" si="103"/>
        <v>5</v>
      </c>
      <c r="C578" s="218">
        <f t="shared" si="98"/>
        <v>1</v>
      </c>
      <c r="D578" s="208">
        <f>IF(MOD(COUNT($D$10:D577),6)=0,D577+1,D577)</f>
        <v>95</v>
      </c>
      <c r="E578" s="208">
        <f>IF(MOD(COUNT($E$10:E577),3)=0,E577+1,E577)</f>
        <v>190</v>
      </c>
      <c r="F578" s="208">
        <f>IF(MOD(COUNT($F$10:F577),1)=0,F577+1,F577)</f>
        <v>569</v>
      </c>
      <c r="G578" s="204">
        <f>IFERROR(IF(C578=1,VLOOKUP(A578,Output!$A$27:$AB$137,28,FALSE)/AnnuityMode,0),0)</f>
        <v>0</v>
      </c>
      <c r="H578" s="220">
        <f>IFERROR(IF(AND(MIN(A578&gt;25,Age+A578&gt;=85),B578=12),VLOOKUP(A578,Output!$A$27:$AE$137,31,FALSE),0),0)</f>
        <v>0</v>
      </c>
      <c r="I578" s="221">
        <f>IFERROR(IF(AND(MIN(A578&gt;15,A578+Age&gt;=70),C578=1),VLOOKUP(A578,Output!$A$27:$AF$137,32,FALSE)*VLOOKUP('SV calc_ignore'!A578,Output!$A$27:$AG$137,33,FALSE)/IF(AnnuityMode=2,2,IF(AnnuityMode=4,4,IF(AnnuityMode=12,12,1))),0),0)</f>
        <v>0</v>
      </c>
      <c r="J578" s="227">
        <f t="shared" si="99"/>
        <v>0</v>
      </c>
      <c r="K578" s="213">
        <f t="shared" si="104"/>
        <v>0</v>
      </c>
      <c r="L578" s="209">
        <f t="shared" si="100"/>
        <v>0</v>
      </c>
      <c r="M578" s="214">
        <f t="shared" si="109"/>
        <v>0</v>
      </c>
      <c r="N578" s="211">
        <f t="shared" si="105"/>
        <v>0</v>
      </c>
      <c r="O578" s="194">
        <f t="shared" si="106"/>
        <v>0</v>
      </c>
      <c r="P578" s="212">
        <f t="shared" si="101"/>
        <v>0</v>
      </c>
      <c r="Q578">
        <f t="shared" si="108"/>
        <v>0</v>
      </c>
      <c r="X578" s="216">
        <f t="shared" si="107"/>
        <v>47</v>
      </c>
      <c r="Y578">
        <f t="shared" si="102"/>
        <v>0</v>
      </c>
    </row>
    <row r="579" spans="1:25" ht="13.5" thickBot="1" x14ac:dyDescent="0.25">
      <c r="A579" s="204">
        <f>IF(MOD(COUNT($A$10:A578),12)=0,A578+1,A578)</f>
        <v>48</v>
      </c>
      <c r="B579" s="218">
        <f t="shared" si="103"/>
        <v>6</v>
      </c>
      <c r="C579" s="218">
        <f t="shared" si="98"/>
        <v>1</v>
      </c>
      <c r="D579" s="208">
        <f>IF(MOD(COUNT($D$10:D578),6)=0,D578+1,D578)</f>
        <v>95</v>
      </c>
      <c r="E579" s="208">
        <f>IF(MOD(COUNT($E$10:E578),3)=0,E578+1,E578)</f>
        <v>190</v>
      </c>
      <c r="F579" s="208">
        <f>IF(MOD(COUNT($F$10:F578),1)=0,F578+1,F578)</f>
        <v>570</v>
      </c>
      <c r="G579" s="204">
        <f>IFERROR(IF(C579=1,VLOOKUP(A579,Output!$A$27:$AB$137,28,FALSE)/AnnuityMode,0),0)</f>
        <v>0</v>
      </c>
      <c r="H579" s="220">
        <f>IFERROR(IF(AND(MIN(A579&gt;25,Age+A579&gt;=85),B579=12),VLOOKUP(A579,Output!$A$27:$AE$137,31,FALSE),0),0)</f>
        <v>0</v>
      </c>
      <c r="I579" s="221">
        <f>IFERROR(IF(AND(MIN(A579&gt;15,A579+Age&gt;=70),C579=1),VLOOKUP(A579,Output!$A$27:$AF$137,32,FALSE)*VLOOKUP('SV calc_ignore'!A579,Output!$A$27:$AG$137,33,FALSE)/IF(AnnuityMode=2,2,IF(AnnuityMode=4,4,IF(AnnuityMode=12,12,1))),0),0)</f>
        <v>0</v>
      </c>
      <c r="J579" s="227">
        <f t="shared" si="99"/>
        <v>0</v>
      </c>
      <c r="K579" s="213">
        <f t="shared" si="104"/>
        <v>0</v>
      </c>
      <c r="L579" s="209">
        <f t="shared" si="100"/>
        <v>0</v>
      </c>
      <c r="M579" s="214">
        <f t="shared" si="109"/>
        <v>0</v>
      </c>
      <c r="N579" s="211">
        <f t="shared" si="105"/>
        <v>0</v>
      </c>
      <c r="O579" s="194">
        <f t="shared" si="106"/>
        <v>0</v>
      </c>
      <c r="P579" s="212">
        <f t="shared" si="101"/>
        <v>0</v>
      </c>
      <c r="Q579">
        <f t="shared" si="108"/>
        <v>0</v>
      </c>
      <c r="X579" s="216">
        <f t="shared" si="107"/>
        <v>47</v>
      </c>
      <c r="Y579">
        <f t="shared" si="102"/>
        <v>0</v>
      </c>
    </row>
    <row r="580" spans="1:25" ht="13.5" thickBot="1" x14ac:dyDescent="0.25">
      <c r="A580" s="204">
        <f>IF(MOD(COUNT($A$10:A579),12)=0,A579+1,A579)</f>
        <v>48</v>
      </c>
      <c r="B580" s="218">
        <f t="shared" si="103"/>
        <v>7</v>
      </c>
      <c r="C580" s="218">
        <f t="shared" si="98"/>
        <v>1</v>
      </c>
      <c r="D580" s="208">
        <f>IF(MOD(COUNT($D$10:D579),6)=0,D579+1,D579)</f>
        <v>96</v>
      </c>
      <c r="E580" s="208">
        <f>IF(MOD(COUNT($E$10:E579),3)=0,E579+1,E579)</f>
        <v>191</v>
      </c>
      <c r="F580" s="208">
        <f>IF(MOD(COUNT($F$10:F579),1)=0,F579+1,F579)</f>
        <v>571</v>
      </c>
      <c r="G580" s="204">
        <f>IFERROR(IF(C580=1,VLOOKUP(A580,Output!$A$27:$AB$137,28,FALSE)/AnnuityMode,0),0)</f>
        <v>0</v>
      </c>
      <c r="H580" s="220">
        <f>IFERROR(IF(AND(MIN(A580&gt;25,Age+A580&gt;=85),B580=12),VLOOKUP(A580,Output!$A$27:$AE$137,31,FALSE),0),0)</f>
        <v>0</v>
      </c>
      <c r="I580" s="221">
        <f>IFERROR(IF(AND(MIN(A580&gt;15,A580+Age&gt;=70),C580=1),VLOOKUP(A580,Output!$A$27:$AF$137,32,FALSE)*VLOOKUP('SV calc_ignore'!A580,Output!$A$27:$AG$137,33,FALSE)/IF(AnnuityMode=2,2,IF(AnnuityMode=4,4,IF(AnnuityMode=12,12,1))),0),0)</f>
        <v>0</v>
      </c>
      <c r="J580" s="227">
        <f t="shared" si="99"/>
        <v>0</v>
      </c>
      <c r="K580" s="213">
        <f t="shared" si="104"/>
        <v>0</v>
      </c>
      <c r="L580" s="209">
        <f t="shared" si="100"/>
        <v>0</v>
      </c>
      <c r="M580" s="214">
        <f t="shared" si="109"/>
        <v>0</v>
      </c>
      <c r="N580" s="211">
        <f t="shared" si="105"/>
        <v>0</v>
      </c>
      <c r="O580" s="194">
        <f t="shared" si="106"/>
        <v>0</v>
      </c>
      <c r="P580" s="212">
        <f t="shared" si="101"/>
        <v>0</v>
      </c>
      <c r="Q580">
        <f t="shared" si="108"/>
        <v>0</v>
      </c>
      <c r="X580" s="216">
        <f t="shared" si="107"/>
        <v>47</v>
      </c>
      <c r="Y580">
        <f t="shared" si="102"/>
        <v>0</v>
      </c>
    </row>
    <row r="581" spans="1:25" ht="13.5" thickBot="1" x14ac:dyDescent="0.25">
      <c r="A581" s="204">
        <f>IF(MOD(COUNT($A$10:A580),12)=0,A580+1,A580)</f>
        <v>48</v>
      </c>
      <c r="B581" s="218">
        <f t="shared" si="103"/>
        <v>8</v>
      </c>
      <c r="C581" s="218">
        <f t="shared" si="98"/>
        <v>1</v>
      </c>
      <c r="D581" s="208">
        <f>IF(MOD(COUNT($D$10:D580),6)=0,D580+1,D580)</f>
        <v>96</v>
      </c>
      <c r="E581" s="208">
        <f>IF(MOD(COUNT($E$10:E580),3)=0,E580+1,E580)</f>
        <v>191</v>
      </c>
      <c r="F581" s="208">
        <f>IF(MOD(COUNT($F$10:F580),1)=0,F580+1,F580)</f>
        <v>572</v>
      </c>
      <c r="G581" s="204">
        <f>IFERROR(IF(C581=1,VLOOKUP(A581,Output!$A$27:$AB$137,28,FALSE)/AnnuityMode,0),0)</f>
        <v>0</v>
      </c>
      <c r="H581" s="220">
        <f>IFERROR(IF(AND(MIN(A581&gt;25,Age+A581&gt;=85),B581=12),VLOOKUP(A581,Output!$A$27:$AE$137,31,FALSE),0),0)</f>
        <v>0</v>
      </c>
      <c r="I581" s="221">
        <f>IFERROR(IF(AND(MIN(A581&gt;15,A581+Age&gt;=70),C581=1),VLOOKUP(A581,Output!$A$27:$AF$137,32,FALSE)*VLOOKUP('SV calc_ignore'!A581,Output!$A$27:$AG$137,33,FALSE)/IF(AnnuityMode=2,2,IF(AnnuityMode=4,4,IF(AnnuityMode=12,12,1))),0),0)</f>
        <v>0</v>
      </c>
      <c r="J581" s="227">
        <f t="shared" si="99"/>
        <v>0</v>
      </c>
      <c r="K581" s="213">
        <f t="shared" si="104"/>
        <v>0</v>
      </c>
      <c r="L581" s="209">
        <f t="shared" si="100"/>
        <v>0</v>
      </c>
      <c r="M581" s="214">
        <f t="shared" si="109"/>
        <v>0</v>
      </c>
      <c r="N581" s="211">
        <f t="shared" si="105"/>
        <v>0</v>
      </c>
      <c r="O581" s="194">
        <f t="shared" si="106"/>
        <v>0</v>
      </c>
      <c r="P581" s="212">
        <f t="shared" si="101"/>
        <v>0</v>
      </c>
      <c r="Q581">
        <f t="shared" si="108"/>
        <v>0</v>
      </c>
      <c r="X581" s="216">
        <f t="shared" si="107"/>
        <v>47</v>
      </c>
      <c r="Y581">
        <f t="shared" si="102"/>
        <v>0</v>
      </c>
    </row>
    <row r="582" spans="1:25" ht="13.5" thickBot="1" x14ac:dyDescent="0.25">
      <c r="A582" s="204">
        <f>IF(MOD(COUNT($A$10:A581),12)=0,A581+1,A581)</f>
        <v>48</v>
      </c>
      <c r="B582" s="218">
        <f t="shared" si="103"/>
        <v>9</v>
      </c>
      <c r="C582" s="218">
        <f t="shared" si="98"/>
        <v>1</v>
      </c>
      <c r="D582" s="208">
        <f>IF(MOD(COUNT($D$10:D581),6)=0,D581+1,D581)</f>
        <v>96</v>
      </c>
      <c r="E582" s="208">
        <f>IF(MOD(COUNT($E$10:E581),3)=0,E581+1,E581)</f>
        <v>191</v>
      </c>
      <c r="F582" s="208">
        <f>IF(MOD(COUNT($F$10:F581),1)=0,F581+1,F581)</f>
        <v>573</v>
      </c>
      <c r="G582" s="204">
        <f>IFERROR(IF(C582=1,VLOOKUP(A582,Output!$A$27:$AB$137,28,FALSE)/AnnuityMode,0),0)</f>
        <v>0</v>
      </c>
      <c r="H582" s="220">
        <f>IFERROR(IF(AND(MIN(A582&gt;25,Age+A582&gt;=85),B582=12),VLOOKUP(A582,Output!$A$27:$AE$137,31,FALSE),0),0)</f>
        <v>0</v>
      </c>
      <c r="I582" s="221">
        <f>IFERROR(IF(AND(MIN(A582&gt;15,A582+Age&gt;=70),C582=1),VLOOKUP(A582,Output!$A$27:$AF$137,32,FALSE)*VLOOKUP('SV calc_ignore'!A582,Output!$A$27:$AG$137,33,FALSE)/IF(AnnuityMode=2,2,IF(AnnuityMode=4,4,IF(AnnuityMode=12,12,1))),0),0)</f>
        <v>0</v>
      </c>
      <c r="J582" s="227">
        <f t="shared" si="99"/>
        <v>0</v>
      </c>
      <c r="K582" s="213">
        <f t="shared" si="104"/>
        <v>0</v>
      </c>
      <c r="L582" s="209">
        <f t="shared" si="100"/>
        <v>0</v>
      </c>
      <c r="M582" s="214">
        <f t="shared" si="109"/>
        <v>0</v>
      </c>
      <c r="N582" s="211">
        <f t="shared" si="105"/>
        <v>0</v>
      </c>
      <c r="O582" s="194">
        <f t="shared" si="106"/>
        <v>0</v>
      </c>
      <c r="P582" s="212">
        <f t="shared" si="101"/>
        <v>0</v>
      </c>
      <c r="Q582">
        <f t="shared" si="108"/>
        <v>0</v>
      </c>
      <c r="X582" s="216">
        <f t="shared" si="107"/>
        <v>47</v>
      </c>
      <c r="Y582">
        <f t="shared" si="102"/>
        <v>0</v>
      </c>
    </row>
    <row r="583" spans="1:25" ht="13.5" thickBot="1" x14ac:dyDescent="0.25">
      <c r="A583" s="204">
        <f>IF(MOD(COUNT($A$10:A582),12)=0,A582+1,A582)</f>
        <v>48</v>
      </c>
      <c r="B583" s="218">
        <f t="shared" si="103"/>
        <v>10</v>
      </c>
      <c r="C583" s="218">
        <f t="shared" si="98"/>
        <v>1</v>
      </c>
      <c r="D583" s="208">
        <f>IF(MOD(COUNT($D$10:D582),6)=0,D582+1,D582)</f>
        <v>96</v>
      </c>
      <c r="E583" s="208">
        <f>IF(MOD(COUNT($E$10:E582),3)=0,E582+1,E582)</f>
        <v>192</v>
      </c>
      <c r="F583" s="208">
        <f>IF(MOD(COUNT($F$10:F582),1)=0,F582+1,F582)</f>
        <v>574</v>
      </c>
      <c r="G583" s="204">
        <f>IFERROR(IF(C583=1,VLOOKUP(A583,Output!$A$27:$AB$137,28,FALSE)/AnnuityMode,0),0)</f>
        <v>0</v>
      </c>
      <c r="H583" s="220">
        <f>IFERROR(IF(AND(MIN(A583&gt;25,Age+A583&gt;=85),B583=12),VLOOKUP(A583,Output!$A$27:$AE$137,31,FALSE),0),0)</f>
        <v>0</v>
      </c>
      <c r="I583" s="221">
        <f>IFERROR(IF(AND(MIN(A583&gt;15,A583+Age&gt;=70),C583=1),VLOOKUP(A583,Output!$A$27:$AF$137,32,FALSE)*VLOOKUP('SV calc_ignore'!A583,Output!$A$27:$AG$137,33,FALSE)/IF(AnnuityMode=2,2,IF(AnnuityMode=4,4,IF(AnnuityMode=12,12,1))),0),0)</f>
        <v>0</v>
      </c>
      <c r="J583" s="227">
        <f t="shared" si="99"/>
        <v>0</v>
      </c>
      <c r="K583" s="213">
        <f t="shared" si="104"/>
        <v>0</v>
      </c>
      <c r="L583" s="209">
        <f t="shared" si="100"/>
        <v>0</v>
      </c>
      <c r="M583" s="214">
        <f t="shared" si="109"/>
        <v>0</v>
      </c>
      <c r="N583" s="211">
        <f t="shared" si="105"/>
        <v>0</v>
      </c>
      <c r="O583" s="194">
        <f t="shared" si="106"/>
        <v>0</v>
      </c>
      <c r="P583" s="212">
        <f t="shared" si="101"/>
        <v>0</v>
      </c>
      <c r="Q583">
        <f t="shared" si="108"/>
        <v>0</v>
      </c>
      <c r="X583" s="216">
        <f t="shared" si="107"/>
        <v>47</v>
      </c>
      <c r="Y583">
        <f t="shared" si="102"/>
        <v>0</v>
      </c>
    </row>
    <row r="584" spans="1:25" ht="13.5" thickBot="1" x14ac:dyDescent="0.25">
      <c r="A584" s="204">
        <f>IF(MOD(COUNT($A$10:A583),12)=0,A583+1,A583)</f>
        <v>48</v>
      </c>
      <c r="B584" s="218">
        <f t="shared" si="103"/>
        <v>11</v>
      </c>
      <c r="C584" s="218">
        <f t="shared" si="98"/>
        <v>1</v>
      </c>
      <c r="D584" s="208">
        <f>IF(MOD(COUNT($D$10:D583),6)=0,D583+1,D583)</f>
        <v>96</v>
      </c>
      <c r="E584" s="208">
        <f>IF(MOD(COUNT($E$10:E583),3)=0,E583+1,E583)</f>
        <v>192</v>
      </c>
      <c r="F584" s="208">
        <f>IF(MOD(COUNT($F$10:F583),1)=0,F583+1,F583)</f>
        <v>575</v>
      </c>
      <c r="G584" s="204">
        <f>IFERROR(IF(C584=1,VLOOKUP(A584,Output!$A$27:$AB$137,28,FALSE)/AnnuityMode,0),0)</f>
        <v>0</v>
      </c>
      <c r="H584" s="220">
        <f>IFERROR(IF(AND(MIN(A584&gt;25,Age+A584&gt;=85),B584=12),VLOOKUP(A584,Output!$A$27:$AE$137,31,FALSE),0),0)</f>
        <v>0</v>
      </c>
      <c r="I584" s="221">
        <f>IFERROR(IF(AND(MIN(A584&gt;15,A584+Age&gt;=70),C584=1),VLOOKUP(A584,Output!$A$27:$AF$137,32,FALSE)*VLOOKUP('SV calc_ignore'!A584,Output!$A$27:$AG$137,33,FALSE)/IF(AnnuityMode=2,2,IF(AnnuityMode=4,4,IF(AnnuityMode=12,12,1))),0),0)</f>
        <v>0</v>
      </c>
      <c r="J584" s="227">
        <f t="shared" si="99"/>
        <v>0</v>
      </c>
      <c r="K584" s="213">
        <f t="shared" si="104"/>
        <v>0</v>
      </c>
      <c r="L584" s="209">
        <f t="shared" si="100"/>
        <v>0</v>
      </c>
      <c r="M584" s="214">
        <f t="shared" si="109"/>
        <v>0</v>
      </c>
      <c r="N584" s="211">
        <f t="shared" si="105"/>
        <v>0</v>
      </c>
      <c r="O584" s="194">
        <f t="shared" si="106"/>
        <v>0</v>
      </c>
      <c r="P584" s="212">
        <f t="shared" si="101"/>
        <v>0</v>
      </c>
      <c r="Q584">
        <f t="shared" si="108"/>
        <v>0</v>
      </c>
      <c r="X584" s="216">
        <f t="shared" si="107"/>
        <v>47</v>
      </c>
      <c r="Y584">
        <f t="shared" si="102"/>
        <v>0</v>
      </c>
    </row>
    <row r="585" spans="1:25" ht="13.5" thickBot="1" x14ac:dyDescent="0.25">
      <c r="A585" s="204">
        <f>IF(MOD(COUNT($A$10:A584),12)=0,A584+1,A584)</f>
        <v>48</v>
      </c>
      <c r="B585" s="218">
        <f t="shared" si="103"/>
        <v>12</v>
      </c>
      <c r="C585" s="218">
        <f t="shared" si="98"/>
        <v>1</v>
      </c>
      <c r="D585" s="208">
        <f>IF(MOD(COUNT($D$10:D584),6)=0,D584+1,D584)</f>
        <v>96</v>
      </c>
      <c r="E585" s="208">
        <f>IF(MOD(COUNT($E$10:E584),3)=0,E584+1,E584)</f>
        <v>192</v>
      </c>
      <c r="F585" s="208">
        <f>IF(MOD(COUNT($F$10:F584),1)=0,F584+1,F584)</f>
        <v>576</v>
      </c>
      <c r="G585" s="204">
        <f>IFERROR(IF(C585=1,VLOOKUP(A585,Output!$A$27:$AB$137,28,FALSE)/AnnuityMode,0),0)</f>
        <v>0</v>
      </c>
      <c r="H585" s="220">
        <f>IFERROR(IF(AND(MIN(A585&gt;25,Age+A585&gt;=85),B585=12),VLOOKUP(A585,Output!$A$27:$AE$137,31,FALSE),0),0)</f>
        <v>0</v>
      </c>
      <c r="I585" s="221">
        <f>IFERROR(IF(AND(MIN(A585&gt;15,A585+Age&gt;=70),C585=1),VLOOKUP(A585,Output!$A$27:$AF$137,32,FALSE)*VLOOKUP('SV calc_ignore'!A585,Output!$A$27:$AG$137,33,FALSE)/IF(AnnuityMode=2,2,IF(AnnuityMode=4,4,IF(AnnuityMode=12,12,1))),0),0)</f>
        <v>0</v>
      </c>
      <c r="J585" s="227">
        <f t="shared" si="99"/>
        <v>0</v>
      </c>
      <c r="K585" s="213">
        <f t="shared" si="104"/>
        <v>0</v>
      </c>
      <c r="L585" s="209">
        <f t="shared" si="100"/>
        <v>0</v>
      </c>
      <c r="M585" s="214">
        <f t="shared" si="109"/>
        <v>0</v>
      </c>
      <c r="N585" s="211">
        <f t="shared" si="105"/>
        <v>0</v>
      </c>
      <c r="O585" s="194">
        <f t="shared" si="106"/>
        <v>0</v>
      </c>
      <c r="P585" s="212">
        <f t="shared" si="101"/>
        <v>0</v>
      </c>
      <c r="Q585">
        <f t="shared" si="108"/>
        <v>0</v>
      </c>
      <c r="X585" s="216">
        <f t="shared" si="107"/>
        <v>47</v>
      </c>
      <c r="Y585">
        <f t="shared" si="102"/>
        <v>0</v>
      </c>
    </row>
    <row r="586" spans="1:25" ht="13.5" thickBot="1" x14ac:dyDescent="0.25">
      <c r="A586" s="204">
        <f>IF(MOD(COUNT($A$10:A585),12)=0,A585+1,A585)</f>
        <v>49</v>
      </c>
      <c r="B586" s="218">
        <f t="shared" si="103"/>
        <v>1</v>
      </c>
      <c r="C586" s="218">
        <f t="shared" ref="C586:C649" si="110">IF(AND(AnnuityMode=1,B586=12),1,IF(AND(OR(B586=6,B586=12),AnnuityMode=2),1,IF(AND(OR(B586=3,B586=6,B586=12,B586=9),AnnuityMode=4),1,IF(AND(OR(B586=1,B586=2,B586=3,B586=4,B586=5,B586=6,B586=7,B586=8,B586=9,B586=10,B586=11,B586=12),AnnuityMode=12),1,0))))</f>
        <v>1</v>
      </c>
      <c r="D586" s="208">
        <f>IF(MOD(COUNT($D$10:D585),6)=0,D585+1,D585)</f>
        <v>97</v>
      </c>
      <c r="E586" s="208">
        <f>IF(MOD(COUNT($E$10:E585),3)=0,E585+1,E585)</f>
        <v>193</v>
      </c>
      <c r="F586" s="208">
        <f>IF(MOD(COUNT($F$10:F585),1)=0,F585+1,F585)</f>
        <v>577</v>
      </c>
      <c r="G586" s="204">
        <f>IFERROR(IF(C586=1,VLOOKUP(A586,Output!$A$27:$AB$137,28,FALSE)/AnnuityMode,0),0)</f>
        <v>0</v>
      </c>
      <c r="H586" s="220">
        <f>IFERROR(IF(AND(MIN(A586&gt;25,Age+A586&gt;=85),B586=12),VLOOKUP(A586,Output!$A$27:$AE$137,31,FALSE),0),0)</f>
        <v>0</v>
      </c>
      <c r="I586" s="221">
        <f>IFERROR(IF(AND(MIN(A586&gt;15,A586+Age&gt;=70),C586=1),VLOOKUP(A586,Output!$A$27:$AF$137,32,FALSE)*VLOOKUP('SV calc_ignore'!A586,Output!$A$27:$AG$137,33,FALSE)/IF(AnnuityMode=2,2,IF(AnnuityMode=4,4,IF(AnnuityMode=12,12,1))),0),0)</f>
        <v>0</v>
      </c>
      <c r="J586" s="227">
        <f t="shared" ref="J586:J649" si="111">G586+(J587)*(1+$K$3)^(-1)</f>
        <v>0</v>
      </c>
      <c r="K586" s="213">
        <f t="shared" si="104"/>
        <v>0</v>
      </c>
      <c r="L586" s="209">
        <f t="shared" ref="L586:L649" si="112">(L587+G587)*$K$2</f>
        <v>0</v>
      </c>
      <c r="M586" s="214">
        <f t="shared" si="109"/>
        <v>0</v>
      </c>
      <c r="N586" s="211">
        <f t="shared" si="105"/>
        <v>0</v>
      </c>
      <c r="O586" s="194">
        <f t="shared" si="106"/>
        <v>0</v>
      </c>
      <c r="P586" s="212">
        <f t="shared" ref="P586:P649" si="113">(P587+H587)*(1+$K$3)^(-1)</f>
        <v>0</v>
      </c>
      <c r="Q586">
        <f t="shared" si="108"/>
        <v>0</v>
      </c>
      <c r="X586" s="216">
        <f t="shared" si="107"/>
        <v>48</v>
      </c>
      <c r="Y586">
        <f t="shared" ref="Y586:Y649" si="114">G586*(1-IF(AnnuityMode=1,$L$2,IF(AnnuityMode=2,$M$2,IF(AnnuityMode=4,$N$2,$K$2)))^(110*AnnuityMode-IF(AnnuityMode=1,X586,IF(AnnuityMode=2,D586,IF(AnnuityMode=4,E586,F586)))-0))/(IF(AnnuityMode=1,$L$3,IF(AnnuityMode=2,$M$3,IF(AnnuityMode=4,$N$3,$K$3))))</f>
        <v>0</v>
      </c>
    </row>
    <row r="587" spans="1:25" ht="13.5" thickBot="1" x14ac:dyDescent="0.25">
      <c r="A587" s="204">
        <f>IF(MOD(COUNT($A$10:A586),12)=0,A586+1,A586)</f>
        <v>49</v>
      </c>
      <c r="B587" s="218">
        <f t="shared" ref="B587:B650" si="115">IF(A586&lt;&gt;A587,1,B586+1)</f>
        <v>2</v>
      </c>
      <c r="C587" s="218">
        <f t="shared" si="110"/>
        <v>1</v>
      </c>
      <c r="D587" s="208">
        <f>IF(MOD(COUNT($D$10:D586),6)=0,D586+1,D586)</f>
        <v>97</v>
      </c>
      <c r="E587" s="208">
        <f>IF(MOD(COUNT($E$10:E586),3)=0,E586+1,E586)</f>
        <v>193</v>
      </c>
      <c r="F587" s="208">
        <f>IF(MOD(COUNT($F$10:F586),1)=0,F586+1,F586)</f>
        <v>578</v>
      </c>
      <c r="G587" s="204">
        <f>IFERROR(IF(C587=1,VLOOKUP(A587,Output!$A$27:$AB$137,28,FALSE)/AnnuityMode,0),0)</f>
        <v>0</v>
      </c>
      <c r="H587" s="220">
        <f>IFERROR(IF(AND(MIN(A587&gt;25,Age+A587&gt;=85),B587=12),VLOOKUP(A587,Output!$A$27:$AE$137,31,FALSE),0),0)</f>
        <v>0</v>
      </c>
      <c r="I587" s="221">
        <f>IFERROR(IF(AND(MIN(A587&gt;15,A587+Age&gt;=70),C587=1),VLOOKUP(A587,Output!$A$27:$AF$137,32,FALSE)*VLOOKUP('SV calc_ignore'!A587,Output!$A$27:$AG$137,33,FALSE)/IF(AnnuityMode=2,2,IF(AnnuityMode=4,4,IF(AnnuityMode=12,12,1))),0),0)</f>
        <v>0</v>
      </c>
      <c r="J587" s="227">
        <f t="shared" si="111"/>
        <v>0</v>
      </c>
      <c r="K587" s="213">
        <f t="shared" ref="K587:K650" si="116">IF(OR(K586&gt;$K$8,K586=0),0,K586+1)</f>
        <v>0</v>
      </c>
      <c r="L587" s="209">
        <f t="shared" si="112"/>
        <v>0</v>
      </c>
      <c r="M587" s="214">
        <f t="shared" si="109"/>
        <v>0</v>
      </c>
      <c r="N587" s="211">
        <f t="shared" ref="N587:N650" si="117">M587-L587-G587</f>
        <v>0</v>
      </c>
      <c r="O587" s="194">
        <f t="shared" ref="O587:O650" si="118">MAX($H$10:$H$897)/(1+$K$3)^($Q$5*12-F587)*(A587&lt;=$Q$5)</f>
        <v>0</v>
      </c>
      <c r="P587" s="212">
        <f t="shared" si="113"/>
        <v>0</v>
      </c>
      <c r="Q587">
        <f t="shared" si="108"/>
        <v>0</v>
      </c>
      <c r="X587" s="216">
        <f t="shared" ref="X587:X650" si="119">A587-1</f>
        <v>48</v>
      </c>
      <c r="Y587">
        <f t="shared" si="114"/>
        <v>0</v>
      </c>
    </row>
    <row r="588" spans="1:25" ht="13.5" thickBot="1" x14ac:dyDescent="0.25">
      <c r="A588" s="204">
        <f>IF(MOD(COUNT($A$10:A587),12)=0,A587+1,A587)</f>
        <v>49</v>
      </c>
      <c r="B588" s="218">
        <f t="shared" si="115"/>
        <v>3</v>
      </c>
      <c r="C588" s="218">
        <f t="shared" si="110"/>
        <v>1</v>
      </c>
      <c r="D588" s="208">
        <f>IF(MOD(COUNT($D$10:D587),6)=0,D587+1,D587)</f>
        <v>97</v>
      </c>
      <c r="E588" s="208">
        <f>IF(MOD(COUNT($E$10:E587),3)=0,E587+1,E587)</f>
        <v>193</v>
      </c>
      <c r="F588" s="208">
        <f>IF(MOD(COUNT($F$10:F587),1)=0,F587+1,F587)</f>
        <v>579</v>
      </c>
      <c r="G588" s="204">
        <f>IFERROR(IF(C588=1,VLOOKUP(A588,Output!$A$27:$AB$137,28,FALSE)/AnnuityMode,0),0)</f>
        <v>0</v>
      </c>
      <c r="H588" s="220">
        <f>IFERROR(IF(AND(MIN(A588&gt;25,Age+A588&gt;=85),B588=12),VLOOKUP(A588,Output!$A$27:$AE$137,31,FALSE),0),0)</f>
        <v>0</v>
      </c>
      <c r="I588" s="221">
        <f>IFERROR(IF(AND(MIN(A588&gt;15,A588+Age&gt;=70),C588=1),VLOOKUP(A588,Output!$A$27:$AF$137,32,FALSE)*VLOOKUP('SV calc_ignore'!A588,Output!$A$27:$AG$137,33,FALSE)/IF(AnnuityMode=2,2,IF(AnnuityMode=4,4,IF(AnnuityMode=12,12,1))),0),0)</f>
        <v>0</v>
      </c>
      <c r="J588" s="227">
        <f t="shared" si="111"/>
        <v>0</v>
      </c>
      <c r="K588" s="213">
        <f t="shared" si="116"/>
        <v>0</v>
      </c>
      <c r="L588" s="209">
        <f t="shared" si="112"/>
        <v>0</v>
      </c>
      <c r="M588" s="214">
        <f t="shared" si="109"/>
        <v>0</v>
      </c>
      <c r="N588" s="211">
        <f t="shared" si="117"/>
        <v>0</v>
      </c>
      <c r="O588" s="194">
        <f t="shared" si="118"/>
        <v>0</v>
      </c>
      <c r="P588" s="212">
        <f t="shared" si="113"/>
        <v>0</v>
      </c>
      <c r="Q588">
        <f t="shared" si="108"/>
        <v>0</v>
      </c>
      <c r="X588" s="216">
        <f t="shared" si="119"/>
        <v>48</v>
      </c>
      <c r="Y588">
        <f t="shared" si="114"/>
        <v>0</v>
      </c>
    </row>
    <row r="589" spans="1:25" ht="13.5" thickBot="1" x14ac:dyDescent="0.25">
      <c r="A589" s="204">
        <f>IF(MOD(COUNT($A$10:A588),12)=0,A588+1,A588)</f>
        <v>49</v>
      </c>
      <c r="B589" s="218">
        <f t="shared" si="115"/>
        <v>4</v>
      </c>
      <c r="C589" s="218">
        <f t="shared" si="110"/>
        <v>1</v>
      </c>
      <c r="D589" s="208">
        <f>IF(MOD(COUNT($D$10:D588),6)=0,D588+1,D588)</f>
        <v>97</v>
      </c>
      <c r="E589" s="208">
        <f>IF(MOD(COUNT($E$10:E588),3)=0,E588+1,E588)</f>
        <v>194</v>
      </c>
      <c r="F589" s="208">
        <f>IF(MOD(COUNT($F$10:F588),1)=0,F588+1,F588)</f>
        <v>580</v>
      </c>
      <c r="G589" s="204">
        <f>IFERROR(IF(C589=1,VLOOKUP(A589,Output!$A$27:$AB$137,28,FALSE)/AnnuityMode,0),0)</f>
        <v>0</v>
      </c>
      <c r="H589" s="220">
        <f>IFERROR(IF(AND(MIN(A589&gt;25,Age+A589&gt;=85),B589=12),VLOOKUP(A589,Output!$A$27:$AE$137,31,FALSE),0),0)</f>
        <v>0</v>
      </c>
      <c r="I589" s="221">
        <f>IFERROR(IF(AND(MIN(A589&gt;15,A589+Age&gt;=70),C589=1),VLOOKUP(A589,Output!$A$27:$AF$137,32,FALSE)*VLOOKUP('SV calc_ignore'!A589,Output!$A$27:$AG$137,33,FALSE)/IF(AnnuityMode=2,2,IF(AnnuityMode=4,4,IF(AnnuityMode=12,12,1))),0),0)</f>
        <v>0</v>
      </c>
      <c r="J589" s="227">
        <f t="shared" si="111"/>
        <v>0</v>
      </c>
      <c r="K589" s="213">
        <f t="shared" si="116"/>
        <v>0</v>
      </c>
      <c r="L589" s="209">
        <f t="shared" si="112"/>
        <v>0</v>
      </c>
      <c r="M589" s="214">
        <f t="shared" si="109"/>
        <v>0</v>
      </c>
      <c r="N589" s="211">
        <f t="shared" si="117"/>
        <v>0</v>
      </c>
      <c r="O589" s="194">
        <f t="shared" si="118"/>
        <v>0</v>
      </c>
      <c r="P589" s="212">
        <f t="shared" si="113"/>
        <v>0</v>
      </c>
      <c r="Q589">
        <f t="shared" si="108"/>
        <v>0</v>
      </c>
      <c r="X589" s="216">
        <f t="shared" si="119"/>
        <v>48</v>
      </c>
      <c r="Y589">
        <f t="shared" si="114"/>
        <v>0</v>
      </c>
    </row>
    <row r="590" spans="1:25" ht="13.5" thickBot="1" x14ac:dyDescent="0.25">
      <c r="A590" s="204">
        <f>IF(MOD(COUNT($A$10:A589),12)=0,A589+1,A589)</f>
        <v>49</v>
      </c>
      <c r="B590" s="218">
        <f t="shared" si="115"/>
        <v>5</v>
      </c>
      <c r="C590" s="218">
        <f t="shared" si="110"/>
        <v>1</v>
      </c>
      <c r="D590" s="208">
        <f>IF(MOD(COUNT($D$10:D589),6)=0,D589+1,D589)</f>
        <v>97</v>
      </c>
      <c r="E590" s="208">
        <f>IF(MOD(COUNT($E$10:E589),3)=0,E589+1,E589)</f>
        <v>194</v>
      </c>
      <c r="F590" s="208">
        <f>IF(MOD(COUNT($F$10:F589),1)=0,F589+1,F589)</f>
        <v>581</v>
      </c>
      <c r="G590" s="204">
        <f>IFERROR(IF(C590=1,VLOOKUP(A590,Output!$A$27:$AB$137,28,FALSE)/AnnuityMode,0),0)</f>
        <v>0</v>
      </c>
      <c r="H590" s="220">
        <f>IFERROR(IF(AND(MIN(A590&gt;25,Age+A590&gt;=85),B590=12),VLOOKUP(A590,Output!$A$27:$AE$137,31,FALSE),0),0)</f>
        <v>0</v>
      </c>
      <c r="I590" s="221">
        <f>IFERROR(IF(AND(MIN(A590&gt;15,A590+Age&gt;=70),C590=1),VLOOKUP(A590,Output!$A$27:$AF$137,32,FALSE)*VLOOKUP('SV calc_ignore'!A590,Output!$A$27:$AG$137,33,FALSE)/IF(AnnuityMode=2,2,IF(AnnuityMode=4,4,IF(AnnuityMode=12,12,1))),0),0)</f>
        <v>0</v>
      </c>
      <c r="J590" s="227">
        <f t="shared" si="111"/>
        <v>0</v>
      </c>
      <c r="K590" s="213">
        <f t="shared" si="116"/>
        <v>0</v>
      </c>
      <c r="L590" s="209">
        <f t="shared" si="112"/>
        <v>0</v>
      </c>
      <c r="M590" s="214">
        <f t="shared" si="109"/>
        <v>0</v>
      </c>
      <c r="N590" s="211">
        <f t="shared" si="117"/>
        <v>0</v>
      </c>
      <c r="O590" s="194">
        <f t="shared" si="118"/>
        <v>0</v>
      </c>
      <c r="P590" s="212">
        <f t="shared" si="113"/>
        <v>0</v>
      </c>
      <c r="Q590">
        <f t="shared" si="108"/>
        <v>0</v>
      </c>
      <c r="X590" s="216">
        <f t="shared" si="119"/>
        <v>48</v>
      </c>
      <c r="Y590">
        <f t="shared" si="114"/>
        <v>0</v>
      </c>
    </row>
    <row r="591" spans="1:25" ht="13.5" thickBot="1" x14ac:dyDescent="0.25">
      <c r="A591" s="204">
        <f>IF(MOD(COUNT($A$10:A590),12)=0,A590+1,A590)</f>
        <v>49</v>
      </c>
      <c r="B591" s="218">
        <f t="shared" si="115"/>
        <v>6</v>
      </c>
      <c r="C591" s="218">
        <f t="shared" si="110"/>
        <v>1</v>
      </c>
      <c r="D591" s="208">
        <f>IF(MOD(COUNT($D$10:D590),6)=0,D590+1,D590)</f>
        <v>97</v>
      </c>
      <c r="E591" s="208">
        <f>IF(MOD(COUNT($E$10:E590),3)=0,E590+1,E590)</f>
        <v>194</v>
      </c>
      <c r="F591" s="208">
        <f>IF(MOD(COUNT($F$10:F590),1)=0,F590+1,F590)</f>
        <v>582</v>
      </c>
      <c r="G591" s="204">
        <f>IFERROR(IF(C591=1,VLOOKUP(A591,Output!$A$27:$AB$137,28,FALSE)/AnnuityMode,0),0)</f>
        <v>0</v>
      </c>
      <c r="H591" s="220">
        <f>IFERROR(IF(AND(MIN(A591&gt;25,Age+A591&gt;=85),B591=12),VLOOKUP(A591,Output!$A$27:$AE$137,31,FALSE),0),0)</f>
        <v>0</v>
      </c>
      <c r="I591" s="221">
        <f>IFERROR(IF(AND(MIN(A591&gt;15,A591+Age&gt;=70),C591=1),VLOOKUP(A591,Output!$A$27:$AF$137,32,FALSE)*VLOOKUP('SV calc_ignore'!A591,Output!$A$27:$AG$137,33,FALSE)/IF(AnnuityMode=2,2,IF(AnnuityMode=4,4,IF(AnnuityMode=12,12,1))),0),0)</f>
        <v>0</v>
      </c>
      <c r="J591" s="227">
        <f t="shared" si="111"/>
        <v>0</v>
      </c>
      <c r="K591" s="213">
        <f t="shared" si="116"/>
        <v>0</v>
      </c>
      <c r="L591" s="209">
        <f t="shared" si="112"/>
        <v>0</v>
      </c>
      <c r="M591" s="214">
        <f t="shared" si="109"/>
        <v>0</v>
      </c>
      <c r="N591" s="211">
        <f t="shared" si="117"/>
        <v>0</v>
      </c>
      <c r="O591" s="194">
        <f t="shared" si="118"/>
        <v>0</v>
      </c>
      <c r="P591" s="212">
        <f t="shared" si="113"/>
        <v>0</v>
      </c>
      <c r="Q591">
        <f t="shared" si="108"/>
        <v>0</v>
      </c>
      <c r="X591" s="216">
        <f t="shared" si="119"/>
        <v>48</v>
      </c>
      <c r="Y591">
        <f t="shared" si="114"/>
        <v>0</v>
      </c>
    </row>
    <row r="592" spans="1:25" ht="13.5" thickBot="1" x14ac:dyDescent="0.25">
      <c r="A592" s="204">
        <f>IF(MOD(COUNT($A$10:A591),12)=0,A591+1,A591)</f>
        <v>49</v>
      </c>
      <c r="B592" s="218">
        <f t="shared" si="115"/>
        <v>7</v>
      </c>
      <c r="C592" s="218">
        <f t="shared" si="110"/>
        <v>1</v>
      </c>
      <c r="D592" s="208">
        <f>IF(MOD(COUNT($D$10:D591),6)=0,D591+1,D591)</f>
        <v>98</v>
      </c>
      <c r="E592" s="208">
        <f>IF(MOD(COUNT($E$10:E591),3)=0,E591+1,E591)</f>
        <v>195</v>
      </c>
      <c r="F592" s="208">
        <f>IF(MOD(COUNT($F$10:F591),1)=0,F591+1,F591)</f>
        <v>583</v>
      </c>
      <c r="G592" s="204">
        <f>IFERROR(IF(C592=1,VLOOKUP(A592,Output!$A$27:$AB$137,28,FALSE)/AnnuityMode,0),0)</f>
        <v>0</v>
      </c>
      <c r="H592" s="220">
        <f>IFERROR(IF(AND(MIN(A592&gt;25,Age+A592&gt;=85),B592=12),VLOOKUP(A592,Output!$A$27:$AE$137,31,FALSE),0),0)</f>
        <v>0</v>
      </c>
      <c r="I592" s="221">
        <f>IFERROR(IF(AND(MIN(A592&gt;15,A592+Age&gt;=70),C592=1),VLOOKUP(A592,Output!$A$27:$AF$137,32,FALSE)*VLOOKUP('SV calc_ignore'!A592,Output!$A$27:$AG$137,33,FALSE)/IF(AnnuityMode=2,2,IF(AnnuityMode=4,4,IF(AnnuityMode=12,12,1))),0),0)</f>
        <v>0</v>
      </c>
      <c r="J592" s="227">
        <f t="shared" si="111"/>
        <v>0</v>
      </c>
      <c r="K592" s="213">
        <f t="shared" si="116"/>
        <v>0</v>
      </c>
      <c r="L592" s="209">
        <f t="shared" si="112"/>
        <v>0</v>
      </c>
      <c r="M592" s="214">
        <f t="shared" si="109"/>
        <v>0</v>
      </c>
      <c r="N592" s="211">
        <f t="shared" si="117"/>
        <v>0</v>
      </c>
      <c r="O592" s="194">
        <f t="shared" si="118"/>
        <v>0</v>
      </c>
      <c r="P592" s="212">
        <f t="shared" si="113"/>
        <v>0</v>
      </c>
      <c r="Q592">
        <f t="shared" si="108"/>
        <v>0</v>
      </c>
      <c r="X592" s="216">
        <f t="shared" si="119"/>
        <v>48</v>
      </c>
      <c r="Y592">
        <f t="shared" si="114"/>
        <v>0</v>
      </c>
    </row>
    <row r="593" spans="1:25" ht="13.5" thickBot="1" x14ac:dyDescent="0.25">
      <c r="A593" s="204">
        <f>IF(MOD(COUNT($A$10:A592),12)=0,A592+1,A592)</f>
        <v>49</v>
      </c>
      <c r="B593" s="218">
        <f t="shared" si="115"/>
        <v>8</v>
      </c>
      <c r="C593" s="218">
        <f t="shared" si="110"/>
        <v>1</v>
      </c>
      <c r="D593" s="208">
        <f>IF(MOD(COUNT($D$10:D592),6)=0,D592+1,D592)</f>
        <v>98</v>
      </c>
      <c r="E593" s="208">
        <f>IF(MOD(COUNT($E$10:E592),3)=0,E592+1,E592)</f>
        <v>195</v>
      </c>
      <c r="F593" s="208">
        <f>IF(MOD(COUNT($F$10:F592),1)=0,F592+1,F592)</f>
        <v>584</v>
      </c>
      <c r="G593" s="204">
        <f>IFERROR(IF(C593=1,VLOOKUP(A593,Output!$A$27:$AB$137,28,FALSE)/AnnuityMode,0),0)</f>
        <v>0</v>
      </c>
      <c r="H593" s="220">
        <f>IFERROR(IF(AND(MIN(A593&gt;25,Age+A593&gt;=85),B593=12),VLOOKUP(A593,Output!$A$27:$AE$137,31,FALSE),0),0)</f>
        <v>0</v>
      </c>
      <c r="I593" s="221">
        <f>IFERROR(IF(AND(MIN(A593&gt;15,A593+Age&gt;=70),C593=1),VLOOKUP(A593,Output!$A$27:$AF$137,32,FALSE)*VLOOKUP('SV calc_ignore'!A593,Output!$A$27:$AG$137,33,FALSE)/IF(AnnuityMode=2,2,IF(AnnuityMode=4,4,IF(AnnuityMode=12,12,1))),0),0)</f>
        <v>0</v>
      </c>
      <c r="J593" s="227">
        <f t="shared" si="111"/>
        <v>0</v>
      </c>
      <c r="K593" s="213">
        <f t="shared" si="116"/>
        <v>0</v>
      </c>
      <c r="L593" s="209">
        <f t="shared" si="112"/>
        <v>0</v>
      </c>
      <c r="M593" s="214">
        <f t="shared" si="109"/>
        <v>0</v>
      </c>
      <c r="N593" s="211">
        <f t="shared" si="117"/>
        <v>0</v>
      </c>
      <c r="O593" s="194">
        <f t="shared" si="118"/>
        <v>0</v>
      </c>
      <c r="P593" s="212">
        <f t="shared" si="113"/>
        <v>0</v>
      </c>
      <c r="Q593">
        <f t="shared" si="108"/>
        <v>0</v>
      </c>
      <c r="X593" s="216">
        <f t="shared" si="119"/>
        <v>48</v>
      </c>
      <c r="Y593">
        <f t="shared" si="114"/>
        <v>0</v>
      </c>
    </row>
    <row r="594" spans="1:25" ht="13.5" thickBot="1" x14ac:dyDescent="0.25">
      <c r="A594" s="204">
        <f>IF(MOD(COUNT($A$10:A593),12)=0,A593+1,A593)</f>
        <v>49</v>
      </c>
      <c r="B594" s="218">
        <f t="shared" si="115"/>
        <v>9</v>
      </c>
      <c r="C594" s="218">
        <f t="shared" si="110"/>
        <v>1</v>
      </c>
      <c r="D594" s="208">
        <f>IF(MOD(COUNT($D$10:D593),6)=0,D593+1,D593)</f>
        <v>98</v>
      </c>
      <c r="E594" s="208">
        <f>IF(MOD(COUNT($E$10:E593),3)=0,E593+1,E593)</f>
        <v>195</v>
      </c>
      <c r="F594" s="208">
        <f>IF(MOD(COUNT($F$10:F593),1)=0,F593+1,F593)</f>
        <v>585</v>
      </c>
      <c r="G594" s="204">
        <f>IFERROR(IF(C594=1,VLOOKUP(A594,Output!$A$27:$AB$137,28,FALSE)/AnnuityMode,0),0)</f>
        <v>0</v>
      </c>
      <c r="H594" s="220">
        <f>IFERROR(IF(AND(MIN(A594&gt;25,Age+A594&gt;=85),B594=12),VLOOKUP(A594,Output!$A$27:$AE$137,31,FALSE),0),0)</f>
        <v>0</v>
      </c>
      <c r="I594" s="221">
        <f>IFERROR(IF(AND(MIN(A594&gt;15,A594+Age&gt;=70),C594=1),VLOOKUP(A594,Output!$A$27:$AF$137,32,FALSE)*VLOOKUP('SV calc_ignore'!A594,Output!$A$27:$AG$137,33,FALSE)/IF(AnnuityMode=2,2,IF(AnnuityMode=4,4,IF(AnnuityMode=12,12,1))),0),0)</f>
        <v>0</v>
      </c>
      <c r="J594" s="227">
        <f t="shared" si="111"/>
        <v>0</v>
      </c>
      <c r="K594" s="213">
        <f t="shared" si="116"/>
        <v>0</v>
      </c>
      <c r="L594" s="209">
        <f t="shared" si="112"/>
        <v>0</v>
      </c>
      <c r="M594" s="214">
        <f t="shared" si="109"/>
        <v>0</v>
      </c>
      <c r="N594" s="211">
        <f t="shared" si="117"/>
        <v>0</v>
      </c>
      <c r="O594" s="194">
        <f t="shared" si="118"/>
        <v>0</v>
      </c>
      <c r="P594" s="212">
        <f t="shared" si="113"/>
        <v>0</v>
      </c>
      <c r="Q594">
        <f t="shared" si="108"/>
        <v>0</v>
      </c>
      <c r="X594" s="216">
        <f t="shared" si="119"/>
        <v>48</v>
      </c>
      <c r="Y594">
        <f t="shared" si="114"/>
        <v>0</v>
      </c>
    </row>
    <row r="595" spans="1:25" ht="13.5" thickBot="1" x14ac:dyDescent="0.25">
      <c r="A595" s="204">
        <f>IF(MOD(COUNT($A$10:A594),12)=0,A594+1,A594)</f>
        <v>49</v>
      </c>
      <c r="B595" s="218">
        <f t="shared" si="115"/>
        <v>10</v>
      </c>
      <c r="C595" s="218">
        <f t="shared" si="110"/>
        <v>1</v>
      </c>
      <c r="D595" s="208">
        <f>IF(MOD(COUNT($D$10:D594),6)=0,D594+1,D594)</f>
        <v>98</v>
      </c>
      <c r="E595" s="208">
        <f>IF(MOD(COUNT($E$10:E594),3)=0,E594+1,E594)</f>
        <v>196</v>
      </c>
      <c r="F595" s="208">
        <f>IF(MOD(COUNT($F$10:F594),1)=0,F594+1,F594)</f>
        <v>586</v>
      </c>
      <c r="G595" s="204">
        <f>IFERROR(IF(C595=1,VLOOKUP(A595,Output!$A$27:$AB$137,28,FALSE)/AnnuityMode,0),0)</f>
        <v>0</v>
      </c>
      <c r="H595" s="220">
        <f>IFERROR(IF(AND(MIN(A595&gt;25,Age+A595&gt;=85),B595=12),VLOOKUP(A595,Output!$A$27:$AE$137,31,FALSE),0),0)</f>
        <v>0</v>
      </c>
      <c r="I595" s="221">
        <f>IFERROR(IF(AND(MIN(A595&gt;15,A595+Age&gt;=70),C595=1),VLOOKUP(A595,Output!$A$27:$AF$137,32,FALSE)*VLOOKUP('SV calc_ignore'!A595,Output!$A$27:$AG$137,33,FALSE)/IF(AnnuityMode=2,2,IF(AnnuityMode=4,4,IF(AnnuityMode=12,12,1))),0),0)</f>
        <v>0</v>
      </c>
      <c r="J595" s="227">
        <f t="shared" si="111"/>
        <v>0</v>
      </c>
      <c r="K595" s="213">
        <f t="shared" si="116"/>
        <v>0</v>
      </c>
      <c r="L595" s="209">
        <f t="shared" si="112"/>
        <v>0</v>
      </c>
      <c r="M595" s="214">
        <f t="shared" si="109"/>
        <v>0</v>
      </c>
      <c r="N595" s="211">
        <f t="shared" si="117"/>
        <v>0</v>
      </c>
      <c r="O595" s="194">
        <f t="shared" si="118"/>
        <v>0</v>
      </c>
      <c r="P595" s="212">
        <f t="shared" si="113"/>
        <v>0</v>
      </c>
      <c r="Q595">
        <f t="shared" si="108"/>
        <v>0</v>
      </c>
      <c r="X595" s="216">
        <f t="shared" si="119"/>
        <v>48</v>
      </c>
      <c r="Y595">
        <f t="shared" si="114"/>
        <v>0</v>
      </c>
    </row>
    <row r="596" spans="1:25" ht="13.5" thickBot="1" x14ac:dyDescent="0.25">
      <c r="A596" s="204">
        <f>IF(MOD(COUNT($A$10:A595),12)=0,A595+1,A595)</f>
        <v>49</v>
      </c>
      <c r="B596" s="218">
        <f t="shared" si="115"/>
        <v>11</v>
      </c>
      <c r="C596" s="218">
        <f t="shared" si="110"/>
        <v>1</v>
      </c>
      <c r="D596" s="208">
        <f>IF(MOD(COUNT($D$10:D595),6)=0,D595+1,D595)</f>
        <v>98</v>
      </c>
      <c r="E596" s="208">
        <f>IF(MOD(COUNT($E$10:E595),3)=0,E595+1,E595)</f>
        <v>196</v>
      </c>
      <c r="F596" s="208">
        <f>IF(MOD(COUNT($F$10:F595),1)=0,F595+1,F595)</f>
        <v>587</v>
      </c>
      <c r="G596" s="204">
        <f>IFERROR(IF(C596=1,VLOOKUP(A596,Output!$A$27:$AB$137,28,FALSE)/AnnuityMode,0),0)</f>
        <v>0</v>
      </c>
      <c r="H596" s="220">
        <f>IFERROR(IF(AND(MIN(A596&gt;25,Age+A596&gt;=85),B596=12),VLOOKUP(A596,Output!$A$27:$AE$137,31,FALSE),0),0)</f>
        <v>0</v>
      </c>
      <c r="I596" s="221">
        <f>IFERROR(IF(AND(MIN(A596&gt;15,A596+Age&gt;=70),C596=1),VLOOKUP(A596,Output!$A$27:$AF$137,32,FALSE)*VLOOKUP('SV calc_ignore'!A596,Output!$A$27:$AG$137,33,FALSE)/IF(AnnuityMode=2,2,IF(AnnuityMode=4,4,IF(AnnuityMode=12,12,1))),0),0)</f>
        <v>0</v>
      </c>
      <c r="J596" s="227">
        <f t="shared" si="111"/>
        <v>0</v>
      </c>
      <c r="K596" s="213">
        <f t="shared" si="116"/>
        <v>0</v>
      </c>
      <c r="L596" s="209">
        <f t="shared" si="112"/>
        <v>0</v>
      </c>
      <c r="M596" s="214">
        <f t="shared" si="109"/>
        <v>0</v>
      </c>
      <c r="N596" s="211">
        <f t="shared" si="117"/>
        <v>0</v>
      </c>
      <c r="O596" s="194">
        <f t="shared" si="118"/>
        <v>0</v>
      </c>
      <c r="P596" s="212">
        <f t="shared" si="113"/>
        <v>0</v>
      </c>
      <c r="Q596">
        <f t="shared" si="108"/>
        <v>0</v>
      </c>
      <c r="X596" s="216">
        <f t="shared" si="119"/>
        <v>48</v>
      </c>
      <c r="Y596">
        <f t="shared" si="114"/>
        <v>0</v>
      </c>
    </row>
    <row r="597" spans="1:25" ht="13.5" thickBot="1" x14ac:dyDescent="0.25">
      <c r="A597" s="204">
        <f>IF(MOD(COUNT($A$10:A596),12)=0,A596+1,A596)</f>
        <v>49</v>
      </c>
      <c r="B597" s="218">
        <f t="shared" si="115"/>
        <v>12</v>
      </c>
      <c r="C597" s="218">
        <f t="shared" si="110"/>
        <v>1</v>
      </c>
      <c r="D597" s="208">
        <f>IF(MOD(COUNT($D$10:D596),6)=0,D596+1,D596)</f>
        <v>98</v>
      </c>
      <c r="E597" s="208">
        <f>IF(MOD(COUNT($E$10:E596),3)=0,E596+1,E596)</f>
        <v>196</v>
      </c>
      <c r="F597" s="208">
        <f>IF(MOD(COUNT($F$10:F596),1)=0,F596+1,F596)</f>
        <v>588</v>
      </c>
      <c r="G597" s="204">
        <f>IFERROR(IF(C597=1,VLOOKUP(A597,Output!$A$27:$AB$137,28,FALSE)/AnnuityMode,0),0)</f>
        <v>0</v>
      </c>
      <c r="H597" s="220">
        <f>IFERROR(IF(AND(MIN(A597&gt;25,Age+A597&gt;=85),B597=12),VLOOKUP(A597,Output!$A$27:$AE$137,31,FALSE),0),0)</f>
        <v>0</v>
      </c>
      <c r="I597" s="221">
        <f>IFERROR(IF(AND(MIN(A597&gt;15,A597+Age&gt;=70),C597=1),VLOOKUP(A597,Output!$A$27:$AF$137,32,FALSE)*VLOOKUP('SV calc_ignore'!A597,Output!$A$27:$AG$137,33,FALSE)/IF(AnnuityMode=2,2,IF(AnnuityMode=4,4,IF(AnnuityMode=12,12,1))),0),0)</f>
        <v>0</v>
      </c>
      <c r="J597" s="227">
        <f t="shared" si="111"/>
        <v>0</v>
      </c>
      <c r="K597" s="213">
        <f t="shared" si="116"/>
        <v>0</v>
      </c>
      <c r="L597" s="209">
        <f t="shared" si="112"/>
        <v>0</v>
      </c>
      <c r="M597" s="214">
        <f t="shared" si="109"/>
        <v>0</v>
      </c>
      <c r="N597" s="211">
        <f t="shared" si="117"/>
        <v>0</v>
      </c>
      <c r="O597" s="194">
        <f t="shared" si="118"/>
        <v>0</v>
      </c>
      <c r="P597" s="212">
        <f t="shared" si="113"/>
        <v>0</v>
      </c>
      <c r="Q597">
        <f t="shared" si="108"/>
        <v>0</v>
      </c>
      <c r="X597" s="216">
        <f t="shared" si="119"/>
        <v>48</v>
      </c>
      <c r="Y597">
        <f t="shared" si="114"/>
        <v>0</v>
      </c>
    </row>
    <row r="598" spans="1:25" ht="13.5" thickBot="1" x14ac:dyDescent="0.25">
      <c r="A598" s="204">
        <f>IF(MOD(COUNT($A$10:A597),12)=0,A597+1,A597)</f>
        <v>50</v>
      </c>
      <c r="B598" s="218">
        <f t="shared" si="115"/>
        <v>1</v>
      </c>
      <c r="C598" s="218">
        <f t="shared" si="110"/>
        <v>1</v>
      </c>
      <c r="D598" s="208">
        <f>IF(MOD(COUNT($D$10:D597),6)=0,D597+1,D597)</f>
        <v>99</v>
      </c>
      <c r="E598" s="208">
        <f>IF(MOD(COUNT($E$10:E597),3)=0,E597+1,E597)</f>
        <v>197</v>
      </c>
      <c r="F598" s="208">
        <f>IF(MOD(COUNT($F$10:F597),1)=0,F597+1,F597)</f>
        <v>589</v>
      </c>
      <c r="G598" s="204">
        <f>IFERROR(IF(C598=1,VLOOKUP(A598,Output!$A$27:$AB$137,28,FALSE)/AnnuityMode,0),0)</f>
        <v>0</v>
      </c>
      <c r="H598" s="220">
        <f>IFERROR(IF(AND(MIN(A598&gt;25,Age+A598&gt;=85),B598=12),VLOOKUP(A598,Output!$A$27:$AE$137,31,FALSE),0),0)</f>
        <v>0</v>
      </c>
      <c r="I598" s="221">
        <f>IFERROR(IF(AND(MIN(A598&gt;15,A598+Age&gt;=70),C598=1),VLOOKUP(A598,Output!$A$27:$AF$137,32,FALSE)*VLOOKUP('SV calc_ignore'!A598,Output!$A$27:$AG$137,33,FALSE)/IF(AnnuityMode=2,2,IF(AnnuityMode=4,4,IF(AnnuityMode=12,12,1))),0),0)</f>
        <v>0</v>
      </c>
      <c r="J598" s="227">
        <f t="shared" si="111"/>
        <v>0</v>
      </c>
      <c r="K598" s="213">
        <f t="shared" si="116"/>
        <v>0</v>
      </c>
      <c r="L598" s="209">
        <f t="shared" si="112"/>
        <v>0</v>
      </c>
      <c r="M598" s="214">
        <f t="shared" si="109"/>
        <v>0</v>
      </c>
      <c r="N598" s="211">
        <f t="shared" si="117"/>
        <v>0</v>
      </c>
      <c r="O598" s="194">
        <f t="shared" si="118"/>
        <v>0</v>
      </c>
      <c r="P598" s="212">
        <f t="shared" si="113"/>
        <v>0</v>
      </c>
      <c r="Q598">
        <f t="shared" si="108"/>
        <v>0</v>
      </c>
      <c r="X598" s="216">
        <f t="shared" si="119"/>
        <v>49</v>
      </c>
      <c r="Y598">
        <f t="shared" si="114"/>
        <v>0</v>
      </c>
    </row>
    <row r="599" spans="1:25" ht="13.5" thickBot="1" x14ac:dyDescent="0.25">
      <c r="A599" s="204">
        <f>IF(MOD(COUNT($A$10:A598),12)=0,A598+1,A598)</f>
        <v>50</v>
      </c>
      <c r="B599" s="218">
        <f t="shared" si="115"/>
        <v>2</v>
      </c>
      <c r="C599" s="218">
        <f t="shared" si="110"/>
        <v>1</v>
      </c>
      <c r="D599" s="208">
        <f>IF(MOD(COUNT($D$10:D598),6)=0,D598+1,D598)</f>
        <v>99</v>
      </c>
      <c r="E599" s="208">
        <f>IF(MOD(COUNT($E$10:E598),3)=0,E598+1,E598)</f>
        <v>197</v>
      </c>
      <c r="F599" s="208">
        <f>IF(MOD(COUNT($F$10:F598),1)=0,F598+1,F598)</f>
        <v>590</v>
      </c>
      <c r="G599" s="204">
        <f>IFERROR(IF(C599=1,VLOOKUP(A599,Output!$A$27:$AB$137,28,FALSE)/AnnuityMode,0),0)</f>
        <v>0</v>
      </c>
      <c r="H599" s="220">
        <f>IFERROR(IF(AND(MIN(A599&gt;25,Age+A599&gt;=85),B599=12),VLOOKUP(A599,Output!$A$27:$AE$137,31,FALSE),0),0)</f>
        <v>0</v>
      </c>
      <c r="I599" s="221">
        <f>IFERROR(IF(AND(MIN(A599&gt;15,A599+Age&gt;=70),C599=1),VLOOKUP(A599,Output!$A$27:$AF$137,32,FALSE)*VLOOKUP('SV calc_ignore'!A599,Output!$A$27:$AG$137,33,FALSE)/IF(AnnuityMode=2,2,IF(AnnuityMode=4,4,IF(AnnuityMode=12,12,1))),0),0)</f>
        <v>0</v>
      </c>
      <c r="J599" s="227">
        <f t="shared" si="111"/>
        <v>0</v>
      </c>
      <c r="K599" s="213">
        <f t="shared" si="116"/>
        <v>0</v>
      </c>
      <c r="L599" s="209">
        <f t="shared" si="112"/>
        <v>0</v>
      </c>
      <c r="M599" s="214">
        <f t="shared" si="109"/>
        <v>0</v>
      </c>
      <c r="N599" s="211">
        <f t="shared" si="117"/>
        <v>0</v>
      </c>
      <c r="O599" s="194">
        <f t="shared" si="118"/>
        <v>0</v>
      </c>
      <c r="P599" s="212">
        <f t="shared" si="113"/>
        <v>0</v>
      </c>
      <c r="Q599">
        <f t="shared" si="108"/>
        <v>0</v>
      </c>
      <c r="X599" s="216">
        <f t="shared" si="119"/>
        <v>49</v>
      </c>
      <c r="Y599">
        <f t="shared" si="114"/>
        <v>0</v>
      </c>
    </row>
    <row r="600" spans="1:25" ht="13.5" thickBot="1" x14ac:dyDescent="0.25">
      <c r="A600" s="204">
        <f>IF(MOD(COUNT($A$10:A599),12)=0,A599+1,A599)</f>
        <v>50</v>
      </c>
      <c r="B600" s="218">
        <f t="shared" si="115"/>
        <v>3</v>
      </c>
      <c r="C600" s="218">
        <f t="shared" si="110"/>
        <v>1</v>
      </c>
      <c r="D600" s="208">
        <f>IF(MOD(COUNT($D$10:D599),6)=0,D599+1,D599)</f>
        <v>99</v>
      </c>
      <c r="E600" s="208">
        <f>IF(MOD(COUNT($E$10:E599),3)=0,E599+1,E599)</f>
        <v>197</v>
      </c>
      <c r="F600" s="208">
        <f>IF(MOD(COUNT($F$10:F599),1)=0,F599+1,F599)</f>
        <v>591</v>
      </c>
      <c r="G600" s="204">
        <f>IFERROR(IF(C600=1,VLOOKUP(A600,Output!$A$27:$AB$137,28,FALSE)/AnnuityMode,0),0)</f>
        <v>0</v>
      </c>
      <c r="H600" s="220">
        <f>IFERROR(IF(AND(MIN(A600&gt;25,Age+A600&gt;=85),B600=12),VLOOKUP(A600,Output!$A$27:$AE$137,31,FALSE),0),0)</f>
        <v>0</v>
      </c>
      <c r="I600" s="221">
        <f>IFERROR(IF(AND(MIN(A600&gt;15,A600+Age&gt;=70),C600=1),VLOOKUP(A600,Output!$A$27:$AF$137,32,FALSE)*VLOOKUP('SV calc_ignore'!A600,Output!$A$27:$AG$137,33,FALSE)/IF(AnnuityMode=2,2,IF(AnnuityMode=4,4,IF(AnnuityMode=12,12,1))),0),0)</f>
        <v>0</v>
      </c>
      <c r="J600" s="227">
        <f t="shared" si="111"/>
        <v>0</v>
      </c>
      <c r="K600" s="213">
        <f t="shared" si="116"/>
        <v>0</v>
      </c>
      <c r="L600" s="209">
        <f t="shared" si="112"/>
        <v>0</v>
      </c>
      <c r="M600" s="214">
        <f t="shared" si="109"/>
        <v>0</v>
      </c>
      <c r="N600" s="211">
        <f t="shared" si="117"/>
        <v>0</v>
      </c>
      <c r="O600" s="194">
        <f t="shared" si="118"/>
        <v>0</v>
      </c>
      <c r="P600" s="212">
        <f t="shared" si="113"/>
        <v>0</v>
      </c>
      <c r="Q600">
        <f t="shared" si="108"/>
        <v>0</v>
      </c>
      <c r="X600" s="216">
        <f t="shared" si="119"/>
        <v>49</v>
      </c>
      <c r="Y600">
        <f t="shared" si="114"/>
        <v>0</v>
      </c>
    </row>
    <row r="601" spans="1:25" ht="13.5" thickBot="1" x14ac:dyDescent="0.25">
      <c r="A601" s="204">
        <f>IF(MOD(COUNT($A$10:A600),12)=0,A600+1,A600)</f>
        <v>50</v>
      </c>
      <c r="B601" s="218">
        <f t="shared" si="115"/>
        <v>4</v>
      </c>
      <c r="C601" s="218">
        <f t="shared" si="110"/>
        <v>1</v>
      </c>
      <c r="D601" s="208">
        <f>IF(MOD(COUNT($D$10:D600),6)=0,D600+1,D600)</f>
        <v>99</v>
      </c>
      <c r="E601" s="208">
        <f>IF(MOD(COUNT($E$10:E600),3)=0,E600+1,E600)</f>
        <v>198</v>
      </c>
      <c r="F601" s="208">
        <f>IF(MOD(COUNT($F$10:F600),1)=0,F600+1,F600)</f>
        <v>592</v>
      </c>
      <c r="G601" s="204">
        <f>IFERROR(IF(C601=1,VLOOKUP(A601,Output!$A$27:$AB$137,28,FALSE)/AnnuityMode,0),0)</f>
        <v>0</v>
      </c>
      <c r="H601" s="220">
        <f>IFERROR(IF(AND(MIN(A601&gt;25,Age+A601&gt;=85),B601=12),VLOOKUP(A601,Output!$A$27:$AE$137,31,FALSE),0),0)</f>
        <v>0</v>
      </c>
      <c r="I601" s="221">
        <f>IFERROR(IF(AND(MIN(A601&gt;15,A601+Age&gt;=70),C601=1),VLOOKUP(A601,Output!$A$27:$AF$137,32,FALSE)*VLOOKUP('SV calc_ignore'!A601,Output!$A$27:$AG$137,33,FALSE)/IF(AnnuityMode=2,2,IF(AnnuityMode=4,4,IF(AnnuityMode=12,12,1))),0),0)</f>
        <v>0</v>
      </c>
      <c r="J601" s="227">
        <f t="shared" si="111"/>
        <v>0</v>
      </c>
      <c r="K601" s="213">
        <f t="shared" si="116"/>
        <v>0</v>
      </c>
      <c r="L601" s="209">
        <f t="shared" si="112"/>
        <v>0</v>
      </c>
      <c r="M601" s="214">
        <f t="shared" si="109"/>
        <v>0</v>
      </c>
      <c r="N601" s="211">
        <f t="shared" si="117"/>
        <v>0</v>
      </c>
      <c r="O601" s="194">
        <f t="shared" si="118"/>
        <v>0</v>
      </c>
      <c r="P601" s="212">
        <f t="shared" si="113"/>
        <v>0</v>
      </c>
      <c r="Q601">
        <f t="shared" si="108"/>
        <v>0</v>
      </c>
      <c r="X601" s="216">
        <f t="shared" si="119"/>
        <v>49</v>
      </c>
      <c r="Y601">
        <f t="shared" si="114"/>
        <v>0</v>
      </c>
    </row>
    <row r="602" spans="1:25" ht="13.5" thickBot="1" x14ac:dyDescent="0.25">
      <c r="A602" s="204">
        <f>IF(MOD(COUNT($A$10:A601),12)=0,A601+1,A601)</f>
        <v>50</v>
      </c>
      <c r="B602" s="218">
        <f t="shared" si="115"/>
        <v>5</v>
      </c>
      <c r="C602" s="218">
        <f t="shared" si="110"/>
        <v>1</v>
      </c>
      <c r="D602" s="208">
        <f>IF(MOD(COUNT($D$10:D601),6)=0,D601+1,D601)</f>
        <v>99</v>
      </c>
      <c r="E602" s="208">
        <f>IF(MOD(COUNT($E$10:E601),3)=0,E601+1,E601)</f>
        <v>198</v>
      </c>
      <c r="F602" s="208">
        <f>IF(MOD(COUNT($F$10:F601),1)=0,F601+1,F601)</f>
        <v>593</v>
      </c>
      <c r="G602" s="204">
        <f>IFERROR(IF(C602=1,VLOOKUP(A602,Output!$A$27:$AB$137,28,FALSE)/AnnuityMode,0),0)</f>
        <v>0</v>
      </c>
      <c r="H602" s="220">
        <f>IFERROR(IF(AND(MIN(A602&gt;25,Age+A602&gt;=85),B602=12),VLOOKUP(A602,Output!$A$27:$AE$137,31,FALSE),0),0)</f>
        <v>0</v>
      </c>
      <c r="I602" s="221">
        <f>IFERROR(IF(AND(MIN(A602&gt;15,A602+Age&gt;=70),C602=1),VLOOKUP(A602,Output!$A$27:$AF$137,32,FALSE)*VLOOKUP('SV calc_ignore'!A602,Output!$A$27:$AG$137,33,FALSE)/IF(AnnuityMode=2,2,IF(AnnuityMode=4,4,IF(AnnuityMode=12,12,1))),0),0)</f>
        <v>0</v>
      </c>
      <c r="J602" s="227">
        <f t="shared" si="111"/>
        <v>0</v>
      </c>
      <c r="K602" s="213">
        <f t="shared" si="116"/>
        <v>0</v>
      </c>
      <c r="L602" s="209">
        <f t="shared" si="112"/>
        <v>0</v>
      </c>
      <c r="M602" s="214">
        <f t="shared" si="109"/>
        <v>0</v>
      </c>
      <c r="N602" s="211">
        <f t="shared" si="117"/>
        <v>0</v>
      </c>
      <c r="O602" s="194">
        <f t="shared" si="118"/>
        <v>0</v>
      </c>
      <c r="P602" s="212">
        <f t="shared" si="113"/>
        <v>0</v>
      </c>
      <c r="Q602">
        <f t="shared" si="108"/>
        <v>0</v>
      </c>
      <c r="X602" s="216">
        <f t="shared" si="119"/>
        <v>49</v>
      </c>
      <c r="Y602">
        <f t="shared" si="114"/>
        <v>0</v>
      </c>
    </row>
    <row r="603" spans="1:25" ht="13.5" thickBot="1" x14ac:dyDescent="0.25">
      <c r="A603" s="204">
        <f>IF(MOD(COUNT($A$10:A602),12)=0,A602+1,A602)</f>
        <v>50</v>
      </c>
      <c r="B603" s="218">
        <f t="shared" si="115"/>
        <v>6</v>
      </c>
      <c r="C603" s="218">
        <f t="shared" si="110"/>
        <v>1</v>
      </c>
      <c r="D603" s="208">
        <f>IF(MOD(COUNT($D$10:D602),6)=0,D602+1,D602)</f>
        <v>99</v>
      </c>
      <c r="E603" s="208">
        <f>IF(MOD(COUNT($E$10:E602),3)=0,E602+1,E602)</f>
        <v>198</v>
      </c>
      <c r="F603" s="208">
        <f>IF(MOD(COUNT($F$10:F602),1)=0,F602+1,F602)</f>
        <v>594</v>
      </c>
      <c r="G603" s="204">
        <f>IFERROR(IF(C603=1,VLOOKUP(A603,Output!$A$27:$AB$137,28,FALSE)/AnnuityMode,0),0)</f>
        <v>0</v>
      </c>
      <c r="H603" s="220">
        <f>IFERROR(IF(AND(MIN(A603&gt;25,Age+A603&gt;=85),B603=12),VLOOKUP(A603,Output!$A$27:$AE$137,31,FALSE),0),0)</f>
        <v>0</v>
      </c>
      <c r="I603" s="221">
        <f>IFERROR(IF(AND(MIN(A603&gt;15,A603+Age&gt;=70),C603=1),VLOOKUP(A603,Output!$A$27:$AF$137,32,FALSE)*VLOOKUP('SV calc_ignore'!A603,Output!$A$27:$AG$137,33,FALSE)/IF(AnnuityMode=2,2,IF(AnnuityMode=4,4,IF(AnnuityMode=12,12,1))),0),0)</f>
        <v>0</v>
      </c>
      <c r="J603" s="227">
        <f t="shared" si="111"/>
        <v>0</v>
      </c>
      <c r="K603" s="213">
        <f t="shared" si="116"/>
        <v>0</v>
      </c>
      <c r="L603" s="209">
        <f t="shared" si="112"/>
        <v>0</v>
      </c>
      <c r="M603" s="214">
        <f t="shared" si="109"/>
        <v>0</v>
      </c>
      <c r="N603" s="211">
        <f t="shared" si="117"/>
        <v>0</v>
      </c>
      <c r="O603" s="194">
        <f t="shared" si="118"/>
        <v>0</v>
      </c>
      <c r="P603" s="212">
        <f t="shared" si="113"/>
        <v>0</v>
      </c>
      <c r="Q603">
        <f t="shared" si="108"/>
        <v>0</v>
      </c>
      <c r="X603" s="216">
        <f t="shared" si="119"/>
        <v>49</v>
      </c>
      <c r="Y603">
        <f t="shared" si="114"/>
        <v>0</v>
      </c>
    </row>
    <row r="604" spans="1:25" ht="13.5" thickBot="1" x14ac:dyDescent="0.25">
      <c r="A604" s="204">
        <f>IF(MOD(COUNT($A$10:A603),12)=0,A603+1,A603)</f>
        <v>50</v>
      </c>
      <c r="B604" s="218">
        <f t="shared" si="115"/>
        <v>7</v>
      </c>
      <c r="C604" s="218">
        <f t="shared" si="110"/>
        <v>1</v>
      </c>
      <c r="D604" s="208">
        <f>IF(MOD(COUNT($D$10:D603),6)=0,D603+1,D603)</f>
        <v>100</v>
      </c>
      <c r="E604" s="208">
        <f>IF(MOD(COUNT($E$10:E603),3)=0,E603+1,E603)</f>
        <v>199</v>
      </c>
      <c r="F604" s="208">
        <f>IF(MOD(COUNT($F$10:F603),1)=0,F603+1,F603)</f>
        <v>595</v>
      </c>
      <c r="G604" s="204">
        <f>IFERROR(IF(C604=1,VLOOKUP(A604,Output!$A$27:$AB$137,28,FALSE)/AnnuityMode,0),0)</f>
        <v>0</v>
      </c>
      <c r="H604" s="220">
        <f>IFERROR(IF(AND(MIN(A604&gt;25,Age+A604&gt;=85),B604=12),VLOOKUP(A604,Output!$A$27:$AE$137,31,FALSE),0),0)</f>
        <v>0</v>
      </c>
      <c r="I604" s="221">
        <f>IFERROR(IF(AND(MIN(A604&gt;15,A604+Age&gt;=70),C604=1),VLOOKUP(A604,Output!$A$27:$AF$137,32,FALSE)*VLOOKUP('SV calc_ignore'!A604,Output!$A$27:$AG$137,33,FALSE)/IF(AnnuityMode=2,2,IF(AnnuityMode=4,4,IF(AnnuityMode=12,12,1))),0),0)</f>
        <v>0</v>
      </c>
      <c r="J604" s="227">
        <f t="shared" si="111"/>
        <v>0</v>
      </c>
      <c r="K604" s="213">
        <f t="shared" si="116"/>
        <v>0</v>
      </c>
      <c r="L604" s="209">
        <f t="shared" si="112"/>
        <v>0</v>
      </c>
      <c r="M604" s="214">
        <f t="shared" si="109"/>
        <v>0</v>
      </c>
      <c r="N604" s="211">
        <f t="shared" si="117"/>
        <v>0</v>
      </c>
      <c r="O604" s="194">
        <f t="shared" si="118"/>
        <v>0</v>
      </c>
      <c r="P604" s="212">
        <f t="shared" si="113"/>
        <v>0</v>
      </c>
      <c r="Q604">
        <f t="shared" si="108"/>
        <v>0</v>
      </c>
      <c r="X604" s="216">
        <f t="shared" si="119"/>
        <v>49</v>
      </c>
      <c r="Y604">
        <f t="shared" si="114"/>
        <v>0</v>
      </c>
    </row>
    <row r="605" spans="1:25" ht="13.5" thickBot="1" x14ac:dyDescent="0.25">
      <c r="A605" s="204">
        <f>IF(MOD(COUNT($A$10:A604),12)=0,A604+1,A604)</f>
        <v>50</v>
      </c>
      <c r="B605" s="218">
        <f t="shared" si="115"/>
        <v>8</v>
      </c>
      <c r="C605" s="218">
        <f t="shared" si="110"/>
        <v>1</v>
      </c>
      <c r="D605" s="208">
        <f>IF(MOD(COUNT($D$10:D604),6)=0,D604+1,D604)</f>
        <v>100</v>
      </c>
      <c r="E605" s="208">
        <f>IF(MOD(COUNT($E$10:E604),3)=0,E604+1,E604)</f>
        <v>199</v>
      </c>
      <c r="F605" s="208">
        <f>IF(MOD(COUNT($F$10:F604),1)=0,F604+1,F604)</f>
        <v>596</v>
      </c>
      <c r="G605" s="204">
        <f>IFERROR(IF(C605=1,VLOOKUP(A605,Output!$A$27:$AB$137,28,FALSE)/AnnuityMode,0),0)</f>
        <v>0</v>
      </c>
      <c r="H605" s="220">
        <f>IFERROR(IF(AND(MIN(A605&gt;25,Age+A605&gt;=85),B605=12),VLOOKUP(A605,Output!$A$27:$AE$137,31,FALSE),0),0)</f>
        <v>0</v>
      </c>
      <c r="I605" s="221">
        <f>IFERROR(IF(AND(MIN(A605&gt;15,A605+Age&gt;=70),C605=1),VLOOKUP(A605,Output!$A$27:$AF$137,32,FALSE)*VLOOKUP('SV calc_ignore'!A605,Output!$A$27:$AG$137,33,FALSE)/IF(AnnuityMode=2,2,IF(AnnuityMode=4,4,IF(AnnuityMode=12,12,1))),0),0)</f>
        <v>0</v>
      </c>
      <c r="J605" s="227">
        <f t="shared" si="111"/>
        <v>0</v>
      </c>
      <c r="K605" s="213">
        <f t="shared" si="116"/>
        <v>0</v>
      </c>
      <c r="L605" s="209">
        <f t="shared" si="112"/>
        <v>0</v>
      </c>
      <c r="M605" s="214">
        <f t="shared" si="109"/>
        <v>0</v>
      </c>
      <c r="N605" s="211">
        <f t="shared" si="117"/>
        <v>0</v>
      </c>
      <c r="O605" s="194">
        <f t="shared" si="118"/>
        <v>0</v>
      </c>
      <c r="P605" s="212">
        <f t="shared" si="113"/>
        <v>0</v>
      </c>
      <c r="Q605">
        <f t="shared" si="108"/>
        <v>0</v>
      </c>
      <c r="X605" s="216">
        <f t="shared" si="119"/>
        <v>49</v>
      </c>
      <c r="Y605">
        <f t="shared" si="114"/>
        <v>0</v>
      </c>
    </row>
    <row r="606" spans="1:25" ht="13.5" thickBot="1" x14ac:dyDescent="0.25">
      <c r="A606" s="204">
        <f>IF(MOD(COUNT($A$10:A605),12)=0,A605+1,A605)</f>
        <v>50</v>
      </c>
      <c r="B606" s="218">
        <f t="shared" si="115"/>
        <v>9</v>
      </c>
      <c r="C606" s="218">
        <f t="shared" si="110"/>
        <v>1</v>
      </c>
      <c r="D606" s="208">
        <f>IF(MOD(COUNT($D$10:D605),6)=0,D605+1,D605)</f>
        <v>100</v>
      </c>
      <c r="E606" s="208">
        <f>IF(MOD(COUNT($E$10:E605),3)=0,E605+1,E605)</f>
        <v>199</v>
      </c>
      <c r="F606" s="208">
        <f>IF(MOD(COUNT($F$10:F605),1)=0,F605+1,F605)</f>
        <v>597</v>
      </c>
      <c r="G606" s="204">
        <f>IFERROR(IF(C606=1,VLOOKUP(A606,Output!$A$27:$AB$137,28,FALSE)/AnnuityMode,0),0)</f>
        <v>0</v>
      </c>
      <c r="H606" s="220">
        <f>IFERROR(IF(AND(MIN(A606&gt;25,Age+A606&gt;=85),B606=12),VLOOKUP(A606,Output!$A$27:$AE$137,31,FALSE),0),0)</f>
        <v>0</v>
      </c>
      <c r="I606" s="221">
        <f>IFERROR(IF(AND(MIN(A606&gt;15,A606+Age&gt;=70),C606=1),VLOOKUP(A606,Output!$A$27:$AF$137,32,FALSE)*VLOOKUP('SV calc_ignore'!A606,Output!$A$27:$AG$137,33,FALSE)/IF(AnnuityMode=2,2,IF(AnnuityMode=4,4,IF(AnnuityMode=12,12,1))),0),0)</f>
        <v>0</v>
      </c>
      <c r="J606" s="227">
        <f t="shared" si="111"/>
        <v>0</v>
      </c>
      <c r="K606" s="213">
        <f t="shared" si="116"/>
        <v>0</v>
      </c>
      <c r="L606" s="209">
        <f t="shared" si="112"/>
        <v>0</v>
      </c>
      <c r="M606" s="214">
        <f t="shared" si="109"/>
        <v>0</v>
      </c>
      <c r="N606" s="211">
        <f t="shared" si="117"/>
        <v>0</v>
      </c>
      <c r="O606" s="194">
        <f t="shared" si="118"/>
        <v>0</v>
      </c>
      <c r="P606" s="212">
        <f t="shared" si="113"/>
        <v>0</v>
      </c>
      <c r="Q606">
        <f t="shared" si="108"/>
        <v>0</v>
      </c>
      <c r="X606" s="216">
        <f t="shared" si="119"/>
        <v>49</v>
      </c>
      <c r="Y606">
        <f t="shared" si="114"/>
        <v>0</v>
      </c>
    </row>
    <row r="607" spans="1:25" ht="13.5" thickBot="1" x14ac:dyDescent="0.25">
      <c r="A607" s="204">
        <f>IF(MOD(COUNT($A$10:A606),12)=0,A606+1,A606)</f>
        <v>50</v>
      </c>
      <c r="B607" s="218">
        <f t="shared" si="115"/>
        <v>10</v>
      </c>
      <c r="C607" s="218">
        <f t="shared" si="110"/>
        <v>1</v>
      </c>
      <c r="D607" s="208">
        <f>IF(MOD(COUNT($D$10:D606),6)=0,D606+1,D606)</f>
        <v>100</v>
      </c>
      <c r="E607" s="208">
        <f>IF(MOD(COUNT($E$10:E606),3)=0,E606+1,E606)</f>
        <v>200</v>
      </c>
      <c r="F607" s="208">
        <f>IF(MOD(COUNT($F$10:F606),1)=0,F606+1,F606)</f>
        <v>598</v>
      </c>
      <c r="G607" s="204">
        <f>IFERROR(IF(C607=1,VLOOKUP(A607,Output!$A$27:$AB$137,28,FALSE)/AnnuityMode,0),0)</f>
        <v>0</v>
      </c>
      <c r="H607" s="220">
        <f>IFERROR(IF(AND(MIN(A607&gt;25,Age+A607&gt;=85),B607=12),VLOOKUP(A607,Output!$A$27:$AE$137,31,FALSE),0),0)</f>
        <v>0</v>
      </c>
      <c r="I607" s="221">
        <f>IFERROR(IF(AND(MIN(A607&gt;15,A607+Age&gt;=70),C607=1),VLOOKUP(A607,Output!$A$27:$AF$137,32,FALSE)*VLOOKUP('SV calc_ignore'!A607,Output!$A$27:$AG$137,33,FALSE)/IF(AnnuityMode=2,2,IF(AnnuityMode=4,4,IF(AnnuityMode=12,12,1))),0),0)</f>
        <v>0</v>
      </c>
      <c r="J607" s="227">
        <f t="shared" si="111"/>
        <v>0</v>
      </c>
      <c r="K607" s="213">
        <f t="shared" si="116"/>
        <v>0</v>
      </c>
      <c r="L607" s="209">
        <f t="shared" si="112"/>
        <v>0</v>
      </c>
      <c r="M607" s="214">
        <f t="shared" si="109"/>
        <v>0</v>
      </c>
      <c r="N607" s="211">
        <f t="shared" si="117"/>
        <v>0</v>
      </c>
      <c r="O607" s="194">
        <f t="shared" si="118"/>
        <v>0</v>
      </c>
      <c r="P607" s="212">
        <f t="shared" si="113"/>
        <v>0</v>
      </c>
      <c r="Q607">
        <f t="shared" si="108"/>
        <v>0</v>
      </c>
      <c r="X607" s="216">
        <f t="shared" si="119"/>
        <v>49</v>
      </c>
      <c r="Y607">
        <f t="shared" si="114"/>
        <v>0</v>
      </c>
    </row>
    <row r="608" spans="1:25" ht="13.5" thickBot="1" x14ac:dyDescent="0.25">
      <c r="A608" s="204">
        <f>IF(MOD(COUNT($A$10:A607),12)=0,A607+1,A607)</f>
        <v>50</v>
      </c>
      <c r="B608" s="218">
        <f t="shared" si="115"/>
        <v>11</v>
      </c>
      <c r="C608" s="218">
        <f t="shared" si="110"/>
        <v>1</v>
      </c>
      <c r="D608" s="208">
        <f>IF(MOD(COUNT($D$10:D607),6)=0,D607+1,D607)</f>
        <v>100</v>
      </c>
      <c r="E608" s="208">
        <f>IF(MOD(COUNT($E$10:E607),3)=0,E607+1,E607)</f>
        <v>200</v>
      </c>
      <c r="F608" s="208">
        <f>IF(MOD(COUNT($F$10:F607),1)=0,F607+1,F607)</f>
        <v>599</v>
      </c>
      <c r="G608" s="204">
        <f>IFERROR(IF(C608=1,VLOOKUP(A608,Output!$A$27:$AB$137,28,FALSE)/AnnuityMode,0),0)</f>
        <v>0</v>
      </c>
      <c r="H608" s="220">
        <f>IFERROR(IF(AND(MIN(A608&gt;25,Age+A608&gt;=85),B608=12),VLOOKUP(A608,Output!$A$27:$AE$137,31,FALSE),0),0)</f>
        <v>0</v>
      </c>
      <c r="I608" s="221">
        <f>IFERROR(IF(AND(MIN(A608&gt;15,A608+Age&gt;=70),C608=1),VLOOKUP(A608,Output!$A$27:$AF$137,32,FALSE)*VLOOKUP('SV calc_ignore'!A608,Output!$A$27:$AG$137,33,FALSE)/IF(AnnuityMode=2,2,IF(AnnuityMode=4,4,IF(AnnuityMode=12,12,1))),0),0)</f>
        <v>0</v>
      </c>
      <c r="J608" s="227">
        <f t="shared" si="111"/>
        <v>0</v>
      </c>
      <c r="K608" s="213">
        <f t="shared" si="116"/>
        <v>0</v>
      </c>
      <c r="L608" s="209">
        <f t="shared" si="112"/>
        <v>0</v>
      </c>
      <c r="M608" s="214">
        <f t="shared" si="109"/>
        <v>0</v>
      </c>
      <c r="N608" s="211">
        <f t="shared" si="117"/>
        <v>0</v>
      </c>
      <c r="O608" s="194">
        <f t="shared" si="118"/>
        <v>0</v>
      </c>
      <c r="P608" s="212">
        <f t="shared" si="113"/>
        <v>0</v>
      </c>
      <c r="Q608">
        <f t="shared" si="108"/>
        <v>0</v>
      </c>
      <c r="X608" s="216">
        <f t="shared" si="119"/>
        <v>49</v>
      </c>
      <c r="Y608">
        <f t="shared" si="114"/>
        <v>0</v>
      </c>
    </row>
    <row r="609" spans="1:25" ht="13.5" thickBot="1" x14ac:dyDescent="0.25">
      <c r="A609" s="204">
        <f>IF(MOD(COUNT($A$10:A608),12)=0,A608+1,A608)</f>
        <v>50</v>
      </c>
      <c r="B609" s="218">
        <f t="shared" si="115"/>
        <v>12</v>
      </c>
      <c r="C609" s="218">
        <f t="shared" si="110"/>
        <v>1</v>
      </c>
      <c r="D609" s="208">
        <f>IF(MOD(COUNT($D$10:D608),6)=0,D608+1,D608)</f>
        <v>100</v>
      </c>
      <c r="E609" s="208">
        <f>IF(MOD(COUNT($E$10:E608),3)=0,E608+1,E608)</f>
        <v>200</v>
      </c>
      <c r="F609" s="208">
        <f>IF(MOD(COUNT($F$10:F608),1)=0,F608+1,F608)</f>
        <v>600</v>
      </c>
      <c r="G609" s="204">
        <f>IFERROR(IF(C609=1,VLOOKUP(A609,Output!$A$27:$AB$137,28,FALSE)/AnnuityMode,0),0)</f>
        <v>0</v>
      </c>
      <c r="H609" s="220">
        <f>IFERROR(IF(AND(MIN(A609&gt;25,Age+A609&gt;=85),B609=12),VLOOKUP(A609,Output!$A$27:$AE$137,31,FALSE),0),0)</f>
        <v>0</v>
      </c>
      <c r="I609" s="221">
        <f>IFERROR(IF(AND(MIN(A609&gt;15,A609+Age&gt;=70),C609=1),VLOOKUP(A609,Output!$A$27:$AF$137,32,FALSE)*VLOOKUP('SV calc_ignore'!A609,Output!$A$27:$AG$137,33,FALSE)/IF(AnnuityMode=2,2,IF(AnnuityMode=4,4,IF(AnnuityMode=12,12,1))),0),0)</f>
        <v>0</v>
      </c>
      <c r="J609" s="227">
        <f t="shared" si="111"/>
        <v>0</v>
      </c>
      <c r="K609" s="213">
        <f t="shared" si="116"/>
        <v>0</v>
      </c>
      <c r="L609" s="209">
        <f t="shared" si="112"/>
        <v>0</v>
      </c>
      <c r="M609" s="214">
        <f t="shared" si="109"/>
        <v>0</v>
      </c>
      <c r="N609" s="211">
        <f t="shared" si="117"/>
        <v>0</v>
      </c>
      <c r="O609" s="194">
        <f t="shared" si="118"/>
        <v>0</v>
      </c>
      <c r="P609" s="212">
        <f t="shared" si="113"/>
        <v>0</v>
      </c>
      <c r="Q609">
        <f t="shared" si="108"/>
        <v>0</v>
      </c>
      <c r="X609" s="216">
        <f t="shared" si="119"/>
        <v>49</v>
      </c>
      <c r="Y609">
        <f t="shared" si="114"/>
        <v>0</v>
      </c>
    </row>
    <row r="610" spans="1:25" ht="13.5" thickBot="1" x14ac:dyDescent="0.25">
      <c r="A610" s="204">
        <f>IF(MOD(COUNT($A$10:A609),12)=0,A609+1,A609)</f>
        <v>51</v>
      </c>
      <c r="B610" s="218">
        <f t="shared" si="115"/>
        <v>1</v>
      </c>
      <c r="C610" s="218">
        <f t="shared" si="110"/>
        <v>1</v>
      </c>
      <c r="D610" s="208">
        <f>IF(MOD(COUNT($D$10:D609),6)=0,D609+1,D609)</f>
        <v>101</v>
      </c>
      <c r="E610" s="208">
        <f>IF(MOD(COUNT($E$10:E609),3)=0,E609+1,E609)</f>
        <v>201</v>
      </c>
      <c r="F610" s="208">
        <f>IF(MOD(COUNT($F$10:F609),1)=0,F609+1,F609)</f>
        <v>601</v>
      </c>
      <c r="G610" s="204">
        <f>IFERROR(IF(C610=1,VLOOKUP(A610,Output!$A$27:$AB$137,28,FALSE)/AnnuityMode,0),0)</f>
        <v>0</v>
      </c>
      <c r="H610" s="220">
        <f>IFERROR(IF(AND(MIN(A610&gt;25,Age+A610&gt;=85),B610=12),VLOOKUP(A610,Output!$A$27:$AE$137,31,FALSE),0),0)</f>
        <v>0</v>
      </c>
      <c r="I610" s="221">
        <f>IFERROR(IF(AND(MIN(A610&gt;15,A610+Age&gt;=70),C610=1),VLOOKUP(A610,Output!$A$27:$AF$137,32,FALSE)*VLOOKUP('SV calc_ignore'!A610,Output!$A$27:$AG$137,33,FALSE)/IF(AnnuityMode=2,2,IF(AnnuityMode=4,4,IF(AnnuityMode=12,12,1))),0),0)</f>
        <v>0</v>
      </c>
      <c r="J610" s="227">
        <f t="shared" si="111"/>
        <v>0</v>
      </c>
      <c r="K610" s="213">
        <f t="shared" si="116"/>
        <v>0</v>
      </c>
      <c r="L610" s="209">
        <f t="shared" si="112"/>
        <v>0</v>
      </c>
      <c r="M610" s="214">
        <f t="shared" si="109"/>
        <v>0</v>
      </c>
      <c r="N610" s="211">
        <f t="shared" si="117"/>
        <v>0</v>
      </c>
      <c r="O610" s="194">
        <f t="shared" si="118"/>
        <v>0</v>
      </c>
      <c r="P610" s="212">
        <f t="shared" si="113"/>
        <v>0</v>
      </c>
      <c r="Q610">
        <f t="shared" si="108"/>
        <v>0</v>
      </c>
      <c r="X610" s="216">
        <f t="shared" si="119"/>
        <v>50</v>
      </c>
      <c r="Y610">
        <f t="shared" si="114"/>
        <v>0</v>
      </c>
    </row>
    <row r="611" spans="1:25" ht="13.5" thickBot="1" x14ac:dyDescent="0.25">
      <c r="A611" s="204">
        <f>IF(MOD(COUNT($A$10:A610),12)=0,A610+1,A610)</f>
        <v>51</v>
      </c>
      <c r="B611" s="218">
        <f t="shared" si="115"/>
        <v>2</v>
      </c>
      <c r="C611" s="218">
        <f t="shared" si="110"/>
        <v>1</v>
      </c>
      <c r="D611" s="208">
        <f>IF(MOD(COUNT($D$10:D610),6)=0,D610+1,D610)</f>
        <v>101</v>
      </c>
      <c r="E611" s="208">
        <f>IF(MOD(COUNT($E$10:E610),3)=0,E610+1,E610)</f>
        <v>201</v>
      </c>
      <c r="F611" s="208">
        <f>IF(MOD(COUNT($F$10:F610),1)=0,F610+1,F610)</f>
        <v>602</v>
      </c>
      <c r="G611" s="204">
        <f>IFERROR(IF(C611=1,VLOOKUP(A611,Output!$A$27:$AB$137,28,FALSE)/AnnuityMode,0),0)</f>
        <v>0</v>
      </c>
      <c r="H611" s="220">
        <f>IFERROR(IF(AND(MIN(A611&gt;25,Age+A611&gt;=85),B611=12),VLOOKUP(A611,Output!$A$27:$AE$137,31,FALSE),0),0)</f>
        <v>0</v>
      </c>
      <c r="I611" s="221">
        <f>IFERROR(IF(AND(MIN(A611&gt;15,A611+Age&gt;=70),C611=1),VLOOKUP(A611,Output!$A$27:$AF$137,32,FALSE)*VLOOKUP('SV calc_ignore'!A611,Output!$A$27:$AG$137,33,FALSE)/IF(AnnuityMode=2,2,IF(AnnuityMode=4,4,IF(AnnuityMode=12,12,1))),0),0)</f>
        <v>0</v>
      </c>
      <c r="J611" s="227">
        <f t="shared" si="111"/>
        <v>0</v>
      </c>
      <c r="K611" s="213">
        <f t="shared" si="116"/>
        <v>0</v>
      </c>
      <c r="L611" s="209">
        <f t="shared" si="112"/>
        <v>0</v>
      </c>
      <c r="M611" s="214">
        <f t="shared" si="109"/>
        <v>0</v>
      </c>
      <c r="N611" s="211">
        <f t="shared" si="117"/>
        <v>0</v>
      </c>
      <c r="O611" s="194">
        <f t="shared" si="118"/>
        <v>0</v>
      </c>
      <c r="P611" s="212">
        <f t="shared" si="113"/>
        <v>0</v>
      </c>
      <c r="Q611">
        <f t="shared" si="108"/>
        <v>0</v>
      </c>
      <c r="X611" s="216">
        <f t="shared" si="119"/>
        <v>50</v>
      </c>
      <c r="Y611">
        <f t="shared" si="114"/>
        <v>0</v>
      </c>
    </row>
    <row r="612" spans="1:25" ht="13.5" thickBot="1" x14ac:dyDescent="0.25">
      <c r="A612" s="204">
        <f>IF(MOD(COUNT($A$10:A611),12)=0,A611+1,A611)</f>
        <v>51</v>
      </c>
      <c r="B612" s="218">
        <f t="shared" si="115"/>
        <v>3</v>
      </c>
      <c r="C612" s="218">
        <f t="shared" si="110"/>
        <v>1</v>
      </c>
      <c r="D612" s="208">
        <f>IF(MOD(COUNT($D$10:D611),6)=0,D611+1,D611)</f>
        <v>101</v>
      </c>
      <c r="E612" s="208">
        <f>IF(MOD(COUNT($E$10:E611),3)=0,E611+1,E611)</f>
        <v>201</v>
      </c>
      <c r="F612" s="208">
        <f>IF(MOD(COUNT($F$10:F611),1)=0,F611+1,F611)</f>
        <v>603</v>
      </c>
      <c r="G612" s="204">
        <f>IFERROR(IF(C612=1,VLOOKUP(A612,Output!$A$27:$AB$137,28,FALSE)/AnnuityMode,0),0)</f>
        <v>0</v>
      </c>
      <c r="H612" s="220">
        <f>IFERROR(IF(AND(MIN(A612&gt;25,Age+A612&gt;=85),B612=12),VLOOKUP(A612,Output!$A$27:$AE$137,31,FALSE),0),0)</f>
        <v>0</v>
      </c>
      <c r="I612" s="221">
        <f>IFERROR(IF(AND(MIN(A612&gt;15,A612+Age&gt;=70),C612=1),VLOOKUP(A612,Output!$A$27:$AF$137,32,FALSE)*VLOOKUP('SV calc_ignore'!A612,Output!$A$27:$AG$137,33,FALSE)/IF(AnnuityMode=2,2,IF(AnnuityMode=4,4,IF(AnnuityMode=12,12,1))),0),0)</f>
        <v>0</v>
      </c>
      <c r="J612" s="227">
        <f t="shared" si="111"/>
        <v>0</v>
      </c>
      <c r="K612" s="213">
        <f t="shared" si="116"/>
        <v>0</v>
      </c>
      <c r="L612" s="209">
        <f t="shared" si="112"/>
        <v>0</v>
      </c>
      <c r="M612" s="214">
        <f t="shared" si="109"/>
        <v>0</v>
      </c>
      <c r="N612" s="211">
        <f t="shared" si="117"/>
        <v>0</v>
      </c>
      <c r="O612" s="194">
        <f t="shared" si="118"/>
        <v>0</v>
      </c>
      <c r="P612" s="212">
        <f t="shared" si="113"/>
        <v>0</v>
      </c>
      <c r="Q612">
        <f t="shared" si="108"/>
        <v>0</v>
      </c>
      <c r="X612" s="216">
        <f t="shared" si="119"/>
        <v>50</v>
      </c>
      <c r="Y612">
        <f t="shared" si="114"/>
        <v>0</v>
      </c>
    </row>
    <row r="613" spans="1:25" ht="13.5" thickBot="1" x14ac:dyDescent="0.25">
      <c r="A613" s="204">
        <f>IF(MOD(COUNT($A$10:A612),12)=0,A612+1,A612)</f>
        <v>51</v>
      </c>
      <c r="B613" s="218">
        <f t="shared" si="115"/>
        <v>4</v>
      </c>
      <c r="C613" s="218">
        <f t="shared" si="110"/>
        <v>1</v>
      </c>
      <c r="D613" s="208">
        <f>IF(MOD(COUNT($D$10:D612),6)=0,D612+1,D612)</f>
        <v>101</v>
      </c>
      <c r="E613" s="208">
        <f>IF(MOD(COUNT($E$10:E612),3)=0,E612+1,E612)</f>
        <v>202</v>
      </c>
      <c r="F613" s="208">
        <f>IF(MOD(COUNT($F$10:F612),1)=0,F612+1,F612)</f>
        <v>604</v>
      </c>
      <c r="G613" s="204">
        <f>IFERROR(IF(C613=1,VLOOKUP(A613,Output!$A$27:$AB$137,28,FALSE)/AnnuityMode,0),0)</f>
        <v>0</v>
      </c>
      <c r="H613" s="220">
        <f>IFERROR(IF(AND(MIN(A613&gt;25,Age+A613&gt;=85),B613=12),VLOOKUP(A613,Output!$A$27:$AE$137,31,FALSE),0),0)</f>
        <v>0</v>
      </c>
      <c r="I613" s="221">
        <f>IFERROR(IF(AND(MIN(A613&gt;15,A613+Age&gt;=70),C613=1),VLOOKUP(A613,Output!$A$27:$AF$137,32,FALSE)*VLOOKUP('SV calc_ignore'!A613,Output!$A$27:$AG$137,33,FALSE)/IF(AnnuityMode=2,2,IF(AnnuityMode=4,4,IF(AnnuityMode=12,12,1))),0),0)</f>
        <v>0</v>
      </c>
      <c r="J613" s="227">
        <f t="shared" si="111"/>
        <v>0</v>
      </c>
      <c r="K613" s="213">
        <f t="shared" si="116"/>
        <v>0</v>
      </c>
      <c r="L613" s="209">
        <f t="shared" si="112"/>
        <v>0</v>
      </c>
      <c r="M613" s="214">
        <f t="shared" si="109"/>
        <v>0</v>
      </c>
      <c r="N613" s="211">
        <f t="shared" si="117"/>
        <v>0</v>
      </c>
      <c r="O613" s="194">
        <f t="shared" si="118"/>
        <v>0</v>
      </c>
      <c r="P613" s="212">
        <f t="shared" si="113"/>
        <v>0</v>
      </c>
      <c r="Q613">
        <f t="shared" si="108"/>
        <v>0</v>
      </c>
      <c r="X613" s="216">
        <f t="shared" si="119"/>
        <v>50</v>
      </c>
      <c r="Y613">
        <f t="shared" si="114"/>
        <v>0</v>
      </c>
    </row>
    <row r="614" spans="1:25" ht="13.5" thickBot="1" x14ac:dyDescent="0.25">
      <c r="A614" s="204">
        <f>IF(MOD(COUNT($A$10:A613),12)=0,A613+1,A613)</f>
        <v>51</v>
      </c>
      <c r="B614" s="218">
        <f t="shared" si="115"/>
        <v>5</v>
      </c>
      <c r="C614" s="218">
        <f t="shared" si="110"/>
        <v>1</v>
      </c>
      <c r="D614" s="208">
        <f>IF(MOD(COUNT($D$10:D613),6)=0,D613+1,D613)</f>
        <v>101</v>
      </c>
      <c r="E614" s="208">
        <f>IF(MOD(COUNT($E$10:E613),3)=0,E613+1,E613)</f>
        <v>202</v>
      </c>
      <c r="F614" s="208">
        <f>IF(MOD(COUNT($F$10:F613),1)=0,F613+1,F613)</f>
        <v>605</v>
      </c>
      <c r="G614" s="204">
        <f>IFERROR(IF(C614=1,VLOOKUP(A614,Output!$A$27:$AB$137,28,FALSE)/AnnuityMode,0),0)</f>
        <v>0</v>
      </c>
      <c r="H614" s="220">
        <f>IFERROR(IF(AND(MIN(A614&gt;25,Age+A614&gt;=85),B614=12),VLOOKUP(A614,Output!$A$27:$AE$137,31,FALSE),0),0)</f>
        <v>0</v>
      </c>
      <c r="I614" s="221">
        <f>IFERROR(IF(AND(MIN(A614&gt;15,A614+Age&gt;=70),C614=1),VLOOKUP(A614,Output!$A$27:$AF$137,32,FALSE)*VLOOKUP('SV calc_ignore'!A614,Output!$A$27:$AG$137,33,FALSE)/IF(AnnuityMode=2,2,IF(AnnuityMode=4,4,IF(AnnuityMode=12,12,1))),0),0)</f>
        <v>0</v>
      </c>
      <c r="J614" s="227">
        <f t="shared" si="111"/>
        <v>0</v>
      </c>
      <c r="K614" s="213">
        <f t="shared" si="116"/>
        <v>0</v>
      </c>
      <c r="L614" s="209">
        <f t="shared" si="112"/>
        <v>0</v>
      </c>
      <c r="M614" s="214">
        <f t="shared" si="109"/>
        <v>0</v>
      </c>
      <c r="N614" s="211">
        <f t="shared" si="117"/>
        <v>0</v>
      </c>
      <c r="O614" s="194">
        <f t="shared" si="118"/>
        <v>0</v>
      </c>
      <c r="P614" s="212">
        <f t="shared" si="113"/>
        <v>0</v>
      </c>
      <c r="Q614">
        <f t="shared" si="108"/>
        <v>0</v>
      </c>
      <c r="X614" s="216">
        <f t="shared" si="119"/>
        <v>50</v>
      </c>
      <c r="Y614">
        <f t="shared" si="114"/>
        <v>0</v>
      </c>
    </row>
    <row r="615" spans="1:25" ht="13.5" thickBot="1" x14ac:dyDescent="0.25">
      <c r="A615" s="204">
        <f>IF(MOD(COUNT($A$10:A614),12)=0,A614+1,A614)</f>
        <v>51</v>
      </c>
      <c r="B615" s="218">
        <f t="shared" si="115"/>
        <v>6</v>
      </c>
      <c r="C615" s="218">
        <f t="shared" si="110"/>
        <v>1</v>
      </c>
      <c r="D615" s="208">
        <f>IF(MOD(COUNT($D$10:D614),6)=0,D614+1,D614)</f>
        <v>101</v>
      </c>
      <c r="E615" s="208">
        <f>IF(MOD(COUNT($E$10:E614),3)=0,E614+1,E614)</f>
        <v>202</v>
      </c>
      <c r="F615" s="208">
        <f>IF(MOD(COUNT($F$10:F614),1)=0,F614+1,F614)</f>
        <v>606</v>
      </c>
      <c r="G615" s="204">
        <f>IFERROR(IF(C615=1,VLOOKUP(A615,Output!$A$27:$AB$137,28,FALSE)/AnnuityMode,0),0)</f>
        <v>0</v>
      </c>
      <c r="H615" s="220">
        <f>IFERROR(IF(AND(MIN(A615&gt;25,Age+A615&gt;=85),B615=12),VLOOKUP(A615,Output!$A$27:$AE$137,31,FALSE),0),0)</f>
        <v>0</v>
      </c>
      <c r="I615" s="221">
        <f>IFERROR(IF(AND(MIN(A615&gt;15,A615+Age&gt;=70),C615=1),VLOOKUP(A615,Output!$A$27:$AF$137,32,FALSE)*VLOOKUP('SV calc_ignore'!A615,Output!$A$27:$AG$137,33,FALSE)/IF(AnnuityMode=2,2,IF(AnnuityMode=4,4,IF(AnnuityMode=12,12,1))),0),0)</f>
        <v>0</v>
      </c>
      <c r="J615" s="227">
        <f t="shared" si="111"/>
        <v>0</v>
      </c>
      <c r="K615" s="213">
        <f t="shared" si="116"/>
        <v>0</v>
      </c>
      <c r="L615" s="209">
        <f t="shared" si="112"/>
        <v>0</v>
      </c>
      <c r="M615" s="214">
        <f t="shared" si="109"/>
        <v>0</v>
      </c>
      <c r="N615" s="211">
        <f t="shared" si="117"/>
        <v>0</v>
      </c>
      <c r="O615" s="194">
        <f t="shared" si="118"/>
        <v>0</v>
      </c>
      <c r="P615" s="212">
        <f t="shared" si="113"/>
        <v>0</v>
      </c>
      <c r="Q615">
        <f t="shared" si="108"/>
        <v>0</v>
      </c>
      <c r="X615" s="216">
        <f t="shared" si="119"/>
        <v>50</v>
      </c>
      <c r="Y615">
        <f t="shared" si="114"/>
        <v>0</v>
      </c>
    </row>
    <row r="616" spans="1:25" ht="13.5" thickBot="1" x14ac:dyDescent="0.25">
      <c r="A616" s="204">
        <f>IF(MOD(COUNT($A$10:A615),12)=0,A615+1,A615)</f>
        <v>51</v>
      </c>
      <c r="B616" s="218">
        <f t="shared" si="115"/>
        <v>7</v>
      </c>
      <c r="C616" s="218">
        <f t="shared" si="110"/>
        <v>1</v>
      </c>
      <c r="D616" s="208">
        <f>IF(MOD(COUNT($D$10:D615),6)=0,D615+1,D615)</f>
        <v>102</v>
      </c>
      <c r="E616" s="208">
        <f>IF(MOD(COUNT($E$10:E615),3)=0,E615+1,E615)</f>
        <v>203</v>
      </c>
      <c r="F616" s="208">
        <f>IF(MOD(COUNT($F$10:F615),1)=0,F615+1,F615)</f>
        <v>607</v>
      </c>
      <c r="G616" s="204">
        <f>IFERROR(IF(C616=1,VLOOKUP(A616,Output!$A$27:$AB$137,28,FALSE)/AnnuityMode,0),0)</f>
        <v>0</v>
      </c>
      <c r="H616" s="220">
        <f>IFERROR(IF(AND(MIN(A616&gt;25,Age+A616&gt;=85),B616=12),VLOOKUP(A616,Output!$A$27:$AE$137,31,FALSE),0),0)</f>
        <v>0</v>
      </c>
      <c r="I616" s="221">
        <f>IFERROR(IF(AND(MIN(A616&gt;15,A616+Age&gt;=70),C616=1),VLOOKUP(A616,Output!$A$27:$AF$137,32,FALSE)*VLOOKUP('SV calc_ignore'!A616,Output!$A$27:$AG$137,33,FALSE)/IF(AnnuityMode=2,2,IF(AnnuityMode=4,4,IF(AnnuityMode=12,12,1))),0),0)</f>
        <v>0</v>
      </c>
      <c r="J616" s="227">
        <f t="shared" si="111"/>
        <v>0</v>
      </c>
      <c r="K616" s="213">
        <f t="shared" si="116"/>
        <v>0</v>
      </c>
      <c r="L616" s="209">
        <f t="shared" si="112"/>
        <v>0</v>
      </c>
      <c r="M616" s="214">
        <f t="shared" si="109"/>
        <v>0</v>
      </c>
      <c r="N616" s="211">
        <f t="shared" si="117"/>
        <v>0</v>
      </c>
      <c r="O616" s="194">
        <f t="shared" si="118"/>
        <v>0</v>
      </c>
      <c r="P616" s="212">
        <f t="shared" si="113"/>
        <v>0</v>
      </c>
      <c r="Q616">
        <f t="shared" si="108"/>
        <v>0</v>
      </c>
      <c r="X616" s="216">
        <f t="shared" si="119"/>
        <v>50</v>
      </c>
      <c r="Y616">
        <f t="shared" si="114"/>
        <v>0</v>
      </c>
    </row>
    <row r="617" spans="1:25" ht="13.5" thickBot="1" x14ac:dyDescent="0.25">
      <c r="A617" s="204">
        <f>IF(MOD(COUNT($A$10:A616),12)=0,A616+1,A616)</f>
        <v>51</v>
      </c>
      <c r="B617" s="218">
        <f t="shared" si="115"/>
        <v>8</v>
      </c>
      <c r="C617" s="218">
        <f t="shared" si="110"/>
        <v>1</v>
      </c>
      <c r="D617" s="208">
        <f>IF(MOD(COUNT($D$10:D616),6)=0,D616+1,D616)</f>
        <v>102</v>
      </c>
      <c r="E617" s="208">
        <f>IF(MOD(COUNT($E$10:E616),3)=0,E616+1,E616)</f>
        <v>203</v>
      </c>
      <c r="F617" s="208">
        <f>IF(MOD(COUNT($F$10:F616),1)=0,F616+1,F616)</f>
        <v>608</v>
      </c>
      <c r="G617" s="204">
        <f>IFERROR(IF(C617=1,VLOOKUP(A617,Output!$A$27:$AB$137,28,FALSE)/AnnuityMode,0),0)</f>
        <v>0</v>
      </c>
      <c r="H617" s="220">
        <f>IFERROR(IF(AND(MIN(A617&gt;25,Age+A617&gt;=85),B617=12),VLOOKUP(A617,Output!$A$27:$AE$137,31,FALSE),0),0)</f>
        <v>0</v>
      </c>
      <c r="I617" s="221">
        <f>IFERROR(IF(AND(MIN(A617&gt;15,A617+Age&gt;=70),C617=1),VLOOKUP(A617,Output!$A$27:$AF$137,32,FALSE)*VLOOKUP('SV calc_ignore'!A617,Output!$A$27:$AG$137,33,FALSE)/IF(AnnuityMode=2,2,IF(AnnuityMode=4,4,IF(AnnuityMode=12,12,1))),0),0)</f>
        <v>0</v>
      </c>
      <c r="J617" s="227">
        <f t="shared" si="111"/>
        <v>0</v>
      </c>
      <c r="K617" s="213">
        <f t="shared" si="116"/>
        <v>0</v>
      </c>
      <c r="L617" s="209">
        <f t="shared" si="112"/>
        <v>0</v>
      </c>
      <c r="M617" s="214">
        <f t="shared" si="109"/>
        <v>0</v>
      </c>
      <c r="N617" s="211">
        <f t="shared" si="117"/>
        <v>0</v>
      </c>
      <c r="O617" s="194">
        <f t="shared" si="118"/>
        <v>0</v>
      </c>
      <c r="P617" s="212">
        <f t="shared" si="113"/>
        <v>0</v>
      </c>
      <c r="Q617">
        <f t="shared" si="108"/>
        <v>0</v>
      </c>
      <c r="X617" s="216">
        <f t="shared" si="119"/>
        <v>50</v>
      </c>
      <c r="Y617">
        <f t="shared" si="114"/>
        <v>0</v>
      </c>
    </row>
    <row r="618" spans="1:25" ht="13.5" thickBot="1" x14ac:dyDescent="0.25">
      <c r="A618" s="204">
        <f>IF(MOD(COUNT($A$10:A617),12)=0,A617+1,A617)</f>
        <v>51</v>
      </c>
      <c r="B618" s="218">
        <f t="shared" si="115"/>
        <v>9</v>
      </c>
      <c r="C618" s="218">
        <f t="shared" si="110"/>
        <v>1</v>
      </c>
      <c r="D618" s="208">
        <f>IF(MOD(COUNT($D$10:D617),6)=0,D617+1,D617)</f>
        <v>102</v>
      </c>
      <c r="E618" s="208">
        <f>IF(MOD(COUNT($E$10:E617),3)=0,E617+1,E617)</f>
        <v>203</v>
      </c>
      <c r="F618" s="208">
        <f>IF(MOD(COUNT($F$10:F617),1)=0,F617+1,F617)</f>
        <v>609</v>
      </c>
      <c r="G618" s="204">
        <f>IFERROR(IF(C618=1,VLOOKUP(A618,Output!$A$27:$AB$137,28,FALSE)/AnnuityMode,0),0)</f>
        <v>0</v>
      </c>
      <c r="H618" s="220">
        <f>IFERROR(IF(AND(MIN(A618&gt;25,Age+A618&gt;=85),B618=12),VLOOKUP(A618,Output!$A$27:$AE$137,31,FALSE),0),0)</f>
        <v>0</v>
      </c>
      <c r="I618" s="221">
        <f>IFERROR(IF(AND(MIN(A618&gt;15,A618+Age&gt;=70),C618=1),VLOOKUP(A618,Output!$A$27:$AF$137,32,FALSE)*VLOOKUP('SV calc_ignore'!A618,Output!$A$27:$AG$137,33,FALSE)/IF(AnnuityMode=2,2,IF(AnnuityMode=4,4,IF(AnnuityMode=12,12,1))),0),0)</f>
        <v>0</v>
      </c>
      <c r="J618" s="227">
        <f t="shared" si="111"/>
        <v>0</v>
      </c>
      <c r="K618" s="213">
        <f t="shared" si="116"/>
        <v>0</v>
      </c>
      <c r="L618" s="209">
        <f t="shared" si="112"/>
        <v>0</v>
      </c>
      <c r="M618" s="214">
        <f t="shared" si="109"/>
        <v>0</v>
      </c>
      <c r="N618" s="211">
        <f t="shared" si="117"/>
        <v>0</v>
      </c>
      <c r="O618" s="194">
        <f t="shared" si="118"/>
        <v>0</v>
      </c>
      <c r="P618" s="212">
        <f t="shared" si="113"/>
        <v>0</v>
      </c>
      <c r="Q618">
        <f t="shared" ref="Q618:Q681" si="120">(I618+(Q619)*(1+$K$3)^(-1))*(A618&lt;=$W$5)</f>
        <v>0</v>
      </c>
      <c r="X618" s="216">
        <f t="shared" si="119"/>
        <v>50</v>
      </c>
      <c r="Y618">
        <f t="shared" si="114"/>
        <v>0</v>
      </c>
    </row>
    <row r="619" spans="1:25" ht="13.5" thickBot="1" x14ac:dyDescent="0.25">
      <c r="A619" s="204">
        <f>IF(MOD(COUNT($A$10:A618),12)=0,A618+1,A618)</f>
        <v>51</v>
      </c>
      <c r="B619" s="218">
        <f t="shared" si="115"/>
        <v>10</v>
      </c>
      <c r="C619" s="218">
        <f t="shared" si="110"/>
        <v>1</v>
      </c>
      <c r="D619" s="208">
        <f>IF(MOD(COUNT($D$10:D618),6)=0,D618+1,D618)</f>
        <v>102</v>
      </c>
      <c r="E619" s="208">
        <f>IF(MOD(COUNT($E$10:E618),3)=0,E618+1,E618)</f>
        <v>204</v>
      </c>
      <c r="F619" s="208">
        <f>IF(MOD(COUNT($F$10:F618),1)=0,F618+1,F618)</f>
        <v>610</v>
      </c>
      <c r="G619" s="204">
        <f>IFERROR(IF(C619=1,VLOOKUP(A619,Output!$A$27:$AB$137,28,FALSE)/AnnuityMode,0),0)</f>
        <v>0</v>
      </c>
      <c r="H619" s="220">
        <f>IFERROR(IF(AND(MIN(A619&gt;25,Age+A619&gt;=85),B619=12),VLOOKUP(A619,Output!$A$27:$AE$137,31,FALSE),0),0)</f>
        <v>0</v>
      </c>
      <c r="I619" s="221">
        <f>IFERROR(IF(AND(MIN(A619&gt;15,A619+Age&gt;=70),C619=1),VLOOKUP(A619,Output!$A$27:$AF$137,32,FALSE)*VLOOKUP('SV calc_ignore'!A619,Output!$A$27:$AG$137,33,FALSE)/IF(AnnuityMode=2,2,IF(AnnuityMode=4,4,IF(AnnuityMode=12,12,1))),0),0)</f>
        <v>0</v>
      </c>
      <c r="J619" s="227">
        <f t="shared" si="111"/>
        <v>0</v>
      </c>
      <c r="K619" s="213">
        <f t="shared" si="116"/>
        <v>0</v>
      </c>
      <c r="L619" s="209">
        <f t="shared" si="112"/>
        <v>0</v>
      </c>
      <c r="M619" s="214">
        <f t="shared" si="109"/>
        <v>0</v>
      </c>
      <c r="N619" s="211">
        <f t="shared" si="117"/>
        <v>0</v>
      </c>
      <c r="O619" s="194">
        <f t="shared" si="118"/>
        <v>0</v>
      </c>
      <c r="P619" s="212">
        <f t="shared" si="113"/>
        <v>0</v>
      </c>
      <c r="Q619">
        <f t="shared" si="120"/>
        <v>0</v>
      </c>
      <c r="X619" s="216">
        <f t="shared" si="119"/>
        <v>50</v>
      </c>
      <c r="Y619">
        <f t="shared" si="114"/>
        <v>0</v>
      </c>
    </row>
    <row r="620" spans="1:25" ht="13.5" thickBot="1" x14ac:dyDescent="0.25">
      <c r="A620" s="204">
        <f>IF(MOD(COUNT($A$10:A619),12)=0,A619+1,A619)</f>
        <v>51</v>
      </c>
      <c r="B620" s="218">
        <f t="shared" si="115"/>
        <v>11</v>
      </c>
      <c r="C620" s="218">
        <f t="shared" si="110"/>
        <v>1</v>
      </c>
      <c r="D620" s="208">
        <f>IF(MOD(COUNT($D$10:D619),6)=0,D619+1,D619)</f>
        <v>102</v>
      </c>
      <c r="E620" s="208">
        <f>IF(MOD(COUNT($E$10:E619),3)=0,E619+1,E619)</f>
        <v>204</v>
      </c>
      <c r="F620" s="208">
        <f>IF(MOD(COUNT($F$10:F619),1)=0,F619+1,F619)</f>
        <v>611</v>
      </c>
      <c r="G620" s="204">
        <f>IFERROR(IF(C620=1,VLOOKUP(A620,Output!$A$27:$AB$137,28,FALSE)/AnnuityMode,0),0)</f>
        <v>0</v>
      </c>
      <c r="H620" s="220">
        <f>IFERROR(IF(AND(MIN(A620&gt;25,Age+A620&gt;=85),B620=12),VLOOKUP(A620,Output!$A$27:$AE$137,31,FALSE),0),0)</f>
        <v>0</v>
      </c>
      <c r="I620" s="221">
        <f>IFERROR(IF(AND(MIN(A620&gt;15,A620+Age&gt;=70),C620=1),VLOOKUP(A620,Output!$A$27:$AF$137,32,FALSE)*VLOOKUP('SV calc_ignore'!A620,Output!$A$27:$AG$137,33,FALSE)/IF(AnnuityMode=2,2,IF(AnnuityMode=4,4,IF(AnnuityMode=12,12,1))),0),0)</f>
        <v>0</v>
      </c>
      <c r="J620" s="227">
        <f t="shared" si="111"/>
        <v>0</v>
      </c>
      <c r="K620" s="213">
        <f t="shared" si="116"/>
        <v>0</v>
      </c>
      <c r="L620" s="209">
        <f t="shared" si="112"/>
        <v>0</v>
      </c>
      <c r="M620" s="214">
        <f t="shared" si="109"/>
        <v>0</v>
      </c>
      <c r="N620" s="211">
        <f t="shared" si="117"/>
        <v>0</v>
      </c>
      <c r="O620" s="194">
        <f t="shared" si="118"/>
        <v>0</v>
      </c>
      <c r="P620" s="212">
        <f t="shared" si="113"/>
        <v>0</v>
      </c>
      <c r="Q620">
        <f t="shared" si="120"/>
        <v>0</v>
      </c>
      <c r="X620" s="216">
        <f t="shared" si="119"/>
        <v>50</v>
      </c>
      <c r="Y620">
        <f t="shared" si="114"/>
        <v>0</v>
      </c>
    </row>
    <row r="621" spans="1:25" ht="13.5" thickBot="1" x14ac:dyDescent="0.25">
      <c r="A621" s="204">
        <f>IF(MOD(COUNT($A$10:A620),12)=0,A620+1,A620)</f>
        <v>51</v>
      </c>
      <c r="B621" s="218">
        <f t="shared" si="115"/>
        <v>12</v>
      </c>
      <c r="C621" s="218">
        <f t="shared" si="110"/>
        <v>1</v>
      </c>
      <c r="D621" s="208">
        <f>IF(MOD(COUNT($D$10:D620),6)=0,D620+1,D620)</f>
        <v>102</v>
      </c>
      <c r="E621" s="208">
        <f>IF(MOD(COUNT($E$10:E620),3)=0,E620+1,E620)</f>
        <v>204</v>
      </c>
      <c r="F621" s="208">
        <f>IF(MOD(COUNT($F$10:F620),1)=0,F620+1,F620)</f>
        <v>612</v>
      </c>
      <c r="G621" s="204">
        <f>IFERROR(IF(C621=1,VLOOKUP(A621,Output!$A$27:$AB$137,28,FALSE)/AnnuityMode,0),0)</f>
        <v>0</v>
      </c>
      <c r="H621" s="220">
        <f>IFERROR(IF(AND(MIN(A621&gt;25,Age+A621&gt;=85),B621=12),VLOOKUP(A621,Output!$A$27:$AE$137,31,FALSE),0),0)</f>
        <v>0</v>
      </c>
      <c r="I621" s="221">
        <f>IFERROR(IF(AND(MIN(A621&gt;15,A621+Age&gt;=70),C621=1),VLOOKUP(A621,Output!$A$27:$AF$137,32,FALSE)*VLOOKUP('SV calc_ignore'!A621,Output!$A$27:$AG$137,33,FALSE)/IF(AnnuityMode=2,2,IF(AnnuityMode=4,4,IF(AnnuityMode=12,12,1))),0),0)</f>
        <v>0</v>
      </c>
      <c r="J621" s="227">
        <f t="shared" si="111"/>
        <v>0</v>
      </c>
      <c r="K621" s="213">
        <f t="shared" si="116"/>
        <v>0</v>
      </c>
      <c r="L621" s="209">
        <f t="shared" si="112"/>
        <v>0</v>
      </c>
      <c r="M621" s="214">
        <f t="shared" si="109"/>
        <v>0</v>
      </c>
      <c r="N621" s="211">
        <f t="shared" si="117"/>
        <v>0</v>
      </c>
      <c r="O621" s="194">
        <f t="shared" si="118"/>
        <v>0</v>
      </c>
      <c r="P621" s="212">
        <f t="shared" si="113"/>
        <v>0</v>
      </c>
      <c r="Q621">
        <f t="shared" si="120"/>
        <v>0</v>
      </c>
      <c r="X621" s="216">
        <f t="shared" si="119"/>
        <v>50</v>
      </c>
      <c r="Y621">
        <f t="shared" si="114"/>
        <v>0</v>
      </c>
    </row>
    <row r="622" spans="1:25" ht="13.5" thickBot="1" x14ac:dyDescent="0.25">
      <c r="A622" s="204">
        <f>IF(MOD(COUNT($A$10:A621),12)=0,A621+1,A621)</f>
        <v>52</v>
      </c>
      <c r="B622" s="218">
        <f t="shared" si="115"/>
        <v>1</v>
      </c>
      <c r="C622" s="218">
        <f t="shared" si="110"/>
        <v>1</v>
      </c>
      <c r="D622" s="208">
        <f>IF(MOD(COUNT($D$10:D621),6)=0,D621+1,D621)</f>
        <v>103</v>
      </c>
      <c r="E622" s="208">
        <f>IF(MOD(COUNT($E$10:E621),3)=0,E621+1,E621)</f>
        <v>205</v>
      </c>
      <c r="F622" s="208">
        <f>IF(MOD(COUNT($F$10:F621),1)=0,F621+1,F621)</f>
        <v>613</v>
      </c>
      <c r="G622" s="204">
        <f>IFERROR(IF(C622=1,VLOOKUP(A622,Output!$A$27:$AB$137,28,FALSE)/AnnuityMode,0),0)</f>
        <v>0</v>
      </c>
      <c r="H622" s="220">
        <f>IFERROR(IF(AND(MIN(A622&gt;25,Age+A622&gt;=85),B622=12),VLOOKUP(A622,Output!$A$27:$AE$137,31,FALSE),0),0)</f>
        <v>0</v>
      </c>
      <c r="I622" s="221">
        <f>IFERROR(IF(AND(MIN(A622&gt;15,A622+Age&gt;=70),C622=1),VLOOKUP(A622,Output!$A$27:$AF$137,32,FALSE)*VLOOKUP('SV calc_ignore'!A622,Output!$A$27:$AG$137,33,FALSE)/IF(AnnuityMode=2,2,IF(AnnuityMode=4,4,IF(AnnuityMode=12,12,1))),0),0)</f>
        <v>0</v>
      </c>
      <c r="J622" s="227">
        <f t="shared" si="111"/>
        <v>0</v>
      </c>
      <c r="K622" s="213">
        <f t="shared" si="116"/>
        <v>0</v>
      </c>
      <c r="L622" s="209">
        <f t="shared" si="112"/>
        <v>0</v>
      </c>
      <c r="M622" s="214">
        <f t="shared" si="109"/>
        <v>0</v>
      </c>
      <c r="N622" s="211">
        <f t="shared" si="117"/>
        <v>0</v>
      </c>
      <c r="O622" s="194">
        <f t="shared" si="118"/>
        <v>0</v>
      </c>
      <c r="P622" s="212">
        <f t="shared" si="113"/>
        <v>0</v>
      </c>
      <c r="Q622">
        <f t="shared" si="120"/>
        <v>0</v>
      </c>
      <c r="X622" s="216">
        <f t="shared" si="119"/>
        <v>51</v>
      </c>
      <c r="Y622">
        <f t="shared" si="114"/>
        <v>0</v>
      </c>
    </row>
    <row r="623" spans="1:25" ht="13.5" thickBot="1" x14ac:dyDescent="0.25">
      <c r="A623" s="204">
        <f>IF(MOD(COUNT($A$10:A622),12)=0,A622+1,A622)</f>
        <v>52</v>
      </c>
      <c r="B623" s="218">
        <f t="shared" si="115"/>
        <v>2</v>
      </c>
      <c r="C623" s="218">
        <f t="shared" si="110"/>
        <v>1</v>
      </c>
      <c r="D623" s="208">
        <f>IF(MOD(COUNT($D$10:D622),6)=0,D622+1,D622)</f>
        <v>103</v>
      </c>
      <c r="E623" s="208">
        <f>IF(MOD(COUNT($E$10:E622),3)=0,E622+1,E622)</f>
        <v>205</v>
      </c>
      <c r="F623" s="208">
        <f>IF(MOD(COUNT($F$10:F622),1)=0,F622+1,F622)</f>
        <v>614</v>
      </c>
      <c r="G623" s="204">
        <f>IFERROR(IF(C623=1,VLOOKUP(A623,Output!$A$27:$AB$137,28,FALSE)/AnnuityMode,0),0)</f>
        <v>0</v>
      </c>
      <c r="H623" s="220">
        <f>IFERROR(IF(AND(MIN(A623&gt;25,Age+A623&gt;=85),B623=12),VLOOKUP(A623,Output!$A$27:$AE$137,31,FALSE),0),0)</f>
        <v>0</v>
      </c>
      <c r="I623" s="221">
        <f>IFERROR(IF(AND(MIN(A623&gt;15,A623+Age&gt;=70),C623=1),VLOOKUP(A623,Output!$A$27:$AF$137,32,FALSE)*VLOOKUP('SV calc_ignore'!A623,Output!$A$27:$AG$137,33,FALSE)/IF(AnnuityMode=2,2,IF(AnnuityMode=4,4,IF(AnnuityMode=12,12,1))),0),0)</f>
        <v>0</v>
      </c>
      <c r="J623" s="227">
        <f t="shared" si="111"/>
        <v>0</v>
      </c>
      <c r="K623" s="213">
        <f t="shared" si="116"/>
        <v>0</v>
      </c>
      <c r="L623" s="209">
        <f t="shared" si="112"/>
        <v>0</v>
      </c>
      <c r="M623" s="214">
        <f t="shared" si="109"/>
        <v>0</v>
      </c>
      <c r="N623" s="211">
        <f t="shared" si="117"/>
        <v>0</v>
      </c>
      <c r="O623" s="194">
        <f t="shared" si="118"/>
        <v>0</v>
      </c>
      <c r="P623" s="212">
        <f t="shared" si="113"/>
        <v>0</v>
      </c>
      <c r="Q623">
        <f t="shared" si="120"/>
        <v>0</v>
      </c>
      <c r="X623" s="216">
        <f t="shared" si="119"/>
        <v>51</v>
      </c>
      <c r="Y623">
        <f t="shared" si="114"/>
        <v>0</v>
      </c>
    </row>
    <row r="624" spans="1:25" ht="13.5" thickBot="1" x14ac:dyDescent="0.25">
      <c r="A624" s="204">
        <f>IF(MOD(COUNT($A$10:A623),12)=0,A623+1,A623)</f>
        <v>52</v>
      </c>
      <c r="B624" s="218">
        <f t="shared" si="115"/>
        <v>3</v>
      </c>
      <c r="C624" s="218">
        <f t="shared" si="110"/>
        <v>1</v>
      </c>
      <c r="D624" s="208">
        <f>IF(MOD(COUNT($D$10:D623),6)=0,D623+1,D623)</f>
        <v>103</v>
      </c>
      <c r="E624" s="208">
        <f>IF(MOD(COUNT($E$10:E623),3)=0,E623+1,E623)</f>
        <v>205</v>
      </c>
      <c r="F624" s="208">
        <f>IF(MOD(COUNT($F$10:F623),1)=0,F623+1,F623)</f>
        <v>615</v>
      </c>
      <c r="G624" s="204">
        <f>IFERROR(IF(C624=1,VLOOKUP(A624,Output!$A$27:$AB$137,28,FALSE)/AnnuityMode,0),0)</f>
        <v>0</v>
      </c>
      <c r="H624" s="220">
        <f>IFERROR(IF(AND(MIN(A624&gt;25,Age+A624&gt;=85),B624=12),VLOOKUP(A624,Output!$A$27:$AE$137,31,FALSE),0),0)</f>
        <v>0</v>
      </c>
      <c r="I624" s="221">
        <f>IFERROR(IF(AND(MIN(A624&gt;15,A624+Age&gt;=70),C624=1),VLOOKUP(A624,Output!$A$27:$AF$137,32,FALSE)*VLOOKUP('SV calc_ignore'!A624,Output!$A$27:$AG$137,33,FALSE)/IF(AnnuityMode=2,2,IF(AnnuityMode=4,4,IF(AnnuityMode=12,12,1))),0),0)</f>
        <v>0</v>
      </c>
      <c r="J624" s="227">
        <f t="shared" si="111"/>
        <v>0</v>
      </c>
      <c r="K624" s="213">
        <f t="shared" si="116"/>
        <v>0</v>
      </c>
      <c r="L624" s="209">
        <f t="shared" si="112"/>
        <v>0</v>
      </c>
      <c r="M624" s="214">
        <f t="shared" si="109"/>
        <v>0</v>
      </c>
      <c r="N624" s="211">
        <f t="shared" si="117"/>
        <v>0</v>
      </c>
      <c r="O624" s="194">
        <f t="shared" si="118"/>
        <v>0</v>
      </c>
      <c r="P624" s="212">
        <f t="shared" si="113"/>
        <v>0</v>
      </c>
      <c r="Q624">
        <f t="shared" si="120"/>
        <v>0</v>
      </c>
      <c r="X624" s="216">
        <f t="shared" si="119"/>
        <v>51</v>
      </c>
      <c r="Y624">
        <f t="shared" si="114"/>
        <v>0</v>
      </c>
    </row>
    <row r="625" spans="1:25" ht="13.5" thickBot="1" x14ac:dyDescent="0.25">
      <c r="A625" s="204">
        <f>IF(MOD(COUNT($A$10:A624),12)=0,A624+1,A624)</f>
        <v>52</v>
      </c>
      <c r="B625" s="218">
        <f t="shared" si="115"/>
        <v>4</v>
      </c>
      <c r="C625" s="218">
        <f t="shared" si="110"/>
        <v>1</v>
      </c>
      <c r="D625" s="208">
        <f>IF(MOD(COUNT($D$10:D624),6)=0,D624+1,D624)</f>
        <v>103</v>
      </c>
      <c r="E625" s="208">
        <f>IF(MOD(COUNT($E$10:E624),3)=0,E624+1,E624)</f>
        <v>206</v>
      </c>
      <c r="F625" s="208">
        <f>IF(MOD(COUNT($F$10:F624),1)=0,F624+1,F624)</f>
        <v>616</v>
      </c>
      <c r="G625" s="204">
        <f>IFERROR(IF(C625=1,VLOOKUP(A625,Output!$A$27:$AB$137,28,FALSE)/AnnuityMode,0),0)</f>
        <v>0</v>
      </c>
      <c r="H625" s="220">
        <f>IFERROR(IF(AND(MIN(A625&gt;25,Age+A625&gt;=85),B625=12),VLOOKUP(A625,Output!$A$27:$AE$137,31,FALSE),0),0)</f>
        <v>0</v>
      </c>
      <c r="I625" s="221">
        <f>IFERROR(IF(AND(MIN(A625&gt;15,A625+Age&gt;=70),C625=1),VLOOKUP(A625,Output!$A$27:$AF$137,32,FALSE)*VLOOKUP('SV calc_ignore'!A625,Output!$A$27:$AG$137,33,FALSE)/IF(AnnuityMode=2,2,IF(AnnuityMode=4,4,IF(AnnuityMode=12,12,1))),0),0)</f>
        <v>0</v>
      </c>
      <c r="J625" s="227">
        <f t="shared" si="111"/>
        <v>0</v>
      </c>
      <c r="K625" s="213">
        <f t="shared" si="116"/>
        <v>0</v>
      </c>
      <c r="L625" s="209">
        <f t="shared" si="112"/>
        <v>0</v>
      </c>
      <c r="M625" s="214">
        <f t="shared" si="109"/>
        <v>0</v>
      </c>
      <c r="N625" s="211">
        <f t="shared" si="117"/>
        <v>0</v>
      </c>
      <c r="O625" s="194">
        <f t="shared" si="118"/>
        <v>0</v>
      </c>
      <c r="P625" s="212">
        <f t="shared" si="113"/>
        <v>0</v>
      </c>
      <c r="Q625">
        <f t="shared" si="120"/>
        <v>0</v>
      </c>
      <c r="X625" s="216">
        <f t="shared" si="119"/>
        <v>51</v>
      </c>
      <c r="Y625">
        <f t="shared" si="114"/>
        <v>0</v>
      </c>
    </row>
    <row r="626" spans="1:25" ht="13.5" thickBot="1" x14ac:dyDescent="0.25">
      <c r="A626" s="204">
        <f>IF(MOD(COUNT($A$10:A625),12)=0,A625+1,A625)</f>
        <v>52</v>
      </c>
      <c r="B626" s="218">
        <f t="shared" si="115"/>
        <v>5</v>
      </c>
      <c r="C626" s="218">
        <f t="shared" si="110"/>
        <v>1</v>
      </c>
      <c r="D626" s="208">
        <f>IF(MOD(COUNT($D$10:D625),6)=0,D625+1,D625)</f>
        <v>103</v>
      </c>
      <c r="E626" s="208">
        <f>IF(MOD(COUNT($E$10:E625),3)=0,E625+1,E625)</f>
        <v>206</v>
      </c>
      <c r="F626" s="208">
        <f>IF(MOD(COUNT($F$10:F625),1)=0,F625+1,F625)</f>
        <v>617</v>
      </c>
      <c r="G626" s="204">
        <f>IFERROR(IF(C626=1,VLOOKUP(A626,Output!$A$27:$AB$137,28,FALSE)/AnnuityMode,0),0)</f>
        <v>0</v>
      </c>
      <c r="H626" s="220">
        <f>IFERROR(IF(AND(MIN(A626&gt;25,Age+A626&gt;=85),B626=12),VLOOKUP(A626,Output!$A$27:$AE$137,31,FALSE),0),0)</f>
        <v>0</v>
      </c>
      <c r="I626" s="221">
        <f>IFERROR(IF(AND(MIN(A626&gt;15,A626+Age&gt;=70),C626=1),VLOOKUP(A626,Output!$A$27:$AF$137,32,FALSE)*VLOOKUP('SV calc_ignore'!A626,Output!$A$27:$AG$137,33,FALSE)/IF(AnnuityMode=2,2,IF(AnnuityMode=4,4,IF(AnnuityMode=12,12,1))),0),0)</f>
        <v>0</v>
      </c>
      <c r="J626" s="227">
        <f t="shared" si="111"/>
        <v>0</v>
      </c>
      <c r="K626" s="213">
        <f t="shared" si="116"/>
        <v>0</v>
      </c>
      <c r="L626" s="209">
        <f t="shared" si="112"/>
        <v>0</v>
      </c>
      <c r="M626" s="214">
        <f t="shared" si="109"/>
        <v>0</v>
      </c>
      <c r="N626" s="211">
        <f t="shared" si="117"/>
        <v>0</v>
      </c>
      <c r="O626" s="194">
        <f t="shared" si="118"/>
        <v>0</v>
      </c>
      <c r="P626" s="212">
        <f t="shared" si="113"/>
        <v>0</v>
      </c>
      <c r="Q626">
        <f t="shared" si="120"/>
        <v>0</v>
      </c>
      <c r="X626" s="216">
        <f t="shared" si="119"/>
        <v>51</v>
      </c>
      <c r="Y626">
        <f t="shared" si="114"/>
        <v>0</v>
      </c>
    </row>
    <row r="627" spans="1:25" ht="13.5" thickBot="1" x14ac:dyDescent="0.25">
      <c r="A627" s="204">
        <f>IF(MOD(COUNT($A$10:A626),12)=0,A626+1,A626)</f>
        <v>52</v>
      </c>
      <c r="B627" s="218">
        <f t="shared" si="115"/>
        <v>6</v>
      </c>
      <c r="C627" s="218">
        <f t="shared" si="110"/>
        <v>1</v>
      </c>
      <c r="D627" s="208">
        <f>IF(MOD(COUNT($D$10:D626),6)=0,D626+1,D626)</f>
        <v>103</v>
      </c>
      <c r="E627" s="208">
        <f>IF(MOD(COUNT($E$10:E626),3)=0,E626+1,E626)</f>
        <v>206</v>
      </c>
      <c r="F627" s="208">
        <f>IF(MOD(COUNT($F$10:F626),1)=0,F626+1,F626)</f>
        <v>618</v>
      </c>
      <c r="G627" s="204">
        <f>IFERROR(IF(C627=1,VLOOKUP(A627,Output!$A$27:$AB$137,28,FALSE)/AnnuityMode,0),0)</f>
        <v>0</v>
      </c>
      <c r="H627" s="220">
        <f>IFERROR(IF(AND(MIN(A627&gt;25,Age+A627&gt;=85),B627=12),VLOOKUP(A627,Output!$A$27:$AE$137,31,FALSE),0),0)</f>
        <v>0</v>
      </c>
      <c r="I627" s="221">
        <f>IFERROR(IF(AND(MIN(A627&gt;15,A627+Age&gt;=70),C627=1),VLOOKUP(A627,Output!$A$27:$AF$137,32,FALSE)*VLOOKUP('SV calc_ignore'!A627,Output!$A$27:$AG$137,33,FALSE)/IF(AnnuityMode=2,2,IF(AnnuityMode=4,4,IF(AnnuityMode=12,12,1))),0),0)</f>
        <v>0</v>
      </c>
      <c r="J627" s="227">
        <f t="shared" si="111"/>
        <v>0</v>
      </c>
      <c r="K627" s="213">
        <f t="shared" si="116"/>
        <v>0</v>
      </c>
      <c r="L627" s="209">
        <f t="shared" si="112"/>
        <v>0</v>
      </c>
      <c r="M627" s="214">
        <f t="shared" si="109"/>
        <v>0</v>
      </c>
      <c r="N627" s="211">
        <f t="shared" si="117"/>
        <v>0</v>
      </c>
      <c r="O627" s="194">
        <f t="shared" si="118"/>
        <v>0</v>
      </c>
      <c r="P627" s="212">
        <f t="shared" si="113"/>
        <v>0</v>
      </c>
      <c r="Q627">
        <f t="shared" si="120"/>
        <v>0</v>
      </c>
      <c r="X627" s="216">
        <f t="shared" si="119"/>
        <v>51</v>
      </c>
      <c r="Y627">
        <f t="shared" si="114"/>
        <v>0</v>
      </c>
    </row>
    <row r="628" spans="1:25" ht="13.5" thickBot="1" x14ac:dyDescent="0.25">
      <c r="A628" s="204">
        <f>IF(MOD(COUNT($A$10:A627),12)=0,A627+1,A627)</f>
        <v>52</v>
      </c>
      <c r="B628" s="218">
        <f t="shared" si="115"/>
        <v>7</v>
      </c>
      <c r="C628" s="218">
        <f t="shared" si="110"/>
        <v>1</v>
      </c>
      <c r="D628" s="208">
        <f>IF(MOD(COUNT($D$10:D627),6)=0,D627+1,D627)</f>
        <v>104</v>
      </c>
      <c r="E628" s="208">
        <f>IF(MOD(COUNT($E$10:E627),3)=0,E627+1,E627)</f>
        <v>207</v>
      </c>
      <c r="F628" s="208">
        <f>IF(MOD(COUNT($F$10:F627),1)=0,F627+1,F627)</f>
        <v>619</v>
      </c>
      <c r="G628" s="204">
        <f>IFERROR(IF(C628=1,VLOOKUP(A628,Output!$A$27:$AB$137,28,FALSE)/AnnuityMode,0),0)</f>
        <v>0</v>
      </c>
      <c r="H628" s="220">
        <f>IFERROR(IF(AND(MIN(A628&gt;25,Age+A628&gt;=85),B628=12),VLOOKUP(A628,Output!$A$27:$AE$137,31,FALSE),0),0)</f>
        <v>0</v>
      </c>
      <c r="I628" s="221">
        <f>IFERROR(IF(AND(MIN(A628&gt;15,A628+Age&gt;=70),C628=1),VLOOKUP(A628,Output!$A$27:$AF$137,32,FALSE)*VLOOKUP('SV calc_ignore'!A628,Output!$A$27:$AG$137,33,FALSE)/IF(AnnuityMode=2,2,IF(AnnuityMode=4,4,IF(AnnuityMode=12,12,1))),0),0)</f>
        <v>0</v>
      </c>
      <c r="J628" s="227">
        <f t="shared" si="111"/>
        <v>0</v>
      </c>
      <c r="K628" s="213">
        <f t="shared" si="116"/>
        <v>0</v>
      </c>
      <c r="L628" s="209">
        <f t="shared" si="112"/>
        <v>0</v>
      </c>
      <c r="M628" s="214">
        <f t="shared" si="109"/>
        <v>0</v>
      </c>
      <c r="N628" s="211">
        <f t="shared" si="117"/>
        <v>0</v>
      </c>
      <c r="O628" s="194">
        <f t="shared" si="118"/>
        <v>0</v>
      </c>
      <c r="P628" s="212">
        <f t="shared" si="113"/>
        <v>0</v>
      </c>
      <c r="Q628">
        <f t="shared" si="120"/>
        <v>0</v>
      </c>
      <c r="X628" s="216">
        <f t="shared" si="119"/>
        <v>51</v>
      </c>
      <c r="Y628">
        <f t="shared" si="114"/>
        <v>0</v>
      </c>
    </row>
    <row r="629" spans="1:25" ht="13.5" thickBot="1" x14ac:dyDescent="0.25">
      <c r="A629" s="204">
        <f>IF(MOD(COUNT($A$10:A628),12)=0,A628+1,A628)</f>
        <v>52</v>
      </c>
      <c r="B629" s="218">
        <f t="shared" si="115"/>
        <v>8</v>
      </c>
      <c r="C629" s="218">
        <f t="shared" si="110"/>
        <v>1</v>
      </c>
      <c r="D629" s="208">
        <f>IF(MOD(COUNT($D$10:D628),6)=0,D628+1,D628)</f>
        <v>104</v>
      </c>
      <c r="E629" s="208">
        <f>IF(MOD(COUNT($E$10:E628),3)=0,E628+1,E628)</f>
        <v>207</v>
      </c>
      <c r="F629" s="208">
        <f>IF(MOD(COUNT($F$10:F628),1)=0,F628+1,F628)</f>
        <v>620</v>
      </c>
      <c r="G629" s="204">
        <f>IFERROR(IF(C629=1,VLOOKUP(A629,Output!$A$27:$AB$137,28,FALSE)/AnnuityMode,0),0)</f>
        <v>0</v>
      </c>
      <c r="H629" s="220">
        <f>IFERROR(IF(AND(MIN(A629&gt;25,Age+A629&gt;=85),B629=12),VLOOKUP(A629,Output!$A$27:$AE$137,31,FALSE),0),0)</f>
        <v>0</v>
      </c>
      <c r="I629" s="221">
        <f>IFERROR(IF(AND(MIN(A629&gt;15,A629+Age&gt;=70),C629=1),VLOOKUP(A629,Output!$A$27:$AF$137,32,FALSE)*VLOOKUP('SV calc_ignore'!A629,Output!$A$27:$AG$137,33,FALSE)/IF(AnnuityMode=2,2,IF(AnnuityMode=4,4,IF(AnnuityMode=12,12,1))),0),0)</f>
        <v>0</v>
      </c>
      <c r="J629" s="227">
        <f t="shared" si="111"/>
        <v>0</v>
      </c>
      <c r="K629" s="213">
        <f t="shared" si="116"/>
        <v>0</v>
      </c>
      <c r="L629" s="209">
        <f t="shared" si="112"/>
        <v>0</v>
      </c>
      <c r="M629" s="214">
        <f t="shared" si="109"/>
        <v>0</v>
      </c>
      <c r="N629" s="211">
        <f t="shared" si="117"/>
        <v>0</v>
      </c>
      <c r="O629" s="194">
        <f t="shared" si="118"/>
        <v>0</v>
      </c>
      <c r="P629" s="212">
        <f t="shared" si="113"/>
        <v>0</v>
      </c>
      <c r="Q629">
        <f t="shared" si="120"/>
        <v>0</v>
      </c>
      <c r="X629" s="216">
        <f t="shared" si="119"/>
        <v>51</v>
      </c>
      <c r="Y629">
        <f t="shared" si="114"/>
        <v>0</v>
      </c>
    </row>
    <row r="630" spans="1:25" ht="13.5" thickBot="1" x14ac:dyDescent="0.25">
      <c r="A630" s="204">
        <f>IF(MOD(COUNT($A$10:A629),12)=0,A629+1,A629)</f>
        <v>52</v>
      </c>
      <c r="B630" s="218">
        <f t="shared" si="115"/>
        <v>9</v>
      </c>
      <c r="C630" s="218">
        <f t="shared" si="110"/>
        <v>1</v>
      </c>
      <c r="D630" s="208">
        <f>IF(MOD(COUNT($D$10:D629),6)=0,D629+1,D629)</f>
        <v>104</v>
      </c>
      <c r="E630" s="208">
        <f>IF(MOD(COUNT($E$10:E629),3)=0,E629+1,E629)</f>
        <v>207</v>
      </c>
      <c r="F630" s="208">
        <f>IF(MOD(COUNT($F$10:F629),1)=0,F629+1,F629)</f>
        <v>621</v>
      </c>
      <c r="G630" s="204">
        <f>IFERROR(IF(C630=1,VLOOKUP(A630,Output!$A$27:$AB$137,28,FALSE)/AnnuityMode,0),0)</f>
        <v>0</v>
      </c>
      <c r="H630" s="220">
        <f>IFERROR(IF(AND(MIN(A630&gt;25,Age+A630&gt;=85),B630=12),VLOOKUP(A630,Output!$A$27:$AE$137,31,FALSE),0),0)</f>
        <v>0</v>
      </c>
      <c r="I630" s="221">
        <f>IFERROR(IF(AND(MIN(A630&gt;15,A630+Age&gt;=70),C630=1),VLOOKUP(A630,Output!$A$27:$AF$137,32,FALSE)*VLOOKUP('SV calc_ignore'!A630,Output!$A$27:$AG$137,33,FALSE)/IF(AnnuityMode=2,2,IF(AnnuityMode=4,4,IF(AnnuityMode=12,12,1))),0),0)</f>
        <v>0</v>
      </c>
      <c r="J630" s="227">
        <f t="shared" si="111"/>
        <v>0</v>
      </c>
      <c r="K630" s="213">
        <f t="shared" si="116"/>
        <v>0</v>
      </c>
      <c r="L630" s="209">
        <f t="shared" si="112"/>
        <v>0</v>
      </c>
      <c r="M630" s="214">
        <f t="shared" si="109"/>
        <v>0</v>
      </c>
      <c r="N630" s="211">
        <f t="shared" si="117"/>
        <v>0</v>
      </c>
      <c r="O630" s="194">
        <f t="shared" si="118"/>
        <v>0</v>
      </c>
      <c r="P630" s="212">
        <f t="shared" si="113"/>
        <v>0</v>
      </c>
      <c r="Q630">
        <f t="shared" si="120"/>
        <v>0</v>
      </c>
      <c r="X630" s="216">
        <f t="shared" si="119"/>
        <v>51</v>
      </c>
      <c r="Y630">
        <f t="shared" si="114"/>
        <v>0</v>
      </c>
    </row>
    <row r="631" spans="1:25" ht="13.5" thickBot="1" x14ac:dyDescent="0.25">
      <c r="A631" s="204">
        <f>IF(MOD(COUNT($A$10:A630),12)=0,A630+1,A630)</f>
        <v>52</v>
      </c>
      <c r="B631" s="218">
        <f t="shared" si="115"/>
        <v>10</v>
      </c>
      <c r="C631" s="218">
        <f t="shared" si="110"/>
        <v>1</v>
      </c>
      <c r="D631" s="208">
        <f>IF(MOD(COUNT($D$10:D630),6)=0,D630+1,D630)</f>
        <v>104</v>
      </c>
      <c r="E631" s="208">
        <f>IF(MOD(COUNT($E$10:E630),3)=0,E630+1,E630)</f>
        <v>208</v>
      </c>
      <c r="F631" s="208">
        <f>IF(MOD(COUNT($F$10:F630),1)=0,F630+1,F630)</f>
        <v>622</v>
      </c>
      <c r="G631" s="204">
        <f>IFERROR(IF(C631=1,VLOOKUP(A631,Output!$A$27:$AB$137,28,FALSE)/AnnuityMode,0),0)</f>
        <v>0</v>
      </c>
      <c r="H631" s="220">
        <f>IFERROR(IF(AND(MIN(A631&gt;25,Age+A631&gt;=85),B631=12),VLOOKUP(A631,Output!$A$27:$AE$137,31,FALSE),0),0)</f>
        <v>0</v>
      </c>
      <c r="I631" s="221">
        <f>IFERROR(IF(AND(MIN(A631&gt;15,A631+Age&gt;=70),C631=1),VLOOKUP(A631,Output!$A$27:$AF$137,32,FALSE)*VLOOKUP('SV calc_ignore'!A631,Output!$A$27:$AG$137,33,FALSE)/IF(AnnuityMode=2,2,IF(AnnuityMode=4,4,IF(AnnuityMode=12,12,1))),0),0)</f>
        <v>0</v>
      </c>
      <c r="J631" s="227">
        <f t="shared" si="111"/>
        <v>0</v>
      </c>
      <c r="K631" s="213">
        <f t="shared" si="116"/>
        <v>0</v>
      </c>
      <c r="L631" s="209">
        <f t="shared" si="112"/>
        <v>0</v>
      </c>
      <c r="M631" s="214">
        <f t="shared" si="109"/>
        <v>0</v>
      </c>
      <c r="N631" s="211">
        <f t="shared" si="117"/>
        <v>0</v>
      </c>
      <c r="O631" s="194">
        <f t="shared" si="118"/>
        <v>0</v>
      </c>
      <c r="P631" s="212">
        <f t="shared" si="113"/>
        <v>0</v>
      </c>
      <c r="Q631">
        <f t="shared" si="120"/>
        <v>0</v>
      </c>
      <c r="X631" s="216">
        <f t="shared" si="119"/>
        <v>51</v>
      </c>
      <c r="Y631">
        <f t="shared" si="114"/>
        <v>0</v>
      </c>
    </row>
    <row r="632" spans="1:25" ht="13.5" thickBot="1" x14ac:dyDescent="0.25">
      <c r="A632" s="204">
        <f>IF(MOD(COUNT($A$10:A631),12)=0,A631+1,A631)</f>
        <v>52</v>
      </c>
      <c r="B632" s="218">
        <f t="shared" si="115"/>
        <v>11</v>
      </c>
      <c r="C632" s="218">
        <f t="shared" si="110"/>
        <v>1</v>
      </c>
      <c r="D632" s="208">
        <f>IF(MOD(COUNT($D$10:D631),6)=0,D631+1,D631)</f>
        <v>104</v>
      </c>
      <c r="E632" s="208">
        <f>IF(MOD(COUNT($E$10:E631),3)=0,E631+1,E631)</f>
        <v>208</v>
      </c>
      <c r="F632" s="208">
        <f>IF(MOD(COUNT($F$10:F631),1)=0,F631+1,F631)</f>
        <v>623</v>
      </c>
      <c r="G632" s="204">
        <f>IFERROR(IF(C632=1,VLOOKUP(A632,Output!$A$27:$AB$137,28,FALSE)/AnnuityMode,0),0)</f>
        <v>0</v>
      </c>
      <c r="H632" s="220">
        <f>IFERROR(IF(AND(MIN(A632&gt;25,Age+A632&gt;=85),B632=12),VLOOKUP(A632,Output!$A$27:$AE$137,31,FALSE),0),0)</f>
        <v>0</v>
      </c>
      <c r="I632" s="221">
        <f>IFERROR(IF(AND(MIN(A632&gt;15,A632+Age&gt;=70),C632=1),VLOOKUP(A632,Output!$A$27:$AF$137,32,FALSE)*VLOOKUP('SV calc_ignore'!A632,Output!$A$27:$AG$137,33,FALSE)/IF(AnnuityMode=2,2,IF(AnnuityMode=4,4,IF(AnnuityMode=12,12,1))),0),0)</f>
        <v>0</v>
      </c>
      <c r="J632" s="227">
        <f t="shared" si="111"/>
        <v>0</v>
      </c>
      <c r="K632" s="213">
        <f t="shared" si="116"/>
        <v>0</v>
      </c>
      <c r="L632" s="209">
        <f t="shared" si="112"/>
        <v>0</v>
      </c>
      <c r="M632" s="214">
        <f t="shared" si="109"/>
        <v>0</v>
      </c>
      <c r="N632" s="211">
        <f t="shared" si="117"/>
        <v>0</v>
      </c>
      <c r="O632" s="194">
        <f t="shared" si="118"/>
        <v>0</v>
      </c>
      <c r="P632" s="212">
        <f t="shared" si="113"/>
        <v>0</v>
      </c>
      <c r="Q632">
        <f t="shared" si="120"/>
        <v>0</v>
      </c>
      <c r="X632" s="216">
        <f t="shared" si="119"/>
        <v>51</v>
      </c>
      <c r="Y632">
        <f t="shared" si="114"/>
        <v>0</v>
      </c>
    </row>
    <row r="633" spans="1:25" ht="13.5" thickBot="1" x14ac:dyDescent="0.25">
      <c r="A633" s="204">
        <f>IF(MOD(COUNT($A$10:A632),12)=0,A632+1,A632)</f>
        <v>52</v>
      </c>
      <c r="B633" s="218">
        <f t="shared" si="115"/>
        <v>12</v>
      </c>
      <c r="C633" s="218">
        <f t="shared" si="110"/>
        <v>1</v>
      </c>
      <c r="D633" s="208">
        <f>IF(MOD(COUNT($D$10:D632),6)=0,D632+1,D632)</f>
        <v>104</v>
      </c>
      <c r="E633" s="208">
        <f>IF(MOD(COUNT($E$10:E632),3)=0,E632+1,E632)</f>
        <v>208</v>
      </c>
      <c r="F633" s="208">
        <f>IF(MOD(COUNT($F$10:F632),1)=0,F632+1,F632)</f>
        <v>624</v>
      </c>
      <c r="G633" s="204">
        <f>IFERROR(IF(C633=1,VLOOKUP(A633,Output!$A$27:$AB$137,28,FALSE)/AnnuityMode,0),0)</f>
        <v>0</v>
      </c>
      <c r="H633" s="220">
        <f>IFERROR(IF(AND(MIN(A633&gt;25,Age+A633&gt;=85),B633=12),VLOOKUP(A633,Output!$A$27:$AE$137,31,FALSE),0),0)</f>
        <v>0</v>
      </c>
      <c r="I633" s="221">
        <f>IFERROR(IF(AND(MIN(A633&gt;15,A633+Age&gt;=70),C633=1),VLOOKUP(A633,Output!$A$27:$AF$137,32,FALSE)*VLOOKUP('SV calc_ignore'!A633,Output!$A$27:$AG$137,33,FALSE)/IF(AnnuityMode=2,2,IF(AnnuityMode=4,4,IF(AnnuityMode=12,12,1))),0),0)</f>
        <v>0</v>
      </c>
      <c r="J633" s="227">
        <f t="shared" si="111"/>
        <v>0</v>
      </c>
      <c r="K633" s="213">
        <f t="shared" si="116"/>
        <v>0</v>
      </c>
      <c r="L633" s="209">
        <f t="shared" si="112"/>
        <v>0</v>
      </c>
      <c r="M633" s="214">
        <f t="shared" si="109"/>
        <v>0</v>
      </c>
      <c r="N633" s="211">
        <f t="shared" si="117"/>
        <v>0</v>
      </c>
      <c r="O633" s="194">
        <f t="shared" si="118"/>
        <v>0</v>
      </c>
      <c r="P633" s="212">
        <f t="shared" si="113"/>
        <v>0</v>
      </c>
      <c r="Q633">
        <f t="shared" si="120"/>
        <v>0</v>
      </c>
      <c r="X633" s="216">
        <f t="shared" si="119"/>
        <v>51</v>
      </c>
      <c r="Y633">
        <f t="shared" si="114"/>
        <v>0</v>
      </c>
    </row>
    <row r="634" spans="1:25" ht="13.5" thickBot="1" x14ac:dyDescent="0.25">
      <c r="A634" s="204">
        <f>IF(MOD(COUNT($A$10:A633),12)=0,A633+1,A633)</f>
        <v>53</v>
      </c>
      <c r="B634" s="218">
        <f t="shared" si="115"/>
        <v>1</v>
      </c>
      <c r="C634" s="218">
        <f t="shared" si="110"/>
        <v>1</v>
      </c>
      <c r="D634" s="208">
        <f>IF(MOD(COUNT($D$10:D633),6)=0,D633+1,D633)</f>
        <v>105</v>
      </c>
      <c r="E634" s="208">
        <f>IF(MOD(COUNT($E$10:E633),3)=0,E633+1,E633)</f>
        <v>209</v>
      </c>
      <c r="F634" s="208">
        <f>IF(MOD(COUNT($F$10:F633),1)=0,F633+1,F633)</f>
        <v>625</v>
      </c>
      <c r="G634" s="204">
        <f>IFERROR(IF(C634=1,VLOOKUP(A634,Output!$A$27:$AB$137,28,FALSE)/AnnuityMode,0),0)</f>
        <v>0</v>
      </c>
      <c r="H634" s="220">
        <f>IFERROR(IF(AND(MIN(A634&gt;25,Age+A634&gt;=85),B634=12),VLOOKUP(A634,Output!$A$27:$AE$137,31,FALSE),0),0)</f>
        <v>0</v>
      </c>
      <c r="I634" s="221">
        <f>IFERROR(IF(AND(MIN(A634&gt;15,A634+Age&gt;=70),C634=1),VLOOKUP(A634,Output!$A$27:$AF$137,32,FALSE)*VLOOKUP('SV calc_ignore'!A634,Output!$A$27:$AG$137,33,FALSE)/IF(AnnuityMode=2,2,IF(AnnuityMode=4,4,IF(AnnuityMode=12,12,1))),0),0)</f>
        <v>0</v>
      </c>
      <c r="J634" s="227">
        <f t="shared" si="111"/>
        <v>0</v>
      </c>
      <c r="K634" s="213">
        <f t="shared" si="116"/>
        <v>0</v>
      </c>
      <c r="L634" s="209">
        <f t="shared" si="112"/>
        <v>0</v>
      </c>
      <c r="M634" s="214">
        <f t="shared" si="109"/>
        <v>0</v>
      </c>
      <c r="N634" s="211">
        <f t="shared" si="117"/>
        <v>0</v>
      </c>
      <c r="O634" s="194">
        <f t="shared" si="118"/>
        <v>0</v>
      </c>
      <c r="P634" s="212">
        <f t="shared" si="113"/>
        <v>0</v>
      </c>
      <c r="Q634">
        <f t="shared" si="120"/>
        <v>0</v>
      </c>
      <c r="X634" s="216">
        <f t="shared" si="119"/>
        <v>52</v>
      </c>
      <c r="Y634">
        <f t="shared" si="114"/>
        <v>0</v>
      </c>
    </row>
    <row r="635" spans="1:25" ht="13.5" thickBot="1" x14ac:dyDescent="0.25">
      <c r="A635" s="204">
        <f>IF(MOD(COUNT($A$10:A634),12)=0,A634+1,A634)</f>
        <v>53</v>
      </c>
      <c r="B635" s="218">
        <f t="shared" si="115"/>
        <v>2</v>
      </c>
      <c r="C635" s="218">
        <f t="shared" si="110"/>
        <v>1</v>
      </c>
      <c r="D635" s="208">
        <f>IF(MOD(COUNT($D$10:D634),6)=0,D634+1,D634)</f>
        <v>105</v>
      </c>
      <c r="E635" s="208">
        <f>IF(MOD(COUNT($E$10:E634),3)=0,E634+1,E634)</f>
        <v>209</v>
      </c>
      <c r="F635" s="208">
        <f>IF(MOD(COUNT($F$10:F634),1)=0,F634+1,F634)</f>
        <v>626</v>
      </c>
      <c r="G635" s="204">
        <f>IFERROR(IF(C635=1,VLOOKUP(A635,Output!$A$27:$AB$137,28,FALSE)/AnnuityMode,0),0)</f>
        <v>0</v>
      </c>
      <c r="H635" s="220">
        <f>IFERROR(IF(AND(MIN(A635&gt;25,Age+A635&gt;=85),B635=12),VLOOKUP(A635,Output!$A$27:$AE$137,31,FALSE),0),0)</f>
        <v>0</v>
      </c>
      <c r="I635" s="221">
        <f>IFERROR(IF(AND(MIN(A635&gt;15,A635+Age&gt;=70),C635=1),VLOOKUP(A635,Output!$A$27:$AF$137,32,FALSE)*VLOOKUP('SV calc_ignore'!A635,Output!$A$27:$AG$137,33,FALSE)/IF(AnnuityMode=2,2,IF(AnnuityMode=4,4,IF(AnnuityMode=12,12,1))),0),0)</f>
        <v>0</v>
      </c>
      <c r="J635" s="227">
        <f t="shared" si="111"/>
        <v>0</v>
      </c>
      <c r="K635" s="213">
        <f t="shared" si="116"/>
        <v>0</v>
      </c>
      <c r="L635" s="209">
        <f t="shared" si="112"/>
        <v>0</v>
      </c>
      <c r="M635" s="214">
        <f t="shared" si="109"/>
        <v>0</v>
      </c>
      <c r="N635" s="211">
        <f t="shared" si="117"/>
        <v>0</v>
      </c>
      <c r="O635" s="194">
        <f t="shared" si="118"/>
        <v>0</v>
      </c>
      <c r="P635" s="212">
        <f t="shared" si="113"/>
        <v>0</v>
      </c>
      <c r="Q635">
        <f t="shared" si="120"/>
        <v>0</v>
      </c>
      <c r="X635" s="216">
        <f t="shared" si="119"/>
        <v>52</v>
      </c>
      <c r="Y635">
        <f t="shared" si="114"/>
        <v>0</v>
      </c>
    </row>
    <row r="636" spans="1:25" ht="13.5" thickBot="1" x14ac:dyDescent="0.25">
      <c r="A636" s="204">
        <f>IF(MOD(COUNT($A$10:A635),12)=0,A635+1,A635)</f>
        <v>53</v>
      </c>
      <c r="B636" s="218">
        <f t="shared" si="115"/>
        <v>3</v>
      </c>
      <c r="C636" s="218">
        <f t="shared" si="110"/>
        <v>1</v>
      </c>
      <c r="D636" s="208">
        <f>IF(MOD(COUNT($D$10:D635),6)=0,D635+1,D635)</f>
        <v>105</v>
      </c>
      <c r="E636" s="208">
        <f>IF(MOD(COUNT($E$10:E635),3)=0,E635+1,E635)</f>
        <v>209</v>
      </c>
      <c r="F636" s="208">
        <f>IF(MOD(COUNT($F$10:F635),1)=0,F635+1,F635)</f>
        <v>627</v>
      </c>
      <c r="G636" s="204">
        <f>IFERROR(IF(C636=1,VLOOKUP(A636,Output!$A$27:$AB$137,28,FALSE)/AnnuityMode,0),0)</f>
        <v>0</v>
      </c>
      <c r="H636" s="220">
        <f>IFERROR(IF(AND(MIN(A636&gt;25,Age+A636&gt;=85),B636=12),VLOOKUP(A636,Output!$A$27:$AE$137,31,FALSE),0),0)</f>
        <v>0</v>
      </c>
      <c r="I636" s="221">
        <f>IFERROR(IF(AND(MIN(A636&gt;15,A636+Age&gt;=70),C636=1),VLOOKUP(A636,Output!$A$27:$AF$137,32,FALSE)*VLOOKUP('SV calc_ignore'!A636,Output!$A$27:$AG$137,33,FALSE)/IF(AnnuityMode=2,2,IF(AnnuityMode=4,4,IF(AnnuityMode=12,12,1))),0),0)</f>
        <v>0</v>
      </c>
      <c r="J636" s="227">
        <f t="shared" si="111"/>
        <v>0</v>
      </c>
      <c r="K636" s="213">
        <f t="shared" si="116"/>
        <v>0</v>
      </c>
      <c r="L636" s="209">
        <f t="shared" si="112"/>
        <v>0</v>
      </c>
      <c r="M636" s="214">
        <f t="shared" si="109"/>
        <v>0</v>
      </c>
      <c r="N636" s="211">
        <f t="shared" si="117"/>
        <v>0</v>
      </c>
      <c r="O636" s="194">
        <f t="shared" si="118"/>
        <v>0</v>
      </c>
      <c r="P636" s="212">
        <f t="shared" si="113"/>
        <v>0</v>
      </c>
      <c r="Q636">
        <f t="shared" si="120"/>
        <v>0</v>
      </c>
      <c r="X636" s="216">
        <f t="shared" si="119"/>
        <v>52</v>
      </c>
      <c r="Y636">
        <f t="shared" si="114"/>
        <v>0</v>
      </c>
    </row>
    <row r="637" spans="1:25" ht="13.5" thickBot="1" x14ac:dyDescent="0.25">
      <c r="A637" s="204">
        <f>IF(MOD(COUNT($A$10:A636),12)=0,A636+1,A636)</f>
        <v>53</v>
      </c>
      <c r="B637" s="218">
        <f t="shared" si="115"/>
        <v>4</v>
      </c>
      <c r="C637" s="218">
        <f t="shared" si="110"/>
        <v>1</v>
      </c>
      <c r="D637" s="208">
        <f>IF(MOD(COUNT($D$10:D636),6)=0,D636+1,D636)</f>
        <v>105</v>
      </c>
      <c r="E637" s="208">
        <f>IF(MOD(COUNT($E$10:E636),3)=0,E636+1,E636)</f>
        <v>210</v>
      </c>
      <c r="F637" s="208">
        <f>IF(MOD(COUNT($F$10:F636),1)=0,F636+1,F636)</f>
        <v>628</v>
      </c>
      <c r="G637" s="204">
        <f>IFERROR(IF(C637=1,VLOOKUP(A637,Output!$A$27:$AB$137,28,FALSE)/AnnuityMode,0),0)</f>
        <v>0</v>
      </c>
      <c r="H637" s="220">
        <f>IFERROR(IF(AND(MIN(A637&gt;25,Age+A637&gt;=85),B637=12),VLOOKUP(A637,Output!$A$27:$AE$137,31,FALSE),0),0)</f>
        <v>0</v>
      </c>
      <c r="I637" s="221">
        <f>IFERROR(IF(AND(MIN(A637&gt;15,A637+Age&gt;=70),C637=1),VLOOKUP(A637,Output!$A$27:$AF$137,32,FALSE)*VLOOKUP('SV calc_ignore'!A637,Output!$A$27:$AG$137,33,FALSE)/IF(AnnuityMode=2,2,IF(AnnuityMode=4,4,IF(AnnuityMode=12,12,1))),0),0)</f>
        <v>0</v>
      </c>
      <c r="J637" s="227">
        <f t="shared" si="111"/>
        <v>0</v>
      </c>
      <c r="K637" s="213">
        <f t="shared" si="116"/>
        <v>0</v>
      </c>
      <c r="L637" s="209">
        <f t="shared" si="112"/>
        <v>0</v>
      </c>
      <c r="M637" s="214">
        <f t="shared" si="109"/>
        <v>0</v>
      </c>
      <c r="N637" s="211">
        <f t="shared" si="117"/>
        <v>0</v>
      </c>
      <c r="O637" s="194">
        <f t="shared" si="118"/>
        <v>0</v>
      </c>
      <c r="P637" s="212">
        <f t="shared" si="113"/>
        <v>0</v>
      </c>
      <c r="Q637">
        <f t="shared" si="120"/>
        <v>0</v>
      </c>
      <c r="X637" s="216">
        <f t="shared" si="119"/>
        <v>52</v>
      </c>
      <c r="Y637">
        <f t="shared" si="114"/>
        <v>0</v>
      </c>
    </row>
    <row r="638" spans="1:25" ht="13.5" thickBot="1" x14ac:dyDescent="0.25">
      <c r="A638" s="204">
        <f>IF(MOD(COUNT($A$10:A637),12)=0,A637+1,A637)</f>
        <v>53</v>
      </c>
      <c r="B638" s="218">
        <f t="shared" si="115"/>
        <v>5</v>
      </c>
      <c r="C638" s="218">
        <f t="shared" si="110"/>
        <v>1</v>
      </c>
      <c r="D638" s="208">
        <f>IF(MOD(COUNT($D$10:D637),6)=0,D637+1,D637)</f>
        <v>105</v>
      </c>
      <c r="E638" s="208">
        <f>IF(MOD(COUNT($E$10:E637),3)=0,E637+1,E637)</f>
        <v>210</v>
      </c>
      <c r="F638" s="208">
        <f>IF(MOD(COUNT($F$10:F637),1)=0,F637+1,F637)</f>
        <v>629</v>
      </c>
      <c r="G638" s="204">
        <f>IFERROR(IF(C638=1,VLOOKUP(A638,Output!$A$27:$AB$137,28,FALSE)/AnnuityMode,0),0)</f>
        <v>0</v>
      </c>
      <c r="H638" s="220">
        <f>IFERROR(IF(AND(MIN(A638&gt;25,Age+A638&gt;=85),B638=12),VLOOKUP(A638,Output!$A$27:$AE$137,31,FALSE),0),0)</f>
        <v>0</v>
      </c>
      <c r="I638" s="221">
        <f>IFERROR(IF(AND(MIN(A638&gt;15,A638+Age&gt;=70),C638=1),VLOOKUP(A638,Output!$A$27:$AF$137,32,FALSE)*VLOOKUP('SV calc_ignore'!A638,Output!$A$27:$AG$137,33,FALSE)/IF(AnnuityMode=2,2,IF(AnnuityMode=4,4,IF(AnnuityMode=12,12,1))),0),0)</f>
        <v>0</v>
      </c>
      <c r="J638" s="227">
        <f t="shared" si="111"/>
        <v>0</v>
      </c>
      <c r="K638" s="213">
        <f t="shared" si="116"/>
        <v>0</v>
      </c>
      <c r="L638" s="209">
        <f t="shared" si="112"/>
        <v>0</v>
      </c>
      <c r="M638" s="214">
        <f t="shared" ref="M638:M701" si="121">L637*(1+$K$3)</f>
        <v>0</v>
      </c>
      <c r="N638" s="211">
        <f t="shared" si="117"/>
        <v>0</v>
      </c>
      <c r="O638" s="194">
        <f t="shared" si="118"/>
        <v>0</v>
      </c>
      <c r="P638" s="212">
        <f t="shared" si="113"/>
        <v>0</v>
      </c>
      <c r="Q638">
        <f t="shared" si="120"/>
        <v>0</v>
      </c>
      <c r="X638" s="216">
        <f t="shared" si="119"/>
        <v>52</v>
      </c>
      <c r="Y638">
        <f t="shared" si="114"/>
        <v>0</v>
      </c>
    </row>
    <row r="639" spans="1:25" ht="13.5" thickBot="1" x14ac:dyDescent="0.25">
      <c r="A639" s="204">
        <f>IF(MOD(COUNT($A$10:A638),12)=0,A638+1,A638)</f>
        <v>53</v>
      </c>
      <c r="B639" s="218">
        <f t="shared" si="115"/>
        <v>6</v>
      </c>
      <c r="C639" s="218">
        <f t="shared" si="110"/>
        <v>1</v>
      </c>
      <c r="D639" s="208">
        <f>IF(MOD(COUNT($D$10:D638),6)=0,D638+1,D638)</f>
        <v>105</v>
      </c>
      <c r="E639" s="208">
        <f>IF(MOD(COUNT($E$10:E638),3)=0,E638+1,E638)</f>
        <v>210</v>
      </c>
      <c r="F639" s="208">
        <f>IF(MOD(COUNT($F$10:F638),1)=0,F638+1,F638)</f>
        <v>630</v>
      </c>
      <c r="G639" s="204">
        <f>IFERROR(IF(C639=1,VLOOKUP(A639,Output!$A$27:$AB$137,28,FALSE)/AnnuityMode,0),0)</f>
        <v>0</v>
      </c>
      <c r="H639" s="220">
        <f>IFERROR(IF(AND(MIN(A639&gt;25,Age+A639&gt;=85),B639=12),VLOOKUP(A639,Output!$A$27:$AE$137,31,FALSE),0),0)</f>
        <v>0</v>
      </c>
      <c r="I639" s="221">
        <f>IFERROR(IF(AND(MIN(A639&gt;15,A639+Age&gt;=70),C639=1),VLOOKUP(A639,Output!$A$27:$AF$137,32,FALSE)*VLOOKUP('SV calc_ignore'!A639,Output!$A$27:$AG$137,33,FALSE)/IF(AnnuityMode=2,2,IF(AnnuityMode=4,4,IF(AnnuityMode=12,12,1))),0),0)</f>
        <v>0</v>
      </c>
      <c r="J639" s="227">
        <f t="shared" si="111"/>
        <v>0</v>
      </c>
      <c r="K639" s="213">
        <f t="shared" si="116"/>
        <v>0</v>
      </c>
      <c r="L639" s="209">
        <f t="shared" si="112"/>
        <v>0</v>
      </c>
      <c r="M639" s="214">
        <f t="shared" si="121"/>
        <v>0</v>
      </c>
      <c r="N639" s="211">
        <f t="shared" si="117"/>
        <v>0</v>
      </c>
      <c r="O639" s="194">
        <f t="shared" si="118"/>
        <v>0</v>
      </c>
      <c r="P639" s="212">
        <f t="shared" si="113"/>
        <v>0</v>
      </c>
      <c r="Q639">
        <f t="shared" si="120"/>
        <v>0</v>
      </c>
      <c r="X639" s="216">
        <f t="shared" si="119"/>
        <v>52</v>
      </c>
      <c r="Y639">
        <f t="shared" si="114"/>
        <v>0</v>
      </c>
    </row>
    <row r="640" spans="1:25" ht="13.5" thickBot="1" x14ac:dyDescent="0.25">
      <c r="A640" s="204">
        <f>IF(MOD(COUNT($A$10:A639),12)=0,A639+1,A639)</f>
        <v>53</v>
      </c>
      <c r="B640" s="218">
        <f t="shared" si="115"/>
        <v>7</v>
      </c>
      <c r="C640" s="218">
        <f t="shared" si="110"/>
        <v>1</v>
      </c>
      <c r="D640" s="208">
        <f>IF(MOD(COUNT($D$10:D639),6)=0,D639+1,D639)</f>
        <v>106</v>
      </c>
      <c r="E640" s="208">
        <f>IF(MOD(COUNT($E$10:E639),3)=0,E639+1,E639)</f>
        <v>211</v>
      </c>
      <c r="F640" s="208">
        <f>IF(MOD(COUNT($F$10:F639),1)=0,F639+1,F639)</f>
        <v>631</v>
      </c>
      <c r="G640" s="204">
        <f>IFERROR(IF(C640=1,VLOOKUP(A640,Output!$A$27:$AB$137,28,FALSE)/AnnuityMode,0),0)</f>
        <v>0</v>
      </c>
      <c r="H640" s="220">
        <f>IFERROR(IF(AND(MIN(A640&gt;25,Age+A640&gt;=85),B640=12),VLOOKUP(A640,Output!$A$27:$AE$137,31,FALSE),0),0)</f>
        <v>0</v>
      </c>
      <c r="I640" s="221">
        <f>IFERROR(IF(AND(MIN(A640&gt;15,A640+Age&gt;=70),C640=1),VLOOKUP(A640,Output!$A$27:$AF$137,32,FALSE)*VLOOKUP('SV calc_ignore'!A640,Output!$A$27:$AG$137,33,FALSE)/IF(AnnuityMode=2,2,IF(AnnuityMode=4,4,IF(AnnuityMode=12,12,1))),0),0)</f>
        <v>0</v>
      </c>
      <c r="J640" s="227">
        <f t="shared" si="111"/>
        <v>0</v>
      </c>
      <c r="K640" s="213">
        <f t="shared" si="116"/>
        <v>0</v>
      </c>
      <c r="L640" s="209">
        <f t="shared" si="112"/>
        <v>0</v>
      </c>
      <c r="M640" s="214">
        <f t="shared" si="121"/>
        <v>0</v>
      </c>
      <c r="N640" s="211">
        <f t="shared" si="117"/>
        <v>0</v>
      </c>
      <c r="O640" s="194">
        <f t="shared" si="118"/>
        <v>0</v>
      </c>
      <c r="P640" s="212">
        <f t="shared" si="113"/>
        <v>0</v>
      </c>
      <c r="Q640">
        <f t="shared" si="120"/>
        <v>0</v>
      </c>
      <c r="X640" s="216">
        <f t="shared" si="119"/>
        <v>52</v>
      </c>
      <c r="Y640">
        <f t="shared" si="114"/>
        <v>0</v>
      </c>
    </row>
    <row r="641" spans="1:25" ht="13.5" thickBot="1" x14ac:dyDescent="0.25">
      <c r="A641" s="204">
        <f>IF(MOD(COUNT($A$10:A640),12)=0,A640+1,A640)</f>
        <v>53</v>
      </c>
      <c r="B641" s="218">
        <f t="shared" si="115"/>
        <v>8</v>
      </c>
      <c r="C641" s="218">
        <f t="shared" si="110"/>
        <v>1</v>
      </c>
      <c r="D641" s="208">
        <f>IF(MOD(COUNT($D$10:D640),6)=0,D640+1,D640)</f>
        <v>106</v>
      </c>
      <c r="E641" s="208">
        <f>IF(MOD(COUNT($E$10:E640),3)=0,E640+1,E640)</f>
        <v>211</v>
      </c>
      <c r="F641" s="208">
        <f>IF(MOD(COUNT($F$10:F640),1)=0,F640+1,F640)</f>
        <v>632</v>
      </c>
      <c r="G641" s="204">
        <f>IFERROR(IF(C641=1,VLOOKUP(A641,Output!$A$27:$AB$137,28,FALSE)/AnnuityMode,0),0)</f>
        <v>0</v>
      </c>
      <c r="H641" s="220">
        <f>IFERROR(IF(AND(MIN(A641&gt;25,Age+A641&gt;=85),B641=12),VLOOKUP(A641,Output!$A$27:$AE$137,31,FALSE),0),0)</f>
        <v>0</v>
      </c>
      <c r="I641" s="221">
        <f>IFERROR(IF(AND(MIN(A641&gt;15,A641+Age&gt;=70),C641=1),VLOOKUP(A641,Output!$A$27:$AF$137,32,FALSE)*VLOOKUP('SV calc_ignore'!A641,Output!$A$27:$AG$137,33,FALSE)/IF(AnnuityMode=2,2,IF(AnnuityMode=4,4,IF(AnnuityMode=12,12,1))),0),0)</f>
        <v>0</v>
      </c>
      <c r="J641" s="227">
        <f t="shared" si="111"/>
        <v>0</v>
      </c>
      <c r="K641" s="213">
        <f t="shared" si="116"/>
        <v>0</v>
      </c>
      <c r="L641" s="209">
        <f t="shared" si="112"/>
        <v>0</v>
      </c>
      <c r="M641" s="214">
        <f t="shared" si="121"/>
        <v>0</v>
      </c>
      <c r="N641" s="211">
        <f t="shared" si="117"/>
        <v>0</v>
      </c>
      <c r="O641" s="194">
        <f t="shared" si="118"/>
        <v>0</v>
      </c>
      <c r="P641" s="212">
        <f t="shared" si="113"/>
        <v>0</v>
      </c>
      <c r="Q641">
        <f t="shared" si="120"/>
        <v>0</v>
      </c>
      <c r="X641" s="216">
        <f t="shared" si="119"/>
        <v>52</v>
      </c>
      <c r="Y641">
        <f t="shared" si="114"/>
        <v>0</v>
      </c>
    </row>
    <row r="642" spans="1:25" ht="13.5" thickBot="1" x14ac:dyDescent="0.25">
      <c r="A642" s="204">
        <f>IF(MOD(COUNT($A$10:A641),12)=0,A641+1,A641)</f>
        <v>53</v>
      </c>
      <c r="B642" s="218">
        <f t="shared" si="115"/>
        <v>9</v>
      </c>
      <c r="C642" s="218">
        <f t="shared" si="110"/>
        <v>1</v>
      </c>
      <c r="D642" s="208">
        <f>IF(MOD(COUNT($D$10:D641),6)=0,D641+1,D641)</f>
        <v>106</v>
      </c>
      <c r="E642" s="208">
        <f>IF(MOD(COUNT($E$10:E641),3)=0,E641+1,E641)</f>
        <v>211</v>
      </c>
      <c r="F642" s="208">
        <f>IF(MOD(COUNT($F$10:F641),1)=0,F641+1,F641)</f>
        <v>633</v>
      </c>
      <c r="G642" s="204">
        <f>IFERROR(IF(C642=1,VLOOKUP(A642,Output!$A$27:$AB$137,28,FALSE)/AnnuityMode,0),0)</f>
        <v>0</v>
      </c>
      <c r="H642" s="220">
        <f>IFERROR(IF(AND(MIN(A642&gt;25,Age+A642&gt;=85),B642=12),VLOOKUP(A642,Output!$A$27:$AE$137,31,FALSE),0),0)</f>
        <v>0</v>
      </c>
      <c r="I642" s="221">
        <f>IFERROR(IF(AND(MIN(A642&gt;15,A642+Age&gt;=70),C642=1),VLOOKUP(A642,Output!$A$27:$AF$137,32,FALSE)*VLOOKUP('SV calc_ignore'!A642,Output!$A$27:$AG$137,33,FALSE)/IF(AnnuityMode=2,2,IF(AnnuityMode=4,4,IF(AnnuityMode=12,12,1))),0),0)</f>
        <v>0</v>
      </c>
      <c r="J642" s="227">
        <f t="shared" si="111"/>
        <v>0</v>
      </c>
      <c r="K642" s="213">
        <f t="shared" si="116"/>
        <v>0</v>
      </c>
      <c r="L642" s="209">
        <f t="shared" si="112"/>
        <v>0</v>
      </c>
      <c r="M642" s="214">
        <f t="shared" si="121"/>
        <v>0</v>
      </c>
      <c r="N642" s="211">
        <f t="shared" si="117"/>
        <v>0</v>
      </c>
      <c r="O642" s="194">
        <f t="shared" si="118"/>
        <v>0</v>
      </c>
      <c r="P642" s="212">
        <f t="shared" si="113"/>
        <v>0</v>
      </c>
      <c r="Q642">
        <f t="shared" si="120"/>
        <v>0</v>
      </c>
      <c r="X642" s="216">
        <f t="shared" si="119"/>
        <v>52</v>
      </c>
      <c r="Y642">
        <f t="shared" si="114"/>
        <v>0</v>
      </c>
    </row>
    <row r="643" spans="1:25" ht="13.5" thickBot="1" x14ac:dyDescent="0.25">
      <c r="A643" s="204">
        <f>IF(MOD(COUNT($A$10:A642),12)=0,A642+1,A642)</f>
        <v>53</v>
      </c>
      <c r="B643" s="218">
        <f t="shared" si="115"/>
        <v>10</v>
      </c>
      <c r="C643" s="218">
        <f t="shared" si="110"/>
        <v>1</v>
      </c>
      <c r="D643" s="208">
        <f>IF(MOD(COUNT($D$10:D642),6)=0,D642+1,D642)</f>
        <v>106</v>
      </c>
      <c r="E643" s="208">
        <f>IF(MOD(COUNT($E$10:E642),3)=0,E642+1,E642)</f>
        <v>212</v>
      </c>
      <c r="F643" s="208">
        <f>IF(MOD(COUNT($F$10:F642),1)=0,F642+1,F642)</f>
        <v>634</v>
      </c>
      <c r="G643" s="204">
        <f>IFERROR(IF(C643=1,VLOOKUP(A643,Output!$A$27:$AB$137,28,FALSE)/AnnuityMode,0),0)</f>
        <v>0</v>
      </c>
      <c r="H643" s="220">
        <f>IFERROR(IF(AND(MIN(A643&gt;25,Age+A643&gt;=85),B643=12),VLOOKUP(A643,Output!$A$27:$AE$137,31,FALSE),0),0)</f>
        <v>0</v>
      </c>
      <c r="I643" s="221">
        <f>IFERROR(IF(AND(MIN(A643&gt;15,A643+Age&gt;=70),C643=1),VLOOKUP(A643,Output!$A$27:$AF$137,32,FALSE)*VLOOKUP('SV calc_ignore'!A643,Output!$A$27:$AG$137,33,FALSE)/IF(AnnuityMode=2,2,IF(AnnuityMode=4,4,IF(AnnuityMode=12,12,1))),0),0)</f>
        <v>0</v>
      </c>
      <c r="J643" s="227">
        <f t="shared" si="111"/>
        <v>0</v>
      </c>
      <c r="K643" s="213">
        <f t="shared" si="116"/>
        <v>0</v>
      </c>
      <c r="L643" s="209">
        <f t="shared" si="112"/>
        <v>0</v>
      </c>
      <c r="M643" s="214">
        <f t="shared" si="121"/>
        <v>0</v>
      </c>
      <c r="N643" s="211">
        <f t="shared" si="117"/>
        <v>0</v>
      </c>
      <c r="O643" s="194">
        <f t="shared" si="118"/>
        <v>0</v>
      </c>
      <c r="P643" s="212">
        <f t="shared" si="113"/>
        <v>0</v>
      </c>
      <c r="Q643">
        <f t="shared" si="120"/>
        <v>0</v>
      </c>
      <c r="X643" s="216">
        <f t="shared" si="119"/>
        <v>52</v>
      </c>
      <c r="Y643">
        <f t="shared" si="114"/>
        <v>0</v>
      </c>
    </row>
    <row r="644" spans="1:25" ht="13.5" thickBot="1" x14ac:dyDescent="0.25">
      <c r="A644" s="204">
        <f>IF(MOD(COUNT($A$10:A643),12)=0,A643+1,A643)</f>
        <v>53</v>
      </c>
      <c r="B644" s="218">
        <f t="shared" si="115"/>
        <v>11</v>
      </c>
      <c r="C644" s="218">
        <f t="shared" si="110"/>
        <v>1</v>
      </c>
      <c r="D644" s="208">
        <f>IF(MOD(COUNT($D$10:D643),6)=0,D643+1,D643)</f>
        <v>106</v>
      </c>
      <c r="E644" s="208">
        <f>IF(MOD(COUNT($E$10:E643),3)=0,E643+1,E643)</f>
        <v>212</v>
      </c>
      <c r="F644" s="208">
        <f>IF(MOD(COUNT($F$10:F643),1)=0,F643+1,F643)</f>
        <v>635</v>
      </c>
      <c r="G644" s="204">
        <f>IFERROR(IF(C644=1,VLOOKUP(A644,Output!$A$27:$AB$137,28,FALSE)/AnnuityMode,0),0)</f>
        <v>0</v>
      </c>
      <c r="H644" s="220">
        <f>IFERROR(IF(AND(MIN(A644&gt;25,Age+A644&gt;=85),B644=12),VLOOKUP(A644,Output!$A$27:$AE$137,31,FALSE),0),0)</f>
        <v>0</v>
      </c>
      <c r="I644" s="221">
        <f>IFERROR(IF(AND(MIN(A644&gt;15,A644+Age&gt;=70),C644=1),VLOOKUP(A644,Output!$A$27:$AF$137,32,FALSE)*VLOOKUP('SV calc_ignore'!A644,Output!$A$27:$AG$137,33,FALSE)/IF(AnnuityMode=2,2,IF(AnnuityMode=4,4,IF(AnnuityMode=12,12,1))),0),0)</f>
        <v>0</v>
      </c>
      <c r="J644" s="227">
        <f t="shared" si="111"/>
        <v>0</v>
      </c>
      <c r="K644" s="213">
        <f t="shared" si="116"/>
        <v>0</v>
      </c>
      <c r="L644" s="209">
        <f t="shared" si="112"/>
        <v>0</v>
      </c>
      <c r="M644" s="214">
        <f t="shared" si="121"/>
        <v>0</v>
      </c>
      <c r="N644" s="211">
        <f t="shared" si="117"/>
        <v>0</v>
      </c>
      <c r="O644" s="194">
        <f t="shared" si="118"/>
        <v>0</v>
      </c>
      <c r="P644" s="212">
        <f t="shared" si="113"/>
        <v>0</v>
      </c>
      <c r="Q644">
        <f t="shared" si="120"/>
        <v>0</v>
      </c>
      <c r="X644" s="216">
        <f t="shared" si="119"/>
        <v>52</v>
      </c>
      <c r="Y644">
        <f t="shared" si="114"/>
        <v>0</v>
      </c>
    </row>
    <row r="645" spans="1:25" ht="13.5" thickBot="1" x14ac:dyDescent="0.25">
      <c r="A645" s="204">
        <f>IF(MOD(COUNT($A$10:A644),12)=0,A644+1,A644)</f>
        <v>53</v>
      </c>
      <c r="B645" s="218">
        <f t="shared" si="115"/>
        <v>12</v>
      </c>
      <c r="C645" s="218">
        <f t="shared" si="110"/>
        <v>1</v>
      </c>
      <c r="D645" s="208">
        <f>IF(MOD(COUNT($D$10:D644),6)=0,D644+1,D644)</f>
        <v>106</v>
      </c>
      <c r="E645" s="208">
        <f>IF(MOD(COUNT($E$10:E644),3)=0,E644+1,E644)</f>
        <v>212</v>
      </c>
      <c r="F645" s="208">
        <f>IF(MOD(COUNT($F$10:F644),1)=0,F644+1,F644)</f>
        <v>636</v>
      </c>
      <c r="G645" s="204">
        <f>IFERROR(IF(C645=1,VLOOKUP(A645,Output!$A$27:$AB$137,28,FALSE)/AnnuityMode,0),0)</f>
        <v>0</v>
      </c>
      <c r="H645" s="220">
        <f>IFERROR(IF(AND(MIN(A645&gt;25,Age+A645&gt;=85),B645=12),VLOOKUP(A645,Output!$A$27:$AE$137,31,FALSE),0),0)</f>
        <v>0</v>
      </c>
      <c r="I645" s="221">
        <f>IFERROR(IF(AND(MIN(A645&gt;15,A645+Age&gt;=70),C645=1),VLOOKUP(A645,Output!$A$27:$AF$137,32,FALSE)*VLOOKUP('SV calc_ignore'!A645,Output!$A$27:$AG$137,33,FALSE)/IF(AnnuityMode=2,2,IF(AnnuityMode=4,4,IF(AnnuityMode=12,12,1))),0),0)</f>
        <v>0</v>
      </c>
      <c r="J645" s="227">
        <f t="shared" si="111"/>
        <v>0</v>
      </c>
      <c r="K645" s="213">
        <f t="shared" si="116"/>
        <v>0</v>
      </c>
      <c r="L645" s="209">
        <f t="shared" si="112"/>
        <v>0</v>
      </c>
      <c r="M645" s="214">
        <f t="shared" si="121"/>
        <v>0</v>
      </c>
      <c r="N645" s="211">
        <f t="shared" si="117"/>
        <v>0</v>
      </c>
      <c r="O645" s="194">
        <f t="shared" si="118"/>
        <v>0</v>
      </c>
      <c r="P645" s="212">
        <f t="shared" si="113"/>
        <v>0</v>
      </c>
      <c r="Q645">
        <f t="shared" si="120"/>
        <v>0</v>
      </c>
      <c r="X645" s="216">
        <f t="shared" si="119"/>
        <v>52</v>
      </c>
      <c r="Y645">
        <f t="shared" si="114"/>
        <v>0</v>
      </c>
    </row>
    <row r="646" spans="1:25" ht="13.5" thickBot="1" x14ac:dyDescent="0.25">
      <c r="A646" s="204">
        <f>IF(MOD(COUNT($A$10:A645),12)=0,A645+1,A645)</f>
        <v>54</v>
      </c>
      <c r="B646" s="218">
        <f t="shared" si="115"/>
        <v>1</v>
      </c>
      <c r="C646" s="218">
        <f t="shared" si="110"/>
        <v>1</v>
      </c>
      <c r="D646" s="208">
        <f>IF(MOD(COUNT($D$10:D645),6)=0,D645+1,D645)</f>
        <v>107</v>
      </c>
      <c r="E646" s="208">
        <f>IF(MOD(COUNT($E$10:E645),3)=0,E645+1,E645)</f>
        <v>213</v>
      </c>
      <c r="F646" s="208">
        <f>IF(MOD(COUNT($F$10:F645),1)=0,F645+1,F645)</f>
        <v>637</v>
      </c>
      <c r="G646" s="204">
        <f>IFERROR(IF(C646=1,VLOOKUP(A646,Output!$A$27:$AB$137,28,FALSE)/AnnuityMode,0),0)</f>
        <v>0</v>
      </c>
      <c r="H646" s="220">
        <f>IFERROR(IF(AND(MIN(A646&gt;25,Age+A646&gt;=85),B646=12),VLOOKUP(A646,Output!$A$27:$AE$137,31,FALSE),0),0)</f>
        <v>0</v>
      </c>
      <c r="I646" s="221">
        <f>IFERROR(IF(AND(MIN(A646&gt;15,A646+Age&gt;=70),C646=1),VLOOKUP(A646,Output!$A$27:$AF$137,32,FALSE)*VLOOKUP('SV calc_ignore'!A646,Output!$A$27:$AG$137,33,FALSE)/IF(AnnuityMode=2,2,IF(AnnuityMode=4,4,IF(AnnuityMode=12,12,1))),0),0)</f>
        <v>0</v>
      </c>
      <c r="J646" s="227">
        <f t="shared" si="111"/>
        <v>0</v>
      </c>
      <c r="K646" s="213">
        <f t="shared" si="116"/>
        <v>0</v>
      </c>
      <c r="L646" s="209">
        <f t="shared" si="112"/>
        <v>0</v>
      </c>
      <c r="M646" s="214">
        <f t="shared" si="121"/>
        <v>0</v>
      </c>
      <c r="N646" s="211">
        <f t="shared" si="117"/>
        <v>0</v>
      </c>
      <c r="O646" s="194">
        <f t="shared" si="118"/>
        <v>0</v>
      </c>
      <c r="P646" s="212">
        <f t="shared" si="113"/>
        <v>0</v>
      </c>
      <c r="Q646">
        <f t="shared" si="120"/>
        <v>0</v>
      </c>
      <c r="X646" s="216">
        <f t="shared" si="119"/>
        <v>53</v>
      </c>
      <c r="Y646">
        <f t="shared" si="114"/>
        <v>0</v>
      </c>
    </row>
    <row r="647" spans="1:25" ht="13.5" thickBot="1" x14ac:dyDescent="0.25">
      <c r="A647" s="204">
        <f>IF(MOD(COUNT($A$10:A646),12)=0,A646+1,A646)</f>
        <v>54</v>
      </c>
      <c r="B647" s="218">
        <f t="shared" si="115"/>
        <v>2</v>
      </c>
      <c r="C647" s="218">
        <f t="shared" si="110"/>
        <v>1</v>
      </c>
      <c r="D647" s="208">
        <f>IF(MOD(COUNT($D$10:D646),6)=0,D646+1,D646)</f>
        <v>107</v>
      </c>
      <c r="E647" s="208">
        <f>IF(MOD(COUNT($E$10:E646),3)=0,E646+1,E646)</f>
        <v>213</v>
      </c>
      <c r="F647" s="208">
        <f>IF(MOD(COUNT($F$10:F646),1)=0,F646+1,F646)</f>
        <v>638</v>
      </c>
      <c r="G647" s="204">
        <f>IFERROR(IF(C647=1,VLOOKUP(A647,Output!$A$27:$AB$137,28,FALSE)/AnnuityMode,0),0)</f>
        <v>0</v>
      </c>
      <c r="H647" s="220">
        <f>IFERROR(IF(AND(MIN(A647&gt;25,Age+A647&gt;=85),B647=12),VLOOKUP(A647,Output!$A$27:$AE$137,31,FALSE),0),0)</f>
        <v>0</v>
      </c>
      <c r="I647" s="221">
        <f>IFERROR(IF(AND(MIN(A647&gt;15,A647+Age&gt;=70),C647=1),VLOOKUP(A647,Output!$A$27:$AF$137,32,FALSE)*VLOOKUP('SV calc_ignore'!A647,Output!$A$27:$AG$137,33,FALSE)/IF(AnnuityMode=2,2,IF(AnnuityMode=4,4,IF(AnnuityMode=12,12,1))),0),0)</f>
        <v>0</v>
      </c>
      <c r="J647" s="227">
        <f t="shared" si="111"/>
        <v>0</v>
      </c>
      <c r="K647" s="213">
        <f t="shared" si="116"/>
        <v>0</v>
      </c>
      <c r="L647" s="209">
        <f t="shared" si="112"/>
        <v>0</v>
      </c>
      <c r="M647" s="214">
        <f t="shared" si="121"/>
        <v>0</v>
      </c>
      <c r="N647" s="211">
        <f t="shared" si="117"/>
        <v>0</v>
      </c>
      <c r="O647" s="194">
        <f t="shared" si="118"/>
        <v>0</v>
      </c>
      <c r="P647" s="212">
        <f t="shared" si="113"/>
        <v>0</v>
      </c>
      <c r="Q647">
        <f t="shared" si="120"/>
        <v>0</v>
      </c>
      <c r="X647" s="216">
        <f t="shared" si="119"/>
        <v>53</v>
      </c>
      <c r="Y647">
        <f t="shared" si="114"/>
        <v>0</v>
      </c>
    </row>
    <row r="648" spans="1:25" ht="13.5" thickBot="1" x14ac:dyDescent="0.25">
      <c r="A648" s="204">
        <f>IF(MOD(COUNT($A$10:A647),12)=0,A647+1,A647)</f>
        <v>54</v>
      </c>
      <c r="B648" s="218">
        <f t="shared" si="115"/>
        <v>3</v>
      </c>
      <c r="C648" s="218">
        <f t="shared" si="110"/>
        <v>1</v>
      </c>
      <c r="D648" s="208">
        <f>IF(MOD(COUNT($D$10:D647),6)=0,D647+1,D647)</f>
        <v>107</v>
      </c>
      <c r="E648" s="208">
        <f>IF(MOD(COUNT($E$10:E647),3)=0,E647+1,E647)</f>
        <v>213</v>
      </c>
      <c r="F648" s="208">
        <f>IF(MOD(COUNT($F$10:F647),1)=0,F647+1,F647)</f>
        <v>639</v>
      </c>
      <c r="G648" s="204">
        <f>IFERROR(IF(C648=1,VLOOKUP(A648,Output!$A$27:$AB$137,28,FALSE)/AnnuityMode,0),0)</f>
        <v>0</v>
      </c>
      <c r="H648" s="220">
        <f>IFERROR(IF(AND(MIN(A648&gt;25,Age+A648&gt;=85),B648=12),VLOOKUP(A648,Output!$A$27:$AE$137,31,FALSE),0),0)</f>
        <v>0</v>
      </c>
      <c r="I648" s="221">
        <f>IFERROR(IF(AND(MIN(A648&gt;15,A648+Age&gt;=70),C648=1),VLOOKUP(A648,Output!$A$27:$AF$137,32,FALSE)*VLOOKUP('SV calc_ignore'!A648,Output!$A$27:$AG$137,33,FALSE)/IF(AnnuityMode=2,2,IF(AnnuityMode=4,4,IF(AnnuityMode=12,12,1))),0),0)</f>
        <v>0</v>
      </c>
      <c r="J648" s="227">
        <f t="shared" si="111"/>
        <v>0</v>
      </c>
      <c r="K648" s="213">
        <f t="shared" si="116"/>
        <v>0</v>
      </c>
      <c r="L648" s="209">
        <f t="shared" si="112"/>
        <v>0</v>
      </c>
      <c r="M648" s="214">
        <f t="shared" si="121"/>
        <v>0</v>
      </c>
      <c r="N648" s="211">
        <f t="shared" si="117"/>
        <v>0</v>
      </c>
      <c r="O648" s="194">
        <f t="shared" si="118"/>
        <v>0</v>
      </c>
      <c r="P648" s="212">
        <f t="shared" si="113"/>
        <v>0</v>
      </c>
      <c r="Q648">
        <f t="shared" si="120"/>
        <v>0</v>
      </c>
      <c r="X648" s="216">
        <f t="shared" si="119"/>
        <v>53</v>
      </c>
      <c r="Y648">
        <f t="shared" si="114"/>
        <v>0</v>
      </c>
    </row>
    <row r="649" spans="1:25" ht="13.5" thickBot="1" x14ac:dyDescent="0.25">
      <c r="A649" s="204">
        <f>IF(MOD(COUNT($A$10:A648),12)=0,A648+1,A648)</f>
        <v>54</v>
      </c>
      <c r="B649" s="218">
        <f t="shared" si="115"/>
        <v>4</v>
      </c>
      <c r="C649" s="218">
        <f t="shared" si="110"/>
        <v>1</v>
      </c>
      <c r="D649" s="208">
        <f>IF(MOD(COUNT($D$10:D648),6)=0,D648+1,D648)</f>
        <v>107</v>
      </c>
      <c r="E649" s="208">
        <f>IF(MOD(COUNT($E$10:E648),3)=0,E648+1,E648)</f>
        <v>214</v>
      </c>
      <c r="F649" s="208">
        <f>IF(MOD(COUNT($F$10:F648),1)=0,F648+1,F648)</f>
        <v>640</v>
      </c>
      <c r="G649" s="204">
        <f>IFERROR(IF(C649=1,VLOOKUP(A649,Output!$A$27:$AB$137,28,FALSE)/AnnuityMode,0),0)</f>
        <v>0</v>
      </c>
      <c r="H649" s="220">
        <f>IFERROR(IF(AND(MIN(A649&gt;25,Age+A649&gt;=85),B649=12),VLOOKUP(A649,Output!$A$27:$AE$137,31,FALSE),0),0)</f>
        <v>0</v>
      </c>
      <c r="I649" s="221">
        <f>IFERROR(IF(AND(MIN(A649&gt;15,A649+Age&gt;=70),C649=1),VLOOKUP(A649,Output!$A$27:$AF$137,32,FALSE)*VLOOKUP('SV calc_ignore'!A649,Output!$A$27:$AG$137,33,FALSE)/IF(AnnuityMode=2,2,IF(AnnuityMode=4,4,IF(AnnuityMode=12,12,1))),0),0)</f>
        <v>0</v>
      </c>
      <c r="J649" s="227">
        <f t="shared" si="111"/>
        <v>0</v>
      </c>
      <c r="K649" s="213">
        <f t="shared" si="116"/>
        <v>0</v>
      </c>
      <c r="L649" s="209">
        <f t="shared" si="112"/>
        <v>0</v>
      </c>
      <c r="M649" s="214">
        <f t="shared" si="121"/>
        <v>0</v>
      </c>
      <c r="N649" s="211">
        <f t="shared" si="117"/>
        <v>0</v>
      </c>
      <c r="O649" s="194">
        <f t="shared" si="118"/>
        <v>0</v>
      </c>
      <c r="P649" s="212">
        <f t="shared" si="113"/>
        <v>0</v>
      </c>
      <c r="Q649">
        <f t="shared" si="120"/>
        <v>0</v>
      </c>
      <c r="X649" s="216">
        <f t="shared" si="119"/>
        <v>53</v>
      </c>
      <c r="Y649">
        <f t="shared" si="114"/>
        <v>0</v>
      </c>
    </row>
    <row r="650" spans="1:25" ht="13.5" thickBot="1" x14ac:dyDescent="0.25">
      <c r="A650" s="204">
        <f>IF(MOD(COUNT($A$10:A649),12)=0,A649+1,A649)</f>
        <v>54</v>
      </c>
      <c r="B650" s="218">
        <f t="shared" si="115"/>
        <v>5</v>
      </c>
      <c r="C650" s="218">
        <f t="shared" ref="C650:C713" si="122">IF(AND(AnnuityMode=1,B650=12),1,IF(AND(OR(B650=6,B650=12),AnnuityMode=2),1,IF(AND(OR(B650=3,B650=6,B650=12,B650=9),AnnuityMode=4),1,IF(AND(OR(B650=1,B650=2,B650=3,B650=4,B650=5,B650=6,B650=7,B650=8,B650=9,B650=10,B650=11,B650=12),AnnuityMode=12),1,0))))</f>
        <v>1</v>
      </c>
      <c r="D650" s="208">
        <f>IF(MOD(COUNT($D$10:D649),6)=0,D649+1,D649)</f>
        <v>107</v>
      </c>
      <c r="E650" s="208">
        <f>IF(MOD(COUNT($E$10:E649),3)=0,E649+1,E649)</f>
        <v>214</v>
      </c>
      <c r="F650" s="208">
        <f>IF(MOD(COUNT($F$10:F649),1)=0,F649+1,F649)</f>
        <v>641</v>
      </c>
      <c r="G650" s="204">
        <f>IFERROR(IF(C650=1,VLOOKUP(A650,Output!$A$27:$AB$137,28,FALSE)/AnnuityMode,0),0)</f>
        <v>0</v>
      </c>
      <c r="H650" s="220">
        <f>IFERROR(IF(AND(MIN(A650&gt;25,Age+A650&gt;=85),B650=12),VLOOKUP(A650,Output!$A$27:$AE$137,31,FALSE),0),0)</f>
        <v>0</v>
      </c>
      <c r="I650" s="221">
        <f>IFERROR(IF(AND(MIN(A650&gt;15,A650+Age&gt;=70),C650=1),VLOOKUP(A650,Output!$A$27:$AF$137,32,FALSE)*VLOOKUP('SV calc_ignore'!A650,Output!$A$27:$AG$137,33,FALSE)/IF(AnnuityMode=2,2,IF(AnnuityMode=4,4,IF(AnnuityMode=12,12,1))),0),0)</f>
        <v>0</v>
      </c>
      <c r="J650" s="227">
        <f t="shared" ref="J650:J713" si="123">G650+(J651)*(1+$K$3)^(-1)</f>
        <v>0</v>
      </c>
      <c r="K650" s="213">
        <f t="shared" si="116"/>
        <v>0</v>
      </c>
      <c r="L650" s="209">
        <f t="shared" ref="L650:L713" si="124">(L651+G651)*$K$2</f>
        <v>0</v>
      </c>
      <c r="M650" s="214">
        <f t="shared" si="121"/>
        <v>0</v>
      </c>
      <c r="N650" s="211">
        <f t="shared" si="117"/>
        <v>0</v>
      </c>
      <c r="O650" s="194">
        <f t="shared" si="118"/>
        <v>0</v>
      </c>
      <c r="P650" s="212">
        <f t="shared" ref="P650:P713" si="125">(P651+H651)*(1+$K$3)^(-1)</f>
        <v>0</v>
      </c>
      <c r="Q650">
        <f t="shared" si="120"/>
        <v>0</v>
      </c>
      <c r="X650" s="216">
        <f t="shared" si="119"/>
        <v>53</v>
      </c>
      <c r="Y650">
        <f t="shared" ref="Y650:Y713" si="126">G650*(1-IF(AnnuityMode=1,$L$2,IF(AnnuityMode=2,$M$2,IF(AnnuityMode=4,$N$2,$K$2)))^(110*AnnuityMode-IF(AnnuityMode=1,X650,IF(AnnuityMode=2,D650,IF(AnnuityMode=4,E650,F650)))-0))/(IF(AnnuityMode=1,$L$3,IF(AnnuityMode=2,$M$3,IF(AnnuityMode=4,$N$3,$K$3))))</f>
        <v>0</v>
      </c>
    </row>
    <row r="651" spans="1:25" ht="13.5" thickBot="1" x14ac:dyDescent="0.25">
      <c r="A651" s="204">
        <f>IF(MOD(COUNT($A$10:A650),12)=0,A650+1,A650)</f>
        <v>54</v>
      </c>
      <c r="B651" s="218">
        <f t="shared" ref="B651:B714" si="127">IF(A650&lt;&gt;A651,1,B650+1)</f>
        <v>6</v>
      </c>
      <c r="C651" s="218">
        <f t="shared" si="122"/>
        <v>1</v>
      </c>
      <c r="D651" s="208">
        <f>IF(MOD(COUNT($D$10:D650),6)=0,D650+1,D650)</f>
        <v>107</v>
      </c>
      <c r="E651" s="208">
        <f>IF(MOD(COUNT($E$10:E650),3)=0,E650+1,E650)</f>
        <v>214</v>
      </c>
      <c r="F651" s="208">
        <f>IF(MOD(COUNT($F$10:F650),1)=0,F650+1,F650)</f>
        <v>642</v>
      </c>
      <c r="G651" s="204">
        <f>IFERROR(IF(C651=1,VLOOKUP(A651,Output!$A$27:$AB$137,28,FALSE)/AnnuityMode,0),0)</f>
        <v>0</v>
      </c>
      <c r="H651" s="220">
        <f>IFERROR(IF(AND(MIN(A651&gt;25,Age+A651&gt;=85),B651=12),VLOOKUP(A651,Output!$A$27:$AE$137,31,FALSE),0),0)</f>
        <v>0</v>
      </c>
      <c r="I651" s="221">
        <f>IFERROR(IF(AND(MIN(A651&gt;15,A651+Age&gt;=70),C651=1),VLOOKUP(A651,Output!$A$27:$AF$137,32,FALSE)*VLOOKUP('SV calc_ignore'!A651,Output!$A$27:$AG$137,33,FALSE)/IF(AnnuityMode=2,2,IF(AnnuityMode=4,4,IF(AnnuityMode=12,12,1))),0),0)</f>
        <v>0</v>
      </c>
      <c r="J651" s="227">
        <f t="shared" si="123"/>
        <v>0</v>
      </c>
      <c r="K651" s="213">
        <f t="shared" ref="K651:K714" si="128">IF(OR(K650&gt;$K$8,K650=0),0,K650+1)</f>
        <v>0</v>
      </c>
      <c r="L651" s="209">
        <f t="shared" si="124"/>
        <v>0</v>
      </c>
      <c r="M651" s="214">
        <f t="shared" si="121"/>
        <v>0</v>
      </c>
      <c r="N651" s="211">
        <f t="shared" ref="N651:N714" si="129">M651-L651-G651</f>
        <v>0</v>
      </c>
      <c r="O651" s="194">
        <f t="shared" ref="O651:O714" si="130">MAX($H$10:$H$897)/(1+$K$3)^($Q$5*12-F651)*(A651&lt;=$Q$5)</f>
        <v>0</v>
      </c>
      <c r="P651" s="212">
        <f t="shared" si="125"/>
        <v>0</v>
      </c>
      <c r="Q651">
        <f t="shared" si="120"/>
        <v>0</v>
      </c>
      <c r="X651" s="216">
        <f t="shared" ref="X651:X714" si="131">A651-1</f>
        <v>53</v>
      </c>
      <c r="Y651">
        <f t="shared" si="126"/>
        <v>0</v>
      </c>
    </row>
    <row r="652" spans="1:25" ht="13.5" thickBot="1" x14ac:dyDescent="0.25">
      <c r="A652" s="204">
        <f>IF(MOD(COUNT($A$10:A651),12)=0,A651+1,A651)</f>
        <v>54</v>
      </c>
      <c r="B652" s="218">
        <f t="shared" si="127"/>
        <v>7</v>
      </c>
      <c r="C652" s="218">
        <f t="shared" si="122"/>
        <v>1</v>
      </c>
      <c r="D652" s="208">
        <f>IF(MOD(COUNT($D$10:D651),6)=0,D651+1,D651)</f>
        <v>108</v>
      </c>
      <c r="E652" s="208">
        <f>IF(MOD(COUNT($E$10:E651),3)=0,E651+1,E651)</f>
        <v>215</v>
      </c>
      <c r="F652" s="208">
        <f>IF(MOD(COUNT($F$10:F651),1)=0,F651+1,F651)</f>
        <v>643</v>
      </c>
      <c r="G652" s="204">
        <f>IFERROR(IF(C652=1,VLOOKUP(A652,Output!$A$27:$AB$137,28,FALSE)/AnnuityMode,0),0)</f>
        <v>0</v>
      </c>
      <c r="H652" s="220">
        <f>IFERROR(IF(AND(MIN(A652&gt;25,Age+A652&gt;=85),B652=12),VLOOKUP(A652,Output!$A$27:$AE$137,31,FALSE),0),0)</f>
        <v>0</v>
      </c>
      <c r="I652" s="221">
        <f>IFERROR(IF(AND(MIN(A652&gt;15,A652+Age&gt;=70),C652=1),VLOOKUP(A652,Output!$A$27:$AF$137,32,FALSE)*VLOOKUP('SV calc_ignore'!A652,Output!$A$27:$AG$137,33,FALSE)/IF(AnnuityMode=2,2,IF(AnnuityMode=4,4,IF(AnnuityMode=12,12,1))),0),0)</f>
        <v>0</v>
      </c>
      <c r="J652" s="227">
        <f t="shared" si="123"/>
        <v>0</v>
      </c>
      <c r="K652" s="213">
        <f t="shared" si="128"/>
        <v>0</v>
      </c>
      <c r="L652" s="209">
        <f t="shared" si="124"/>
        <v>0</v>
      </c>
      <c r="M652" s="214">
        <f t="shared" si="121"/>
        <v>0</v>
      </c>
      <c r="N652" s="211">
        <f t="shared" si="129"/>
        <v>0</v>
      </c>
      <c r="O652" s="194">
        <f t="shared" si="130"/>
        <v>0</v>
      </c>
      <c r="P652" s="212">
        <f t="shared" si="125"/>
        <v>0</v>
      </c>
      <c r="Q652">
        <f t="shared" si="120"/>
        <v>0</v>
      </c>
      <c r="X652" s="216">
        <f t="shared" si="131"/>
        <v>53</v>
      </c>
      <c r="Y652">
        <f t="shared" si="126"/>
        <v>0</v>
      </c>
    </row>
    <row r="653" spans="1:25" ht="13.5" thickBot="1" x14ac:dyDescent="0.25">
      <c r="A653" s="204">
        <f>IF(MOD(COUNT($A$10:A652),12)=0,A652+1,A652)</f>
        <v>54</v>
      </c>
      <c r="B653" s="218">
        <f t="shared" si="127"/>
        <v>8</v>
      </c>
      <c r="C653" s="218">
        <f t="shared" si="122"/>
        <v>1</v>
      </c>
      <c r="D653" s="208">
        <f>IF(MOD(COUNT($D$10:D652),6)=0,D652+1,D652)</f>
        <v>108</v>
      </c>
      <c r="E653" s="208">
        <f>IF(MOD(COUNT($E$10:E652),3)=0,E652+1,E652)</f>
        <v>215</v>
      </c>
      <c r="F653" s="208">
        <f>IF(MOD(COUNT($F$10:F652),1)=0,F652+1,F652)</f>
        <v>644</v>
      </c>
      <c r="G653" s="204">
        <f>IFERROR(IF(C653=1,VLOOKUP(A653,Output!$A$27:$AB$137,28,FALSE)/AnnuityMode,0),0)</f>
        <v>0</v>
      </c>
      <c r="H653" s="220">
        <f>IFERROR(IF(AND(MIN(A653&gt;25,Age+A653&gt;=85),B653=12),VLOOKUP(A653,Output!$A$27:$AE$137,31,FALSE),0),0)</f>
        <v>0</v>
      </c>
      <c r="I653" s="221">
        <f>IFERROR(IF(AND(MIN(A653&gt;15,A653+Age&gt;=70),C653=1),VLOOKUP(A653,Output!$A$27:$AF$137,32,FALSE)*VLOOKUP('SV calc_ignore'!A653,Output!$A$27:$AG$137,33,FALSE)/IF(AnnuityMode=2,2,IF(AnnuityMode=4,4,IF(AnnuityMode=12,12,1))),0),0)</f>
        <v>0</v>
      </c>
      <c r="J653" s="227">
        <f t="shared" si="123"/>
        <v>0</v>
      </c>
      <c r="K653" s="213">
        <f t="shared" si="128"/>
        <v>0</v>
      </c>
      <c r="L653" s="209">
        <f t="shared" si="124"/>
        <v>0</v>
      </c>
      <c r="M653" s="214">
        <f t="shared" si="121"/>
        <v>0</v>
      </c>
      <c r="N653" s="211">
        <f t="shared" si="129"/>
        <v>0</v>
      </c>
      <c r="O653" s="194">
        <f t="shared" si="130"/>
        <v>0</v>
      </c>
      <c r="P653" s="212">
        <f t="shared" si="125"/>
        <v>0</v>
      </c>
      <c r="Q653">
        <f t="shared" si="120"/>
        <v>0</v>
      </c>
      <c r="X653" s="216">
        <f t="shared" si="131"/>
        <v>53</v>
      </c>
      <c r="Y653">
        <f t="shared" si="126"/>
        <v>0</v>
      </c>
    </row>
    <row r="654" spans="1:25" ht="13.5" thickBot="1" x14ac:dyDescent="0.25">
      <c r="A654" s="204">
        <f>IF(MOD(COUNT($A$10:A653),12)=0,A653+1,A653)</f>
        <v>54</v>
      </c>
      <c r="B654" s="218">
        <f t="shared" si="127"/>
        <v>9</v>
      </c>
      <c r="C654" s="218">
        <f t="shared" si="122"/>
        <v>1</v>
      </c>
      <c r="D654" s="208">
        <f>IF(MOD(COUNT($D$10:D653),6)=0,D653+1,D653)</f>
        <v>108</v>
      </c>
      <c r="E654" s="208">
        <f>IF(MOD(COUNT($E$10:E653),3)=0,E653+1,E653)</f>
        <v>215</v>
      </c>
      <c r="F654" s="208">
        <f>IF(MOD(COUNT($F$10:F653),1)=0,F653+1,F653)</f>
        <v>645</v>
      </c>
      <c r="G654" s="204">
        <f>IFERROR(IF(C654=1,VLOOKUP(A654,Output!$A$27:$AB$137,28,FALSE)/AnnuityMode,0),0)</f>
        <v>0</v>
      </c>
      <c r="H654" s="220">
        <f>IFERROR(IF(AND(MIN(A654&gt;25,Age+A654&gt;=85),B654=12),VLOOKUP(A654,Output!$A$27:$AE$137,31,FALSE),0),0)</f>
        <v>0</v>
      </c>
      <c r="I654" s="221">
        <f>IFERROR(IF(AND(MIN(A654&gt;15,A654+Age&gt;=70),C654=1),VLOOKUP(A654,Output!$A$27:$AF$137,32,FALSE)*VLOOKUP('SV calc_ignore'!A654,Output!$A$27:$AG$137,33,FALSE)/IF(AnnuityMode=2,2,IF(AnnuityMode=4,4,IF(AnnuityMode=12,12,1))),0),0)</f>
        <v>0</v>
      </c>
      <c r="J654" s="227">
        <f t="shared" si="123"/>
        <v>0</v>
      </c>
      <c r="K654" s="213">
        <f t="shared" si="128"/>
        <v>0</v>
      </c>
      <c r="L654" s="209">
        <f t="shared" si="124"/>
        <v>0</v>
      </c>
      <c r="M654" s="214">
        <f t="shared" si="121"/>
        <v>0</v>
      </c>
      <c r="N654" s="211">
        <f t="shared" si="129"/>
        <v>0</v>
      </c>
      <c r="O654" s="194">
        <f t="shared" si="130"/>
        <v>0</v>
      </c>
      <c r="P654" s="212">
        <f t="shared" si="125"/>
        <v>0</v>
      </c>
      <c r="Q654">
        <f t="shared" si="120"/>
        <v>0</v>
      </c>
      <c r="X654" s="216">
        <f t="shared" si="131"/>
        <v>53</v>
      </c>
      <c r="Y654">
        <f t="shared" si="126"/>
        <v>0</v>
      </c>
    </row>
    <row r="655" spans="1:25" ht="13.5" thickBot="1" x14ac:dyDescent="0.25">
      <c r="A655" s="204">
        <f>IF(MOD(COUNT($A$10:A654),12)=0,A654+1,A654)</f>
        <v>54</v>
      </c>
      <c r="B655" s="218">
        <f t="shared" si="127"/>
        <v>10</v>
      </c>
      <c r="C655" s="218">
        <f t="shared" si="122"/>
        <v>1</v>
      </c>
      <c r="D655" s="208">
        <f>IF(MOD(COUNT($D$10:D654),6)=0,D654+1,D654)</f>
        <v>108</v>
      </c>
      <c r="E655" s="208">
        <f>IF(MOD(COUNT($E$10:E654),3)=0,E654+1,E654)</f>
        <v>216</v>
      </c>
      <c r="F655" s="208">
        <f>IF(MOD(COUNT($F$10:F654),1)=0,F654+1,F654)</f>
        <v>646</v>
      </c>
      <c r="G655" s="204">
        <f>IFERROR(IF(C655=1,VLOOKUP(A655,Output!$A$27:$AB$137,28,FALSE)/AnnuityMode,0),0)</f>
        <v>0</v>
      </c>
      <c r="H655" s="220">
        <f>IFERROR(IF(AND(MIN(A655&gt;25,Age+A655&gt;=85),B655=12),VLOOKUP(A655,Output!$A$27:$AE$137,31,FALSE),0),0)</f>
        <v>0</v>
      </c>
      <c r="I655" s="221">
        <f>IFERROR(IF(AND(MIN(A655&gt;15,A655+Age&gt;=70),C655=1),VLOOKUP(A655,Output!$A$27:$AF$137,32,FALSE)*VLOOKUP('SV calc_ignore'!A655,Output!$A$27:$AG$137,33,FALSE)/IF(AnnuityMode=2,2,IF(AnnuityMode=4,4,IF(AnnuityMode=12,12,1))),0),0)</f>
        <v>0</v>
      </c>
      <c r="J655" s="227">
        <f t="shared" si="123"/>
        <v>0</v>
      </c>
      <c r="K655" s="213">
        <f t="shared" si="128"/>
        <v>0</v>
      </c>
      <c r="L655" s="209">
        <f t="shared" si="124"/>
        <v>0</v>
      </c>
      <c r="M655" s="214">
        <f t="shared" si="121"/>
        <v>0</v>
      </c>
      <c r="N655" s="211">
        <f t="shared" si="129"/>
        <v>0</v>
      </c>
      <c r="O655" s="194">
        <f t="shared" si="130"/>
        <v>0</v>
      </c>
      <c r="P655" s="212">
        <f t="shared" si="125"/>
        <v>0</v>
      </c>
      <c r="Q655">
        <f t="shared" si="120"/>
        <v>0</v>
      </c>
      <c r="X655" s="216">
        <f t="shared" si="131"/>
        <v>53</v>
      </c>
      <c r="Y655">
        <f t="shared" si="126"/>
        <v>0</v>
      </c>
    </row>
    <row r="656" spans="1:25" ht="13.5" thickBot="1" x14ac:dyDescent="0.25">
      <c r="A656" s="204">
        <f>IF(MOD(COUNT($A$10:A655),12)=0,A655+1,A655)</f>
        <v>54</v>
      </c>
      <c r="B656" s="218">
        <f t="shared" si="127"/>
        <v>11</v>
      </c>
      <c r="C656" s="218">
        <f t="shared" si="122"/>
        <v>1</v>
      </c>
      <c r="D656" s="208">
        <f>IF(MOD(COUNT($D$10:D655),6)=0,D655+1,D655)</f>
        <v>108</v>
      </c>
      <c r="E656" s="208">
        <f>IF(MOD(COUNT($E$10:E655),3)=0,E655+1,E655)</f>
        <v>216</v>
      </c>
      <c r="F656" s="208">
        <f>IF(MOD(COUNT($F$10:F655),1)=0,F655+1,F655)</f>
        <v>647</v>
      </c>
      <c r="G656" s="204">
        <f>IFERROR(IF(C656=1,VLOOKUP(A656,Output!$A$27:$AB$137,28,FALSE)/AnnuityMode,0),0)</f>
        <v>0</v>
      </c>
      <c r="H656" s="220">
        <f>IFERROR(IF(AND(MIN(A656&gt;25,Age+A656&gt;=85),B656=12),VLOOKUP(A656,Output!$A$27:$AE$137,31,FALSE),0),0)</f>
        <v>0</v>
      </c>
      <c r="I656" s="221">
        <f>IFERROR(IF(AND(MIN(A656&gt;15,A656+Age&gt;=70),C656=1),VLOOKUP(A656,Output!$A$27:$AF$137,32,FALSE)*VLOOKUP('SV calc_ignore'!A656,Output!$A$27:$AG$137,33,FALSE)/IF(AnnuityMode=2,2,IF(AnnuityMode=4,4,IF(AnnuityMode=12,12,1))),0),0)</f>
        <v>0</v>
      </c>
      <c r="J656" s="227">
        <f t="shared" si="123"/>
        <v>0</v>
      </c>
      <c r="K656" s="213">
        <f t="shared" si="128"/>
        <v>0</v>
      </c>
      <c r="L656" s="209">
        <f t="shared" si="124"/>
        <v>0</v>
      </c>
      <c r="M656" s="214">
        <f t="shared" si="121"/>
        <v>0</v>
      </c>
      <c r="N656" s="211">
        <f t="shared" si="129"/>
        <v>0</v>
      </c>
      <c r="O656" s="194">
        <f t="shared" si="130"/>
        <v>0</v>
      </c>
      <c r="P656" s="212">
        <f t="shared" si="125"/>
        <v>0</v>
      </c>
      <c r="Q656">
        <f t="shared" si="120"/>
        <v>0</v>
      </c>
      <c r="X656" s="216">
        <f t="shared" si="131"/>
        <v>53</v>
      </c>
      <c r="Y656">
        <f t="shared" si="126"/>
        <v>0</v>
      </c>
    </row>
    <row r="657" spans="1:25" ht="13.5" thickBot="1" x14ac:dyDescent="0.25">
      <c r="A657" s="204">
        <f>IF(MOD(COUNT($A$10:A656),12)=0,A656+1,A656)</f>
        <v>54</v>
      </c>
      <c r="B657" s="218">
        <f t="shared" si="127"/>
        <v>12</v>
      </c>
      <c r="C657" s="218">
        <f t="shared" si="122"/>
        <v>1</v>
      </c>
      <c r="D657" s="208">
        <f>IF(MOD(COUNT($D$10:D656),6)=0,D656+1,D656)</f>
        <v>108</v>
      </c>
      <c r="E657" s="208">
        <f>IF(MOD(COUNT($E$10:E656),3)=0,E656+1,E656)</f>
        <v>216</v>
      </c>
      <c r="F657" s="208">
        <f>IF(MOD(COUNT($F$10:F656),1)=0,F656+1,F656)</f>
        <v>648</v>
      </c>
      <c r="G657" s="204">
        <f>IFERROR(IF(C657=1,VLOOKUP(A657,Output!$A$27:$AB$137,28,FALSE)/AnnuityMode,0),0)</f>
        <v>0</v>
      </c>
      <c r="H657" s="220">
        <f>IFERROR(IF(AND(MIN(A657&gt;25,Age+A657&gt;=85),B657=12),VLOOKUP(A657,Output!$A$27:$AE$137,31,FALSE),0),0)</f>
        <v>0</v>
      </c>
      <c r="I657" s="221">
        <f>IFERROR(IF(AND(MIN(A657&gt;15,A657+Age&gt;=70),C657=1),VLOOKUP(A657,Output!$A$27:$AF$137,32,FALSE)*VLOOKUP('SV calc_ignore'!A657,Output!$A$27:$AG$137,33,FALSE)/IF(AnnuityMode=2,2,IF(AnnuityMode=4,4,IF(AnnuityMode=12,12,1))),0),0)</f>
        <v>0</v>
      </c>
      <c r="J657" s="227">
        <f t="shared" si="123"/>
        <v>0</v>
      </c>
      <c r="K657" s="213">
        <f t="shared" si="128"/>
        <v>0</v>
      </c>
      <c r="L657" s="209">
        <f t="shared" si="124"/>
        <v>0</v>
      </c>
      <c r="M657" s="214">
        <f t="shared" si="121"/>
        <v>0</v>
      </c>
      <c r="N657" s="211">
        <f t="shared" si="129"/>
        <v>0</v>
      </c>
      <c r="O657" s="194">
        <f t="shared" si="130"/>
        <v>0</v>
      </c>
      <c r="P657" s="212">
        <f t="shared" si="125"/>
        <v>0</v>
      </c>
      <c r="Q657">
        <f t="shared" si="120"/>
        <v>0</v>
      </c>
      <c r="X657" s="216">
        <f t="shared" si="131"/>
        <v>53</v>
      </c>
      <c r="Y657">
        <f t="shared" si="126"/>
        <v>0</v>
      </c>
    </row>
    <row r="658" spans="1:25" ht="13.5" thickBot="1" x14ac:dyDescent="0.25">
      <c r="A658" s="204">
        <f>IF(MOD(COUNT($A$10:A657),12)=0,A657+1,A657)</f>
        <v>55</v>
      </c>
      <c r="B658" s="218">
        <f t="shared" si="127"/>
        <v>1</v>
      </c>
      <c r="C658" s="218">
        <f t="shared" si="122"/>
        <v>1</v>
      </c>
      <c r="D658" s="208">
        <f>IF(MOD(COUNT($D$10:D657),6)=0,D657+1,D657)</f>
        <v>109</v>
      </c>
      <c r="E658" s="208">
        <f>IF(MOD(COUNT($E$10:E657),3)=0,E657+1,E657)</f>
        <v>217</v>
      </c>
      <c r="F658" s="208">
        <f>IF(MOD(COUNT($F$10:F657),1)=0,F657+1,F657)</f>
        <v>649</v>
      </c>
      <c r="G658" s="204">
        <f>IFERROR(IF(C658=1,VLOOKUP(A658,Output!$A$27:$AB$137,28,FALSE)/AnnuityMode,0),0)</f>
        <v>0</v>
      </c>
      <c r="H658" s="220">
        <f>IFERROR(IF(AND(MIN(A658&gt;25,Age+A658&gt;=85),B658=12),VLOOKUP(A658,Output!$A$27:$AE$137,31,FALSE),0),0)</f>
        <v>0</v>
      </c>
      <c r="I658" s="221">
        <f>IFERROR(IF(AND(MIN(A658&gt;15,A658+Age&gt;=70),C658=1),VLOOKUP(A658,Output!$A$27:$AF$137,32,FALSE)*VLOOKUP('SV calc_ignore'!A658,Output!$A$27:$AG$137,33,FALSE)/IF(AnnuityMode=2,2,IF(AnnuityMode=4,4,IF(AnnuityMode=12,12,1))),0),0)</f>
        <v>0</v>
      </c>
      <c r="J658" s="227">
        <f t="shared" si="123"/>
        <v>0</v>
      </c>
      <c r="K658" s="213">
        <f t="shared" si="128"/>
        <v>0</v>
      </c>
      <c r="L658" s="209">
        <f t="shared" si="124"/>
        <v>0</v>
      </c>
      <c r="M658" s="214">
        <f t="shared" si="121"/>
        <v>0</v>
      </c>
      <c r="N658" s="211">
        <f t="shared" si="129"/>
        <v>0</v>
      </c>
      <c r="O658" s="194">
        <f t="shared" si="130"/>
        <v>0</v>
      </c>
      <c r="P658" s="212">
        <f t="shared" si="125"/>
        <v>0</v>
      </c>
      <c r="Q658">
        <f t="shared" si="120"/>
        <v>0</v>
      </c>
      <c r="X658" s="216">
        <f t="shared" si="131"/>
        <v>54</v>
      </c>
      <c r="Y658">
        <f t="shared" si="126"/>
        <v>0</v>
      </c>
    </row>
    <row r="659" spans="1:25" ht="13.5" thickBot="1" x14ac:dyDescent="0.25">
      <c r="A659" s="204">
        <f>IF(MOD(COUNT($A$10:A658),12)=0,A658+1,A658)</f>
        <v>55</v>
      </c>
      <c r="B659" s="218">
        <f t="shared" si="127"/>
        <v>2</v>
      </c>
      <c r="C659" s="218">
        <f t="shared" si="122"/>
        <v>1</v>
      </c>
      <c r="D659" s="208">
        <f>IF(MOD(COUNT($D$10:D658),6)=0,D658+1,D658)</f>
        <v>109</v>
      </c>
      <c r="E659" s="208">
        <f>IF(MOD(COUNT($E$10:E658),3)=0,E658+1,E658)</f>
        <v>217</v>
      </c>
      <c r="F659" s="208">
        <f>IF(MOD(COUNT($F$10:F658),1)=0,F658+1,F658)</f>
        <v>650</v>
      </c>
      <c r="G659" s="204">
        <f>IFERROR(IF(C659=1,VLOOKUP(A659,Output!$A$27:$AB$137,28,FALSE)/AnnuityMode,0),0)</f>
        <v>0</v>
      </c>
      <c r="H659" s="220">
        <f>IFERROR(IF(AND(MIN(A659&gt;25,Age+A659&gt;=85),B659=12),VLOOKUP(A659,Output!$A$27:$AE$137,31,FALSE),0),0)</f>
        <v>0</v>
      </c>
      <c r="I659" s="221">
        <f>IFERROR(IF(AND(MIN(A659&gt;15,A659+Age&gt;=70),C659=1),VLOOKUP(A659,Output!$A$27:$AF$137,32,FALSE)*VLOOKUP('SV calc_ignore'!A659,Output!$A$27:$AG$137,33,FALSE)/IF(AnnuityMode=2,2,IF(AnnuityMode=4,4,IF(AnnuityMode=12,12,1))),0),0)</f>
        <v>0</v>
      </c>
      <c r="J659" s="227">
        <f t="shared" si="123"/>
        <v>0</v>
      </c>
      <c r="K659" s="213">
        <f t="shared" si="128"/>
        <v>0</v>
      </c>
      <c r="L659" s="209">
        <f t="shared" si="124"/>
        <v>0</v>
      </c>
      <c r="M659" s="214">
        <f t="shared" si="121"/>
        <v>0</v>
      </c>
      <c r="N659" s="211">
        <f t="shared" si="129"/>
        <v>0</v>
      </c>
      <c r="O659" s="194">
        <f t="shared" si="130"/>
        <v>0</v>
      </c>
      <c r="P659" s="212">
        <f t="shared" si="125"/>
        <v>0</v>
      </c>
      <c r="Q659">
        <f t="shared" si="120"/>
        <v>0</v>
      </c>
      <c r="X659" s="216">
        <f t="shared" si="131"/>
        <v>54</v>
      </c>
      <c r="Y659">
        <f t="shared" si="126"/>
        <v>0</v>
      </c>
    </row>
    <row r="660" spans="1:25" ht="13.5" thickBot="1" x14ac:dyDescent="0.25">
      <c r="A660" s="204">
        <f>IF(MOD(COUNT($A$10:A659),12)=0,A659+1,A659)</f>
        <v>55</v>
      </c>
      <c r="B660" s="218">
        <f t="shared" si="127"/>
        <v>3</v>
      </c>
      <c r="C660" s="218">
        <f t="shared" si="122"/>
        <v>1</v>
      </c>
      <c r="D660" s="208">
        <f>IF(MOD(COUNT($D$10:D659),6)=0,D659+1,D659)</f>
        <v>109</v>
      </c>
      <c r="E660" s="208">
        <f>IF(MOD(COUNT($E$10:E659),3)=0,E659+1,E659)</f>
        <v>217</v>
      </c>
      <c r="F660" s="208">
        <f>IF(MOD(COUNT($F$10:F659),1)=0,F659+1,F659)</f>
        <v>651</v>
      </c>
      <c r="G660" s="204">
        <f>IFERROR(IF(C660=1,VLOOKUP(A660,Output!$A$27:$AB$137,28,FALSE)/AnnuityMode,0),0)</f>
        <v>0</v>
      </c>
      <c r="H660" s="220">
        <f>IFERROR(IF(AND(MIN(A660&gt;25,Age+A660&gt;=85),B660=12),VLOOKUP(A660,Output!$A$27:$AE$137,31,FALSE),0),0)</f>
        <v>0</v>
      </c>
      <c r="I660" s="221">
        <f>IFERROR(IF(AND(MIN(A660&gt;15,A660+Age&gt;=70),C660=1),VLOOKUP(A660,Output!$A$27:$AF$137,32,FALSE)*VLOOKUP('SV calc_ignore'!A660,Output!$A$27:$AG$137,33,FALSE)/IF(AnnuityMode=2,2,IF(AnnuityMode=4,4,IF(AnnuityMode=12,12,1))),0),0)</f>
        <v>0</v>
      </c>
      <c r="J660" s="227">
        <f t="shared" si="123"/>
        <v>0</v>
      </c>
      <c r="K660" s="213">
        <f t="shared" si="128"/>
        <v>0</v>
      </c>
      <c r="L660" s="209">
        <f t="shared" si="124"/>
        <v>0</v>
      </c>
      <c r="M660" s="214">
        <f t="shared" si="121"/>
        <v>0</v>
      </c>
      <c r="N660" s="211">
        <f t="shared" si="129"/>
        <v>0</v>
      </c>
      <c r="O660" s="194">
        <f t="shared" si="130"/>
        <v>0</v>
      </c>
      <c r="P660" s="212">
        <f t="shared" si="125"/>
        <v>0</v>
      </c>
      <c r="Q660">
        <f t="shared" si="120"/>
        <v>0</v>
      </c>
      <c r="X660" s="216">
        <f t="shared" si="131"/>
        <v>54</v>
      </c>
      <c r="Y660">
        <f t="shared" si="126"/>
        <v>0</v>
      </c>
    </row>
    <row r="661" spans="1:25" ht="13.5" thickBot="1" x14ac:dyDescent="0.25">
      <c r="A661" s="204">
        <f>IF(MOD(COUNT($A$10:A660),12)=0,A660+1,A660)</f>
        <v>55</v>
      </c>
      <c r="B661" s="218">
        <f t="shared" si="127"/>
        <v>4</v>
      </c>
      <c r="C661" s="218">
        <f t="shared" si="122"/>
        <v>1</v>
      </c>
      <c r="D661" s="208">
        <f>IF(MOD(COUNT($D$10:D660),6)=0,D660+1,D660)</f>
        <v>109</v>
      </c>
      <c r="E661" s="208">
        <f>IF(MOD(COUNT($E$10:E660),3)=0,E660+1,E660)</f>
        <v>218</v>
      </c>
      <c r="F661" s="208">
        <f>IF(MOD(COUNT($F$10:F660),1)=0,F660+1,F660)</f>
        <v>652</v>
      </c>
      <c r="G661" s="204">
        <f>IFERROR(IF(C661=1,VLOOKUP(A661,Output!$A$27:$AB$137,28,FALSE)/AnnuityMode,0),0)</f>
        <v>0</v>
      </c>
      <c r="H661" s="220">
        <f>IFERROR(IF(AND(MIN(A661&gt;25,Age+A661&gt;=85),B661=12),VLOOKUP(A661,Output!$A$27:$AE$137,31,FALSE),0),0)</f>
        <v>0</v>
      </c>
      <c r="I661" s="221">
        <f>IFERROR(IF(AND(MIN(A661&gt;15,A661+Age&gt;=70),C661=1),VLOOKUP(A661,Output!$A$27:$AF$137,32,FALSE)*VLOOKUP('SV calc_ignore'!A661,Output!$A$27:$AG$137,33,FALSE)/IF(AnnuityMode=2,2,IF(AnnuityMode=4,4,IF(AnnuityMode=12,12,1))),0),0)</f>
        <v>0</v>
      </c>
      <c r="J661" s="227">
        <f t="shared" si="123"/>
        <v>0</v>
      </c>
      <c r="K661" s="213">
        <f t="shared" si="128"/>
        <v>0</v>
      </c>
      <c r="L661" s="209">
        <f t="shared" si="124"/>
        <v>0</v>
      </c>
      <c r="M661" s="214">
        <f t="shared" si="121"/>
        <v>0</v>
      </c>
      <c r="N661" s="211">
        <f t="shared" si="129"/>
        <v>0</v>
      </c>
      <c r="O661" s="194">
        <f t="shared" si="130"/>
        <v>0</v>
      </c>
      <c r="P661" s="212">
        <f t="shared" si="125"/>
        <v>0</v>
      </c>
      <c r="Q661">
        <f t="shared" si="120"/>
        <v>0</v>
      </c>
      <c r="X661" s="216">
        <f t="shared" si="131"/>
        <v>54</v>
      </c>
      <c r="Y661">
        <f t="shared" si="126"/>
        <v>0</v>
      </c>
    </row>
    <row r="662" spans="1:25" ht="13.5" thickBot="1" x14ac:dyDescent="0.25">
      <c r="A662" s="204">
        <f>IF(MOD(COUNT($A$10:A661),12)=0,A661+1,A661)</f>
        <v>55</v>
      </c>
      <c r="B662" s="218">
        <f t="shared" si="127"/>
        <v>5</v>
      </c>
      <c r="C662" s="218">
        <f t="shared" si="122"/>
        <v>1</v>
      </c>
      <c r="D662" s="208">
        <f>IF(MOD(COUNT($D$10:D661),6)=0,D661+1,D661)</f>
        <v>109</v>
      </c>
      <c r="E662" s="208">
        <f>IF(MOD(COUNT($E$10:E661),3)=0,E661+1,E661)</f>
        <v>218</v>
      </c>
      <c r="F662" s="208">
        <f>IF(MOD(COUNT($F$10:F661),1)=0,F661+1,F661)</f>
        <v>653</v>
      </c>
      <c r="G662" s="204">
        <f>IFERROR(IF(C662=1,VLOOKUP(A662,Output!$A$27:$AB$137,28,FALSE)/AnnuityMode,0),0)</f>
        <v>0</v>
      </c>
      <c r="H662" s="220">
        <f>IFERROR(IF(AND(MIN(A662&gt;25,Age+A662&gt;=85),B662=12),VLOOKUP(A662,Output!$A$27:$AE$137,31,FALSE),0),0)</f>
        <v>0</v>
      </c>
      <c r="I662" s="221">
        <f>IFERROR(IF(AND(MIN(A662&gt;15,A662+Age&gt;=70),C662=1),VLOOKUP(A662,Output!$A$27:$AF$137,32,FALSE)*VLOOKUP('SV calc_ignore'!A662,Output!$A$27:$AG$137,33,FALSE)/IF(AnnuityMode=2,2,IF(AnnuityMode=4,4,IF(AnnuityMode=12,12,1))),0),0)</f>
        <v>0</v>
      </c>
      <c r="J662" s="227">
        <f t="shared" si="123"/>
        <v>0</v>
      </c>
      <c r="K662" s="213">
        <f t="shared" si="128"/>
        <v>0</v>
      </c>
      <c r="L662" s="209">
        <f t="shared" si="124"/>
        <v>0</v>
      </c>
      <c r="M662" s="214">
        <f t="shared" si="121"/>
        <v>0</v>
      </c>
      <c r="N662" s="211">
        <f t="shared" si="129"/>
        <v>0</v>
      </c>
      <c r="O662" s="194">
        <f t="shared" si="130"/>
        <v>0</v>
      </c>
      <c r="P662" s="212">
        <f t="shared" si="125"/>
        <v>0</v>
      </c>
      <c r="Q662">
        <f t="shared" si="120"/>
        <v>0</v>
      </c>
      <c r="X662" s="216">
        <f t="shared" si="131"/>
        <v>54</v>
      </c>
      <c r="Y662">
        <f t="shared" si="126"/>
        <v>0</v>
      </c>
    </row>
    <row r="663" spans="1:25" ht="13.5" thickBot="1" x14ac:dyDescent="0.25">
      <c r="A663" s="204">
        <f>IF(MOD(COUNT($A$10:A662),12)=0,A662+1,A662)</f>
        <v>55</v>
      </c>
      <c r="B663" s="218">
        <f t="shared" si="127"/>
        <v>6</v>
      </c>
      <c r="C663" s="218">
        <f t="shared" si="122"/>
        <v>1</v>
      </c>
      <c r="D663" s="208">
        <f>IF(MOD(COUNT($D$10:D662),6)=0,D662+1,D662)</f>
        <v>109</v>
      </c>
      <c r="E663" s="208">
        <f>IF(MOD(COUNT($E$10:E662),3)=0,E662+1,E662)</f>
        <v>218</v>
      </c>
      <c r="F663" s="208">
        <f>IF(MOD(COUNT($F$10:F662),1)=0,F662+1,F662)</f>
        <v>654</v>
      </c>
      <c r="G663" s="204">
        <f>IFERROR(IF(C663=1,VLOOKUP(A663,Output!$A$27:$AB$137,28,FALSE)/AnnuityMode,0),0)</f>
        <v>0</v>
      </c>
      <c r="H663" s="220">
        <f>IFERROR(IF(AND(MIN(A663&gt;25,Age+A663&gt;=85),B663=12),VLOOKUP(A663,Output!$A$27:$AE$137,31,FALSE),0),0)</f>
        <v>0</v>
      </c>
      <c r="I663" s="221">
        <f>IFERROR(IF(AND(MIN(A663&gt;15,A663+Age&gt;=70),C663=1),VLOOKUP(A663,Output!$A$27:$AF$137,32,FALSE)*VLOOKUP('SV calc_ignore'!A663,Output!$A$27:$AG$137,33,FALSE)/IF(AnnuityMode=2,2,IF(AnnuityMode=4,4,IF(AnnuityMode=12,12,1))),0),0)</f>
        <v>0</v>
      </c>
      <c r="J663" s="227">
        <f t="shared" si="123"/>
        <v>0</v>
      </c>
      <c r="K663" s="213">
        <f t="shared" si="128"/>
        <v>0</v>
      </c>
      <c r="L663" s="209">
        <f t="shared" si="124"/>
        <v>0</v>
      </c>
      <c r="M663" s="214">
        <f t="shared" si="121"/>
        <v>0</v>
      </c>
      <c r="N663" s="211">
        <f t="shared" si="129"/>
        <v>0</v>
      </c>
      <c r="O663" s="194">
        <f t="shared" si="130"/>
        <v>0</v>
      </c>
      <c r="P663" s="212">
        <f t="shared" si="125"/>
        <v>0</v>
      </c>
      <c r="Q663">
        <f t="shared" si="120"/>
        <v>0</v>
      </c>
      <c r="X663" s="216">
        <f t="shared" si="131"/>
        <v>54</v>
      </c>
      <c r="Y663">
        <f t="shared" si="126"/>
        <v>0</v>
      </c>
    </row>
    <row r="664" spans="1:25" ht="13.5" thickBot="1" x14ac:dyDescent="0.25">
      <c r="A664" s="204">
        <f>IF(MOD(COUNT($A$10:A663),12)=0,A663+1,A663)</f>
        <v>55</v>
      </c>
      <c r="B664" s="218">
        <f t="shared" si="127"/>
        <v>7</v>
      </c>
      <c r="C664" s="218">
        <f t="shared" si="122"/>
        <v>1</v>
      </c>
      <c r="D664" s="208">
        <f>IF(MOD(COUNT($D$10:D663),6)=0,D663+1,D663)</f>
        <v>110</v>
      </c>
      <c r="E664" s="208">
        <f>IF(MOD(COUNT($E$10:E663),3)=0,E663+1,E663)</f>
        <v>219</v>
      </c>
      <c r="F664" s="208">
        <f>IF(MOD(COUNT($F$10:F663),1)=0,F663+1,F663)</f>
        <v>655</v>
      </c>
      <c r="G664" s="204">
        <f>IFERROR(IF(C664=1,VLOOKUP(A664,Output!$A$27:$AB$137,28,FALSE)/AnnuityMode,0),0)</f>
        <v>0</v>
      </c>
      <c r="H664" s="220">
        <f>IFERROR(IF(AND(MIN(A664&gt;25,Age+A664&gt;=85),B664=12),VLOOKUP(A664,Output!$A$27:$AE$137,31,FALSE),0),0)</f>
        <v>0</v>
      </c>
      <c r="I664" s="221">
        <f>IFERROR(IF(AND(MIN(A664&gt;15,A664+Age&gt;=70),C664=1),VLOOKUP(A664,Output!$A$27:$AF$137,32,FALSE)*VLOOKUP('SV calc_ignore'!A664,Output!$A$27:$AG$137,33,FALSE)/IF(AnnuityMode=2,2,IF(AnnuityMode=4,4,IF(AnnuityMode=12,12,1))),0),0)</f>
        <v>0</v>
      </c>
      <c r="J664" s="227">
        <f t="shared" si="123"/>
        <v>0</v>
      </c>
      <c r="K664" s="213">
        <f t="shared" si="128"/>
        <v>0</v>
      </c>
      <c r="L664" s="209">
        <f t="shared" si="124"/>
        <v>0</v>
      </c>
      <c r="M664" s="214">
        <f t="shared" si="121"/>
        <v>0</v>
      </c>
      <c r="N664" s="211">
        <f t="shared" si="129"/>
        <v>0</v>
      </c>
      <c r="O664" s="194">
        <f t="shared" si="130"/>
        <v>0</v>
      </c>
      <c r="P664" s="212">
        <f t="shared" si="125"/>
        <v>0</v>
      </c>
      <c r="Q664">
        <f t="shared" si="120"/>
        <v>0</v>
      </c>
      <c r="X664" s="216">
        <f t="shared" si="131"/>
        <v>54</v>
      </c>
      <c r="Y664">
        <f t="shared" si="126"/>
        <v>0</v>
      </c>
    </row>
    <row r="665" spans="1:25" ht="13.5" thickBot="1" x14ac:dyDescent="0.25">
      <c r="A665" s="204">
        <f>IF(MOD(COUNT($A$10:A664),12)=0,A664+1,A664)</f>
        <v>55</v>
      </c>
      <c r="B665" s="218">
        <f t="shared" si="127"/>
        <v>8</v>
      </c>
      <c r="C665" s="218">
        <f t="shared" si="122"/>
        <v>1</v>
      </c>
      <c r="D665" s="208">
        <f>IF(MOD(COUNT($D$10:D664),6)=0,D664+1,D664)</f>
        <v>110</v>
      </c>
      <c r="E665" s="208">
        <f>IF(MOD(COUNT($E$10:E664),3)=0,E664+1,E664)</f>
        <v>219</v>
      </c>
      <c r="F665" s="208">
        <f>IF(MOD(COUNT($F$10:F664),1)=0,F664+1,F664)</f>
        <v>656</v>
      </c>
      <c r="G665" s="204">
        <f>IFERROR(IF(C665=1,VLOOKUP(A665,Output!$A$27:$AB$137,28,FALSE)/AnnuityMode,0),0)</f>
        <v>0</v>
      </c>
      <c r="H665" s="220">
        <f>IFERROR(IF(AND(MIN(A665&gt;25,Age+A665&gt;=85),B665=12),VLOOKUP(A665,Output!$A$27:$AE$137,31,FALSE),0),0)</f>
        <v>0</v>
      </c>
      <c r="I665" s="221">
        <f>IFERROR(IF(AND(MIN(A665&gt;15,A665+Age&gt;=70),C665=1),VLOOKUP(A665,Output!$A$27:$AF$137,32,FALSE)*VLOOKUP('SV calc_ignore'!A665,Output!$A$27:$AG$137,33,FALSE)/IF(AnnuityMode=2,2,IF(AnnuityMode=4,4,IF(AnnuityMode=12,12,1))),0),0)</f>
        <v>0</v>
      </c>
      <c r="J665" s="227">
        <f t="shared" si="123"/>
        <v>0</v>
      </c>
      <c r="K665" s="213">
        <f t="shared" si="128"/>
        <v>0</v>
      </c>
      <c r="L665" s="209">
        <f t="shared" si="124"/>
        <v>0</v>
      </c>
      <c r="M665" s="214">
        <f t="shared" si="121"/>
        <v>0</v>
      </c>
      <c r="N665" s="211">
        <f t="shared" si="129"/>
        <v>0</v>
      </c>
      <c r="O665" s="194">
        <f t="shared" si="130"/>
        <v>0</v>
      </c>
      <c r="P665" s="212">
        <f t="shared" si="125"/>
        <v>0</v>
      </c>
      <c r="Q665">
        <f t="shared" si="120"/>
        <v>0</v>
      </c>
      <c r="X665" s="216">
        <f t="shared" si="131"/>
        <v>54</v>
      </c>
      <c r="Y665">
        <f t="shared" si="126"/>
        <v>0</v>
      </c>
    </row>
    <row r="666" spans="1:25" ht="13.5" thickBot="1" x14ac:dyDescent="0.25">
      <c r="A666" s="204">
        <f>IF(MOD(COUNT($A$10:A665),12)=0,A665+1,A665)</f>
        <v>55</v>
      </c>
      <c r="B666" s="218">
        <f t="shared" si="127"/>
        <v>9</v>
      </c>
      <c r="C666" s="218">
        <f t="shared" si="122"/>
        <v>1</v>
      </c>
      <c r="D666" s="208">
        <f>IF(MOD(COUNT($D$10:D665),6)=0,D665+1,D665)</f>
        <v>110</v>
      </c>
      <c r="E666" s="208">
        <f>IF(MOD(COUNT($E$10:E665),3)=0,E665+1,E665)</f>
        <v>219</v>
      </c>
      <c r="F666" s="208">
        <f>IF(MOD(COUNT($F$10:F665),1)=0,F665+1,F665)</f>
        <v>657</v>
      </c>
      <c r="G666" s="204">
        <f>IFERROR(IF(C666=1,VLOOKUP(A666,Output!$A$27:$AB$137,28,FALSE)/AnnuityMode,0),0)</f>
        <v>0</v>
      </c>
      <c r="H666" s="220">
        <f>IFERROR(IF(AND(MIN(A666&gt;25,Age+A666&gt;=85),B666=12),VLOOKUP(A666,Output!$A$27:$AE$137,31,FALSE),0),0)</f>
        <v>0</v>
      </c>
      <c r="I666" s="221">
        <f>IFERROR(IF(AND(MIN(A666&gt;15,A666+Age&gt;=70),C666=1),VLOOKUP(A666,Output!$A$27:$AF$137,32,FALSE)*VLOOKUP('SV calc_ignore'!A666,Output!$A$27:$AG$137,33,FALSE)/IF(AnnuityMode=2,2,IF(AnnuityMode=4,4,IF(AnnuityMode=12,12,1))),0),0)</f>
        <v>0</v>
      </c>
      <c r="J666" s="227">
        <f t="shared" si="123"/>
        <v>0</v>
      </c>
      <c r="K666" s="213">
        <f t="shared" si="128"/>
        <v>0</v>
      </c>
      <c r="L666" s="209">
        <f t="shared" si="124"/>
        <v>0</v>
      </c>
      <c r="M666" s="214">
        <f t="shared" si="121"/>
        <v>0</v>
      </c>
      <c r="N666" s="211">
        <f t="shared" si="129"/>
        <v>0</v>
      </c>
      <c r="O666" s="194">
        <f t="shared" si="130"/>
        <v>0</v>
      </c>
      <c r="P666" s="212">
        <f t="shared" si="125"/>
        <v>0</v>
      </c>
      <c r="Q666">
        <f t="shared" si="120"/>
        <v>0</v>
      </c>
      <c r="X666" s="216">
        <f t="shared" si="131"/>
        <v>54</v>
      </c>
      <c r="Y666">
        <f t="shared" si="126"/>
        <v>0</v>
      </c>
    </row>
    <row r="667" spans="1:25" ht="13.5" thickBot="1" x14ac:dyDescent="0.25">
      <c r="A667" s="204">
        <f>IF(MOD(COUNT($A$10:A666),12)=0,A666+1,A666)</f>
        <v>55</v>
      </c>
      <c r="B667" s="218">
        <f t="shared" si="127"/>
        <v>10</v>
      </c>
      <c r="C667" s="218">
        <f t="shared" si="122"/>
        <v>1</v>
      </c>
      <c r="D667" s="208">
        <f>IF(MOD(COUNT($D$10:D666),6)=0,D666+1,D666)</f>
        <v>110</v>
      </c>
      <c r="E667" s="208">
        <f>IF(MOD(COUNT($E$10:E666),3)=0,E666+1,E666)</f>
        <v>220</v>
      </c>
      <c r="F667" s="208">
        <f>IF(MOD(COUNT($F$10:F666),1)=0,F666+1,F666)</f>
        <v>658</v>
      </c>
      <c r="G667" s="204">
        <f>IFERROR(IF(C667=1,VLOOKUP(A667,Output!$A$27:$AB$137,28,FALSE)/AnnuityMode,0),0)</f>
        <v>0</v>
      </c>
      <c r="H667" s="220">
        <f>IFERROR(IF(AND(MIN(A667&gt;25,Age+A667&gt;=85),B667=12),VLOOKUP(A667,Output!$A$27:$AE$137,31,FALSE),0),0)</f>
        <v>0</v>
      </c>
      <c r="I667" s="221">
        <f>IFERROR(IF(AND(MIN(A667&gt;15,A667+Age&gt;=70),C667=1),VLOOKUP(A667,Output!$A$27:$AF$137,32,FALSE)*VLOOKUP('SV calc_ignore'!A667,Output!$A$27:$AG$137,33,FALSE)/IF(AnnuityMode=2,2,IF(AnnuityMode=4,4,IF(AnnuityMode=12,12,1))),0),0)</f>
        <v>0</v>
      </c>
      <c r="J667" s="227">
        <f t="shared" si="123"/>
        <v>0</v>
      </c>
      <c r="K667" s="213">
        <f t="shared" si="128"/>
        <v>0</v>
      </c>
      <c r="L667" s="209">
        <f t="shared" si="124"/>
        <v>0</v>
      </c>
      <c r="M667" s="214">
        <f t="shared" si="121"/>
        <v>0</v>
      </c>
      <c r="N667" s="211">
        <f t="shared" si="129"/>
        <v>0</v>
      </c>
      <c r="O667" s="194">
        <f t="shared" si="130"/>
        <v>0</v>
      </c>
      <c r="P667" s="212">
        <f t="shared" si="125"/>
        <v>0</v>
      </c>
      <c r="Q667">
        <f t="shared" si="120"/>
        <v>0</v>
      </c>
      <c r="X667" s="216">
        <f t="shared" si="131"/>
        <v>54</v>
      </c>
      <c r="Y667">
        <f t="shared" si="126"/>
        <v>0</v>
      </c>
    </row>
    <row r="668" spans="1:25" ht="13.5" thickBot="1" x14ac:dyDescent="0.25">
      <c r="A668" s="204">
        <f>IF(MOD(COUNT($A$10:A667),12)=0,A667+1,A667)</f>
        <v>55</v>
      </c>
      <c r="B668" s="218">
        <f t="shared" si="127"/>
        <v>11</v>
      </c>
      <c r="C668" s="218">
        <f t="shared" si="122"/>
        <v>1</v>
      </c>
      <c r="D668" s="208">
        <f>IF(MOD(COUNT($D$10:D667),6)=0,D667+1,D667)</f>
        <v>110</v>
      </c>
      <c r="E668" s="208">
        <f>IF(MOD(COUNT($E$10:E667),3)=0,E667+1,E667)</f>
        <v>220</v>
      </c>
      <c r="F668" s="208">
        <f>IF(MOD(COUNT($F$10:F667),1)=0,F667+1,F667)</f>
        <v>659</v>
      </c>
      <c r="G668" s="204">
        <f>IFERROR(IF(C668=1,VLOOKUP(A668,Output!$A$27:$AB$137,28,FALSE)/AnnuityMode,0),0)</f>
        <v>0</v>
      </c>
      <c r="H668" s="220">
        <f>IFERROR(IF(AND(MIN(A668&gt;25,Age+A668&gt;=85),B668=12),VLOOKUP(A668,Output!$A$27:$AE$137,31,FALSE),0),0)</f>
        <v>0</v>
      </c>
      <c r="I668" s="221">
        <f>IFERROR(IF(AND(MIN(A668&gt;15,A668+Age&gt;=70),C668=1),VLOOKUP(A668,Output!$A$27:$AF$137,32,FALSE)*VLOOKUP('SV calc_ignore'!A668,Output!$A$27:$AG$137,33,FALSE)/IF(AnnuityMode=2,2,IF(AnnuityMode=4,4,IF(AnnuityMode=12,12,1))),0),0)</f>
        <v>0</v>
      </c>
      <c r="J668" s="227">
        <f t="shared" si="123"/>
        <v>0</v>
      </c>
      <c r="K668" s="213">
        <f t="shared" si="128"/>
        <v>0</v>
      </c>
      <c r="L668" s="209">
        <f t="shared" si="124"/>
        <v>0</v>
      </c>
      <c r="M668" s="214">
        <f t="shared" si="121"/>
        <v>0</v>
      </c>
      <c r="N668" s="211">
        <f t="shared" si="129"/>
        <v>0</v>
      </c>
      <c r="O668" s="194">
        <f t="shared" si="130"/>
        <v>0</v>
      </c>
      <c r="P668" s="212">
        <f t="shared" si="125"/>
        <v>0</v>
      </c>
      <c r="Q668">
        <f t="shared" si="120"/>
        <v>0</v>
      </c>
      <c r="X668" s="216">
        <f t="shared" si="131"/>
        <v>54</v>
      </c>
      <c r="Y668">
        <f t="shared" si="126"/>
        <v>0</v>
      </c>
    </row>
    <row r="669" spans="1:25" ht="13.5" thickBot="1" x14ac:dyDescent="0.25">
      <c r="A669" s="204">
        <f>IF(MOD(COUNT($A$10:A668),12)=0,A668+1,A668)</f>
        <v>55</v>
      </c>
      <c r="B669" s="218">
        <f t="shared" si="127"/>
        <v>12</v>
      </c>
      <c r="C669" s="218">
        <f t="shared" si="122"/>
        <v>1</v>
      </c>
      <c r="D669" s="208">
        <f>IF(MOD(COUNT($D$10:D668),6)=0,D668+1,D668)</f>
        <v>110</v>
      </c>
      <c r="E669" s="208">
        <f>IF(MOD(COUNT($E$10:E668),3)=0,E668+1,E668)</f>
        <v>220</v>
      </c>
      <c r="F669" s="208">
        <f>IF(MOD(COUNT($F$10:F668),1)=0,F668+1,F668)</f>
        <v>660</v>
      </c>
      <c r="G669" s="204">
        <f>IFERROR(IF(C669=1,VLOOKUP(A669,Output!$A$27:$AB$137,28,FALSE)/AnnuityMode,0),0)</f>
        <v>0</v>
      </c>
      <c r="H669" s="220">
        <f>IFERROR(IF(AND(MIN(A669&gt;25,Age+A669&gt;=85),B669=12),VLOOKUP(A669,Output!$A$27:$AE$137,31,FALSE),0),0)</f>
        <v>0</v>
      </c>
      <c r="I669" s="221">
        <f>IFERROR(IF(AND(MIN(A669&gt;15,A669+Age&gt;=70),C669=1),VLOOKUP(A669,Output!$A$27:$AF$137,32,FALSE)*VLOOKUP('SV calc_ignore'!A669,Output!$A$27:$AG$137,33,FALSE)/IF(AnnuityMode=2,2,IF(AnnuityMode=4,4,IF(AnnuityMode=12,12,1))),0),0)</f>
        <v>0</v>
      </c>
      <c r="J669" s="227">
        <f t="shared" si="123"/>
        <v>0</v>
      </c>
      <c r="K669" s="213">
        <f t="shared" si="128"/>
        <v>0</v>
      </c>
      <c r="L669" s="209">
        <f t="shared" si="124"/>
        <v>0</v>
      </c>
      <c r="M669" s="214">
        <f t="shared" si="121"/>
        <v>0</v>
      </c>
      <c r="N669" s="211">
        <f t="shared" si="129"/>
        <v>0</v>
      </c>
      <c r="O669" s="194">
        <f t="shared" si="130"/>
        <v>0</v>
      </c>
      <c r="P669" s="212">
        <f t="shared" si="125"/>
        <v>0</v>
      </c>
      <c r="Q669">
        <f t="shared" si="120"/>
        <v>0</v>
      </c>
      <c r="X669" s="216">
        <f t="shared" si="131"/>
        <v>54</v>
      </c>
      <c r="Y669">
        <f t="shared" si="126"/>
        <v>0</v>
      </c>
    </row>
    <row r="670" spans="1:25" ht="13.5" thickBot="1" x14ac:dyDescent="0.25">
      <c r="A670" s="204">
        <f>IF(MOD(COUNT($A$10:A669),12)=0,A669+1,A669)</f>
        <v>56</v>
      </c>
      <c r="B670" s="218">
        <f t="shared" si="127"/>
        <v>1</v>
      </c>
      <c r="C670" s="218">
        <f t="shared" si="122"/>
        <v>1</v>
      </c>
      <c r="D670" s="208">
        <f>IF(MOD(COUNT($D$10:D669),6)=0,D669+1,D669)</f>
        <v>111</v>
      </c>
      <c r="E670" s="208">
        <f>IF(MOD(COUNT($E$10:E669),3)=0,E669+1,E669)</f>
        <v>221</v>
      </c>
      <c r="F670" s="208">
        <f>IF(MOD(COUNT($F$10:F669),1)=0,F669+1,F669)</f>
        <v>661</v>
      </c>
      <c r="G670" s="204">
        <f>IFERROR(IF(C670=1,VLOOKUP(A670,Output!$A$27:$AB$137,28,FALSE)/AnnuityMode,0),0)</f>
        <v>0</v>
      </c>
      <c r="H670" s="220">
        <f>IFERROR(IF(AND(MIN(A670&gt;25,Age+A670&gt;=85),B670=12),VLOOKUP(A670,Output!$A$27:$AE$137,31,FALSE),0),0)</f>
        <v>0</v>
      </c>
      <c r="I670" s="221">
        <f>IFERROR(IF(AND(MIN(A670&gt;15,A670+Age&gt;=70),C670=1),VLOOKUP(A670,Output!$A$27:$AF$137,32,FALSE)*VLOOKUP('SV calc_ignore'!A670,Output!$A$27:$AG$137,33,FALSE)/IF(AnnuityMode=2,2,IF(AnnuityMode=4,4,IF(AnnuityMode=12,12,1))),0),0)</f>
        <v>0</v>
      </c>
      <c r="J670" s="227">
        <f t="shared" si="123"/>
        <v>0</v>
      </c>
      <c r="K670" s="213">
        <f t="shared" si="128"/>
        <v>0</v>
      </c>
      <c r="L670" s="209">
        <f t="shared" si="124"/>
        <v>0</v>
      </c>
      <c r="M670" s="214">
        <f t="shared" si="121"/>
        <v>0</v>
      </c>
      <c r="N670" s="211">
        <f t="shared" si="129"/>
        <v>0</v>
      </c>
      <c r="O670" s="194">
        <f t="shared" si="130"/>
        <v>0</v>
      </c>
      <c r="P670" s="212">
        <f t="shared" si="125"/>
        <v>0</v>
      </c>
      <c r="Q670">
        <f t="shared" si="120"/>
        <v>0</v>
      </c>
      <c r="X670" s="216">
        <f t="shared" si="131"/>
        <v>55</v>
      </c>
      <c r="Y670">
        <f t="shared" si="126"/>
        <v>0</v>
      </c>
    </row>
    <row r="671" spans="1:25" ht="13.5" thickBot="1" x14ac:dyDescent="0.25">
      <c r="A671" s="204">
        <f>IF(MOD(COUNT($A$10:A670),12)=0,A670+1,A670)</f>
        <v>56</v>
      </c>
      <c r="B671" s="218">
        <f t="shared" si="127"/>
        <v>2</v>
      </c>
      <c r="C671" s="218">
        <f t="shared" si="122"/>
        <v>1</v>
      </c>
      <c r="D671" s="208">
        <f>IF(MOD(COUNT($D$10:D670),6)=0,D670+1,D670)</f>
        <v>111</v>
      </c>
      <c r="E671" s="208">
        <f>IF(MOD(COUNT($E$10:E670),3)=0,E670+1,E670)</f>
        <v>221</v>
      </c>
      <c r="F671" s="208">
        <f>IF(MOD(COUNT($F$10:F670),1)=0,F670+1,F670)</f>
        <v>662</v>
      </c>
      <c r="G671" s="204">
        <f>IFERROR(IF(C671=1,VLOOKUP(A671,Output!$A$27:$AB$137,28,FALSE)/AnnuityMode,0),0)</f>
        <v>0</v>
      </c>
      <c r="H671" s="220">
        <f>IFERROR(IF(AND(MIN(A671&gt;25,Age+A671&gt;=85),B671=12),VLOOKUP(A671,Output!$A$27:$AE$137,31,FALSE),0),0)</f>
        <v>0</v>
      </c>
      <c r="I671" s="221">
        <f>IFERROR(IF(AND(MIN(A671&gt;15,A671+Age&gt;=70),C671=1),VLOOKUP(A671,Output!$A$27:$AF$137,32,FALSE)*VLOOKUP('SV calc_ignore'!A671,Output!$A$27:$AG$137,33,FALSE)/IF(AnnuityMode=2,2,IF(AnnuityMode=4,4,IF(AnnuityMode=12,12,1))),0),0)</f>
        <v>0</v>
      </c>
      <c r="J671" s="227">
        <f t="shared" si="123"/>
        <v>0</v>
      </c>
      <c r="K671" s="213">
        <f t="shared" si="128"/>
        <v>0</v>
      </c>
      <c r="L671" s="209">
        <f t="shared" si="124"/>
        <v>0</v>
      </c>
      <c r="M671" s="214">
        <f t="shared" si="121"/>
        <v>0</v>
      </c>
      <c r="N671" s="211">
        <f t="shared" si="129"/>
        <v>0</v>
      </c>
      <c r="O671" s="194">
        <f t="shared" si="130"/>
        <v>0</v>
      </c>
      <c r="P671" s="212">
        <f t="shared" si="125"/>
        <v>0</v>
      </c>
      <c r="Q671">
        <f t="shared" si="120"/>
        <v>0</v>
      </c>
      <c r="X671" s="216">
        <f t="shared" si="131"/>
        <v>55</v>
      </c>
      <c r="Y671">
        <f t="shared" si="126"/>
        <v>0</v>
      </c>
    </row>
    <row r="672" spans="1:25" ht="13.5" thickBot="1" x14ac:dyDescent="0.25">
      <c r="A672" s="204">
        <f>IF(MOD(COUNT($A$10:A671),12)=0,A671+1,A671)</f>
        <v>56</v>
      </c>
      <c r="B672" s="218">
        <f t="shared" si="127"/>
        <v>3</v>
      </c>
      <c r="C672" s="218">
        <f t="shared" si="122"/>
        <v>1</v>
      </c>
      <c r="D672" s="208">
        <f>IF(MOD(COUNT($D$10:D671),6)=0,D671+1,D671)</f>
        <v>111</v>
      </c>
      <c r="E672" s="208">
        <f>IF(MOD(COUNT($E$10:E671),3)=0,E671+1,E671)</f>
        <v>221</v>
      </c>
      <c r="F672" s="208">
        <f>IF(MOD(COUNT($F$10:F671),1)=0,F671+1,F671)</f>
        <v>663</v>
      </c>
      <c r="G672" s="204">
        <f>IFERROR(IF(C672=1,VLOOKUP(A672,Output!$A$27:$AB$137,28,FALSE)/AnnuityMode,0),0)</f>
        <v>0</v>
      </c>
      <c r="H672" s="220">
        <f>IFERROR(IF(AND(MIN(A672&gt;25,Age+A672&gt;=85),B672=12),VLOOKUP(A672,Output!$A$27:$AE$137,31,FALSE),0),0)</f>
        <v>0</v>
      </c>
      <c r="I672" s="221">
        <f>IFERROR(IF(AND(MIN(A672&gt;15,A672+Age&gt;=70),C672=1),VLOOKUP(A672,Output!$A$27:$AF$137,32,FALSE)*VLOOKUP('SV calc_ignore'!A672,Output!$A$27:$AG$137,33,FALSE)/IF(AnnuityMode=2,2,IF(AnnuityMode=4,4,IF(AnnuityMode=12,12,1))),0),0)</f>
        <v>0</v>
      </c>
      <c r="J672" s="227">
        <f t="shared" si="123"/>
        <v>0</v>
      </c>
      <c r="K672" s="213">
        <f t="shared" si="128"/>
        <v>0</v>
      </c>
      <c r="L672" s="209">
        <f t="shared" si="124"/>
        <v>0</v>
      </c>
      <c r="M672" s="214">
        <f t="shared" si="121"/>
        <v>0</v>
      </c>
      <c r="N672" s="211">
        <f t="shared" si="129"/>
        <v>0</v>
      </c>
      <c r="O672" s="194">
        <f t="shared" si="130"/>
        <v>0</v>
      </c>
      <c r="P672" s="212">
        <f t="shared" si="125"/>
        <v>0</v>
      </c>
      <c r="Q672">
        <f t="shared" si="120"/>
        <v>0</v>
      </c>
      <c r="X672" s="216">
        <f t="shared" si="131"/>
        <v>55</v>
      </c>
      <c r="Y672">
        <f t="shared" si="126"/>
        <v>0</v>
      </c>
    </row>
    <row r="673" spans="1:25" ht="13.5" thickBot="1" x14ac:dyDescent="0.25">
      <c r="A673" s="204">
        <f>IF(MOD(COUNT($A$10:A672),12)=0,A672+1,A672)</f>
        <v>56</v>
      </c>
      <c r="B673" s="218">
        <f t="shared" si="127"/>
        <v>4</v>
      </c>
      <c r="C673" s="218">
        <f t="shared" si="122"/>
        <v>1</v>
      </c>
      <c r="D673" s="208">
        <f>IF(MOD(COUNT($D$10:D672),6)=0,D672+1,D672)</f>
        <v>111</v>
      </c>
      <c r="E673" s="208">
        <f>IF(MOD(COUNT($E$10:E672),3)=0,E672+1,E672)</f>
        <v>222</v>
      </c>
      <c r="F673" s="208">
        <f>IF(MOD(COUNT($F$10:F672),1)=0,F672+1,F672)</f>
        <v>664</v>
      </c>
      <c r="G673" s="204">
        <f>IFERROR(IF(C673=1,VLOOKUP(A673,Output!$A$27:$AB$137,28,FALSE)/AnnuityMode,0),0)</f>
        <v>0</v>
      </c>
      <c r="H673" s="220">
        <f>IFERROR(IF(AND(MIN(A673&gt;25,Age+A673&gt;=85),B673=12),VLOOKUP(A673,Output!$A$27:$AE$137,31,FALSE),0),0)</f>
        <v>0</v>
      </c>
      <c r="I673" s="221">
        <f>IFERROR(IF(AND(MIN(A673&gt;15,A673+Age&gt;=70),C673=1),VLOOKUP(A673,Output!$A$27:$AF$137,32,FALSE)*VLOOKUP('SV calc_ignore'!A673,Output!$A$27:$AG$137,33,FALSE)/IF(AnnuityMode=2,2,IF(AnnuityMode=4,4,IF(AnnuityMode=12,12,1))),0),0)</f>
        <v>0</v>
      </c>
      <c r="J673" s="227">
        <f t="shared" si="123"/>
        <v>0</v>
      </c>
      <c r="K673" s="213">
        <f t="shared" si="128"/>
        <v>0</v>
      </c>
      <c r="L673" s="209">
        <f t="shared" si="124"/>
        <v>0</v>
      </c>
      <c r="M673" s="214">
        <f t="shared" si="121"/>
        <v>0</v>
      </c>
      <c r="N673" s="211">
        <f t="shared" si="129"/>
        <v>0</v>
      </c>
      <c r="O673" s="194">
        <f t="shared" si="130"/>
        <v>0</v>
      </c>
      <c r="P673" s="212">
        <f t="shared" si="125"/>
        <v>0</v>
      </c>
      <c r="Q673">
        <f t="shared" si="120"/>
        <v>0</v>
      </c>
      <c r="X673" s="216">
        <f t="shared" si="131"/>
        <v>55</v>
      </c>
      <c r="Y673">
        <f t="shared" si="126"/>
        <v>0</v>
      </c>
    </row>
    <row r="674" spans="1:25" ht="13.5" thickBot="1" x14ac:dyDescent="0.25">
      <c r="A674" s="204">
        <f>IF(MOD(COUNT($A$10:A673),12)=0,A673+1,A673)</f>
        <v>56</v>
      </c>
      <c r="B674" s="218">
        <f t="shared" si="127"/>
        <v>5</v>
      </c>
      <c r="C674" s="218">
        <f t="shared" si="122"/>
        <v>1</v>
      </c>
      <c r="D674" s="208">
        <f>IF(MOD(COUNT($D$10:D673),6)=0,D673+1,D673)</f>
        <v>111</v>
      </c>
      <c r="E674" s="208">
        <f>IF(MOD(COUNT($E$10:E673),3)=0,E673+1,E673)</f>
        <v>222</v>
      </c>
      <c r="F674" s="208">
        <f>IF(MOD(COUNT($F$10:F673),1)=0,F673+1,F673)</f>
        <v>665</v>
      </c>
      <c r="G674" s="204">
        <f>IFERROR(IF(C674=1,VLOOKUP(A674,Output!$A$27:$AB$137,28,FALSE)/AnnuityMode,0),0)</f>
        <v>0</v>
      </c>
      <c r="H674" s="220">
        <f>IFERROR(IF(AND(MIN(A674&gt;25,Age+A674&gt;=85),B674=12),VLOOKUP(A674,Output!$A$27:$AE$137,31,FALSE),0),0)</f>
        <v>0</v>
      </c>
      <c r="I674" s="221">
        <f>IFERROR(IF(AND(MIN(A674&gt;15,A674+Age&gt;=70),C674=1),VLOOKUP(A674,Output!$A$27:$AF$137,32,FALSE)*VLOOKUP('SV calc_ignore'!A674,Output!$A$27:$AG$137,33,FALSE)/IF(AnnuityMode=2,2,IF(AnnuityMode=4,4,IF(AnnuityMode=12,12,1))),0),0)</f>
        <v>0</v>
      </c>
      <c r="J674" s="227">
        <f t="shared" si="123"/>
        <v>0</v>
      </c>
      <c r="K674" s="213">
        <f t="shared" si="128"/>
        <v>0</v>
      </c>
      <c r="L674" s="209">
        <f t="shared" si="124"/>
        <v>0</v>
      </c>
      <c r="M674" s="214">
        <f t="shared" si="121"/>
        <v>0</v>
      </c>
      <c r="N674" s="211">
        <f t="shared" si="129"/>
        <v>0</v>
      </c>
      <c r="O674" s="194">
        <f t="shared" si="130"/>
        <v>0</v>
      </c>
      <c r="P674" s="212">
        <f t="shared" si="125"/>
        <v>0</v>
      </c>
      <c r="Q674">
        <f t="shared" si="120"/>
        <v>0</v>
      </c>
      <c r="X674" s="216">
        <f t="shared" si="131"/>
        <v>55</v>
      </c>
      <c r="Y674">
        <f t="shared" si="126"/>
        <v>0</v>
      </c>
    </row>
    <row r="675" spans="1:25" ht="13.5" thickBot="1" x14ac:dyDescent="0.25">
      <c r="A675" s="204">
        <f>IF(MOD(COUNT($A$10:A674),12)=0,A674+1,A674)</f>
        <v>56</v>
      </c>
      <c r="B675" s="218">
        <f t="shared" si="127"/>
        <v>6</v>
      </c>
      <c r="C675" s="218">
        <f t="shared" si="122"/>
        <v>1</v>
      </c>
      <c r="D675" s="208">
        <f>IF(MOD(COUNT($D$10:D674),6)=0,D674+1,D674)</f>
        <v>111</v>
      </c>
      <c r="E675" s="208">
        <f>IF(MOD(COUNT($E$10:E674),3)=0,E674+1,E674)</f>
        <v>222</v>
      </c>
      <c r="F675" s="208">
        <f>IF(MOD(COUNT($F$10:F674),1)=0,F674+1,F674)</f>
        <v>666</v>
      </c>
      <c r="G675" s="204">
        <f>IFERROR(IF(C675=1,VLOOKUP(A675,Output!$A$27:$AB$137,28,FALSE)/AnnuityMode,0),0)</f>
        <v>0</v>
      </c>
      <c r="H675" s="220">
        <f>IFERROR(IF(AND(MIN(A675&gt;25,Age+A675&gt;=85),B675=12),VLOOKUP(A675,Output!$A$27:$AE$137,31,FALSE),0),0)</f>
        <v>0</v>
      </c>
      <c r="I675" s="221">
        <f>IFERROR(IF(AND(MIN(A675&gt;15,A675+Age&gt;=70),C675=1),VLOOKUP(A675,Output!$A$27:$AF$137,32,FALSE)*VLOOKUP('SV calc_ignore'!A675,Output!$A$27:$AG$137,33,FALSE)/IF(AnnuityMode=2,2,IF(AnnuityMode=4,4,IF(AnnuityMode=12,12,1))),0),0)</f>
        <v>0</v>
      </c>
      <c r="J675" s="227">
        <f t="shared" si="123"/>
        <v>0</v>
      </c>
      <c r="K675" s="213">
        <f t="shared" si="128"/>
        <v>0</v>
      </c>
      <c r="L675" s="209">
        <f t="shared" si="124"/>
        <v>0</v>
      </c>
      <c r="M675" s="214">
        <f t="shared" si="121"/>
        <v>0</v>
      </c>
      <c r="N675" s="211">
        <f t="shared" si="129"/>
        <v>0</v>
      </c>
      <c r="O675" s="194">
        <f t="shared" si="130"/>
        <v>0</v>
      </c>
      <c r="P675" s="212">
        <f t="shared" si="125"/>
        <v>0</v>
      </c>
      <c r="Q675">
        <f t="shared" si="120"/>
        <v>0</v>
      </c>
      <c r="X675" s="216">
        <f t="shared" si="131"/>
        <v>55</v>
      </c>
      <c r="Y675">
        <f t="shared" si="126"/>
        <v>0</v>
      </c>
    </row>
    <row r="676" spans="1:25" ht="13.5" thickBot="1" x14ac:dyDescent="0.25">
      <c r="A676" s="204">
        <f>IF(MOD(COUNT($A$10:A675),12)=0,A675+1,A675)</f>
        <v>56</v>
      </c>
      <c r="B676" s="218">
        <f t="shared" si="127"/>
        <v>7</v>
      </c>
      <c r="C676" s="218">
        <f t="shared" si="122"/>
        <v>1</v>
      </c>
      <c r="D676" s="208">
        <f>IF(MOD(COUNT($D$10:D675),6)=0,D675+1,D675)</f>
        <v>112</v>
      </c>
      <c r="E676" s="208">
        <f>IF(MOD(COUNT($E$10:E675),3)=0,E675+1,E675)</f>
        <v>223</v>
      </c>
      <c r="F676" s="208">
        <f>IF(MOD(COUNT($F$10:F675),1)=0,F675+1,F675)</f>
        <v>667</v>
      </c>
      <c r="G676" s="204">
        <f>IFERROR(IF(C676=1,VLOOKUP(A676,Output!$A$27:$AB$137,28,FALSE)/AnnuityMode,0),0)</f>
        <v>0</v>
      </c>
      <c r="H676" s="220">
        <f>IFERROR(IF(AND(MIN(A676&gt;25,Age+A676&gt;=85),B676=12),VLOOKUP(A676,Output!$A$27:$AE$137,31,FALSE),0),0)</f>
        <v>0</v>
      </c>
      <c r="I676" s="221">
        <f>IFERROR(IF(AND(MIN(A676&gt;15,A676+Age&gt;=70),C676=1),VLOOKUP(A676,Output!$A$27:$AF$137,32,FALSE)*VLOOKUP('SV calc_ignore'!A676,Output!$A$27:$AG$137,33,FALSE)/IF(AnnuityMode=2,2,IF(AnnuityMode=4,4,IF(AnnuityMode=12,12,1))),0),0)</f>
        <v>0</v>
      </c>
      <c r="J676" s="227">
        <f t="shared" si="123"/>
        <v>0</v>
      </c>
      <c r="K676" s="213">
        <f t="shared" si="128"/>
        <v>0</v>
      </c>
      <c r="L676" s="209">
        <f t="shared" si="124"/>
        <v>0</v>
      </c>
      <c r="M676" s="214">
        <f t="shared" si="121"/>
        <v>0</v>
      </c>
      <c r="N676" s="211">
        <f t="shared" si="129"/>
        <v>0</v>
      </c>
      <c r="O676" s="194">
        <f t="shared" si="130"/>
        <v>0</v>
      </c>
      <c r="P676" s="212">
        <f t="shared" si="125"/>
        <v>0</v>
      </c>
      <c r="Q676">
        <f t="shared" si="120"/>
        <v>0</v>
      </c>
      <c r="X676" s="216">
        <f t="shared" si="131"/>
        <v>55</v>
      </c>
      <c r="Y676">
        <f t="shared" si="126"/>
        <v>0</v>
      </c>
    </row>
    <row r="677" spans="1:25" ht="13.5" thickBot="1" x14ac:dyDescent="0.25">
      <c r="A677" s="204">
        <f>IF(MOD(COUNT($A$10:A676),12)=0,A676+1,A676)</f>
        <v>56</v>
      </c>
      <c r="B677" s="218">
        <f t="shared" si="127"/>
        <v>8</v>
      </c>
      <c r="C677" s="218">
        <f t="shared" si="122"/>
        <v>1</v>
      </c>
      <c r="D677" s="208">
        <f>IF(MOD(COUNT($D$10:D676),6)=0,D676+1,D676)</f>
        <v>112</v>
      </c>
      <c r="E677" s="208">
        <f>IF(MOD(COUNT($E$10:E676),3)=0,E676+1,E676)</f>
        <v>223</v>
      </c>
      <c r="F677" s="208">
        <f>IF(MOD(COUNT($F$10:F676),1)=0,F676+1,F676)</f>
        <v>668</v>
      </c>
      <c r="G677" s="204">
        <f>IFERROR(IF(C677=1,VLOOKUP(A677,Output!$A$27:$AB$137,28,FALSE)/AnnuityMode,0),0)</f>
        <v>0</v>
      </c>
      <c r="H677" s="220">
        <f>IFERROR(IF(AND(MIN(A677&gt;25,Age+A677&gt;=85),B677=12),VLOOKUP(A677,Output!$A$27:$AE$137,31,FALSE),0),0)</f>
        <v>0</v>
      </c>
      <c r="I677" s="221">
        <f>IFERROR(IF(AND(MIN(A677&gt;15,A677+Age&gt;=70),C677=1),VLOOKUP(A677,Output!$A$27:$AF$137,32,FALSE)*VLOOKUP('SV calc_ignore'!A677,Output!$A$27:$AG$137,33,FALSE)/IF(AnnuityMode=2,2,IF(AnnuityMode=4,4,IF(AnnuityMode=12,12,1))),0),0)</f>
        <v>0</v>
      </c>
      <c r="J677" s="227">
        <f t="shared" si="123"/>
        <v>0</v>
      </c>
      <c r="K677" s="213">
        <f t="shared" si="128"/>
        <v>0</v>
      </c>
      <c r="L677" s="209">
        <f t="shared" si="124"/>
        <v>0</v>
      </c>
      <c r="M677" s="214">
        <f t="shared" si="121"/>
        <v>0</v>
      </c>
      <c r="N677" s="211">
        <f t="shared" si="129"/>
        <v>0</v>
      </c>
      <c r="O677" s="194">
        <f t="shared" si="130"/>
        <v>0</v>
      </c>
      <c r="P677" s="212">
        <f t="shared" si="125"/>
        <v>0</v>
      </c>
      <c r="Q677">
        <f t="shared" si="120"/>
        <v>0</v>
      </c>
      <c r="X677" s="216">
        <f t="shared" si="131"/>
        <v>55</v>
      </c>
      <c r="Y677">
        <f t="shared" si="126"/>
        <v>0</v>
      </c>
    </row>
    <row r="678" spans="1:25" ht="13.5" thickBot="1" x14ac:dyDescent="0.25">
      <c r="A678" s="204">
        <f>IF(MOD(COUNT($A$10:A677),12)=0,A677+1,A677)</f>
        <v>56</v>
      </c>
      <c r="B678" s="218">
        <f t="shared" si="127"/>
        <v>9</v>
      </c>
      <c r="C678" s="218">
        <f t="shared" si="122"/>
        <v>1</v>
      </c>
      <c r="D678" s="208">
        <f>IF(MOD(COUNT($D$10:D677),6)=0,D677+1,D677)</f>
        <v>112</v>
      </c>
      <c r="E678" s="208">
        <f>IF(MOD(COUNT($E$10:E677),3)=0,E677+1,E677)</f>
        <v>223</v>
      </c>
      <c r="F678" s="208">
        <f>IF(MOD(COUNT($F$10:F677),1)=0,F677+1,F677)</f>
        <v>669</v>
      </c>
      <c r="G678" s="204">
        <f>IFERROR(IF(C678=1,VLOOKUP(A678,Output!$A$27:$AB$137,28,FALSE)/AnnuityMode,0),0)</f>
        <v>0</v>
      </c>
      <c r="H678" s="220">
        <f>IFERROR(IF(AND(MIN(A678&gt;25,Age+A678&gt;=85),B678=12),VLOOKUP(A678,Output!$A$27:$AE$137,31,FALSE),0),0)</f>
        <v>0</v>
      </c>
      <c r="I678" s="221">
        <f>IFERROR(IF(AND(MIN(A678&gt;15,A678+Age&gt;=70),C678=1),VLOOKUP(A678,Output!$A$27:$AF$137,32,FALSE)*VLOOKUP('SV calc_ignore'!A678,Output!$A$27:$AG$137,33,FALSE)/IF(AnnuityMode=2,2,IF(AnnuityMode=4,4,IF(AnnuityMode=12,12,1))),0),0)</f>
        <v>0</v>
      </c>
      <c r="J678" s="227">
        <f t="shared" si="123"/>
        <v>0</v>
      </c>
      <c r="K678" s="213">
        <f t="shared" si="128"/>
        <v>0</v>
      </c>
      <c r="L678" s="209">
        <f t="shared" si="124"/>
        <v>0</v>
      </c>
      <c r="M678" s="214">
        <f t="shared" si="121"/>
        <v>0</v>
      </c>
      <c r="N678" s="211">
        <f t="shared" si="129"/>
        <v>0</v>
      </c>
      <c r="O678" s="194">
        <f t="shared" si="130"/>
        <v>0</v>
      </c>
      <c r="P678" s="212">
        <f t="shared" si="125"/>
        <v>0</v>
      </c>
      <c r="Q678">
        <f t="shared" si="120"/>
        <v>0</v>
      </c>
      <c r="X678" s="216">
        <f t="shared" si="131"/>
        <v>55</v>
      </c>
      <c r="Y678">
        <f t="shared" si="126"/>
        <v>0</v>
      </c>
    </row>
    <row r="679" spans="1:25" ht="13.5" thickBot="1" x14ac:dyDescent="0.25">
      <c r="A679" s="204">
        <f>IF(MOD(COUNT($A$10:A678),12)=0,A678+1,A678)</f>
        <v>56</v>
      </c>
      <c r="B679" s="218">
        <f t="shared" si="127"/>
        <v>10</v>
      </c>
      <c r="C679" s="218">
        <f t="shared" si="122"/>
        <v>1</v>
      </c>
      <c r="D679" s="208">
        <f>IF(MOD(COUNT($D$10:D678),6)=0,D678+1,D678)</f>
        <v>112</v>
      </c>
      <c r="E679" s="208">
        <f>IF(MOD(COUNT($E$10:E678),3)=0,E678+1,E678)</f>
        <v>224</v>
      </c>
      <c r="F679" s="208">
        <f>IF(MOD(COUNT($F$10:F678),1)=0,F678+1,F678)</f>
        <v>670</v>
      </c>
      <c r="G679" s="204">
        <f>IFERROR(IF(C679=1,VLOOKUP(A679,Output!$A$27:$AB$137,28,FALSE)/AnnuityMode,0),0)</f>
        <v>0</v>
      </c>
      <c r="H679" s="220">
        <f>IFERROR(IF(AND(MIN(A679&gt;25,Age+A679&gt;=85),B679=12),VLOOKUP(A679,Output!$A$27:$AE$137,31,FALSE),0),0)</f>
        <v>0</v>
      </c>
      <c r="I679" s="221">
        <f>IFERROR(IF(AND(MIN(A679&gt;15,A679+Age&gt;=70),C679=1),VLOOKUP(A679,Output!$A$27:$AF$137,32,FALSE)*VLOOKUP('SV calc_ignore'!A679,Output!$A$27:$AG$137,33,FALSE)/IF(AnnuityMode=2,2,IF(AnnuityMode=4,4,IF(AnnuityMode=12,12,1))),0),0)</f>
        <v>0</v>
      </c>
      <c r="J679" s="227">
        <f t="shared" si="123"/>
        <v>0</v>
      </c>
      <c r="K679" s="213">
        <f t="shared" si="128"/>
        <v>0</v>
      </c>
      <c r="L679" s="209">
        <f t="shared" si="124"/>
        <v>0</v>
      </c>
      <c r="M679" s="214">
        <f t="shared" si="121"/>
        <v>0</v>
      </c>
      <c r="N679" s="211">
        <f t="shared" si="129"/>
        <v>0</v>
      </c>
      <c r="O679" s="194">
        <f t="shared" si="130"/>
        <v>0</v>
      </c>
      <c r="P679" s="212">
        <f t="shared" si="125"/>
        <v>0</v>
      </c>
      <c r="Q679">
        <f t="shared" si="120"/>
        <v>0</v>
      </c>
      <c r="X679" s="216">
        <f t="shared" si="131"/>
        <v>55</v>
      </c>
      <c r="Y679">
        <f t="shared" si="126"/>
        <v>0</v>
      </c>
    </row>
    <row r="680" spans="1:25" ht="13.5" thickBot="1" x14ac:dyDescent="0.25">
      <c r="A680" s="204">
        <f>IF(MOD(COUNT($A$10:A679),12)=0,A679+1,A679)</f>
        <v>56</v>
      </c>
      <c r="B680" s="218">
        <f t="shared" si="127"/>
        <v>11</v>
      </c>
      <c r="C680" s="218">
        <f t="shared" si="122"/>
        <v>1</v>
      </c>
      <c r="D680" s="208">
        <f>IF(MOD(COUNT($D$10:D679),6)=0,D679+1,D679)</f>
        <v>112</v>
      </c>
      <c r="E680" s="208">
        <f>IF(MOD(COUNT($E$10:E679),3)=0,E679+1,E679)</f>
        <v>224</v>
      </c>
      <c r="F680" s="208">
        <f>IF(MOD(COUNT($F$10:F679),1)=0,F679+1,F679)</f>
        <v>671</v>
      </c>
      <c r="G680" s="204">
        <f>IFERROR(IF(C680=1,VLOOKUP(A680,Output!$A$27:$AB$137,28,FALSE)/AnnuityMode,0),0)</f>
        <v>0</v>
      </c>
      <c r="H680" s="220">
        <f>IFERROR(IF(AND(MIN(A680&gt;25,Age+A680&gt;=85),B680=12),VLOOKUP(A680,Output!$A$27:$AE$137,31,FALSE),0),0)</f>
        <v>0</v>
      </c>
      <c r="I680" s="221">
        <f>IFERROR(IF(AND(MIN(A680&gt;15,A680+Age&gt;=70),C680=1),VLOOKUP(A680,Output!$A$27:$AF$137,32,FALSE)*VLOOKUP('SV calc_ignore'!A680,Output!$A$27:$AG$137,33,FALSE)/IF(AnnuityMode=2,2,IF(AnnuityMode=4,4,IF(AnnuityMode=12,12,1))),0),0)</f>
        <v>0</v>
      </c>
      <c r="J680" s="227">
        <f t="shared" si="123"/>
        <v>0</v>
      </c>
      <c r="K680" s="213">
        <f t="shared" si="128"/>
        <v>0</v>
      </c>
      <c r="L680" s="209">
        <f t="shared" si="124"/>
        <v>0</v>
      </c>
      <c r="M680" s="214">
        <f t="shared" si="121"/>
        <v>0</v>
      </c>
      <c r="N680" s="211">
        <f t="shared" si="129"/>
        <v>0</v>
      </c>
      <c r="O680" s="194">
        <f t="shared" si="130"/>
        <v>0</v>
      </c>
      <c r="P680" s="212">
        <f t="shared" si="125"/>
        <v>0</v>
      </c>
      <c r="Q680">
        <f t="shared" si="120"/>
        <v>0</v>
      </c>
      <c r="X680" s="216">
        <f t="shared" si="131"/>
        <v>55</v>
      </c>
      <c r="Y680">
        <f t="shared" si="126"/>
        <v>0</v>
      </c>
    </row>
    <row r="681" spans="1:25" ht="13.5" thickBot="1" x14ac:dyDescent="0.25">
      <c r="A681" s="204">
        <f>IF(MOD(COUNT($A$10:A680),12)=0,A680+1,A680)</f>
        <v>56</v>
      </c>
      <c r="B681" s="218">
        <f t="shared" si="127"/>
        <v>12</v>
      </c>
      <c r="C681" s="218">
        <f t="shared" si="122"/>
        <v>1</v>
      </c>
      <c r="D681" s="208">
        <f>IF(MOD(COUNT($D$10:D680),6)=0,D680+1,D680)</f>
        <v>112</v>
      </c>
      <c r="E681" s="208">
        <f>IF(MOD(COUNT($E$10:E680),3)=0,E680+1,E680)</f>
        <v>224</v>
      </c>
      <c r="F681" s="208">
        <f>IF(MOD(COUNT($F$10:F680),1)=0,F680+1,F680)</f>
        <v>672</v>
      </c>
      <c r="G681" s="204">
        <f>IFERROR(IF(C681=1,VLOOKUP(A681,Output!$A$27:$AB$137,28,FALSE)/AnnuityMode,0),0)</f>
        <v>0</v>
      </c>
      <c r="H681" s="220">
        <f>IFERROR(IF(AND(MIN(A681&gt;25,Age+A681&gt;=85),B681=12),VLOOKUP(A681,Output!$A$27:$AE$137,31,FALSE),0),0)</f>
        <v>0</v>
      </c>
      <c r="I681" s="221">
        <f>IFERROR(IF(AND(MIN(A681&gt;15,A681+Age&gt;=70),C681=1),VLOOKUP(A681,Output!$A$27:$AF$137,32,FALSE)*VLOOKUP('SV calc_ignore'!A681,Output!$A$27:$AG$137,33,FALSE)/IF(AnnuityMode=2,2,IF(AnnuityMode=4,4,IF(AnnuityMode=12,12,1))),0),0)</f>
        <v>0</v>
      </c>
      <c r="J681" s="227">
        <f t="shared" si="123"/>
        <v>0</v>
      </c>
      <c r="K681" s="213">
        <f t="shared" si="128"/>
        <v>0</v>
      </c>
      <c r="L681" s="209">
        <f t="shared" si="124"/>
        <v>0</v>
      </c>
      <c r="M681" s="214">
        <f t="shared" si="121"/>
        <v>0</v>
      </c>
      <c r="N681" s="211">
        <f t="shared" si="129"/>
        <v>0</v>
      </c>
      <c r="O681" s="194">
        <f t="shared" si="130"/>
        <v>0</v>
      </c>
      <c r="P681" s="212">
        <f t="shared" si="125"/>
        <v>0</v>
      </c>
      <c r="Q681">
        <f t="shared" si="120"/>
        <v>0</v>
      </c>
      <c r="X681" s="216">
        <f t="shared" si="131"/>
        <v>55</v>
      </c>
      <c r="Y681">
        <f t="shared" si="126"/>
        <v>0</v>
      </c>
    </row>
    <row r="682" spans="1:25" ht="13.5" thickBot="1" x14ac:dyDescent="0.25">
      <c r="A682" s="204">
        <f>IF(MOD(COUNT($A$10:A681),12)=0,A681+1,A681)</f>
        <v>57</v>
      </c>
      <c r="B682" s="218">
        <f t="shared" si="127"/>
        <v>1</v>
      </c>
      <c r="C682" s="218">
        <f t="shared" si="122"/>
        <v>1</v>
      </c>
      <c r="D682" s="208">
        <f>IF(MOD(COUNT($D$10:D681),6)=0,D681+1,D681)</f>
        <v>113</v>
      </c>
      <c r="E682" s="208">
        <f>IF(MOD(COUNT($E$10:E681),3)=0,E681+1,E681)</f>
        <v>225</v>
      </c>
      <c r="F682" s="208">
        <f>IF(MOD(COUNT($F$10:F681),1)=0,F681+1,F681)</f>
        <v>673</v>
      </c>
      <c r="G682" s="204">
        <f>IFERROR(IF(C682=1,VLOOKUP(A682,Output!$A$27:$AB$137,28,FALSE)/AnnuityMode,0),0)</f>
        <v>0</v>
      </c>
      <c r="H682" s="220">
        <f>IFERROR(IF(AND(MIN(A682&gt;25,Age+A682&gt;=85),B682=12),VLOOKUP(A682,Output!$A$27:$AE$137,31,FALSE),0),0)</f>
        <v>0</v>
      </c>
      <c r="I682" s="221">
        <f>IFERROR(IF(AND(MIN(A682&gt;15,A682+Age&gt;=70),C682=1),VLOOKUP(A682,Output!$A$27:$AF$137,32,FALSE)*VLOOKUP('SV calc_ignore'!A682,Output!$A$27:$AG$137,33,FALSE)/IF(AnnuityMode=2,2,IF(AnnuityMode=4,4,IF(AnnuityMode=12,12,1))),0),0)</f>
        <v>0</v>
      </c>
      <c r="J682" s="227">
        <f t="shared" si="123"/>
        <v>0</v>
      </c>
      <c r="K682" s="213">
        <f t="shared" si="128"/>
        <v>0</v>
      </c>
      <c r="L682" s="209">
        <f t="shared" si="124"/>
        <v>0</v>
      </c>
      <c r="M682" s="214">
        <f t="shared" si="121"/>
        <v>0</v>
      </c>
      <c r="N682" s="211">
        <f t="shared" si="129"/>
        <v>0</v>
      </c>
      <c r="O682" s="194">
        <f t="shared" si="130"/>
        <v>0</v>
      </c>
      <c r="P682" s="212">
        <f t="shared" si="125"/>
        <v>0</v>
      </c>
      <c r="Q682">
        <f t="shared" ref="Q682:Q745" si="132">(I682+(Q683)*(1+$K$3)^(-1))*(A682&lt;=$W$5)</f>
        <v>0</v>
      </c>
      <c r="X682" s="216">
        <f t="shared" si="131"/>
        <v>56</v>
      </c>
      <c r="Y682">
        <f t="shared" si="126"/>
        <v>0</v>
      </c>
    </row>
    <row r="683" spans="1:25" ht="13.5" thickBot="1" x14ac:dyDescent="0.25">
      <c r="A683" s="204">
        <f>IF(MOD(COUNT($A$10:A682),12)=0,A682+1,A682)</f>
        <v>57</v>
      </c>
      <c r="B683" s="218">
        <f t="shared" si="127"/>
        <v>2</v>
      </c>
      <c r="C683" s="218">
        <f t="shared" si="122"/>
        <v>1</v>
      </c>
      <c r="D683" s="208">
        <f>IF(MOD(COUNT($D$10:D682),6)=0,D682+1,D682)</f>
        <v>113</v>
      </c>
      <c r="E683" s="208">
        <f>IF(MOD(COUNT($E$10:E682),3)=0,E682+1,E682)</f>
        <v>225</v>
      </c>
      <c r="F683" s="208">
        <f>IF(MOD(COUNT($F$10:F682),1)=0,F682+1,F682)</f>
        <v>674</v>
      </c>
      <c r="G683" s="204">
        <f>IFERROR(IF(C683=1,VLOOKUP(A683,Output!$A$27:$AB$137,28,FALSE)/AnnuityMode,0),0)</f>
        <v>0</v>
      </c>
      <c r="H683" s="220">
        <f>IFERROR(IF(AND(MIN(A683&gt;25,Age+A683&gt;=85),B683=12),VLOOKUP(A683,Output!$A$27:$AE$137,31,FALSE),0),0)</f>
        <v>0</v>
      </c>
      <c r="I683" s="221">
        <f>IFERROR(IF(AND(MIN(A683&gt;15,A683+Age&gt;=70),C683=1),VLOOKUP(A683,Output!$A$27:$AF$137,32,FALSE)*VLOOKUP('SV calc_ignore'!A683,Output!$A$27:$AG$137,33,FALSE)/IF(AnnuityMode=2,2,IF(AnnuityMode=4,4,IF(AnnuityMode=12,12,1))),0),0)</f>
        <v>0</v>
      </c>
      <c r="J683" s="227">
        <f t="shared" si="123"/>
        <v>0</v>
      </c>
      <c r="K683" s="213">
        <f t="shared" si="128"/>
        <v>0</v>
      </c>
      <c r="L683" s="209">
        <f t="shared" si="124"/>
        <v>0</v>
      </c>
      <c r="M683" s="214">
        <f t="shared" si="121"/>
        <v>0</v>
      </c>
      <c r="N683" s="211">
        <f t="shared" si="129"/>
        <v>0</v>
      </c>
      <c r="O683" s="194">
        <f t="shared" si="130"/>
        <v>0</v>
      </c>
      <c r="P683" s="212">
        <f t="shared" si="125"/>
        <v>0</v>
      </c>
      <c r="Q683">
        <f t="shared" si="132"/>
        <v>0</v>
      </c>
      <c r="X683" s="216">
        <f t="shared" si="131"/>
        <v>56</v>
      </c>
      <c r="Y683">
        <f t="shared" si="126"/>
        <v>0</v>
      </c>
    </row>
    <row r="684" spans="1:25" ht="13.5" thickBot="1" x14ac:dyDescent="0.25">
      <c r="A684" s="204">
        <f>IF(MOD(COUNT($A$10:A683),12)=0,A683+1,A683)</f>
        <v>57</v>
      </c>
      <c r="B684" s="218">
        <f t="shared" si="127"/>
        <v>3</v>
      </c>
      <c r="C684" s="218">
        <f t="shared" si="122"/>
        <v>1</v>
      </c>
      <c r="D684" s="208">
        <f>IF(MOD(COUNT($D$10:D683),6)=0,D683+1,D683)</f>
        <v>113</v>
      </c>
      <c r="E684" s="208">
        <f>IF(MOD(COUNT($E$10:E683),3)=0,E683+1,E683)</f>
        <v>225</v>
      </c>
      <c r="F684" s="208">
        <f>IF(MOD(COUNT($F$10:F683),1)=0,F683+1,F683)</f>
        <v>675</v>
      </c>
      <c r="G684" s="204">
        <f>IFERROR(IF(C684=1,VLOOKUP(A684,Output!$A$27:$AB$137,28,FALSE)/AnnuityMode,0),0)</f>
        <v>0</v>
      </c>
      <c r="H684" s="220">
        <f>IFERROR(IF(AND(MIN(A684&gt;25,Age+A684&gt;=85),B684=12),VLOOKUP(A684,Output!$A$27:$AE$137,31,FALSE),0),0)</f>
        <v>0</v>
      </c>
      <c r="I684" s="221">
        <f>IFERROR(IF(AND(MIN(A684&gt;15,A684+Age&gt;=70),C684=1),VLOOKUP(A684,Output!$A$27:$AF$137,32,FALSE)*VLOOKUP('SV calc_ignore'!A684,Output!$A$27:$AG$137,33,FALSE)/IF(AnnuityMode=2,2,IF(AnnuityMode=4,4,IF(AnnuityMode=12,12,1))),0),0)</f>
        <v>0</v>
      </c>
      <c r="J684" s="227">
        <f t="shared" si="123"/>
        <v>0</v>
      </c>
      <c r="K684" s="213">
        <f t="shared" si="128"/>
        <v>0</v>
      </c>
      <c r="L684" s="209">
        <f t="shared" si="124"/>
        <v>0</v>
      </c>
      <c r="M684" s="214">
        <f t="shared" si="121"/>
        <v>0</v>
      </c>
      <c r="N684" s="211">
        <f t="shared" si="129"/>
        <v>0</v>
      </c>
      <c r="O684" s="194">
        <f t="shared" si="130"/>
        <v>0</v>
      </c>
      <c r="P684" s="212">
        <f t="shared" si="125"/>
        <v>0</v>
      </c>
      <c r="Q684">
        <f t="shared" si="132"/>
        <v>0</v>
      </c>
      <c r="X684" s="216">
        <f t="shared" si="131"/>
        <v>56</v>
      </c>
      <c r="Y684">
        <f t="shared" si="126"/>
        <v>0</v>
      </c>
    </row>
    <row r="685" spans="1:25" ht="13.5" thickBot="1" x14ac:dyDescent="0.25">
      <c r="A685" s="204">
        <f>IF(MOD(COUNT($A$10:A684),12)=0,A684+1,A684)</f>
        <v>57</v>
      </c>
      <c r="B685" s="218">
        <f t="shared" si="127"/>
        <v>4</v>
      </c>
      <c r="C685" s="218">
        <f t="shared" si="122"/>
        <v>1</v>
      </c>
      <c r="D685" s="208">
        <f>IF(MOD(COUNT($D$10:D684),6)=0,D684+1,D684)</f>
        <v>113</v>
      </c>
      <c r="E685" s="208">
        <f>IF(MOD(COUNT($E$10:E684),3)=0,E684+1,E684)</f>
        <v>226</v>
      </c>
      <c r="F685" s="208">
        <f>IF(MOD(COUNT($F$10:F684),1)=0,F684+1,F684)</f>
        <v>676</v>
      </c>
      <c r="G685" s="204">
        <f>IFERROR(IF(C685=1,VLOOKUP(A685,Output!$A$27:$AB$137,28,FALSE)/AnnuityMode,0),0)</f>
        <v>0</v>
      </c>
      <c r="H685" s="220">
        <f>IFERROR(IF(AND(MIN(A685&gt;25,Age+A685&gt;=85),B685=12),VLOOKUP(A685,Output!$A$27:$AE$137,31,FALSE),0),0)</f>
        <v>0</v>
      </c>
      <c r="I685" s="221">
        <f>IFERROR(IF(AND(MIN(A685&gt;15,A685+Age&gt;=70),C685=1),VLOOKUP(A685,Output!$A$27:$AF$137,32,FALSE)*VLOOKUP('SV calc_ignore'!A685,Output!$A$27:$AG$137,33,FALSE)/IF(AnnuityMode=2,2,IF(AnnuityMode=4,4,IF(AnnuityMode=12,12,1))),0),0)</f>
        <v>0</v>
      </c>
      <c r="J685" s="227">
        <f t="shared" si="123"/>
        <v>0</v>
      </c>
      <c r="K685" s="213">
        <f t="shared" si="128"/>
        <v>0</v>
      </c>
      <c r="L685" s="209">
        <f t="shared" si="124"/>
        <v>0</v>
      </c>
      <c r="M685" s="214">
        <f t="shared" si="121"/>
        <v>0</v>
      </c>
      <c r="N685" s="211">
        <f t="shared" si="129"/>
        <v>0</v>
      </c>
      <c r="O685" s="194">
        <f t="shared" si="130"/>
        <v>0</v>
      </c>
      <c r="P685" s="212">
        <f t="shared" si="125"/>
        <v>0</v>
      </c>
      <c r="Q685">
        <f t="shared" si="132"/>
        <v>0</v>
      </c>
      <c r="X685" s="216">
        <f t="shared" si="131"/>
        <v>56</v>
      </c>
      <c r="Y685">
        <f t="shared" si="126"/>
        <v>0</v>
      </c>
    </row>
    <row r="686" spans="1:25" ht="13.5" thickBot="1" x14ac:dyDescent="0.25">
      <c r="A686" s="204">
        <f>IF(MOD(COUNT($A$10:A685),12)=0,A685+1,A685)</f>
        <v>57</v>
      </c>
      <c r="B686" s="218">
        <f t="shared" si="127"/>
        <v>5</v>
      </c>
      <c r="C686" s="218">
        <f t="shared" si="122"/>
        <v>1</v>
      </c>
      <c r="D686" s="208">
        <f>IF(MOD(COUNT($D$10:D685),6)=0,D685+1,D685)</f>
        <v>113</v>
      </c>
      <c r="E686" s="208">
        <f>IF(MOD(COUNT($E$10:E685),3)=0,E685+1,E685)</f>
        <v>226</v>
      </c>
      <c r="F686" s="208">
        <f>IF(MOD(COUNT($F$10:F685),1)=0,F685+1,F685)</f>
        <v>677</v>
      </c>
      <c r="G686" s="204">
        <f>IFERROR(IF(C686=1,VLOOKUP(A686,Output!$A$27:$AB$137,28,FALSE)/AnnuityMode,0),0)</f>
        <v>0</v>
      </c>
      <c r="H686" s="220">
        <f>IFERROR(IF(AND(MIN(A686&gt;25,Age+A686&gt;=85),B686=12),VLOOKUP(A686,Output!$A$27:$AE$137,31,FALSE),0),0)</f>
        <v>0</v>
      </c>
      <c r="I686" s="221">
        <f>IFERROR(IF(AND(MIN(A686&gt;15,A686+Age&gt;=70),C686=1),VLOOKUP(A686,Output!$A$27:$AF$137,32,FALSE)*VLOOKUP('SV calc_ignore'!A686,Output!$A$27:$AG$137,33,FALSE)/IF(AnnuityMode=2,2,IF(AnnuityMode=4,4,IF(AnnuityMode=12,12,1))),0),0)</f>
        <v>0</v>
      </c>
      <c r="J686" s="227">
        <f t="shared" si="123"/>
        <v>0</v>
      </c>
      <c r="K686" s="213">
        <f t="shared" si="128"/>
        <v>0</v>
      </c>
      <c r="L686" s="209">
        <f t="shared" si="124"/>
        <v>0</v>
      </c>
      <c r="M686" s="214">
        <f t="shared" si="121"/>
        <v>0</v>
      </c>
      <c r="N686" s="211">
        <f t="shared" si="129"/>
        <v>0</v>
      </c>
      <c r="O686" s="194">
        <f t="shared" si="130"/>
        <v>0</v>
      </c>
      <c r="P686" s="212">
        <f t="shared" si="125"/>
        <v>0</v>
      </c>
      <c r="Q686">
        <f t="shared" si="132"/>
        <v>0</v>
      </c>
      <c r="X686" s="216">
        <f t="shared" si="131"/>
        <v>56</v>
      </c>
      <c r="Y686">
        <f t="shared" si="126"/>
        <v>0</v>
      </c>
    </row>
    <row r="687" spans="1:25" ht="13.5" thickBot="1" x14ac:dyDescent="0.25">
      <c r="A687" s="204">
        <f>IF(MOD(COUNT($A$10:A686),12)=0,A686+1,A686)</f>
        <v>57</v>
      </c>
      <c r="B687" s="218">
        <f t="shared" si="127"/>
        <v>6</v>
      </c>
      <c r="C687" s="218">
        <f t="shared" si="122"/>
        <v>1</v>
      </c>
      <c r="D687" s="208">
        <f>IF(MOD(COUNT($D$10:D686),6)=0,D686+1,D686)</f>
        <v>113</v>
      </c>
      <c r="E687" s="208">
        <f>IF(MOD(COUNT($E$10:E686),3)=0,E686+1,E686)</f>
        <v>226</v>
      </c>
      <c r="F687" s="208">
        <f>IF(MOD(COUNT($F$10:F686),1)=0,F686+1,F686)</f>
        <v>678</v>
      </c>
      <c r="G687" s="204">
        <f>IFERROR(IF(C687=1,VLOOKUP(A687,Output!$A$27:$AB$137,28,FALSE)/AnnuityMode,0),0)</f>
        <v>0</v>
      </c>
      <c r="H687" s="220">
        <f>IFERROR(IF(AND(MIN(A687&gt;25,Age+A687&gt;=85),B687=12),VLOOKUP(A687,Output!$A$27:$AE$137,31,FALSE),0),0)</f>
        <v>0</v>
      </c>
      <c r="I687" s="221">
        <f>IFERROR(IF(AND(MIN(A687&gt;15,A687+Age&gt;=70),C687=1),VLOOKUP(A687,Output!$A$27:$AF$137,32,FALSE)*VLOOKUP('SV calc_ignore'!A687,Output!$A$27:$AG$137,33,FALSE)/IF(AnnuityMode=2,2,IF(AnnuityMode=4,4,IF(AnnuityMode=12,12,1))),0),0)</f>
        <v>0</v>
      </c>
      <c r="J687" s="227">
        <f t="shared" si="123"/>
        <v>0</v>
      </c>
      <c r="K687" s="213">
        <f t="shared" si="128"/>
        <v>0</v>
      </c>
      <c r="L687" s="209">
        <f t="shared" si="124"/>
        <v>0</v>
      </c>
      <c r="M687" s="214">
        <f t="shared" si="121"/>
        <v>0</v>
      </c>
      <c r="N687" s="211">
        <f t="shared" si="129"/>
        <v>0</v>
      </c>
      <c r="O687" s="194">
        <f t="shared" si="130"/>
        <v>0</v>
      </c>
      <c r="P687" s="212">
        <f t="shared" si="125"/>
        <v>0</v>
      </c>
      <c r="Q687">
        <f t="shared" si="132"/>
        <v>0</v>
      </c>
      <c r="X687" s="216">
        <f t="shared" si="131"/>
        <v>56</v>
      </c>
      <c r="Y687">
        <f t="shared" si="126"/>
        <v>0</v>
      </c>
    </row>
    <row r="688" spans="1:25" ht="13.5" thickBot="1" x14ac:dyDescent="0.25">
      <c r="A688" s="204">
        <f>IF(MOD(COUNT($A$10:A687),12)=0,A687+1,A687)</f>
        <v>57</v>
      </c>
      <c r="B688" s="218">
        <f t="shared" si="127"/>
        <v>7</v>
      </c>
      <c r="C688" s="218">
        <f t="shared" si="122"/>
        <v>1</v>
      </c>
      <c r="D688" s="208">
        <f>IF(MOD(COUNT($D$10:D687),6)=0,D687+1,D687)</f>
        <v>114</v>
      </c>
      <c r="E688" s="208">
        <f>IF(MOD(COUNT($E$10:E687),3)=0,E687+1,E687)</f>
        <v>227</v>
      </c>
      <c r="F688" s="208">
        <f>IF(MOD(COUNT($F$10:F687),1)=0,F687+1,F687)</f>
        <v>679</v>
      </c>
      <c r="G688" s="204">
        <f>IFERROR(IF(C688=1,VLOOKUP(A688,Output!$A$27:$AB$137,28,FALSE)/AnnuityMode,0),0)</f>
        <v>0</v>
      </c>
      <c r="H688" s="220">
        <f>IFERROR(IF(AND(MIN(A688&gt;25,Age+A688&gt;=85),B688=12),VLOOKUP(A688,Output!$A$27:$AE$137,31,FALSE),0),0)</f>
        <v>0</v>
      </c>
      <c r="I688" s="221">
        <f>IFERROR(IF(AND(MIN(A688&gt;15,A688+Age&gt;=70),C688=1),VLOOKUP(A688,Output!$A$27:$AF$137,32,FALSE)*VLOOKUP('SV calc_ignore'!A688,Output!$A$27:$AG$137,33,FALSE)/IF(AnnuityMode=2,2,IF(AnnuityMode=4,4,IF(AnnuityMode=12,12,1))),0),0)</f>
        <v>0</v>
      </c>
      <c r="J688" s="227">
        <f t="shared" si="123"/>
        <v>0</v>
      </c>
      <c r="K688" s="213">
        <f t="shared" si="128"/>
        <v>0</v>
      </c>
      <c r="L688" s="209">
        <f t="shared" si="124"/>
        <v>0</v>
      </c>
      <c r="M688" s="214">
        <f t="shared" si="121"/>
        <v>0</v>
      </c>
      <c r="N688" s="211">
        <f t="shared" si="129"/>
        <v>0</v>
      </c>
      <c r="O688" s="194">
        <f t="shared" si="130"/>
        <v>0</v>
      </c>
      <c r="P688" s="212">
        <f t="shared" si="125"/>
        <v>0</v>
      </c>
      <c r="Q688">
        <f t="shared" si="132"/>
        <v>0</v>
      </c>
      <c r="X688" s="216">
        <f t="shared" si="131"/>
        <v>56</v>
      </c>
      <c r="Y688">
        <f t="shared" si="126"/>
        <v>0</v>
      </c>
    </row>
    <row r="689" spans="1:25" ht="13.5" thickBot="1" x14ac:dyDescent="0.25">
      <c r="A689" s="204">
        <f>IF(MOD(COUNT($A$10:A688),12)=0,A688+1,A688)</f>
        <v>57</v>
      </c>
      <c r="B689" s="218">
        <f t="shared" si="127"/>
        <v>8</v>
      </c>
      <c r="C689" s="218">
        <f t="shared" si="122"/>
        <v>1</v>
      </c>
      <c r="D689" s="208">
        <f>IF(MOD(COUNT($D$10:D688),6)=0,D688+1,D688)</f>
        <v>114</v>
      </c>
      <c r="E689" s="208">
        <f>IF(MOD(COUNT($E$10:E688),3)=0,E688+1,E688)</f>
        <v>227</v>
      </c>
      <c r="F689" s="208">
        <f>IF(MOD(COUNT($F$10:F688),1)=0,F688+1,F688)</f>
        <v>680</v>
      </c>
      <c r="G689" s="204">
        <f>IFERROR(IF(C689=1,VLOOKUP(A689,Output!$A$27:$AB$137,28,FALSE)/AnnuityMode,0),0)</f>
        <v>0</v>
      </c>
      <c r="H689" s="220">
        <f>IFERROR(IF(AND(MIN(A689&gt;25,Age+A689&gt;=85),B689=12),VLOOKUP(A689,Output!$A$27:$AE$137,31,FALSE),0),0)</f>
        <v>0</v>
      </c>
      <c r="I689" s="221">
        <f>IFERROR(IF(AND(MIN(A689&gt;15,A689+Age&gt;=70),C689=1),VLOOKUP(A689,Output!$A$27:$AF$137,32,FALSE)*VLOOKUP('SV calc_ignore'!A689,Output!$A$27:$AG$137,33,FALSE)/IF(AnnuityMode=2,2,IF(AnnuityMode=4,4,IF(AnnuityMode=12,12,1))),0),0)</f>
        <v>0</v>
      </c>
      <c r="J689" s="227">
        <f t="shared" si="123"/>
        <v>0</v>
      </c>
      <c r="K689" s="213">
        <f t="shared" si="128"/>
        <v>0</v>
      </c>
      <c r="L689" s="209">
        <f t="shared" si="124"/>
        <v>0</v>
      </c>
      <c r="M689" s="214">
        <f t="shared" si="121"/>
        <v>0</v>
      </c>
      <c r="N689" s="211">
        <f t="shared" si="129"/>
        <v>0</v>
      </c>
      <c r="O689" s="194">
        <f t="shared" si="130"/>
        <v>0</v>
      </c>
      <c r="P689" s="212">
        <f t="shared" si="125"/>
        <v>0</v>
      </c>
      <c r="Q689">
        <f t="shared" si="132"/>
        <v>0</v>
      </c>
      <c r="X689" s="216">
        <f t="shared" si="131"/>
        <v>56</v>
      </c>
      <c r="Y689">
        <f t="shared" si="126"/>
        <v>0</v>
      </c>
    </row>
    <row r="690" spans="1:25" ht="13.5" thickBot="1" x14ac:dyDescent="0.25">
      <c r="A690" s="204">
        <f>IF(MOD(COUNT($A$10:A689),12)=0,A689+1,A689)</f>
        <v>57</v>
      </c>
      <c r="B690" s="218">
        <f t="shared" si="127"/>
        <v>9</v>
      </c>
      <c r="C690" s="218">
        <f t="shared" si="122"/>
        <v>1</v>
      </c>
      <c r="D690" s="208">
        <f>IF(MOD(COUNT($D$10:D689),6)=0,D689+1,D689)</f>
        <v>114</v>
      </c>
      <c r="E690" s="208">
        <f>IF(MOD(COUNT($E$10:E689),3)=0,E689+1,E689)</f>
        <v>227</v>
      </c>
      <c r="F690" s="208">
        <f>IF(MOD(COUNT($F$10:F689),1)=0,F689+1,F689)</f>
        <v>681</v>
      </c>
      <c r="G690" s="204">
        <f>IFERROR(IF(C690=1,VLOOKUP(A690,Output!$A$27:$AB$137,28,FALSE)/AnnuityMode,0),0)</f>
        <v>0</v>
      </c>
      <c r="H690" s="220">
        <f>IFERROR(IF(AND(MIN(A690&gt;25,Age+A690&gt;=85),B690=12),VLOOKUP(A690,Output!$A$27:$AE$137,31,FALSE),0),0)</f>
        <v>0</v>
      </c>
      <c r="I690" s="221">
        <f>IFERROR(IF(AND(MIN(A690&gt;15,A690+Age&gt;=70),C690=1),VLOOKUP(A690,Output!$A$27:$AF$137,32,FALSE)*VLOOKUP('SV calc_ignore'!A690,Output!$A$27:$AG$137,33,FALSE)/IF(AnnuityMode=2,2,IF(AnnuityMode=4,4,IF(AnnuityMode=12,12,1))),0),0)</f>
        <v>0</v>
      </c>
      <c r="J690" s="227">
        <f t="shared" si="123"/>
        <v>0</v>
      </c>
      <c r="K690" s="213">
        <f t="shared" si="128"/>
        <v>0</v>
      </c>
      <c r="L690" s="209">
        <f t="shared" si="124"/>
        <v>0</v>
      </c>
      <c r="M690" s="214">
        <f t="shared" si="121"/>
        <v>0</v>
      </c>
      <c r="N690" s="211">
        <f t="shared" si="129"/>
        <v>0</v>
      </c>
      <c r="O690" s="194">
        <f t="shared" si="130"/>
        <v>0</v>
      </c>
      <c r="P690" s="212">
        <f t="shared" si="125"/>
        <v>0</v>
      </c>
      <c r="Q690">
        <f t="shared" si="132"/>
        <v>0</v>
      </c>
      <c r="X690" s="216">
        <f t="shared" si="131"/>
        <v>56</v>
      </c>
      <c r="Y690">
        <f t="shared" si="126"/>
        <v>0</v>
      </c>
    </row>
    <row r="691" spans="1:25" ht="13.5" thickBot="1" x14ac:dyDescent="0.25">
      <c r="A691" s="204">
        <f>IF(MOD(COUNT($A$10:A690),12)=0,A690+1,A690)</f>
        <v>57</v>
      </c>
      <c r="B691" s="218">
        <f t="shared" si="127"/>
        <v>10</v>
      </c>
      <c r="C691" s="218">
        <f t="shared" si="122"/>
        <v>1</v>
      </c>
      <c r="D691" s="208">
        <f>IF(MOD(COUNT($D$10:D690),6)=0,D690+1,D690)</f>
        <v>114</v>
      </c>
      <c r="E691" s="208">
        <f>IF(MOD(COUNT($E$10:E690),3)=0,E690+1,E690)</f>
        <v>228</v>
      </c>
      <c r="F691" s="208">
        <f>IF(MOD(COUNT($F$10:F690),1)=0,F690+1,F690)</f>
        <v>682</v>
      </c>
      <c r="G691" s="204">
        <f>IFERROR(IF(C691=1,VLOOKUP(A691,Output!$A$27:$AB$137,28,FALSE)/AnnuityMode,0),0)</f>
        <v>0</v>
      </c>
      <c r="H691" s="220">
        <f>IFERROR(IF(AND(MIN(A691&gt;25,Age+A691&gt;=85),B691=12),VLOOKUP(A691,Output!$A$27:$AE$137,31,FALSE),0),0)</f>
        <v>0</v>
      </c>
      <c r="I691" s="221">
        <f>IFERROR(IF(AND(MIN(A691&gt;15,A691+Age&gt;=70),C691=1),VLOOKUP(A691,Output!$A$27:$AF$137,32,FALSE)*VLOOKUP('SV calc_ignore'!A691,Output!$A$27:$AG$137,33,FALSE)/IF(AnnuityMode=2,2,IF(AnnuityMode=4,4,IF(AnnuityMode=12,12,1))),0),0)</f>
        <v>0</v>
      </c>
      <c r="J691" s="227">
        <f t="shared" si="123"/>
        <v>0</v>
      </c>
      <c r="K691" s="213">
        <f t="shared" si="128"/>
        <v>0</v>
      </c>
      <c r="L691" s="209">
        <f t="shared" si="124"/>
        <v>0</v>
      </c>
      <c r="M691" s="214">
        <f t="shared" si="121"/>
        <v>0</v>
      </c>
      <c r="N691" s="211">
        <f t="shared" si="129"/>
        <v>0</v>
      </c>
      <c r="O691" s="194">
        <f t="shared" si="130"/>
        <v>0</v>
      </c>
      <c r="P691" s="212">
        <f t="shared" si="125"/>
        <v>0</v>
      </c>
      <c r="Q691">
        <f t="shared" si="132"/>
        <v>0</v>
      </c>
      <c r="X691" s="216">
        <f t="shared" si="131"/>
        <v>56</v>
      </c>
      <c r="Y691">
        <f t="shared" si="126"/>
        <v>0</v>
      </c>
    </row>
    <row r="692" spans="1:25" ht="13.5" thickBot="1" x14ac:dyDescent="0.25">
      <c r="A692" s="204">
        <f>IF(MOD(COUNT($A$10:A691),12)=0,A691+1,A691)</f>
        <v>57</v>
      </c>
      <c r="B692" s="218">
        <f t="shared" si="127"/>
        <v>11</v>
      </c>
      <c r="C692" s="218">
        <f t="shared" si="122"/>
        <v>1</v>
      </c>
      <c r="D692" s="208">
        <f>IF(MOD(COUNT($D$10:D691),6)=0,D691+1,D691)</f>
        <v>114</v>
      </c>
      <c r="E692" s="208">
        <f>IF(MOD(COUNT($E$10:E691),3)=0,E691+1,E691)</f>
        <v>228</v>
      </c>
      <c r="F692" s="208">
        <f>IF(MOD(COUNT($F$10:F691),1)=0,F691+1,F691)</f>
        <v>683</v>
      </c>
      <c r="G692" s="204">
        <f>IFERROR(IF(C692=1,VLOOKUP(A692,Output!$A$27:$AB$137,28,FALSE)/AnnuityMode,0),0)</f>
        <v>0</v>
      </c>
      <c r="H692" s="220">
        <f>IFERROR(IF(AND(MIN(A692&gt;25,Age+A692&gt;=85),B692=12),VLOOKUP(A692,Output!$A$27:$AE$137,31,FALSE),0),0)</f>
        <v>0</v>
      </c>
      <c r="I692" s="221">
        <f>IFERROR(IF(AND(MIN(A692&gt;15,A692+Age&gt;=70),C692=1),VLOOKUP(A692,Output!$A$27:$AF$137,32,FALSE)*VLOOKUP('SV calc_ignore'!A692,Output!$A$27:$AG$137,33,FALSE)/IF(AnnuityMode=2,2,IF(AnnuityMode=4,4,IF(AnnuityMode=12,12,1))),0),0)</f>
        <v>0</v>
      </c>
      <c r="J692" s="227">
        <f t="shared" si="123"/>
        <v>0</v>
      </c>
      <c r="K692" s="213">
        <f t="shared" si="128"/>
        <v>0</v>
      </c>
      <c r="L692" s="209">
        <f t="shared" si="124"/>
        <v>0</v>
      </c>
      <c r="M692" s="214">
        <f t="shared" si="121"/>
        <v>0</v>
      </c>
      <c r="N692" s="211">
        <f t="shared" si="129"/>
        <v>0</v>
      </c>
      <c r="O692" s="194">
        <f t="shared" si="130"/>
        <v>0</v>
      </c>
      <c r="P692" s="212">
        <f t="shared" si="125"/>
        <v>0</v>
      </c>
      <c r="Q692">
        <f t="shared" si="132"/>
        <v>0</v>
      </c>
      <c r="X692" s="216">
        <f t="shared" si="131"/>
        <v>56</v>
      </c>
      <c r="Y692">
        <f t="shared" si="126"/>
        <v>0</v>
      </c>
    </row>
    <row r="693" spans="1:25" ht="13.5" thickBot="1" x14ac:dyDescent="0.25">
      <c r="A693" s="204">
        <f>IF(MOD(COUNT($A$10:A692),12)=0,A692+1,A692)</f>
        <v>57</v>
      </c>
      <c r="B693" s="218">
        <f t="shared" si="127"/>
        <v>12</v>
      </c>
      <c r="C693" s="218">
        <f t="shared" si="122"/>
        <v>1</v>
      </c>
      <c r="D693" s="208">
        <f>IF(MOD(COUNT($D$10:D692),6)=0,D692+1,D692)</f>
        <v>114</v>
      </c>
      <c r="E693" s="208">
        <f>IF(MOD(COUNT($E$10:E692),3)=0,E692+1,E692)</f>
        <v>228</v>
      </c>
      <c r="F693" s="208">
        <f>IF(MOD(COUNT($F$10:F692),1)=0,F692+1,F692)</f>
        <v>684</v>
      </c>
      <c r="G693" s="204">
        <f>IFERROR(IF(C693=1,VLOOKUP(A693,Output!$A$27:$AB$137,28,FALSE)/AnnuityMode,0),0)</f>
        <v>0</v>
      </c>
      <c r="H693" s="220">
        <f>IFERROR(IF(AND(MIN(A693&gt;25,Age+A693&gt;=85),B693=12),VLOOKUP(A693,Output!$A$27:$AE$137,31,FALSE),0),0)</f>
        <v>0</v>
      </c>
      <c r="I693" s="221">
        <f>IFERROR(IF(AND(MIN(A693&gt;15,A693+Age&gt;=70),C693=1),VLOOKUP(A693,Output!$A$27:$AF$137,32,FALSE)*VLOOKUP('SV calc_ignore'!A693,Output!$A$27:$AG$137,33,FALSE)/IF(AnnuityMode=2,2,IF(AnnuityMode=4,4,IF(AnnuityMode=12,12,1))),0),0)</f>
        <v>0</v>
      </c>
      <c r="J693" s="227">
        <f t="shared" si="123"/>
        <v>0</v>
      </c>
      <c r="K693" s="213">
        <f t="shared" si="128"/>
        <v>0</v>
      </c>
      <c r="L693" s="209">
        <f t="shared" si="124"/>
        <v>0</v>
      </c>
      <c r="M693" s="214">
        <f t="shared" si="121"/>
        <v>0</v>
      </c>
      <c r="N693" s="211">
        <f t="shared" si="129"/>
        <v>0</v>
      </c>
      <c r="O693" s="194">
        <f t="shared" si="130"/>
        <v>0</v>
      </c>
      <c r="P693" s="212">
        <f t="shared" si="125"/>
        <v>0</v>
      </c>
      <c r="Q693">
        <f t="shared" si="132"/>
        <v>0</v>
      </c>
      <c r="X693" s="216">
        <f t="shared" si="131"/>
        <v>56</v>
      </c>
      <c r="Y693">
        <f t="shared" si="126"/>
        <v>0</v>
      </c>
    </row>
    <row r="694" spans="1:25" ht="13.5" thickBot="1" x14ac:dyDescent="0.25">
      <c r="A694" s="204">
        <f>IF(MOD(COUNT($A$10:A693),12)=0,A693+1,A693)</f>
        <v>58</v>
      </c>
      <c r="B694" s="218">
        <f t="shared" si="127"/>
        <v>1</v>
      </c>
      <c r="C694" s="218">
        <f t="shared" si="122"/>
        <v>1</v>
      </c>
      <c r="D694" s="208">
        <f>IF(MOD(COUNT($D$10:D693),6)=0,D693+1,D693)</f>
        <v>115</v>
      </c>
      <c r="E694" s="208">
        <f>IF(MOD(COUNT($E$10:E693),3)=0,E693+1,E693)</f>
        <v>229</v>
      </c>
      <c r="F694" s="208">
        <f>IF(MOD(COUNT($F$10:F693),1)=0,F693+1,F693)</f>
        <v>685</v>
      </c>
      <c r="G694" s="204">
        <f>IFERROR(IF(C694=1,VLOOKUP(A694,Output!$A$27:$AB$137,28,FALSE)/AnnuityMode,0),0)</f>
        <v>0</v>
      </c>
      <c r="H694" s="220">
        <f>IFERROR(IF(AND(MIN(A694&gt;25,Age+A694&gt;=85),B694=12),VLOOKUP(A694,Output!$A$27:$AE$137,31,FALSE),0),0)</f>
        <v>0</v>
      </c>
      <c r="I694" s="221">
        <f>IFERROR(IF(AND(MIN(A694&gt;15,A694+Age&gt;=70),C694=1),VLOOKUP(A694,Output!$A$27:$AF$137,32,FALSE)*VLOOKUP('SV calc_ignore'!A694,Output!$A$27:$AG$137,33,FALSE)/IF(AnnuityMode=2,2,IF(AnnuityMode=4,4,IF(AnnuityMode=12,12,1))),0),0)</f>
        <v>0</v>
      </c>
      <c r="J694" s="227">
        <f t="shared" si="123"/>
        <v>0</v>
      </c>
      <c r="K694" s="213">
        <f t="shared" si="128"/>
        <v>0</v>
      </c>
      <c r="L694" s="209">
        <f t="shared" si="124"/>
        <v>0</v>
      </c>
      <c r="M694" s="214">
        <f t="shared" si="121"/>
        <v>0</v>
      </c>
      <c r="N694" s="211">
        <f t="shared" si="129"/>
        <v>0</v>
      </c>
      <c r="O694" s="194">
        <f t="shared" si="130"/>
        <v>0</v>
      </c>
      <c r="P694" s="212">
        <f t="shared" si="125"/>
        <v>0</v>
      </c>
      <c r="Q694">
        <f t="shared" si="132"/>
        <v>0</v>
      </c>
      <c r="X694" s="216">
        <f t="shared" si="131"/>
        <v>57</v>
      </c>
      <c r="Y694">
        <f t="shared" si="126"/>
        <v>0</v>
      </c>
    </row>
    <row r="695" spans="1:25" ht="13.5" thickBot="1" x14ac:dyDescent="0.25">
      <c r="A695" s="204">
        <f>IF(MOD(COUNT($A$10:A694),12)=0,A694+1,A694)</f>
        <v>58</v>
      </c>
      <c r="B695" s="218">
        <f t="shared" si="127"/>
        <v>2</v>
      </c>
      <c r="C695" s="218">
        <f t="shared" si="122"/>
        <v>1</v>
      </c>
      <c r="D695" s="208">
        <f>IF(MOD(COUNT($D$10:D694),6)=0,D694+1,D694)</f>
        <v>115</v>
      </c>
      <c r="E695" s="208">
        <f>IF(MOD(COUNT($E$10:E694),3)=0,E694+1,E694)</f>
        <v>229</v>
      </c>
      <c r="F695" s="208">
        <f>IF(MOD(COUNT($F$10:F694),1)=0,F694+1,F694)</f>
        <v>686</v>
      </c>
      <c r="G695" s="204">
        <f>IFERROR(IF(C695=1,VLOOKUP(A695,Output!$A$27:$AB$137,28,FALSE)/AnnuityMode,0),0)</f>
        <v>0</v>
      </c>
      <c r="H695" s="220">
        <f>IFERROR(IF(AND(MIN(A695&gt;25,Age+A695&gt;=85),B695=12),VLOOKUP(A695,Output!$A$27:$AE$137,31,FALSE),0),0)</f>
        <v>0</v>
      </c>
      <c r="I695" s="221">
        <f>IFERROR(IF(AND(MIN(A695&gt;15,A695+Age&gt;=70),C695=1),VLOOKUP(A695,Output!$A$27:$AF$137,32,FALSE)*VLOOKUP('SV calc_ignore'!A695,Output!$A$27:$AG$137,33,FALSE)/IF(AnnuityMode=2,2,IF(AnnuityMode=4,4,IF(AnnuityMode=12,12,1))),0),0)</f>
        <v>0</v>
      </c>
      <c r="J695" s="227">
        <f t="shared" si="123"/>
        <v>0</v>
      </c>
      <c r="K695" s="213">
        <f t="shared" si="128"/>
        <v>0</v>
      </c>
      <c r="L695" s="209">
        <f t="shared" si="124"/>
        <v>0</v>
      </c>
      <c r="M695" s="214">
        <f t="shared" si="121"/>
        <v>0</v>
      </c>
      <c r="N695" s="211">
        <f t="shared" si="129"/>
        <v>0</v>
      </c>
      <c r="O695" s="194">
        <f t="shared" si="130"/>
        <v>0</v>
      </c>
      <c r="P695" s="212">
        <f t="shared" si="125"/>
        <v>0</v>
      </c>
      <c r="Q695">
        <f t="shared" si="132"/>
        <v>0</v>
      </c>
      <c r="X695" s="216">
        <f t="shared" si="131"/>
        <v>57</v>
      </c>
      <c r="Y695">
        <f t="shared" si="126"/>
        <v>0</v>
      </c>
    </row>
    <row r="696" spans="1:25" ht="13.5" thickBot="1" x14ac:dyDescent="0.25">
      <c r="A696" s="204">
        <f>IF(MOD(COUNT($A$10:A695),12)=0,A695+1,A695)</f>
        <v>58</v>
      </c>
      <c r="B696" s="218">
        <f t="shared" si="127"/>
        <v>3</v>
      </c>
      <c r="C696" s="218">
        <f t="shared" si="122"/>
        <v>1</v>
      </c>
      <c r="D696" s="208">
        <f>IF(MOD(COUNT($D$10:D695),6)=0,D695+1,D695)</f>
        <v>115</v>
      </c>
      <c r="E696" s="208">
        <f>IF(MOD(COUNT($E$10:E695),3)=0,E695+1,E695)</f>
        <v>229</v>
      </c>
      <c r="F696" s="208">
        <f>IF(MOD(COUNT($F$10:F695),1)=0,F695+1,F695)</f>
        <v>687</v>
      </c>
      <c r="G696" s="204">
        <f>IFERROR(IF(C696=1,VLOOKUP(A696,Output!$A$27:$AB$137,28,FALSE)/AnnuityMode,0),0)</f>
        <v>0</v>
      </c>
      <c r="H696" s="220">
        <f>IFERROR(IF(AND(MIN(A696&gt;25,Age+A696&gt;=85),B696=12),VLOOKUP(A696,Output!$A$27:$AE$137,31,FALSE),0),0)</f>
        <v>0</v>
      </c>
      <c r="I696" s="221">
        <f>IFERROR(IF(AND(MIN(A696&gt;15,A696+Age&gt;=70),C696=1),VLOOKUP(A696,Output!$A$27:$AF$137,32,FALSE)*VLOOKUP('SV calc_ignore'!A696,Output!$A$27:$AG$137,33,FALSE)/IF(AnnuityMode=2,2,IF(AnnuityMode=4,4,IF(AnnuityMode=12,12,1))),0),0)</f>
        <v>0</v>
      </c>
      <c r="J696" s="227">
        <f t="shared" si="123"/>
        <v>0</v>
      </c>
      <c r="K696" s="213">
        <f t="shared" si="128"/>
        <v>0</v>
      </c>
      <c r="L696" s="209">
        <f t="shared" si="124"/>
        <v>0</v>
      </c>
      <c r="M696" s="214">
        <f t="shared" si="121"/>
        <v>0</v>
      </c>
      <c r="N696" s="211">
        <f t="shared" si="129"/>
        <v>0</v>
      </c>
      <c r="O696" s="194">
        <f t="shared" si="130"/>
        <v>0</v>
      </c>
      <c r="P696" s="212">
        <f t="shared" si="125"/>
        <v>0</v>
      </c>
      <c r="Q696">
        <f t="shared" si="132"/>
        <v>0</v>
      </c>
      <c r="X696" s="216">
        <f t="shared" si="131"/>
        <v>57</v>
      </c>
      <c r="Y696">
        <f t="shared" si="126"/>
        <v>0</v>
      </c>
    </row>
    <row r="697" spans="1:25" ht="13.5" thickBot="1" x14ac:dyDescent="0.25">
      <c r="A697" s="204">
        <f>IF(MOD(COUNT($A$10:A696),12)=0,A696+1,A696)</f>
        <v>58</v>
      </c>
      <c r="B697" s="218">
        <f t="shared" si="127"/>
        <v>4</v>
      </c>
      <c r="C697" s="218">
        <f t="shared" si="122"/>
        <v>1</v>
      </c>
      <c r="D697" s="208">
        <f>IF(MOD(COUNT($D$10:D696),6)=0,D696+1,D696)</f>
        <v>115</v>
      </c>
      <c r="E697" s="208">
        <f>IF(MOD(COUNT($E$10:E696),3)=0,E696+1,E696)</f>
        <v>230</v>
      </c>
      <c r="F697" s="208">
        <f>IF(MOD(COUNT($F$10:F696),1)=0,F696+1,F696)</f>
        <v>688</v>
      </c>
      <c r="G697" s="204">
        <f>IFERROR(IF(C697=1,VLOOKUP(A697,Output!$A$27:$AB$137,28,FALSE)/AnnuityMode,0),0)</f>
        <v>0</v>
      </c>
      <c r="H697" s="220">
        <f>IFERROR(IF(AND(MIN(A697&gt;25,Age+A697&gt;=85),B697=12),VLOOKUP(A697,Output!$A$27:$AE$137,31,FALSE),0),0)</f>
        <v>0</v>
      </c>
      <c r="I697" s="221">
        <f>IFERROR(IF(AND(MIN(A697&gt;15,A697+Age&gt;=70),C697=1),VLOOKUP(A697,Output!$A$27:$AF$137,32,FALSE)*VLOOKUP('SV calc_ignore'!A697,Output!$A$27:$AG$137,33,FALSE)/IF(AnnuityMode=2,2,IF(AnnuityMode=4,4,IF(AnnuityMode=12,12,1))),0),0)</f>
        <v>0</v>
      </c>
      <c r="J697" s="227">
        <f t="shared" si="123"/>
        <v>0</v>
      </c>
      <c r="K697" s="213">
        <f t="shared" si="128"/>
        <v>0</v>
      </c>
      <c r="L697" s="209">
        <f t="shared" si="124"/>
        <v>0</v>
      </c>
      <c r="M697" s="214">
        <f t="shared" si="121"/>
        <v>0</v>
      </c>
      <c r="N697" s="211">
        <f t="shared" si="129"/>
        <v>0</v>
      </c>
      <c r="O697" s="194">
        <f t="shared" si="130"/>
        <v>0</v>
      </c>
      <c r="P697" s="212">
        <f t="shared" si="125"/>
        <v>0</v>
      </c>
      <c r="Q697">
        <f t="shared" si="132"/>
        <v>0</v>
      </c>
      <c r="X697" s="216">
        <f t="shared" si="131"/>
        <v>57</v>
      </c>
      <c r="Y697">
        <f t="shared" si="126"/>
        <v>0</v>
      </c>
    </row>
    <row r="698" spans="1:25" ht="13.5" thickBot="1" x14ac:dyDescent="0.25">
      <c r="A698" s="204">
        <f>IF(MOD(COUNT($A$10:A697),12)=0,A697+1,A697)</f>
        <v>58</v>
      </c>
      <c r="B698" s="218">
        <f t="shared" si="127"/>
        <v>5</v>
      </c>
      <c r="C698" s="218">
        <f t="shared" si="122"/>
        <v>1</v>
      </c>
      <c r="D698" s="208">
        <f>IF(MOD(COUNT($D$10:D697),6)=0,D697+1,D697)</f>
        <v>115</v>
      </c>
      <c r="E698" s="208">
        <f>IF(MOD(COUNT($E$10:E697),3)=0,E697+1,E697)</f>
        <v>230</v>
      </c>
      <c r="F698" s="208">
        <f>IF(MOD(COUNT($F$10:F697),1)=0,F697+1,F697)</f>
        <v>689</v>
      </c>
      <c r="G698" s="204">
        <f>IFERROR(IF(C698=1,VLOOKUP(A698,Output!$A$27:$AB$137,28,FALSE)/AnnuityMode,0),0)</f>
        <v>0</v>
      </c>
      <c r="H698" s="220">
        <f>IFERROR(IF(AND(MIN(A698&gt;25,Age+A698&gt;=85),B698=12),VLOOKUP(A698,Output!$A$27:$AE$137,31,FALSE),0),0)</f>
        <v>0</v>
      </c>
      <c r="I698" s="221">
        <f>IFERROR(IF(AND(MIN(A698&gt;15,A698+Age&gt;=70),C698=1),VLOOKUP(A698,Output!$A$27:$AF$137,32,FALSE)*VLOOKUP('SV calc_ignore'!A698,Output!$A$27:$AG$137,33,FALSE)/IF(AnnuityMode=2,2,IF(AnnuityMode=4,4,IF(AnnuityMode=12,12,1))),0),0)</f>
        <v>0</v>
      </c>
      <c r="J698" s="227">
        <f t="shared" si="123"/>
        <v>0</v>
      </c>
      <c r="K698" s="213">
        <f t="shared" si="128"/>
        <v>0</v>
      </c>
      <c r="L698" s="209">
        <f t="shared" si="124"/>
        <v>0</v>
      </c>
      <c r="M698" s="214">
        <f t="shared" si="121"/>
        <v>0</v>
      </c>
      <c r="N698" s="211">
        <f t="shared" si="129"/>
        <v>0</v>
      </c>
      <c r="O698" s="194">
        <f t="shared" si="130"/>
        <v>0</v>
      </c>
      <c r="P698" s="212">
        <f t="shared" si="125"/>
        <v>0</v>
      </c>
      <c r="Q698">
        <f t="shared" si="132"/>
        <v>0</v>
      </c>
      <c r="X698" s="216">
        <f t="shared" si="131"/>
        <v>57</v>
      </c>
      <c r="Y698">
        <f t="shared" si="126"/>
        <v>0</v>
      </c>
    </row>
    <row r="699" spans="1:25" ht="13.5" thickBot="1" x14ac:dyDescent="0.25">
      <c r="A699" s="204">
        <f>IF(MOD(COUNT($A$10:A698),12)=0,A698+1,A698)</f>
        <v>58</v>
      </c>
      <c r="B699" s="218">
        <f t="shared" si="127"/>
        <v>6</v>
      </c>
      <c r="C699" s="218">
        <f t="shared" si="122"/>
        <v>1</v>
      </c>
      <c r="D699" s="208">
        <f>IF(MOD(COUNT($D$10:D698),6)=0,D698+1,D698)</f>
        <v>115</v>
      </c>
      <c r="E699" s="208">
        <f>IF(MOD(COUNT($E$10:E698),3)=0,E698+1,E698)</f>
        <v>230</v>
      </c>
      <c r="F699" s="208">
        <f>IF(MOD(COUNT($F$10:F698),1)=0,F698+1,F698)</f>
        <v>690</v>
      </c>
      <c r="G699" s="204">
        <f>IFERROR(IF(C699=1,VLOOKUP(A699,Output!$A$27:$AB$137,28,FALSE)/AnnuityMode,0),0)</f>
        <v>0</v>
      </c>
      <c r="H699" s="220">
        <f>IFERROR(IF(AND(MIN(A699&gt;25,Age+A699&gt;=85),B699=12),VLOOKUP(A699,Output!$A$27:$AE$137,31,FALSE),0),0)</f>
        <v>0</v>
      </c>
      <c r="I699" s="221">
        <f>IFERROR(IF(AND(MIN(A699&gt;15,A699+Age&gt;=70),C699=1),VLOOKUP(A699,Output!$A$27:$AF$137,32,FALSE)*VLOOKUP('SV calc_ignore'!A699,Output!$A$27:$AG$137,33,FALSE)/IF(AnnuityMode=2,2,IF(AnnuityMode=4,4,IF(AnnuityMode=12,12,1))),0),0)</f>
        <v>0</v>
      </c>
      <c r="J699" s="227">
        <f t="shared" si="123"/>
        <v>0</v>
      </c>
      <c r="K699" s="213">
        <f t="shared" si="128"/>
        <v>0</v>
      </c>
      <c r="L699" s="209">
        <f t="shared" si="124"/>
        <v>0</v>
      </c>
      <c r="M699" s="214">
        <f t="shared" si="121"/>
        <v>0</v>
      </c>
      <c r="N699" s="211">
        <f t="shared" si="129"/>
        <v>0</v>
      </c>
      <c r="O699" s="194">
        <f t="shared" si="130"/>
        <v>0</v>
      </c>
      <c r="P699" s="212">
        <f t="shared" si="125"/>
        <v>0</v>
      </c>
      <c r="Q699">
        <f t="shared" si="132"/>
        <v>0</v>
      </c>
      <c r="X699" s="216">
        <f t="shared" si="131"/>
        <v>57</v>
      </c>
      <c r="Y699">
        <f t="shared" si="126"/>
        <v>0</v>
      </c>
    </row>
    <row r="700" spans="1:25" ht="13.5" thickBot="1" x14ac:dyDescent="0.25">
      <c r="A700" s="204">
        <f>IF(MOD(COUNT($A$10:A699),12)=0,A699+1,A699)</f>
        <v>58</v>
      </c>
      <c r="B700" s="218">
        <f t="shared" si="127"/>
        <v>7</v>
      </c>
      <c r="C700" s="218">
        <f t="shared" si="122"/>
        <v>1</v>
      </c>
      <c r="D700" s="208">
        <f>IF(MOD(COUNT($D$10:D699),6)=0,D699+1,D699)</f>
        <v>116</v>
      </c>
      <c r="E700" s="208">
        <f>IF(MOD(COUNT($E$10:E699),3)=0,E699+1,E699)</f>
        <v>231</v>
      </c>
      <c r="F700" s="208">
        <f>IF(MOD(COUNT($F$10:F699),1)=0,F699+1,F699)</f>
        <v>691</v>
      </c>
      <c r="G700" s="204">
        <f>IFERROR(IF(C700=1,VLOOKUP(A700,Output!$A$27:$AB$137,28,FALSE)/AnnuityMode,0),0)</f>
        <v>0</v>
      </c>
      <c r="H700" s="220">
        <f>IFERROR(IF(AND(MIN(A700&gt;25,Age+A700&gt;=85),B700=12),VLOOKUP(A700,Output!$A$27:$AE$137,31,FALSE),0),0)</f>
        <v>0</v>
      </c>
      <c r="I700" s="221">
        <f>IFERROR(IF(AND(MIN(A700&gt;15,A700+Age&gt;=70),C700=1),VLOOKUP(A700,Output!$A$27:$AF$137,32,FALSE)*VLOOKUP('SV calc_ignore'!A700,Output!$A$27:$AG$137,33,FALSE)/IF(AnnuityMode=2,2,IF(AnnuityMode=4,4,IF(AnnuityMode=12,12,1))),0),0)</f>
        <v>0</v>
      </c>
      <c r="J700" s="227">
        <f t="shared" si="123"/>
        <v>0</v>
      </c>
      <c r="K700" s="213">
        <f t="shared" si="128"/>
        <v>0</v>
      </c>
      <c r="L700" s="209">
        <f t="shared" si="124"/>
        <v>0</v>
      </c>
      <c r="M700" s="214">
        <f t="shared" si="121"/>
        <v>0</v>
      </c>
      <c r="N700" s="211">
        <f t="shared" si="129"/>
        <v>0</v>
      </c>
      <c r="O700" s="194">
        <f t="shared" si="130"/>
        <v>0</v>
      </c>
      <c r="P700" s="212">
        <f t="shared" si="125"/>
        <v>0</v>
      </c>
      <c r="Q700">
        <f t="shared" si="132"/>
        <v>0</v>
      </c>
      <c r="X700" s="216">
        <f t="shared" si="131"/>
        <v>57</v>
      </c>
      <c r="Y700">
        <f t="shared" si="126"/>
        <v>0</v>
      </c>
    </row>
    <row r="701" spans="1:25" ht="13.5" thickBot="1" x14ac:dyDescent="0.25">
      <c r="A701" s="204">
        <f>IF(MOD(COUNT($A$10:A700),12)=0,A700+1,A700)</f>
        <v>58</v>
      </c>
      <c r="B701" s="218">
        <f t="shared" si="127"/>
        <v>8</v>
      </c>
      <c r="C701" s="218">
        <f t="shared" si="122"/>
        <v>1</v>
      </c>
      <c r="D701" s="208">
        <f>IF(MOD(COUNT($D$10:D700),6)=0,D700+1,D700)</f>
        <v>116</v>
      </c>
      <c r="E701" s="208">
        <f>IF(MOD(COUNT($E$10:E700),3)=0,E700+1,E700)</f>
        <v>231</v>
      </c>
      <c r="F701" s="208">
        <f>IF(MOD(COUNT($F$10:F700),1)=0,F700+1,F700)</f>
        <v>692</v>
      </c>
      <c r="G701" s="204">
        <f>IFERROR(IF(C701=1,VLOOKUP(A701,Output!$A$27:$AB$137,28,FALSE)/AnnuityMode,0),0)</f>
        <v>0</v>
      </c>
      <c r="H701" s="220">
        <f>IFERROR(IF(AND(MIN(A701&gt;25,Age+A701&gt;=85),B701=12),VLOOKUP(A701,Output!$A$27:$AE$137,31,FALSE),0),0)</f>
        <v>0</v>
      </c>
      <c r="I701" s="221">
        <f>IFERROR(IF(AND(MIN(A701&gt;15,A701+Age&gt;=70),C701=1),VLOOKUP(A701,Output!$A$27:$AF$137,32,FALSE)*VLOOKUP('SV calc_ignore'!A701,Output!$A$27:$AG$137,33,FALSE)/IF(AnnuityMode=2,2,IF(AnnuityMode=4,4,IF(AnnuityMode=12,12,1))),0),0)</f>
        <v>0</v>
      </c>
      <c r="J701" s="227">
        <f t="shared" si="123"/>
        <v>0</v>
      </c>
      <c r="K701" s="213">
        <f t="shared" si="128"/>
        <v>0</v>
      </c>
      <c r="L701" s="209">
        <f t="shared" si="124"/>
        <v>0</v>
      </c>
      <c r="M701" s="214">
        <f t="shared" si="121"/>
        <v>0</v>
      </c>
      <c r="N701" s="211">
        <f t="shared" si="129"/>
        <v>0</v>
      </c>
      <c r="O701" s="194">
        <f t="shared" si="130"/>
        <v>0</v>
      </c>
      <c r="P701" s="212">
        <f t="shared" si="125"/>
        <v>0</v>
      </c>
      <c r="Q701">
        <f t="shared" si="132"/>
        <v>0</v>
      </c>
      <c r="X701" s="216">
        <f t="shared" si="131"/>
        <v>57</v>
      </c>
      <c r="Y701">
        <f t="shared" si="126"/>
        <v>0</v>
      </c>
    </row>
    <row r="702" spans="1:25" ht="13.5" thickBot="1" x14ac:dyDescent="0.25">
      <c r="A702" s="204">
        <f>IF(MOD(COUNT($A$10:A701),12)=0,A701+1,A701)</f>
        <v>58</v>
      </c>
      <c r="B702" s="218">
        <f t="shared" si="127"/>
        <v>9</v>
      </c>
      <c r="C702" s="218">
        <f t="shared" si="122"/>
        <v>1</v>
      </c>
      <c r="D702" s="208">
        <f>IF(MOD(COUNT($D$10:D701),6)=0,D701+1,D701)</f>
        <v>116</v>
      </c>
      <c r="E702" s="208">
        <f>IF(MOD(COUNT($E$10:E701),3)=0,E701+1,E701)</f>
        <v>231</v>
      </c>
      <c r="F702" s="208">
        <f>IF(MOD(COUNT($F$10:F701),1)=0,F701+1,F701)</f>
        <v>693</v>
      </c>
      <c r="G702" s="204">
        <f>IFERROR(IF(C702=1,VLOOKUP(A702,Output!$A$27:$AB$137,28,FALSE)/AnnuityMode,0),0)</f>
        <v>0</v>
      </c>
      <c r="H702" s="220">
        <f>IFERROR(IF(AND(MIN(A702&gt;25,Age+A702&gt;=85),B702=12),VLOOKUP(A702,Output!$A$27:$AE$137,31,FALSE),0),0)</f>
        <v>0</v>
      </c>
      <c r="I702" s="221">
        <f>IFERROR(IF(AND(MIN(A702&gt;15,A702+Age&gt;=70),C702=1),VLOOKUP(A702,Output!$A$27:$AF$137,32,FALSE)*VLOOKUP('SV calc_ignore'!A702,Output!$A$27:$AG$137,33,FALSE)/IF(AnnuityMode=2,2,IF(AnnuityMode=4,4,IF(AnnuityMode=12,12,1))),0),0)</f>
        <v>0</v>
      </c>
      <c r="J702" s="227">
        <f t="shared" si="123"/>
        <v>0</v>
      </c>
      <c r="K702" s="213">
        <f t="shared" si="128"/>
        <v>0</v>
      </c>
      <c r="L702" s="209">
        <f t="shared" si="124"/>
        <v>0</v>
      </c>
      <c r="M702" s="214">
        <f t="shared" ref="M702:M765" si="133">L701*(1+$K$3)</f>
        <v>0</v>
      </c>
      <c r="N702" s="211">
        <f t="shared" si="129"/>
        <v>0</v>
      </c>
      <c r="O702" s="194">
        <f t="shared" si="130"/>
        <v>0</v>
      </c>
      <c r="P702" s="212">
        <f t="shared" si="125"/>
        <v>0</v>
      </c>
      <c r="Q702">
        <f t="shared" si="132"/>
        <v>0</v>
      </c>
      <c r="X702" s="216">
        <f t="shared" si="131"/>
        <v>57</v>
      </c>
      <c r="Y702">
        <f t="shared" si="126"/>
        <v>0</v>
      </c>
    </row>
    <row r="703" spans="1:25" ht="13.5" thickBot="1" x14ac:dyDescent="0.25">
      <c r="A703" s="204">
        <f>IF(MOD(COUNT($A$10:A702),12)=0,A702+1,A702)</f>
        <v>58</v>
      </c>
      <c r="B703" s="218">
        <f t="shared" si="127"/>
        <v>10</v>
      </c>
      <c r="C703" s="218">
        <f t="shared" si="122"/>
        <v>1</v>
      </c>
      <c r="D703" s="208">
        <f>IF(MOD(COUNT($D$10:D702),6)=0,D702+1,D702)</f>
        <v>116</v>
      </c>
      <c r="E703" s="208">
        <f>IF(MOD(COUNT($E$10:E702),3)=0,E702+1,E702)</f>
        <v>232</v>
      </c>
      <c r="F703" s="208">
        <f>IF(MOD(COUNT($F$10:F702),1)=0,F702+1,F702)</f>
        <v>694</v>
      </c>
      <c r="G703" s="204">
        <f>IFERROR(IF(C703=1,VLOOKUP(A703,Output!$A$27:$AB$137,28,FALSE)/AnnuityMode,0),0)</f>
        <v>0</v>
      </c>
      <c r="H703" s="220">
        <f>IFERROR(IF(AND(MIN(A703&gt;25,Age+A703&gt;=85),B703=12),VLOOKUP(A703,Output!$A$27:$AE$137,31,FALSE),0),0)</f>
        <v>0</v>
      </c>
      <c r="I703" s="221">
        <f>IFERROR(IF(AND(MIN(A703&gt;15,A703+Age&gt;=70),C703=1),VLOOKUP(A703,Output!$A$27:$AF$137,32,FALSE)*VLOOKUP('SV calc_ignore'!A703,Output!$A$27:$AG$137,33,FALSE)/IF(AnnuityMode=2,2,IF(AnnuityMode=4,4,IF(AnnuityMode=12,12,1))),0),0)</f>
        <v>0</v>
      </c>
      <c r="J703" s="227">
        <f t="shared" si="123"/>
        <v>0</v>
      </c>
      <c r="K703" s="213">
        <f t="shared" si="128"/>
        <v>0</v>
      </c>
      <c r="L703" s="209">
        <f t="shared" si="124"/>
        <v>0</v>
      </c>
      <c r="M703" s="214">
        <f t="shared" si="133"/>
        <v>0</v>
      </c>
      <c r="N703" s="211">
        <f t="shared" si="129"/>
        <v>0</v>
      </c>
      <c r="O703" s="194">
        <f t="shared" si="130"/>
        <v>0</v>
      </c>
      <c r="P703" s="212">
        <f t="shared" si="125"/>
        <v>0</v>
      </c>
      <c r="Q703">
        <f t="shared" si="132"/>
        <v>0</v>
      </c>
      <c r="X703" s="216">
        <f t="shared" si="131"/>
        <v>57</v>
      </c>
      <c r="Y703">
        <f t="shared" si="126"/>
        <v>0</v>
      </c>
    </row>
    <row r="704" spans="1:25" ht="13.5" thickBot="1" x14ac:dyDescent="0.25">
      <c r="A704" s="204">
        <f>IF(MOD(COUNT($A$10:A703),12)=0,A703+1,A703)</f>
        <v>58</v>
      </c>
      <c r="B704" s="218">
        <f t="shared" si="127"/>
        <v>11</v>
      </c>
      <c r="C704" s="218">
        <f t="shared" si="122"/>
        <v>1</v>
      </c>
      <c r="D704" s="208">
        <f>IF(MOD(COUNT($D$10:D703),6)=0,D703+1,D703)</f>
        <v>116</v>
      </c>
      <c r="E704" s="208">
        <f>IF(MOD(COUNT($E$10:E703),3)=0,E703+1,E703)</f>
        <v>232</v>
      </c>
      <c r="F704" s="208">
        <f>IF(MOD(COUNT($F$10:F703),1)=0,F703+1,F703)</f>
        <v>695</v>
      </c>
      <c r="G704" s="204">
        <f>IFERROR(IF(C704=1,VLOOKUP(A704,Output!$A$27:$AB$137,28,FALSE)/AnnuityMode,0),0)</f>
        <v>0</v>
      </c>
      <c r="H704" s="220">
        <f>IFERROR(IF(AND(MIN(A704&gt;25,Age+A704&gt;=85),B704=12),VLOOKUP(A704,Output!$A$27:$AE$137,31,FALSE),0),0)</f>
        <v>0</v>
      </c>
      <c r="I704" s="221">
        <f>IFERROR(IF(AND(MIN(A704&gt;15,A704+Age&gt;=70),C704=1),VLOOKUP(A704,Output!$A$27:$AF$137,32,FALSE)*VLOOKUP('SV calc_ignore'!A704,Output!$A$27:$AG$137,33,FALSE)/IF(AnnuityMode=2,2,IF(AnnuityMode=4,4,IF(AnnuityMode=12,12,1))),0),0)</f>
        <v>0</v>
      </c>
      <c r="J704" s="227">
        <f t="shared" si="123"/>
        <v>0</v>
      </c>
      <c r="K704" s="213">
        <f t="shared" si="128"/>
        <v>0</v>
      </c>
      <c r="L704" s="209">
        <f t="shared" si="124"/>
        <v>0</v>
      </c>
      <c r="M704" s="214">
        <f t="shared" si="133"/>
        <v>0</v>
      </c>
      <c r="N704" s="211">
        <f t="shared" si="129"/>
        <v>0</v>
      </c>
      <c r="O704" s="194">
        <f t="shared" si="130"/>
        <v>0</v>
      </c>
      <c r="P704" s="212">
        <f t="shared" si="125"/>
        <v>0</v>
      </c>
      <c r="Q704">
        <f t="shared" si="132"/>
        <v>0</v>
      </c>
      <c r="X704" s="216">
        <f t="shared" si="131"/>
        <v>57</v>
      </c>
      <c r="Y704">
        <f t="shared" si="126"/>
        <v>0</v>
      </c>
    </row>
    <row r="705" spans="1:25" ht="13.5" thickBot="1" x14ac:dyDescent="0.25">
      <c r="A705" s="204">
        <f>IF(MOD(COUNT($A$10:A704),12)=0,A704+1,A704)</f>
        <v>58</v>
      </c>
      <c r="B705" s="218">
        <f t="shared" si="127"/>
        <v>12</v>
      </c>
      <c r="C705" s="218">
        <f t="shared" si="122"/>
        <v>1</v>
      </c>
      <c r="D705" s="208">
        <f>IF(MOD(COUNT($D$10:D704),6)=0,D704+1,D704)</f>
        <v>116</v>
      </c>
      <c r="E705" s="208">
        <f>IF(MOD(COUNT($E$10:E704),3)=0,E704+1,E704)</f>
        <v>232</v>
      </c>
      <c r="F705" s="208">
        <f>IF(MOD(COUNT($F$10:F704),1)=0,F704+1,F704)</f>
        <v>696</v>
      </c>
      <c r="G705" s="204">
        <f>IFERROR(IF(C705=1,VLOOKUP(A705,Output!$A$27:$AB$137,28,FALSE)/AnnuityMode,0),0)</f>
        <v>0</v>
      </c>
      <c r="H705" s="220">
        <f>IFERROR(IF(AND(MIN(A705&gt;25,Age+A705&gt;=85),B705=12),VLOOKUP(A705,Output!$A$27:$AE$137,31,FALSE),0),0)</f>
        <v>0</v>
      </c>
      <c r="I705" s="221">
        <f>IFERROR(IF(AND(MIN(A705&gt;15,A705+Age&gt;=70),C705=1),VLOOKUP(A705,Output!$A$27:$AF$137,32,FALSE)*VLOOKUP('SV calc_ignore'!A705,Output!$A$27:$AG$137,33,FALSE)/IF(AnnuityMode=2,2,IF(AnnuityMode=4,4,IF(AnnuityMode=12,12,1))),0),0)</f>
        <v>0</v>
      </c>
      <c r="J705" s="227">
        <f t="shared" si="123"/>
        <v>0</v>
      </c>
      <c r="K705" s="213">
        <f t="shared" si="128"/>
        <v>0</v>
      </c>
      <c r="L705" s="209">
        <f t="shared" si="124"/>
        <v>0</v>
      </c>
      <c r="M705" s="214">
        <f t="shared" si="133"/>
        <v>0</v>
      </c>
      <c r="N705" s="211">
        <f t="shared" si="129"/>
        <v>0</v>
      </c>
      <c r="O705" s="194">
        <f t="shared" si="130"/>
        <v>0</v>
      </c>
      <c r="P705" s="212">
        <f t="shared" si="125"/>
        <v>0</v>
      </c>
      <c r="Q705">
        <f t="shared" si="132"/>
        <v>0</v>
      </c>
      <c r="X705" s="216">
        <f t="shared" si="131"/>
        <v>57</v>
      </c>
      <c r="Y705">
        <f t="shared" si="126"/>
        <v>0</v>
      </c>
    </row>
    <row r="706" spans="1:25" ht="13.5" thickBot="1" x14ac:dyDescent="0.25">
      <c r="A706" s="204">
        <f>IF(MOD(COUNT($A$10:A705),12)=0,A705+1,A705)</f>
        <v>59</v>
      </c>
      <c r="B706" s="218">
        <f t="shared" si="127"/>
        <v>1</v>
      </c>
      <c r="C706" s="218">
        <f t="shared" si="122"/>
        <v>1</v>
      </c>
      <c r="D706" s="208">
        <f>IF(MOD(COUNT($D$10:D705),6)=0,D705+1,D705)</f>
        <v>117</v>
      </c>
      <c r="E706" s="208">
        <f>IF(MOD(COUNT($E$10:E705),3)=0,E705+1,E705)</f>
        <v>233</v>
      </c>
      <c r="F706" s="208">
        <f>IF(MOD(COUNT($F$10:F705),1)=0,F705+1,F705)</f>
        <v>697</v>
      </c>
      <c r="G706" s="204">
        <f>IFERROR(IF(C706=1,VLOOKUP(A706,Output!$A$27:$AB$137,28,FALSE)/AnnuityMode,0),0)</f>
        <v>0</v>
      </c>
      <c r="H706" s="220">
        <f>IFERROR(IF(AND(MIN(A706&gt;25,Age+A706&gt;=85),B706=12),VLOOKUP(A706,Output!$A$27:$AE$137,31,FALSE),0),0)</f>
        <v>0</v>
      </c>
      <c r="I706" s="221">
        <f>IFERROR(IF(AND(MIN(A706&gt;15,A706+Age&gt;=70),C706=1),VLOOKUP(A706,Output!$A$27:$AF$137,32,FALSE)*VLOOKUP('SV calc_ignore'!A706,Output!$A$27:$AG$137,33,FALSE)/IF(AnnuityMode=2,2,IF(AnnuityMode=4,4,IF(AnnuityMode=12,12,1))),0),0)</f>
        <v>0</v>
      </c>
      <c r="J706" s="227">
        <f t="shared" si="123"/>
        <v>0</v>
      </c>
      <c r="K706" s="213">
        <f t="shared" si="128"/>
        <v>0</v>
      </c>
      <c r="L706" s="209">
        <f t="shared" si="124"/>
        <v>0</v>
      </c>
      <c r="M706" s="214">
        <f t="shared" si="133"/>
        <v>0</v>
      </c>
      <c r="N706" s="211">
        <f t="shared" si="129"/>
        <v>0</v>
      </c>
      <c r="O706" s="194">
        <f t="shared" si="130"/>
        <v>0</v>
      </c>
      <c r="P706" s="212">
        <f t="shared" si="125"/>
        <v>0</v>
      </c>
      <c r="Q706">
        <f t="shared" si="132"/>
        <v>0</v>
      </c>
      <c r="X706" s="216">
        <f t="shared" si="131"/>
        <v>58</v>
      </c>
      <c r="Y706">
        <f t="shared" si="126"/>
        <v>0</v>
      </c>
    </row>
    <row r="707" spans="1:25" ht="13.5" thickBot="1" x14ac:dyDescent="0.25">
      <c r="A707" s="204">
        <f>IF(MOD(COUNT($A$10:A706),12)=0,A706+1,A706)</f>
        <v>59</v>
      </c>
      <c r="B707" s="218">
        <f t="shared" si="127"/>
        <v>2</v>
      </c>
      <c r="C707" s="218">
        <f t="shared" si="122"/>
        <v>1</v>
      </c>
      <c r="D707" s="208">
        <f>IF(MOD(COUNT($D$10:D706),6)=0,D706+1,D706)</f>
        <v>117</v>
      </c>
      <c r="E707" s="208">
        <f>IF(MOD(COUNT($E$10:E706),3)=0,E706+1,E706)</f>
        <v>233</v>
      </c>
      <c r="F707" s="208">
        <f>IF(MOD(COUNT($F$10:F706),1)=0,F706+1,F706)</f>
        <v>698</v>
      </c>
      <c r="G707" s="204">
        <f>IFERROR(IF(C707=1,VLOOKUP(A707,Output!$A$27:$AB$137,28,FALSE)/AnnuityMode,0),0)</f>
        <v>0</v>
      </c>
      <c r="H707" s="220">
        <f>IFERROR(IF(AND(MIN(A707&gt;25,Age+A707&gt;=85),B707=12),VLOOKUP(A707,Output!$A$27:$AE$137,31,FALSE),0),0)</f>
        <v>0</v>
      </c>
      <c r="I707" s="221">
        <f>IFERROR(IF(AND(MIN(A707&gt;15,A707+Age&gt;=70),C707=1),VLOOKUP(A707,Output!$A$27:$AF$137,32,FALSE)*VLOOKUP('SV calc_ignore'!A707,Output!$A$27:$AG$137,33,FALSE)/IF(AnnuityMode=2,2,IF(AnnuityMode=4,4,IF(AnnuityMode=12,12,1))),0),0)</f>
        <v>0</v>
      </c>
      <c r="J707" s="227">
        <f t="shared" si="123"/>
        <v>0</v>
      </c>
      <c r="K707" s="213">
        <f t="shared" si="128"/>
        <v>0</v>
      </c>
      <c r="L707" s="209">
        <f t="shared" si="124"/>
        <v>0</v>
      </c>
      <c r="M707" s="214">
        <f t="shared" si="133"/>
        <v>0</v>
      </c>
      <c r="N707" s="211">
        <f t="shared" si="129"/>
        <v>0</v>
      </c>
      <c r="O707" s="194">
        <f t="shared" si="130"/>
        <v>0</v>
      </c>
      <c r="P707" s="212">
        <f t="shared" si="125"/>
        <v>0</v>
      </c>
      <c r="Q707">
        <f t="shared" si="132"/>
        <v>0</v>
      </c>
      <c r="X707" s="216">
        <f t="shared" si="131"/>
        <v>58</v>
      </c>
      <c r="Y707">
        <f t="shared" si="126"/>
        <v>0</v>
      </c>
    </row>
    <row r="708" spans="1:25" ht="13.5" thickBot="1" x14ac:dyDescent="0.25">
      <c r="A708" s="204">
        <f>IF(MOD(COUNT($A$10:A707),12)=0,A707+1,A707)</f>
        <v>59</v>
      </c>
      <c r="B708" s="218">
        <f t="shared" si="127"/>
        <v>3</v>
      </c>
      <c r="C708" s="218">
        <f t="shared" si="122"/>
        <v>1</v>
      </c>
      <c r="D708" s="208">
        <f>IF(MOD(COUNT($D$10:D707),6)=0,D707+1,D707)</f>
        <v>117</v>
      </c>
      <c r="E708" s="208">
        <f>IF(MOD(COUNT($E$10:E707),3)=0,E707+1,E707)</f>
        <v>233</v>
      </c>
      <c r="F708" s="208">
        <f>IF(MOD(COUNT($F$10:F707),1)=0,F707+1,F707)</f>
        <v>699</v>
      </c>
      <c r="G708" s="204">
        <f>IFERROR(IF(C708=1,VLOOKUP(A708,Output!$A$27:$AB$137,28,FALSE)/AnnuityMode,0),0)</f>
        <v>0</v>
      </c>
      <c r="H708" s="220">
        <f>IFERROR(IF(AND(MIN(A708&gt;25,Age+A708&gt;=85),B708=12),VLOOKUP(A708,Output!$A$27:$AE$137,31,FALSE),0),0)</f>
        <v>0</v>
      </c>
      <c r="I708" s="221">
        <f>IFERROR(IF(AND(MIN(A708&gt;15,A708+Age&gt;=70),C708=1),VLOOKUP(A708,Output!$A$27:$AF$137,32,FALSE)*VLOOKUP('SV calc_ignore'!A708,Output!$A$27:$AG$137,33,FALSE)/IF(AnnuityMode=2,2,IF(AnnuityMode=4,4,IF(AnnuityMode=12,12,1))),0),0)</f>
        <v>0</v>
      </c>
      <c r="J708" s="227">
        <f t="shared" si="123"/>
        <v>0</v>
      </c>
      <c r="K708" s="213">
        <f t="shared" si="128"/>
        <v>0</v>
      </c>
      <c r="L708" s="209">
        <f t="shared" si="124"/>
        <v>0</v>
      </c>
      <c r="M708" s="214">
        <f t="shared" si="133"/>
        <v>0</v>
      </c>
      <c r="N708" s="211">
        <f t="shared" si="129"/>
        <v>0</v>
      </c>
      <c r="O708" s="194">
        <f t="shared" si="130"/>
        <v>0</v>
      </c>
      <c r="P708" s="212">
        <f t="shared" si="125"/>
        <v>0</v>
      </c>
      <c r="Q708">
        <f t="shared" si="132"/>
        <v>0</v>
      </c>
      <c r="X708" s="216">
        <f t="shared" si="131"/>
        <v>58</v>
      </c>
      <c r="Y708">
        <f t="shared" si="126"/>
        <v>0</v>
      </c>
    </row>
    <row r="709" spans="1:25" ht="13.5" thickBot="1" x14ac:dyDescent="0.25">
      <c r="A709" s="204">
        <f>IF(MOD(COUNT($A$10:A708),12)=0,A708+1,A708)</f>
        <v>59</v>
      </c>
      <c r="B709" s="218">
        <f t="shared" si="127"/>
        <v>4</v>
      </c>
      <c r="C709" s="218">
        <f t="shared" si="122"/>
        <v>1</v>
      </c>
      <c r="D709" s="208">
        <f>IF(MOD(COUNT($D$10:D708),6)=0,D708+1,D708)</f>
        <v>117</v>
      </c>
      <c r="E709" s="208">
        <f>IF(MOD(COUNT($E$10:E708),3)=0,E708+1,E708)</f>
        <v>234</v>
      </c>
      <c r="F709" s="208">
        <f>IF(MOD(COUNT($F$10:F708),1)=0,F708+1,F708)</f>
        <v>700</v>
      </c>
      <c r="G709" s="204">
        <f>IFERROR(IF(C709=1,VLOOKUP(A709,Output!$A$27:$AB$137,28,FALSE)/AnnuityMode,0),0)</f>
        <v>0</v>
      </c>
      <c r="H709" s="220">
        <f>IFERROR(IF(AND(MIN(A709&gt;25,Age+A709&gt;=85),B709=12),VLOOKUP(A709,Output!$A$27:$AE$137,31,FALSE),0),0)</f>
        <v>0</v>
      </c>
      <c r="I709" s="221">
        <f>IFERROR(IF(AND(MIN(A709&gt;15,A709+Age&gt;=70),C709=1),VLOOKUP(A709,Output!$A$27:$AF$137,32,FALSE)*VLOOKUP('SV calc_ignore'!A709,Output!$A$27:$AG$137,33,FALSE)/IF(AnnuityMode=2,2,IF(AnnuityMode=4,4,IF(AnnuityMode=12,12,1))),0),0)</f>
        <v>0</v>
      </c>
      <c r="J709" s="227">
        <f t="shared" si="123"/>
        <v>0</v>
      </c>
      <c r="K709" s="213">
        <f t="shared" si="128"/>
        <v>0</v>
      </c>
      <c r="L709" s="209">
        <f t="shared" si="124"/>
        <v>0</v>
      </c>
      <c r="M709" s="214">
        <f t="shared" si="133"/>
        <v>0</v>
      </c>
      <c r="N709" s="211">
        <f t="shared" si="129"/>
        <v>0</v>
      </c>
      <c r="O709" s="194">
        <f t="shared" si="130"/>
        <v>0</v>
      </c>
      <c r="P709" s="212">
        <f t="shared" si="125"/>
        <v>0</v>
      </c>
      <c r="Q709">
        <f t="shared" si="132"/>
        <v>0</v>
      </c>
      <c r="X709" s="216">
        <f t="shared" si="131"/>
        <v>58</v>
      </c>
      <c r="Y709">
        <f t="shared" si="126"/>
        <v>0</v>
      </c>
    </row>
    <row r="710" spans="1:25" ht="13.5" thickBot="1" x14ac:dyDescent="0.25">
      <c r="A710" s="204">
        <f>IF(MOD(COUNT($A$10:A709),12)=0,A709+1,A709)</f>
        <v>59</v>
      </c>
      <c r="B710" s="218">
        <f t="shared" si="127"/>
        <v>5</v>
      </c>
      <c r="C710" s="218">
        <f t="shared" si="122"/>
        <v>1</v>
      </c>
      <c r="D710" s="208">
        <f>IF(MOD(COUNT($D$10:D709),6)=0,D709+1,D709)</f>
        <v>117</v>
      </c>
      <c r="E710" s="208">
        <f>IF(MOD(COUNT($E$10:E709),3)=0,E709+1,E709)</f>
        <v>234</v>
      </c>
      <c r="F710" s="208">
        <f>IF(MOD(COUNT($F$10:F709),1)=0,F709+1,F709)</f>
        <v>701</v>
      </c>
      <c r="G710" s="204">
        <f>IFERROR(IF(C710=1,VLOOKUP(A710,Output!$A$27:$AB$137,28,FALSE)/AnnuityMode,0),0)</f>
        <v>0</v>
      </c>
      <c r="H710" s="220">
        <f>IFERROR(IF(AND(MIN(A710&gt;25,Age+A710&gt;=85),B710=12),VLOOKUP(A710,Output!$A$27:$AE$137,31,FALSE),0),0)</f>
        <v>0</v>
      </c>
      <c r="I710" s="221">
        <f>IFERROR(IF(AND(MIN(A710&gt;15,A710+Age&gt;=70),C710=1),VLOOKUP(A710,Output!$A$27:$AF$137,32,FALSE)*VLOOKUP('SV calc_ignore'!A710,Output!$A$27:$AG$137,33,FALSE)/IF(AnnuityMode=2,2,IF(AnnuityMode=4,4,IF(AnnuityMode=12,12,1))),0),0)</f>
        <v>0</v>
      </c>
      <c r="J710" s="227">
        <f t="shared" si="123"/>
        <v>0</v>
      </c>
      <c r="K710" s="213">
        <f t="shared" si="128"/>
        <v>0</v>
      </c>
      <c r="L710" s="209">
        <f t="shared" si="124"/>
        <v>0</v>
      </c>
      <c r="M710" s="214">
        <f t="shared" si="133"/>
        <v>0</v>
      </c>
      <c r="N710" s="211">
        <f t="shared" si="129"/>
        <v>0</v>
      </c>
      <c r="O710" s="194">
        <f t="shared" si="130"/>
        <v>0</v>
      </c>
      <c r="P710" s="212">
        <f t="shared" si="125"/>
        <v>0</v>
      </c>
      <c r="Q710">
        <f t="shared" si="132"/>
        <v>0</v>
      </c>
      <c r="X710" s="216">
        <f t="shared" si="131"/>
        <v>58</v>
      </c>
      <c r="Y710">
        <f t="shared" si="126"/>
        <v>0</v>
      </c>
    </row>
    <row r="711" spans="1:25" ht="13.5" thickBot="1" x14ac:dyDescent="0.25">
      <c r="A711" s="204">
        <f>IF(MOD(COUNT($A$10:A710),12)=0,A710+1,A710)</f>
        <v>59</v>
      </c>
      <c r="B711" s="218">
        <f t="shared" si="127"/>
        <v>6</v>
      </c>
      <c r="C711" s="218">
        <f t="shared" si="122"/>
        <v>1</v>
      </c>
      <c r="D711" s="208">
        <f>IF(MOD(COUNT($D$10:D710),6)=0,D710+1,D710)</f>
        <v>117</v>
      </c>
      <c r="E711" s="208">
        <f>IF(MOD(COUNT($E$10:E710),3)=0,E710+1,E710)</f>
        <v>234</v>
      </c>
      <c r="F711" s="208">
        <f>IF(MOD(COUNT($F$10:F710),1)=0,F710+1,F710)</f>
        <v>702</v>
      </c>
      <c r="G711" s="204">
        <f>IFERROR(IF(C711=1,VLOOKUP(A711,Output!$A$27:$AB$137,28,FALSE)/AnnuityMode,0),0)</f>
        <v>0</v>
      </c>
      <c r="H711" s="220">
        <f>IFERROR(IF(AND(MIN(A711&gt;25,Age+A711&gt;=85),B711=12),VLOOKUP(A711,Output!$A$27:$AE$137,31,FALSE),0),0)</f>
        <v>0</v>
      </c>
      <c r="I711" s="221">
        <f>IFERROR(IF(AND(MIN(A711&gt;15,A711+Age&gt;=70),C711=1),VLOOKUP(A711,Output!$A$27:$AF$137,32,FALSE)*VLOOKUP('SV calc_ignore'!A711,Output!$A$27:$AG$137,33,FALSE)/IF(AnnuityMode=2,2,IF(AnnuityMode=4,4,IF(AnnuityMode=12,12,1))),0),0)</f>
        <v>0</v>
      </c>
      <c r="J711" s="227">
        <f t="shared" si="123"/>
        <v>0</v>
      </c>
      <c r="K711" s="213">
        <f t="shared" si="128"/>
        <v>0</v>
      </c>
      <c r="L711" s="209">
        <f t="shared" si="124"/>
        <v>0</v>
      </c>
      <c r="M711" s="214">
        <f t="shared" si="133"/>
        <v>0</v>
      </c>
      <c r="N711" s="211">
        <f t="shared" si="129"/>
        <v>0</v>
      </c>
      <c r="O711" s="194">
        <f t="shared" si="130"/>
        <v>0</v>
      </c>
      <c r="P711" s="212">
        <f t="shared" si="125"/>
        <v>0</v>
      </c>
      <c r="Q711">
        <f t="shared" si="132"/>
        <v>0</v>
      </c>
      <c r="X711" s="216">
        <f t="shared" si="131"/>
        <v>58</v>
      </c>
      <c r="Y711">
        <f t="shared" si="126"/>
        <v>0</v>
      </c>
    </row>
    <row r="712" spans="1:25" ht="13.5" thickBot="1" x14ac:dyDescent="0.25">
      <c r="A712" s="204">
        <f>IF(MOD(COUNT($A$10:A711),12)=0,A711+1,A711)</f>
        <v>59</v>
      </c>
      <c r="B712" s="218">
        <f t="shared" si="127"/>
        <v>7</v>
      </c>
      <c r="C712" s="218">
        <f t="shared" si="122"/>
        <v>1</v>
      </c>
      <c r="D712" s="208">
        <f>IF(MOD(COUNT($D$10:D711),6)=0,D711+1,D711)</f>
        <v>118</v>
      </c>
      <c r="E712" s="208">
        <f>IF(MOD(COUNT($E$10:E711),3)=0,E711+1,E711)</f>
        <v>235</v>
      </c>
      <c r="F712" s="208">
        <f>IF(MOD(COUNT($F$10:F711),1)=0,F711+1,F711)</f>
        <v>703</v>
      </c>
      <c r="G712" s="204">
        <f>IFERROR(IF(C712=1,VLOOKUP(A712,Output!$A$27:$AB$137,28,FALSE)/AnnuityMode,0),0)</f>
        <v>0</v>
      </c>
      <c r="H712" s="220">
        <f>IFERROR(IF(AND(MIN(A712&gt;25,Age+A712&gt;=85),B712=12),VLOOKUP(A712,Output!$A$27:$AE$137,31,FALSE),0),0)</f>
        <v>0</v>
      </c>
      <c r="I712" s="221">
        <f>IFERROR(IF(AND(MIN(A712&gt;15,A712+Age&gt;=70),C712=1),VLOOKUP(A712,Output!$A$27:$AF$137,32,FALSE)*VLOOKUP('SV calc_ignore'!A712,Output!$A$27:$AG$137,33,FALSE)/IF(AnnuityMode=2,2,IF(AnnuityMode=4,4,IF(AnnuityMode=12,12,1))),0),0)</f>
        <v>0</v>
      </c>
      <c r="J712" s="227">
        <f t="shared" si="123"/>
        <v>0</v>
      </c>
      <c r="K712" s="213">
        <f t="shared" si="128"/>
        <v>0</v>
      </c>
      <c r="L712" s="209">
        <f t="shared" si="124"/>
        <v>0</v>
      </c>
      <c r="M712" s="214">
        <f t="shared" si="133"/>
        <v>0</v>
      </c>
      <c r="N712" s="211">
        <f t="shared" si="129"/>
        <v>0</v>
      </c>
      <c r="O712" s="194">
        <f t="shared" si="130"/>
        <v>0</v>
      </c>
      <c r="P712" s="212">
        <f t="shared" si="125"/>
        <v>0</v>
      </c>
      <c r="Q712">
        <f t="shared" si="132"/>
        <v>0</v>
      </c>
      <c r="X712" s="216">
        <f t="shared" si="131"/>
        <v>58</v>
      </c>
      <c r="Y712">
        <f t="shared" si="126"/>
        <v>0</v>
      </c>
    </row>
    <row r="713" spans="1:25" ht="13.5" thickBot="1" x14ac:dyDescent="0.25">
      <c r="A713" s="204">
        <f>IF(MOD(COUNT($A$10:A712),12)=0,A712+1,A712)</f>
        <v>59</v>
      </c>
      <c r="B713" s="218">
        <f t="shared" si="127"/>
        <v>8</v>
      </c>
      <c r="C713" s="218">
        <f t="shared" si="122"/>
        <v>1</v>
      </c>
      <c r="D713" s="208">
        <f>IF(MOD(COUNT($D$10:D712),6)=0,D712+1,D712)</f>
        <v>118</v>
      </c>
      <c r="E713" s="208">
        <f>IF(MOD(COUNT($E$10:E712),3)=0,E712+1,E712)</f>
        <v>235</v>
      </c>
      <c r="F713" s="208">
        <f>IF(MOD(COUNT($F$10:F712),1)=0,F712+1,F712)</f>
        <v>704</v>
      </c>
      <c r="G713" s="204">
        <f>IFERROR(IF(C713=1,VLOOKUP(A713,Output!$A$27:$AB$137,28,FALSE)/AnnuityMode,0),0)</f>
        <v>0</v>
      </c>
      <c r="H713" s="220">
        <f>IFERROR(IF(AND(MIN(A713&gt;25,Age+A713&gt;=85),B713=12),VLOOKUP(A713,Output!$A$27:$AE$137,31,FALSE),0),0)</f>
        <v>0</v>
      </c>
      <c r="I713" s="221">
        <f>IFERROR(IF(AND(MIN(A713&gt;15,A713+Age&gt;=70),C713=1),VLOOKUP(A713,Output!$A$27:$AF$137,32,FALSE)*VLOOKUP('SV calc_ignore'!A713,Output!$A$27:$AG$137,33,FALSE)/IF(AnnuityMode=2,2,IF(AnnuityMode=4,4,IF(AnnuityMode=12,12,1))),0),0)</f>
        <v>0</v>
      </c>
      <c r="J713" s="227">
        <f t="shared" si="123"/>
        <v>0</v>
      </c>
      <c r="K713" s="213">
        <f t="shared" si="128"/>
        <v>0</v>
      </c>
      <c r="L713" s="209">
        <f t="shared" si="124"/>
        <v>0</v>
      </c>
      <c r="M713" s="214">
        <f t="shared" si="133"/>
        <v>0</v>
      </c>
      <c r="N713" s="211">
        <f t="shared" si="129"/>
        <v>0</v>
      </c>
      <c r="O713" s="194">
        <f t="shared" si="130"/>
        <v>0</v>
      </c>
      <c r="P713" s="212">
        <f t="shared" si="125"/>
        <v>0</v>
      </c>
      <c r="Q713">
        <f t="shared" si="132"/>
        <v>0</v>
      </c>
      <c r="X713" s="216">
        <f t="shared" si="131"/>
        <v>58</v>
      </c>
      <c r="Y713">
        <f t="shared" si="126"/>
        <v>0</v>
      </c>
    </row>
    <row r="714" spans="1:25" ht="13.5" thickBot="1" x14ac:dyDescent="0.25">
      <c r="A714" s="204">
        <f>IF(MOD(COUNT($A$10:A713),12)=0,A713+1,A713)</f>
        <v>59</v>
      </c>
      <c r="B714" s="218">
        <f t="shared" si="127"/>
        <v>9</v>
      </c>
      <c r="C714" s="218">
        <f t="shared" ref="C714:C777" si="134">IF(AND(AnnuityMode=1,B714=12),1,IF(AND(OR(B714=6,B714=12),AnnuityMode=2),1,IF(AND(OR(B714=3,B714=6,B714=12,B714=9),AnnuityMode=4),1,IF(AND(OR(B714=1,B714=2,B714=3,B714=4,B714=5,B714=6,B714=7,B714=8,B714=9,B714=10,B714=11,B714=12),AnnuityMode=12),1,0))))</f>
        <v>1</v>
      </c>
      <c r="D714" s="208">
        <f>IF(MOD(COUNT($D$10:D713),6)=0,D713+1,D713)</f>
        <v>118</v>
      </c>
      <c r="E714" s="208">
        <f>IF(MOD(COUNT($E$10:E713),3)=0,E713+1,E713)</f>
        <v>235</v>
      </c>
      <c r="F714" s="208">
        <f>IF(MOD(COUNT($F$10:F713),1)=0,F713+1,F713)</f>
        <v>705</v>
      </c>
      <c r="G714" s="204">
        <f>IFERROR(IF(C714=1,VLOOKUP(A714,Output!$A$27:$AB$137,28,FALSE)/AnnuityMode,0),0)</f>
        <v>0</v>
      </c>
      <c r="H714" s="220">
        <f>IFERROR(IF(AND(MIN(A714&gt;25,Age+A714&gt;=85),B714=12),VLOOKUP(A714,Output!$A$27:$AE$137,31,FALSE),0),0)</f>
        <v>0</v>
      </c>
      <c r="I714" s="221">
        <f>IFERROR(IF(AND(MIN(A714&gt;15,A714+Age&gt;=70),C714=1),VLOOKUP(A714,Output!$A$27:$AF$137,32,FALSE)*VLOOKUP('SV calc_ignore'!A714,Output!$A$27:$AG$137,33,FALSE)/IF(AnnuityMode=2,2,IF(AnnuityMode=4,4,IF(AnnuityMode=12,12,1))),0),0)</f>
        <v>0</v>
      </c>
      <c r="J714" s="227">
        <f t="shared" ref="J714:J739" si="135">G714+(J715)*(1+$K$3)^(-1)</f>
        <v>0</v>
      </c>
      <c r="K714" s="213">
        <f t="shared" si="128"/>
        <v>0</v>
      </c>
      <c r="L714" s="209">
        <f t="shared" ref="L714:L777" si="136">(L715+G715)*$K$2</f>
        <v>0</v>
      </c>
      <c r="M714" s="214">
        <f t="shared" si="133"/>
        <v>0</v>
      </c>
      <c r="N714" s="211">
        <f t="shared" si="129"/>
        <v>0</v>
      </c>
      <c r="O714" s="194">
        <f t="shared" si="130"/>
        <v>0</v>
      </c>
      <c r="P714" s="212">
        <f t="shared" ref="P714:P777" si="137">(P715+H715)*(1+$K$3)^(-1)</f>
        <v>0</v>
      </c>
      <c r="Q714">
        <f t="shared" si="132"/>
        <v>0</v>
      </c>
      <c r="X714" s="216">
        <f t="shared" si="131"/>
        <v>58</v>
      </c>
      <c r="Y714">
        <f t="shared" ref="Y714:Y777" si="138">G714*(1-IF(AnnuityMode=1,$L$2,IF(AnnuityMode=2,$M$2,IF(AnnuityMode=4,$N$2,$K$2)))^(110*AnnuityMode-IF(AnnuityMode=1,X714,IF(AnnuityMode=2,D714,IF(AnnuityMode=4,E714,F714)))-0))/(IF(AnnuityMode=1,$L$3,IF(AnnuityMode=2,$M$3,IF(AnnuityMode=4,$N$3,$K$3))))</f>
        <v>0</v>
      </c>
    </row>
    <row r="715" spans="1:25" ht="13.5" thickBot="1" x14ac:dyDescent="0.25">
      <c r="A715" s="204">
        <f>IF(MOD(COUNT($A$10:A714),12)=0,A714+1,A714)</f>
        <v>59</v>
      </c>
      <c r="B715" s="218">
        <f t="shared" ref="B715:B778" si="139">IF(A714&lt;&gt;A715,1,B714+1)</f>
        <v>10</v>
      </c>
      <c r="C715" s="218">
        <f t="shared" si="134"/>
        <v>1</v>
      </c>
      <c r="D715" s="208">
        <f>IF(MOD(COUNT($D$10:D714),6)=0,D714+1,D714)</f>
        <v>118</v>
      </c>
      <c r="E715" s="208">
        <f>IF(MOD(COUNT($E$10:E714),3)=0,E714+1,E714)</f>
        <v>236</v>
      </c>
      <c r="F715" s="208">
        <f>IF(MOD(COUNT($F$10:F714),1)=0,F714+1,F714)</f>
        <v>706</v>
      </c>
      <c r="G715" s="204">
        <f>IFERROR(IF(C715=1,VLOOKUP(A715,Output!$A$27:$AB$137,28,FALSE)/AnnuityMode,0),0)</f>
        <v>0</v>
      </c>
      <c r="H715" s="220">
        <f>IFERROR(IF(AND(MIN(A715&gt;25,Age+A715&gt;=85),B715=12),VLOOKUP(A715,Output!$A$27:$AE$137,31,FALSE),0),0)</f>
        <v>0</v>
      </c>
      <c r="I715" s="221">
        <f>IFERROR(IF(AND(MIN(A715&gt;15,A715+Age&gt;=70),C715=1),VLOOKUP(A715,Output!$A$27:$AF$137,32,FALSE)*VLOOKUP('SV calc_ignore'!A715,Output!$A$27:$AG$137,33,FALSE)/IF(AnnuityMode=2,2,IF(AnnuityMode=4,4,IF(AnnuityMode=12,12,1))),0),0)</f>
        <v>0</v>
      </c>
      <c r="J715" s="227">
        <f t="shared" si="135"/>
        <v>0</v>
      </c>
      <c r="K715" s="213">
        <f t="shared" ref="K715:K778" si="140">IF(OR(K714&gt;$K$8,K714=0),0,K714+1)</f>
        <v>0</v>
      </c>
      <c r="L715" s="209">
        <f t="shared" si="136"/>
        <v>0</v>
      </c>
      <c r="M715" s="214">
        <f t="shared" si="133"/>
        <v>0</v>
      </c>
      <c r="N715" s="211">
        <f t="shared" ref="N715:N778" si="141">M715-L715-G715</f>
        <v>0</v>
      </c>
      <c r="O715" s="194">
        <f t="shared" ref="O715:O778" si="142">MAX($H$10:$H$897)/(1+$K$3)^($Q$5*12-F715)*(A715&lt;=$Q$5)</f>
        <v>0</v>
      </c>
      <c r="P715" s="212">
        <f t="shared" si="137"/>
        <v>0</v>
      </c>
      <c r="Q715">
        <f t="shared" si="132"/>
        <v>0</v>
      </c>
      <c r="X715" s="216">
        <f t="shared" ref="X715:X778" si="143">A715-1</f>
        <v>58</v>
      </c>
      <c r="Y715">
        <f t="shared" si="138"/>
        <v>0</v>
      </c>
    </row>
    <row r="716" spans="1:25" ht="13.5" thickBot="1" x14ac:dyDescent="0.25">
      <c r="A716" s="204">
        <f>IF(MOD(COUNT($A$10:A715),12)=0,A715+1,A715)</f>
        <v>59</v>
      </c>
      <c r="B716" s="218">
        <f t="shared" si="139"/>
        <v>11</v>
      </c>
      <c r="C716" s="218">
        <f t="shared" si="134"/>
        <v>1</v>
      </c>
      <c r="D716" s="208">
        <f>IF(MOD(COUNT($D$10:D715),6)=0,D715+1,D715)</f>
        <v>118</v>
      </c>
      <c r="E716" s="208">
        <f>IF(MOD(COUNT($E$10:E715),3)=0,E715+1,E715)</f>
        <v>236</v>
      </c>
      <c r="F716" s="208">
        <f>IF(MOD(COUNT($F$10:F715),1)=0,F715+1,F715)</f>
        <v>707</v>
      </c>
      <c r="G716" s="204">
        <f>IFERROR(IF(C716=1,VLOOKUP(A716,Output!$A$27:$AB$137,28,FALSE)/AnnuityMode,0),0)</f>
        <v>0</v>
      </c>
      <c r="H716" s="220">
        <f>IFERROR(IF(AND(MIN(A716&gt;25,Age+A716&gt;=85),B716=12),VLOOKUP(A716,Output!$A$27:$AE$137,31,FALSE),0),0)</f>
        <v>0</v>
      </c>
      <c r="I716" s="221">
        <f>IFERROR(IF(AND(MIN(A716&gt;15,A716+Age&gt;=70),C716=1),VLOOKUP(A716,Output!$A$27:$AF$137,32,FALSE)*VLOOKUP('SV calc_ignore'!A716,Output!$A$27:$AG$137,33,FALSE)/IF(AnnuityMode=2,2,IF(AnnuityMode=4,4,IF(AnnuityMode=12,12,1))),0),0)</f>
        <v>0</v>
      </c>
      <c r="J716" s="227">
        <f t="shared" si="135"/>
        <v>0</v>
      </c>
      <c r="K716" s="213">
        <f t="shared" si="140"/>
        <v>0</v>
      </c>
      <c r="L716" s="209">
        <f t="shared" si="136"/>
        <v>0</v>
      </c>
      <c r="M716" s="214">
        <f t="shared" si="133"/>
        <v>0</v>
      </c>
      <c r="N716" s="211">
        <f t="shared" si="141"/>
        <v>0</v>
      </c>
      <c r="O716" s="194">
        <f t="shared" si="142"/>
        <v>0</v>
      </c>
      <c r="P716" s="212">
        <f t="shared" si="137"/>
        <v>0</v>
      </c>
      <c r="Q716">
        <f t="shared" si="132"/>
        <v>0</v>
      </c>
      <c r="X716" s="216">
        <f t="shared" si="143"/>
        <v>58</v>
      </c>
      <c r="Y716">
        <f t="shared" si="138"/>
        <v>0</v>
      </c>
    </row>
    <row r="717" spans="1:25" ht="13.5" thickBot="1" x14ac:dyDescent="0.25">
      <c r="A717" s="204">
        <f>IF(MOD(COUNT($A$10:A716),12)=0,A716+1,A716)</f>
        <v>59</v>
      </c>
      <c r="B717" s="218">
        <f t="shared" si="139"/>
        <v>12</v>
      </c>
      <c r="C717" s="218">
        <f t="shared" si="134"/>
        <v>1</v>
      </c>
      <c r="D717" s="208">
        <f>IF(MOD(COUNT($D$10:D716),6)=0,D716+1,D716)</f>
        <v>118</v>
      </c>
      <c r="E717" s="208">
        <f>IF(MOD(COUNT($E$10:E716),3)=0,E716+1,E716)</f>
        <v>236</v>
      </c>
      <c r="F717" s="208">
        <f>IF(MOD(COUNT($F$10:F716),1)=0,F716+1,F716)</f>
        <v>708</v>
      </c>
      <c r="G717" s="204">
        <f>IFERROR(IF(C717=1,VLOOKUP(A717,Output!$A$27:$AB$137,28,FALSE)/AnnuityMode,0),0)</f>
        <v>0</v>
      </c>
      <c r="H717" s="220">
        <f>IFERROR(IF(AND(MIN(A717&gt;25,Age+A717&gt;=85),B717=12),VLOOKUP(A717,Output!$A$27:$AE$137,31,FALSE),0),0)</f>
        <v>0</v>
      </c>
      <c r="I717" s="221">
        <f>IFERROR(IF(AND(MIN(A717&gt;15,A717+Age&gt;=70),C717=1),VLOOKUP(A717,Output!$A$27:$AF$137,32,FALSE)*VLOOKUP('SV calc_ignore'!A717,Output!$A$27:$AG$137,33,FALSE)/IF(AnnuityMode=2,2,IF(AnnuityMode=4,4,IF(AnnuityMode=12,12,1))),0),0)</f>
        <v>0</v>
      </c>
      <c r="J717" s="227">
        <f t="shared" si="135"/>
        <v>0</v>
      </c>
      <c r="K717" s="213">
        <f t="shared" si="140"/>
        <v>0</v>
      </c>
      <c r="L717" s="209">
        <f t="shared" si="136"/>
        <v>0</v>
      </c>
      <c r="M717" s="214">
        <f t="shared" si="133"/>
        <v>0</v>
      </c>
      <c r="N717" s="211">
        <f t="shared" si="141"/>
        <v>0</v>
      </c>
      <c r="O717" s="194">
        <f t="shared" si="142"/>
        <v>0</v>
      </c>
      <c r="P717" s="212">
        <f t="shared" si="137"/>
        <v>0</v>
      </c>
      <c r="Q717">
        <f t="shared" si="132"/>
        <v>0</v>
      </c>
      <c r="X717" s="216">
        <f t="shared" si="143"/>
        <v>58</v>
      </c>
      <c r="Y717">
        <f t="shared" si="138"/>
        <v>0</v>
      </c>
    </row>
    <row r="718" spans="1:25" ht="13.5" thickBot="1" x14ac:dyDescent="0.25">
      <c r="A718" s="204">
        <f>IF(MOD(COUNT($A$10:A717),12)=0,A717+1,A717)</f>
        <v>60</v>
      </c>
      <c r="B718" s="218">
        <f t="shared" si="139"/>
        <v>1</v>
      </c>
      <c r="C718" s="218">
        <f t="shared" si="134"/>
        <v>1</v>
      </c>
      <c r="D718" s="208">
        <f>IF(MOD(COUNT($D$10:D717),6)=0,D717+1,D717)</f>
        <v>119</v>
      </c>
      <c r="E718" s="208">
        <f>IF(MOD(COUNT($E$10:E717),3)=0,E717+1,E717)</f>
        <v>237</v>
      </c>
      <c r="F718" s="208">
        <f>IF(MOD(COUNT($F$10:F717),1)=0,F717+1,F717)</f>
        <v>709</v>
      </c>
      <c r="G718" s="204">
        <f>IFERROR(IF(C718=1,VLOOKUP(A718,Output!$A$27:$AB$137,28,FALSE)/AnnuityMode,0),0)</f>
        <v>0</v>
      </c>
      <c r="H718" s="220">
        <f>IFERROR(IF(AND(MIN(A718&gt;25,Age+A718&gt;=85),B718=12),VLOOKUP(A718,Output!$A$27:$AE$137,31,FALSE),0),0)</f>
        <v>0</v>
      </c>
      <c r="I718" s="221">
        <f>IFERROR(IF(AND(MIN(A718&gt;15,A718+Age&gt;=70),C718=1),VLOOKUP(A718,Output!$A$27:$AF$137,32,FALSE)*VLOOKUP('SV calc_ignore'!A718,Output!$A$27:$AG$137,33,FALSE)/IF(AnnuityMode=2,2,IF(AnnuityMode=4,4,IF(AnnuityMode=12,12,1))),0),0)</f>
        <v>0</v>
      </c>
      <c r="J718" s="227">
        <f t="shared" si="135"/>
        <v>0</v>
      </c>
      <c r="K718" s="213">
        <f t="shared" si="140"/>
        <v>0</v>
      </c>
      <c r="L718" s="209">
        <f t="shared" si="136"/>
        <v>0</v>
      </c>
      <c r="M718" s="214">
        <f t="shared" si="133"/>
        <v>0</v>
      </c>
      <c r="N718" s="211">
        <f t="shared" si="141"/>
        <v>0</v>
      </c>
      <c r="O718" s="194">
        <f t="shared" si="142"/>
        <v>0</v>
      </c>
      <c r="P718" s="212">
        <f t="shared" si="137"/>
        <v>0</v>
      </c>
      <c r="Q718">
        <f t="shared" si="132"/>
        <v>0</v>
      </c>
      <c r="X718" s="216">
        <f t="shared" si="143"/>
        <v>59</v>
      </c>
      <c r="Y718">
        <f t="shared" si="138"/>
        <v>0</v>
      </c>
    </row>
    <row r="719" spans="1:25" ht="13.5" thickBot="1" x14ac:dyDescent="0.25">
      <c r="A719" s="204">
        <f>IF(MOD(COUNT($A$10:A718),12)=0,A718+1,A718)</f>
        <v>60</v>
      </c>
      <c r="B719" s="218">
        <f t="shared" si="139"/>
        <v>2</v>
      </c>
      <c r="C719" s="218">
        <f t="shared" si="134"/>
        <v>1</v>
      </c>
      <c r="D719" s="208">
        <f>IF(MOD(COUNT($D$10:D718),6)=0,D718+1,D718)</f>
        <v>119</v>
      </c>
      <c r="E719" s="208">
        <f>IF(MOD(COUNT($E$10:E718),3)=0,E718+1,E718)</f>
        <v>237</v>
      </c>
      <c r="F719" s="208">
        <f>IF(MOD(COUNT($F$10:F718),1)=0,F718+1,F718)</f>
        <v>710</v>
      </c>
      <c r="G719" s="204">
        <f>IFERROR(IF(C719=1,VLOOKUP(A719,Output!$A$27:$AB$137,28,FALSE)/AnnuityMode,0),0)</f>
        <v>0</v>
      </c>
      <c r="H719" s="220">
        <f>IFERROR(IF(AND(MIN(A719&gt;25,Age+A719&gt;=85),B719=12),VLOOKUP(A719,Output!$A$27:$AE$137,31,FALSE),0),0)</f>
        <v>0</v>
      </c>
      <c r="I719" s="221">
        <f>IFERROR(IF(AND(MIN(A719&gt;15,A719+Age&gt;=70),C719=1),VLOOKUP(A719,Output!$A$27:$AF$137,32,FALSE)*VLOOKUP('SV calc_ignore'!A719,Output!$A$27:$AG$137,33,FALSE)/IF(AnnuityMode=2,2,IF(AnnuityMode=4,4,IF(AnnuityMode=12,12,1))),0),0)</f>
        <v>0</v>
      </c>
      <c r="J719" s="227">
        <f t="shared" si="135"/>
        <v>0</v>
      </c>
      <c r="K719" s="213">
        <f t="shared" si="140"/>
        <v>0</v>
      </c>
      <c r="L719" s="209">
        <f t="shared" si="136"/>
        <v>0</v>
      </c>
      <c r="M719" s="214">
        <f t="shared" si="133"/>
        <v>0</v>
      </c>
      <c r="N719" s="211">
        <f t="shared" si="141"/>
        <v>0</v>
      </c>
      <c r="O719" s="194">
        <f t="shared" si="142"/>
        <v>0</v>
      </c>
      <c r="P719" s="212">
        <f t="shared" si="137"/>
        <v>0</v>
      </c>
      <c r="Q719">
        <f t="shared" si="132"/>
        <v>0</v>
      </c>
      <c r="X719" s="216">
        <f t="shared" si="143"/>
        <v>59</v>
      </c>
      <c r="Y719">
        <f t="shared" si="138"/>
        <v>0</v>
      </c>
    </row>
    <row r="720" spans="1:25" ht="13.5" thickBot="1" x14ac:dyDescent="0.25">
      <c r="A720" s="204">
        <f>IF(MOD(COUNT($A$10:A719),12)=0,A719+1,A719)</f>
        <v>60</v>
      </c>
      <c r="B720" s="218">
        <f t="shared" si="139"/>
        <v>3</v>
      </c>
      <c r="C720" s="218">
        <f t="shared" si="134"/>
        <v>1</v>
      </c>
      <c r="D720" s="208">
        <f>IF(MOD(COUNT($D$10:D719),6)=0,D719+1,D719)</f>
        <v>119</v>
      </c>
      <c r="E720" s="208">
        <f>IF(MOD(COUNT($E$10:E719),3)=0,E719+1,E719)</f>
        <v>237</v>
      </c>
      <c r="F720" s="208">
        <f>IF(MOD(COUNT($F$10:F719),1)=0,F719+1,F719)</f>
        <v>711</v>
      </c>
      <c r="G720" s="204">
        <f>IFERROR(IF(C720=1,VLOOKUP(A720,Output!$A$27:$AB$137,28,FALSE)/AnnuityMode,0),0)</f>
        <v>0</v>
      </c>
      <c r="H720" s="220">
        <f>IFERROR(IF(AND(MIN(A720&gt;25,Age+A720&gt;=85),B720=12),VLOOKUP(A720,Output!$A$27:$AE$137,31,FALSE),0),0)</f>
        <v>0</v>
      </c>
      <c r="I720" s="221">
        <f>IFERROR(IF(AND(MIN(A720&gt;15,A720+Age&gt;=70),C720=1),VLOOKUP(A720,Output!$A$27:$AF$137,32,FALSE)*VLOOKUP('SV calc_ignore'!A720,Output!$A$27:$AG$137,33,FALSE)/IF(AnnuityMode=2,2,IF(AnnuityMode=4,4,IF(AnnuityMode=12,12,1))),0),0)</f>
        <v>0</v>
      </c>
      <c r="J720" s="227">
        <f t="shared" si="135"/>
        <v>0</v>
      </c>
      <c r="K720" s="213">
        <f t="shared" si="140"/>
        <v>0</v>
      </c>
      <c r="L720" s="209">
        <f t="shared" si="136"/>
        <v>0</v>
      </c>
      <c r="M720" s="214">
        <f t="shared" si="133"/>
        <v>0</v>
      </c>
      <c r="N720" s="211">
        <f t="shared" si="141"/>
        <v>0</v>
      </c>
      <c r="O720" s="194">
        <f t="shared" si="142"/>
        <v>0</v>
      </c>
      <c r="P720" s="212">
        <f t="shared" si="137"/>
        <v>0</v>
      </c>
      <c r="Q720">
        <f t="shared" si="132"/>
        <v>0</v>
      </c>
      <c r="X720" s="216">
        <f t="shared" si="143"/>
        <v>59</v>
      </c>
      <c r="Y720">
        <f t="shared" si="138"/>
        <v>0</v>
      </c>
    </row>
    <row r="721" spans="1:25" ht="13.5" thickBot="1" x14ac:dyDescent="0.25">
      <c r="A721" s="204">
        <f>IF(MOD(COUNT($A$10:A720),12)=0,A720+1,A720)</f>
        <v>60</v>
      </c>
      <c r="B721" s="218">
        <f t="shared" si="139"/>
        <v>4</v>
      </c>
      <c r="C721" s="218">
        <f t="shared" si="134"/>
        <v>1</v>
      </c>
      <c r="D721" s="208">
        <f>IF(MOD(COUNT($D$10:D720),6)=0,D720+1,D720)</f>
        <v>119</v>
      </c>
      <c r="E721" s="208">
        <f>IF(MOD(COUNT($E$10:E720),3)=0,E720+1,E720)</f>
        <v>238</v>
      </c>
      <c r="F721" s="208">
        <f>IF(MOD(COUNT($F$10:F720),1)=0,F720+1,F720)</f>
        <v>712</v>
      </c>
      <c r="G721" s="204">
        <f>IFERROR(IF(C721=1,VLOOKUP(A721,Output!$A$27:$AB$137,28,FALSE)/AnnuityMode,0),0)</f>
        <v>0</v>
      </c>
      <c r="H721" s="220">
        <f>IFERROR(IF(AND(MIN(A721&gt;25,Age+A721&gt;=85),B721=12),VLOOKUP(A721,Output!$A$27:$AE$137,31,FALSE),0),0)</f>
        <v>0</v>
      </c>
      <c r="I721" s="221">
        <f>IFERROR(IF(AND(MIN(A721&gt;15,A721+Age&gt;=70),C721=1),VLOOKUP(A721,Output!$A$27:$AF$137,32,FALSE)*VLOOKUP('SV calc_ignore'!A721,Output!$A$27:$AG$137,33,FALSE)/IF(AnnuityMode=2,2,IF(AnnuityMode=4,4,IF(AnnuityMode=12,12,1))),0),0)</f>
        <v>0</v>
      </c>
      <c r="J721" s="227">
        <f t="shared" si="135"/>
        <v>0</v>
      </c>
      <c r="K721" s="213">
        <f t="shared" si="140"/>
        <v>0</v>
      </c>
      <c r="L721" s="209">
        <f t="shared" si="136"/>
        <v>0</v>
      </c>
      <c r="M721" s="214">
        <f t="shared" si="133"/>
        <v>0</v>
      </c>
      <c r="N721" s="211">
        <f t="shared" si="141"/>
        <v>0</v>
      </c>
      <c r="O721" s="194">
        <f t="shared" si="142"/>
        <v>0</v>
      </c>
      <c r="P721" s="212">
        <f t="shared" si="137"/>
        <v>0</v>
      </c>
      <c r="Q721">
        <f t="shared" si="132"/>
        <v>0</v>
      </c>
      <c r="X721" s="216">
        <f t="shared" si="143"/>
        <v>59</v>
      </c>
      <c r="Y721">
        <f t="shared" si="138"/>
        <v>0</v>
      </c>
    </row>
    <row r="722" spans="1:25" ht="13.5" thickBot="1" x14ac:dyDescent="0.25">
      <c r="A722" s="204">
        <f>IF(MOD(COUNT($A$10:A721),12)=0,A721+1,A721)</f>
        <v>60</v>
      </c>
      <c r="B722" s="218">
        <f t="shared" si="139"/>
        <v>5</v>
      </c>
      <c r="C722" s="218">
        <f t="shared" si="134"/>
        <v>1</v>
      </c>
      <c r="D722" s="208">
        <f>IF(MOD(COUNT($D$10:D721),6)=0,D721+1,D721)</f>
        <v>119</v>
      </c>
      <c r="E722" s="208">
        <f>IF(MOD(COUNT($E$10:E721),3)=0,E721+1,E721)</f>
        <v>238</v>
      </c>
      <c r="F722" s="208">
        <f>IF(MOD(COUNT($F$10:F721),1)=0,F721+1,F721)</f>
        <v>713</v>
      </c>
      <c r="G722" s="204">
        <f>IFERROR(IF(C722=1,VLOOKUP(A722,Output!$A$27:$AB$137,28,FALSE)/AnnuityMode,0),0)</f>
        <v>0</v>
      </c>
      <c r="H722" s="220">
        <f>IFERROR(IF(AND(MIN(A722&gt;25,Age+A722&gt;=85),B722=12),VLOOKUP(A722,Output!$A$27:$AE$137,31,FALSE),0),0)</f>
        <v>0</v>
      </c>
      <c r="I722" s="221">
        <f>IFERROR(IF(AND(MIN(A722&gt;15,A722+Age&gt;=70),C722=1),VLOOKUP(A722,Output!$A$27:$AF$137,32,FALSE)*VLOOKUP('SV calc_ignore'!A722,Output!$A$27:$AG$137,33,FALSE)/IF(AnnuityMode=2,2,IF(AnnuityMode=4,4,IF(AnnuityMode=12,12,1))),0),0)</f>
        <v>0</v>
      </c>
      <c r="J722" s="227">
        <f t="shared" si="135"/>
        <v>0</v>
      </c>
      <c r="K722" s="213">
        <f t="shared" si="140"/>
        <v>0</v>
      </c>
      <c r="L722" s="209">
        <f t="shared" si="136"/>
        <v>0</v>
      </c>
      <c r="M722" s="214">
        <f t="shared" si="133"/>
        <v>0</v>
      </c>
      <c r="N722" s="211">
        <f t="shared" si="141"/>
        <v>0</v>
      </c>
      <c r="O722" s="194">
        <f t="shared" si="142"/>
        <v>0</v>
      </c>
      <c r="P722" s="212">
        <f t="shared" si="137"/>
        <v>0</v>
      </c>
      <c r="Q722">
        <f t="shared" si="132"/>
        <v>0</v>
      </c>
      <c r="X722" s="216">
        <f t="shared" si="143"/>
        <v>59</v>
      </c>
      <c r="Y722">
        <f t="shared" si="138"/>
        <v>0</v>
      </c>
    </row>
    <row r="723" spans="1:25" ht="13.5" thickBot="1" x14ac:dyDescent="0.25">
      <c r="A723" s="204">
        <f>IF(MOD(COUNT($A$10:A722),12)=0,A722+1,A722)</f>
        <v>60</v>
      </c>
      <c r="B723" s="218">
        <f t="shared" si="139"/>
        <v>6</v>
      </c>
      <c r="C723" s="218">
        <f t="shared" si="134"/>
        <v>1</v>
      </c>
      <c r="D723" s="208">
        <f>IF(MOD(COUNT($D$10:D722),6)=0,D722+1,D722)</f>
        <v>119</v>
      </c>
      <c r="E723" s="208">
        <f>IF(MOD(COUNT($E$10:E722),3)=0,E722+1,E722)</f>
        <v>238</v>
      </c>
      <c r="F723" s="208">
        <f>IF(MOD(COUNT($F$10:F722),1)=0,F722+1,F722)</f>
        <v>714</v>
      </c>
      <c r="G723" s="204">
        <f>IFERROR(IF(C723=1,VLOOKUP(A723,Output!$A$27:$AB$137,28,FALSE)/AnnuityMode,0),0)</f>
        <v>0</v>
      </c>
      <c r="H723" s="220">
        <f>IFERROR(IF(AND(MIN(A723&gt;25,Age+A723&gt;=85),B723=12),VLOOKUP(A723,Output!$A$27:$AE$137,31,FALSE),0),0)</f>
        <v>0</v>
      </c>
      <c r="I723" s="221">
        <f>IFERROR(IF(AND(MIN(A723&gt;15,A723+Age&gt;=70),C723=1),VLOOKUP(A723,Output!$A$27:$AF$137,32,FALSE)*VLOOKUP('SV calc_ignore'!A723,Output!$A$27:$AG$137,33,FALSE)/IF(AnnuityMode=2,2,IF(AnnuityMode=4,4,IF(AnnuityMode=12,12,1))),0),0)</f>
        <v>0</v>
      </c>
      <c r="J723" s="227">
        <f t="shared" si="135"/>
        <v>0</v>
      </c>
      <c r="K723" s="213">
        <f t="shared" si="140"/>
        <v>0</v>
      </c>
      <c r="L723" s="209">
        <f t="shared" si="136"/>
        <v>0</v>
      </c>
      <c r="M723" s="214">
        <f t="shared" si="133"/>
        <v>0</v>
      </c>
      <c r="N723" s="211">
        <f t="shared" si="141"/>
        <v>0</v>
      </c>
      <c r="O723" s="194">
        <f t="shared" si="142"/>
        <v>0</v>
      </c>
      <c r="P723" s="212">
        <f t="shared" si="137"/>
        <v>0</v>
      </c>
      <c r="Q723">
        <f t="shared" si="132"/>
        <v>0</v>
      </c>
      <c r="X723" s="216">
        <f t="shared" si="143"/>
        <v>59</v>
      </c>
      <c r="Y723">
        <f t="shared" si="138"/>
        <v>0</v>
      </c>
    </row>
    <row r="724" spans="1:25" ht="13.5" thickBot="1" x14ac:dyDescent="0.25">
      <c r="A724" s="204">
        <f>IF(MOD(COUNT($A$10:A723),12)=0,A723+1,A723)</f>
        <v>60</v>
      </c>
      <c r="B724" s="218">
        <f t="shared" si="139"/>
        <v>7</v>
      </c>
      <c r="C724" s="218">
        <f t="shared" si="134"/>
        <v>1</v>
      </c>
      <c r="D724" s="208">
        <f>IF(MOD(COUNT($D$10:D723),6)=0,D723+1,D723)</f>
        <v>120</v>
      </c>
      <c r="E724" s="208">
        <f>IF(MOD(COUNT($E$10:E723),3)=0,E723+1,E723)</f>
        <v>239</v>
      </c>
      <c r="F724" s="208">
        <f>IF(MOD(COUNT($F$10:F723),1)=0,F723+1,F723)</f>
        <v>715</v>
      </c>
      <c r="G724" s="204">
        <f>IFERROR(IF(C724=1,VLOOKUP(A724,Output!$A$27:$AB$137,28,FALSE)/AnnuityMode,0),0)</f>
        <v>0</v>
      </c>
      <c r="H724" s="220">
        <f>IFERROR(IF(AND(MIN(A724&gt;25,Age+A724&gt;=85),B724=12),VLOOKUP(A724,Output!$A$27:$AE$137,31,FALSE),0),0)</f>
        <v>0</v>
      </c>
      <c r="I724" s="221">
        <f>IFERROR(IF(AND(MIN(A724&gt;15,A724+Age&gt;=70),C724=1),VLOOKUP(A724,Output!$A$27:$AF$137,32,FALSE)*VLOOKUP('SV calc_ignore'!A724,Output!$A$27:$AG$137,33,FALSE)/IF(AnnuityMode=2,2,IF(AnnuityMode=4,4,IF(AnnuityMode=12,12,1))),0),0)</f>
        <v>0</v>
      </c>
      <c r="J724" s="227">
        <f t="shared" si="135"/>
        <v>0</v>
      </c>
      <c r="K724" s="213">
        <f t="shared" si="140"/>
        <v>0</v>
      </c>
      <c r="L724" s="209">
        <f t="shared" si="136"/>
        <v>0</v>
      </c>
      <c r="M724" s="214">
        <f t="shared" si="133"/>
        <v>0</v>
      </c>
      <c r="N724" s="211">
        <f t="shared" si="141"/>
        <v>0</v>
      </c>
      <c r="O724" s="194">
        <f t="shared" si="142"/>
        <v>0</v>
      </c>
      <c r="P724" s="212">
        <f t="shared" si="137"/>
        <v>0</v>
      </c>
      <c r="Q724">
        <f t="shared" si="132"/>
        <v>0</v>
      </c>
      <c r="X724" s="216">
        <f t="shared" si="143"/>
        <v>59</v>
      </c>
      <c r="Y724">
        <f t="shared" si="138"/>
        <v>0</v>
      </c>
    </row>
    <row r="725" spans="1:25" ht="13.5" thickBot="1" x14ac:dyDescent="0.25">
      <c r="A725" s="204">
        <f>IF(MOD(COUNT($A$10:A724),12)=0,A724+1,A724)</f>
        <v>60</v>
      </c>
      <c r="B725" s="218">
        <f t="shared" si="139"/>
        <v>8</v>
      </c>
      <c r="C725" s="218">
        <f t="shared" si="134"/>
        <v>1</v>
      </c>
      <c r="D725" s="208">
        <f>IF(MOD(COUNT($D$10:D724),6)=0,D724+1,D724)</f>
        <v>120</v>
      </c>
      <c r="E725" s="208">
        <f>IF(MOD(COUNT($E$10:E724),3)=0,E724+1,E724)</f>
        <v>239</v>
      </c>
      <c r="F725" s="208">
        <f>IF(MOD(COUNT($F$10:F724),1)=0,F724+1,F724)</f>
        <v>716</v>
      </c>
      <c r="G725" s="204">
        <f>IFERROR(IF(C725=1,VLOOKUP(A725,Output!$A$27:$AB$137,28,FALSE)/AnnuityMode,0),0)</f>
        <v>0</v>
      </c>
      <c r="H725" s="220">
        <f>IFERROR(IF(AND(MIN(A725&gt;25,Age+A725&gt;=85),B725=12),VLOOKUP(A725,Output!$A$27:$AE$137,31,FALSE),0),0)</f>
        <v>0</v>
      </c>
      <c r="I725" s="221">
        <f>IFERROR(IF(AND(MIN(A725&gt;15,A725+Age&gt;=70),C725=1),VLOOKUP(A725,Output!$A$27:$AF$137,32,FALSE)*VLOOKUP('SV calc_ignore'!A725,Output!$A$27:$AG$137,33,FALSE)/IF(AnnuityMode=2,2,IF(AnnuityMode=4,4,IF(AnnuityMode=12,12,1))),0),0)</f>
        <v>0</v>
      </c>
      <c r="J725" s="227">
        <f t="shared" si="135"/>
        <v>0</v>
      </c>
      <c r="K725" s="213">
        <f t="shared" si="140"/>
        <v>0</v>
      </c>
      <c r="L725" s="209">
        <f t="shared" si="136"/>
        <v>0</v>
      </c>
      <c r="M725" s="214">
        <f t="shared" si="133"/>
        <v>0</v>
      </c>
      <c r="N725" s="211">
        <f t="shared" si="141"/>
        <v>0</v>
      </c>
      <c r="O725" s="194">
        <f t="shared" si="142"/>
        <v>0</v>
      </c>
      <c r="P725" s="212">
        <f t="shared" si="137"/>
        <v>0</v>
      </c>
      <c r="Q725">
        <f t="shared" si="132"/>
        <v>0</v>
      </c>
      <c r="X725" s="216">
        <f t="shared" si="143"/>
        <v>59</v>
      </c>
      <c r="Y725">
        <f t="shared" si="138"/>
        <v>0</v>
      </c>
    </row>
    <row r="726" spans="1:25" ht="13.5" thickBot="1" x14ac:dyDescent="0.25">
      <c r="A726" s="204">
        <f>IF(MOD(COUNT($A$10:A725),12)=0,A725+1,A725)</f>
        <v>60</v>
      </c>
      <c r="B726" s="218">
        <f t="shared" si="139"/>
        <v>9</v>
      </c>
      <c r="C726" s="218">
        <f t="shared" si="134"/>
        <v>1</v>
      </c>
      <c r="D726" s="208">
        <f>IF(MOD(COUNT($D$10:D725),6)=0,D725+1,D725)</f>
        <v>120</v>
      </c>
      <c r="E726" s="208">
        <f>IF(MOD(COUNT($E$10:E725),3)=0,E725+1,E725)</f>
        <v>239</v>
      </c>
      <c r="F726" s="208">
        <f>IF(MOD(COUNT($F$10:F725),1)=0,F725+1,F725)</f>
        <v>717</v>
      </c>
      <c r="G726" s="204">
        <f>IFERROR(IF(C726=1,VLOOKUP(A726,Output!$A$27:$AB$137,28,FALSE)/AnnuityMode,0),0)</f>
        <v>0</v>
      </c>
      <c r="H726" s="220">
        <f>IFERROR(IF(AND(MIN(A726&gt;25,Age+A726&gt;=85),B726=12),VLOOKUP(A726,Output!$A$27:$AE$137,31,FALSE),0),0)</f>
        <v>0</v>
      </c>
      <c r="I726" s="221">
        <f>IFERROR(IF(AND(MIN(A726&gt;15,A726+Age&gt;=70),C726=1),VLOOKUP(A726,Output!$A$27:$AF$137,32,FALSE)*VLOOKUP('SV calc_ignore'!A726,Output!$A$27:$AG$137,33,FALSE)/IF(AnnuityMode=2,2,IF(AnnuityMode=4,4,IF(AnnuityMode=12,12,1))),0),0)</f>
        <v>0</v>
      </c>
      <c r="J726" s="227">
        <f t="shared" si="135"/>
        <v>0</v>
      </c>
      <c r="K726" s="213">
        <f t="shared" si="140"/>
        <v>0</v>
      </c>
      <c r="L726" s="209">
        <f t="shared" si="136"/>
        <v>0</v>
      </c>
      <c r="M726" s="214">
        <f t="shared" si="133"/>
        <v>0</v>
      </c>
      <c r="N726" s="211">
        <f t="shared" si="141"/>
        <v>0</v>
      </c>
      <c r="O726" s="194">
        <f t="shared" si="142"/>
        <v>0</v>
      </c>
      <c r="P726" s="212">
        <f t="shared" si="137"/>
        <v>0</v>
      </c>
      <c r="Q726">
        <f t="shared" si="132"/>
        <v>0</v>
      </c>
      <c r="X726" s="216">
        <f t="shared" si="143"/>
        <v>59</v>
      </c>
      <c r="Y726">
        <f t="shared" si="138"/>
        <v>0</v>
      </c>
    </row>
    <row r="727" spans="1:25" ht="13.5" thickBot="1" x14ac:dyDescent="0.25">
      <c r="A727" s="204">
        <f>IF(MOD(COUNT($A$10:A726),12)=0,A726+1,A726)</f>
        <v>60</v>
      </c>
      <c r="B727" s="218">
        <f t="shared" si="139"/>
        <v>10</v>
      </c>
      <c r="C727" s="218">
        <f t="shared" si="134"/>
        <v>1</v>
      </c>
      <c r="D727" s="208">
        <f>IF(MOD(COUNT($D$10:D726),6)=0,D726+1,D726)</f>
        <v>120</v>
      </c>
      <c r="E727" s="208">
        <f>IF(MOD(COUNT($E$10:E726),3)=0,E726+1,E726)</f>
        <v>240</v>
      </c>
      <c r="F727" s="208">
        <f>IF(MOD(COUNT($F$10:F726),1)=0,F726+1,F726)</f>
        <v>718</v>
      </c>
      <c r="G727" s="204">
        <f>IFERROR(IF(C727=1,VLOOKUP(A727,Output!$A$27:$AB$137,28,FALSE)/AnnuityMode,0),0)</f>
        <v>0</v>
      </c>
      <c r="H727" s="220">
        <f>IFERROR(IF(AND(MIN(A727&gt;25,Age+A727&gt;=85),B727=12),VLOOKUP(A727,Output!$A$27:$AE$137,31,FALSE),0),0)</f>
        <v>0</v>
      </c>
      <c r="I727" s="221">
        <f>IFERROR(IF(AND(MIN(A727&gt;15,A727+Age&gt;=70),C727=1),VLOOKUP(A727,Output!$A$27:$AF$137,32,FALSE)*VLOOKUP('SV calc_ignore'!A727,Output!$A$27:$AG$137,33,FALSE)/IF(AnnuityMode=2,2,IF(AnnuityMode=4,4,IF(AnnuityMode=12,12,1))),0),0)</f>
        <v>0</v>
      </c>
      <c r="J727" s="227">
        <f t="shared" si="135"/>
        <v>0</v>
      </c>
      <c r="K727" s="213">
        <f t="shared" si="140"/>
        <v>0</v>
      </c>
      <c r="L727" s="209">
        <f t="shared" si="136"/>
        <v>0</v>
      </c>
      <c r="M727" s="214">
        <f t="shared" si="133"/>
        <v>0</v>
      </c>
      <c r="N727" s="211">
        <f t="shared" si="141"/>
        <v>0</v>
      </c>
      <c r="O727" s="194">
        <f t="shared" si="142"/>
        <v>0</v>
      </c>
      <c r="P727" s="212">
        <f t="shared" si="137"/>
        <v>0</v>
      </c>
      <c r="Q727">
        <f t="shared" si="132"/>
        <v>0</v>
      </c>
      <c r="X727" s="216">
        <f t="shared" si="143"/>
        <v>59</v>
      </c>
      <c r="Y727">
        <f t="shared" si="138"/>
        <v>0</v>
      </c>
    </row>
    <row r="728" spans="1:25" ht="13.5" thickBot="1" x14ac:dyDescent="0.25">
      <c r="A728" s="204">
        <f>IF(MOD(COUNT($A$10:A727),12)=0,A727+1,A727)</f>
        <v>60</v>
      </c>
      <c r="B728" s="218">
        <f t="shared" si="139"/>
        <v>11</v>
      </c>
      <c r="C728" s="218">
        <f t="shared" si="134"/>
        <v>1</v>
      </c>
      <c r="D728" s="208">
        <f>IF(MOD(COUNT($D$10:D727),6)=0,D727+1,D727)</f>
        <v>120</v>
      </c>
      <c r="E728" s="208">
        <f>IF(MOD(COUNT($E$10:E727),3)=0,E727+1,E727)</f>
        <v>240</v>
      </c>
      <c r="F728" s="208">
        <f>IF(MOD(COUNT($F$10:F727),1)=0,F727+1,F727)</f>
        <v>719</v>
      </c>
      <c r="G728" s="204">
        <f>IFERROR(IF(C728=1,VLOOKUP(A728,Output!$A$27:$AB$137,28,FALSE)/AnnuityMode,0),0)</f>
        <v>0</v>
      </c>
      <c r="H728" s="220">
        <f>IFERROR(IF(AND(MIN(A728&gt;25,Age+A728&gt;=85),B728=12),VLOOKUP(A728,Output!$A$27:$AE$137,31,FALSE),0),0)</f>
        <v>0</v>
      </c>
      <c r="I728" s="221">
        <f>IFERROR(IF(AND(MIN(A728&gt;15,A728+Age&gt;=70),C728=1),VLOOKUP(A728,Output!$A$27:$AF$137,32,FALSE)*VLOOKUP('SV calc_ignore'!A728,Output!$A$27:$AG$137,33,FALSE)/IF(AnnuityMode=2,2,IF(AnnuityMode=4,4,IF(AnnuityMode=12,12,1))),0),0)</f>
        <v>0</v>
      </c>
      <c r="J728" s="227">
        <f t="shared" si="135"/>
        <v>0</v>
      </c>
      <c r="K728" s="213">
        <f t="shared" si="140"/>
        <v>0</v>
      </c>
      <c r="L728" s="209">
        <f t="shared" si="136"/>
        <v>0</v>
      </c>
      <c r="M728" s="214">
        <f t="shared" si="133"/>
        <v>0</v>
      </c>
      <c r="N728" s="211">
        <f t="shared" si="141"/>
        <v>0</v>
      </c>
      <c r="O728" s="194">
        <f t="shared" si="142"/>
        <v>0</v>
      </c>
      <c r="P728" s="212">
        <f t="shared" si="137"/>
        <v>0</v>
      </c>
      <c r="Q728">
        <f t="shared" si="132"/>
        <v>0</v>
      </c>
      <c r="X728" s="216">
        <f t="shared" si="143"/>
        <v>59</v>
      </c>
      <c r="Y728">
        <f t="shared" si="138"/>
        <v>0</v>
      </c>
    </row>
    <row r="729" spans="1:25" ht="13.5" thickBot="1" x14ac:dyDescent="0.25">
      <c r="A729" s="204">
        <f>IF(MOD(COUNT($A$10:A728),12)=0,A728+1,A728)</f>
        <v>60</v>
      </c>
      <c r="B729" s="218">
        <f t="shared" si="139"/>
        <v>12</v>
      </c>
      <c r="C729" s="218">
        <f t="shared" si="134"/>
        <v>1</v>
      </c>
      <c r="D729" s="208">
        <f>IF(MOD(COUNT($D$10:D728),6)=0,D728+1,D728)</f>
        <v>120</v>
      </c>
      <c r="E729" s="208">
        <f>IF(MOD(COUNT($E$10:E728),3)=0,E728+1,E728)</f>
        <v>240</v>
      </c>
      <c r="F729" s="208">
        <f>IF(MOD(COUNT($F$10:F728),1)=0,F728+1,F728)</f>
        <v>720</v>
      </c>
      <c r="G729" s="204">
        <f>IFERROR(IF(C729=1,VLOOKUP(A729,Output!$A$27:$AB$137,28,FALSE)/AnnuityMode,0),0)</f>
        <v>0</v>
      </c>
      <c r="H729" s="220">
        <f>IFERROR(IF(AND(MIN(A729&gt;25,Age+A729&gt;=85),B729=12),VLOOKUP(A729,Output!$A$27:$AE$137,31,FALSE),0),0)</f>
        <v>0</v>
      </c>
      <c r="I729" s="221">
        <f>IFERROR(IF(AND(MIN(A729&gt;15,A729+Age&gt;=70),C729=1),VLOOKUP(A729,Output!$A$27:$AF$137,32,FALSE)*VLOOKUP('SV calc_ignore'!A729,Output!$A$27:$AG$137,33,FALSE)/IF(AnnuityMode=2,2,IF(AnnuityMode=4,4,IF(AnnuityMode=12,12,1))),0),0)</f>
        <v>0</v>
      </c>
      <c r="J729" s="227">
        <f>G729+(J730)*(1+$K$3)^(-1)</f>
        <v>0</v>
      </c>
      <c r="K729" s="213">
        <f t="shared" si="140"/>
        <v>0</v>
      </c>
      <c r="L729" s="209">
        <f t="shared" si="136"/>
        <v>0</v>
      </c>
      <c r="M729" s="214">
        <f t="shared" si="133"/>
        <v>0</v>
      </c>
      <c r="N729" s="211">
        <f t="shared" si="141"/>
        <v>0</v>
      </c>
      <c r="O729" s="194">
        <f t="shared" si="142"/>
        <v>0</v>
      </c>
      <c r="P729" s="212">
        <f t="shared" si="137"/>
        <v>0</v>
      </c>
      <c r="Q729">
        <f t="shared" si="132"/>
        <v>0</v>
      </c>
      <c r="X729" s="216">
        <f t="shared" si="143"/>
        <v>59</v>
      </c>
      <c r="Y729">
        <f t="shared" si="138"/>
        <v>0</v>
      </c>
    </row>
    <row r="730" spans="1:25" ht="13.5" thickBot="1" x14ac:dyDescent="0.25">
      <c r="A730" s="204">
        <f>IF(MOD(COUNT($A$10:A729),12)=0,A729+1,A729)</f>
        <v>61</v>
      </c>
      <c r="B730" s="218">
        <f t="shared" si="139"/>
        <v>1</v>
      </c>
      <c r="C730" s="218">
        <f t="shared" si="134"/>
        <v>1</v>
      </c>
      <c r="D730" s="208">
        <f>IF(MOD(COUNT($D$10:D729),6)=0,D729+1,D729)</f>
        <v>121</v>
      </c>
      <c r="E730" s="208">
        <f>IF(MOD(COUNT($E$10:E729),3)=0,E729+1,E729)</f>
        <v>241</v>
      </c>
      <c r="F730" s="208">
        <f>IF(MOD(COUNT($F$10:F729),1)=0,F729+1,F729)</f>
        <v>721</v>
      </c>
      <c r="G730" s="204">
        <f>IFERROR(IF(C730=1,VLOOKUP(A730,Output!$A$27:$AB$137,28,FALSE)/AnnuityMode,0),0)</f>
        <v>0</v>
      </c>
      <c r="H730" s="220">
        <f>IFERROR(IF(AND(MIN(A730&gt;25,Age+A730&gt;=85),B730=12),VLOOKUP(A730,Output!$A$27:$AE$137,31,FALSE),0),0)</f>
        <v>0</v>
      </c>
      <c r="I730" s="221">
        <f>IFERROR(IF(AND(MIN(A730&gt;15,A730+Age&gt;=70),C730=1),VLOOKUP(A730,Output!$A$27:$AF$137,32,FALSE)*VLOOKUP('SV calc_ignore'!A730,Output!$A$27:$AG$137,33,FALSE)/IF(AnnuityMode=2,2,IF(AnnuityMode=4,4,IF(AnnuityMode=12,12,1))),0),0)</f>
        <v>0</v>
      </c>
      <c r="J730" s="227">
        <f t="shared" si="135"/>
        <v>0</v>
      </c>
      <c r="K730" s="213">
        <f t="shared" si="140"/>
        <v>0</v>
      </c>
      <c r="L730" s="209">
        <f t="shared" si="136"/>
        <v>0</v>
      </c>
      <c r="M730" s="214">
        <f t="shared" si="133"/>
        <v>0</v>
      </c>
      <c r="N730" s="211">
        <f t="shared" si="141"/>
        <v>0</v>
      </c>
      <c r="O730" s="194">
        <f t="shared" si="142"/>
        <v>0</v>
      </c>
      <c r="P730" s="212">
        <f t="shared" si="137"/>
        <v>0</v>
      </c>
      <c r="Q730">
        <f t="shared" si="132"/>
        <v>0</v>
      </c>
      <c r="X730" s="216">
        <f t="shared" si="143"/>
        <v>60</v>
      </c>
      <c r="Y730">
        <f t="shared" si="138"/>
        <v>0</v>
      </c>
    </row>
    <row r="731" spans="1:25" ht="13.5" thickBot="1" x14ac:dyDescent="0.25">
      <c r="A731" s="204">
        <f>IF(MOD(COUNT($A$10:A730),12)=0,A730+1,A730)</f>
        <v>61</v>
      </c>
      <c r="B731" s="218">
        <f t="shared" si="139"/>
        <v>2</v>
      </c>
      <c r="C731" s="218">
        <f t="shared" si="134"/>
        <v>1</v>
      </c>
      <c r="D731" s="208">
        <f>IF(MOD(COUNT($D$10:D730),6)=0,D730+1,D730)</f>
        <v>121</v>
      </c>
      <c r="E731" s="208">
        <f>IF(MOD(COUNT($E$10:E730),3)=0,E730+1,E730)</f>
        <v>241</v>
      </c>
      <c r="F731" s="208">
        <f>IF(MOD(COUNT($F$10:F730),1)=0,F730+1,F730)</f>
        <v>722</v>
      </c>
      <c r="G731" s="204">
        <f>IFERROR(IF(C731=1,VLOOKUP(A731,Output!$A$27:$AB$137,28,FALSE)/AnnuityMode,0),0)</f>
        <v>0</v>
      </c>
      <c r="H731" s="220">
        <f>IFERROR(IF(AND(MIN(A731&gt;25,Age+A731&gt;=85),B731=12),VLOOKUP(A731,Output!$A$27:$AE$137,31,FALSE),0),0)</f>
        <v>0</v>
      </c>
      <c r="I731" s="221">
        <f>IFERROR(IF(AND(MIN(A731&gt;15,A731+Age&gt;=70),C731=1),VLOOKUP(A731,Output!$A$27:$AF$137,32,FALSE)*VLOOKUP('SV calc_ignore'!A731,Output!$A$27:$AG$137,33,FALSE)/IF(AnnuityMode=2,2,IF(AnnuityMode=4,4,IF(AnnuityMode=12,12,1))),0),0)</f>
        <v>0</v>
      </c>
      <c r="J731" s="227">
        <f t="shared" si="135"/>
        <v>0</v>
      </c>
      <c r="K731" s="213">
        <f t="shared" si="140"/>
        <v>0</v>
      </c>
      <c r="L731" s="209">
        <f t="shared" si="136"/>
        <v>0</v>
      </c>
      <c r="M731" s="214">
        <f t="shared" si="133"/>
        <v>0</v>
      </c>
      <c r="N731" s="211">
        <f t="shared" si="141"/>
        <v>0</v>
      </c>
      <c r="O731" s="194">
        <f t="shared" si="142"/>
        <v>0</v>
      </c>
      <c r="P731" s="212">
        <f t="shared" si="137"/>
        <v>0</v>
      </c>
      <c r="Q731">
        <f t="shared" si="132"/>
        <v>0</v>
      </c>
      <c r="X731" s="216">
        <f t="shared" si="143"/>
        <v>60</v>
      </c>
      <c r="Y731">
        <f t="shared" si="138"/>
        <v>0</v>
      </c>
    </row>
    <row r="732" spans="1:25" ht="13.5" thickBot="1" x14ac:dyDescent="0.25">
      <c r="A732" s="204">
        <f>IF(MOD(COUNT($A$10:A731),12)=0,A731+1,A731)</f>
        <v>61</v>
      </c>
      <c r="B732" s="218">
        <f t="shared" si="139"/>
        <v>3</v>
      </c>
      <c r="C732" s="218">
        <f t="shared" si="134"/>
        <v>1</v>
      </c>
      <c r="D732" s="208">
        <f>IF(MOD(COUNT($D$10:D731),6)=0,D731+1,D731)</f>
        <v>121</v>
      </c>
      <c r="E732" s="208">
        <f>IF(MOD(COUNT($E$10:E731),3)=0,E731+1,E731)</f>
        <v>241</v>
      </c>
      <c r="F732" s="208">
        <f>IF(MOD(COUNT($F$10:F731),1)=0,F731+1,F731)</f>
        <v>723</v>
      </c>
      <c r="G732" s="204">
        <f>IFERROR(IF(C732=1,VLOOKUP(A732,Output!$A$27:$AB$137,28,FALSE)/AnnuityMode,0),0)</f>
        <v>0</v>
      </c>
      <c r="H732" s="220">
        <f>IFERROR(IF(AND(MIN(A732&gt;25,Age+A732&gt;=85),B732=12),VLOOKUP(A732,Output!$A$27:$AE$137,31,FALSE),0),0)</f>
        <v>0</v>
      </c>
      <c r="I732" s="221">
        <f>IFERROR(IF(AND(MIN(A732&gt;15,A732+Age&gt;=70),C732=1),VLOOKUP(A732,Output!$A$27:$AF$137,32,FALSE)*VLOOKUP('SV calc_ignore'!A732,Output!$A$27:$AG$137,33,FALSE)/IF(AnnuityMode=2,2,IF(AnnuityMode=4,4,IF(AnnuityMode=12,12,1))),0),0)</f>
        <v>0</v>
      </c>
      <c r="J732" s="227">
        <f t="shared" si="135"/>
        <v>0</v>
      </c>
      <c r="K732" s="213">
        <f t="shared" si="140"/>
        <v>0</v>
      </c>
      <c r="L732" s="209">
        <f t="shared" si="136"/>
        <v>0</v>
      </c>
      <c r="M732" s="214">
        <f t="shared" si="133"/>
        <v>0</v>
      </c>
      <c r="N732" s="211">
        <f t="shared" si="141"/>
        <v>0</v>
      </c>
      <c r="O732" s="194">
        <f t="shared" si="142"/>
        <v>0</v>
      </c>
      <c r="P732" s="212">
        <f t="shared" si="137"/>
        <v>0</v>
      </c>
      <c r="Q732">
        <f t="shared" si="132"/>
        <v>0</v>
      </c>
      <c r="X732" s="216">
        <f t="shared" si="143"/>
        <v>60</v>
      </c>
      <c r="Y732">
        <f t="shared" si="138"/>
        <v>0</v>
      </c>
    </row>
    <row r="733" spans="1:25" ht="13.5" thickBot="1" x14ac:dyDescent="0.25">
      <c r="A733" s="204">
        <f>IF(MOD(COUNT($A$10:A732),12)=0,A732+1,A732)</f>
        <v>61</v>
      </c>
      <c r="B733" s="218">
        <f t="shared" si="139"/>
        <v>4</v>
      </c>
      <c r="C733" s="218">
        <f t="shared" si="134"/>
        <v>1</v>
      </c>
      <c r="D733" s="208">
        <f>IF(MOD(COUNT($D$10:D732),6)=0,D732+1,D732)</f>
        <v>121</v>
      </c>
      <c r="E733" s="208">
        <f>IF(MOD(COUNT($E$10:E732),3)=0,E732+1,E732)</f>
        <v>242</v>
      </c>
      <c r="F733" s="208">
        <f>IF(MOD(COUNT($F$10:F732),1)=0,F732+1,F732)</f>
        <v>724</v>
      </c>
      <c r="G733" s="204">
        <f>IFERROR(IF(C733=1,VLOOKUP(A733,Output!$A$27:$AB$137,28,FALSE)/AnnuityMode,0),0)</f>
        <v>0</v>
      </c>
      <c r="H733" s="220">
        <f>IFERROR(IF(AND(MIN(A733&gt;25,Age+A733&gt;=85),B733=12),VLOOKUP(A733,Output!$A$27:$AE$137,31,FALSE),0),0)</f>
        <v>0</v>
      </c>
      <c r="I733" s="221">
        <f>IFERROR(IF(AND(MIN(A733&gt;15,A733+Age&gt;=70),C733=1),VLOOKUP(A733,Output!$A$27:$AF$137,32,FALSE)*VLOOKUP('SV calc_ignore'!A733,Output!$A$27:$AG$137,33,FALSE)/IF(AnnuityMode=2,2,IF(AnnuityMode=4,4,IF(AnnuityMode=12,12,1))),0),0)</f>
        <v>0</v>
      </c>
      <c r="J733" s="227">
        <f t="shared" si="135"/>
        <v>0</v>
      </c>
      <c r="K733" s="213">
        <f t="shared" si="140"/>
        <v>0</v>
      </c>
      <c r="L733" s="209">
        <f t="shared" si="136"/>
        <v>0</v>
      </c>
      <c r="M733" s="214">
        <f t="shared" si="133"/>
        <v>0</v>
      </c>
      <c r="N733" s="211">
        <f t="shared" si="141"/>
        <v>0</v>
      </c>
      <c r="O733" s="194">
        <f t="shared" si="142"/>
        <v>0</v>
      </c>
      <c r="P733" s="212">
        <f t="shared" si="137"/>
        <v>0</v>
      </c>
      <c r="Q733">
        <f t="shared" si="132"/>
        <v>0</v>
      </c>
      <c r="X733" s="216">
        <f t="shared" si="143"/>
        <v>60</v>
      </c>
      <c r="Y733">
        <f t="shared" si="138"/>
        <v>0</v>
      </c>
    </row>
    <row r="734" spans="1:25" ht="13.5" thickBot="1" x14ac:dyDescent="0.25">
      <c r="A734" s="204">
        <f>IF(MOD(COUNT($A$10:A733),12)=0,A733+1,A733)</f>
        <v>61</v>
      </c>
      <c r="B734" s="218">
        <f t="shared" si="139"/>
        <v>5</v>
      </c>
      <c r="C734" s="218">
        <f t="shared" si="134"/>
        <v>1</v>
      </c>
      <c r="D734" s="208">
        <f>IF(MOD(COUNT($D$10:D733),6)=0,D733+1,D733)</f>
        <v>121</v>
      </c>
      <c r="E734" s="208">
        <f>IF(MOD(COUNT($E$10:E733),3)=0,E733+1,E733)</f>
        <v>242</v>
      </c>
      <c r="F734" s="208">
        <f>IF(MOD(COUNT($F$10:F733),1)=0,F733+1,F733)</f>
        <v>725</v>
      </c>
      <c r="G734" s="204">
        <f>IFERROR(IF(C734=1,VLOOKUP(A734,Output!$A$27:$AB$137,28,FALSE)/AnnuityMode,0),0)</f>
        <v>0</v>
      </c>
      <c r="H734" s="220">
        <f>IFERROR(IF(AND(MIN(A734&gt;25,Age+A734&gt;=85),B734=12),VLOOKUP(A734,Output!$A$27:$AE$137,31,FALSE),0),0)</f>
        <v>0</v>
      </c>
      <c r="I734" s="221">
        <f>IFERROR(IF(AND(MIN(A734&gt;15,A734+Age&gt;=70),C734=1),VLOOKUP(A734,Output!$A$27:$AF$137,32,FALSE)*VLOOKUP('SV calc_ignore'!A734,Output!$A$27:$AG$137,33,FALSE)/IF(AnnuityMode=2,2,IF(AnnuityMode=4,4,IF(AnnuityMode=12,12,1))),0),0)</f>
        <v>0</v>
      </c>
      <c r="J734" s="227">
        <f t="shared" si="135"/>
        <v>0</v>
      </c>
      <c r="K734" s="213">
        <f t="shared" si="140"/>
        <v>0</v>
      </c>
      <c r="L734" s="209">
        <f t="shared" si="136"/>
        <v>0</v>
      </c>
      <c r="M734" s="214">
        <f t="shared" si="133"/>
        <v>0</v>
      </c>
      <c r="N734" s="211">
        <f t="shared" si="141"/>
        <v>0</v>
      </c>
      <c r="O734" s="194">
        <f t="shared" si="142"/>
        <v>0</v>
      </c>
      <c r="P734" s="212">
        <f t="shared" si="137"/>
        <v>0</v>
      </c>
      <c r="Q734">
        <f t="shared" si="132"/>
        <v>0</v>
      </c>
      <c r="X734" s="216">
        <f t="shared" si="143"/>
        <v>60</v>
      </c>
      <c r="Y734">
        <f t="shared" si="138"/>
        <v>0</v>
      </c>
    </row>
    <row r="735" spans="1:25" ht="13.5" thickBot="1" x14ac:dyDescent="0.25">
      <c r="A735" s="204">
        <f>IF(MOD(COUNT($A$10:A734),12)=0,A734+1,A734)</f>
        <v>61</v>
      </c>
      <c r="B735" s="218">
        <f t="shared" si="139"/>
        <v>6</v>
      </c>
      <c r="C735" s="218">
        <f t="shared" si="134"/>
        <v>1</v>
      </c>
      <c r="D735" s="208">
        <f>IF(MOD(COUNT($D$10:D734),6)=0,D734+1,D734)</f>
        <v>121</v>
      </c>
      <c r="E735" s="208">
        <f>IF(MOD(COUNT($E$10:E734),3)=0,E734+1,E734)</f>
        <v>242</v>
      </c>
      <c r="F735" s="208">
        <f>IF(MOD(COUNT($F$10:F734),1)=0,F734+1,F734)</f>
        <v>726</v>
      </c>
      <c r="G735" s="204">
        <f>IFERROR(IF(C735=1,VLOOKUP(A735,Output!$A$27:$AB$137,28,FALSE)/AnnuityMode,0),0)</f>
        <v>0</v>
      </c>
      <c r="H735" s="220">
        <f>IFERROR(IF(AND(MIN(A735&gt;25,Age+A735&gt;=85),B735=12),VLOOKUP(A735,Output!$A$27:$AE$137,31,FALSE),0),0)</f>
        <v>0</v>
      </c>
      <c r="I735" s="221">
        <f>IFERROR(IF(AND(MIN(A735&gt;15,A735+Age&gt;=70),C735=1),VLOOKUP(A735,Output!$A$27:$AF$137,32,FALSE)*VLOOKUP('SV calc_ignore'!A735,Output!$A$27:$AG$137,33,FALSE)/IF(AnnuityMode=2,2,IF(AnnuityMode=4,4,IF(AnnuityMode=12,12,1))),0),0)</f>
        <v>0</v>
      </c>
      <c r="J735" s="227">
        <f t="shared" si="135"/>
        <v>0</v>
      </c>
      <c r="K735" s="213">
        <f t="shared" si="140"/>
        <v>0</v>
      </c>
      <c r="L735" s="209">
        <f t="shared" si="136"/>
        <v>0</v>
      </c>
      <c r="M735" s="214">
        <f t="shared" si="133"/>
        <v>0</v>
      </c>
      <c r="N735" s="211">
        <f t="shared" si="141"/>
        <v>0</v>
      </c>
      <c r="O735" s="194">
        <f t="shared" si="142"/>
        <v>0</v>
      </c>
      <c r="P735" s="212">
        <f t="shared" si="137"/>
        <v>0</v>
      </c>
      <c r="Q735">
        <f t="shared" si="132"/>
        <v>0</v>
      </c>
      <c r="X735" s="216">
        <f t="shared" si="143"/>
        <v>60</v>
      </c>
      <c r="Y735">
        <f t="shared" si="138"/>
        <v>0</v>
      </c>
    </row>
    <row r="736" spans="1:25" ht="13.5" thickBot="1" x14ac:dyDescent="0.25">
      <c r="A736" s="204">
        <f>IF(MOD(COUNT($A$10:A735),12)=0,A735+1,A735)</f>
        <v>61</v>
      </c>
      <c r="B736" s="218">
        <f t="shared" si="139"/>
        <v>7</v>
      </c>
      <c r="C736" s="218">
        <f t="shared" si="134"/>
        <v>1</v>
      </c>
      <c r="D736" s="208">
        <f>IF(MOD(COUNT($D$10:D735),6)=0,D735+1,D735)</f>
        <v>122</v>
      </c>
      <c r="E736" s="208">
        <f>IF(MOD(COUNT($E$10:E735),3)=0,E735+1,E735)</f>
        <v>243</v>
      </c>
      <c r="F736" s="208">
        <f>IF(MOD(COUNT($F$10:F735),1)=0,F735+1,F735)</f>
        <v>727</v>
      </c>
      <c r="G736" s="204">
        <f>IFERROR(IF(C736=1,VLOOKUP(A736,Output!$A$27:$AB$137,28,FALSE)/AnnuityMode,0),0)</f>
        <v>0</v>
      </c>
      <c r="H736" s="220">
        <f>IFERROR(IF(AND(MIN(A736&gt;25,Age+A736&gt;=85),B736=12),VLOOKUP(A736,Output!$A$27:$AE$137,31,FALSE),0),0)</f>
        <v>0</v>
      </c>
      <c r="I736" s="221">
        <f>IFERROR(IF(AND(MIN(A736&gt;15,A736+Age&gt;=70),C736=1),VLOOKUP(A736,Output!$A$27:$AF$137,32,FALSE)*VLOOKUP('SV calc_ignore'!A736,Output!$A$27:$AG$137,33,FALSE)/IF(AnnuityMode=2,2,IF(AnnuityMode=4,4,IF(AnnuityMode=12,12,1))),0),0)</f>
        <v>0</v>
      </c>
      <c r="J736" s="227">
        <f t="shared" si="135"/>
        <v>0</v>
      </c>
      <c r="K736" s="213">
        <f t="shared" si="140"/>
        <v>0</v>
      </c>
      <c r="L736" s="209">
        <f t="shared" si="136"/>
        <v>0</v>
      </c>
      <c r="M736" s="214">
        <f t="shared" si="133"/>
        <v>0</v>
      </c>
      <c r="N736" s="211">
        <f t="shared" si="141"/>
        <v>0</v>
      </c>
      <c r="O736" s="194">
        <f t="shared" si="142"/>
        <v>0</v>
      </c>
      <c r="P736" s="212">
        <f t="shared" si="137"/>
        <v>0</v>
      </c>
      <c r="Q736">
        <f t="shared" si="132"/>
        <v>0</v>
      </c>
      <c r="X736" s="216">
        <f t="shared" si="143"/>
        <v>60</v>
      </c>
      <c r="Y736">
        <f t="shared" si="138"/>
        <v>0</v>
      </c>
    </row>
    <row r="737" spans="1:25" ht="13.5" thickBot="1" x14ac:dyDescent="0.25">
      <c r="A737" s="204">
        <f>IF(MOD(COUNT($A$10:A736),12)=0,A736+1,A736)</f>
        <v>61</v>
      </c>
      <c r="B737" s="218">
        <f t="shared" si="139"/>
        <v>8</v>
      </c>
      <c r="C737" s="218">
        <f t="shared" si="134"/>
        <v>1</v>
      </c>
      <c r="D737" s="208">
        <f>IF(MOD(COUNT($D$10:D736),6)=0,D736+1,D736)</f>
        <v>122</v>
      </c>
      <c r="E737" s="208">
        <f>IF(MOD(COUNT($E$10:E736),3)=0,E736+1,E736)</f>
        <v>243</v>
      </c>
      <c r="F737" s="208">
        <f>IF(MOD(COUNT($F$10:F736),1)=0,F736+1,F736)</f>
        <v>728</v>
      </c>
      <c r="G737" s="204">
        <f>IFERROR(IF(C737=1,VLOOKUP(A737,Output!$A$27:$AB$137,28,FALSE)/AnnuityMode,0),0)</f>
        <v>0</v>
      </c>
      <c r="H737" s="220">
        <f>IFERROR(IF(AND(MIN(A737&gt;25,Age+A737&gt;=85),B737=12),VLOOKUP(A737,Output!$A$27:$AE$137,31,FALSE),0),0)</f>
        <v>0</v>
      </c>
      <c r="I737" s="221">
        <f>IFERROR(IF(AND(MIN(A737&gt;15,A737+Age&gt;=70),C737=1),VLOOKUP(A737,Output!$A$27:$AF$137,32,FALSE)*VLOOKUP('SV calc_ignore'!A737,Output!$A$27:$AG$137,33,FALSE)/IF(AnnuityMode=2,2,IF(AnnuityMode=4,4,IF(AnnuityMode=12,12,1))),0),0)</f>
        <v>0</v>
      </c>
      <c r="J737" s="227">
        <f t="shared" si="135"/>
        <v>0</v>
      </c>
      <c r="K737" s="213">
        <f t="shared" si="140"/>
        <v>0</v>
      </c>
      <c r="L737" s="209">
        <f t="shared" si="136"/>
        <v>0</v>
      </c>
      <c r="M737" s="214">
        <f t="shared" si="133"/>
        <v>0</v>
      </c>
      <c r="N737" s="211">
        <f t="shared" si="141"/>
        <v>0</v>
      </c>
      <c r="O737" s="194">
        <f t="shared" si="142"/>
        <v>0</v>
      </c>
      <c r="P737" s="212">
        <f t="shared" si="137"/>
        <v>0</v>
      </c>
      <c r="Q737">
        <f t="shared" si="132"/>
        <v>0</v>
      </c>
      <c r="X737" s="216">
        <f t="shared" si="143"/>
        <v>60</v>
      </c>
      <c r="Y737">
        <f t="shared" si="138"/>
        <v>0</v>
      </c>
    </row>
    <row r="738" spans="1:25" ht="13.5" thickBot="1" x14ac:dyDescent="0.25">
      <c r="A738" s="204">
        <f>IF(MOD(COUNT($A$10:A737),12)=0,A737+1,A737)</f>
        <v>61</v>
      </c>
      <c r="B738" s="218">
        <f t="shared" si="139"/>
        <v>9</v>
      </c>
      <c r="C738" s="218">
        <f t="shared" si="134"/>
        <v>1</v>
      </c>
      <c r="D738" s="208">
        <f>IF(MOD(COUNT($D$10:D737),6)=0,D737+1,D737)</f>
        <v>122</v>
      </c>
      <c r="E738" s="208">
        <f>IF(MOD(COUNT($E$10:E737),3)=0,E737+1,E737)</f>
        <v>243</v>
      </c>
      <c r="F738" s="208">
        <f>IF(MOD(COUNT($F$10:F737),1)=0,F737+1,F737)</f>
        <v>729</v>
      </c>
      <c r="G738" s="204">
        <f>IFERROR(IF(C738=1,VLOOKUP(A738,Output!$A$27:$AB$137,28,FALSE)/AnnuityMode,0),0)</f>
        <v>0</v>
      </c>
      <c r="H738" s="220">
        <f>IFERROR(IF(AND(MIN(A738&gt;25,Age+A738&gt;=85),B738=12),VLOOKUP(A738,Output!$A$27:$AE$137,31,FALSE),0),0)</f>
        <v>0</v>
      </c>
      <c r="I738" s="221">
        <f>IFERROR(IF(AND(MIN(A738&gt;15,A738+Age&gt;=70),C738=1),VLOOKUP(A738,Output!$A$27:$AF$137,32,FALSE)*VLOOKUP('SV calc_ignore'!A738,Output!$A$27:$AG$137,33,FALSE)/IF(AnnuityMode=2,2,IF(AnnuityMode=4,4,IF(AnnuityMode=12,12,1))),0),0)</f>
        <v>0</v>
      </c>
      <c r="J738" s="227">
        <f t="shared" si="135"/>
        <v>0</v>
      </c>
      <c r="K738" s="213">
        <f t="shared" si="140"/>
        <v>0</v>
      </c>
      <c r="L738" s="209">
        <f t="shared" si="136"/>
        <v>0</v>
      </c>
      <c r="M738" s="214">
        <f t="shared" si="133"/>
        <v>0</v>
      </c>
      <c r="N738" s="211">
        <f t="shared" si="141"/>
        <v>0</v>
      </c>
      <c r="O738" s="194">
        <f t="shared" si="142"/>
        <v>0</v>
      </c>
      <c r="P738" s="212">
        <f t="shared" si="137"/>
        <v>0</v>
      </c>
      <c r="Q738">
        <f t="shared" si="132"/>
        <v>0</v>
      </c>
      <c r="X738" s="216">
        <f t="shared" si="143"/>
        <v>60</v>
      </c>
      <c r="Y738">
        <f t="shared" si="138"/>
        <v>0</v>
      </c>
    </row>
    <row r="739" spans="1:25" ht="13.5" thickBot="1" x14ac:dyDescent="0.25">
      <c r="A739" s="204">
        <f>IF(MOD(COUNT($A$10:A738),12)=0,A738+1,A738)</f>
        <v>61</v>
      </c>
      <c r="B739" s="218">
        <f t="shared" si="139"/>
        <v>10</v>
      </c>
      <c r="C739" s="218">
        <f t="shared" si="134"/>
        <v>1</v>
      </c>
      <c r="D739" s="208">
        <f>IF(MOD(COUNT($D$10:D738),6)=0,D738+1,D738)</f>
        <v>122</v>
      </c>
      <c r="E739" s="208">
        <f>IF(MOD(COUNT($E$10:E738),3)=0,E738+1,E738)</f>
        <v>244</v>
      </c>
      <c r="F739" s="208">
        <f>IF(MOD(COUNT($F$10:F738),1)=0,F738+1,F738)</f>
        <v>730</v>
      </c>
      <c r="G739" s="204">
        <f>IFERROR(IF(C739=1,VLOOKUP(A739,Output!$A$27:$AB$137,28,FALSE)/AnnuityMode,0),0)</f>
        <v>0</v>
      </c>
      <c r="H739" s="220">
        <f>IFERROR(IF(AND(MIN(A739&gt;25,Age+A739&gt;=85),B739=12),VLOOKUP(A739,Output!$A$27:$AE$137,31,FALSE),0),0)</f>
        <v>0</v>
      </c>
      <c r="I739" s="221">
        <f>IFERROR(IF(AND(MIN(A739&gt;15,A739+Age&gt;=70),C739=1),VLOOKUP(A739,Output!$A$27:$AF$137,32,FALSE)*VLOOKUP('SV calc_ignore'!A739,Output!$A$27:$AG$137,33,FALSE)/IF(AnnuityMode=2,2,IF(AnnuityMode=4,4,IF(AnnuityMode=12,12,1))),0),0)</f>
        <v>0</v>
      </c>
      <c r="J739" s="227">
        <f t="shared" si="135"/>
        <v>0</v>
      </c>
      <c r="K739" s="213">
        <f t="shared" si="140"/>
        <v>0</v>
      </c>
      <c r="L739" s="209">
        <f t="shared" si="136"/>
        <v>0</v>
      </c>
      <c r="M739" s="214">
        <f t="shared" si="133"/>
        <v>0</v>
      </c>
      <c r="N739" s="211">
        <f t="shared" si="141"/>
        <v>0</v>
      </c>
      <c r="O739" s="194">
        <f t="shared" si="142"/>
        <v>0</v>
      </c>
      <c r="P739" s="212">
        <f t="shared" si="137"/>
        <v>0</v>
      </c>
      <c r="Q739">
        <f t="shared" si="132"/>
        <v>0</v>
      </c>
      <c r="X739" s="216">
        <f t="shared" si="143"/>
        <v>60</v>
      </c>
      <c r="Y739">
        <f t="shared" si="138"/>
        <v>0</v>
      </c>
    </row>
    <row r="740" spans="1:25" ht="13.5" thickBot="1" x14ac:dyDescent="0.25">
      <c r="A740" s="204">
        <f>IF(MOD(COUNT($A$10:A739),12)=0,A739+1,A739)</f>
        <v>61</v>
      </c>
      <c r="B740" s="218">
        <f t="shared" si="139"/>
        <v>11</v>
      </c>
      <c r="C740" s="218">
        <f t="shared" si="134"/>
        <v>1</v>
      </c>
      <c r="D740" s="208">
        <f>IF(MOD(COUNT($D$10:D739),6)=0,D739+1,D739)</f>
        <v>122</v>
      </c>
      <c r="E740" s="208">
        <f>IF(MOD(COUNT($E$10:E739),3)=0,E739+1,E739)</f>
        <v>244</v>
      </c>
      <c r="F740" s="208">
        <f>IF(MOD(COUNT($F$10:F739),1)=0,F739+1,F739)</f>
        <v>731</v>
      </c>
      <c r="G740" s="204">
        <f>IFERROR(IF(C740=1,VLOOKUP(A740,Output!$A$27:$AB$137,28,FALSE)/AnnuityMode,0),0)</f>
        <v>0</v>
      </c>
      <c r="H740" s="220">
        <f>IFERROR(IF(AND(MIN(A740&gt;25,Age+A740&gt;=85),B740=12),VLOOKUP(A740,Output!$A$27:$AE$137,31,FALSE),0),0)</f>
        <v>0</v>
      </c>
      <c r="I740" s="221">
        <f>IFERROR(IF(AND(MIN(A740&gt;15,A740+Age&gt;=70),C740=1),VLOOKUP(A740,Output!$A$27:$AF$137,32,FALSE)*VLOOKUP('SV calc_ignore'!A740,Output!$A$27:$AG$137,33,FALSE)/IF(AnnuityMode=2,2,IF(AnnuityMode=4,4,IF(AnnuityMode=12,12,1))),0),0)</f>
        <v>0</v>
      </c>
      <c r="J740" s="227">
        <f>G740+(J741)*(1+$K$3)^(-1)</f>
        <v>0</v>
      </c>
      <c r="K740" s="213">
        <f t="shared" si="140"/>
        <v>0</v>
      </c>
      <c r="L740" s="209">
        <f t="shared" si="136"/>
        <v>0</v>
      </c>
      <c r="M740" s="214">
        <f t="shared" si="133"/>
        <v>0</v>
      </c>
      <c r="N740" s="211">
        <f t="shared" si="141"/>
        <v>0</v>
      </c>
      <c r="O740" s="194">
        <f t="shared" si="142"/>
        <v>0</v>
      </c>
      <c r="P740" s="212">
        <f t="shared" si="137"/>
        <v>0</v>
      </c>
      <c r="Q740">
        <f t="shared" si="132"/>
        <v>0</v>
      </c>
      <c r="X740" s="216">
        <f t="shared" si="143"/>
        <v>60</v>
      </c>
      <c r="Y740">
        <f t="shared" si="138"/>
        <v>0</v>
      </c>
    </row>
    <row r="741" spans="1:25" s="222" customFormat="1" ht="13.5" thickBot="1" x14ac:dyDescent="0.25">
      <c r="A741" s="224">
        <f>IF(MOD(COUNT($A$10:A740),12)=0,A740+1,A740)</f>
        <v>61</v>
      </c>
      <c r="B741" s="224">
        <f t="shared" si="139"/>
        <v>12</v>
      </c>
      <c r="C741" s="224">
        <f t="shared" si="134"/>
        <v>1</v>
      </c>
      <c r="D741" s="225">
        <f>IF(MOD(COUNT($D$10:D740),6)=0,D740+1,D740)</f>
        <v>122</v>
      </c>
      <c r="E741" s="225">
        <f>IF(MOD(COUNT($E$10:E740),3)=0,E740+1,E740)</f>
        <v>244</v>
      </c>
      <c r="F741" s="225">
        <f>IF(MOD(COUNT($F$10:F740),1)=0,F740+1,F740)</f>
        <v>732</v>
      </c>
      <c r="G741" s="224">
        <f>IFERROR(IF(C741=1,VLOOKUP(A741,Output!$A$27:$AB$137,28,FALSE)/AnnuityMode,0),0)</f>
        <v>0</v>
      </c>
      <c r="H741" s="226">
        <f>IFERROR(IF(AND(MIN(A741&gt;25,Age+A741&gt;=85),B741=12),VLOOKUP(A741,Output!$A$27:$AE$137,31,FALSE),0),0)</f>
        <v>0</v>
      </c>
      <c r="I741" s="221">
        <f>IFERROR(IF(AND(MIN(A741&gt;15,A741+Age&gt;=70),C741=1),VLOOKUP(A741,Output!$A$27:$AF$137,32,FALSE)*VLOOKUP('SV calc_ignore'!A741,Output!$A$27:$AG$137,33,FALSE)/IF(AnnuityMode=2,2,IF(AnnuityMode=4,4,IF(AnnuityMode=12,12,1))),0),0)</f>
        <v>0</v>
      </c>
      <c r="J741" s="227">
        <f>G741+(J742)*(1+$K$3)^(-1)</f>
        <v>0</v>
      </c>
      <c r="K741" s="228">
        <f t="shared" si="140"/>
        <v>0</v>
      </c>
      <c r="L741" s="229">
        <f t="shared" si="136"/>
        <v>0</v>
      </c>
      <c r="M741" s="230">
        <f t="shared" si="133"/>
        <v>0</v>
      </c>
      <c r="N741" s="231">
        <f t="shared" si="141"/>
        <v>0</v>
      </c>
      <c r="O741" s="194">
        <f t="shared" si="142"/>
        <v>0</v>
      </c>
      <c r="P741" s="212">
        <f t="shared" si="137"/>
        <v>0</v>
      </c>
      <c r="Q741">
        <f t="shared" si="132"/>
        <v>0</v>
      </c>
      <c r="R741"/>
      <c r="X741" s="216">
        <f t="shared" si="143"/>
        <v>60</v>
      </c>
      <c r="Y741">
        <f t="shared" si="138"/>
        <v>0</v>
      </c>
    </row>
    <row r="742" spans="1:25" ht="13.5" thickBot="1" x14ac:dyDescent="0.25">
      <c r="A742" s="204">
        <f>IF(MOD(COUNT($A$10:A741),12)=0,A741+1,A741)</f>
        <v>62</v>
      </c>
      <c r="B742" s="218">
        <f t="shared" si="139"/>
        <v>1</v>
      </c>
      <c r="C742" s="218">
        <f t="shared" si="134"/>
        <v>1</v>
      </c>
      <c r="D742" s="208">
        <f>IF(MOD(COUNT($D$10:D741),6)=0,D741+1,D741)</f>
        <v>123</v>
      </c>
      <c r="E742" s="208">
        <f>IF(MOD(COUNT($E$10:E741),3)=0,E741+1,E741)</f>
        <v>245</v>
      </c>
      <c r="F742" s="208">
        <f>IF(MOD(COUNT($F$10:F741),1)=0,F741+1,F741)</f>
        <v>733</v>
      </c>
      <c r="G742" s="204">
        <f>IFERROR(IF(C742=1,VLOOKUP(A742,Output!$A$27:$AB$137,28,FALSE)/AnnuityMode,0),0)</f>
        <v>0</v>
      </c>
      <c r="H742" s="220">
        <f>IFERROR(IF(AND(MIN(A742&gt;25,Age+A742&gt;=85),B742=12),VLOOKUP(A742,Output!$A$27:$AE$137,31,FALSE),0),0)</f>
        <v>0</v>
      </c>
      <c r="I742" s="221">
        <f>IFERROR(IF(AND(MIN(A742&gt;15,A742+Age&gt;=70),C742=1),VLOOKUP(A742,Output!$A$27:$AF$137,32,FALSE)*VLOOKUP('SV calc_ignore'!A742,Output!$A$27:$AG$137,33,FALSE)/IF(AnnuityMode=2,2,IF(AnnuityMode=4,4,IF(AnnuityMode=12,12,1))),0),0)</f>
        <v>0</v>
      </c>
      <c r="J742" s="227">
        <f t="shared" ref="J742:J805" si="144">G742+(J743)*(1+$K$3)^(-1)</f>
        <v>0</v>
      </c>
      <c r="K742" s="213">
        <f t="shared" si="140"/>
        <v>0</v>
      </c>
      <c r="L742" s="209">
        <f t="shared" si="136"/>
        <v>0</v>
      </c>
      <c r="M742" s="214">
        <f t="shared" si="133"/>
        <v>0</v>
      </c>
      <c r="N742" s="211">
        <f t="shared" si="141"/>
        <v>0</v>
      </c>
      <c r="O742" s="194">
        <f t="shared" si="142"/>
        <v>0</v>
      </c>
      <c r="P742" s="212">
        <f t="shared" si="137"/>
        <v>0</v>
      </c>
      <c r="Q742">
        <f t="shared" si="132"/>
        <v>0</v>
      </c>
      <c r="X742" s="216">
        <f t="shared" si="143"/>
        <v>61</v>
      </c>
      <c r="Y742">
        <f t="shared" si="138"/>
        <v>0</v>
      </c>
    </row>
    <row r="743" spans="1:25" ht="13.5" thickBot="1" x14ac:dyDescent="0.25">
      <c r="A743" s="204">
        <f>IF(MOD(COUNT($A$10:A742),12)=0,A742+1,A742)</f>
        <v>62</v>
      </c>
      <c r="B743" s="218">
        <f t="shared" si="139"/>
        <v>2</v>
      </c>
      <c r="C743" s="218">
        <f t="shared" si="134"/>
        <v>1</v>
      </c>
      <c r="D743" s="208">
        <f>IF(MOD(COUNT($D$10:D742),6)=0,D742+1,D742)</f>
        <v>123</v>
      </c>
      <c r="E743" s="208">
        <f>IF(MOD(COUNT($E$10:E742),3)=0,E742+1,E742)</f>
        <v>245</v>
      </c>
      <c r="F743" s="208">
        <f>IF(MOD(COUNT($F$10:F742),1)=0,F742+1,F742)</f>
        <v>734</v>
      </c>
      <c r="G743" s="204">
        <f>IFERROR(IF(C743=1,VLOOKUP(A743,Output!$A$27:$AB$137,28,FALSE)/AnnuityMode,0),0)</f>
        <v>0</v>
      </c>
      <c r="H743" s="220">
        <f>IFERROR(IF(AND(MIN(A743&gt;25,Age+A743&gt;=85),B743=12),VLOOKUP(A743,Output!$A$27:$AE$137,31,FALSE),0),0)</f>
        <v>0</v>
      </c>
      <c r="I743" s="221">
        <f>IFERROR(IF(AND(MIN(A743&gt;15,A743+Age&gt;=70),C743=1),VLOOKUP(A743,Output!$A$27:$AF$137,32,FALSE)*VLOOKUP('SV calc_ignore'!A743,Output!$A$27:$AG$137,33,FALSE)/IF(AnnuityMode=2,2,IF(AnnuityMode=4,4,IF(AnnuityMode=12,12,1))),0),0)</f>
        <v>0</v>
      </c>
      <c r="J743" s="227">
        <f t="shared" si="144"/>
        <v>0</v>
      </c>
      <c r="K743" s="213">
        <f t="shared" si="140"/>
        <v>0</v>
      </c>
      <c r="L743" s="209">
        <f t="shared" si="136"/>
        <v>0</v>
      </c>
      <c r="M743" s="214">
        <f t="shared" si="133"/>
        <v>0</v>
      </c>
      <c r="N743" s="211">
        <f t="shared" si="141"/>
        <v>0</v>
      </c>
      <c r="O743" s="194">
        <f t="shared" si="142"/>
        <v>0</v>
      </c>
      <c r="P743" s="212">
        <f t="shared" si="137"/>
        <v>0</v>
      </c>
      <c r="Q743">
        <f t="shared" si="132"/>
        <v>0</v>
      </c>
      <c r="X743" s="216">
        <f t="shared" si="143"/>
        <v>61</v>
      </c>
      <c r="Y743">
        <f t="shared" si="138"/>
        <v>0</v>
      </c>
    </row>
    <row r="744" spans="1:25" ht="13.5" thickBot="1" x14ac:dyDescent="0.25">
      <c r="A744" s="204">
        <f>IF(MOD(COUNT($A$10:A743),12)=0,A743+1,A743)</f>
        <v>62</v>
      </c>
      <c r="B744" s="218">
        <f t="shared" si="139"/>
        <v>3</v>
      </c>
      <c r="C744" s="218">
        <f t="shared" si="134"/>
        <v>1</v>
      </c>
      <c r="D744" s="208">
        <f>IF(MOD(COUNT($D$10:D743),6)=0,D743+1,D743)</f>
        <v>123</v>
      </c>
      <c r="E744" s="208">
        <f>IF(MOD(COUNT($E$10:E743),3)=0,E743+1,E743)</f>
        <v>245</v>
      </c>
      <c r="F744" s="208">
        <f>IF(MOD(COUNT($F$10:F743),1)=0,F743+1,F743)</f>
        <v>735</v>
      </c>
      <c r="G744" s="204">
        <f>IFERROR(IF(C744=1,VLOOKUP(A744,Output!$A$27:$AB$137,28,FALSE)/AnnuityMode,0),0)</f>
        <v>0</v>
      </c>
      <c r="H744" s="220">
        <f>IFERROR(IF(AND(MIN(A744&gt;25,Age+A744&gt;=85),B744=12),VLOOKUP(A744,Output!$A$27:$AE$137,31,FALSE),0),0)</f>
        <v>0</v>
      </c>
      <c r="I744" s="221">
        <f>IFERROR(IF(AND(MIN(A744&gt;15,A744+Age&gt;=70),C744=1),VLOOKUP(A744,Output!$A$27:$AF$137,32,FALSE)*VLOOKUP('SV calc_ignore'!A744,Output!$A$27:$AG$137,33,FALSE)/IF(AnnuityMode=2,2,IF(AnnuityMode=4,4,IF(AnnuityMode=12,12,1))),0),0)</f>
        <v>0</v>
      </c>
      <c r="J744" s="227">
        <f t="shared" si="144"/>
        <v>0</v>
      </c>
      <c r="K744" s="213">
        <f t="shared" si="140"/>
        <v>0</v>
      </c>
      <c r="L744" s="209">
        <f t="shared" si="136"/>
        <v>0</v>
      </c>
      <c r="M744" s="214">
        <f t="shared" si="133"/>
        <v>0</v>
      </c>
      <c r="N744" s="211">
        <f t="shared" si="141"/>
        <v>0</v>
      </c>
      <c r="O744" s="194">
        <f t="shared" si="142"/>
        <v>0</v>
      </c>
      <c r="P744" s="212">
        <f t="shared" si="137"/>
        <v>0</v>
      </c>
      <c r="Q744">
        <f t="shared" si="132"/>
        <v>0</v>
      </c>
      <c r="X744" s="216">
        <f t="shared" si="143"/>
        <v>61</v>
      </c>
      <c r="Y744">
        <f t="shared" si="138"/>
        <v>0</v>
      </c>
    </row>
    <row r="745" spans="1:25" ht="13.5" thickBot="1" x14ac:dyDescent="0.25">
      <c r="A745" s="204">
        <f>IF(MOD(COUNT($A$10:A744),12)=0,A744+1,A744)</f>
        <v>62</v>
      </c>
      <c r="B745" s="218">
        <f t="shared" si="139"/>
        <v>4</v>
      </c>
      <c r="C745" s="218">
        <f t="shared" si="134"/>
        <v>1</v>
      </c>
      <c r="D745" s="208">
        <f>IF(MOD(COUNT($D$10:D744),6)=0,D744+1,D744)</f>
        <v>123</v>
      </c>
      <c r="E745" s="208">
        <f>IF(MOD(COUNT($E$10:E744),3)=0,E744+1,E744)</f>
        <v>246</v>
      </c>
      <c r="F745" s="208">
        <f>IF(MOD(COUNT($F$10:F744),1)=0,F744+1,F744)</f>
        <v>736</v>
      </c>
      <c r="G745" s="204">
        <f>IFERROR(IF(C745=1,VLOOKUP(A745,Output!$A$27:$AB$137,28,FALSE)/AnnuityMode,0),0)</f>
        <v>0</v>
      </c>
      <c r="H745" s="220">
        <f>IFERROR(IF(AND(MIN(A745&gt;25,Age+A745&gt;=85),B745=12),VLOOKUP(A745,Output!$A$27:$AE$137,31,FALSE),0),0)</f>
        <v>0</v>
      </c>
      <c r="I745" s="221">
        <f>IFERROR(IF(AND(MIN(A745&gt;15,A745+Age&gt;=70),C745=1),VLOOKUP(A745,Output!$A$27:$AF$137,32,FALSE)*VLOOKUP('SV calc_ignore'!A745,Output!$A$27:$AG$137,33,FALSE)/IF(AnnuityMode=2,2,IF(AnnuityMode=4,4,IF(AnnuityMode=12,12,1))),0),0)</f>
        <v>0</v>
      </c>
      <c r="J745" s="227">
        <f t="shared" si="144"/>
        <v>0</v>
      </c>
      <c r="K745" s="213">
        <f t="shared" si="140"/>
        <v>0</v>
      </c>
      <c r="L745" s="209">
        <f t="shared" si="136"/>
        <v>0</v>
      </c>
      <c r="M745" s="214">
        <f t="shared" si="133"/>
        <v>0</v>
      </c>
      <c r="N745" s="211">
        <f t="shared" si="141"/>
        <v>0</v>
      </c>
      <c r="O745" s="194">
        <f t="shared" si="142"/>
        <v>0</v>
      </c>
      <c r="P745" s="212">
        <f t="shared" si="137"/>
        <v>0</v>
      </c>
      <c r="Q745">
        <f t="shared" si="132"/>
        <v>0</v>
      </c>
      <c r="X745" s="216">
        <f t="shared" si="143"/>
        <v>61</v>
      </c>
      <c r="Y745">
        <f t="shared" si="138"/>
        <v>0</v>
      </c>
    </row>
    <row r="746" spans="1:25" ht="13.5" thickBot="1" x14ac:dyDescent="0.25">
      <c r="A746" s="204">
        <f>IF(MOD(COUNT($A$10:A745),12)=0,A745+1,A745)</f>
        <v>62</v>
      </c>
      <c r="B746" s="218">
        <f t="shared" si="139"/>
        <v>5</v>
      </c>
      <c r="C746" s="218">
        <f t="shared" si="134"/>
        <v>1</v>
      </c>
      <c r="D746" s="208">
        <f>IF(MOD(COUNT($D$10:D745),6)=0,D745+1,D745)</f>
        <v>123</v>
      </c>
      <c r="E746" s="208">
        <f>IF(MOD(COUNT($E$10:E745),3)=0,E745+1,E745)</f>
        <v>246</v>
      </c>
      <c r="F746" s="208">
        <f>IF(MOD(COUNT($F$10:F745),1)=0,F745+1,F745)</f>
        <v>737</v>
      </c>
      <c r="G746" s="204">
        <f>IFERROR(IF(C746=1,VLOOKUP(A746,Output!$A$27:$AB$137,28,FALSE)/AnnuityMode,0),0)</f>
        <v>0</v>
      </c>
      <c r="H746" s="220">
        <f>IFERROR(IF(AND(MIN(A746&gt;25,Age+A746&gt;=85),B746=12),VLOOKUP(A746,Output!$A$27:$AE$137,31,FALSE),0),0)</f>
        <v>0</v>
      </c>
      <c r="I746" s="221">
        <f>IFERROR(IF(AND(MIN(A746&gt;15,A746+Age&gt;=70),C746=1),VLOOKUP(A746,Output!$A$27:$AF$137,32,FALSE)*VLOOKUP('SV calc_ignore'!A746,Output!$A$27:$AG$137,33,FALSE)/IF(AnnuityMode=2,2,IF(AnnuityMode=4,4,IF(AnnuityMode=12,12,1))),0),0)</f>
        <v>0</v>
      </c>
      <c r="J746" s="227">
        <f t="shared" si="144"/>
        <v>0</v>
      </c>
      <c r="K746" s="213">
        <f t="shared" si="140"/>
        <v>0</v>
      </c>
      <c r="L746" s="209">
        <f t="shared" si="136"/>
        <v>0</v>
      </c>
      <c r="M746" s="214">
        <f t="shared" si="133"/>
        <v>0</v>
      </c>
      <c r="N746" s="211">
        <f t="shared" si="141"/>
        <v>0</v>
      </c>
      <c r="O746" s="194">
        <f t="shared" si="142"/>
        <v>0</v>
      </c>
      <c r="P746" s="212">
        <f t="shared" si="137"/>
        <v>0</v>
      </c>
      <c r="Q746">
        <f t="shared" ref="Q746:Q809" si="145">(I746+(Q747)*(1+$K$3)^(-1))*(A746&lt;=$W$5)</f>
        <v>0</v>
      </c>
      <c r="X746" s="216">
        <f t="shared" si="143"/>
        <v>61</v>
      </c>
      <c r="Y746">
        <f t="shared" si="138"/>
        <v>0</v>
      </c>
    </row>
    <row r="747" spans="1:25" ht="13.5" thickBot="1" x14ac:dyDescent="0.25">
      <c r="A747" s="204">
        <f>IF(MOD(COUNT($A$10:A746),12)=0,A746+1,A746)</f>
        <v>62</v>
      </c>
      <c r="B747" s="218">
        <f t="shared" si="139"/>
        <v>6</v>
      </c>
      <c r="C747" s="218">
        <f t="shared" si="134"/>
        <v>1</v>
      </c>
      <c r="D747" s="208">
        <f>IF(MOD(COUNT($D$10:D746),6)=0,D746+1,D746)</f>
        <v>123</v>
      </c>
      <c r="E747" s="208">
        <f>IF(MOD(COUNT($E$10:E746),3)=0,E746+1,E746)</f>
        <v>246</v>
      </c>
      <c r="F747" s="208">
        <f>IF(MOD(COUNT($F$10:F746),1)=0,F746+1,F746)</f>
        <v>738</v>
      </c>
      <c r="G747" s="204">
        <f>IFERROR(IF(C747=1,VLOOKUP(A747,Output!$A$27:$AB$137,28,FALSE)/AnnuityMode,0),0)</f>
        <v>0</v>
      </c>
      <c r="H747" s="220">
        <f>IFERROR(IF(AND(MIN(A747&gt;25,Age+A747&gt;=85),B747=12),VLOOKUP(A747,Output!$A$27:$AE$137,31,FALSE),0),0)</f>
        <v>0</v>
      </c>
      <c r="I747" s="221">
        <f>IFERROR(IF(AND(MIN(A747&gt;15,A747+Age&gt;=70),C747=1),VLOOKUP(A747,Output!$A$27:$AF$137,32,FALSE)*VLOOKUP('SV calc_ignore'!A747,Output!$A$27:$AG$137,33,FALSE)/IF(AnnuityMode=2,2,IF(AnnuityMode=4,4,IF(AnnuityMode=12,12,1))),0),0)</f>
        <v>0</v>
      </c>
      <c r="J747" s="227">
        <f t="shared" si="144"/>
        <v>0</v>
      </c>
      <c r="K747" s="213">
        <f t="shared" si="140"/>
        <v>0</v>
      </c>
      <c r="L747" s="209">
        <f t="shared" si="136"/>
        <v>0</v>
      </c>
      <c r="M747" s="214">
        <f t="shared" si="133"/>
        <v>0</v>
      </c>
      <c r="N747" s="211">
        <f t="shared" si="141"/>
        <v>0</v>
      </c>
      <c r="O747" s="194">
        <f t="shared" si="142"/>
        <v>0</v>
      </c>
      <c r="P747" s="212">
        <f t="shared" si="137"/>
        <v>0</v>
      </c>
      <c r="Q747">
        <f t="shared" si="145"/>
        <v>0</v>
      </c>
      <c r="X747" s="216">
        <f t="shared" si="143"/>
        <v>61</v>
      </c>
      <c r="Y747">
        <f t="shared" si="138"/>
        <v>0</v>
      </c>
    </row>
    <row r="748" spans="1:25" ht="13.5" thickBot="1" x14ac:dyDescent="0.25">
      <c r="A748" s="204">
        <f>IF(MOD(COUNT($A$10:A747),12)=0,A747+1,A747)</f>
        <v>62</v>
      </c>
      <c r="B748" s="218">
        <f t="shared" si="139"/>
        <v>7</v>
      </c>
      <c r="C748" s="218">
        <f t="shared" si="134"/>
        <v>1</v>
      </c>
      <c r="D748" s="208">
        <f>IF(MOD(COUNT($D$10:D747),6)=0,D747+1,D747)</f>
        <v>124</v>
      </c>
      <c r="E748" s="208">
        <f>IF(MOD(COUNT($E$10:E747),3)=0,E747+1,E747)</f>
        <v>247</v>
      </c>
      <c r="F748" s="208">
        <f>IF(MOD(COUNT($F$10:F747),1)=0,F747+1,F747)</f>
        <v>739</v>
      </c>
      <c r="G748" s="204">
        <f>IFERROR(IF(C748=1,VLOOKUP(A748,Output!$A$27:$AB$137,28,FALSE)/AnnuityMode,0),0)</f>
        <v>0</v>
      </c>
      <c r="H748" s="220">
        <f>IFERROR(IF(AND(MIN(A748&gt;25,Age+A748&gt;=85),B748=12),VLOOKUP(A748,Output!$A$27:$AE$137,31,FALSE),0),0)</f>
        <v>0</v>
      </c>
      <c r="I748" s="221">
        <f>IFERROR(IF(AND(MIN(A748&gt;15,A748+Age&gt;=70),C748=1),VLOOKUP(A748,Output!$A$27:$AF$137,32,FALSE)*VLOOKUP('SV calc_ignore'!A748,Output!$A$27:$AG$137,33,FALSE)/IF(AnnuityMode=2,2,IF(AnnuityMode=4,4,IF(AnnuityMode=12,12,1))),0),0)</f>
        <v>0</v>
      </c>
      <c r="J748" s="227">
        <f t="shared" si="144"/>
        <v>0</v>
      </c>
      <c r="K748" s="213">
        <f t="shared" si="140"/>
        <v>0</v>
      </c>
      <c r="L748" s="209">
        <f t="shared" si="136"/>
        <v>0</v>
      </c>
      <c r="M748" s="214">
        <f t="shared" si="133"/>
        <v>0</v>
      </c>
      <c r="N748" s="211">
        <f t="shared" si="141"/>
        <v>0</v>
      </c>
      <c r="O748" s="194">
        <f t="shared" si="142"/>
        <v>0</v>
      </c>
      <c r="P748" s="212">
        <f t="shared" si="137"/>
        <v>0</v>
      </c>
      <c r="Q748">
        <f t="shared" si="145"/>
        <v>0</v>
      </c>
      <c r="X748" s="216">
        <f t="shared" si="143"/>
        <v>61</v>
      </c>
      <c r="Y748">
        <f t="shared" si="138"/>
        <v>0</v>
      </c>
    </row>
    <row r="749" spans="1:25" ht="13.5" thickBot="1" x14ac:dyDescent="0.25">
      <c r="A749" s="204">
        <f>IF(MOD(COUNT($A$10:A748),12)=0,A748+1,A748)</f>
        <v>62</v>
      </c>
      <c r="B749" s="218">
        <f t="shared" si="139"/>
        <v>8</v>
      </c>
      <c r="C749" s="218">
        <f t="shared" si="134"/>
        <v>1</v>
      </c>
      <c r="D749" s="208">
        <f>IF(MOD(COUNT($D$10:D748),6)=0,D748+1,D748)</f>
        <v>124</v>
      </c>
      <c r="E749" s="208">
        <f>IF(MOD(COUNT($E$10:E748),3)=0,E748+1,E748)</f>
        <v>247</v>
      </c>
      <c r="F749" s="208">
        <f>IF(MOD(COUNT($F$10:F748),1)=0,F748+1,F748)</f>
        <v>740</v>
      </c>
      <c r="G749" s="204">
        <f>IFERROR(IF(C749=1,VLOOKUP(A749,Output!$A$27:$AB$137,28,FALSE)/AnnuityMode,0),0)</f>
        <v>0</v>
      </c>
      <c r="H749" s="220">
        <f>IFERROR(IF(AND(MIN(A749&gt;25,Age+A749&gt;=85),B749=12),VLOOKUP(A749,Output!$A$27:$AE$137,31,FALSE),0),0)</f>
        <v>0</v>
      </c>
      <c r="I749" s="221">
        <f>IFERROR(IF(AND(MIN(A749&gt;15,A749+Age&gt;=70),C749=1),VLOOKUP(A749,Output!$A$27:$AF$137,32,FALSE)*VLOOKUP('SV calc_ignore'!A749,Output!$A$27:$AG$137,33,FALSE)/IF(AnnuityMode=2,2,IF(AnnuityMode=4,4,IF(AnnuityMode=12,12,1))),0),0)</f>
        <v>0</v>
      </c>
      <c r="J749" s="227">
        <f t="shared" si="144"/>
        <v>0</v>
      </c>
      <c r="K749" s="213">
        <f t="shared" si="140"/>
        <v>0</v>
      </c>
      <c r="L749" s="209">
        <f t="shared" si="136"/>
        <v>0</v>
      </c>
      <c r="M749" s="214">
        <f t="shared" si="133"/>
        <v>0</v>
      </c>
      <c r="N749" s="211">
        <f t="shared" si="141"/>
        <v>0</v>
      </c>
      <c r="O749" s="194">
        <f t="shared" si="142"/>
        <v>0</v>
      </c>
      <c r="P749" s="212">
        <f t="shared" si="137"/>
        <v>0</v>
      </c>
      <c r="Q749">
        <f t="shared" si="145"/>
        <v>0</v>
      </c>
      <c r="X749" s="216">
        <f t="shared" si="143"/>
        <v>61</v>
      </c>
      <c r="Y749">
        <f t="shared" si="138"/>
        <v>0</v>
      </c>
    </row>
    <row r="750" spans="1:25" ht="13.5" thickBot="1" x14ac:dyDescent="0.25">
      <c r="A750" s="204">
        <f>IF(MOD(COUNT($A$10:A749),12)=0,A749+1,A749)</f>
        <v>62</v>
      </c>
      <c r="B750" s="218">
        <f t="shared" si="139"/>
        <v>9</v>
      </c>
      <c r="C750" s="218">
        <f t="shared" si="134"/>
        <v>1</v>
      </c>
      <c r="D750" s="208">
        <f>IF(MOD(COUNT($D$10:D749),6)=0,D749+1,D749)</f>
        <v>124</v>
      </c>
      <c r="E750" s="208">
        <f>IF(MOD(COUNT($E$10:E749),3)=0,E749+1,E749)</f>
        <v>247</v>
      </c>
      <c r="F750" s="208">
        <f>IF(MOD(COUNT($F$10:F749),1)=0,F749+1,F749)</f>
        <v>741</v>
      </c>
      <c r="G750" s="204">
        <f>IFERROR(IF(C750=1,VLOOKUP(A750,Output!$A$27:$AB$137,28,FALSE)/AnnuityMode,0),0)</f>
        <v>0</v>
      </c>
      <c r="H750" s="220">
        <f>IFERROR(IF(AND(MIN(A750&gt;25,Age+A750&gt;=85),B750=12),VLOOKUP(A750,Output!$A$27:$AE$137,31,FALSE),0),0)</f>
        <v>0</v>
      </c>
      <c r="I750" s="221">
        <f>IFERROR(IF(AND(MIN(A750&gt;15,A750+Age&gt;=70),C750=1),VLOOKUP(A750,Output!$A$27:$AF$137,32,FALSE)*VLOOKUP('SV calc_ignore'!A750,Output!$A$27:$AG$137,33,FALSE)/IF(AnnuityMode=2,2,IF(AnnuityMode=4,4,IF(AnnuityMode=12,12,1))),0),0)</f>
        <v>0</v>
      </c>
      <c r="J750" s="227">
        <f t="shared" si="144"/>
        <v>0</v>
      </c>
      <c r="K750" s="213">
        <f t="shared" si="140"/>
        <v>0</v>
      </c>
      <c r="L750" s="209">
        <f t="shared" si="136"/>
        <v>0</v>
      </c>
      <c r="M750" s="214">
        <f t="shared" si="133"/>
        <v>0</v>
      </c>
      <c r="N750" s="211">
        <f t="shared" si="141"/>
        <v>0</v>
      </c>
      <c r="O750" s="194">
        <f t="shared" si="142"/>
        <v>0</v>
      </c>
      <c r="P750" s="212">
        <f t="shared" si="137"/>
        <v>0</v>
      </c>
      <c r="Q750">
        <f t="shared" si="145"/>
        <v>0</v>
      </c>
      <c r="X750" s="216">
        <f t="shared" si="143"/>
        <v>61</v>
      </c>
      <c r="Y750">
        <f t="shared" si="138"/>
        <v>0</v>
      </c>
    </row>
    <row r="751" spans="1:25" ht="13.5" thickBot="1" x14ac:dyDescent="0.25">
      <c r="A751" s="204">
        <f>IF(MOD(COUNT($A$10:A750),12)=0,A750+1,A750)</f>
        <v>62</v>
      </c>
      <c r="B751" s="218">
        <f t="shared" si="139"/>
        <v>10</v>
      </c>
      <c r="C751" s="218">
        <f t="shared" si="134"/>
        <v>1</v>
      </c>
      <c r="D751" s="208">
        <f>IF(MOD(COUNT($D$10:D750),6)=0,D750+1,D750)</f>
        <v>124</v>
      </c>
      <c r="E751" s="208">
        <f>IF(MOD(COUNT($E$10:E750),3)=0,E750+1,E750)</f>
        <v>248</v>
      </c>
      <c r="F751" s="208">
        <f>IF(MOD(COUNT($F$10:F750),1)=0,F750+1,F750)</f>
        <v>742</v>
      </c>
      <c r="G751" s="204">
        <f>IFERROR(IF(C751=1,VLOOKUP(A751,Output!$A$27:$AB$137,28,FALSE)/AnnuityMode,0),0)</f>
        <v>0</v>
      </c>
      <c r="H751" s="220">
        <f>IFERROR(IF(AND(MIN(A751&gt;25,Age+A751&gt;=85),B751=12),VLOOKUP(A751,Output!$A$27:$AE$137,31,FALSE),0),0)</f>
        <v>0</v>
      </c>
      <c r="I751" s="221">
        <f>IFERROR(IF(AND(MIN(A751&gt;15,A751+Age&gt;=70),C751=1),VLOOKUP(A751,Output!$A$27:$AF$137,32,FALSE)*VLOOKUP('SV calc_ignore'!A751,Output!$A$27:$AG$137,33,FALSE)/IF(AnnuityMode=2,2,IF(AnnuityMode=4,4,IF(AnnuityMode=12,12,1))),0),0)</f>
        <v>0</v>
      </c>
      <c r="J751" s="227">
        <f t="shared" si="144"/>
        <v>0</v>
      </c>
      <c r="K751" s="213">
        <f t="shared" si="140"/>
        <v>0</v>
      </c>
      <c r="L751" s="209">
        <f t="shared" si="136"/>
        <v>0</v>
      </c>
      <c r="M751" s="214">
        <f t="shared" si="133"/>
        <v>0</v>
      </c>
      <c r="N751" s="211">
        <f t="shared" si="141"/>
        <v>0</v>
      </c>
      <c r="O751" s="194">
        <f t="shared" si="142"/>
        <v>0</v>
      </c>
      <c r="P751" s="212">
        <f t="shared" si="137"/>
        <v>0</v>
      </c>
      <c r="Q751">
        <f t="shared" si="145"/>
        <v>0</v>
      </c>
      <c r="X751" s="216">
        <f t="shared" si="143"/>
        <v>61</v>
      </c>
      <c r="Y751">
        <f t="shared" si="138"/>
        <v>0</v>
      </c>
    </row>
    <row r="752" spans="1:25" ht="13.5" thickBot="1" x14ac:dyDescent="0.25">
      <c r="A752" s="204">
        <f>IF(MOD(COUNT($A$10:A751),12)=0,A751+1,A751)</f>
        <v>62</v>
      </c>
      <c r="B752" s="218">
        <f t="shared" si="139"/>
        <v>11</v>
      </c>
      <c r="C752" s="218">
        <f t="shared" si="134"/>
        <v>1</v>
      </c>
      <c r="D752" s="208">
        <f>IF(MOD(COUNT($D$10:D751),6)=0,D751+1,D751)</f>
        <v>124</v>
      </c>
      <c r="E752" s="208">
        <f>IF(MOD(COUNT($E$10:E751),3)=0,E751+1,E751)</f>
        <v>248</v>
      </c>
      <c r="F752" s="208">
        <f>IF(MOD(COUNT($F$10:F751),1)=0,F751+1,F751)</f>
        <v>743</v>
      </c>
      <c r="G752" s="204">
        <f>IFERROR(IF(C752=1,VLOOKUP(A752,Output!$A$27:$AB$137,28,FALSE)/AnnuityMode,0),0)</f>
        <v>0</v>
      </c>
      <c r="H752" s="220">
        <f>IFERROR(IF(AND(MIN(A752&gt;25,Age+A752&gt;=85),B752=12),VLOOKUP(A752,Output!$A$27:$AE$137,31,FALSE),0),0)</f>
        <v>0</v>
      </c>
      <c r="I752" s="221">
        <f>IFERROR(IF(AND(MIN(A752&gt;15,A752+Age&gt;=70),C752=1),VLOOKUP(A752,Output!$A$27:$AF$137,32,FALSE)*VLOOKUP('SV calc_ignore'!A752,Output!$A$27:$AG$137,33,FALSE)/IF(AnnuityMode=2,2,IF(AnnuityMode=4,4,IF(AnnuityMode=12,12,1))),0),0)</f>
        <v>0</v>
      </c>
      <c r="J752" s="227">
        <f t="shared" si="144"/>
        <v>0</v>
      </c>
      <c r="K752" s="213">
        <f t="shared" si="140"/>
        <v>0</v>
      </c>
      <c r="L752" s="209">
        <f t="shared" si="136"/>
        <v>0</v>
      </c>
      <c r="M752" s="214">
        <f t="shared" si="133"/>
        <v>0</v>
      </c>
      <c r="N752" s="211">
        <f t="shared" si="141"/>
        <v>0</v>
      </c>
      <c r="O752" s="194">
        <f t="shared" si="142"/>
        <v>0</v>
      </c>
      <c r="P752" s="212">
        <f t="shared" si="137"/>
        <v>0</v>
      </c>
      <c r="Q752">
        <f t="shared" si="145"/>
        <v>0</v>
      </c>
      <c r="X752" s="216">
        <f t="shared" si="143"/>
        <v>61</v>
      </c>
      <c r="Y752">
        <f t="shared" si="138"/>
        <v>0</v>
      </c>
    </row>
    <row r="753" spans="1:25" ht="13.5" thickBot="1" x14ac:dyDescent="0.25">
      <c r="A753" s="204">
        <f>IF(MOD(COUNT($A$10:A752),12)=0,A752+1,A752)</f>
        <v>62</v>
      </c>
      <c r="B753" s="218">
        <f t="shared" si="139"/>
        <v>12</v>
      </c>
      <c r="C753" s="218">
        <f t="shared" si="134"/>
        <v>1</v>
      </c>
      <c r="D753" s="208">
        <f>IF(MOD(COUNT($D$10:D752),6)=0,D752+1,D752)</f>
        <v>124</v>
      </c>
      <c r="E753" s="208">
        <f>IF(MOD(COUNT($E$10:E752),3)=0,E752+1,E752)</f>
        <v>248</v>
      </c>
      <c r="F753" s="208">
        <f>IF(MOD(COUNT($F$10:F752),1)=0,F752+1,F752)</f>
        <v>744</v>
      </c>
      <c r="G753" s="204">
        <f>IFERROR(IF(C753=1,VLOOKUP(A753,Output!$A$27:$AB$137,28,FALSE)/AnnuityMode,0),0)</f>
        <v>0</v>
      </c>
      <c r="H753" s="220">
        <f>IFERROR(IF(AND(MIN(A753&gt;25,Age+A753&gt;=85),B753=12),VLOOKUP(A753,Output!$A$27:$AE$137,31,FALSE),0),0)</f>
        <v>0</v>
      </c>
      <c r="I753" s="221">
        <f>IFERROR(IF(AND(MIN(A753&gt;15,A753+Age&gt;=70),C753=1),VLOOKUP(A753,Output!$A$27:$AF$137,32,FALSE)*VLOOKUP('SV calc_ignore'!A753,Output!$A$27:$AG$137,33,FALSE)/IF(AnnuityMode=2,2,IF(AnnuityMode=4,4,IF(AnnuityMode=12,12,1))),0),0)</f>
        <v>0</v>
      </c>
      <c r="J753" s="227">
        <f t="shared" si="144"/>
        <v>0</v>
      </c>
      <c r="K753" s="213">
        <f t="shared" si="140"/>
        <v>0</v>
      </c>
      <c r="L753" s="209">
        <f t="shared" si="136"/>
        <v>0</v>
      </c>
      <c r="M753" s="214">
        <f t="shared" si="133"/>
        <v>0</v>
      </c>
      <c r="N753" s="211">
        <f t="shared" si="141"/>
        <v>0</v>
      </c>
      <c r="O753" s="194">
        <f t="shared" si="142"/>
        <v>0</v>
      </c>
      <c r="P753" s="212">
        <f t="shared" si="137"/>
        <v>0</v>
      </c>
      <c r="Q753">
        <f t="shared" si="145"/>
        <v>0</v>
      </c>
      <c r="X753" s="216">
        <f t="shared" si="143"/>
        <v>61</v>
      </c>
      <c r="Y753">
        <f t="shared" si="138"/>
        <v>0</v>
      </c>
    </row>
    <row r="754" spans="1:25" ht="13.5" thickBot="1" x14ac:dyDescent="0.25">
      <c r="A754" s="204">
        <f>IF(MOD(COUNT($A$10:A753),12)=0,A753+1,A753)</f>
        <v>63</v>
      </c>
      <c r="B754" s="218">
        <f t="shared" si="139"/>
        <v>1</v>
      </c>
      <c r="C754" s="218">
        <f t="shared" si="134"/>
        <v>1</v>
      </c>
      <c r="D754" s="208">
        <f>IF(MOD(COUNT($D$10:D753),6)=0,D753+1,D753)</f>
        <v>125</v>
      </c>
      <c r="E754" s="208">
        <f>IF(MOD(COUNT($E$10:E753),3)=0,E753+1,E753)</f>
        <v>249</v>
      </c>
      <c r="F754" s="208">
        <f>IF(MOD(COUNT($F$10:F753),1)=0,F753+1,F753)</f>
        <v>745</v>
      </c>
      <c r="G754" s="204">
        <f>IFERROR(IF(C754=1,VLOOKUP(A754,Output!$A$27:$AB$137,28,FALSE)/AnnuityMode,0),0)</f>
        <v>0</v>
      </c>
      <c r="H754" s="220">
        <f>IFERROR(IF(AND(MIN(A754&gt;25,Age+A754&gt;=85),B754=12),VLOOKUP(A754,Output!$A$27:$AE$137,31,FALSE),0),0)</f>
        <v>0</v>
      </c>
      <c r="I754" s="221">
        <f>IFERROR(IF(AND(MIN(A754&gt;15,A754+Age&gt;=70),C754=1),VLOOKUP(A754,Output!$A$27:$AF$137,32,FALSE)*VLOOKUP('SV calc_ignore'!A754,Output!$A$27:$AG$137,33,FALSE)/IF(AnnuityMode=2,2,IF(AnnuityMode=4,4,IF(AnnuityMode=12,12,1))),0),0)</f>
        <v>0</v>
      </c>
      <c r="J754" s="227">
        <f t="shared" si="144"/>
        <v>0</v>
      </c>
      <c r="K754" s="213">
        <f t="shared" si="140"/>
        <v>0</v>
      </c>
      <c r="L754" s="209">
        <f t="shared" si="136"/>
        <v>0</v>
      </c>
      <c r="M754" s="214">
        <f t="shared" si="133"/>
        <v>0</v>
      </c>
      <c r="N754" s="211">
        <f t="shared" si="141"/>
        <v>0</v>
      </c>
      <c r="O754" s="194">
        <f t="shared" si="142"/>
        <v>0</v>
      </c>
      <c r="P754" s="212">
        <f t="shared" si="137"/>
        <v>0</v>
      </c>
      <c r="Q754">
        <f t="shared" si="145"/>
        <v>0</v>
      </c>
      <c r="X754" s="216">
        <f t="shared" si="143"/>
        <v>62</v>
      </c>
      <c r="Y754">
        <f t="shared" si="138"/>
        <v>0</v>
      </c>
    </row>
    <row r="755" spans="1:25" ht="13.5" thickBot="1" x14ac:dyDescent="0.25">
      <c r="A755" s="204">
        <f>IF(MOD(COUNT($A$10:A754),12)=0,A754+1,A754)</f>
        <v>63</v>
      </c>
      <c r="B755" s="218">
        <f t="shared" si="139"/>
        <v>2</v>
      </c>
      <c r="C755" s="218">
        <f t="shared" si="134"/>
        <v>1</v>
      </c>
      <c r="D755" s="208">
        <f>IF(MOD(COUNT($D$10:D754),6)=0,D754+1,D754)</f>
        <v>125</v>
      </c>
      <c r="E755" s="208">
        <f>IF(MOD(COUNT($E$10:E754),3)=0,E754+1,E754)</f>
        <v>249</v>
      </c>
      <c r="F755" s="208">
        <f>IF(MOD(COUNT($F$10:F754),1)=0,F754+1,F754)</f>
        <v>746</v>
      </c>
      <c r="G755" s="204">
        <f>IFERROR(IF(C755=1,VLOOKUP(A755,Output!$A$27:$AB$137,28,FALSE)/AnnuityMode,0),0)</f>
        <v>0</v>
      </c>
      <c r="H755" s="220">
        <f>IFERROR(IF(AND(MIN(A755&gt;25,Age+A755&gt;=85),B755=12),VLOOKUP(A755,Output!$A$27:$AE$137,31,FALSE),0),0)</f>
        <v>0</v>
      </c>
      <c r="I755" s="221">
        <f>IFERROR(IF(AND(MIN(A755&gt;15,A755+Age&gt;=70),C755=1),VLOOKUP(A755,Output!$A$27:$AF$137,32,FALSE)*VLOOKUP('SV calc_ignore'!A755,Output!$A$27:$AG$137,33,FALSE)/IF(AnnuityMode=2,2,IF(AnnuityMode=4,4,IF(AnnuityMode=12,12,1))),0),0)</f>
        <v>0</v>
      </c>
      <c r="J755" s="227">
        <f t="shared" si="144"/>
        <v>0</v>
      </c>
      <c r="K755" s="213">
        <f t="shared" si="140"/>
        <v>0</v>
      </c>
      <c r="L755" s="209">
        <f t="shared" si="136"/>
        <v>0</v>
      </c>
      <c r="M755" s="214">
        <f t="shared" si="133"/>
        <v>0</v>
      </c>
      <c r="N755" s="211">
        <f t="shared" si="141"/>
        <v>0</v>
      </c>
      <c r="O755" s="194">
        <f t="shared" si="142"/>
        <v>0</v>
      </c>
      <c r="P755" s="212">
        <f t="shared" si="137"/>
        <v>0</v>
      </c>
      <c r="Q755">
        <f t="shared" si="145"/>
        <v>0</v>
      </c>
      <c r="X755" s="216">
        <f t="shared" si="143"/>
        <v>62</v>
      </c>
      <c r="Y755">
        <f t="shared" si="138"/>
        <v>0</v>
      </c>
    </row>
    <row r="756" spans="1:25" ht="13.5" thickBot="1" x14ac:dyDescent="0.25">
      <c r="A756" s="204">
        <f>IF(MOD(COUNT($A$10:A755),12)=0,A755+1,A755)</f>
        <v>63</v>
      </c>
      <c r="B756" s="218">
        <f t="shared" si="139"/>
        <v>3</v>
      </c>
      <c r="C756" s="218">
        <f t="shared" si="134"/>
        <v>1</v>
      </c>
      <c r="D756" s="208">
        <f>IF(MOD(COUNT($D$10:D755),6)=0,D755+1,D755)</f>
        <v>125</v>
      </c>
      <c r="E756" s="208">
        <f>IF(MOD(COUNT($E$10:E755),3)=0,E755+1,E755)</f>
        <v>249</v>
      </c>
      <c r="F756" s="208">
        <f>IF(MOD(COUNT($F$10:F755),1)=0,F755+1,F755)</f>
        <v>747</v>
      </c>
      <c r="G756" s="204">
        <f>IFERROR(IF(C756=1,VLOOKUP(A756,Output!$A$27:$AB$137,28,FALSE)/AnnuityMode,0),0)</f>
        <v>0</v>
      </c>
      <c r="H756" s="220">
        <f>IFERROR(IF(AND(MIN(A756&gt;25,Age+A756&gt;=85),B756=12),VLOOKUP(A756,Output!$A$27:$AE$137,31,FALSE),0),0)</f>
        <v>0</v>
      </c>
      <c r="I756" s="221">
        <f>IFERROR(IF(AND(MIN(A756&gt;15,A756+Age&gt;=70),C756=1),VLOOKUP(A756,Output!$A$27:$AF$137,32,FALSE)*VLOOKUP('SV calc_ignore'!A756,Output!$A$27:$AG$137,33,FALSE)/IF(AnnuityMode=2,2,IF(AnnuityMode=4,4,IF(AnnuityMode=12,12,1))),0),0)</f>
        <v>0</v>
      </c>
      <c r="J756" s="227">
        <f t="shared" si="144"/>
        <v>0</v>
      </c>
      <c r="K756" s="213">
        <f t="shared" si="140"/>
        <v>0</v>
      </c>
      <c r="L756" s="209">
        <f t="shared" si="136"/>
        <v>0</v>
      </c>
      <c r="M756" s="214">
        <f t="shared" si="133"/>
        <v>0</v>
      </c>
      <c r="N756" s="211">
        <f t="shared" si="141"/>
        <v>0</v>
      </c>
      <c r="O756" s="194">
        <f t="shared" si="142"/>
        <v>0</v>
      </c>
      <c r="P756" s="212">
        <f t="shared" si="137"/>
        <v>0</v>
      </c>
      <c r="Q756">
        <f t="shared" si="145"/>
        <v>0</v>
      </c>
      <c r="X756" s="216">
        <f t="shared" si="143"/>
        <v>62</v>
      </c>
      <c r="Y756">
        <f t="shared" si="138"/>
        <v>0</v>
      </c>
    </row>
    <row r="757" spans="1:25" ht="13.5" thickBot="1" x14ac:dyDescent="0.25">
      <c r="A757" s="204">
        <f>IF(MOD(COUNT($A$10:A756),12)=0,A756+1,A756)</f>
        <v>63</v>
      </c>
      <c r="B757" s="218">
        <f t="shared" si="139"/>
        <v>4</v>
      </c>
      <c r="C757" s="218">
        <f t="shared" si="134"/>
        <v>1</v>
      </c>
      <c r="D757" s="208">
        <f>IF(MOD(COUNT($D$10:D756),6)=0,D756+1,D756)</f>
        <v>125</v>
      </c>
      <c r="E757" s="208">
        <f>IF(MOD(COUNT($E$10:E756),3)=0,E756+1,E756)</f>
        <v>250</v>
      </c>
      <c r="F757" s="208">
        <f>IF(MOD(COUNT($F$10:F756),1)=0,F756+1,F756)</f>
        <v>748</v>
      </c>
      <c r="G757" s="204">
        <f>IFERROR(IF(C757=1,VLOOKUP(A757,Output!$A$27:$AB$137,28,FALSE)/AnnuityMode,0),0)</f>
        <v>0</v>
      </c>
      <c r="H757" s="220">
        <f>IFERROR(IF(AND(MIN(A757&gt;25,Age+A757&gt;=85),B757=12),VLOOKUP(A757,Output!$A$27:$AE$137,31,FALSE),0),0)</f>
        <v>0</v>
      </c>
      <c r="I757" s="221">
        <f>IFERROR(IF(AND(MIN(A757&gt;15,A757+Age&gt;=70),C757=1),VLOOKUP(A757,Output!$A$27:$AF$137,32,FALSE)*VLOOKUP('SV calc_ignore'!A757,Output!$A$27:$AG$137,33,FALSE)/IF(AnnuityMode=2,2,IF(AnnuityMode=4,4,IF(AnnuityMode=12,12,1))),0),0)</f>
        <v>0</v>
      </c>
      <c r="J757" s="227">
        <f t="shared" si="144"/>
        <v>0</v>
      </c>
      <c r="K757" s="213">
        <f t="shared" si="140"/>
        <v>0</v>
      </c>
      <c r="L757" s="209">
        <f t="shared" si="136"/>
        <v>0</v>
      </c>
      <c r="M757" s="214">
        <f t="shared" si="133"/>
        <v>0</v>
      </c>
      <c r="N757" s="211">
        <f t="shared" si="141"/>
        <v>0</v>
      </c>
      <c r="O757" s="194">
        <f t="shared" si="142"/>
        <v>0</v>
      </c>
      <c r="P757" s="212">
        <f t="shared" si="137"/>
        <v>0</v>
      </c>
      <c r="Q757">
        <f t="shared" si="145"/>
        <v>0</v>
      </c>
      <c r="X757" s="216">
        <f t="shared" si="143"/>
        <v>62</v>
      </c>
      <c r="Y757">
        <f t="shared" si="138"/>
        <v>0</v>
      </c>
    </row>
    <row r="758" spans="1:25" ht="13.5" thickBot="1" x14ac:dyDescent="0.25">
      <c r="A758" s="204">
        <f>IF(MOD(COUNT($A$10:A757),12)=0,A757+1,A757)</f>
        <v>63</v>
      </c>
      <c r="B758" s="218">
        <f t="shared" si="139"/>
        <v>5</v>
      </c>
      <c r="C758" s="218">
        <f t="shared" si="134"/>
        <v>1</v>
      </c>
      <c r="D758" s="208">
        <f>IF(MOD(COUNT($D$10:D757),6)=0,D757+1,D757)</f>
        <v>125</v>
      </c>
      <c r="E758" s="208">
        <f>IF(MOD(COUNT($E$10:E757),3)=0,E757+1,E757)</f>
        <v>250</v>
      </c>
      <c r="F758" s="208">
        <f>IF(MOD(COUNT($F$10:F757),1)=0,F757+1,F757)</f>
        <v>749</v>
      </c>
      <c r="G758" s="204">
        <f>IFERROR(IF(C758=1,VLOOKUP(A758,Output!$A$27:$AB$137,28,FALSE)/AnnuityMode,0),0)</f>
        <v>0</v>
      </c>
      <c r="H758" s="220">
        <f>IFERROR(IF(AND(MIN(A758&gt;25,Age+A758&gt;=85),B758=12),VLOOKUP(A758,Output!$A$27:$AE$137,31,FALSE),0),0)</f>
        <v>0</v>
      </c>
      <c r="I758" s="221">
        <f>IFERROR(IF(AND(MIN(A758&gt;15,A758+Age&gt;=70),C758=1),VLOOKUP(A758,Output!$A$27:$AF$137,32,FALSE)*VLOOKUP('SV calc_ignore'!A758,Output!$A$27:$AG$137,33,FALSE)/IF(AnnuityMode=2,2,IF(AnnuityMode=4,4,IF(AnnuityMode=12,12,1))),0),0)</f>
        <v>0</v>
      </c>
      <c r="J758" s="227">
        <f t="shared" si="144"/>
        <v>0</v>
      </c>
      <c r="K758" s="213">
        <f t="shared" si="140"/>
        <v>0</v>
      </c>
      <c r="L758" s="209">
        <f t="shared" si="136"/>
        <v>0</v>
      </c>
      <c r="M758" s="214">
        <f t="shared" si="133"/>
        <v>0</v>
      </c>
      <c r="N758" s="211">
        <f t="shared" si="141"/>
        <v>0</v>
      </c>
      <c r="O758" s="194">
        <f t="shared" si="142"/>
        <v>0</v>
      </c>
      <c r="P758" s="212">
        <f t="shared" si="137"/>
        <v>0</v>
      </c>
      <c r="Q758">
        <f t="shared" si="145"/>
        <v>0</v>
      </c>
      <c r="X758" s="216">
        <f t="shared" si="143"/>
        <v>62</v>
      </c>
      <c r="Y758">
        <f t="shared" si="138"/>
        <v>0</v>
      </c>
    </row>
    <row r="759" spans="1:25" ht="13.5" thickBot="1" x14ac:dyDescent="0.25">
      <c r="A759" s="204">
        <f>IF(MOD(COUNT($A$10:A758),12)=0,A758+1,A758)</f>
        <v>63</v>
      </c>
      <c r="B759" s="218">
        <f t="shared" si="139"/>
        <v>6</v>
      </c>
      <c r="C759" s="218">
        <f t="shared" si="134"/>
        <v>1</v>
      </c>
      <c r="D759" s="208">
        <f>IF(MOD(COUNT($D$10:D758),6)=0,D758+1,D758)</f>
        <v>125</v>
      </c>
      <c r="E759" s="208">
        <f>IF(MOD(COUNT($E$10:E758),3)=0,E758+1,E758)</f>
        <v>250</v>
      </c>
      <c r="F759" s="208">
        <f>IF(MOD(COUNT($F$10:F758),1)=0,F758+1,F758)</f>
        <v>750</v>
      </c>
      <c r="G759" s="204">
        <f>IFERROR(IF(C759=1,VLOOKUP(A759,Output!$A$27:$AB$137,28,FALSE)/AnnuityMode,0),0)</f>
        <v>0</v>
      </c>
      <c r="H759" s="220">
        <f>IFERROR(IF(AND(MIN(A759&gt;25,Age+A759&gt;=85),B759=12),VLOOKUP(A759,Output!$A$27:$AE$137,31,FALSE),0),0)</f>
        <v>0</v>
      </c>
      <c r="I759" s="221">
        <f>IFERROR(IF(AND(MIN(A759&gt;15,A759+Age&gt;=70),C759=1),VLOOKUP(A759,Output!$A$27:$AF$137,32,FALSE)*VLOOKUP('SV calc_ignore'!A759,Output!$A$27:$AG$137,33,FALSE)/IF(AnnuityMode=2,2,IF(AnnuityMode=4,4,IF(AnnuityMode=12,12,1))),0),0)</f>
        <v>0</v>
      </c>
      <c r="J759" s="227">
        <f t="shared" si="144"/>
        <v>0</v>
      </c>
      <c r="K759" s="213">
        <f t="shared" si="140"/>
        <v>0</v>
      </c>
      <c r="L759" s="209">
        <f t="shared" si="136"/>
        <v>0</v>
      </c>
      <c r="M759" s="214">
        <f t="shared" si="133"/>
        <v>0</v>
      </c>
      <c r="N759" s="211">
        <f t="shared" si="141"/>
        <v>0</v>
      </c>
      <c r="O759" s="194">
        <f t="shared" si="142"/>
        <v>0</v>
      </c>
      <c r="P759" s="212">
        <f t="shared" si="137"/>
        <v>0</v>
      </c>
      <c r="Q759">
        <f t="shared" si="145"/>
        <v>0</v>
      </c>
      <c r="X759" s="216">
        <f t="shared" si="143"/>
        <v>62</v>
      </c>
      <c r="Y759">
        <f t="shared" si="138"/>
        <v>0</v>
      </c>
    </row>
    <row r="760" spans="1:25" ht="13.5" thickBot="1" x14ac:dyDescent="0.25">
      <c r="A760" s="204">
        <f>IF(MOD(COUNT($A$10:A759),12)=0,A759+1,A759)</f>
        <v>63</v>
      </c>
      <c r="B760" s="218">
        <f t="shared" si="139"/>
        <v>7</v>
      </c>
      <c r="C760" s="218">
        <f t="shared" si="134"/>
        <v>1</v>
      </c>
      <c r="D760" s="208">
        <f>IF(MOD(COUNT($D$10:D759),6)=0,D759+1,D759)</f>
        <v>126</v>
      </c>
      <c r="E760" s="208">
        <f>IF(MOD(COUNT($E$10:E759),3)=0,E759+1,E759)</f>
        <v>251</v>
      </c>
      <c r="F760" s="208">
        <f>IF(MOD(COUNT($F$10:F759),1)=0,F759+1,F759)</f>
        <v>751</v>
      </c>
      <c r="G760" s="204">
        <f>IFERROR(IF(C760=1,VLOOKUP(A760,Output!$A$27:$AB$137,28,FALSE)/AnnuityMode,0),0)</f>
        <v>0</v>
      </c>
      <c r="H760" s="220">
        <f>IFERROR(IF(AND(MIN(A760&gt;25,Age+A760&gt;=85),B760=12),VLOOKUP(A760,Output!$A$27:$AE$137,31,FALSE),0),0)</f>
        <v>0</v>
      </c>
      <c r="I760" s="221">
        <f>IFERROR(IF(AND(MIN(A760&gt;15,A760+Age&gt;=70),C760=1),VLOOKUP(A760,Output!$A$27:$AF$137,32,FALSE)*VLOOKUP('SV calc_ignore'!A760,Output!$A$27:$AG$137,33,FALSE)/IF(AnnuityMode=2,2,IF(AnnuityMode=4,4,IF(AnnuityMode=12,12,1))),0),0)</f>
        <v>0</v>
      </c>
      <c r="J760" s="227">
        <f t="shared" si="144"/>
        <v>0</v>
      </c>
      <c r="K760" s="213">
        <f t="shared" si="140"/>
        <v>0</v>
      </c>
      <c r="L760" s="209">
        <f t="shared" si="136"/>
        <v>0</v>
      </c>
      <c r="M760" s="214">
        <f t="shared" si="133"/>
        <v>0</v>
      </c>
      <c r="N760" s="211">
        <f t="shared" si="141"/>
        <v>0</v>
      </c>
      <c r="O760" s="194">
        <f t="shared" si="142"/>
        <v>0</v>
      </c>
      <c r="P760" s="212">
        <f t="shared" si="137"/>
        <v>0</v>
      </c>
      <c r="Q760">
        <f t="shared" si="145"/>
        <v>0</v>
      </c>
      <c r="X760" s="216">
        <f t="shared" si="143"/>
        <v>62</v>
      </c>
      <c r="Y760">
        <f t="shared" si="138"/>
        <v>0</v>
      </c>
    </row>
    <row r="761" spans="1:25" ht="13.5" thickBot="1" x14ac:dyDescent="0.25">
      <c r="A761" s="204">
        <f>IF(MOD(COUNT($A$10:A760),12)=0,A760+1,A760)</f>
        <v>63</v>
      </c>
      <c r="B761" s="218">
        <f t="shared" si="139"/>
        <v>8</v>
      </c>
      <c r="C761" s="218">
        <f t="shared" si="134"/>
        <v>1</v>
      </c>
      <c r="D761" s="208">
        <f>IF(MOD(COUNT($D$10:D760),6)=0,D760+1,D760)</f>
        <v>126</v>
      </c>
      <c r="E761" s="208">
        <f>IF(MOD(COUNT($E$10:E760),3)=0,E760+1,E760)</f>
        <v>251</v>
      </c>
      <c r="F761" s="208">
        <f>IF(MOD(COUNT($F$10:F760),1)=0,F760+1,F760)</f>
        <v>752</v>
      </c>
      <c r="G761" s="204">
        <f>IFERROR(IF(C761=1,VLOOKUP(A761,Output!$A$27:$AB$137,28,FALSE)/AnnuityMode,0),0)</f>
        <v>0</v>
      </c>
      <c r="H761" s="220">
        <f>IFERROR(IF(AND(MIN(A761&gt;25,Age+A761&gt;=85),B761=12),VLOOKUP(A761,Output!$A$27:$AE$137,31,FALSE),0),0)</f>
        <v>0</v>
      </c>
      <c r="I761" s="221">
        <f>IFERROR(IF(AND(MIN(A761&gt;15,A761+Age&gt;=70),C761=1),VLOOKUP(A761,Output!$A$27:$AF$137,32,FALSE)*VLOOKUP('SV calc_ignore'!A761,Output!$A$27:$AG$137,33,FALSE)/IF(AnnuityMode=2,2,IF(AnnuityMode=4,4,IF(AnnuityMode=12,12,1))),0),0)</f>
        <v>0</v>
      </c>
      <c r="J761" s="227">
        <f t="shared" si="144"/>
        <v>0</v>
      </c>
      <c r="K761" s="213">
        <f t="shared" si="140"/>
        <v>0</v>
      </c>
      <c r="L761" s="209">
        <f t="shared" si="136"/>
        <v>0</v>
      </c>
      <c r="M761" s="214">
        <f t="shared" si="133"/>
        <v>0</v>
      </c>
      <c r="N761" s="211">
        <f t="shared" si="141"/>
        <v>0</v>
      </c>
      <c r="O761" s="194">
        <f t="shared" si="142"/>
        <v>0</v>
      </c>
      <c r="P761" s="212">
        <f t="shared" si="137"/>
        <v>0</v>
      </c>
      <c r="Q761">
        <f t="shared" si="145"/>
        <v>0</v>
      </c>
      <c r="X761" s="216">
        <f t="shared" si="143"/>
        <v>62</v>
      </c>
      <c r="Y761">
        <f t="shared" si="138"/>
        <v>0</v>
      </c>
    </row>
    <row r="762" spans="1:25" ht="13.5" thickBot="1" x14ac:dyDescent="0.25">
      <c r="A762" s="204">
        <f>IF(MOD(COUNT($A$10:A761),12)=0,A761+1,A761)</f>
        <v>63</v>
      </c>
      <c r="B762" s="218">
        <f t="shared" si="139"/>
        <v>9</v>
      </c>
      <c r="C762" s="218">
        <f t="shared" si="134"/>
        <v>1</v>
      </c>
      <c r="D762" s="208">
        <f>IF(MOD(COUNT($D$10:D761),6)=0,D761+1,D761)</f>
        <v>126</v>
      </c>
      <c r="E762" s="208">
        <f>IF(MOD(COUNT($E$10:E761),3)=0,E761+1,E761)</f>
        <v>251</v>
      </c>
      <c r="F762" s="208">
        <f>IF(MOD(COUNT($F$10:F761),1)=0,F761+1,F761)</f>
        <v>753</v>
      </c>
      <c r="G762" s="204">
        <f>IFERROR(IF(C762=1,VLOOKUP(A762,Output!$A$27:$AB$137,28,FALSE)/AnnuityMode,0),0)</f>
        <v>0</v>
      </c>
      <c r="H762" s="220">
        <f>IFERROR(IF(AND(MIN(A762&gt;25,Age+A762&gt;=85),B762=12),VLOOKUP(A762,Output!$A$27:$AE$137,31,FALSE),0),0)</f>
        <v>0</v>
      </c>
      <c r="I762" s="221">
        <f>IFERROR(IF(AND(MIN(A762&gt;15,A762+Age&gt;=70),C762=1),VLOOKUP(A762,Output!$A$27:$AF$137,32,FALSE)*VLOOKUP('SV calc_ignore'!A762,Output!$A$27:$AG$137,33,FALSE)/IF(AnnuityMode=2,2,IF(AnnuityMode=4,4,IF(AnnuityMode=12,12,1))),0),0)</f>
        <v>0</v>
      </c>
      <c r="J762" s="227">
        <f t="shared" si="144"/>
        <v>0</v>
      </c>
      <c r="K762" s="213">
        <f t="shared" si="140"/>
        <v>0</v>
      </c>
      <c r="L762" s="209">
        <f t="shared" si="136"/>
        <v>0</v>
      </c>
      <c r="M762" s="214">
        <f t="shared" si="133"/>
        <v>0</v>
      </c>
      <c r="N762" s="211">
        <f t="shared" si="141"/>
        <v>0</v>
      </c>
      <c r="O762" s="194">
        <f t="shared" si="142"/>
        <v>0</v>
      </c>
      <c r="P762" s="212">
        <f t="shared" si="137"/>
        <v>0</v>
      </c>
      <c r="Q762">
        <f t="shared" si="145"/>
        <v>0</v>
      </c>
      <c r="X762" s="216">
        <f t="shared" si="143"/>
        <v>62</v>
      </c>
      <c r="Y762">
        <f t="shared" si="138"/>
        <v>0</v>
      </c>
    </row>
    <row r="763" spans="1:25" ht="13.5" thickBot="1" x14ac:dyDescent="0.25">
      <c r="A763" s="204">
        <f>IF(MOD(COUNT($A$10:A762),12)=0,A762+1,A762)</f>
        <v>63</v>
      </c>
      <c r="B763" s="218">
        <f t="shared" si="139"/>
        <v>10</v>
      </c>
      <c r="C763" s="218">
        <f t="shared" si="134"/>
        <v>1</v>
      </c>
      <c r="D763" s="208">
        <f>IF(MOD(COUNT($D$10:D762),6)=0,D762+1,D762)</f>
        <v>126</v>
      </c>
      <c r="E763" s="208">
        <f>IF(MOD(COUNT($E$10:E762),3)=0,E762+1,E762)</f>
        <v>252</v>
      </c>
      <c r="F763" s="208">
        <f>IF(MOD(COUNT($F$10:F762),1)=0,F762+1,F762)</f>
        <v>754</v>
      </c>
      <c r="G763" s="204">
        <f>IFERROR(IF(C763=1,VLOOKUP(A763,Output!$A$27:$AB$137,28,FALSE)/AnnuityMode,0),0)</f>
        <v>0</v>
      </c>
      <c r="H763" s="220">
        <f>IFERROR(IF(AND(MIN(A763&gt;25,Age+A763&gt;=85),B763=12),VLOOKUP(A763,Output!$A$27:$AE$137,31,FALSE),0),0)</f>
        <v>0</v>
      </c>
      <c r="I763" s="221">
        <f>IFERROR(IF(AND(MIN(A763&gt;15,A763+Age&gt;=70),C763=1),VLOOKUP(A763,Output!$A$27:$AF$137,32,FALSE)*VLOOKUP('SV calc_ignore'!A763,Output!$A$27:$AG$137,33,FALSE)/IF(AnnuityMode=2,2,IF(AnnuityMode=4,4,IF(AnnuityMode=12,12,1))),0),0)</f>
        <v>0</v>
      </c>
      <c r="J763" s="227">
        <f t="shared" si="144"/>
        <v>0</v>
      </c>
      <c r="K763" s="213">
        <f t="shared" si="140"/>
        <v>0</v>
      </c>
      <c r="L763" s="209">
        <f t="shared" si="136"/>
        <v>0</v>
      </c>
      <c r="M763" s="214">
        <f t="shared" si="133"/>
        <v>0</v>
      </c>
      <c r="N763" s="211">
        <f t="shared" si="141"/>
        <v>0</v>
      </c>
      <c r="O763" s="194">
        <f t="shared" si="142"/>
        <v>0</v>
      </c>
      <c r="P763" s="212">
        <f t="shared" si="137"/>
        <v>0</v>
      </c>
      <c r="Q763">
        <f t="shared" si="145"/>
        <v>0</v>
      </c>
      <c r="X763" s="216">
        <f t="shared" si="143"/>
        <v>62</v>
      </c>
      <c r="Y763">
        <f t="shared" si="138"/>
        <v>0</v>
      </c>
    </row>
    <row r="764" spans="1:25" ht="13.5" thickBot="1" x14ac:dyDescent="0.25">
      <c r="A764" s="204">
        <f>IF(MOD(COUNT($A$10:A763),12)=0,A763+1,A763)</f>
        <v>63</v>
      </c>
      <c r="B764" s="218">
        <f t="shared" si="139"/>
        <v>11</v>
      </c>
      <c r="C764" s="218">
        <f t="shared" si="134"/>
        <v>1</v>
      </c>
      <c r="D764" s="208">
        <f>IF(MOD(COUNT($D$10:D763),6)=0,D763+1,D763)</f>
        <v>126</v>
      </c>
      <c r="E764" s="208">
        <f>IF(MOD(COUNT($E$10:E763),3)=0,E763+1,E763)</f>
        <v>252</v>
      </c>
      <c r="F764" s="208">
        <f>IF(MOD(COUNT($F$10:F763),1)=0,F763+1,F763)</f>
        <v>755</v>
      </c>
      <c r="G764" s="204">
        <f>IFERROR(IF(C764=1,VLOOKUP(A764,Output!$A$27:$AB$137,28,FALSE)/AnnuityMode,0),0)</f>
        <v>0</v>
      </c>
      <c r="H764" s="220">
        <f>IFERROR(IF(AND(MIN(A764&gt;25,Age+A764&gt;=85),B764=12),VLOOKUP(A764,Output!$A$27:$AE$137,31,FALSE),0),0)</f>
        <v>0</v>
      </c>
      <c r="I764" s="221">
        <f>IFERROR(IF(AND(MIN(A764&gt;15,A764+Age&gt;=70),C764=1),VLOOKUP(A764,Output!$A$27:$AF$137,32,FALSE)*VLOOKUP('SV calc_ignore'!A764,Output!$A$27:$AG$137,33,FALSE)/IF(AnnuityMode=2,2,IF(AnnuityMode=4,4,IF(AnnuityMode=12,12,1))),0),0)</f>
        <v>0</v>
      </c>
      <c r="J764" s="227">
        <f t="shared" si="144"/>
        <v>0</v>
      </c>
      <c r="K764" s="213">
        <f t="shared" si="140"/>
        <v>0</v>
      </c>
      <c r="L764" s="209">
        <f t="shared" si="136"/>
        <v>0</v>
      </c>
      <c r="M764" s="214">
        <f t="shared" si="133"/>
        <v>0</v>
      </c>
      <c r="N764" s="211">
        <f t="shared" si="141"/>
        <v>0</v>
      </c>
      <c r="O764" s="194">
        <f t="shared" si="142"/>
        <v>0</v>
      </c>
      <c r="P764" s="212">
        <f t="shared" si="137"/>
        <v>0</v>
      </c>
      <c r="Q764">
        <f t="shared" si="145"/>
        <v>0</v>
      </c>
      <c r="X764" s="216">
        <f t="shared" si="143"/>
        <v>62</v>
      </c>
      <c r="Y764">
        <f t="shared" si="138"/>
        <v>0</v>
      </c>
    </row>
    <row r="765" spans="1:25" ht="13.5" thickBot="1" x14ac:dyDescent="0.25">
      <c r="A765" s="204">
        <f>IF(MOD(COUNT($A$10:A764),12)=0,A764+1,A764)</f>
        <v>63</v>
      </c>
      <c r="B765" s="218">
        <f t="shared" si="139"/>
        <v>12</v>
      </c>
      <c r="C765" s="218">
        <f t="shared" si="134"/>
        <v>1</v>
      </c>
      <c r="D765" s="208">
        <f>IF(MOD(COUNT($D$10:D764),6)=0,D764+1,D764)</f>
        <v>126</v>
      </c>
      <c r="E765" s="208">
        <f>IF(MOD(COUNT($E$10:E764),3)=0,E764+1,E764)</f>
        <v>252</v>
      </c>
      <c r="F765" s="208">
        <f>IF(MOD(COUNT($F$10:F764),1)=0,F764+1,F764)</f>
        <v>756</v>
      </c>
      <c r="G765" s="204">
        <f>IFERROR(IF(C765=1,VLOOKUP(A765,Output!$A$27:$AB$137,28,FALSE)/AnnuityMode,0),0)</f>
        <v>0</v>
      </c>
      <c r="H765" s="220">
        <f>IFERROR(IF(AND(MIN(A765&gt;25,Age+A765&gt;=85),B765=12),VLOOKUP(A765,Output!$A$27:$AE$137,31,FALSE),0),0)</f>
        <v>0</v>
      </c>
      <c r="I765" s="221">
        <f>IFERROR(IF(AND(MIN(A765&gt;15,A765+Age&gt;=70),C765=1),VLOOKUP(A765,Output!$A$27:$AF$137,32,FALSE)*VLOOKUP('SV calc_ignore'!A765,Output!$A$27:$AG$137,33,FALSE)/IF(AnnuityMode=2,2,IF(AnnuityMode=4,4,IF(AnnuityMode=12,12,1))),0),0)</f>
        <v>0</v>
      </c>
      <c r="J765" s="227">
        <f t="shared" si="144"/>
        <v>0</v>
      </c>
      <c r="K765" s="213">
        <f t="shared" si="140"/>
        <v>0</v>
      </c>
      <c r="L765" s="209">
        <f t="shared" si="136"/>
        <v>0</v>
      </c>
      <c r="M765" s="214">
        <f t="shared" si="133"/>
        <v>0</v>
      </c>
      <c r="N765" s="211">
        <f t="shared" si="141"/>
        <v>0</v>
      </c>
      <c r="O765" s="194">
        <f t="shared" si="142"/>
        <v>0</v>
      </c>
      <c r="P765" s="212">
        <f t="shared" si="137"/>
        <v>0</v>
      </c>
      <c r="Q765">
        <f t="shared" si="145"/>
        <v>0</v>
      </c>
      <c r="X765" s="216">
        <f t="shared" si="143"/>
        <v>62</v>
      </c>
      <c r="Y765">
        <f t="shared" si="138"/>
        <v>0</v>
      </c>
    </row>
    <row r="766" spans="1:25" ht="13.5" thickBot="1" x14ac:dyDescent="0.25">
      <c r="A766" s="204">
        <f>IF(MOD(COUNT($A$10:A765),12)=0,A765+1,A765)</f>
        <v>64</v>
      </c>
      <c r="B766" s="218">
        <f t="shared" si="139"/>
        <v>1</v>
      </c>
      <c r="C766" s="218">
        <f t="shared" si="134"/>
        <v>1</v>
      </c>
      <c r="D766" s="208">
        <f>IF(MOD(COUNT($D$10:D765),6)=0,D765+1,D765)</f>
        <v>127</v>
      </c>
      <c r="E766" s="208">
        <f>IF(MOD(COUNT($E$10:E765),3)=0,E765+1,E765)</f>
        <v>253</v>
      </c>
      <c r="F766" s="208">
        <f>IF(MOD(COUNT($F$10:F765),1)=0,F765+1,F765)</f>
        <v>757</v>
      </c>
      <c r="G766" s="204">
        <f>IFERROR(IF(C766=1,VLOOKUP(A766,Output!$A$27:$AB$137,28,FALSE)/AnnuityMode,0),0)</f>
        <v>0</v>
      </c>
      <c r="H766" s="220">
        <f>IFERROR(IF(AND(MIN(A766&gt;25,Age+A766&gt;=85),B766=12),VLOOKUP(A766,Output!$A$27:$AE$137,31,FALSE),0),0)</f>
        <v>0</v>
      </c>
      <c r="I766" s="221">
        <f>IFERROR(IF(AND(MIN(A766&gt;15,A766+Age&gt;=70),C766=1),VLOOKUP(A766,Output!$A$27:$AF$137,32,FALSE)*VLOOKUP('SV calc_ignore'!A766,Output!$A$27:$AG$137,33,FALSE)/IF(AnnuityMode=2,2,IF(AnnuityMode=4,4,IF(AnnuityMode=12,12,1))),0),0)</f>
        <v>0</v>
      </c>
      <c r="J766" s="227">
        <f t="shared" si="144"/>
        <v>0</v>
      </c>
      <c r="K766" s="213">
        <f t="shared" si="140"/>
        <v>0</v>
      </c>
      <c r="L766" s="209">
        <f t="shared" si="136"/>
        <v>0</v>
      </c>
      <c r="M766" s="214">
        <f t="shared" ref="M766:M829" si="146">L765*(1+$K$3)</f>
        <v>0</v>
      </c>
      <c r="N766" s="211">
        <f t="shared" si="141"/>
        <v>0</v>
      </c>
      <c r="O766" s="194">
        <f t="shared" si="142"/>
        <v>0</v>
      </c>
      <c r="P766" s="212">
        <f t="shared" si="137"/>
        <v>0</v>
      </c>
      <c r="Q766">
        <f t="shared" si="145"/>
        <v>0</v>
      </c>
      <c r="X766" s="216">
        <f t="shared" si="143"/>
        <v>63</v>
      </c>
      <c r="Y766">
        <f t="shared" si="138"/>
        <v>0</v>
      </c>
    </row>
    <row r="767" spans="1:25" ht="13.5" thickBot="1" x14ac:dyDescent="0.25">
      <c r="A767" s="204">
        <f>IF(MOD(COUNT($A$10:A766),12)=0,A766+1,A766)</f>
        <v>64</v>
      </c>
      <c r="B767" s="218">
        <f t="shared" si="139"/>
        <v>2</v>
      </c>
      <c r="C767" s="218">
        <f t="shared" si="134"/>
        <v>1</v>
      </c>
      <c r="D767" s="208">
        <f>IF(MOD(COUNT($D$10:D766),6)=0,D766+1,D766)</f>
        <v>127</v>
      </c>
      <c r="E767" s="208">
        <f>IF(MOD(COUNT($E$10:E766),3)=0,E766+1,E766)</f>
        <v>253</v>
      </c>
      <c r="F767" s="208">
        <f>IF(MOD(COUNT($F$10:F766),1)=0,F766+1,F766)</f>
        <v>758</v>
      </c>
      <c r="G767" s="204">
        <f>IFERROR(IF(C767=1,VLOOKUP(A767,Output!$A$27:$AB$137,28,FALSE)/AnnuityMode,0),0)</f>
        <v>0</v>
      </c>
      <c r="H767" s="220">
        <f>IFERROR(IF(AND(MIN(A767&gt;25,Age+A767&gt;=85),B767=12),VLOOKUP(A767,Output!$A$27:$AE$137,31,FALSE),0),0)</f>
        <v>0</v>
      </c>
      <c r="I767" s="221">
        <f>IFERROR(IF(AND(MIN(A767&gt;15,A767+Age&gt;=70),C767=1),VLOOKUP(A767,Output!$A$27:$AF$137,32,FALSE)*VLOOKUP('SV calc_ignore'!A767,Output!$A$27:$AG$137,33,FALSE)/IF(AnnuityMode=2,2,IF(AnnuityMode=4,4,IF(AnnuityMode=12,12,1))),0),0)</f>
        <v>0</v>
      </c>
      <c r="J767" s="227">
        <f t="shared" si="144"/>
        <v>0</v>
      </c>
      <c r="K767" s="213">
        <f t="shared" si="140"/>
        <v>0</v>
      </c>
      <c r="L767" s="209">
        <f t="shared" si="136"/>
        <v>0</v>
      </c>
      <c r="M767" s="214">
        <f t="shared" si="146"/>
        <v>0</v>
      </c>
      <c r="N767" s="211">
        <f t="shared" si="141"/>
        <v>0</v>
      </c>
      <c r="O767" s="194">
        <f t="shared" si="142"/>
        <v>0</v>
      </c>
      <c r="P767" s="212">
        <f t="shared" si="137"/>
        <v>0</v>
      </c>
      <c r="Q767">
        <f t="shared" si="145"/>
        <v>0</v>
      </c>
      <c r="X767" s="216">
        <f t="shared" si="143"/>
        <v>63</v>
      </c>
      <c r="Y767">
        <f t="shared" si="138"/>
        <v>0</v>
      </c>
    </row>
    <row r="768" spans="1:25" ht="13.5" thickBot="1" x14ac:dyDescent="0.25">
      <c r="A768" s="204">
        <f>IF(MOD(COUNT($A$10:A767),12)=0,A767+1,A767)</f>
        <v>64</v>
      </c>
      <c r="B768" s="218">
        <f t="shared" si="139"/>
        <v>3</v>
      </c>
      <c r="C768" s="218">
        <f t="shared" si="134"/>
        <v>1</v>
      </c>
      <c r="D768" s="208">
        <f>IF(MOD(COUNT($D$10:D767),6)=0,D767+1,D767)</f>
        <v>127</v>
      </c>
      <c r="E768" s="208">
        <f>IF(MOD(COUNT($E$10:E767),3)=0,E767+1,E767)</f>
        <v>253</v>
      </c>
      <c r="F768" s="208">
        <f>IF(MOD(COUNT($F$10:F767),1)=0,F767+1,F767)</f>
        <v>759</v>
      </c>
      <c r="G768" s="204">
        <f>IFERROR(IF(C768=1,VLOOKUP(A768,Output!$A$27:$AB$137,28,FALSE)/AnnuityMode,0),0)</f>
        <v>0</v>
      </c>
      <c r="H768" s="220">
        <f>IFERROR(IF(AND(MIN(A768&gt;25,Age+A768&gt;=85),B768=12),VLOOKUP(A768,Output!$A$27:$AE$137,31,FALSE),0),0)</f>
        <v>0</v>
      </c>
      <c r="I768" s="221">
        <f>IFERROR(IF(AND(MIN(A768&gt;15,A768+Age&gt;=70),C768=1),VLOOKUP(A768,Output!$A$27:$AF$137,32,FALSE)*VLOOKUP('SV calc_ignore'!A768,Output!$A$27:$AG$137,33,FALSE)/IF(AnnuityMode=2,2,IF(AnnuityMode=4,4,IF(AnnuityMode=12,12,1))),0),0)</f>
        <v>0</v>
      </c>
      <c r="J768" s="227">
        <f t="shared" si="144"/>
        <v>0</v>
      </c>
      <c r="K768" s="213">
        <f t="shared" si="140"/>
        <v>0</v>
      </c>
      <c r="L768" s="209">
        <f t="shared" si="136"/>
        <v>0</v>
      </c>
      <c r="M768" s="214">
        <f t="shared" si="146"/>
        <v>0</v>
      </c>
      <c r="N768" s="211">
        <f t="shared" si="141"/>
        <v>0</v>
      </c>
      <c r="O768" s="194">
        <f t="shared" si="142"/>
        <v>0</v>
      </c>
      <c r="P768" s="212">
        <f t="shared" si="137"/>
        <v>0</v>
      </c>
      <c r="Q768">
        <f t="shared" si="145"/>
        <v>0</v>
      </c>
      <c r="X768" s="216">
        <f t="shared" si="143"/>
        <v>63</v>
      </c>
      <c r="Y768">
        <f t="shared" si="138"/>
        <v>0</v>
      </c>
    </row>
    <row r="769" spans="1:25" ht="13.5" thickBot="1" x14ac:dyDescent="0.25">
      <c r="A769" s="204">
        <f>IF(MOD(COUNT($A$10:A768),12)=0,A768+1,A768)</f>
        <v>64</v>
      </c>
      <c r="B769" s="218">
        <f t="shared" si="139"/>
        <v>4</v>
      </c>
      <c r="C769" s="218">
        <f t="shared" si="134"/>
        <v>1</v>
      </c>
      <c r="D769" s="208">
        <f>IF(MOD(COUNT($D$10:D768),6)=0,D768+1,D768)</f>
        <v>127</v>
      </c>
      <c r="E769" s="208">
        <f>IF(MOD(COUNT($E$10:E768),3)=0,E768+1,E768)</f>
        <v>254</v>
      </c>
      <c r="F769" s="208">
        <f>IF(MOD(COUNT($F$10:F768),1)=0,F768+1,F768)</f>
        <v>760</v>
      </c>
      <c r="G769" s="204">
        <f>IFERROR(IF(C769=1,VLOOKUP(A769,Output!$A$27:$AB$137,28,FALSE)/AnnuityMode,0),0)</f>
        <v>0</v>
      </c>
      <c r="H769" s="220">
        <f>IFERROR(IF(AND(MIN(A769&gt;25,Age+A769&gt;=85),B769=12),VLOOKUP(A769,Output!$A$27:$AE$137,31,FALSE),0),0)</f>
        <v>0</v>
      </c>
      <c r="I769" s="221">
        <f>IFERROR(IF(AND(MIN(A769&gt;15,A769+Age&gt;=70),C769=1),VLOOKUP(A769,Output!$A$27:$AF$137,32,FALSE)*VLOOKUP('SV calc_ignore'!A769,Output!$A$27:$AG$137,33,FALSE)/IF(AnnuityMode=2,2,IF(AnnuityMode=4,4,IF(AnnuityMode=12,12,1))),0),0)</f>
        <v>0</v>
      </c>
      <c r="J769" s="227">
        <f t="shared" si="144"/>
        <v>0</v>
      </c>
      <c r="K769" s="213">
        <f t="shared" si="140"/>
        <v>0</v>
      </c>
      <c r="L769" s="209">
        <f t="shared" si="136"/>
        <v>0</v>
      </c>
      <c r="M769" s="214">
        <f t="shared" si="146"/>
        <v>0</v>
      </c>
      <c r="N769" s="211">
        <f t="shared" si="141"/>
        <v>0</v>
      </c>
      <c r="O769" s="194">
        <f t="shared" si="142"/>
        <v>0</v>
      </c>
      <c r="P769" s="212">
        <f t="shared" si="137"/>
        <v>0</v>
      </c>
      <c r="Q769">
        <f t="shared" si="145"/>
        <v>0</v>
      </c>
      <c r="X769" s="216">
        <f t="shared" si="143"/>
        <v>63</v>
      </c>
      <c r="Y769">
        <f t="shared" si="138"/>
        <v>0</v>
      </c>
    </row>
    <row r="770" spans="1:25" ht="13.5" thickBot="1" x14ac:dyDescent="0.25">
      <c r="A770" s="204">
        <f>IF(MOD(COUNT($A$10:A769),12)=0,A769+1,A769)</f>
        <v>64</v>
      </c>
      <c r="B770" s="218">
        <f t="shared" si="139"/>
        <v>5</v>
      </c>
      <c r="C770" s="218">
        <f t="shared" si="134"/>
        <v>1</v>
      </c>
      <c r="D770" s="208">
        <f>IF(MOD(COUNT($D$10:D769),6)=0,D769+1,D769)</f>
        <v>127</v>
      </c>
      <c r="E770" s="208">
        <f>IF(MOD(COUNT($E$10:E769),3)=0,E769+1,E769)</f>
        <v>254</v>
      </c>
      <c r="F770" s="208">
        <f>IF(MOD(COUNT($F$10:F769),1)=0,F769+1,F769)</f>
        <v>761</v>
      </c>
      <c r="G770" s="204">
        <f>IFERROR(IF(C770=1,VLOOKUP(A770,Output!$A$27:$AB$137,28,FALSE)/AnnuityMode,0),0)</f>
        <v>0</v>
      </c>
      <c r="H770" s="220">
        <f>IFERROR(IF(AND(MIN(A770&gt;25,Age+A770&gt;=85),B770=12),VLOOKUP(A770,Output!$A$27:$AE$137,31,FALSE),0),0)</f>
        <v>0</v>
      </c>
      <c r="I770" s="221">
        <f>IFERROR(IF(AND(MIN(A770&gt;15,A770+Age&gt;=70),C770=1),VLOOKUP(A770,Output!$A$27:$AF$137,32,FALSE)*VLOOKUP('SV calc_ignore'!A770,Output!$A$27:$AG$137,33,FALSE)/IF(AnnuityMode=2,2,IF(AnnuityMode=4,4,IF(AnnuityMode=12,12,1))),0),0)</f>
        <v>0</v>
      </c>
      <c r="J770" s="227">
        <f t="shared" si="144"/>
        <v>0</v>
      </c>
      <c r="K770" s="213">
        <f t="shared" si="140"/>
        <v>0</v>
      </c>
      <c r="L770" s="209">
        <f t="shared" si="136"/>
        <v>0</v>
      </c>
      <c r="M770" s="214">
        <f t="shared" si="146"/>
        <v>0</v>
      </c>
      <c r="N770" s="211">
        <f t="shared" si="141"/>
        <v>0</v>
      </c>
      <c r="O770" s="194">
        <f t="shared" si="142"/>
        <v>0</v>
      </c>
      <c r="P770" s="212">
        <f t="shared" si="137"/>
        <v>0</v>
      </c>
      <c r="Q770">
        <f t="shared" si="145"/>
        <v>0</v>
      </c>
      <c r="X770" s="216">
        <f t="shared" si="143"/>
        <v>63</v>
      </c>
      <c r="Y770">
        <f t="shared" si="138"/>
        <v>0</v>
      </c>
    </row>
    <row r="771" spans="1:25" ht="13.5" thickBot="1" x14ac:dyDescent="0.25">
      <c r="A771" s="204">
        <f>IF(MOD(COUNT($A$10:A770),12)=0,A770+1,A770)</f>
        <v>64</v>
      </c>
      <c r="B771" s="218">
        <f t="shared" si="139"/>
        <v>6</v>
      </c>
      <c r="C771" s="218">
        <f t="shared" si="134"/>
        <v>1</v>
      </c>
      <c r="D771" s="208">
        <f>IF(MOD(COUNT($D$10:D770),6)=0,D770+1,D770)</f>
        <v>127</v>
      </c>
      <c r="E771" s="208">
        <f>IF(MOD(COUNT($E$10:E770),3)=0,E770+1,E770)</f>
        <v>254</v>
      </c>
      <c r="F771" s="208">
        <f>IF(MOD(COUNT($F$10:F770),1)=0,F770+1,F770)</f>
        <v>762</v>
      </c>
      <c r="G771" s="204">
        <f>IFERROR(IF(C771=1,VLOOKUP(A771,Output!$A$27:$AB$137,28,FALSE)/AnnuityMode,0),0)</f>
        <v>0</v>
      </c>
      <c r="H771" s="220">
        <f>IFERROR(IF(AND(MIN(A771&gt;25,Age+A771&gt;=85),B771=12),VLOOKUP(A771,Output!$A$27:$AE$137,31,FALSE),0),0)</f>
        <v>0</v>
      </c>
      <c r="I771" s="221">
        <f>IFERROR(IF(AND(MIN(A771&gt;15,A771+Age&gt;=70),C771=1),VLOOKUP(A771,Output!$A$27:$AF$137,32,FALSE)*VLOOKUP('SV calc_ignore'!A771,Output!$A$27:$AG$137,33,FALSE)/IF(AnnuityMode=2,2,IF(AnnuityMode=4,4,IF(AnnuityMode=12,12,1))),0),0)</f>
        <v>0</v>
      </c>
      <c r="J771" s="227">
        <f t="shared" si="144"/>
        <v>0</v>
      </c>
      <c r="K771" s="213">
        <f t="shared" si="140"/>
        <v>0</v>
      </c>
      <c r="L771" s="209">
        <f t="shared" si="136"/>
        <v>0</v>
      </c>
      <c r="M771" s="214">
        <f t="shared" si="146"/>
        <v>0</v>
      </c>
      <c r="N771" s="211">
        <f t="shared" si="141"/>
        <v>0</v>
      </c>
      <c r="O771" s="194">
        <f t="shared" si="142"/>
        <v>0</v>
      </c>
      <c r="P771" s="212">
        <f t="shared" si="137"/>
        <v>0</v>
      </c>
      <c r="Q771">
        <f t="shared" si="145"/>
        <v>0</v>
      </c>
      <c r="X771" s="216">
        <f t="shared" si="143"/>
        <v>63</v>
      </c>
      <c r="Y771">
        <f t="shared" si="138"/>
        <v>0</v>
      </c>
    </row>
    <row r="772" spans="1:25" ht="13.5" thickBot="1" x14ac:dyDescent="0.25">
      <c r="A772" s="204">
        <f>IF(MOD(COUNT($A$10:A771),12)=0,A771+1,A771)</f>
        <v>64</v>
      </c>
      <c r="B772" s="218">
        <f t="shared" si="139"/>
        <v>7</v>
      </c>
      <c r="C772" s="218">
        <f t="shared" si="134"/>
        <v>1</v>
      </c>
      <c r="D772" s="208">
        <f>IF(MOD(COUNT($D$10:D771),6)=0,D771+1,D771)</f>
        <v>128</v>
      </c>
      <c r="E772" s="208">
        <f>IF(MOD(COUNT($E$10:E771),3)=0,E771+1,E771)</f>
        <v>255</v>
      </c>
      <c r="F772" s="208">
        <f>IF(MOD(COUNT($F$10:F771),1)=0,F771+1,F771)</f>
        <v>763</v>
      </c>
      <c r="G772" s="204">
        <f>IFERROR(IF(C772=1,VLOOKUP(A772,Output!$A$27:$AB$137,28,FALSE)/AnnuityMode,0),0)</f>
        <v>0</v>
      </c>
      <c r="H772" s="220">
        <f>IFERROR(IF(AND(MIN(A772&gt;25,Age+A772&gt;=85),B772=12),VLOOKUP(A772,Output!$A$27:$AE$137,31,FALSE),0),0)</f>
        <v>0</v>
      </c>
      <c r="I772" s="221">
        <f>IFERROR(IF(AND(MIN(A772&gt;15,A772+Age&gt;=70),C772=1),VLOOKUP(A772,Output!$A$27:$AF$137,32,FALSE)*VLOOKUP('SV calc_ignore'!A772,Output!$A$27:$AG$137,33,FALSE)/IF(AnnuityMode=2,2,IF(AnnuityMode=4,4,IF(AnnuityMode=12,12,1))),0),0)</f>
        <v>0</v>
      </c>
      <c r="J772" s="227">
        <f t="shared" si="144"/>
        <v>0</v>
      </c>
      <c r="K772" s="213">
        <f t="shared" si="140"/>
        <v>0</v>
      </c>
      <c r="L772" s="209">
        <f t="shared" si="136"/>
        <v>0</v>
      </c>
      <c r="M772" s="214">
        <f t="shared" si="146"/>
        <v>0</v>
      </c>
      <c r="N772" s="211">
        <f t="shared" si="141"/>
        <v>0</v>
      </c>
      <c r="O772" s="194">
        <f t="shared" si="142"/>
        <v>0</v>
      </c>
      <c r="P772" s="212">
        <f t="shared" si="137"/>
        <v>0</v>
      </c>
      <c r="Q772">
        <f t="shared" si="145"/>
        <v>0</v>
      </c>
      <c r="X772" s="216">
        <f t="shared" si="143"/>
        <v>63</v>
      </c>
      <c r="Y772">
        <f t="shared" si="138"/>
        <v>0</v>
      </c>
    </row>
    <row r="773" spans="1:25" ht="13.5" thickBot="1" x14ac:dyDescent="0.25">
      <c r="A773" s="204">
        <f>IF(MOD(COUNT($A$10:A772),12)=0,A772+1,A772)</f>
        <v>64</v>
      </c>
      <c r="B773" s="218">
        <f t="shared" si="139"/>
        <v>8</v>
      </c>
      <c r="C773" s="218">
        <f t="shared" si="134"/>
        <v>1</v>
      </c>
      <c r="D773" s="208">
        <f>IF(MOD(COUNT($D$10:D772),6)=0,D772+1,D772)</f>
        <v>128</v>
      </c>
      <c r="E773" s="208">
        <f>IF(MOD(COUNT($E$10:E772),3)=0,E772+1,E772)</f>
        <v>255</v>
      </c>
      <c r="F773" s="208">
        <f>IF(MOD(COUNT($F$10:F772),1)=0,F772+1,F772)</f>
        <v>764</v>
      </c>
      <c r="G773" s="204">
        <f>IFERROR(IF(C773=1,VLOOKUP(A773,Output!$A$27:$AB$137,28,FALSE)/AnnuityMode,0),0)</f>
        <v>0</v>
      </c>
      <c r="H773" s="220">
        <f>IFERROR(IF(AND(MIN(A773&gt;25,Age+A773&gt;=85),B773=12),VLOOKUP(A773,Output!$A$27:$AE$137,31,FALSE),0),0)</f>
        <v>0</v>
      </c>
      <c r="I773" s="221">
        <f>IFERROR(IF(AND(MIN(A773&gt;15,A773+Age&gt;=70),C773=1),VLOOKUP(A773,Output!$A$27:$AF$137,32,FALSE)*VLOOKUP('SV calc_ignore'!A773,Output!$A$27:$AG$137,33,FALSE)/IF(AnnuityMode=2,2,IF(AnnuityMode=4,4,IF(AnnuityMode=12,12,1))),0),0)</f>
        <v>0</v>
      </c>
      <c r="J773" s="227">
        <f t="shared" si="144"/>
        <v>0</v>
      </c>
      <c r="K773" s="213">
        <f t="shared" si="140"/>
        <v>0</v>
      </c>
      <c r="L773" s="209">
        <f t="shared" si="136"/>
        <v>0</v>
      </c>
      <c r="M773" s="214">
        <f t="shared" si="146"/>
        <v>0</v>
      </c>
      <c r="N773" s="211">
        <f t="shared" si="141"/>
        <v>0</v>
      </c>
      <c r="O773" s="194">
        <f t="shared" si="142"/>
        <v>0</v>
      </c>
      <c r="P773" s="212">
        <f t="shared" si="137"/>
        <v>0</v>
      </c>
      <c r="Q773">
        <f t="shared" si="145"/>
        <v>0</v>
      </c>
      <c r="X773" s="216">
        <f t="shared" si="143"/>
        <v>63</v>
      </c>
      <c r="Y773">
        <f t="shared" si="138"/>
        <v>0</v>
      </c>
    </row>
    <row r="774" spans="1:25" ht="13.5" thickBot="1" x14ac:dyDescent="0.25">
      <c r="A774" s="204">
        <f>IF(MOD(COUNT($A$10:A773),12)=0,A773+1,A773)</f>
        <v>64</v>
      </c>
      <c r="B774" s="218">
        <f t="shared" si="139"/>
        <v>9</v>
      </c>
      <c r="C774" s="218">
        <f t="shared" si="134"/>
        <v>1</v>
      </c>
      <c r="D774" s="208">
        <f>IF(MOD(COUNT($D$10:D773),6)=0,D773+1,D773)</f>
        <v>128</v>
      </c>
      <c r="E774" s="208">
        <f>IF(MOD(COUNT($E$10:E773),3)=0,E773+1,E773)</f>
        <v>255</v>
      </c>
      <c r="F774" s="208">
        <f>IF(MOD(COUNT($F$10:F773),1)=0,F773+1,F773)</f>
        <v>765</v>
      </c>
      <c r="G774" s="204">
        <f>IFERROR(IF(C774=1,VLOOKUP(A774,Output!$A$27:$AB$137,28,FALSE)/AnnuityMode,0),0)</f>
        <v>0</v>
      </c>
      <c r="H774" s="220">
        <f>IFERROR(IF(AND(MIN(A774&gt;25,Age+A774&gt;=85),B774=12),VLOOKUP(A774,Output!$A$27:$AE$137,31,FALSE),0),0)</f>
        <v>0</v>
      </c>
      <c r="I774" s="221">
        <f>IFERROR(IF(AND(MIN(A774&gt;15,A774+Age&gt;=70),C774=1),VLOOKUP(A774,Output!$A$27:$AF$137,32,FALSE)*VLOOKUP('SV calc_ignore'!A774,Output!$A$27:$AG$137,33,FALSE)/IF(AnnuityMode=2,2,IF(AnnuityMode=4,4,IF(AnnuityMode=12,12,1))),0),0)</f>
        <v>0</v>
      </c>
      <c r="J774" s="227">
        <f t="shared" si="144"/>
        <v>0</v>
      </c>
      <c r="K774" s="213">
        <f t="shared" si="140"/>
        <v>0</v>
      </c>
      <c r="L774" s="209">
        <f t="shared" si="136"/>
        <v>0</v>
      </c>
      <c r="M774" s="214">
        <f t="shared" si="146"/>
        <v>0</v>
      </c>
      <c r="N774" s="211">
        <f t="shared" si="141"/>
        <v>0</v>
      </c>
      <c r="O774" s="194">
        <f t="shared" si="142"/>
        <v>0</v>
      </c>
      <c r="P774" s="212">
        <f t="shared" si="137"/>
        <v>0</v>
      </c>
      <c r="Q774">
        <f t="shared" si="145"/>
        <v>0</v>
      </c>
      <c r="X774" s="216">
        <f t="shared" si="143"/>
        <v>63</v>
      </c>
      <c r="Y774">
        <f t="shared" si="138"/>
        <v>0</v>
      </c>
    </row>
    <row r="775" spans="1:25" ht="13.5" thickBot="1" x14ac:dyDescent="0.25">
      <c r="A775" s="204">
        <f>IF(MOD(COUNT($A$10:A774),12)=0,A774+1,A774)</f>
        <v>64</v>
      </c>
      <c r="B775" s="218">
        <f t="shared" si="139"/>
        <v>10</v>
      </c>
      <c r="C775" s="218">
        <f t="shared" si="134"/>
        <v>1</v>
      </c>
      <c r="D775" s="208">
        <f>IF(MOD(COUNT($D$10:D774),6)=0,D774+1,D774)</f>
        <v>128</v>
      </c>
      <c r="E775" s="208">
        <f>IF(MOD(COUNT($E$10:E774),3)=0,E774+1,E774)</f>
        <v>256</v>
      </c>
      <c r="F775" s="208">
        <f>IF(MOD(COUNT($F$10:F774),1)=0,F774+1,F774)</f>
        <v>766</v>
      </c>
      <c r="G775" s="204">
        <f>IFERROR(IF(C775=1,VLOOKUP(A775,Output!$A$27:$AB$137,28,FALSE)/AnnuityMode,0),0)</f>
        <v>0</v>
      </c>
      <c r="H775" s="220">
        <f>IFERROR(IF(AND(MIN(A775&gt;25,Age+A775&gt;=85),B775=12),VLOOKUP(A775,Output!$A$27:$AE$137,31,FALSE),0),0)</f>
        <v>0</v>
      </c>
      <c r="I775" s="221">
        <f>IFERROR(IF(AND(MIN(A775&gt;15,A775+Age&gt;=70),C775=1),VLOOKUP(A775,Output!$A$27:$AF$137,32,FALSE)*VLOOKUP('SV calc_ignore'!A775,Output!$A$27:$AG$137,33,FALSE)/IF(AnnuityMode=2,2,IF(AnnuityMode=4,4,IF(AnnuityMode=12,12,1))),0),0)</f>
        <v>0</v>
      </c>
      <c r="J775" s="227">
        <f t="shared" si="144"/>
        <v>0</v>
      </c>
      <c r="K775" s="213">
        <f t="shared" si="140"/>
        <v>0</v>
      </c>
      <c r="L775" s="209">
        <f t="shared" si="136"/>
        <v>0</v>
      </c>
      <c r="M775" s="214">
        <f t="shared" si="146"/>
        <v>0</v>
      </c>
      <c r="N775" s="211">
        <f t="shared" si="141"/>
        <v>0</v>
      </c>
      <c r="O775" s="194">
        <f t="shared" si="142"/>
        <v>0</v>
      </c>
      <c r="P775" s="212">
        <f t="shared" si="137"/>
        <v>0</v>
      </c>
      <c r="Q775">
        <f t="shared" si="145"/>
        <v>0</v>
      </c>
      <c r="X775" s="216">
        <f t="shared" si="143"/>
        <v>63</v>
      </c>
      <c r="Y775">
        <f t="shared" si="138"/>
        <v>0</v>
      </c>
    </row>
    <row r="776" spans="1:25" ht="13.5" thickBot="1" x14ac:dyDescent="0.25">
      <c r="A776" s="204">
        <f>IF(MOD(COUNT($A$10:A775),12)=0,A775+1,A775)</f>
        <v>64</v>
      </c>
      <c r="B776" s="218">
        <f t="shared" si="139"/>
        <v>11</v>
      </c>
      <c r="C776" s="218">
        <f t="shared" si="134"/>
        <v>1</v>
      </c>
      <c r="D776" s="208">
        <f>IF(MOD(COUNT($D$10:D775),6)=0,D775+1,D775)</f>
        <v>128</v>
      </c>
      <c r="E776" s="208">
        <f>IF(MOD(COUNT($E$10:E775),3)=0,E775+1,E775)</f>
        <v>256</v>
      </c>
      <c r="F776" s="208">
        <f>IF(MOD(COUNT($F$10:F775),1)=0,F775+1,F775)</f>
        <v>767</v>
      </c>
      <c r="G776" s="204">
        <f>IFERROR(IF(C776=1,VLOOKUP(A776,Output!$A$27:$AB$137,28,FALSE)/AnnuityMode,0),0)</f>
        <v>0</v>
      </c>
      <c r="H776" s="220">
        <f>IFERROR(IF(AND(MIN(A776&gt;25,Age+A776&gt;=85),B776=12),VLOOKUP(A776,Output!$A$27:$AE$137,31,FALSE),0),0)</f>
        <v>0</v>
      </c>
      <c r="I776" s="221">
        <f>IFERROR(IF(AND(MIN(A776&gt;15,A776+Age&gt;=70),C776=1),VLOOKUP(A776,Output!$A$27:$AF$137,32,FALSE)*VLOOKUP('SV calc_ignore'!A776,Output!$A$27:$AG$137,33,FALSE)/IF(AnnuityMode=2,2,IF(AnnuityMode=4,4,IF(AnnuityMode=12,12,1))),0),0)</f>
        <v>0</v>
      </c>
      <c r="J776" s="227">
        <f t="shared" si="144"/>
        <v>0</v>
      </c>
      <c r="K776" s="213">
        <f t="shared" si="140"/>
        <v>0</v>
      </c>
      <c r="L776" s="209">
        <f t="shared" si="136"/>
        <v>0</v>
      </c>
      <c r="M776" s="214">
        <f t="shared" si="146"/>
        <v>0</v>
      </c>
      <c r="N776" s="211">
        <f t="shared" si="141"/>
        <v>0</v>
      </c>
      <c r="O776" s="194">
        <f t="shared" si="142"/>
        <v>0</v>
      </c>
      <c r="P776" s="212">
        <f t="shared" si="137"/>
        <v>0</v>
      </c>
      <c r="Q776">
        <f t="shared" si="145"/>
        <v>0</v>
      </c>
      <c r="X776" s="216">
        <f t="shared" si="143"/>
        <v>63</v>
      </c>
      <c r="Y776">
        <f t="shared" si="138"/>
        <v>0</v>
      </c>
    </row>
    <row r="777" spans="1:25" ht="13.5" thickBot="1" x14ac:dyDescent="0.25">
      <c r="A777" s="204">
        <f>IF(MOD(COUNT($A$10:A776),12)=0,A776+1,A776)</f>
        <v>64</v>
      </c>
      <c r="B777" s="218">
        <f t="shared" si="139"/>
        <v>12</v>
      </c>
      <c r="C777" s="218">
        <f t="shared" si="134"/>
        <v>1</v>
      </c>
      <c r="D777" s="208">
        <f>IF(MOD(COUNT($D$10:D776),6)=0,D776+1,D776)</f>
        <v>128</v>
      </c>
      <c r="E777" s="208">
        <f>IF(MOD(COUNT($E$10:E776),3)=0,E776+1,E776)</f>
        <v>256</v>
      </c>
      <c r="F777" s="208">
        <f>IF(MOD(COUNT($F$10:F776),1)=0,F776+1,F776)</f>
        <v>768</v>
      </c>
      <c r="G777" s="204">
        <f>IFERROR(IF(C777=1,VLOOKUP(A777,Output!$A$27:$AB$137,28,FALSE)/AnnuityMode,0),0)</f>
        <v>0</v>
      </c>
      <c r="H777" s="220">
        <f>IFERROR(IF(AND(MIN(A777&gt;25,Age+A777&gt;=85),B777=12),VLOOKUP(A777,Output!$A$27:$AE$137,31,FALSE),0),0)</f>
        <v>0</v>
      </c>
      <c r="I777" s="221">
        <f>IFERROR(IF(AND(MIN(A777&gt;15,A777+Age&gt;=70),C777=1),VLOOKUP(A777,Output!$A$27:$AF$137,32,FALSE)*VLOOKUP('SV calc_ignore'!A777,Output!$A$27:$AG$137,33,FALSE)/IF(AnnuityMode=2,2,IF(AnnuityMode=4,4,IF(AnnuityMode=12,12,1))),0),0)</f>
        <v>0</v>
      </c>
      <c r="J777" s="227">
        <f t="shared" si="144"/>
        <v>0</v>
      </c>
      <c r="K777" s="213">
        <f t="shared" si="140"/>
        <v>0</v>
      </c>
      <c r="L777" s="209">
        <f t="shared" si="136"/>
        <v>0</v>
      </c>
      <c r="M777" s="214">
        <f t="shared" si="146"/>
        <v>0</v>
      </c>
      <c r="N777" s="211">
        <f t="shared" si="141"/>
        <v>0</v>
      </c>
      <c r="O777" s="194">
        <f t="shared" si="142"/>
        <v>0</v>
      </c>
      <c r="P777" s="212">
        <f t="shared" si="137"/>
        <v>0</v>
      </c>
      <c r="Q777">
        <f t="shared" si="145"/>
        <v>0</v>
      </c>
      <c r="X777" s="216">
        <f t="shared" si="143"/>
        <v>63</v>
      </c>
      <c r="Y777">
        <f t="shared" si="138"/>
        <v>0</v>
      </c>
    </row>
    <row r="778" spans="1:25" ht="13.5" thickBot="1" x14ac:dyDescent="0.25">
      <c r="A778" s="204">
        <f>IF(MOD(COUNT($A$10:A777),12)=0,A777+1,A777)</f>
        <v>65</v>
      </c>
      <c r="B778" s="218">
        <f t="shared" si="139"/>
        <v>1</v>
      </c>
      <c r="C778" s="218">
        <f t="shared" ref="C778:C841" si="147">IF(AND(AnnuityMode=1,B778=12),1,IF(AND(OR(B778=6,B778=12),AnnuityMode=2),1,IF(AND(OR(B778=3,B778=6,B778=12,B778=9),AnnuityMode=4),1,IF(AND(OR(B778=1,B778=2,B778=3,B778=4,B778=5,B778=6,B778=7,B778=8,B778=9,B778=10,B778=11,B778=12),AnnuityMode=12),1,0))))</f>
        <v>1</v>
      </c>
      <c r="D778" s="208">
        <f>IF(MOD(COUNT($D$10:D777),6)=0,D777+1,D777)</f>
        <v>129</v>
      </c>
      <c r="E778" s="208">
        <f>IF(MOD(COUNT($E$10:E777),3)=0,E777+1,E777)</f>
        <v>257</v>
      </c>
      <c r="F778" s="208">
        <f>IF(MOD(COUNT($F$10:F777),1)=0,F777+1,F777)</f>
        <v>769</v>
      </c>
      <c r="G778" s="204">
        <f>IFERROR(IF(C778=1,VLOOKUP(A778,Output!$A$27:$AB$137,28,FALSE)/AnnuityMode,0),0)</f>
        <v>0</v>
      </c>
      <c r="H778" s="220">
        <f>IFERROR(IF(AND(MIN(A778&gt;25,Age+A778&gt;=85),B778=12),VLOOKUP(A778,Output!$A$27:$AE$137,31,FALSE),0),0)</f>
        <v>0</v>
      </c>
      <c r="I778" s="221">
        <f>IFERROR(IF(AND(MIN(A778&gt;15,A778+Age&gt;=70),C778=1),VLOOKUP(A778,Output!$A$27:$AF$137,32,FALSE)*VLOOKUP('SV calc_ignore'!A778,Output!$A$27:$AG$137,33,FALSE)/IF(AnnuityMode=2,2,IF(AnnuityMode=4,4,IF(AnnuityMode=12,12,1))),0),0)</f>
        <v>0</v>
      </c>
      <c r="J778" s="227">
        <f t="shared" si="144"/>
        <v>0</v>
      </c>
      <c r="K778" s="213">
        <f t="shared" si="140"/>
        <v>0</v>
      </c>
      <c r="L778" s="209">
        <f t="shared" ref="L778:L841" si="148">(L779+G779)*$K$2</f>
        <v>0</v>
      </c>
      <c r="M778" s="214">
        <f t="shared" si="146"/>
        <v>0</v>
      </c>
      <c r="N778" s="211">
        <f t="shared" si="141"/>
        <v>0</v>
      </c>
      <c r="O778" s="194">
        <f t="shared" si="142"/>
        <v>0</v>
      </c>
      <c r="P778" s="212">
        <f t="shared" ref="P778:P841" si="149">(P779+H779)*(1+$K$3)^(-1)</f>
        <v>0</v>
      </c>
      <c r="Q778">
        <f t="shared" si="145"/>
        <v>0</v>
      </c>
      <c r="X778" s="216">
        <f t="shared" si="143"/>
        <v>64</v>
      </c>
      <c r="Y778">
        <f t="shared" ref="Y778:Y841" si="150">G778*(1-IF(AnnuityMode=1,$L$2,IF(AnnuityMode=2,$M$2,IF(AnnuityMode=4,$N$2,$K$2)))^(110*AnnuityMode-IF(AnnuityMode=1,X778,IF(AnnuityMode=2,D778,IF(AnnuityMode=4,E778,F778)))-0))/(IF(AnnuityMode=1,$L$3,IF(AnnuityMode=2,$M$3,IF(AnnuityMode=4,$N$3,$K$3))))</f>
        <v>0</v>
      </c>
    </row>
    <row r="779" spans="1:25" ht="13.5" thickBot="1" x14ac:dyDescent="0.25">
      <c r="A779" s="204">
        <f>IF(MOD(COUNT($A$10:A778),12)=0,A778+1,A778)</f>
        <v>65</v>
      </c>
      <c r="B779" s="218">
        <f t="shared" ref="B779:B842" si="151">IF(A778&lt;&gt;A779,1,B778+1)</f>
        <v>2</v>
      </c>
      <c r="C779" s="218">
        <f t="shared" si="147"/>
        <v>1</v>
      </c>
      <c r="D779" s="208">
        <f>IF(MOD(COUNT($D$10:D778),6)=0,D778+1,D778)</f>
        <v>129</v>
      </c>
      <c r="E779" s="208">
        <f>IF(MOD(COUNT($E$10:E778),3)=0,E778+1,E778)</f>
        <v>257</v>
      </c>
      <c r="F779" s="208">
        <f>IF(MOD(COUNT($F$10:F778),1)=0,F778+1,F778)</f>
        <v>770</v>
      </c>
      <c r="G779" s="204">
        <f>IFERROR(IF(C779=1,VLOOKUP(A779,Output!$A$27:$AB$137,28,FALSE)/AnnuityMode,0),0)</f>
        <v>0</v>
      </c>
      <c r="H779" s="220">
        <f>IFERROR(IF(AND(MIN(A779&gt;25,Age+A779&gt;=85),B779=12),VLOOKUP(A779,Output!$A$27:$AE$137,31,FALSE),0),0)</f>
        <v>0</v>
      </c>
      <c r="I779" s="221">
        <f>IFERROR(IF(AND(MIN(A779&gt;15,A779+Age&gt;=70),C779=1),VLOOKUP(A779,Output!$A$27:$AF$137,32,FALSE)*VLOOKUP('SV calc_ignore'!A779,Output!$A$27:$AG$137,33,FALSE)/IF(AnnuityMode=2,2,IF(AnnuityMode=4,4,IF(AnnuityMode=12,12,1))),0),0)</f>
        <v>0</v>
      </c>
      <c r="J779" s="227">
        <f t="shared" si="144"/>
        <v>0</v>
      </c>
      <c r="K779" s="213">
        <f t="shared" ref="K779:K842" si="152">IF(OR(K778&gt;$K$8,K778=0),0,K778+1)</f>
        <v>0</v>
      </c>
      <c r="L779" s="209">
        <f t="shared" si="148"/>
        <v>0</v>
      </c>
      <c r="M779" s="214">
        <f t="shared" si="146"/>
        <v>0</v>
      </c>
      <c r="N779" s="211">
        <f t="shared" ref="N779:N842" si="153">M779-L779-G779</f>
        <v>0</v>
      </c>
      <c r="O779" s="194">
        <f t="shared" ref="O779:O842" si="154">MAX($H$10:$H$897)/(1+$K$3)^($Q$5*12-F779)*(A779&lt;=$Q$5)</f>
        <v>0</v>
      </c>
      <c r="P779" s="212">
        <f t="shared" si="149"/>
        <v>0</v>
      </c>
      <c r="Q779">
        <f t="shared" si="145"/>
        <v>0</v>
      </c>
      <c r="X779" s="216">
        <f t="shared" ref="X779:X842" si="155">A779-1</f>
        <v>64</v>
      </c>
      <c r="Y779">
        <f t="shared" si="150"/>
        <v>0</v>
      </c>
    </row>
    <row r="780" spans="1:25" ht="13.5" thickBot="1" x14ac:dyDescent="0.25">
      <c r="A780" s="204">
        <f>IF(MOD(COUNT($A$10:A779),12)=0,A779+1,A779)</f>
        <v>65</v>
      </c>
      <c r="B780" s="218">
        <f t="shared" si="151"/>
        <v>3</v>
      </c>
      <c r="C780" s="218">
        <f t="shared" si="147"/>
        <v>1</v>
      </c>
      <c r="D780" s="208">
        <f>IF(MOD(COUNT($D$10:D779),6)=0,D779+1,D779)</f>
        <v>129</v>
      </c>
      <c r="E780" s="208">
        <f>IF(MOD(COUNT($E$10:E779),3)=0,E779+1,E779)</f>
        <v>257</v>
      </c>
      <c r="F780" s="208">
        <f>IF(MOD(COUNT($F$10:F779),1)=0,F779+1,F779)</f>
        <v>771</v>
      </c>
      <c r="G780" s="204">
        <f>IFERROR(IF(C780=1,VLOOKUP(A780,Output!$A$27:$AB$137,28,FALSE)/AnnuityMode,0),0)</f>
        <v>0</v>
      </c>
      <c r="H780" s="220">
        <f>IFERROR(IF(AND(MIN(A780&gt;25,Age+A780&gt;=85),B780=12),VLOOKUP(A780,Output!$A$27:$AE$137,31,FALSE),0),0)</f>
        <v>0</v>
      </c>
      <c r="I780" s="221">
        <f>IFERROR(IF(AND(MIN(A780&gt;15,A780+Age&gt;=70),C780=1),VLOOKUP(A780,Output!$A$27:$AF$137,32,FALSE)*VLOOKUP('SV calc_ignore'!A780,Output!$A$27:$AG$137,33,FALSE)/IF(AnnuityMode=2,2,IF(AnnuityMode=4,4,IF(AnnuityMode=12,12,1))),0),0)</f>
        <v>0</v>
      </c>
      <c r="J780" s="227">
        <f t="shared" si="144"/>
        <v>0</v>
      </c>
      <c r="K780" s="213">
        <f t="shared" si="152"/>
        <v>0</v>
      </c>
      <c r="L780" s="209">
        <f t="shared" si="148"/>
        <v>0</v>
      </c>
      <c r="M780" s="214">
        <f t="shared" si="146"/>
        <v>0</v>
      </c>
      <c r="N780" s="211">
        <f t="shared" si="153"/>
        <v>0</v>
      </c>
      <c r="O780" s="194">
        <f t="shared" si="154"/>
        <v>0</v>
      </c>
      <c r="P780" s="212">
        <f t="shared" si="149"/>
        <v>0</v>
      </c>
      <c r="Q780">
        <f t="shared" si="145"/>
        <v>0</v>
      </c>
      <c r="X780" s="216">
        <f t="shared" si="155"/>
        <v>64</v>
      </c>
      <c r="Y780">
        <f t="shared" si="150"/>
        <v>0</v>
      </c>
    </row>
    <row r="781" spans="1:25" ht="13.5" thickBot="1" x14ac:dyDescent="0.25">
      <c r="A781" s="204">
        <f>IF(MOD(COUNT($A$10:A780),12)=0,A780+1,A780)</f>
        <v>65</v>
      </c>
      <c r="B781" s="218">
        <f t="shared" si="151"/>
        <v>4</v>
      </c>
      <c r="C781" s="218">
        <f t="shared" si="147"/>
        <v>1</v>
      </c>
      <c r="D781" s="208">
        <f>IF(MOD(COUNT($D$10:D780),6)=0,D780+1,D780)</f>
        <v>129</v>
      </c>
      <c r="E781" s="208">
        <f>IF(MOD(COUNT($E$10:E780),3)=0,E780+1,E780)</f>
        <v>258</v>
      </c>
      <c r="F781" s="208">
        <f>IF(MOD(COUNT($F$10:F780),1)=0,F780+1,F780)</f>
        <v>772</v>
      </c>
      <c r="G781" s="204">
        <f>IFERROR(IF(C781=1,VLOOKUP(A781,Output!$A$27:$AB$137,28,FALSE)/AnnuityMode,0),0)</f>
        <v>0</v>
      </c>
      <c r="H781" s="220">
        <f>IFERROR(IF(AND(MIN(A781&gt;25,Age+A781&gt;=85),B781=12),VLOOKUP(A781,Output!$A$27:$AE$137,31,FALSE),0),0)</f>
        <v>0</v>
      </c>
      <c r="I781" s="221">
        <f>IFERROR(IF(AND(MIN(A781&gt;15,A781+Age&gt;=70),C781=1),VLOOKUP(A781,Output!$A$27:$AF$137,32,FALSE)*VLOOKUP('SV calc_ignore'!A781,Output!$A$27:$AG$137,33,FALSE)/IF(AnnuityMode=2,2,IF(AnnuityMode=4,4,IF(AnnuityMode=12,12,1))),0),0)</f>
        <v>0</v>
      </c>
      <c r="J781" s="227">
        <f t="shared" si="144"/>
        <v>0</v>
      </c>
      <c r="K781" s="213">
        <f t="shared" si="152"/>
        <v>0</v>
      </c>
      <c r="L781" s="209">
        <f t="shared" si="148"/>
        <v>0</v>
      </c>
      <c r="M781" s="214">
        <f t="shared" si="146"/>
        <v>0</v>
      </c>
      <c r="N781" s="211">
        <f t="shared" si="153"/>
        <v>0</v>
      </c>
      <c r="O781" s="194">
        <f t="shared" si="154"/>
        <v>0</v>
      </c>
      <c r="P781" s="212">
        <f t="shared" si="149"/>
        <v>0</v>
      </c>
      <c r="Q781">
        <f t="shared" si="145"/>
        <v>0</v>
      </c>
      <c r="X781" s="216">
        <f t="shared" si="155"/>
        <v>64</v>
      </c>
      <c r="Y781">
        <f t="shared" si="150"/>
        <v>0</v>
      </c>
    </row>
    <row r="782" spans="1:25" ht="13.5" thickBot="1" x14ac:dyDescent="0.25">
      <c r="A782" s="204">
        <f>IF(MOD(COUNT($A$10:A781),12)=0,A781+1,A781)</f>
        <v>65</v>
      </c>
      <c r="B782" s="218">
        <f t="shared" si="151"/>
        <v>5</v>
      </c>
      <c r="C782" s="218">
        <f t="shared" si="147"/>
        <v>1</v>
      </c>
      <c r="D782" s="208">
        <f>IF(MOD(COUNT($D$10:D781),6)=0,D781+1,D781)</f>
        <v>129</v>
      </c>
      <c r="E782" s="208">
        <f>IF(MOD(COUNT($E$10:E781),3)=0,E781+1,E781)</f>
        <v>258</v>
      </c>
      <c r="F782" s="208">
        <f>IF(MOD(COUNT($F$10:F781),1)=0,F781+1,F781)</f>
        <v>773</v>
      </c>
      <c r="G782" s="204">
        <f>IFERROR(IF(C782=1,VLOOKUP(A782,Output!$A$27:$AB$137,28,FALSE)/AnnuityMode,0),0)</f>
        <v>0</v>
      </c>
      <c r="H782" s="220">
        <f>IFERROR(IF(AND(MIN(A782&gt;25,Age+A782&gt;=85),B782=12),VLOOKUP(A782,Output!$A$27:$AE$137,31,FALSE),0),0)</f>
        <v>0</v>
      </c>
      <c r="I782" s="221">
        <f>IFERROR(IF(AND(MIN(A782&gt;15,A782+Age&gt;=70),C782=1),VLOOKUP(A782,Output!$A$27:$AF$137,32,FALSE)*VLOOKUP('SV calc_ignore'!A782,Output!$A$27:$AG$137,33,FALSE)/IF(AnnuityMode=2,2,IF(AnnuityMode=4,4,IF(AnnuityMode=12,12,1))),0),0)</f>
        <v>0</v>
      </c>
      <c r="J782" s="227">
        <f t="shared" si="144"/>
        <v>0</v>
      </c>
      <c r="K782" s="213">
        <f t="shared" si="152"/>
        <v>0</v>
      </c>
      <c r="L782" s="209">
        <f t="shared" si="148"/>
        <v>0</v>
      </c>
      <c r="M782" s="214">
        <f t="shared" si="146"/>
        <v>0</v>
      </c>
      <c r="N782" s="211">
        <f t="shared" si="153"/>
        <v>0</v>
      </c>
      <c r="O782" s="194">
        <f t="shared" si="154"/>
        <v>0</v>
      </c>
      <c r="P782" s="212">
        <f t="shared" si="149"/>
        <v>0</v>
      </c>
      <c r="Q782">
        <f t="shared" si="145"/>
        <v>0</v>
      </c>
      <c r="X782" s="216">
        <f t="shared" si="155"/>
        <v>64</v>
      </c>
      <c r="Y782">
        <f t="shared" si="150"/>
        <v>0</v>
      </c>
    </row>
    <row r="783" spans="1:25" ht="13.5" thickBot="1" x14ac:dyDescent="0.25">
      <c r="A783" s="204">
        <f>IF(MOD(COUNT($A$10:A782),12)=0,A782+1,A782)</f>
        <v>65</v>
      </c>
      <c r="B783" s="218">
        <f t="shared" si="151"/>
        <v>6</v>
      </c>
      <c r="C783" s="218">
        <f t="shared" si="147"/>
        <v>1</v>
      </c>
      <c r="D783" s="208">
        <f>IF(MOD(COUNT($D$10:D782),6)=0,D782+1,D782)</f>
        <v>129</v>
      </c>
      <c r="E783" s="208">
        <f>IF(MOD(COUNT($E$10:E782),3)=0,E782+1,E782)</f>
        <v>258</v>
      </c>
      <c r="F783" s="208">
        <f>IF(MOD(COUNT($F$10:F782),1)=0,F782+1,F782)</f>
        <v>774</v>
      </c>
      <c r="G783" s="204">
        <f>IFERROR(IF(C783=1,VLOOKUP(A783,Output!$A$27:$AB$137,28,FALSE)/AnnuityMode,0),0)</f>
        <v>0</v>
      </c>
      <c r="H783" s="220">
        <f>IFERROR(IF(AND(MIN(A783&gt;25,Age+A783&gt;=85),B783=12),VLOOKUP(A783,Output!$A$27:$AE$137,31,FALSE),0),0)</f>
        <v>0</v>
      </c>
      <c r="I783" s="221">
        <f>IFERROR(IF(AND(MIN(A783&gt;15,A783+Age&gt;=70),C783=1),VLOOKUP(A783,Output!$A$27:$AF$137,32,FALSE)*VLOOKUP('SV calc_ignore'!A783,Output!$A$27:$AG$137,33,FALSE)/IF(AnnuityMode=2,2,IF(AnnuityMode=4,4,IF(AnnuityMode=12,12,1))),0),0)</f>
        <v>0</v>
      </c>
      <c r="J783" s="227">
        <f t="shared" si="144"/>
        <v>0</v>
      </c>
      <c r="K783" s="213">
        <f t="shared" si="152"/>
        <v>0</v>
      </c>
      <c r="L783" s="209">
        <f t="shared" si="148"/>
        <v>0</v>
      </c>
      <c r="M783" s="214">
        <f t="shared" si="146"/>
        <v>0</v>
      </c>
      <c r="N783" s="211">
        <f t="shared" si="153"/>
        <v>0</v>
      </c>
      <c r="O783" s="194">
        <f t="shared" si="154"/>
        <v>0</v>
      </c>
      <c r="P783" s="212">
        <f t="shared" si="149"/>
        <v>0</v>
      </c>
      <c r="Q783">
        <f t="shared" si="145"/>
        <v>0</v>
      </c>
      <c r="X783" s="216">
        <f t="shared" si="155"/>
        <v>64</v>
      </c>
      <c r="Y783">
        <f t="shared" si="150"/>
        <v>0</v>
      </c>
    </row>
    <row r="784" spans="1:25" ht="13.5" thickBot="1" x14ac:dyDescent="0.25">
      <c r="A784" s="204">
        <f>IF(MOD(COUNT($A$10:A783),12)=0,A783+1,A783)</f>
        <v>65</v>
      </c>
      <c r="B784" s="218">
        <f t="shared" si="151"/>
        <v>7</v>
      </c>
      <c r="C784" s="218">
        <f t="shared" si="147"/>
        <v>1</v>
      </c>
      <c r="D784" s="208">
        <f>IF(MOD(COUNT($D$10:D783),6)=0,D783+1,D783)</f>
        <v>130</v>
      </c>
      <c r="E784" s="208">
        <f>IF(MOD(COUNT($E$10:E783),3)=0,E783+1,E783)</f>
        <v>259</v>
      </c>
      <c r="F784" s="208">
        <f>IF(MOD(COUNT($F$10:F783),1)=0,F783+1,F783)</f>
        <v>775</v>
      </c>
      <c r="G784" s="204">
        <f>IFERROR(IF(C784=1,VLOOKUP(A784,Output!$A$27:$AB$137,28,FALSE)/AnnuityMode,0),0)</f>
        <v>0</v>
      </c>
      <c r="H784" s="220">
        <f>IFERROR(IF(AND(MIN(A784&gt;25,Age+A784&gt;=85),B784=12),VLOOKUP(A784,Output!$A$27:$AE$137,31,FALSE),0),0)</f>
        <v>0</v>
      </c>
      <c r="I784" s="221">
        <f>IFERROR(IF(AND(MIN(A784&gt;15,A784+Age&gt;=70),C784=1),VLOOKUP(A784,Output!$A$27:$AF$137,32,FALSE)*VLOOKUP('SV calc_ignore'!A784,Output!$A$27:$AG$137,33,FALSE)/IF(AnnuityMode=2,2,IF(AnnuityMode=4,4,IF(AnnuityMode=12,12,1))),0),0)</f>
        <v>0</v>
      </c>
      <c r="J784" s="227">
        <f t="shared" si="144"/>
        <v>0</v>
      </c>
      <c r="K784" s="213">
        <f t="shared" si="152"/>
        <v>0</v>
      </c>
      <c r="L784" s="209">
        <f t="shared" si="148"/>
        <v>0</v>
      </c>
      <c r="M784" s="214">
        <f t="shared" si="146"/>
        <v>0</v>
      </c>
      <c r="N784" s="211">
        <f t="shared" si="153"/>
        <v>0</v>
      </c>
      <c r="O784" s="194">
        <f t="shared" si="154"/>
        <v>0</v>
      </c>
      <c r="P784" s="212">
        <f t="shared" si="149"/>
        <v>0</v>
      </c>
      <c r="Q784">
        <f t="shared" si="145"/>
        <v>0</v>
      </c>
      <c r="X784" s="216">
        <f t="shared" si="155"/>
        <v>64</v>
      </c>
      <c r="Y784">
        <f t="shared" si="150"/>
        <v>0</v>
      </c>
    </row>
    <row r="785" spans="1:25" ht="13.5" thickBot="1" x14ac:dyDescent="0.25">
      <c r="A785" s="204">
        <f>IF(MOD(COUNT($A$10:A784),12)=0,A784+1,A784)</f>
        <v>65</v>
      </c>
      <c r="B785" s="218">
        <f t="shared" si="151"/>
        <v>8</v>
      </c>
      <c r="C785" s="218">
        <f t="shared" si="147"/>
        <v>1</v>
      </c>
      <c r="D785" s="208">
        <f>IF(MOD(COUNT($D$10:D784),6)=0,D784+1,D784)</f>
        <v>130</v>
      </c>
      <c r="E785" s="208">
        <f>IF(MOD(COUNT($E$10:E784),3)=0,E784+1,E784)</f>
        <v>259</v>
      </c>
      <c r="F785" s="208">
        <f>IF(MOD(COUNT($F$10:F784),1)=0,F784+1,F784)</f>
        <v>776</v>
      </c>
      <c r="G785" s="204">
        <f>IFERROR(IF(C785=1,VLOOKUP(A785,Output!$A$27:$AB$137,28,FALSE)/AnnuityMode,0),0)</f>
        <v>0</v>
      </c>
      <c r="H785" s="220">
        <f>IFERROR(IF(AND(MIN(A785&gt;25,Age+A785&gt;=85),B785=12),VLOOKUP(A785,Output!$A$27:$AE$137,31,FALSE),0),0)</f>
        <v>0</v>
      </c>
      <c r="I785" s="221">
        <f>IFERROR(IF(AND(MIN(A785&gt;15,A785+Age&gt;=70),C785=1),VLOOKUP(A785,Output!$A$27:$AF$137,32,FALSE)*VLOOKUP('SV calc_ignore'!A785,Output!$A$27:$AG$137,33,FALSE)/IF(AnnuityMode=2,2,IF(AnnuityMode=4,4,IF(AnnuityMode=12,12,1))),0),0)</f>
        <v>0</v>
      </c>
      <c r="J785" s="227">
        <f t="shared" si="144"/>
        <v>0</v>
      </c>
      <c r="K785" s="213">
        <f t="shared" si="152"/>
        <v>0</v>
      </c>
      <c r="L785" s="209">
        <f t="shared" si="148"/>
        <v>0</v>
      </c>
      <c r="M785" s="214">
        <f t="shared" si="146"/>
        <v>0</v>
      </c>
      <c r="N785" s="211">
        <f t="shared" si="153"/>
        <v>0</v>
      </c>
      <c r="O785" s="194">
        <f t="shared" si="154"/>
        <v>0</v>
      </c>
      <c r="P785" s="212">
        <f t="shared" si="149"/>
        <v>0</v>
      </c>
      <c r="Q785">
        <f t="shared" si="145"/>
        <v>0</v>
      </c>
      <c r="X785" s="216">
        <f t="shared" si="155"/>
        <v>64</v>
      </c>
      <c r="Y785">
        <f t="shared" si="150"/>
        <v>0</v>
      </c>
    </row>
    <row r="786" spans="1:25" ht="13.5" thickBot="1" x14ac:dyDescent="0.25">
      <c r="A786" s="204">
        <f>IF(MOD(COUNT($A$10:A785),12)=0,A785+1,A785)</f>
        <v>65</v>
      </c>
      <c r="B786" s="218">
        <f t="shared" si="151"/>
        <v>9</v>
      </c>
      <c r="C786" s="218">
        <f t="shared" si="147"/>
        <v>1</v>
      </c>
      <c r="D786" s="208">
        <f>IF(MOD(COUNT($D$10:D785),6)=0,D785+1,D785)</f>
        <v>130</v>
      </c>
      <c r="E786" s="208">
        <f>IF(MOD(COUNT($E$10:E785),3)=0,E785+1,E785)</f>
        <v>259</v>
      </c>
      <c r="F786" s="208">
        <f>IF(MOD(COUNT($F$10:F785),1)=0,F785+1,F785)</f>
        <v>777</v>
      </c>
      <c r="G786" s="204">
        <f>IFERROR(IF(C786=1,VLOOKUP(A786,Output!$A$27:$AB$137,28,FALSE)/AnnuityMode,0),0)</f>
        <v>0</v>
      </c>
      <c r="H786" s="220">
        <f>IFERROR(IF(AND(MIN(A786&gt;25,Age+A786&gt;=85),B786=12),VLOOKUP(A786,Output!$A$27:$AE$137,31,FALSE),0),0)</f>
        <v>0</v>
      </c>
      <c r="I786" s="221">
        <f>IFERROR(IF(AND(MIN(A786&gt;15,A786+Age&gt;=70),C786=1),VLOOKUP(A786,Output!$A$27:$AF$137,32,FALSE)*VLOOKUP('SV calc_ignore'!A786,Output!$A$27:$AG$137,33,FALSE)/IF(AnnuityMode=2,2,IF(AnnuityMode=4,4,IF(AnnuityMode=12,12,1))),0),0)</f>
        <v>0</v>
      </c>
      <c r="J786" s="227">
        <f t="shared" si="144"/>
        <v>0</v>
      </c>
      <c r="K786" s="213">
        <f t="shared" si="152"/>
        <v>0</v>
      </c>
      <c r="L786" s="209">
        <f t="shared" si="148"/>
        <v>0</v>
      </c>
      <c r="M786" s="214">
        <f t="shared" si="146"/>
        <v>0</v>
      </c>
      <c r="N786" s="211">
        <f t="shared" si="153"/>
        <v>0</v>
      </c>
      <c r="O786" s="194">
        <f t="shared" si="154"/>
        <v>0</v>
      </c>
      <c r="P786" s="212">
        <f t="shared" si="149"/>
        <v>0</v>
      </c>
      <c r="Q786">
        <f t="shared" si="145"/>
        <v>0</v>
      </c>
      <c r="X786" s="216">
        <f t="shared" si="155"/>
        <v>64</v>
      </c>
      <c r="Y786">
        <f t="shared" si="150"/>
        <v>0</v>
      </c>
    </row>
    <row r="787" spans="1:25" ht="13.5" thickBot="1" x14ac:dyDescent="0.25">
      <c r="A787" s="204">
        <f>IF(MOD(COUNT($A$10:A786),12)=0,A786+1,A786)</f>
        <v>65</v>
      </c>
      <c r="B787" s="218">
        <f t="shared" si="151"/>
        <v>10</v>
      </c>
      <c r="C787" s="218">
        <f t="shared" si="147"/>
        <v>1</v>
      </c>
      <c r="D787" s="208">
        <f>IF(MOD(COUNT($D$10:D786),6)=0,D786+1,D786)</f>
        <v>130</v>
      </c>
      <c r="E787" s="208">
        <f>IF(MOD(COUNT($E$10:E786),3)=0,E786+1,E786)</f>
        <v>260</v>
      </c>
      <c r="F787" s="208">
        <f>IF(MOD(COUNT($F$10:F786),1)=0,F786+1,F786)</f>
        <v>778</v>
      </c>
      <c r="G787" s="204">
        <f>IFERROR(IF(C787=1,VLOOKUP(A787,Output!$A$27:$AB$137,28,FALSE)/AnnuityMode,0),0)</f>
        <v>0</v>
      </c>
      <c r="H787" s="220">
        <f>IFERROR(IF(AND(MIN(A787&gt;25,Age+A787&gt;=85),B787=12),VLOOKUP(A787,Output!$A$27:$AE$137,31,FALSE),0),0)</f>
        <v>0</v>
      </c>
      <c r="I787" s="221">
        <f>IFERROR(IF(AND(MIN(A787&gt;15,A787+Age&gt;=70),C787=1),VLOOKUP(A787,Output!$A$27:$AF$137,32,FALSE)*VLOOKUP('SV calc_ignore'!A787,Output!$A$27:$AG$137,33,FALSE)/IF(AnnuityMode=2,2,IF(AnnuityMode=4,4,IF(AnnuityMode=12,12,1))),0),0)</f>
        <v>0</v>
      </c>
      <c r="J787" s="227">
        <f t="shared" si="144"/>
        <v>0</v>
      </c>
      <c r="K787" s="213">
        <f t="shared" si="152"/>
        <v>0</v>
      </c>
      <c r="L787" s="209">
        <f t="shared" si="148"/>
        <v>0</v>
      </c>
      <c r="M787" s="214">
        <f t="shared" si="146"/>
        <v>0</v>
      </c>
      <c r="N787" s="211">
        <f t="shared" si="153"/>
        <v>0</v>
      </c>
      <c r="O787" s="194">
        <f t="shared" si="154"/>
        <v>0</v>
      </c>
      <c r="P787" s="212">
        <f t="shared" si="149"/>
        <v>0</v>
      </c>
      <c r="Q787">
        <f t="shared" si="145"/>
        <v>0</v>
      </c>
      <c r="X787" s="216">
        <f t="shared" si="155"/>
        <v>64</v>
      </c>
      <c r="Y787">
        <f t="shared" si="150"/>
        <v>0</v>
      </c>
    </row>
    <row r="788" spans="1:25" ht="13.5" thickBot="1" x14ac:dyDescent="0.25">
      <c r="A788" s="204">
        <f>IF(MOD(COUNT($A$10:A787),12)=0,A787+1,A787)</f>
        <v>65</v>
      </c>
      <c r="B788" s="218">
        <f t="shared" si="151"/>
        <v>11</v>
      </c>
      <c r="C788" s="218">
        <f t="shared" si="147"/>
        <v>1</v>
      </c>
      <c r="D788" s="208">
        <f>IF(MOD(COUNT($D$10:D787),6)=0,D787+1,D787)</f>
        <v>130</v>
      </c>
      <c r="E788" s="208">
        <f>IF(MOD(COUNT($E$10:E787),3)=0,E787+1,E787)</f>
        <v>260</v>
      </c>
      <c r="F788" s="208">
        <f>IF(MOD(COUNT($F$10:F787),1)=0,F787+1,F787)</f>
        <v>779</v>
      </c>
      <c r="G788" s="204">
        <f>IFERROR(IF(C788=1,VLOOKUP(A788,Output!$A$27:$AB$137,28,FALSE)/AnnuityMode,0),0)</f>
        <v>0</v>
      </c>
      <c r="H788" s="220">
        <f>IFERROR(IF(AND(MIN(A788&gt;25,Age+A788&gt;=85),B788=12),VLOOKUP(A788,Output!$A$27:$AE$137,31,FALSE),0),0)</f>
        <v>0</v>
      </c>
      <c r="I788" s="221">
        <f>IFERROR(IF(AND(MIN(A788&gt;15,A788+Age&gt;=70),C788=1),VLOOKUP(A788,Output!$A$27:$AF$137,32,FALSE)*VLOOKUP('SV calc_ignore'!A788,Output!$A$27:$AG$137,33,FALSE)/IF(AnnuityMode=2,2,IF(AnnuityMode=4,4,IF(AnnuityMode=12,12,1))),0),0)</f>
        <v>0</v>
      </c>
      <c r="J788" s="227">
        <f t="shared" si="144"/>
        <v>0</v>
      </c>
      <c r="K788" s="213">
        <f t="shared" si="152"/>
        <v>0</v>
      </c>
      <c r="L788" s="209">
        <f t="shared" si="148"/>
        <v>0</v>
      </c>
      <c r="M788" s="214">
        <f t="shared" si="146"/>
        <v>0</v>
      </c>
      <c r="N788" s="211">
        <f t="shared" si="153"/>
        <v>0</v>
      </c>
      <c r="O788" s="194">
        <f t="shared" si="154"/>
        <v>0</v>
      </c>
      <c r="P788" s="212">
        <f t="shared" si="149"/>
        <v>0</v>
      </c>
      <c r="Q788">
        <f t="shared" si="145"/>
        <v>0</v>
      </c>
      <c r="X788" s="216">
        <f t="shared" si="155"/>
        <v>64</v>
      </c>
      <c r="Y788">
        <f t="shared" si="150"/>
        <v>0</v>
      </c>
    </row>
    <row r="789" spans="1:25" ht="13.5" thickBot="1" x14ac:dyDescent="0.25">
      <c r="A789" s="204">
        <f>IF(MOD(COUNT($A$10:A788),12)=0,A788+1,A788)</f>
        <v>65</v>
      </c>
      <c r="B789" s="218">
        <f t="shared" si="151"/>
        <v>12</v>
      </c>
      <c r="C789" s="218">
        <f t="shared" si="147"/>
        <v>1</v>
      </c>
      <c r="D789" s="208">
        <f>IF(MOD(COUNT($D$10:D788),6)=0,D788+1,D788)</f>
        <v>130</v>
      </c>
      <c r="E789" s="208">
        <f>IF(MOD(COUNT($E$10:E788),3)=0,E788+1,E788)</f>
        <v>260</v>
      </c>
      <c r="F789" s="208">
        <f>IF(MOD(COUNT($F$10:F788),1)=0,F788+1,F788)</f>
        <v>780</v>
      </c>
      <c r="G789" s="204">
        <f>IFERROR(IF(C789=1,VLOOKUP(A789,Output!$A$27:$AB$137,28,FALSE)/AnnuityMode,0),0)</f>
        <v>0</v>
      </c>
      <c r="H789" s="220">
        <f>IFERROR(IF(AND(MIN(A789&gt;25,Age+A789&gt;=85),B789=12),VLOOKUP(A789,Output!$A$27:$AE$137,31,FALSE),0),0)</f>
        <v>0</v>
      </c>
      <c r="I789" s="221">
        <f>IFERROR(IF(AND(MIN(A789&gt;15,A789+Age&gt;=70),C789=1),VLOOKUP(A789,Output!$A$27:$AF$137,32,FALSE)*VLOOKUP('SV calc_ignore'!A789,Output!$A$27:$AG$137,33,FALSE)/IF(AnnuityMode=2,2,IF(AnnuityMode=4,4,IF(AnnuityMode=12,12,1))),0),0)</f>
        <v>0</v>
      </c>
      <c r="J789" s="227">
        <f t="shared" si="144"/>
        <v>0</v>
      </c>
      <c r="K789" s="213">
        <f t="shared" si="152"/>
        <v>0</v>
      </c>
      <c r="L789" s="209">
        <f t="shared" si="148"/>
        <v>0</v>
      </c>
      <c r="M789" s="214">
        <f t="shared" si="146"/>
        <v>0</v>
      </c>
      <c r="N789" s="211">
        <f t="shared" si="153"/>
        <v>0</v>
      </c>
      <c r="O789" s="194">
        <f t="shared" si="154"/>
        <v>0</v>
      </c>
      <c r="P789" s="212">
        <f t="shared" si="149"/>
        <v>0</v>
      </c>
      <c r="Q789">
        <f t="shared" si="145"/>
        <v>0</v>
      </c>
      <c r="X789" s="216">
        <f t="shared" si="155"/>
        <v>64</v>
      </c>
      <c r="Y789">
        <f t="shared" si="150"/>
        <v>0</v>
      </c>
    </row>
    <row r="790" spans="1:25" ht="13.5" thickBot="1" x14ac:dyDescent="0.25">
      <c r="A790" s="204">
        <f>IF(MOD(COUNT($A$10:A789),12)=0,A789+1,A789)</f>
        <v>66</v>
      </c>
      <c r="B790" s="218">
        <f t="shared" si="151"/>
        <v>1</v>
      </c>
      <c r="C790" s="218">
        <f t="shared" si="147"/>
        <v>1</v>
      </c>
      <c r="D790" s="208">
        <f>IF(MOD(COUNT($D$10:D789),6)=0,D789+1,D789)</f>
        <v>131</v>
      </c>
      <c r="E790" s="208">
        <f>IF(MOD(COUNT($E$10:E789),3)=0,E789+1,E789)</f>
        <v>261</v>
      </c>
      <c r="F790" s="208">
        <f>IF(MOD(COUNT($F$10:F789),1)=0,F789+1,F789)</f>
        <v>781</v>
      </c>
      <c r="G790" s="204">
        <f>IFERROR(IF(C790=1,VLOOKUP(A790,Output!$A$27:$AB$137,28,FALSE)/AnnuityMode,0),0)</f>
        <v>0</v>
      </c>
      <c r="H790" s="220">
        <f>IFERROR(IF(AND(MIN(A790&gt;25,Age+A790&gt;=85),B790=12),VLOOKUP(A790,Output!$A$27:$AE$137,31,FALSE),0),0)</f>
        <v>0</v>
      </c>
      <c r="I790" s="221">
        <f>IFERROR(IF(AND(MIN(A790&gt;15,A790+Age&gt;=70),C790=1),VLOOKUP(A790,Output!$A$27:$AF$137,32,FALSE)*VLOOKUP('SV calc_ignore'!A790,Output!$A$27:$AG$137,33,FALSE)/IF(AnnuityMode=2,2,IF(AnnuityMode=4,4,IF(AnnuityMode=12,12,1))),0),0)</f>
        <v>0</v>
      </c>
      <c r="J790" s="227">
        <f t="shared" si="144"/>
        <v>0</v>
      </c>
      <c r="K790" s="213">
        <f t="shared" si="152"/>
        <v>0</v>
      </c>
      <c r="L790" s="209">
        <f t="shared" si="148"/>
        <v>0</v>
      </c>
      <c r="M790" s="214">
        <f t="shared" si="146"/>
        <v>0</v>
      </c>
      <c r="N790" s="211">
        <f t="shared" si="153"/>
        <v>0</v>
      </c>
      <c r="O790" s="194">
        <f t="shared" si="154"/>
        <v>0</v>
      </c>
      <c r="P790" s="212">
        <f t="shared" si="149"/>
        <v>0</v>
      </c>
      <c r="Q790">
        <f t="shared" si="145"/>
        <v>0</v>
      </c>
      <c r="X790" s="216">
        <f t="shared" si="155"/>
        <v>65</v>
      </c>
      <c r="Y790">
        <f t="shared" si="150"/>
        <v>0</v>
      </c>
    </row>
    <row r="791" spans="1:25" ht="13.5" thickBot="1" x14ac:dyDescent="0.25">
      <c r="A791" s="204">
        <f>IF(MOD(COUNT($A$10:A790),12)=0,A790+1,A790)</f>
        <v>66</v>
      </c>
      <c r="B791" s="218">
        <f t="shared" si="151"/>
        <v>2</v>
      </c>
      <c r="C791" s="218">
        <f t="shared" si="147"/>
        <v>1</v>
      </c>
      <c r="D791" s="208">
        <f>IF(MOD(COUNT($D$10:D790),6)=0,D790+1,D790)</f>
        <v>131</v>
      </c>
      <c r="E791" s="208">
        <f>IF(MOD(COUNT($E$10:E790),3)=0,E790+1,E790)</f>
        <v>261</v>
      </c>
      <c r="F791" s="208">
        <f>IF(MOD(COUNT($F$10:F790),1)=0,F790+1,F790)</f>
        <v>782</v>
      </c>
      <c r="G791" s="204">
        <f>IFERROR(IF(C791=1,VLOOKUP(A791,Output!$A$27:$AB$137,28,FALSE)/AnnuityMode,0),0)</f>
        <v>0</v>
      </c>
      <c r="H791" s="220">
        <f>IFERROR(IF(AND(MIN(A791&gt;25,Age+A791&gt;=85),B791=12),VLOOKUP(A791,Output!$A$27:$AE$137,31,FALSE),0),0)</f>
        <v>0</v>
      </c>
      <c r="I791" s="221">
        <f>IFERROR(IF(AND(MIN(A791&gt;15,A791+Age&gt;=70),C791=1),VLOOKUP(A791,Output!$A$27:$AF$137,32,FALSE)*VLOOKUP('SV calc_ignore'!A791,Output!$A$27:$AG$137,33,FALSE)/IF(AnnuityMode=2,2,IF(AnnuityMode=4,4,IF(AnnuityMode=12,12,1))),0),0)</f>
        <v>0</v>
      </c>
      <c r="J791" s="227">
        <f t="shared" si="144"/>
        <v>0</v>
      </c>
      <c r="K791" s="213">
        <f t="shared" si="152"/>
        <v>0</v>
      </c>
      <c r="L791" s="209">
        <f t="shared" si="148"/>
        <v>0</v>
      </c>
      <c r="M791" s="214">
        <f t="shared" si="146"/>
        <v>0</v>
      </c>
      <c r="N791" s="211">
        <f t="shared" si="153"/>
        <v>0</v>
      </c>
      <c r="O791" s="194">
        <f t="shared" si="154"/>
        <v>0</v>
      </c>
      <c r="P791" s="212">
        <f t="shared" si="149"/>
        <v>0</v>
      </c>
      <c r="Q791">
        <f t="shared" si="145"/>
        <v>0</v>
      </c>
      <c r="X791" s="216">
        <f t="shared" si="155"/>
        <v>65</v>
      </c>
      <c r="Y791">
        <f t="shared" si="150"/>
        <v>0</v>
      </c>
    </row>
    <row r="792" spans="1:25" ht="13.5" thickBot="1" x14ac:dyDescent="0.25">
      <c r="A792" s="204">
        <f>IF(MOD(COUNT($A$10:A791),12)=0,A791+1,A791)</f>
        <v>66</v>
      </c>
      <c r="B792" s="218">
        <f t="shared" si="151"/>
        <v>3</v>
      </c>
      <c r="C792" s="218">
        <f t="shared" si="147"/>
        <v>1</v>
      </c>
      <c r="D792" s="208">
        <f>IF(MOD(COUNT($D$10:D791),6)=0,D791+1,D791)</f>
        <v>131</v>
      </c>
      <c r="E792" s="208">
        <f>IF(MOD(COUNT($E$10:E791),3)=0,E791+1,E791)</f>
        <v>261</v>
      </c>
      <c r="F792" s="208">
        <f>IF(MOD(COUNT($F$10:F791),1)=0,F791+1,F791)</f>
        <v>783</v>
      </c>
      <c r="G792" s="204">
        <f>IFERROR(IF(C792=1,VLOOKUP(A792,Output!$A$27:$AB$137,28,FALSE)/AnnuityMode,0),0)</f>
        <v>0</v>
      </c>
      <c r="H792" s="220">
        <f>IFERROR(IF(AND(MIN(A792&gt;25,Age+A792&gt;=85),B792=12),VLOOKUP(A792,Output!$A$27:$AE$137,31,FALSE),0),0)</f>
        <v>0</v>
      </c>
      <c r="I792" s="221">
        <f>IFERROR(IF(AND(MIN(A792&gt;15,A792+Age&gt;=70),C792=1),VLOOKUP(A792,Output!$A$27:$AF$137,32,FALSE)*VLOOKUP('SV calc_ignore'!A792,Output!$A$27:$AG$137,33,FALSE)/IF(AnnuityMode=2,2,IF(AnnuityMode=4,4,IF(AnnuityMode=12,12,1))),0),0)</f>
        <v>0</v>
      </c>
      <c r="J792" s="227">
        <f t="shared" si="144"/>
        <v>0</v>
      </c>
      <c r="K792" s="213">
        <f t="shared" si="152"/>
        <v>0</v>
      </c>
      <c r="L792" s="209">
        <f t="shared" si="148"/>
        <v>0</v>
      </c>
      <c r="M792" s="214">
        <f t="shared" si="146"/>
        <v>0</v>
      </c>
      <c r="N792" s="211">
        <f t="shared" si="153"/>
        <v>0</v>
      </c>
      <c r="O792" s="194">
        <f t="shared" si="154"/>
        <v>0</v>
      </c>
      <c r="P792" s="212">
        <f t="shared" si="149"/>
        <v>0</v>
      </c>
      <c r="Q792">
        <f t="shared" si="145"/>
        <v>0</v>
      </c>
      <c r="X792" s="216">
        <f t="shared" si="155"/>
        <v>65</v>
      </c>
      <c r="Y792">
        <f t="shared" si="150"/>
        <v>0</v>
      </c>
    </row>
    <row r="793" spans="1:25" ht="13.5" thickBot="1" x14ac:dyDescent="0.25">
      <c r="A793" s="204">
        <f>IF(MOD(COUNT($A$10:A792),12)=0,A792+1,A792)</f>
        <v>66</v>
      </c>
      <c r="B793" s="218">
        <f t="shared" si="151"/>
        <v>4</v>
      </c>
      <c r="C793" s="218">
        <f t="shared" si="147"/>
        <v>1</v>
      </c>
      <c r="D793" s="208">
        <f>IF(MOD(COUNT($D$10:D792),6)=0,D792+1,D792)</f>
        <v>131</v>
      </c>
      <c r="E793" s="208">
        <f>IF(MOD(COUNT($E$10:E792),3)=0,E792+1,E792)</f>
        <v>262</v>
      </c>
      <c r="F793" s="208">
        <f>IF(MOD(COUNT($F$10:F792),1)=0,F792+1,F792)</f>
        <v>784</v>
      </c>
      <c r="G793" s="204">
        <f>IFERROR(IF(C793=1,VLOOKUP(A793,Output!$A$27:$AB$137,28,FALSE)/AnnuityMode,0),0)</f>
        <v>0</v>
      </c>
      <c r="H793" s="220">
        <f>IFERROR(IF(AND(MIN(A793&gt;25,Age+A793&gt;=85),B793=12),VLOOKUP(A793,Output!$A$27:$AE$137,31,FALSE),0),0)</f>
        <v>0</v>
      </c>
      <c r="I793" s="221">
        <f>IFERROR(IF(AND(MIN(A793&gt;15,A793+Age&gt;=70),C793=1),VLOOKUP(A793,Output!$A$27:$AF$137,32,FALSE)*VLOOKUP('SV calc_ignore'!A793,Output!$A$27:$AG$137,33,FALSE)/IF(AnnuityMode=2,2,IF(AnnuityMode=4,4,IF(AnnuityMode=12,12,1))),0),0)</f>
        <v>0</v>
      </c>
      <c r="J793" s="227">
        <f t="shared" si="144"/>
        <v>0</v>
      </c>
      <c r="K793" s="213">
        <f t="shared" si="152"/>
        <v>0</v>
      </c>
      <c r="L793" s="209">
        <f t="shared" si="148"/>
        <v>0</v>
      </c>
      <c r="M793" s="214">
        <f t="shared" si="146"/>
        <v>0</v>
      </c>
      <c r="N793" s="211">
        <f t="shared" si="153"/>
        <v>0</v>
      </c>
      <c r="O793" s="194">
        <f t="shared" si="154"/>
        <v>0</v>
      </c>
      <c r="P793" s="212">
        <f t="shared" si="149"/>
        <v>0</v>
      </c>
      <c r="Q793">
        <f t="shared" si="145"/>
        <v>0</v>
      </c>
      <c r="X793" s="216">
        <f t="shared" si="155"/>
        <v>65</v>
      </c>
      <c r="Y793">
        <f t="shared" si="150"/>
        <v>0</v>
      </c>
    </row>
    <row r="794" spans="1:25" ht="13.5" thickBot="1" x14ac:dyDescent="0.25">
      <c r="A794" s="204">
        <f>IF(MOD(COUNT($A$10:A793),12)=0,A793+1,A793)</f>
        <v>66</v>
      </c>
      <c r="B794" s="218">
        <f t="shared" si="151"/>
        <v>5</v>
      </c>
      <c r="C794" s="218">
        <f t="shared" si="147"/>
        <v>1</v>
      </c>
      <c r="D794" s="208">
        <f>IF(MOD(COUNT($D$10:D793),6)=0,D793+1,D793)</f>
        <v>131</v>
      </c>
      <c r="E794" s="208">
        <f>IF(MOD(COUNT($E$10:E793),3)=0,E793+1,E793)</f>
        <v>262</v>
      </c>
      <c r="F794" s="208">
        <f>IF(MOD(COUNT($F$10:F793),1)=0,F793+1,F793)</f>
        <v>785</v>
      </c>
      <c r="G794" s="204">
        <f>IFERROR(IF(C794=1,VLOOKUP(A794,Output!$A$27:$AB$137,28,FALSE)/AnnuityMode,0),0)</f>
        <v>0</v>
      </c>
      <c r="H794" s="220">
        <f>IFERROR(IF(AND(MIN(A794&gt;25,Age+A794&gt;=85),B794=12),VLOOKUP(A794,Output!$A$27:$AE$137,31,FALSE),0),0)</f>
        <v>0</v>
      </c>
      <c r="I794" s="221">
        <f>IFERROR(IF(AND(MIN(A794&gt;15,A794+Age&gt;=70),C794=1),VLOOKUP(A794,Output!$A$27:$AF$137,32,FALSE)*VLOOKUP('SV calc_ignore'!A794,Output!$A$27:$AG$137,33,FALSE)/IF(AnnuityMode=2,2,IF(AnnuityMode=4,4,IF(AnnuityMode=12,12,1))),0),0)</f>
        <v>0</v>
      </c>
      <c r="J794" s="227">
        <f t="shared" si="144"/>
        <v>0</v>
      </c>
      <c r="K794" s="213">
        <f t="shared" si="152"/>
        <v>0</v>
      </c>
      <c r="L794" s="209">
        <f t="shared" si="148"/>
        <v>0</v>
      </c>
      <c r="M794" s="214">
        <f t="shared" si="146"/>
        <v>0</v>
      </c>
      <c r="N794" s="211">
        <f t="shared" si="153"/>
        <v>0</v>
      </c>
      <c r="O794" s="194">
        <f t="shared" si="154"/>
        <v>0</v>
      </c>
      <c r="P794" s="212">
        <f t="shared" si="149"/>
        <v>0</v>
      </c>
      <c r="Q794">
        <f t="shared" si="145"/>
        <v>0</v>
      </c>
      <c r="X794" s="216">
        <f t="shared" si="155"/>
        <v>65</v>
      </c>
      <c r="Y794">
        <f t="shared" si="150"/>
        <v>0</v>
      </c>
    </row>
    <row r="795" spans="1:25" ht="13.5" thickBot="1" x14ac:dyDescent="0.25">
      <c r="A795" s="204">
        <f>IF(MOD(COUNT($A$10:A794),12)=0,A794+1,A794)</f>
        <v>66</v>
      </c>
      <c r="B795" s="218">
        <f t="shared" si="151"/>
        <v>6</v>
      </c>
      <c r="C795" s="218">
        <f t="shared" si="147"/>
        <v>1</v>
      </c>
      <c r="D795" s="208">
        <f>IF(MOD(COUNT($D$10:D794),6)=0,D794+1,D794)</f>
        <v>131</v>
      </c>
      <c r="E795" s="208">
        <f>IF(MOD(COUNT($E$10:E794),3)=0,E794+1,E794)</f>
        <v>262</v>
      </c>
      <c r="F795" s="208">
        <f>IF(MOD(COUNT($F$10:F794),1)=0,F794+1,F794)</f>
        <v>786</v>
      </c>
      <c r="G795" s="204">
        <f>IFERROR(IF(C795=1,VLOOKUP(A795,Output!$A$27:$AB$137,28,FALSE)/AnnuityMode,0),0)</f>
        <v>0</v>
      </c>
      <c r="H795" s="220">
        <f>IFERROR(IF(AND(MIN(A795&gt;25,Age+A795&gt;=85),B795=12),VLOOKUP(A795,Output!$A$27:$AE$137,31,FALSE),0),0)</f>
        <v>0</v>
      </c>
      <c r="I795" s="221">
        <f>IFERROR(IF(AND(MIN(A795&gt;15,A795+Age&gt;=70),C795=1),VLOOKUP(A795,Output!$A$27:$AF$137,32,FALSE)*VLOOKUP('SV calc_ignore'!A795,Output!$A$27:$AG$137,33,FALSE)/IF(AnnuityMode=2,2,IF(AnnuityMode=4,4,IF(AnnuityMode=12,12,1))),0),0)</f>
        <v>0</v>
      </c>
      <c r="J795" s="227">
        <f t="shared" si="144"/>
        <v>0</v>
      </c>
      <c r="K795" s="213">
        <f t="shared" si="152"/>
        <v>0</v>
      </c>
      <c r="L795" s="209">
        <f t="shared" si="148"/>
        <v>0</v>
      </c>
      <c r="M795" s="214">
        <f t="shared" si="146"/>
        <v>0</v>
      </c>
      <c r="N795" s="211">
        <f t="shared" si="153"/>
        <v>0</v>
      </c>
      <c r="O795" s="194">
        <f t="shared" si="154"/>
        <v>0</v>
      </c>
      <c r="P795" s="212">
        <f t="shared" si="149"/>
        <v>0</v>
      </c>
      <c r="Q795">
        <f t="shared" si="145"/>
        <v>0</v>
      </c>
      <c r="X795" s="216">
        <f t="shared" si="155"/>
        <v>65</v>
      </c>
      <c r="Y795">
        <f t="shared" si="150"/>
        <v>0</v>
      </c>
    </row>
    <row r="796" spans="1:25" ht="13.5" thickBot="1" x14ac:dyDescent="0.25">
      <c r="A796" s="204">
        <f>IF(MOD(COUNT($A$10:A795),12)=0,A795+1,A795)</f>
        <v>66</v>
      </c>
      <c r="B796" s="218">
        <f t="shared" si="151"/>
        <v>7</v>
      </c>
      <c r="C796" s="218">
        <f t="shared" si="147"/>
        <v>1</v>
      </c>
      <c r="D796" s="208">
        <f>IF(MOD(COUNT($D$10:D795),6)=0,D795+1,D795)</f>
        <v>132</v>
      </c>
      <c r="E796" s="208">
        <f>IF(MOD(COUNT($E$10:E795),3)=0,E795+1,E795)</f>
        <v>263</v>
      </c>
      <c r="F796" s="208">
        <f>IF(MOD(COUNT($F$10:F795),1)=0,F795+1,F795)</f>
        <v>787</v>
      </c>
      <c r="G796" s="204">
        <f>IFERROR(IF(C796=1,VLOOKUP(A796,Output!$A$27:$AB$137,28,FALSE)/AnnuityMode,0),0)</f>
        <v>0</v>
      </c>
      <c r="H796" s="220">
        <f>IFERROR(IF(AND(MIN(A796&gt;25,Age+A796&gt;=85),B796=12),VLOOKUP(A796,Output!$A$27:$AE$137,31,FALSE),0),0)</f>
        <v>0</v>
      </c>
      <c r="I796" s="221">
        <f>IFERROR(IF(AND(MIN(A796&gt;15,A796+Age&gt;=70),C796=1),VLOOKUP(A796,Output!$A$27:$AF$137,32,FALSE)*VLOOKUP('SV calc_ignore'!A796,Output!$A$27:$AG$137,33,FALSE)/IF(AnnuityMode=2,2,IF(AnnuityMode=4,4,IF(AnnuityMode=12,12,1))),0),0)</f>
        <v>0</v>
      </c>
      <c r="J796" s="227">
        <f t="shared" si="144"/>
        <v>0</v>
      </c>
      <c r="K796" s="213">
        <f t="shared" si="152"/>
        <v>0</v>
      </c>
      <c r="L796" s="209">
        <f t="shared" si="148"/>
        <v>0</v>
      </c>
      <c r="M796" s="214">
        <f t="shared" si="146"/>
        <v>0</v>
      </c>
      <c r="N796" s="211">
        <f t="shared" si="153"/>
        <v>0</v>
      </c>
      <c r="O796" s="194">
        <f t="shared" si="154"/>
        <v>0</v>
      </c>
      <c r="P796" s="212">
        <f t="shared" si="149"/>
        <v>0</v>
      </c>
      <c r="Q796">
        <f t="shared" si="145"/>
        <v>0</v>
      </c>
      <c r="X796" s="216">
        <f t="shared" si="155"/>
        <v>65</v>
      </c>
      <c r="Y796">
        <f t="shared" si="150"/>
        <v>0</v>
      </c>
    </row>
    <row r="797" spans="1:25" ht="13.5" thickBot="1" x14ac:dyDescent="0.25">
      <c r="A797" s="204">
        <f>IF(MOD(COUNT($A$10:A796),12)=0,A796+1,A796)</f>
        <v>66</v>
      </c>
      <c r="B797" s="218">
        <f t="shared" si="151"/>
        <v>8</v>
      </c>
      <c r="C797" s="218">
        <f t="shared" si="147"/>
        <v>1</v>
      </c>
      <c r="D797" s="208">
        <f>IF(MOD(COUNT($D$10:D796),6)=0,D796+1,D796)</f>
        <v>132</v>
      </c>
      <c r="E797" s="208">
        <f>IF(MOD(COUNT($E$10:E796),3)=0,E796+1,E796)</f>
        <v>263</v>
      </c>
      <c r="F797" s="208">
        <f>IF(MOD(COUNT($F$10:F796),1)=0,F796+1,F796)</f>
        <v>788</v>
      </c>
      <c r="G797" s="204">
        <f>IFERROR(IF(C797=1,VLOOKUP(A797,Output!$A$27:$AB$137,28,FALSE)/AnnuityMode,0),0)</f>
        <v>0</v>
      </c>
      <c r="H797" s="220">
        <f>IFERROR(IF(AND(MIN(A797&gt;25,Age+A797&gt;=85),B797=12),VLOOKUP(A797,Output!$A$27:$AE$137,31,FALSE),0),0)</f>
        <v>0</v>
      </c>
      <c r="I797" s="221">
        <f>IFERROR(IF(AND(MIN(A797&gt;15,A797+Age&gt;=70),C797=1),VLOOKUP(A797,Output!$A$27:$AF$137,32,FALSE)*VLOOKUP('SV calc_ignore'!A797,Output!$A$27:$AG$137,33,FALSE)/IF(AnnuityMode=2,2,IF(AnnuityMode=4,4,IF(AnnuityMode=12,12,1))),0),0)</f>
        <v>0</v>
      </c>
      <c r="J797" s="227">
        <f t="shared" si="144"/>
        <v>0</v>
      </c>
      <c r="K797" s="213">
        <f t="shared" si="152"/>
        <v>0</v>
      </c>
      <c r="L797" s="209">
        <f t="shared" si="148"/>
        <v>0</v>
      </c>
      <c r="M797" s="214">
        <f t="shared" si="146"/>
        <v>0</v>
      </c>
      <c r="N797" s="211">
        <f t="shared" si="153"/>
        <v>0</v>
      </c>
      <c r="O797" s="194">
        <f t="shared" si="154"/>
        <v>0</v>
      </c>
      <c r="P797" s="212">
        <f t="shared" si="149"/>
        <v>0</v>
      </c>
      <c r="Q797">
        <f t="shared" si="145"/>
        <v>0</v>
      </c>
      <c r="X797" s="216">
        <f t="shared" si="155"/>
        <v>65</v>
      </c>
      <c r="Y797">
        <f t="shared" si="150"/>
        <v>0</v>
      </c>
    </row>
    <row r="798" spans="1:25" ht="13.5" thickBot="1" x14ac:dyDescent="0.25">
      <c r="A798" s="204">
        <f>IF(MOD(COUNT($A$10:A797),12)=0,A797+1,A797)</f>
        <v>66</v>
      </c>
      <c r="B798" s="218">
        <f t="shared" si="151"/>
        <v>9</v>
      </c>
      <c r="C798" s="218">
        <f t="shared" si="147"/>
        <v>1</v>
      </c>
      <c r="D798" s="208">
        <f>IF(MOD(COUNT($D$10:D797),6)=0,D797+1,D797)</f>
        <v>132</v>
      </c>
      <c r="E798" s="208">
        <f>IF(MOD(COUNT($E$10:E797),3)=0,E797+1,E797)</f>
        <v>263</v>
      </c>
      <c r="F798" s="208">
        <f>IF(MOD(COUNT($F$10:F797),1)=0,F797+1,F797)</f>
        <v>789</v>
      </c>
      <c r="G798" s="204">
        <f>IFERROR(IF(C798=1,VLOOKUP(A798,Output!$A$27:$AB$137,28,FALSE)/AnnuityMode,0),0)</f>
        <v>0</v>
      </c>
      <c r="H798" s="220">
        <f>IFERROR(IF(AND(MIN(A798&gt;25,Age+A798&gt;=85),B798=12),VLOOKUP(A798,Output!$A$27:$AE$137,31,FALSE),0),0)</f>
        <v>0</v>
      </c>
      <c r="I798" s="221">
        <f>IFERROR(IF(AND(MIN(A798&gt;15,A798+Age&gt;=70),C798=1),VLOOKUP(A798,Output!$A$27:$AF$137,32,FALSE)*VLOOKUP('SV calc_ignore'!A798,Output!$A$27:$AG$137,33,FALSE)/IF(AnnuityMode=2,2,IF(AnnuityMode=4,4,IF(AnnuityMode=12,12,1))),0),0)</f>
        <v>0</v>
      </c>
      <c r="J798" s="227">
        <f t="shared" si="144"/>
        <v>0</v>
      </c>
      <c r="K798" s="213">
        <f t="shared" si="152"/>
        <v>0</v>
      </c>
      <c r="L798" s="209">
        <f t="shared" si="148"/>
        <v>0</v>
      </c>
      <c r="M798" s="214">
        <f t="shared" si="146"/>
        <v>0</v>
      </c>
      <c r="N798" s="211">
        <f t="shared" si="153"/>
        <v>0</v>
      </c>
      <c r="O798" s="194">
        <f t="shared" si="154"/>
        <v>0</v>
      </c>
      <c r="P798" s="212">
        <f t="shared" si="149"/>
        <v>0</v>
      </c>
      <c r="Q798">
        <f t="shared" si="145"/>
        <v>0</v>
      </c>
      <c r="X798" s="216">
        <f t="shared" si="155"/>
        <v>65</v>
      </c>
      <c r="Y798">
        <f t="shared" si="150"/>
        <v>0</v>
      </c>
    </row>
    <row r="799" spans="1:25" ht="13.5" thickBot="1" x14ac:dyDescent="0.25">
      <c r="A799" s="204">
        <f>IF(MOD(COUNT($A$10:A798),12)=0,A798+1,A798)</f>
        <v>66</v>
      </c>
      <c r="B799" s="218">
        <f t="shared" si="151"/>
        <v>10</v>
      </c>
      <c r="C799" s="218">
        <f t="shared" si="147"/>
        <v>1</v>
      </c>
      <c r="D799" s="208">
        <f>IF(MOD(COUNT($D$10:D798),6)=0,D798+1,D798)</f>
        <v>132</v>
      </c>
      <c r="E799" s="208">
        <f>IF(MOD(COUNT($E$10:E798),3)=0,E798+1,E798)</f>
        <v>264</v>
      </c>
      <c r="F799" s="208">
        <f>IF(MOD(COUNT($F$10:F798),1)=0,F798+1,F798)</f>
        <v>790</v>
      </c>
      <c r="G799" s="204">
        <f>IFERROR(IF(C799=1,VLOOKUP(A799,Output!$A$27:$AB$137,28,FALSE)/AnnuityMode,0),0)</f>
        <v>0</v>
      </c>
      <c r="H799" s="220">
        <f>IFERROR(IF(AND(MIN(A799&gt;25,Age+A799&gt;=85),B799=12),VLOOKUP(A799,Output!$A$27:$AE$137,31,FALSE),0),0)</f>
        <v>0</v>
      </c>
      <c r="I799" s="221">
        <f>IFERROR(IF(AND(MIN(A799&gt;15,A799+Age&gt;=70),C799=1),VLOOKUP(A799,Output!$A$27:$AF$137,32,FALSE)*VLOOKUP('SV calc_ignore'!A799,Output!$A$27:$AG$137,33,FALSE)/IF(AnnuityMode=2,2,IF(AnnuityMode=4,4,IF(AnnuityMode=12,12,1))),0),0)</f>
        <v>0</v>
      </c>
      <c r="J799" s="227">
        <f t="shared" si="144"/>
        <v>0</v>
      </c>
      <c r="K799" s="213">
        <f t="shared" si="152"/>
        <v>0</v>
      </c>
      <c r="L799" s="209">
        <f t="shared" si="148"/>
        <v>0</v>
      </c>
      <c r="M799" s="214">
        <f t="shared" si="146"/>
        <v>0</v>
      </c>
      <c r="N799" s="211">
        <f t="shared" si="153"/>
        <v>0</v>
      </c>
      <c r="O799" s="194">
        <f t="shared" si="154"/>
        <v>0</v>
      </c>
      <c r="P799" s="212">
        <f t="shared" si="149"/>
        <v>0</v>
      </c>
      <c r="Q799">
        <f t="shared" si="145"/>
        <v>0</v>
      </c>
      <c r="X799" s="216">
        <f t="shared" si="155"/>
        <v>65</v>
      </c>
      <c r="Y799">
        <f t="shared" si="150"/>
        <v>0</v>
      </c>
    </row>
    <row r="800" spans="1:25" ht="13.5" thickBot="1" x14ac:dyDescent="0.25">
      <c r="A800" s="204">
        <f>IF(MOD(COUNT($A$10:A799),12)=0,A799+1,A799)</f>
        <v>66</v>
      </c>
      <c r="B800" s="218">
        <f t="shared" si="151"/>
        <v>11</v>
      </c>
      <c r="C800" s="218">
        <f t="shared" si="147"/>
        <v>1</v>
      </c>
      <c r="D800" s="208">
        <f>IF(MOD(COUNT($D$10:D799),6)=0,D799+1,D799)</f>
        <v>132</v>
      </c>
      <c r="E800" s="208">
        <f>IF(MOD(COUNT($E$10:E799),3)=0,E799+1,E799)</f>
        <v>264</v>
      </c>
      <c r="F800" s="208">
        <f>IF(MOD(COUNT($F$10:F799),1)=0,F799+1,F799)</f>
        <v>791</v>
      </c>
      <c r="G800" s="204">
        <f>IFERROR(IF(C800=1,VLOOKUP(A800,Output!$A$27:$AB$137,28,FALSE)/AnnuityMode,0),0)</f>
        <v>0</v>
      </c>
      <c r="H800" s="220">
        <f>IFERROR(IF(AND(MIN(A800&gt;25,Age+A800&gt;=85),B800=12),VLOOKUP(A800,Output!$A$27:$AE$137,31,FALSE),0),0)</f>
        <v>0</v>
      </c>
      <c r="I800" s="221">
        <f>IFERROR(IF(AND(MIN(A800&gt;15,A800+Age&gt;=70),C800=1),VLOOKUP(A800,Output!$A$27:$AF$137,32,FALSE)*VLOOKUP('SV calc_ignore'!A800,Output!$A$27:$AG$137,33,FALSE)/IF(AnnuityMode=2,2,IF(AnnuityMode=4,4,IF(AnnuityMode=12,12,1))),0),0)</f>
        <v>0</v>
      </c>
      <c r="J800" s="227">
        <f t="shared" si="144"/>
        <v>0</v>
      </c>
      <c r="K800" s="213">
        <f t="shared" si="152"/>
        <v>0</v>
      </c>
      <c r="L800" s="209">
        <f t="shared" si="148"/>
        <v>0</v>
      </c>
      <c r="M800" s="214">
        <f t="shared" si="146"/>
        <v>0</v>
      </c>
      <c r="N800" s="211">
        <f t="shared" si="153"/>
        <v>0</v>
      </c>
      <c r="O800" s="194">
        <f t="shared" si="154"/>
        <v>0</v>
      </c>
      <c r="P800" s="212">
        <f t="shared" si="149"/>
        <v>0</v>
      </c>
      <c r="Q800">
        <f t="shared" si="145"/>
        <v>0</v>
      </c>
      <c r="X800" s="216">
        <f t="shared" si="155"/>
        <v>65</v>
      </c>
      <c r="Y800">
        <f t="shared" si="150"/>
        <v>0</v>
      </c>
    </row>
    <row r="801" spans="1:25" ht="13.5" thickBot="1" x14ac:dyDescent="0.25">
      <c r="A801" s="204">
        <f>IF(MOD(COUNT($A$10:A800),12)=0,A800+1,A800)</f>
        <v>66</v>
      </c>
      <c r="B801" s="218">
        <f t="shared" si="151"/>
        <v>12</v>
      </c>
      <c r="C801" s="218">
        <f t="shared" si="147"/>
        <v>1</v>
      </c>
      <c r="D801" s="208">
        <f>IF(MOD(COUNT($D$10:D800),6)=0,D800+1,D800)</f>
        <v>132</v>
      </c>
      <c r="E801" s="208">
        <f>IF(MOD(COUNT($E$10:E800),3)=0,E800+1,E800)</f>
        <v>264</v>
      </c>
      <c r="F801" s="208">
        <f>IF(MOD(COUNT($F$10:F800),1)=0,F800+1,F800)</f>
        <v>792</v>
      </c>
      <c r="G801" s="204">
        <f>IFERROR(IF(C801=1,VLOOKUP(A801,Output!$A$27:$AB$137,28,FALSE)/AnnuityMode,0),0)</f>
        <v>0</v>
      </c>
      <c r="H801" s="220">
        <f>IFERROR(IF(AND(MIN(A801&gt;25,Age+A801&gt;=85),B801=12),VLOOKUP(A801,Output!$A$27:$AE$137,31,FALSE),0),0)</f>
        <v>0</v>
      </c>
      <c r="I801" s="221">
        <f>IFERROR(IF(AND(MIN(A801&gt;15,A801+Age&gt;=70),C801=1),VLOOKUP(A801,Output!$A$27:$AF$137,32,FALSE)*VLOOKUP('SV calc_ignore'!A801,Output!$A$27:$AG$137,33,FALSE)/IF(AnnuityMode=2,2,IF(AnnuityMode=4,4,IF(AnnuityMode=12,12,1))),0),0)</f>
        <v>0</v>
      </c>
      <c r="J801" s="227">
        <f t="shared" si="144"/>
        <v>0</v>
      </c>
      <c r="K801" s="213">
        <f t="shared" si="152"/>
        <v>0</v>
      </c>
      <c r="L801" s="209">
        <f t="shared" si="148"/>
        <v>0</v>
      </c>
      <c r="M801" s="214">
        <f t="shared" si="146"/>
        <v>0</v>
      </c>
      <c r="N801" s="211">
        <f t="shared" si="153"/>
        <v>0</v>
      </c>
      <c r="O801" s="194">
        <f t="shared" si="154"/>
        <v>0</v>
      </c>
      <c r="P801" s="212">
        <f t="shared" si="149"/>
        <v>0</v>
      </c>
      <c r="Q801">
        <f t="shared" si="145"/>
        <v>0</v>
      </c>
      <c r="X801" s="216">
        <f t="shared" si="155"/>
        <v>65</v>
      </c>
      <c r="Y801">
        <f t="shared" si="150"/>
        <v>0</v>
      </c>
    </row>
    <row r="802" spans="1:25" ht="13.5" thickBot="1" x14ac:dyDescent="0.25">
      <c r="A802" s="204">
        <f>IF(MOD(COUNT($A$10:A801),12)=0,A801+1,A801)</f>
        <v>67</v>
      </c>
      <c r="B802" s="218">
        <f t="shared" si="151"/>
        <v>1</v>
      </c>
      <c r="C802" s="218">
        <f t="shared" si="147"/>
        <v>1</v>
      </c>
      <c r="D802" s="208">
        <f>IF(MOD(COUNT($D$10:D801),6)=0,D801+1,D801)</f>
        <v>133</v>
      </c>
      <c r="E802" s="208">
        <f>IF(MOD(COUNT($E$10:E801),3)=0,E801+1,E801)</f>
        <v>265</v>
      </c>
      <c r="F802" s="208">
        <f>IF(MOD(COUNT($F$10:F801),1)=0,F801+1,F801)</f>
        <v>793</v>
      </c>
      <c r="G802" s="204">
        <f>IFERROR(IF(C802=1,VLOOKUP(A802,Output!$A$27:$AB$137,28,FALSE)/AnnuityMode,0),0)</f>
        <v>0</v>
      </c>
      <c r="H802" s="220">
        <f>IFERROR(IF(AND(MIN(A802&gt;25,Age+A802&gt;=85),B802=12),VLOOKUP(A802,Output!$A$27:$AE$137,31,FALSE),0),0)</f>
        <v>0</v>
      </c>
      <c r="I802" s="221">
        <f>IFERROR(IF(AND(MIN(A802&gt;15,A802+Age&gt;=70),C802=1),VLOOKUP(A802,Output!$A$27:$AF$137,32,FALSE)*VLOOKUP('SV calc_ignore'!A802,Output!$A$27:$AG$137,33,FALSE)/IF(AnnuityMode=2,2,IF(AnnuityMode=4,4,IF(AnnuityMode=12,12,1))),0),0)</f>
        <v>0</v>
      </c>
      <c r="J802" s="227">
        <f t="shared" si="144"/>
        <v>0</v>
      </c>
      <c r="K802" s="213">
        <f t="shared" si="152"/>
        <v>0</v>
      </c>
      <c r="L802" s="209">
        <f t="shared" si="148"/>
        <v>0</v>
      </c>
      <c r="M802" s="214">
        <f t="shared" si="146"/>
        <v>0</v>
      </c>
      <c r="N802" s="211">
        <f t="shared" si="153"/>
        <v>0</v>
      </c>
      <c r="O802" s="194">
        <f t="shared" si="154"/>
        <v>0</v>
      </c>
      <c r="P802" s="212">
        <f t="shared" si="149"/>
        <v>0</v>
      </c>
      <c r="Q802">
        <f t="shared" si="145"/>
        <v>0</v>
      </c>
      <c r="X802" s="216">
        <f t="shared" si="155"/>
        <v>66</v>
      </c>
      <c r="Y802">
        <f t="shared" si="150"/>
        <v>0</v>
      </c>
    </row>
    <row r="803" spans="1:25" ht="13.5" thickBot="1" x14ac:dyDescent="0.25">
      <c r="A803" s="204">
        <f>IF(MOD(COUNT($A$10:A802),12)=0,A802+1,A802)</f>
        <v>67</v>
      </c>
      <c r="B803" s="218">
        <f t="shared" si="151"/>
        <v>2</v>
      </c>
      <c r="C803" s="218">
        <f t="shared" si="147"/>
        <v>1</v>
      </c>
      <c r="D803" s="208">
        <f>IF(MOD(COUNT($D$10:D802),6)=0,D802+1,D802)</f>
        <v>133</v>
      </c>
      <c r="E803" s="208">
        <f>IF(MOD(COUNT($E$10:E802),3)=0,E802+1,E802)</f>
        <v>265</v>
      </c>
      <c r="F803" s="208">
        <f>IF(MOD(COUNT($F$10:F802),1)=0,F802+1,F802)</f>
        <v>794</v>
      </c>
      <c r="G803" s="204">
        <f>IFERROR(IF(C803=1,VLOOKUP(A803,Output!$A$27:$AB$137,28,FALSE)/AnnuityMode,0),0)</f>
        <v>0</v>
      </c>
      <c r="H803" s="220">
        <f>IFERROR(IF(AND(MIN(A803&gt;25,Age+A803&gt;=85),B803=12),VLOOKUP(A803,Output!$A$27:$AE$137,31,FALSE),0),0)</f>
        <v>0</v>
      </c>
      <c r="I803" s="221">
        <f>IFERROR(IF(AND(MIN(A803&gt;15,A803+Age&gt;=70),C803=1),VLOOKUP(A803,Output!$A$27:$AF$137,32,FALSE)*VLOOKUP('SV calc_ignore'!A803,Output!$A$27:$AG$137,33,FALSE)/IF(AnnuityMode=2,2,IF(AnnuityMode=4,4,IF(AnnuityMode=12,12,1))),0),0)</f>
        <v>0</v>
      </c>
      <c r="J803" s="227">
        <f t="shared" si="144"/>
        <v>0</v>
      </c>
      <c r="K803" s="213">
        <f t="shared" si="152"/>
        <v>0</v>
      </c>
      <c r="L803" s="209">
        <f t="shared" si="148"/>
        <v>0</v>
      </c>
      <c r="M803" s="214">
        <f t="shared" si="146"/>
        <v>0</v>
      </c>
      <c r="N803" s="211">
        <f t="shared" si="153"/>
        <v>0</v>
      </c>
      <c r="O803" s="194">
        <f t="shared" si="154"/>
        <v>0</v>
      </c>
      <c r="P803" s="212">
        <f t="shared" si="149"/>
        <v>0</v>
      </c>
      <c r="Q803">
        <f t="shared" si="145"/>
        <v>0</v>
      </c>
      <c r="X803" s="216">
        <f t="shared" si="155"/>
        <v>66</v>
      </c>
      <c r="Y803">
        <f t="shared" si="150"/>
        <v>0</v>
      </c>
    </row>
    <row r="804" spans="1:25" ht="13.5" thickBot="1" x14ac:dyDescent="0.25">
      <c r="A804" s="204">
        <f>IF(MOD(COUNT($A$10:A803),12)=0,A803+1,A803)</f>
        <v>67</v>
      </c>
      <c r="B804" s="218">
        <f t="shared" si="151"/>
        <v>3</v>
      </c>
      <c r="C804" s="218">
        <f t="shared" si="147"/>
        <v>1</v>
      </c>
      <c r="D804" s="208">
        <f>IF(MOD(COUNT($D$10:D803),6)=0,D803+1,D803)</f>
        <v>133</v>
      </c>
      <c r="E804" s="208">
        <f>IF(MOD(COUNT($E$10:E803),3)=0,E803+1,E803)</f>
        <v>265</v>
      </c>
      <c r="F804" s="208">
        <f>IF(MOD(COUNT($F$10:F803),1)=0,F803+1,F803)</f>
        <v>795</v>
      </c>
      <c r="G804" s="204">
        <f>IFERROR(IF(C804=1,VLOOKUP(A804,Output!$A$27:$AB$137,28,FALSE)/AnnuityMode,0),0)</f>
        <v>0</v>
      </c>
      <c r="H804" s="220">
        <f>IFERROR(IF(AND(MIN(A804&gt;25,Age+A804&gt;=85),B804=12),VLOOKUP(A804,Output!$A$27:$AE$137,31,FALSE),0),0)</f>
        <v>0</v>
      </c>
      <c r="I804" s="221">
        <f>IFERROR(IF(AND(MIN(A804&gt;15,A804+Age&gt;=70),C804=1),VLOOKUP(A804,Output!$A$27:$AF$137,32,FALSE)*VLOOKUP('SV calc_ignore'!A804,Output!$A$27:$AG$137,33,FALSE)/IF(AnnuityMode=2,2,IF(AnnuityMode=4,4,IF(AnnuityMode=12,12,1))),0),0)</f>
        <v>0</v>
      </c>
      <c r="J804" s="227">
        <f t="shared" si="144"/>
        <v>0</v>
      </c>
      <c r="K804" s="213">
        <f t="shared" si="152"/>
        <v>0</v>
      </c>
      <c r="L804" s="209">
        <f t="shared" si="148"/>
        <v>0</v>
      </c>
      <c r="M804" s="214">
        <f t="shared" si="146"/>
        <v>0</v>
      </c>
      <c r="N804" s="211">
        <f t="shared" si="153"/>
        <v>0</v>
      </c>
      <c r="O804" s="194">
        <f t="shared" si="154"/>
        <v>0</v>
      </c>
      <c r="P804" s="212">
        <f t="shared" si="149"/>
        <v>0</v>
      </c>
      <c r="Q804">
        <f t="shared" si="145"/>
        <v>0</v>
      </c>
      <c r="X804" s="216">
        <f t="shared" si="155"/>
        <v>66</v>
      </c>
      <c r="Y804">
        <f t="shared" si="150"/>
        <v>0</v>
      </c>
    </row>
    <row r="805" spans="1:25" ht="13.5" thickBot="1" x14ac:dyDescent="0.25">
      <c r="A805" s="204">
        <f>IF(MOD(COUNT($A$10:A804),12)=0,A804+1,A804)</f>
        <v>67</v>
      </c>
      <c r="B805" s="218">
        <f t="shared" si="151"/>
        <v>4</v>
      </c>
      <c r="C805" s="218">
        <f t="shared" si="147"/>
        <v>1</v>
      </c>
      <c r="D805" s="208">
        <f>IF(MOD(COUNT($D$10:D804),6)=0,D804+1,D804)</f>
        <v>133</v>
      </c>
      <c r="E805" s="208">
        <f>IF(MOD(COUNT($E$10:E804),3)=0,E804+1,E804)</f>
        <v>266</v>
      </c>
      <c r="F805" s="208">
        <f>IF(MOD(COUNT($F$10:F804),1)=0,F804+1,F804)</f>
        <v>796</v>
      </c>
      <c r="G805" s="204">
        <f>IFERROR(IF(C805=1,VLOOKUP(A805,Output!$A$27:$AB$137,28,FALSE)/AnnuityMode,0),0)</f>
        <v>0</v>
      </c>
      <c r="H805" s="220">
        <f>IFERROR(IF(AND(MIN(A805&gt;25,Age+A805&gt;=85),B805=12),VLOOKUP(A805,Output!$A$27:$AE$137,31,FALSE),0),0)</f>
        <v>0</v>
      </c>
      <c r="I805" s="221">
        <f>IFERROR(IF(AND(MIN(A805&gt;15,A805+Age&gt;=70),C805=1),VLOOKUP(A805,Output!$A$27:$AF$137,32,FALSE)*VLOOKUP('SV calc_ignore'!A805,Output!$A$27:$AG$137,33,FALSE)/IF(AnnuityMode=2,2,IF(AnnuityMode=4,4,IF(AnnuityMode=12,12,1))),0),0)</f>
        <v>0</v>
      </c>
      <c r="J805" s="227">
        <f t="shared" si="144"/>
        <v>0</v>
      </c>
      <c r="K805" s="213">
        <f t="shared" si="152"/>
        <v>0</v>
      </c>
      <c r="L805" s="209">
        <f t="shared" si="148"/>
        <v>0</v>
      </c>
      <c r="M805" s="214">
        <f t="shared" si="146"/>
        <v>0</v>
      </c>
      <c r="N805" s="211">
        <f t="shared" si="153"/>
        <v>0</v>
      </c>
      <c r="O805" s="194">
        <f t="shared" si="154"/>
        <v>0</v>
      </c>
      <c r="P805" s="212">
        <f t="shared" si="149"/>
        <v>0</v>
      </c>
      <c r="Q805">
        <f t="shared" si="145"/>
        <v>0</v>
      </c>
      <c r="X805" s="216">
        <f t="shared" si="155"/>
        <v>66</v>
      </c>
      <c r="Y805">
        <f t="shared" si="150"/>
        <v>0</v>
      </c>
    </row>
    <row r="806" spans="1:25" ht="13.5" thickBot="1" x14ac:dyDescent="0.25">
      <c r="A806" s="204">
        <f>IF(MOD(COUNT($A$10:A805),12)=0,A805+1,A805)</f>
        <v>67</v>
      </c>
      <c r="B806" s="218">
        <f t="shared" si="151"/>
        <v>5</v>
      </c>
      <c r="C806" s="218">
        <f t="shared" si="147"/>
        <v>1</v>
      </c>
      <c r="D806" s="208">
        <f>IF(MOD(COUNT($D$10:D805),6)=0,D805+1,D805)</f>
        <v>133</v>
      </c>
      <c r="E806" s="208">
        <f>IF(MOD(COUNT($E$10:E805),3)=0,E805+1,E805)</f>
        <v>266</v>
      </c>
      <c r="F806" s="208">
        <f>IF(MOD(COUNT($F$10:F805),1)=0,F805+1,F805)</f>
        <v>797</v>
      </c>
      <c r="G806" s="204">
        <f>IFERROR(IF(C806=1,VLOOKUP(A806,Output!$A$27:$AB$137,28,FALSE)/AnnuityMode,0),0)</f>
        <v>0</v>
      </c>
      <c r="H806" s="220">
        <f>IFERROR(IF(AND(MIN(A806&gt;25,Age+A806&gt;=85),B806=12),VLOOKUP(A806,Output!$A$27:$AE$137,31,FALSE),0),0)</f>
        <v>0</v>
      </c>
      <c r="I806" s="221">
        <f>IFERROR(IF(AND(MIN(A806&gt;15,A806+Age&gt;=70),C806=1),VLOOKUP(A806,Output!$A$27:$AF$137,32,FALSE)*VLOOKUP('SV calc_ignore'!A806,Output!$A$27:$AG$137,33,FALSE)/IF(AnnuityMode=2,2,IF(AnnuityMode=4,4,IF(AnnuityMode=12,12,1))),0),0)</f>
        <v>0</v>
      </c>
      <c r="J806" s="227">
        <f t="shared" ref="J806:J869" si="156">G806+(J807)*(1+$K$3)^(-1)</f>
        <v>0</v>
      </c>
      <c r="K806" s="213">
        <f t="shared" si="152"/>
        <v>0</v>
      </c>
      <c r="L806" s="209">
        <f t="shared" si="148"/>
        <v>0</v>
      </c>
      <c r="M806" s="214">
        <f t="shared" si="146"/>
        <v>0</v>
      </c>
      <c r="N806" s="211">
        <f t="shared" si="153"/>
        <v>0</v>
      </c>
      <c r="O806" s="194">
        <f t="shared" si="154"/>
        <v>0</v>
      </c>
      <c r="P806" s="212">
        <f t="shared" si="149"/>
        <v>0</v>
      </c>
      <c r="Q806">
        <f t="shared" si="145"/>
        <v>0</v>
      </c>
      <c r="X806" s="216">
        <f t="shared" si="155"/>
        <v>66</v>
      </c>
      <c r="Y806">
        <f t="shared" si="150"/>
        <v>0</v>
      </c>
    </row>
    <row r="807" spans="1:25" ht="13.5" thickBot="1" x14ac:dyDescent="0.25">
      <c r="A807" s="204">
        <f>IF(MOD(COUNT($A$10:A806),12)=0,A806+1,A806)</f>
        <v>67</v>
      </c>
      <c r="B807" s="218">
        <f t="shared" si="151"/>
        <v>6</v>
      </c>
      <c r="C807" s="218">
        <f t="shared" si="147"/>
        <v>1</v>
      </c>
      <c r="D807" s="208">
        <f>IF(MOD(COUNT($D$10:D806),6)=0,D806+1,D806)</f>
        <v>133</v>
      </c>
      <c r="E807" s="208">
        <f>IF(MOD(COUNT($E$10:E806),3)=0,E806+1,E806)</f>
        <v>266</v>
      </c>
      <c r="F807" s="208">
        <f>IF(MOD(COUNT($F$10:F806),1)=0,F806+1,F806)</f>
        <v>798</v>
      </c>
      <c r="G807" s="204">
        <f>IFERROR(IF(C807=1,VLOOKUP(A807,Output!$A$27:$AB$137,28,FALSE)/AnnuityMode,0),0)</f>
        <v>0</v>
      </c>
      <c r="H807" s="220">
        <f>IFERROR(IF(AND(MIN(A807&gt;25,Age+A807&gt;=85),B807=12),VLOOKUP(A807,Output!$A$27:$AE$137,31,FALSE),0),0)</f>
        <v>0</v>
      </c>
      <c r="I807" s="221">
        <f>IFERROR(IF(AND(MIN(A807&gt;15,A807+Age&gt;=70),C807=1),VLOOKUP(A807,Output!$A$27:$AF$137,32,FALSE)*VLOOKUP('SV calc_ignore'!A807,Output!$A$27:$AG$137,33,FALSE)/IF(AnnuityMode=2,2,IF(AnnuityMode=4,4,IF(AnnuityMode=12,12,1))),0),0)</f>
        <v>0</v>
      </c>
      <c r="J807" s="227">
        <f t="shared" si="156"/>
        <v>0</v>
      </c>
      <c r="K807" s="213">
        <f t="shared" si="152"/>
        <v>0</v>
      </c>
      <c r="L807" s="209">
        <f t="shared" si="148"/>
        <v>0</v>
      </c>
      <c r="M807" s="214">
        <f t="shared" si="146"/>
        <v>0</v>
      </c>
      <c r="N807" s="211">
        <f t="shared" si="153"/>
        <v>0</v>
      </c>
      <c r="O807" s="194">
        <f t="shared" si="154"/>
        <v>0</v>
      </c>
      <c r="P807" s="212">
        <f t="shared" si="149"/>
        <v>0</v>
      </c>
      <c r="Q807">
        <f t="shared" si="145"/>
        <v>0</v>
      </c>
      <c r="X807" s="216">
        <f t="shared" si="155"/>
        <v>66</v>
      </c>
      <c r="Y807">
        <f t="shared" si="150"/>
        <v>0</v>
      </c>
    </row>
    <row r="808" spans="1:25" ht="13.5" thickBot="1" x14ac:dyDescent="0.25">
      <c r="A808" s="204">
        <f>IF(MOD(COUNT($A$10:A807),12)=0,A807+1,A807)</f>
        <v>67</v>
      </c>
      <c r="B808" s="218">
        <f t="shared" si="151"/>
        <v>7</v>
      </c>
      <c r="C808" s="218">
        <f t="shared" si="147"/>
        <v>1</v>
      </c>
      <c r="D808" s="208">
        <f>IF(MOD(COUNT($D$10:D807),6)=0,D807+1,D807)</f>
        <v>134</v>
      </c>
      <c r="E808" s="208">
        <f>IF(MOD(COUNT($E$10:E807),3)=0,E807+1,E807)</f>
        <v>267</v>
      </c>
      <c r="F808" s="208">
        <f>IF(MOD(COUNT($F$10:F807),1)=0,F807+1,F807)</f>
        <v>799</v>
      </c>
      <c r="G808" s="204">
        <f>IFERROR(IF(C808=1,VLOOKUP(A808,Output!$A$27:$AB$137,28,FALSE)/AnnuityMode,0),0)</f>
        <v>0</v>
      </c>
      <c r="H808" s="220">
        <f>IFERROR(IF(AND(MIN(A808&gt;25,Age+A808&gt;=85),B808=12),VLOOKUP(A808,Output!$A$27:$AE$137,31,FALSE),0),0)</f>
        <v>0</v>
      </c>
      <c r="I808" s="221">
        <f>IFERROR(IF(AND(MIN(A808&gt;15,A808+Age&gt;=70),C808=1),VLOOKUP(A808,Output!$A$27:$AF$137,32,FALSE)*VLOOKUP('SV calc_ignore'!A808,Output!$A$27:$AG$137,33,FALSE)/IF(AnnuityMode=2,2,IF(AnnuityMode=4,4,IF(AnnuityMode=12,12,1))),0),0)</f>
        <v>0</v>
      </c>
      <c r="J808" s="227">
        <f t="shared" si="156"/>
        <v>0</v>
      </c>
      <c r="K808" s="213">
        <f t="shared" si="152"/>
        <v>0</v>
      </c>
      <c r="L808" s="209">
        <f t="shared" si="148"/>
        <v>0</v>
      </c>
      <c r="M808" s="214">
        <f t="shared" si="146"/>
        <v>0</v>
      </c>
      <c r="N808" s="211">
        <f t="shared" si="153"/>
        <v>0</v>
      </c>
      <c r="O808" s="194">
        <f t="shared" si="154"/>
        <v>0</v>
      </c>
      <c r="P808" s="212">
        <f t="shared" si="149"/>
        <v>0</v>
      </c>
      <c r="Q808">
        <f t="shared" si="145"/>
        <v>0</v>
      </c>
      <c r="X808" s="216">
        <f t="shared" si="155"/>
        <v>66</v>
      </c>
      <c r="Y808">
        <f t="shared" si="150"/>
        <v>0</v>
      </c>
    </row>
    <row r="809" spans="1:25" ht="13.5" thickBot="1" x14ac:dyDescent="0.25">
      <c r="A809" s="204">
        <f>IF(MOD(COUNT($A$10:A808),12)=0,A808+1,A808)</f>
        <v>67</v>
      </c>
      <c r="B809" s="218">
        <f t="shared" si="151"/>
        <v>8</v>
      </c>
      <c r="C809" s="218">
        <f t="shared" si="147"/>
        <v>1</v>
      </c>
      <c r="D809" s="208">
        <f>IF(MOD(COUNT($D$10:D808),6)=0,D808+1,D808)</f>
        <v>134</v>
      </c>
      <c r="E809" s="208">
        <f>IF(MOD(COUNT($E$10:E808),3)=0,E808+1,E808)</f>
        <v>267</v>
      </c>
      <c r="F809" s="208">
        <f>IF(MOD(COUNT($F$10:F808),1)=0,F808+1,F808)</f>
        <v>800</v>
      </c>
      <c r="G809" s="204">
        <f>IFERROR(IF(C809=1,VLOOKUP(A809,Output!$A$27:$AB$137,28,FALSE)/AnnuityMode,0),0)</f>
        <v>0</v>
      </c>
      <c r="H809" s="220">
        <f>IFERROR(IF(AND(MIN(A809&gt;25,Age+A809&gt;=85),B809=12),VLOOKUP(A809,Output!$A$27:$AE$137,31,FALSE),0),0)</f>
        <v>0</v>
      </c>
      <c r="I809" s="221">
        <f>IFERROR(IF(AND(MIN(A809&gt;15,A809+Age&gt;=70),C809=1),VLOOKUP(A809,Output!$A$27:$AF$137,32,FALSE)*VLOOKUP('SV calc_ignore'!A809,Output!$A$27:$AG$137,33,FALSE)/IF(AnnuityMode=2,2,IF(AnnuityMode=4,4,IF(AnnuityMode=12,12,1))),0),0)</f>
        <v>0</v>
      </c>
      <c r="J809" s="227">
        <f t="shared" si="156"/>
        <v>0</v>
      </c>
      <c r="K809" s="213">
        <f t="shared" si="152"/>
        <v>0</v>
      </c>
      <c r="L809" s="209">
        <f t="shared" si="148"/>
        <v>0</v>
      </c>
      <c r="M809" s="214">
        <f t="shared" si="146"/>
        <v>0</v>
      </c>
      <c r="N809" s="211">
        <f t="shared" si="153"/>
        <v>0</v>
      </c>
      <c r="O809" s="194">
        <f t="shared" si="154"/>
        <v>0</v>
      </c>
      <c r="P809" s="212">
        <f t="shared" si="149"/>
        <v>0</v>
      </c>
      <c r="Q809">
        <f t="shared" si="145"/>
        <v>0</v>
      </c>
      <c r="X809" s="216">
        <f t="shared" si="155"/>
        <v>66</v>
      </c>
      <c r="Y809">
        <f t="shared" si="150"/>
        <v>0</v>
      </c>
    </row>
    <row r="810" spans="1:25" ht="13.5" thickBot="1" x14ac:dyDescent="0.25">
      <c r="A810" s="204">
        <f>IF(MOD(COUNT($A$10:A809),12)=0,A809+1,A809)</f>
        <v>67</v>
      </c>
      <c r="B810" s="218">
        <f t="shared" si="151"/>
        <v>9</v>
      </c>
      <c r="C810" s="218">
        <f t="shared" si="147"/>
        <v>1</v>
      </c>
      <c r="D810" s="208">
        <f>IF(MOD(COUNT($D$10:D809),6)=0,D809+1,D809)</f>
        <v>134</v>
      </c>
      <c r="E810" s="208">
        <f>IF(MOD(COUNT($E$10:E809),3)=0,E809+1,E809)</f>
        <v>267</v>
      </c>
      <c r="F810" s="208">
        <f>IF(MOD(COUNT($F$10:F809),1)=0,F809+1,F809)</f>
        <v>801</v>
      </c>
      <c r="G810" s="204">
        <f>IFERROR(IF(C810=1,VLOOKUP(A810,Output!$A$27:$AB$137,28,FALSE)/AnnuityMode,0),0)</f>
        <v>0</v>
      </c>
      <c r="H810" s="220">
        <f>IFERROR(IF(AND(MIN(A810&gt;25,Age+A810&gt;=85),B810=12),VLOOKUP(A810,Output!$A$27:$AE$137,31,FALSE),0),0)</f>
        <v>0</v>
      </c>
      <c r="I810" s="221">
        <f>IFERROR(IF(AND(MIN(A810&gt;15,A810+Age&gt;=70),C810=1),VLOOKUP(A810,Output!$A$27:$AF$137,32,FALSE)*VLOOKUP('SV calc_ignore'!A810,Output!$A$27:$AG$137,33,FALSE)/IF(AnnuityMode=2,2,IF(AnnuityMode=4,4,IF(AnnuityMode=12,12,1))),0),0)</f>
        <v>0</v>
      </c>
      <c r="J810" s="227">
        <f t="shared" si="156"/>
        <v>0</v>
      </c>
      <c r="K810" s="213">
        <f t="shared" si="152"/>
        <v>0</v>
      </c>
      <c r="L810" s="209">
        <f t="shared" si="148"/>
        <v>0</v>
      </c>
      <c r="M810" s="214">
        <f t="shared" si="146"/>
        <v>0</v>
      </c>
      <c r="N810" s="211">
        <f t="shared" si="153"/>
        <v>0</v>
      </c>
      <c r="O810" s="194">
        <f t="shared" si="154"/>
        <v>0</v>
      </c>
      <c r="P810" s="212">
        <f t="shared" si="149"/>
        <v>0</v>
      </c>
      <c r="Q810">
        <f t="shared" ref="Q810:Q873" si="157">(I810+(Q811)*(1+$K$3)^(-1))*(A810&lt;=$W$5)</f>
        <v>0</v>
      </c>
      <c r="X810" s="216">
        <f t="shared" si="155"/>
        <v>66</v>
      </c>
      <c r="Y810">
        <f t="shared" si="150"/>
        <v>0</v>
      </c>
    </row>
    <row r="811" spans="1:25" ht="13.5" thickBot="1" x14ac:dyDescent="0.25">
      <c r="A811" s="204">
        <f>IF(MOD(COUNT($A$10:A810),12)=0,A810+1,A810)</f>
        <v>67</v>
      </c>
      <c r="B811" s="218">
        <f t="shared" si="151"/>
        <v>10</v>
      </c>
      <c r="C811" s="218">
        <f t="shared" si="147"/>
        <v>1</v>
      </c>
      <c r="D811" s="208">
        <f>IF(MOD(COUNT($D$10:D810),6)=0,D810+1,D810)</f>
        <v>134</v>
      </c>
      <c r="E811" s="208">
        <f>IF(MOD(COUNT($E$10:E810),3)=0,E810+1,E810)</f>
        <v>268</v>
      </c>
      <c r="F811" s="208">
        <f>IF(MOD(COUNT($F$10:F810),1)=0,F810+1,F810)</f>
        <v>802</v>
      </c>
      <c r="G811" s="204">
        <f>IFERROR(IF(C811=1,VLOOKUP(A811,Output!$A$27:$AB$137,28,FALSE)/AnnuityMode,0),0)</f>
        <v>0</v>
      </c>
      <c r="H811" s="220">
        <f>IFERROR(IF(AND(MIN(A811&gt;25,Age+A811&gt;=85),B811=12),VLOOKUP(A811,Output!$A$27:$AE$137,31,FALSE),0),0)</f>
        <v>0</v>
      </c>
      <c r="I811" s="221">
        <f>IFERROR(IF(AND(MIN(A811&gt;15,A811+Age&gt;=70),C811=1),VLOOKUP(A811,Output!$A$27:$AF$137,32,FALSE)*VLOOKUP('SV calc_ignore'!A811,Output!$A$27:$AG$137,33,FALSE)/IF(AnnuityMode=2,2,IF(AnnuityMode=4,4,IF(AnnuityMode=12,12,1))),0),0)</f>
        <v>0</v>
      </c>
      <c r="J811" s="227">
        <f t="shared" si="156"/>
        <v>0</v>
      </c>
      <c r="K811" s="213">
        <f t="shared" si="152"/>
        <v>0</v>
      </c>
      <c r="L811" s="209">
        <f t="shared" si="148"/>
        <v>0</v>
      </c>
      <c r="M811" s="214">
        <f t="shared" si="146"/>
        <v>0</v>
      </c>
      <c r="N811" s="211">
        <f t="shared" si="153"/>
        <v>0</v>
      </c>
      <c r="O811" s="194">
        <f t="shared" si="154"/>
        <v>0</v>
      </c>
      <c r="P811" s="212">
        <f t="shared" si="149"/>
        <v>0</v>
      </c>
      <c r="Q811">
        <f t="shared" si="157"/>
        <v>0</v>
      </c>
      <c r="X811" s="216">
        <f t="shared" si="155"/>
        <v>66</v>
      </c>
      <c r="Y811">
        <f t="shared" si="150"/>
        <v>0</v>
      </c>
    </row>
    <row r="812" spans="1:25" ht="13.5" thickBot="1" x14ac:dyDescent="0.25">
      <c r="A812" s="204">
        <f>IF(MOD(COUNT($A$10:A811),12)=0,A811+1,A811)</f>
        <v>67</v>
      </c>
      <c r="B812" s="218">
        <f t="shared" si="151"/>
        <v>11</v>
      </c>
      <c r="C812" s="218">
        <f t="shared" si="147"/>
        <v>1</v>
      </c>
      <c r="D812" s="208">
        <f>IF(MOD(COUNT($D$10:D811),6)=0,D811+1,D811)</f>
        <v>134</v>
      </c>
      <c r="E812" s="208">
        <f>IF(MOD(COUNT($E$10:E811),3)=0,E811+1,E811)</f>
        <v>268</v>
      </c>
      <c r="F812" s="208">
        <f>IF(MOD(COUNT($F$10:F811),1)=0,F811+1,F811)</f>
        <v>803</v>
      </c>
      <c r="G812" s="204">
        <f>IFERROR(IF(C812=1,VLOOKUP(A812,Output!$A$27:$AB$137,28,FALSE)/AnnuityMode,0),0)</f>
        <v>0</v>
      </c>
      <c r="H812" s="220">
        <f>IFERROR(IF(AND(MIN(A812&gt;25,Age+A812&gt;=85),B812=12),VLOOKUP(A812,Output!$A$27:$AE$137,31,FALSE),0),0)</f>
        <v>0</v>
      </c>
      <c r="I812" s="221">
        <f>IFERROR(IF(AND(MIN(A812&gt;15,A812+Age&gt;=70),C812=1),VLOOKUP(A812,Output!$A$27:$AF$137,32,FALSE)*VLOOKUP('SV calc_ignore'!A812,Output!$A$27:$AG$137,33,FALSE)/IF(AnnuityMode=2,2,IF(AnnuityMode=4,4,IF(AnnuityMode=12,12,1))),0),0)</f>
        <v>0</v>
      </c>
      <c r="J812" s="227">
        <f t="shared" si="156"/>
        <v>0</v>
      </c>
      <c r="K812" s="213">
        <f t="shared" si="152"/>
        <v>0</v>
      </c>
      <c r="L812" s="209">
        <f t="shared" si="148"/>
        <v>0</v>
      </c>
      <c r="M812" s="214">
        <f t="shared" si="146"/>
        <v>0</v>
      </c>
      <c r="N812" s="211">
        <f t="shared" si="153"/>
        <v>0</v>
      </c>
      <c r="O812" s="194">
        <f t="shared" si="154"/>
        <v>0</v>
      </c>
      <c r="P812" s="212">
        <f t="shared" si="149"/>
        <v>0</v>
      </c>
      <c r="Q812">
        <f t="shared" si="157"/>
        <v>0</v>
      </c>
      <c r="X812" s="216">
        <f t="shared" si="155"/>
        <v>66</v>
      </c>
      <c r="Y812">
        <f t="shared" si="150"/>
        <v>0</v>
      </c>
    </row>
    <row r="813" spans="1:25" ht="13.5" thickBot="1" x14ac:dyDescent="0.25">
      <c r="A813" s="204">
        <f>IF(MOD(COUNT($A$10:A812),12)=0,A812+1,A812)</f>
        <v>67</v>
      </c>
      <c r="B813" s="218">
        <f t="shared" si="151"/>
        <v>12</v>
      </c>
      <c r="C813" s="218">
        <f t="shared" si="147"/>
        <v>1</v>
      </c>
      <c r="D813" s="208">
        <f>IF(MOD(COUNT($D$10:D812),6)=0,D812+1,D812)</f>
        <v>134</v>
      </c>
      <c r="E813" s="208">
        <f>IF(MOD(COUNT($E$10:E812),3)=0,E812+1,E812)</f>
        <v>268</v>
      </c>
      <c r="F813" s="208">
        <f>IF(MOD(COUNT($F$10:F812),1)=0,F812+1,F812)</f>
        <v>804</v>
      </c>
      <c r="G813" s="204">
        <f>IFERROR(IF(C813=1,VLOOKUP(A813,Output!$A$27:$AB$137,28,FALSE)/AnnuityMode,0),0)</f>
        <v>0</v>
      </c>
      <c r="H813" s="220">
        <f>IFERROR(IF(AND(MIN(A813&gt;25,Age+A813&gt;=85),B813=12),VLOOKUP(A813,Output!$A$27:$AE$137,31,FALSE),0),0)</f>
        <v>0</v>
      </c>
      <c r="I813" s="221">
        <f>IFERROR(IF(AND(MIN(A813&gt;15,A813+Age&gt;=70),C813=1),VLOOKUP(A813,Output!$A$27:$AF$137,32,FALSE)*VLOOKUP('SV calc_ignore'!A813,Output!$A$27:$AG$137,33,FALSE)/IF(AnnuityMode=2,2,IF(AnnuityMode=4,4,IF(AnnuityMode=12,12,1))),0),0)</f>
        <v>0</v>
      </c>
      <c r="J813" s="227">
        <f t="shared" si="156"/>
        <v>0</v>
      </c>
      <c r="K813" s="213">
        <f t="shared" si="152"/>
        <v>0</v>
      </c>
      <c r="L813" s="209">
        <f t="shared" si="148"/>
        <v>0</v>
      </c>
      <c r="M813" s="214">
        <f t="shared" si="146"/>
        <v>0</v>
      </c>
      <c r="N813" s="211">
        <f t="shared" si="153"/>
        <v>0</v>
      </c>
      <c r="O813" s="194">
        <f t="shared" si="154"/>
        <v>0</v>
      </c>
      <c r="P813" s="212">
        <f t="shared" si="149"/>
        <v>0</v>
      </c>
      <c r="Q813">
        <f t="shared" si="157"/>
        <v>0</v>
      </c>
      <c r="X813" s="216">
        <f t="shared" si="155"/>
        <v>66</v>
      </c>
      <c r="Y813">
        <f t="shared" si="150"/>
        <v>0</v>
      </c>
    </row>
    <row r="814" spans="1:25" ht="13.5" thickBot="1" x14ac:dyDescent="0.25">
      <c r="A814" s="204">
        <f>IF(MOD(COUNT($A$10:A813),12)=0,A813+1,A813)</f>
        <v>68</v>
      </c>
      <c r="B814" s="218">
        <f t="shared" si="151"/>
        <v>1</v>
      </c>
      <c r="C814" s="218">
        <f t="shared" si="147"/>
        <v>1</v>
      </c>
      <c r="D814" s="208">
        <f>IF(MOD(COUNT($D$10:D813),6)=0,D813+1,D813)</f>
        <v>135</v>
      </c>
      <c r="E814" s="208">
        <f>IF(MOD(COUNT($E$10:E813),3)=0,E813+1,E813)</f>
        <v>269</v>
      </c>
      <c r="F814" s="208">
        <f>IF(MOD(COUNT($F$10:F813),1)=0,F813+1,F813)</f>
        <v>805</v>
      </c>
      <c r="G814" s="204">
        <f>IFERROR(IF(C814=1,VLOOKUP(A814,Output!$A$27:$AB$137,28,FALSE)/AnnuityMode,0),0)</f>
        <v>0</v>
      </c>
      <c r="H814" s="220">
        <f>IFERROR(IF(AND(MIN(A814&gt;25,Age+A814&gt;=85),B814=12),VLOOKUP(A814,Output!$A$27:$AE$137,31,FALSE),0),0)</f>
        <v>0</v>
      </c>
      <c r="I814" s="221">
        <f>IFERROR(IF(AND(MIN(A814&gt;15,A814+Age&gt;=70),C814=1),VLOOKUP(A814,Output!$A$27:$AF$137,32,FALSE)*VLOOKUP('SV calc_ignore'!A814,Output!$A$27:$AG$137,33,FALSE)/IF(AnnuityMode=2,2,IF(AnnuityMode=4,4,IF(AnnuityMode=12,12,1))),0),0)</f>
        <v>0</v>
      </c>
      <c r="J814" s="227">
        <f t="shared" si="156"/>
        <v>0</v>
      </c>
      <c r="K814" s="213">
        <f t="shared" si="152"/>
        <v>0</v>
      </c>
      <c r="L814" s="209">
        <f t="shared" si="148"/>
        <v>0</v>
      </c>
      <c r="M814" s="214">
        <f t="shared" si="146"/>
        <v>0</v>
      </c>
      <c r="N814" s="211">
        <f t="shared" si="153"/>
        <v>0</v>
      </c>
      <c r="O814" s="194">
        <f t="shared" si="154"/>
        <v>0</v>
      </c>
      <c r="P814" s="212">
        <f t="shared" si="149"/>
        <v>0</v>
      </c>
      <c r="Q814">
        <f t="shared" si="157"/>
        <v>0</v>
      </c>
      <c r="X814" s="216">
        <f t="shared" si="155"/>
        <v>67</v>
      </c>
      <c r="Y814">
        <f t="shared" si="150"/>
        <v>0</v>
      </c>
    </row>
    <row r="815" spans="1:25" ht="13.5" thickBot="1" x14ac:dyDescent="0.25">
      <c r="A815" s="204">
        <f>IF(MOD(COUNT($A$10:A814),12)=0,A814+1,A814)</f>
        <v>68</v>
      </c>
      <c r="B815" s="218">
        <f t="shared" si="151"/>
        <v>2</v>
      </c>
      <c r="C815" s="218">
        <f t="shared" si="147"/>
        <v>1</v>
      </c>
      <c r="D815" s="208">
        <f>IF(MOD(COUNT($D$10:D814),6)=0,D814+1,D814)</f>
        <v>135</v>
      </c>
      <c r="E815" s="208">
        <f>IF(MOD(COUNT($E$10:E814),3)=0,E814+1,E814)</f>
        <v>269</v>
      </c>
      <c r="F815" s="208">
        <f>IF(MOD(COUNT($F$10:F814),1)=0,F814+1,F814)</f>
        <v>806</v>
      </c>
      <c r="G815" s="204">
        <f>IFERROR(IF(C815=1,VLOOKUP(A815,Output!$A$27:$AB$137,28,FALSE)/AnnuityMode,0),0)</f>
        <v>0</v>
      </c>
      <c r="H815" s="220">
        <f>IFERROR(IF(AND(MIN(A815&gt;25,Age+A815&gt;=85),B815=12),VLOOKUP(A815,Output!$A$27:$AE$137,31,FALSE),0),0)</f>
        <v>0</v>
      </c>
      <c r="I815" s="221">
        <f>IFERROR(IF(AND(MIN(A815&gt;15,A815+Age&gt;=70),C815=1),VLOOKUP(A815,Output!$A$27:$AF$137,32,FALSE)*VLOOKUP('SV calc_ignore'!A815,Output!$A$27:$AG$137,33,FALSE)/IF(AnnuityMode=2,2,IF(AnnuityMode=4,4,IF(AnnuityMode=12,12,1))),0),0)</f>
        <v>0</v>
      </c>
      <c r="J815" s="227">
        <f t="shared" si="156"/>
        <v>0</v>
      </c>
      <c r="K815" s="213">
        <f t="shared" si="152"/>
        <v>0</v>
      </c>
      <c r="L815" s="209">
        <f t="shared" si="148"/>
        <v>0</v>
      </c>
      <c r="M815" s="214">
        <f t="shared" si="146"/>
        <v>0</v>
      </c>
      <c r="N815" s="211">
        <f t="shared" si="153"/>
        <v>0</v>
      </c>
      <c r="O815" s="194">
        <f t="shared" si="154"/>
        <v>0</v>
      </c>
      <c r="P815" s="212">
        <f t="shared" si="149"/>
        <v>0</v>
      </c>
      <c r="Q815">
        <f t="shared" si="157"/>
        <v>0</v>
      </c>
      <c r="X815" s="216">
        <f t="shared" si="155"/>
        <v>67</v>
      </c>
      <c r="Y815">
        <f t="shared" si="150"/>
        <v>0</v>
      </c>
    </row>
    <row r="816" spans="1:25" ht="13.5" thickBot="1" x14ac:dyDescent="0.25">
      <c r="A816" s="204">
        <f>IF(MOD(COUNT($A$10:A815),12)=0,A815+1,A815)</f>
        <v>68</v>
      </c>
      <c r="B816" s="218">
        <f t="shared" si="151"/>
        <v>3</v>
      </c>
      <c r="C816" s="218">
        <f t="shared" si="147"/>
        <v>1</v>
      </c>
      <c r="D816" s="208">
        <f>IF(MOD(COUNT($D$10:D815),6)=0,D815+1,D815)</f>
        <v>135</v>
      </c>
      <c r="E816" s="208">
        <f>IF(MOD(COUNT($E$10:E815),3)=0,E815+1,E815)</f>
        <v>269</v>
      </c>
      <c r="F816" s="208">
        <f>IF(MOD(COUNT($F$10:F815),1)=0,F815+1,F815)</f>
        <v>807</v>
      </c>
      <c r="G816" s="204">
        <f>IFERROR(IF(C816=1,VLOOKUP(A816,Output!$A$27:$AB$137,28,FALSE)/AnnuityMode,0),0)</f>
        <v>0</v>
      </c>
      <c r="H816" s="220">
        <f>IFERROR(IF(AND(MIN(A816&gt;25,Age+A816&gt;=85),B816=12),VLOOKUP(A816,Output!$A$27:$AE$137,31,FALSE),0),0)</f>
        <v>0</v>
      </c>
      <c r="I816" s="221">
        <f>IFERROR(IF(AND(MIN(A816&gt;15,A816+Age&gt;=70),C816=1),VLOOKUP(A816,Output!$A$27:$AF$137,32,FALSE)*VLOOKUP('SV calc_ignore'!A816,Output!$A$27:$AG$137,33,FALSE)/IF(AnnuityMode=2,2,IF(AnnuityMode=4,4,IF(AnnuityMode=12,12,1))),0),0)</f>
        <v>0</v>
      </c>
      <c r="J816" s="227">
        <f t="shared" si="156"/>
        <v>0</v>
      </c>
      <c r="K816" s="213">
        <f t="shared" si="152"/>
        <v>0</v>
      </c>
      <c r="L816" s="209">
        <f t="shared" si="148"/>
        <v>0</v>
      </c>
      <c r="M816" s="214">
        <f t="shared" si="146"/>
        <v>0</v>
      </c>
      <c r="N816" s="211">
        <f t="shared" si="153"/>
        <v>0</v>
      </c>
      <c r="O816" s="194">
        <f t="shared" si="154"/>
        <v>0</v>
      </c>
      <c r="P816" s="212">
        <f t="shared" si="149"/>
        <v>0</v>
      </c>
      <c r="Q816">
        <f t="shared" si="157"/>
        <v>0</v>
      </c>
      <c r="X816" s="216">
        <f t="shared" si="155"/>
        <v>67</v>
      </c>
      <c r="Y816">
        <f t="shared" si="150"/>
        <v>0</v>
      </c>
    </row>
    <row r="817" spans="1:25" ht="13.5" thickBot="1" x14ac:dyDescent="0.25">
      <c r="A817" s="204">
        <f>IF(MOD(COUNT($A$10:A816),12)=0,A816+1,A816)</f>
        <v>68</v>
      </c>
      <c r="B817" s="218">
        <f t="shared" si="151"/>
        <v>4</v>
      </c>
      <c r="C817" s="218">
        <f t="shared" si="147"/>
        <v>1</v>
      </c>
      <c r="D817" s="208">
        <f>IF(MOD(COUNT($D$10:D816),6)=0,D816+1,D816)</f>
        <v>135</v>
      </c>
      <c r="E817" s="208">
        <f>IF(MOD(COUNT($E$10:E816),3)=0,E816+1,E816)</f>
        <v>270</v>
      </c>
      <c r="F817" s="208">
        <f>IF(MOD(COUNT($F$10:F816),1)=0,F816+1,F816)</f>
        <v>808</v>
      </c>
      <c r="G817" s="204">
        <f>IFERROR(IF(C817=1,VLOOKUP(A817,Output!$A$27:$AB$137,28,FALSE)/AnnuityMode,0),0)</f>
        <v>0</v>
      </c>
      <c r="H817" s="220">
        <f>IFERROR(IF(AND(MIN(A817&gt;25,Age+A817&gt;=85),B817=12),VLOOKUP(A817,Output!$A$27:$AE$137,31,FALSE),0),0)</f>
        <v>0</v>
      </c>
      <c r="I817" s="221">
        <f>IFERROR(IF(AND(MIN(A817&gt;15,A817+Age&gt;=70),C817=1),VLOOKUP(A817,Output!$A$27:$AF$137,32,FALSE)*VLOOKUP('SV calc_ignore'!A817,Output!$A$27:$AG$137,33,FALSE)/IF(AnnuityMode=2,2,IF(AnnuityMode=4,4,IF(AnnuityMode=12,12,1))),0),0)</f>
        <v>0</v>
      </c>
      <c r="J817" s="227">
        <f t="shared" si="156"/>
        <v>0</v>
      </c>
      <c r="K817" s="213">
        <f t="shared" si="152"/>
        <v>0</v>
      </c>
      <c r="L817" s="209">
        <f t="shared" si="148"/>
        <v>0</v>
      </c>
      <c r="M817" s="214">
        <f t="shared" si="146"/>
        <v>0</v>
      </c>
      <c r="N817" s="211">
        <f t="shared" si="153"/>
        <v>0</v>
      </c>
      <c r="O817" s="194">
        <f t="shared" si="154"/>
        <v>0</v>
      </c>
      <c r="P817" s="212">
        <f t="shared" si="149"/>
        <v>0</v>
      </c>
      <c r="Q817">
        <f t="shared" si="157"/>
        <v>0</v>
      </c>
      <c r="X817" s="216">
        <f t="shared" si="155"/>
        <v>67</v>
      </c>
      <c r="Y817">
        <f t="shared" si="150"/>
        <v>0</v>
      </c>
    </row>
    <row r="818" spans="1:25" ht="13.5" thickBot="1" x14ac:dyDescent="0.25">
      <c r="A818" s="204">
        <f>IF(MOD(COUNT($A$10:A817),12)=0,A817+1,A817)</f>
        <v>68</v>
      </c>
      <c r="B818" s="218">
        <f t="shared" si="151"/>
        <v>5</v>
      </c>
      <c r="C818" s="218">
        <f t="shared" si="147"/>
        <v>1</v>
      </c>
      <c r="D818" s="208">
        <f>IF(MOD(COUNT($D$10:D817),6)=0,D817+1,D817)</f>
        <v>135</v>
      </c>
      <c r="E818" s="208">
        <f>IF(MOD(COUNT($E$10:E817),3)=0,E817+1,E817)</f>
        <v>270</v>
      </c>
      <c r="F818" s="208">
        <f>IF(MOD(COUNT($F$10:F817),1)=0,F817+1,F817)</f>
        <v>809</v>
      </c>
      <c r="G818" s="204">
        <f>IFERROR(IF(C818=1,VLOOKUP(A818,Output!$A$27:$AB$137,28,FALSE)/AnnuityMode,0),0)</f>
        <v>0</v>
      </c>
      <c r="H818" s="220">
        <f>IFERROR(IF(AND(MIN(A818&gt;25,Age+A818&gt;=85),B818=12),VLOOKUP(A818,Output!$A$27:$AE$137,31,FALSE),0),0)</f>
        <v>0</v>
      </c>
      <c r="I818" s="221">
        <f>IFERROR(IF(AND(MIN(A818&gt;15,A818+Age&gt;=70),C818=1),VLOOKUP(A818,Output!$A$27:$AF$137,32,FALSE)*VLOOKUP('SV calc_ignore'!A818,Output!$A$27:$AG$137,33,FALSE)/IF(AnnuityMode=2,2,IF(AnnuityMode=4,4,IF(AnnuityMode=12,12,1))),0),0)</f>
        <v>0</v>
      </c>
      <c r="J818" s="227">
        <f t="shared" si="156"/>
        <v>0</v>
      </c>
      <c r="K818" s="213">
        <f t="shared" si="152"/>
        <v>0</v>
      </c>
      <c r="L818" s="209">
        <f t="shared" si="148"/>
        <v>0</v>
      </c>
      <c r="M818" s="214">
        <f t="shared" si="146"/>
        <v>0</v>
      </c>
      <c r="N818" s="211">
        <f t="shared" si="153"/>
        <v>0</v>
      </c>
      <c r="O818" s="194">
        <f t="shared" si="154"/>
        <v>0</v>
      </c>
      <c r="P818" s="212">
        <f t="shared" si="149"/>
        <v>0</v>
      </c>
      <c r="Q818">
        <f t="shared" si="157"/>
        <v>0</v>
      </c>
      <c r="X818" s="216">
        <f t="shared" si="155"/>
        <v>67</v>
      </c>
      <c r="Y818">
        <f t="shared" si="150"/>
        <v>0</v>
      </c>
    </row>
    <row r="819" spans="1:25" ht="13.5" thickBot="1" x14ac:dyDescent="0.25">
      <c r="A819" s="204">
        <f>IF(MOD(COUNT($A$10:A818),12)=0,A818+1,A818)</f>
        <v>68</v>
      </c>
      <c r="B819" s="218">
        <f t="shared" si="151"/>
        <v>6</v>
      </c>
      <c r="C819" s="218">
        <f t="shared" si="147"/>
        <v>1</v>
      </c>
      <c r="D819" s="208">
        <f>IF(MOD(COUNT($D$10:D818),6)=0,D818+1,D818)</f>
        <v>135</v>
      </c>
      <c r="E819" s="208">
        <f>IF(MOD(COUNT($E$10:E818),3)=0,E818+1,E818)</f>
        <v>270</v>
      </c>
      <c r="F819" s="208">
        <f>IF(MOD(COUNT($F$10:F818),1)=0,F818+1,F818)</f>
        <v>810</v>
      </c>
      <c r="G819" s="204">
        <f>IFERROR(IF(C819=1,VLOOKUP(A819,Output!$A$27:$AB$137,28,FALSE)/AnnuityMode,0),0)</f>
        <v>0</v>
      </c>
      <c r="H819" s="220">
        <f>IFERROR(IF(AND(MIN(A819&gt;25,Age+A819&gt;=85),B819=12),VLOOKUP(A819,Output!$A$27:$AE$137,31,FALSE),0),0)</f>
        <v>0</v>
      </c>
      <c r="I819" s="221">
        <f>IFERROR(IF(AND(MIN(A819&gt;15,A819+Age&gt;=70),C819=1),VLOOKUP(A819,Output!$A$27:$AF$137,32,FALSE)*VLOOKUP('SV calc_ignore'!A819,Output!$A$27:$AG$137,33,FALSE)/IF(AnnuityMode=2,2,IF(AnnuityMode=4,4,IF(AnnuityMode=12,12,1))),0),0)</f>
        <v>0</v>
      </c>
      <c r="J819" s="227">
        <f t="shared" si="156"/>
        <v>0</v>
      </c>
      <c r="K819" s="213">
        <f t="shared" si="152"/>
        <v>0</v>
      </c>
      <c r="L819" s="209">
        <f t="shared" si="148"/>
        <v>0</v>
      </c>
      <c r="M819" s="214">
        <f t="shared" si="146"/>
        <v>0</v>
      </c>
      <c r="N819" s="211">
        <f t="shared" si="153"/>
        <v>0</v>
      </c>
      <c r="O819" s="194">
        <f t="shared" si="154"/>
        <v>0</v>
      </c>
      <c r="P819" s="212">
        <f t="shared" si="149"/>
        <v>0</v>
      </c>
      <c r="Q819">
        <f t="shared" si="157"/>
        <v>0</v>
      </c>
      <c r="X819" s="216">
        <f t="shared" si="155"/>
        <v>67</v>
      </c>
      <c r="Y819">
        <f t="shared" si="150"/>
        <v>0</v>
      </c>
    </row>
    <row r="820" spans="1:25" ht="13.5" thickBot="1" x14ac:dyDescent="0.25">
      <c r="A820" s="204">
        <f>IF(MOD(COUNT($A$10:A819),12)=0,A819+1,A819)</f>
        <v>68</v>
      </c>
      <c r="B820" s="218">
        <f t="shared" si="151"/>
        <v>7</v>
      </c>
      <c r="C820" s="218">
        <f t="shared" si="147"/>
        <v>1</v>
      </c>
      <c r="D820" s="208">
        <f>IF(MOD(COUNT($D$10:D819),6)=0,D819+1,D819)</f>
        <v>136</v>
      </c>
      <c r="E820" s="208">
        <f>IF(MOD(COUNT($E$10:E819),3)=0,E819+1,E819)</f>
        <v>271</v>
      </c>
      <c r="F820" s="208">
        <f>IF(MOD(COUNT($F$10:F819),1)=0,F819+1,F819)</f>
        <v>811</v>
      </c>
      <c r="G820" s="204">
        <f>IFERROR(IF(C820=1,VLOOKUP(A820,Output!$A$27:$AB$137,28,FALSE)/AnnuityMode,0),0)</f>
        <v>0</v>
      </c>
      <c r="H820" s="220">
        <f>IFERROR(IF(AND(MIN(A820&gt;25,Age+A820&gt;=85),B820=12),VLOOKUP(A820,Output!$A$27:$AE$137,31,FALSE),0),0)</f>
        <v>0</v>
      </c>
      <c r="I820" s="221">
        <f>IFERROR(IF(AND(MIN(A820&gt;15,A820+Age&gt;=70),C820=1),VLOOKUP(A820,Output!$A$27:$AF$137,32,FALSE)*VLOOKUP('SV calc_ignore'!A820,Output!$A$27:$AG$137,33,FALSE)/IF(AnnuityMode=2,2,IF(AnnuityMode=4,4,IF(AnnuityMode=12,12,1))),0),0)</f>
        <v>0</v>
      </c>
      <c r="J820" s="227">
        <f t="shared" si="156"/>
        <v>0</v>
      </c>
      <c r="K820" s="213">
        <f t="shared" si="152"/>
        <v>0</v>
      </c>
      <c r="L820" s="209">
        <f t="shared" si="148"/>
        <v>0</v>
      </c>
      <c r="M820" s="214">
        <f t="shared" si="146"/>
        <v>0</v>
      </c>
      <c r="N820" s="211">
        <f t="shared" si="153"/>
        <v>0</v>
      </c>
      <c r="O820" s="194">
        <f t="shared" si="154"/>
        <v>0</v>
      </c>
      <c r="P820" s="212">
        <f t="shared" si="149"/>
        <v>0</v>
      </c>
      <c r="Q820">
        <f t="shared" si="157"/>
        <v>0</v>
      </c>
      <c r="X820" s="216">
        <f t="shared" si="155"/>
        <v>67</v>
      </c>
      <c r="Y820">
        <f t="shared" si="150"/>
        <v>0</v>
      </c>
    </row>
    <row r="821" spans="1:25" ht="13.5" thickBot="1" x14ac:dyDescent="0.25">
      <c r="A821" s="204">
        <f>IF(MOD(COUNT($A$10:A820),12)=0,A820+1,A820)</f>
        <v>68</v>
      </c>
      <c r="B821" s="218">
        <f t="shared" si="151"/>
        <v>8</v>
      </c>
      <c r="C821" s="218">
        <f t="shared" si="147"/>
        <v>1</v>
      </c>
      <c r="D821" s="208">
        <f>IF(MOD(COUNT($D$10:D820),6)=0,D820+1,D820)</f>
        <v>136</v>
      </c>
      <c r="E821" s="208">
        <f>IF(MOD(COUNT($E$10:E820),3)=0,E820+1,E820)</f>
        <v>271</v>
      </c>
      <c r="F821" s="208">
        <f>IF(MOD(COUNT($F$10:F820),1)=0,F820+1,F820)</f>
        <v>812</v>
      </c>
      <c r="G821" s="204">
        <f>IFERROR(IF(C821=1,VLOOKUP(A821,Output!$A$27:$AB$137,28,FALSE)/AnnuityMode,0),0)</f>
        <v>0</v>
      </c>
      <c r="H821" s="220">
        <f>IFERROR(IF(AND(MIN(A821&gt;25,Age+A821&gt;=85),B821=12),VLOOKUP(A821,Output!$A$27:$AE$137,31,FALSE),0),0)</f>
        <v>0</v>
      </c>
      <c r="I821" s="221">
        <f>IFERROR(IF(AND(MIN(A821&gt;15,A821+Age&gt;=70),C821=1),VLOOKUP(A821,Output!$A$27:$AF$137,32,FALSE)*VLOOKUP('SV calc_ignore'!A821,Output!$A$27:$AG$137,33,FALSE)/IF(AnnuityMode=2,2,IF(AnnuityMode=4,4,IF(AnnuityMode=12,12,1))),0),0)</f>
        <v>0</v>
      </c>
      <c r="J821" s="227">
        <f t="shared" si="156"/>
        <v>0</v>
      </c>
      <c r="K821" s="213">
        <f t="shared" si="152"/>
        <v>0</v>
      </c>
      <c r="L821" s="209">
        <f t="shared" si="148"/>
        <v>0</v>
      </c>
      <c r="M821" s="214">
        <f t="shared" si="146"/>
        <v>0</v>
      </c>
      <c r="N821" s="211">
        <f t="shared" si="153"/>
        <v>0</v>
      </c>
      <c r="O821" s="194">
        <f t="shared" si="154"/>
        <v>0</v>
      </c>
      <c r="P821" s="212">
        <f t="shared" si="149"/>
        <v>0</v>
      </c>
      <c r="Q821">
        <f t="shared" si="157"/>
        <v>0</v>
      </c>
      <c r="X821" s="216">
        <f t="shared" si="155"/>
        <v>67</v>
      </c>
      <c r="Y821">
        <f t="shared" si="150"/>
        <v>0</v>
      </c>
    </row>
    <row r="822" spans="1:25" ht="13.5" thickBot="1" x14ac:dyDescent="0.25">
      <c r="A822" s="204">
        <f>IF(MOD(COUNT($A$10:A821),12)=0,A821+1,A821)</f>
        <v>68</v>
      </c>
      <c r="B822" s="218">
        <f t="shared" si="151"/>
        <v>9</v>
      </c>
      <c r="C822" s="218">
        <f t="shared" si="147"/>
        <v>1</v>
      </c>
      <c r="D822" s="208">
        <f>IF(MOD(COUNT($D$10:D821),6)=0,D821+1,D821)</f>
        <v>136</v>
      </c>
      <c r="E822" s="208">
        <f>IF(MOD(COUNT($E$10:E821),3)=0,E821+1,E821)</f>
        <v>271</v>
      </c>
      <c r="F822" s="208">
        <f>IF(MOD(COUNT($F$10:F821),1)=0,F821+1,F821)</f>
        <v>813</v>
      </c>
      <c r="G822" s="204">
        <f>IFERROR(IF(C822=1,VLOOKUP(A822,Output!$A$27:$AB$137,28,FALSE)/AnnuityMode,0),0)</f>
        <v>0</v>
      </c>
      <c r="H822" s="220">
        <f>IFERROR(IF(AND(MIN(A822&gt;25,Age+A822&gt;=85),B822=12),VLOOKUP(A822,Output!$A$27:$AE$137,31,FALSE),0),0)</f>
        <v>0</v>
      </c>
      <c r="I822" s="221">
        <f>IFERROR(IF(AND(MIN(A822&gt;15,A822+Age&gt;=70),C822=1),VLOOKUP(A822,Output!$A$27:$AF$137,32,FALSE)*VLOOKUP('SV calc_ignore'!A822,Output!$A$27:$AG$137,33,FALSE)/IF(AnnuityMode=2,2,IF(AnnuityMode=4,4,IF(AnnuityMode=12,12,1))),0),0)</f>
        <v>0</v>
      </c>
      <c r="J822" s="227">
        <f t="shared" si="156"/>
        <v>0</v>
      </c>
      <c r="K822" s="213">
        <f t="shared" si="152"/>
        <v>0</v>
      </c>
      <c r="L822" s="209">
        <f t="shared" si="148"/>
        <v>0</v>
      </c>
      <c r="M822" s="214">
        <f t="shared" si="146"/>
        <v>0</v>
      </c>
      <c r="N822" s="211">
        <f t="shared" si="153"/>
        <v>0</v>
      </c>
      <c r="O822" s="194">
        <f t="shared" si="154"/>
        <v>0</v>
      </c>
      <c r="P822" s="212">
        <f t="shared" si="149"/>
        <v>0</v>
      </c>
      <c r="Q822">
        <f t="shared" si="157"/>
        <v>0</v>
      </c>
      <c r="X822" s="216">
        <f t="shared" si="155"/>
        <v>67</v>
      </c>
      <c r="Y822">
        <f t="shared" si="150"/>
        <v>0</v>
      </c>
    </row>
    <row r="823" spans="1:25" ht="13.5" thickBot="1" x14ac:dyDescent="0.25">
      <c r="A823" s="204">
        <f>IF(MOD(COUNT($A$10:A822),12)=0,A822+1,A822)</f>
        <v>68</v>
      </c>
      <c r="B823" s="218">
        <f t="shared" si="151"/>
        <v>10</v>
      </c>
      <c r="C823" s="218">
        <f t="shared" si="147"/>
        <v>1</v>
      </c>
      <c r="D823" s="208">
        <f>IF(MOD(COUNT($D$10:D822),6)=0,D822+1,D822)</f>
        <v>136</v>
      </c>
      <c r="E823" s="208">
        <f>IF(MOD(COUNT($E$10:E822),3)=0,E822+1,E822)</f>
        <v>272</v>
      </c>
      <c r="F823" s="208">
        <f>IF(MOD(COUNT($F$10:F822),1)=0,F822+1,F822)</f>
        <v>814</v>
      </c>
      <c r="G823" s="204">
        <f>IFERROR(IF(C823=1,VLOOKUP(A823,Output!$A$27:$AB$137,28,FALSE)/AnnuityMode,0),0)</f>
        <v>0</v>
      </c>
      <c r="H823" s="220">
        <f>IFERROR(IF(AND(MIN(A823&gt;25,Age+A823&gt;=85),B823=12),VLOOKUP(A823,Output!$A$27:$AE$137,31,FALSE),0),0)</f>
        <v>0</v>
      </c>
      <c r="I823" s="221">
        <f>IFERROR(IF(AND(MIN(A823&gt;15,A823+Age&gt;=70),C823=1),VLOOKUP(A823,Output!$A$27:$AF$137,32,FALSE)*VLOOKUP('SV calc_ignore'!A823,Output!$A$27:$AG$137,33,FALSE)/IF(AnnuityMode=2,2,IF(AnnuityMode=4,4,IF(AnnuityMode=12,12,1))),0),0)</f>
        <v>0</v>
      </c>
      <c r="J823" s="227">
        <f t="shared" si="156"/>
        <v>0</v>
      </c>
      <c r="K823" s="213">
        <f t="shared" si="152"/>
        <v>0</v>
      </c>
      <c r="L823" s="209">
        <f t="shared" si="148"/>
        <v>0</v>
      </c>
      <c r="M823" s="214">
        <f t="shared" si="146"/>
        <v>0</v>
      </c>
      <c r="N823" s="211">
        <f t="shared" si="153"/>
        <v>0</v>
      </c>
      <c r="O823" s="194">
        <f t="shared" si="154"/>
        <v>0</v>
      </c>
      <c r="P823" s="212">
        <f t="shared" si="149"/>
        <v>0</v>
      </c>
      <c r="Q823">
        <f t="shared" si="157"/>
        <v>0</v>
      </c>
      <c r="X823" s="216">
        <f t="shared" si="155"/>
        <v>67</v>
      </c>
      <c r="Y823">
        <f t="shared" si="150"/>
        <v>0</v>
      </c>
    </row>
    <row r="824" spans="1:25" ht="13.5" thickBot="1" x14ac:dyDescent="0.25">
      <c r="A824" s="204">
        <f>IF(MOD(COUNT($A$10:A823),12)=0,A823+1,A823)</f>
        <v>68</v>
      </c>
      <c r="B824" s="218">
        <f t="shared" si="151"/>
        <v>11</v>
      </c>
      <c r="C824" s="218">
        <f t="shared" si="147"/>
        <v>1</v>
      </c>
      <c r="D824" s="208">
        <f>IF(MOD(COUNT($D$10:D823),6)=0,D823+1,D823)</f>
        <v>136</v>
      </c>
      <c r="E824" s="208">
        <f>IF(MOD(COUNT($E$10:E823),3)=0,E823+1,E823)</f>
        <v>272</v>
      </c>
      <c r="F824" s="208">
        <f>IF(MOD(COUNT($F$10:F823),1)=0,F823+1,F823)</f>
        <v>815</v>
      </c>
      <c r="G824" s="204">
        <f>IFERROR(IF(C824=1,VLOOKUP(A824,Output!$A$27:$AB$137,28,FALSE)/AnnuityMode,0),0)</f>
        <v>0</v>
      </c>
      <c r="H824" s="220">
        <f>IFERROR(IF(AND(MIN(A824&gt;25,Age+A824&gt;=85),B824=12),VLOOKUP(A824,Output!$A$27:$AE$137,31,FALSE),0),0)</f>
        <v>0</v>
      </c>
      <c r="I824" s="221">
        <f>IFERROR(IF(AND(MIN(A824&gt;15,A824+Age&gt;=70),C824=1),VLOOKUP(A824,Output!$A$27:$AF$137,32,FALSE)*VLOOKUP('SV calc_ignore'!A824,Output!$A$27:$AG$137,33,FALSE)/IF(AnnuityMode=2,2,IF(AnnuityMode=4,4,IF(AnnuityMode=12,12,1))),0),0)</f>
        <v>0</v>
      </c>
      <c r="J824" s="227">
        <f t="shared" si="156"/>
        <v>0</v>
      </c>
      <c r="K824" s="213">
        <f t="shared" si="152"/>
        <v>0</v>
      </c>
      <c r="L824" s="209">
        <f t="shared" si="148"/>
        <v>0</v>
      </c>
      <c r="M824" s="214">
        <f t="shared" si="146"/>
        <v>0</v>
      </c>
      <c r="N824" s="211">
        <f t="shared" si="153"/>
        <v>0</v>
      </c>
      <c r="O824" s="194">
        <f t="shared" si="154"/>
        <v>0</v>
      </c>
      <c r="P824" s="212">
        <f t="shared" si="149"/>
        <v>0</v>
      </c>
      <c r="Q824">
        <f t="shared" si="157"/>
        <v>0</v>
      </c>
      <c r="X824" s="216">
        <f t="shared" si="155"/>
        <v>67</v>
      </c>
      <c r="Y824">
        <f t="shared" si="150"/>
        <v>0</v>
      </c>
    </row>
    <row r="825" spans="1:25" ht="13.5" thickBot="1" x14ac:dyDescent="0.25">
      <c r="A825" s="204">
        <f>IF(MOD(COUNT($A$10:A824),12)=0,A824+1,A824)</f>
        <v>68</v>
      </c>
      <c r="B825" s="218">
        <f t="shared" si="151"/>
        <v>12</v>
      </c>
      <c r="C825" s="218">
        <f t="shared" si="147"/>
        <v>1</v>
      </c>
      <c r="D825" s="208">
        <f>IF(MOD(COUNT($D$10:D824),6)=0,D824+1,D824)</f>
        <v>136</v>
      </c>
      <c r="E825" s="208">
        <f>IF(MOD(COUNT($E$10:E824),3)=0,E824+1,E824)</f>
        <v>272</v>
      </c>
      <c r="F825" s="208">
        <f>IF(MOD(COUNT($F$10:F824),1)=0,F824+1,F824)</f>
        <v>816</v>
      </c>
      <c r="G825" s="204">
        <f>IFERROR(IF(C825=1,VLOOKUP(A825,Output!$A$27:$AB$137,28,FALSE)/AnnuityMode,0),0)</f>
        <v>0</v>
      </c>
      <c r="H825" s="220">
        <f>IFERROR(IF(AND(MIN(A825&gt;25,Age+A825&gt;=85),B825=12),VLOOKUP(A825,Output!$A$27:$AE$137,31,FALSE),0),0)</f>
        <v>0</v>
      </c>
      <c r="I825" s="221">
        <f>IFERROR(IF(AND(MIN(A825&gt;15,A825+Age&gt;=70),C825=1),VLOOKUP(A825,Output!$A$27:$AF$137,32,FALSE)*VLOOKUP('SV calc_ignore'!A825,Output!$A$27:$AG$137,33,FALSE)/IF(AnnuityMode=2,2,IF(AnnuityMode=4,4,IF(AnnuityMode=12,12,1))),0),0)</f>
        <v>0</v>
      </c>
      <c r="J825" s="227">
        <f t="shared" si="156"/>
        <v>0</v>
      </c>
      <c r="K825" s="213">
        <f t="shared" si="152"/>
        <v>0</v>
      </c>
      <c r="L825" s="209">
        <f t="shared" si="148"/>
        <v>0</v>
      </c>
      <c r="M825" s="214">
        <f t="shared" si="146"/>
        <v>0</v>
      </c>
      <c r="N825" s="211">
        <f t="shared" si="153"/>
        <v>0</v>
      </c>
      <c r="O825" s="194">
        <f t="shared" si="154"/>
        <v>0</v>
      </c>
      <c r="P825" s="212">
        <f t="shared" si="149"/>
        <v>0</v>
      </c>
      <c r="Q825">
        <f t="shared" si="157"/>
        <v>0</v>
      </c>
      <c r="X825" s="216">
        <f t="shared" si="155"/>
        <v>67</v>
      </c>
      <c r="Y825">
        <f t="shared" si="150"/>
        <v>0</v>
      </c>
    </row>
    <row r="826" spans="1:25" ht="13.5" thickBot="1" x14ac:dyDescent="0.25">
      <c r="A826" s="204">
        <f>IF(MOD(COUNT($A$10:A825),12)=0,A825+1,A825)</f>
        <v>69</v>
      </c>
      <c r="B826" s="218">
        <f t="shared" si="151"/>
        <v>1</v>
      </c>
      <c r="C826" s="218">
        <f t="shared" si="147"/>
        <v>1</v>
      </c>
      <c r="D826" s="208">
        <f>IF(MOD(COUNT($D$10:D825),6)=0,D825+1,D825)</f>
        <v>137</v>
      </c>
      <c r="E826" s="208">
        <f>IF(MOD(COUNT($E$10:E825),3)=0,E825+1,E825)</f>
        <v>273</v>
      </c>
      <c r="F826" s="208">
        <f>IF(MOD(COUNT($F$10:F825),1)=0,F825+1,F825)</f>
        <v>817</v>
      </c>
      <c r="G826" s="204">
        <f>IFERROR(IF(C826=1,VLOOKUP(A826,Output!$A$27:$AB$137,28,FALSE)/AnnuityMode,0),0)</f>
        <v>0</v>
      </c>
      <c r="H826" s="220">
        <f>IFERROR(IF(AND(MIN(A826&gt;25,Age+A826&gt;=85),B826=12),VLOOKUP(A826,Output!$A$27:$AE$137,31,FALSE),0),0)</f>
        <v>0</v>
      </c>
      <c r="I826" s="221">
        <f>IFERROR(IF(AND(MIN(A826&gt;15,A826+Age&gt;=70),C826=1),VLOOKUP(A826,Output!$A$27:$AF$137,32,FALSE)*VLOOKUP('SV calc_ignore'!A826,Output!$A$27:$AG$137,33,FALSE)/IF(AnnuityMode=2,2,IF(AnnuityMode=4,4,IF(AnnuityMode=12,12,1))),0),0)</f>
        <v>0</v>
      </c>
      <c r="J826" s="227">
        <f t="shared" si="156"/>
        <v>0</v>
      </c>
      <c r="K826" s="213">
        <f t="shared" si="152"/>
        <v>0</v>
      </c>
      <c r="L826" s="209">
        <f t="shared" si="148"/>
        <v>0</v>
      </c>
      <c r="M826" s="214">
        <f t="shared" si="146"/>
        <v>0</v>
      </c>
      <c r="N826" s="211">
        <f t="shared" si="153"/>
        <v>0</v>
      </c>
      <c r="O826" s="194">
        <f t="shared" si="154"/>
        <v>0</v>
      </c>
      <c r="P826" s="212">
        <f t="shared" si="149"/>
        <v>0</v>
      </c>
      <c r="Q826">
        <f t="shared" si="157"/>
        <v>0</v>
      </c>
      <c r="X826" s="216">
        <f t="shared" si="155"/>
        <v>68</v>
      </c>
      <c r="Y826">
        <f t="shared" si="150"/>
        <v>0</v>
      </c>
    </row>
    <row r="827" spans="1:25" ht="13.5" thickBot="1" x14ac:dyDescent="0.25">
      <c r="A827" s="204">
        <f>IF(MOD(COUNT($A$10:A826),12)=0,A826+1,A826)</f>
        <v>69</v>
      </c>
      <c r="B827" s="218">
        <f t="shared" si="151"/>
        <v>2</v>
      </c>
      <c r="C827" s="218">
        <f t="shared" si="147"/>
        <v>1</v>
      </c>
      <c r="D827" s="208">
        <f>IF(MOD(COUNT($D$10:D826),6)=0,D826+1,D826)</f>
        <v>137</v>
      </c>
      <c r="E827" s="208">
        <f>IF(MOD(COUNT($E$10:E826),3)=0,E826+1,E826)</f>
        <v>273</v>
      </c>
      <c r="F827" s="208">
        <f>IF(MOD(COUNT($F$10:F826),1)=0,F826+1,F826)</f>
        <v>818</v>
      </c>
      <c r="G827" s="204">
        <f>IFERROR(IF(C827=1,VLOOKUP(A827,Output!$A$27:$AB$137,28,FALSE)/AnnuityMode,0),0)</f>
        <v>0</v>
      </c>
      <c r="H827" s="220">
        <f>IFERROR(IF(AND(MIN(A827&gt;25,Age+A827&gt;=85),B827=12),VLOOKUP(A827,Output!$A$27:$AE$137,31,FALSE),0),0)</f>
        <v>0</v>
      </c>
      <c r="I827" s="221">
        <f>IFERROR(IF(AND(MIN(A827&gt;15,A827+Age&gt;=70),C827=1),VLOOKUP(A827,Output!$A$27:$AF$137,32,FALSE)*VLOOKUP('SV calc_ignore'!A827,Output!$A$27:$AG$137,33,FALSE)/IF(AnnuityMode=2,2,IF(AnnuityMode=4,4,IF(AnnuityMode=12,12,1))),0),0)</f>
        <v>0</v>
      </c>
      <c r="J827" s="227">
        <f t="shared" si="156"/>
        <v>0</v>
      </c>
      <c r="K827" s="213">
        <f t="shared" si="152"/>
        <v>0</v>
      </c>
      <c r="L827" s="209">
        <f t="shared" si="148"/>
        <v>0</v>
      </c>
      <c r="M827" s="214">
        <f t="shared" si="146"/>
        <v>0</v>
      </c>
      <c r="N827" s="211">
        <f t="shared" si="153"/>
        <v>0</v>
      </c>
      <c r="O827" s="194">
        <f t="shared" si="154"/>
        <v>0</v>
      </c>
      <c r="P827" s="212">
        <f t="shared" si="149"/>
        <v>0</v>
      </c>
      <c r="Q827">
        <f t="shared" si="157"/>
        <v>0</v>
      </c>
      <c r="X827" s="216">
        <f t="shared" si="155"/>
        <v>68</v>
      </c>
      <c r="Y827">
        <f t="shared" si="150"/>
        <v>0</v>
      </c>
    </row>
    <row r="828" spans="1:25" ht="13.5" thickBot="1" x14ac:dyDescent="0.25">
      <c r="A828" s="204">
        <f>IF(MOD(COUNT($A$10:A827),12)=0,A827+1,A827)</f>
        <v>69</v>
      </c>
      <c r="B828" s="218">
        <f t="shared" si="151"/>
        <v>3</v>
      </c>
      <c r="C828" s="218">
        <f t="shared" si="147"/>
        <v>1</v>
      </c>
      <c r="D828" s="208">
        <f>IF(MOD(COUNT($D$10:D827),6)=0,D827+1,D827)</f>
        <v>137</v>
      </c>
      <c r="E828" s="208">
        <f>IF(MOD(COUNT($E$10:E827),3)=0,E827+1,E827)</f>
        <v>273</v>
      </c>
      <c r="F828" s="208">
        <f>IF(MOD(COUNT($F$10:F827),1)=0,F827+1,F827)</f>
        <v>819</v>
      </c>
      <c r="G828" s="204">
        <f>IFERROR(IF(C828=1,VLOOKUP(A828,Output!$A$27:$AB$137,28,FALSE)/AnnuityMode,0),0)</f>
        <v>0</v>
      </c>
      <c r="H828" s="220">
        <f>IFERROR(IF(AND(MIN(A828&gt;25,Age+A828&gt;=85),B828=12),VLOOKUP(A828,Output!$A$27:$AE$137,31,FALSE),0),0)</f>
        <v>0</v>
      </c>
      <c r="I828" s="221">
        <f>IFERROR(IF(AND(MIN(A828&gt;15,A828+Age&gt;=70),C828=1),VLOOKUP(A828,Output!$A$27:$AF$137,32,FALSE)*VLOOKUP('SV calc_ignore'!A828,Output!$A$27:$AG$137,33,FALSE)/IF(AnnuityMode=2,2,IF(AnnuityMode=4,4,IF(AnnuityMode=12,12,1))),0),0)</f>
        <v>0</v>
      </c>
      <c r="J828" s="227">
        <f t="shared" si="156"/>
        <v>0</v>
      </c>
      <c r="K828" s="213">
        <f t="shared" si="152"/>
        <v>0</v>
      </c>
      <c r="L828" s="209">
        <f t="shared" si="148"/>
        <v>0</v>
      </c>
      <c r="M828" s="214">
        <f t="shared" si="146"/>
        <v>0</v>
      </c>
      <c r="N828" s="211">
        <f t="shared" si="153"/>
        <v>0</v>
      </c>
      <c r="O828" s="194">
        <f t="shared" si="154"/>
        <v>0</v>
      </c>
      <c r="P828" s="212">
        <f t="shared" si="149"/>
        <v>0</v>
      </c>
      <c r="Q828">
        <f t="shared" si="157"/>
        <v>0</v>
      </c>
      <c r="X828" s="216">
        <f t="shared" si="155"/>
        <v>68</v>
      </c>
      <c r="Y828">
        <f t="shared" si="150"/>
        <v>0</v>
      </c>
    </row>
    <row r="829" spans="1:25" ht="13.5" thickBot="1" x14ac:dyDescent="0.25">
      <c r="A829" s="204">
        <f>IF(MOD(COUNT($A$10:A828),12)=0,A828+1,A828)</f>
        <v>69</v>
      </c>
      <c r="B829" s="218">
        <f t="shared" si="151"/>
        <v>4</v>
      </c>
      <c r="C829" s="218">
        <f t="shared" si="147"/>
        <v>1</v>
      </c>
      <c r="D829" s="208">
        <f>IF(MOD(COUNT($D$10:D828),6)=0,D828+1,D828)</f>
        <v>137</v>
      </c>
      <c r="E829" s="208">
        <f>IF(MOD(COUNT($E$10:E828),3)=0,E828+1,E828)</f>
        <v>274</v>
      </c>
      <c r="F829" s="208">
        <f>IF(MOD(COUNT($F$10:F828),1)=0,F828+1,F828)</f>
        <v>820</v>
      </c>
      <c r="G829" s="204">
        <f>IFERROR(IF(C829=1,VLOOKUP(A829,Output!$A$27:$AB$137,28,FALSE)/AnnuityMode,0),0)</f>
        <v>0</v>
      </c>
      <c r="H829" s="220">
        <f>IFERROR(IF(AND(MIN(A829&gt;25,Age+A829&gt;=85),B829=12),VLOOKUP(A829,Output!$A$27:$AE$137,31,FALSE),0),0)</f>
        <v>0</v>
      </c>
      <c r="I829" s="221">
        <f>IFERROR(IF(AND(MIN(A829&gt;15,A829+Age&gt;=70),C829=1),VLOOKUP(A829,Output!$A$27:$AF$137,32,FALSE)*VLOOKUP('SV calc_ignore'!A829,Output!$A$27:$AG$137,33,FALSE)/IF(AnnuityMode=2,2,IF(AnnuityMode=4,4,IF(AnnuityMode=12,12,1))),0),0)</f>
        <v>0</v>
      </c>
      <c r="J829" s="227">
        <f t="shared" si="156"/>
        <v>0</v>
      </c>
      <c r="K829" s="213">
        <f t="shared" si="152"/>
        <v>0</v>
      </c>
      <c r="L829" s="209">
        <f t="shared" si="148"/>
        <v>0</v>
      </c>
      <c r="M829" s="214">
        <f t="shared" si="146"/>
        <v>0</v>
      </c>
      <c r="N829" s="211">
        <f t="shared" si="153"/>
        <v>0</v>
      </c>
      <c r="O829" s="194">
        <f t="shared" si="154"/>
        <v>0</v>
      </c>
      <c r="P829" s="212">
        <f t="shared" si="149"/>
        <v>0</v>
      </c>
      <c r="Q829">
        <f t="shared" si="157"/>
        <v>0</v>
      </c>
      <c r="X829" s="216">
        <f t="shared" si="155"/>
        <v>68</v>
      </c>
      <c r="Y829">
        <f t="shared" si="150"/>
        <v>0</v>
      </c>
    </row>
    <row r="830" spans="1:25" ht="13.5" thickBot="1" x14ac:dyDescent="0.25">
      <c r="A830" s="204">
        <f>IF(MOD(COUNT($A$10:A829),12)=0,A829+1,A829)</f>
        <v>69</v>
      </c>
      <c r="B830" s="218">
        <f t="shared" si="151"/>
        <v>5</v>
      </c>
      <c r="C830" s="218">
        <f t="shared" si="147"/>
        <v>1</v>
      </c>
      <c r="D830" s="208">
        <f>IF(MOD(COUNT($D$10:D829),6)=0,D829+1,D829)</f>
        <v>137</v>
      </c>
      <c r="E830" s="208">
        <f>IF(MOD(COUNT($E$10:E829),3)=0,E829+1,E829)</f>
        <v>274</v>
      </c>
      <c r="F830" s="208">
        <f>IF(MOD(COUNT($F$10:F829),1)=0,F829+1,F829)</f>
        <v>821</v>
      </c>
      <c r="G830" s="204">
        <f>IFERROR(IF(C830=1,VLOOKUP(A830,Output!$A$27:$AB$137,28,FALSE)/AnnuityMode,0),0)</f>
        <v>0</v>
      </c>
      <c r="H830" s="220">
        <f>IFERROR(IF(AND(MIN(A830&gt;25,Age+A830&gt;=85),B830=12),VLOOKUP(A830,Output!$A$27:$AE$137,31,FALSE),0),0)</f>
        <v>0</v>
      </c>
      <c r="I830" s="221">
        <f>IFERROR(IF(AND(MIN(A830&gt;15,A830+Age&gt;=70),C830=1),VLOOKUP(A830,Output!$A$27:$AF$137,32,FALSE)*VLOOKUP('SV calc_ignore'!A830,Output!$A$27:$AG$137,33,FALSE)/IF(AnnuityMode=2,2,IF(AnnuityMode=4,4,IF(AnnuityMode=12,12,1))),0),0)</f>
        <v>0</v>
      </c>
      <c r="J830" s="227">
        <f t="shared" si="156"/>
        <v>0</v>
      </c>
      <c r="K830" s="213">
        <f t="shared" si="152"/>
        <v>0</v>
      </c>
      <c r="L830" s="209">
        <f t="shared" si="148"/>
        <v>0</v>
      </c>
      <c r="M830" s="214">
        <f t="shared" ref="M830:M893" si="158">L829*(1+$K$3)</f>
        <v>0</v>
      </c>
      <c r="N830" s="211">
        <f t="shared" si="153"/>
        <v>0</v>
      </c>
      <c r="O830" s="194">
        <f t="shared" si="154"/>
        <v>0</v>
      </c>
      <c r="P830" s="212">
        <f t="shared" si="149"/>
        <v>0</v>
      </c>
      <c r="Q830">
        <f t="shared" si="157"/>
        <v>0</v>
      </c>
      <c r="X830" s="216">
        <f t="shared" si="155"/>
        <v>68</v>
      </c>
      <c r="Y830">
        <f t="shared" si="150"/>
        <v>0</v>
      </c>
    </row>
    <row r="831" spans="1:25" ht="13.5" thickBot="1" x14ac:dyDescent="0.25">
      <c r="A831" s="204">
        <f>IF(MOD(COUNT($A$10:A830),12)=0,A830+1,A830)</f>
        <v>69</v>
      </c>
      <c r="B831" s="218">
        <f t="shared" si="151"/>
        <v>6</v>
      </c>
      <c r="C831" s="218">
        <f t="shared" si="147"/>
        <v>1</v>
      </c>
      <c r="D831" s="208">
        <f>IF(MOD(COUNT($D$10:D830),6)=0,D830+1,D830)</f>
        <v>137</v>
      </c>
      <c r="E831" s="208">
        <f>IF(MOD(COUNT($E$10:E830),3)=0,E830+1,E830)</f>
        <v>274</v>
      </c>
      <c r="F831" s="208">
        <f>IF(MOD(COUNT($F$10:F830),1)=0,F830+1,F830)</f>
        <v>822</v>
      </c>
      <c r="G831" s="204">
        <f>IFERROR(IF(C831=1,VLOOKUP(A831,Output!$A$27:$AB$137,28,FALSE)/AnnuityMode,0),0)</f>
        <v>0</v>
      </c>
      <c r="H831" s="220">
        <f>IFERROR(IF(AND(MIN(A831&gt;25,Age+A831&gt;=85),B831=12),VLOOKUP(A831,Output!$A$27:$AE$137,31,FALSE),0),0)</f>
        <v>0</v>
      </c>
      <c r="I831" s="221">
        <f>IFERROR(IF(AND(MIN(A831&gt;15,A831+Age&gt;=70),C831=1),VLOOKUP(A831,Output!$A$27:$AF$137,32,FALSE)*VLOOKUP('SV calc_ignore'!A831,Output!$A$27:$AG$137,33,FALSE)/IF(AnnuityMode=2,2,IF(AnnuityMode=4,4,IF(AnnuityMode=12,12,1))),0),0)</f>
        <v>0</v>
      </c>
      <c r="J831" s="227">
        <f t="shared" si="156"/>
        <v>0</v>
      </c>
      <c r="K831" s="213">
        <f t="shared" si="152"/>
        <v>0</v>
      </c>
      <c r="L831" s="209">
        <f t="shared" si="148"/>
        <v>0</v>
      </c>
      <c r="M831" s="214">
        <f t="shared" si="158"/>
        <v>0</v>
      </c>
      <c r="N831" s="211">
        <f t="shared" si="153"/>
        <v>0</v>
      </c>
      <c r="O831" s="194">
        <f t="shared" si="154"/>
        <v>0</v>
      </c>
      <c r="P831" s="212">
        <f t="shared" si="149"/>
        <v>0</v>
      </c>
      <c r="Q831">
        <f t="shared" si="157"/>
        <v>0</v>
      </c>
      <c r="X831" s="216">
        <f t="shared" si="155"/>
        <v>68</v>
      </c>
      <c r="Y831">
        <f t="shared" si="150"/>
        <v>0</v>
      </c>
    </row>
    <row r="832" spans="1:25" ht="13.5" thickBot="1" x14ac:dyDescent="0.25">
      <c r="A832" s="204">
        <f>IF(MOD(COUNT($A$10:A831),12)=0,A831+1,A831)</f>
        <v>69</v>
      </c>
      <c r="B832" s="218">
        <f t="shared" si="151"/>
        <v>7</v>
      </c>
      <c r="C832" s="218">
        <f t="shared" si="147"/>
        <v>1</v>
      </c>
      <c r="D832" s="208">
        <f>IF(MOD(COUNT($D$10:D831),6)=0,D831+1,D831)</f>
        <v>138</v>
      </c>
      <c r="E832" s="208">
        <f>IF(MOD(COUNT($E$10:E831),3)=0,E831+1,E831)</f>
        <v>275</v>
      </c>
      <c r="F832" s="208">
        <f>IF(MOD(COUNT($F$10:F831),1)=0,F831+1,F831)</f>
        <v>823</v>
      </c>
      <c r="G832" s="204">
        <f>IFERROR(IF(C832=1,VLOOKUP(A832,Output!$A$27:$AB$137,28,FALSE)/AnnuityMode,0),0)</f>
        <v>0</v>
      </c>
      <c r="H832" s="220">
        <f>IFERROR(IF(AND(MIN(A832&gt;25,Age+A832&gt;=85),B832=12),VLOOKUP(A832,Output!$A$27:$AE$137,31,FALSE),0),0)</f>
        <v>0</v>
      </c>
      <c r="I832" s="221">
        <f>IFERROR(IF(AND(MIN(A832&gt;15,A832+Age&gt;=70),C832=1),VLOOKUP(A832,Output!$A$27:$AF$137,32,FALSE)*VLOOKUP('SV calc_ignore'!A832,Output!$A$27:$AG$137,33,FALSE)/IF(AnnuityMode=2,2,IF(AnnuityMode=4,4,IF(AnnuityMode=12,12,1))),0),0)</f>
        <v>0</v>
      </c>
      <c r="J832" s="227">
        <f t="shared" si="156"/>
        <v>0</v>
      </c>
      <c r="K832" s="213">
        <f t="shared" si="152"/>
        <v>0</v>
      </c>
      <c r="L832" s="209">
        <f t="shared" si="148"/>
        <v>0</v>
      </c>
      <c r="M832" s="214">
        <f t="shared" si="158"/>
        <v>0</v>
      </c>
      <c r="N832" s="211">
        <f t="shared" si="153"/>
        <v>0</v>
      </c>
      <c r="O832" s="194">
        <f t="shared" si="154"/>
        <v>0</v>
      </c>
      <c r="P832" s="212">
        <f t="shared" si="149"/>
        <v>0</v>
      </c>
      <c r="Q832">
        <f t="shared" si="157"/>
        <v>0</v>
      </c>
      <c r="X832" s="216">
        <f t="shared" si="155"/>
        <v>68</v>
      </c>
      <c r="Y832">
        <f t="shared" si="150"/>
        <v>0</v>
      </c>
    </row>
    <row r="833" spans="1:25" ht="13.5" thickBot="1" x14ac:dyDescent="0.25">
      <c r="A833" s="204">
        <f>IF(MOD(COUNT($A$10:A832),12)=0,A832+1,A832)</f>
        <v>69</v>
      </c>
      <c r="B833" s="218">
        <f t="shared" si="151"/>
        <v>8</v>
      </c>
      <c r="C833" s="218">
        <f t="shared" si="147"/>
        <v>1</v>
      </c>
      <c r="D833" s="208">
        <f>IF(MOD(COUNT($D$10:D832),6)=0,D832+1,D832)</f>
        <v>138</v>
      </c>
      <c r="E833" s="208">
        <f>IF(MOD(COUNT($E$10:E832),3)=0,E832+1,E832)</f>
        <v>275</v>
      </c>
      <c r="F833" s="208">
        <f>IF(MOD(COUNT($F$10:F832),1)=0,F832+1,F832)</f>
        <v>824</v>
      </c>
      <c r="G833" s="204">
        <f>IFERROR(IF(C833=1,VLOOKUP(A833,Output!$A$27:$AB$137,28,FALSE)/AnnuityMode,0),0)</f>
        <v>0</v>
      </c>
      <c r="H833" s="220">
        <f>IFERROR(IF(AND(MIN(A833&gt;25,Age+A833&gt;=85),B833=12),VLOOKUP(A833,Output!$A$27:$AE$137,31,FALSE),0),0)</f>
        <v>0</v>
      </c>
      <c r="I833" s="221">
        <f>IFERROR(IF(AND(MIN(A833&gt;15,A833+Age&gt;=70),C833=1),VLOOKUP(A833,Output!$A$27:$AF$137,32,FALSE)*VLOOKUP('SV calc_ignore'!A833,Output!$A$27:$AG$137,33,FALSE)/IF(AnnuityMode=2,2,IF(AnnuityMode=4,4,IF(AnnuityMode=12,12,1))),0),0)</f>
        <v>0</v>
      </c>
      <c r="J833" s="227">
        <f t="shared" si="156"/>
        <v>0</v>
      </c>
      <c r="K833" s="213">
        <f t="shared" si="152"/>
        <v>0</v>
      </c>
      <c r="L833" s="209">
        <f t="shared" si="148"/>
        <v>0</v>
      </c>
      <c r="M833" s="214">
        <f t="shared" si="158"/>
        <v>0</v>
      </c>
      <c r="N833" s="211">
        <f t="shared" si="153"/>
        <v>0</v>
      </c>
      <c r="O833" s="194">
        <f t="shared" si="154"/>
        <v>0</v>
      </c>
      <c r="P833" s="212">
        <f t="shared" si="149"/>
        <v>0</v>
      </c>
      <c r="Q833">
        <f t="shared" si="157"/>
        <v>0</v>
      </c>
      <c r="X833" s="216">
        <f t="shared" si="155"/>
        <v>68</v>
      </c>
      <c r="Y833">
        <f t="shared" si="150"/>
        <v>0</v>
      </c>
    </row>
    <row r="834" spans="1:25" ht="13.5" thickBot="1" x14ac:dyDescent="0.25">
      <c r="A834" s="204">
        <f>IF(MOD(COUNT($A$10:A833),12)=0,A833+1,A833)</f>
        <v>69</v>
      </c>
      <c r="B834" s="218">
        <f t="shared" si="151"/>
        <v>9</v>
      </c>
      <c r="C834" s="218">
        <f t="shared" si="147"/>
        <v>1</v>
      </c>
      <c r="D834" s="208">
        <f>IF(MOD(COUNT($D$10:D833),6)=0,D833+1,D833)</f>
        <v>138</v>
      </c>
      <c r="E834" s="208">
        <f>IF(MOD(COUNT($E$10:E833),3)=0,E833+1,E833)</f>
        <v>275</v>
      </c>
      <c r="F834" s="208">
        <f>IF(MOD(COUNT($F$10:F833),1)=0,F833+1,F833)</f>
        <v>825</v>
      </c>
      <c r="G834" s="204">
        <f>IFERROR(IF(C834=1,VLOOKUP(A834,Output!$A$27:$AB$137,28,FALSE)/AnnuityMode,0),0)</f>
        <v>0</v>
      </c>
      <c r="H834" s="220">
        <f>IFERROR(IF(AND(MIN(A834&gt;25,Age+A834&gt;=85),B834=12),VLOOKUP(A834,Output!$A$27:$AE$137,31,FALSE),0),0)</f>
        <v>0</v>
      </c>
      <c r="I834" s="221">
        <f>IFERROR(IF(AND(MIN(A834&gt;15,A834+Age&gt;=70),C834=1),VLOOKUP(A834,Output!$A$27:$AF$137,32,FALSE)*VLOOKUP('SV calc_ignore'!A834,Output!$A$27:$AG$137,33,FALSE)/IF(AnnuityMode=2,2,IF(AnnuityMode=4,4,IF(AnnuityMode=12,12,1))),0),0)</f>
        <v>0</v>
      </c>
      <c r="J834" s="227">
        <f t="shared" si="156"/>
        <v>0</v>
      </c>
      <c r="K834" s="213">
        <f t="shared" si="152"/>
        <v>0</v>
      </c>
      <c r="L834" s="209">
        <f t="shared" si="148"/>
        <v>0</v>
      </c>
      <c r="M834" s="214">
        <f t="shared" si="158"/>
        <v>0</v>
      </c>
      <c r="N834" s="211">
        <f t="shared" si="153"/>
        <v>0</v>
      </c>
      <c r="O834" s="194">
        <f t="shared" si="154"/>
        <v>0</v>
      </c>
      <c r="P834" s="212">
        <f t="shared" si="149"/>
        <v>0</v>
      </c>
      <c r="Q834">
        <f t="shared" si="157"/>
        <v>0</v>
      </c>
      <c r="X834" s="216">
        <f t="shared" si="155"/>
        <v>68</v>
      </c>
      <c r="Y834">
        <f t="shared" si="150"/>
        <v>0</v>
      </c>
    </row>
    <row r="835" spans="1:25" ht="13.5" thickBot="1" x14ac:dyDescent="0.25">
      <c r="A835" s="204">
        <f>IF(MOD(COUNT($A$10:A834),12)=0,A834+1,A834)</f>
        <v>69</v>
      </c>
      <c r="B835" s="218">
        <f t="shared" si="151"/>
        <v>10</v>
      </c>
      <c r="C835" s="218">
        <f t="shared" si="147"/>
        <v>1</v>
      </c>
      <c r="D835" s="208">
        <f>IF(MOD(COUNT($D$10:D834),6)=0,D834+1,D834)</f>
        <v>138</v>
      </c>
      <c r="E835" s="208">
        <f>IF(MOD(COUNT($E$10:E834),3)=0,E834+1,E834)</f>
        <v>276</v>
      </c>
      <c r="F835" s="208">
        <f>IF(MOD(COUNT($F$10:F834),1)=0,F834+1,F834)</f>
        <v>826</v>
      </c>
      <c r="G835" s="204">
        <f>IFERROR(IF(C835=1,VLOOKUP(A835,Output!$A$27:$AB$137,28,FALSE)/AnnuityMode,0),0)</f>
        <v>0</v>
      </c>
      <c r="H835" s="220">
        <f>IFERROR(IF(AND(MIN(A835&gt;25,Age+A835&gt;=85),B835=12),VLOOKUP(A835,Output!$A$27:$AE$137,31,FALSE),0),0)</f>
        <v>0</v>
      </c>
      <c r="I835" s="221">
        <f>IFERROR(IF(AND(MIN(A835&gt;15,A835+Age&gt;=70),C835=1),VLOOKUP(A835,Output!$A$27:$AF$137,32,FALSE)*VLOOKUP('SV calc_ignore'!A835,Output!$A$27:$AG$137,33,FALSE)/IF(AnnuityMode=2,2,IF(AnnuityMode=4,4,IF(AnnuityMode=12,12,1))),0),0)</f>
        <v>0</v>
      </c>
      <c r="J835" s="227">
        <f t="shared" si="156"/>
        <v>0</v>
      </c>
      <c r="K835" s="213">
        <f t="shared" si="152"/>
        <v>0</v>
      </c>
      <c r="L835" s="209">
        <f t="shared" si="148"/>
        <v>0</v>
      </c>
      <c r="M835" s="214">
        <f t="shared" si="158"/>
        <v>0</v>
      </c>
      <c r="N835" s="211">
        <f t="shared" si="153"/>
        <v>0</v>
      </c>
      <c r="O835" s="194">
        <f t="shared" si="154"/>
        <v>0</v>
      </c>
      <c r="P835" s="212">
        <f t="shared" si="149"/>
        <v>0</v>
      </c>
      <c r="Q835">
        <f t="shared" si="157"/>
        <v>0</v>
      </c>
      <c r="X835" s="216">
        <f t="shared" si="155"/>
        <v>68</v>
      </c>
      <c r="Y835">
        <f t="shared" si="150"/>
        <v>0</v>
      </c>
    </row>
    <row r="836" spans="1:25" ht="13.5" thickBot="1" x14ac:dyDescent="0.25">
      <c r="A836" s="204">
        <f>IF(MOD(COUNT($A$10:A835),12)=0,A835+1,A835)</f>
        <v>69</v>
      </c>
      <c r="B836" s="218">
        <f t="shared" si="151"/>
        <v>11</v>
      </c>
      <c r="C836" s="218">
        <f t="shared" si="147"/>
        <v>1</v>
      </c>
      <c r="D836" s="208">
        <f>IF(MOD(COUNT($D$10:D835),6)=0,D835+1,D835)</f>
        <v>138</v>
      </c>
      <c r="E836" s="208">
        <f>IF(MOD(COUNT($E$10:E835),3)=0,E835+1,E835)</f>
        <v>276</v>
      </c>
      <c r="F836" s="208">
        <f>IF(MOD(COUNT($F$10:F835),1)=0,F835+1,F835)</f>
        <v>827</v>
      </c>
      <c r="G836" s="204">
        <f>IFERROR(IF(C836=1,VLOOKUP(A836,Output!$A$27:$AB$137,28,FALSE)/AnnuityMode,0),0)</f>
        <v>0</v>
      </c>
      <c r="H836" s="220">
        <f>IFERROR(IF(AND(MIN(A836&gt;25,Age+A836&gt;=85),B836=12),VLOOKUP(A836,Output!$A$27:$AE$137,31,FALSE),0),0)</f>
        <v>0</v>
      </c>
      <c r="I836" s="221">
        <f>IFERROR(IF(AND(MIN(A836&gt;15,A836+Age&gt;=70),C836=1),VLOOKUP(A836,Output!$A$27:$AF$137,32,FALSE)*VLOOKUP('SV calc_ignore'!A836,Output!$A$27:$AG$137,33,FALSE)/IF(AnnuityMode=2,2,IF(AnnuityMode=4,4,IF(AnnuityMode=12,12,1))),0),0)</f>
        <v>0</v>
      </c>
      <c r="J836" s="227">
        <f t="shared" si="156"/>
        <v>0</v>
      </c>
      <c r="K836" s="213">
        <f t="shared" si="152"/>
        <v>0</v>
      </c>
      <c r="L836" s="209">
        <f t="shared" si="148"/>
        <v>0</v>
      </c>
      <c r="M836" s="214">
        <f t="shared" si="158"/>
        <v>0</v>
      </c>
      <c r="N836" s="211">
        <f t="shared" si="153"/>
        <v>0</v>
      </c>
      <c r="O836" s="194">
        <f t="shared" si="154"/>
        <v>0</v>
      </c>
      <c r="P836" s="212">
        <f t="shared" si="149"/>
        <v>0</v>
      </c>
      <c r="Q836">
        <f t="shared" si="157"/>
        <v>0</v>
      </c>
      <c r="X836" s="216">
        <f t="shared" si="155"/>
        <v>68</v>
      </c>
      <c r="Y836">
        <f t="shared" si="150"/>
        <v>0</v>
      </c>
    </row>
    <row r="837" spans="1:25" ht="13.5" thickBot="1" x14ac:dyDescent="0.25">
      <c r="A837" s="204">
        <f>IF(MOD(COUNT($A$10:A836),12)=0,A836+1,A836)</f>
        <v>69</v>
      </c>
      <c r="B837" s="218">
        <f t="shared" si="151"/>
        <v>12</v>
      </c>
      <c r="C837" s="218">
        <f t="shared" si="147"/>
        <v>1</v>
      </c>
      <c r="D837" s="208">
        <f>IF(MOD(COUNT($D$10:D836),6)=0,D836+1,D836)</f>
        <v>138</v>
      </c>
      <c r="E837" s="208">
        <f>IF(MOD(COUNT($E$10:E836),3)=0,E836+1,E836)</f>
        <v>276</v>
      </c>
      <c r="F837" s="208">
        <f>IF(MOD(COUNT($F$10:F836),1)=0,F836+1,F836)</f>
        <v>828</v>
      </c>
      <c r="G837" s="204">
        <f>IFERROR(IF(C837=1,VLOOKUP(A837,Output!$A$27:$AB$137,28,FALSE)/AnnuityMode,0),0)</f>
        <v>0</v>
      </c>
      <c r="H837" s="220">
        <f>IFERROR(IF(AND(MIN(A837&gt;25,Age+A837&gt;=85),B837=12),VLOOKUP(A837,Output!$A$27:$AE$137,31,FALSE),0),0)</f>
        <v>0</v>
      </c>
      <c r="I837" s="221">
        <f>IFERROR(IF(AND(MIN(A837&gt;15,A837+Age&gt;=70),C837=1),VLOOKUP(A837,Output!$A$27:$AF$137,32,FALSE)*VLOOKUP('SV calc_ignore'!A837,Output!$A$27:$AG$137,33,FALSE)/IF(AnnuityMode=2,2,IF(AnnuityMode=4,4,IF(AnnuityMode=12,12,1))),0),0)</f>
        <v>0</v>
      </c>
      <c r="J837" s="227">
        <f t="shared" si="156"/>
        <v>0</v>
      </c>
      <c r="K837" s="213">
        <f t="shared" si="152"/>
        <v>0</v>
      </c>
      <c r="L837" s="209">
        <f t="shared" si="148"/>
        <v>0</v>
      </c>
      <c r="M837" s="214">
        <f t="shared" si="158"/>
        <v>0</v>
      </c>
      <c r="N837" s="211">
        <f t="shared" si="153"/>
        <v>0</v>
      </c>
      <c r="O837" s="194">
        <f t="shared" si="154"/>
        <v>0</v>
      </c>
      <c r="P837" s="212">
        <f t="shared" si="149"/>
        <v>0</v>
      </c>
      <c r="Q837">
        <f t="shared" si="157"/>
        <v>0</v>
      </c>
      <c r="X837" s="216">
        <f t="shared" si="155"/>
        <v>68</v>
      </c>
      <c r="Y837">
        <f t="shared" si="150"/>
        <v>0</v>
      </c>
    </row>
    <row r="838" spans="1:25" ht="13.5" thickBot="1" x14ac:dyDescent="0.25">
      <c r="A838" s="204">
        <f>IF(MOD(COUNT($A$10:A837),12)=0,A837+1,A837)</f>
        <v>70</v>
      </c>
      <c r="B838" s="218">
        <f t="shared" si="151"/>
        <v>1</v>
      </c>
      <c r="C838" s="218">
        <f t="shared" si="147"/>
        <v>1</v>
      </c>
      <c r="D838" s="208">
        <f>IF(MOD(COUNT($D$10:D837),6)=0,D837+1,D837)</f>
        <v>139</v>
      </c>
      <c r="E838" s="208">
        <f>IF(MOD(COUNT($E$10:E837),3)=0,E837+1,E837)</f>
        <v>277</v>
      </c>
      <c r="F838" s="208">
        <f>IF(MOD(COUNT($F$10:F837),1)=0,F837+1,F837)</f>
        <v>829</v>
      </c>
      <c r="G838" s="204">
        <f>IFERROR(IF(C838=1,VLOOKUP(A838,Output!$A$27:$AB$137,28,FALSE)/AnnuityMode,0),0)</f>
        <v>0</v>
      </c>
      <c r="H838" s="220">
        <f>IFERROR(IF(AND(MIN(A838&gt;25,Age+A838&gt;=85),B838=12),VLOOKUP(A838,Output!$A$27:$AE$137,31,FALSE),0),0)</f>
        <v>0</v>
      </c>
      <c r="I838" s="221">
        <f>IFERROR(IF(AND(MIN(A838&gt;15,A838+Age&gt;=70),C838=1),VLOOKUP(A838,Output!$A$27:$AF$137,32,FALSE)*VLOOKUP('SV calc_ignore'!A838,Output!$A$27:$AG$137,33,FALSE)/IF(AnnuityMode=2,2,IF(AnnuityMode=4,4,IF(AnnuityMode=12,12,1))),0),0)</f>
        <v>0</v>
      </c>
      <c r="J838" s="227">
        <f t="shared" si="156"/>
        <v>0</v>
      </c>
      <c r="K838" s="213">
        <f t="shared" si="152"/>
        <v>0</v>
      </c>
      <c r="L838" s="209">
        <f t="shared" si="148"/>
        <v>0</v>
      </c>
      <c r="M838" s="214">
        <f t="shared" si="158"/>
        <v>0</v>
      </c>
      <c r="N838" s="211">
        <f t="shared" si="153"/>
        <v>0</v>
      </c>
      <c r="O838" s="194">
        <f t="shared" si="154"/>
        <v>0</v>
      </c>
      <c r="P838" s="212">
        <f t="shared" si="149"/>
        <v>0</v>
      </c>
      <c r="Q838">
        <f t="shared" si="157"/>
        <v>0</v>
      </c>
      <c r="X838" s="216">
        <f t="shared" si="155"/>
        <v>69</v>
      </c>
      <c r="Y838">
        <f t="shared" si="150"/>
        <v>0</v>
      </c>
    </row>
    <row r="839" spans="1:25" ht="13.5" thickBot="1" x14ac:dyDescent="0.25">
      <c r="A839" s="204">
        <f>IF(MOD(COUNT($A$10:A838),12)=0,A838+1,A838)</f>
        <v>70</v>
      </c>
      <c r="B839" s="218">
        <f t="shared" si="151"/>
        <v>2</v>
      </c>
      <c r="C839" s="218">
        <f t="shared" si="147"/>
        <v>1</v>
      </c>
      <c r="D839" s="208">
        <f>IF(MOD(COUNT($D$10:D838),6)=0,D838+1,D838)</f>
        <v>139</v>
      </c>
      <c r="E839" s="208">
        <f>IF(MOD(COUNT($E$10:E838),3)=0,E838+1,E838)</f>
        <v>277</v>
      </c>
      <c r="F839" s="208">
        <f>IF(MOD(COUNT($F$10:F838),1)=0,F838+1,F838)</f>
        <v>830</v>
      </c>
      <c r="G839" s="204">
        <f>IFERROR(IF(C839=1,VLOOKUP(A839,Output!$A$27:$AB$137,28,FALSE)/AnnuityMode,0),0)</f>
        <v>0</v>
      </c>
      <c r="H839" s="220">
        <f>IFERROR(IF(AND(MIN(A839&gt;25,Age+A839&gt;=85),B839=12),VLOOKUP(A839,Output!$A$27:$AE$137,31,FALSE),0),0)</f>
        <v>0</v>
      </c>
      <c r="I839" s="221">
        <f>IFERROR(IF(AND(MIN(A839&gt;15,A839+Age&gt;=70),C839=1),VLOOKUP(A839,Output!$A$27:$AF$137,32,FALSE)*VLOOKUP('SV calc_ignore'!A839,Output!$A$27:$AG$137,33,FALSE)/IF(AnnuityMode=2,2,IF(AnnuityMode=4,4,IF(AnnuityMode=12,12,1))),0),0)</f>
        <v>0</v>
      </c>
      <c r="J839" s="227">
        <f t="shared" si="156"/>
        <v>0</v>
      </c>
      <c r="K839" s="213">
        <f t="shared" si="152"/>
        <v>0</v>
      </c>
      <c r="L839" s="209">
        <f t="shared" si="148"/>
        <v>0</v>
      </c>
      <c r="M839" s="214">
        <f t="shared" si="158"/>
        <v>0</v>
      </c>
      <c r="N839" s="211">
        <f t="shared" si="153"/>
        <v>0</v>
      </c>
      <c r="O839" s="194">
        <f t="shared" si="154"/>
        <v>0</v>
      </c>
      <c r="P839" s="212">
        <f t="shared" si="149"/>
        <v>0</v>
      </c>
      <c r="Q839">
        <f t="shared" si="157"/>
        <v>0</v>
      </c>
      <c r="X839" s="216">
        <f t="shared" si="155"/>
        <v>69</v>
      </c>
      <c r="Y839">
        <f t="shared" si="150"/>
        <v>0</v>
      </c>
    </row>
    <row r="840" spans="1:25" ht="13.5" thickBot="1" x14ac:dyDescent="0.25">
      <c r="A840" s="204">
        <f>IF(MOD(COUNT($A$10:A839),12)=0,A839+1,A839)</f>
        <v>70</v>
      </c>
      <c r="B840" s="218">
        <f t="shared" si="151"/>
        <v>3</v>
      </c>
      <c r="C840" s="218">
        <f t="shared" si="147"/>
        <v>1</v>
      </c>
      <c r="D840" s="208">
        <f>IF(MOD(COUNT($D$10:D839),6)=0,D839+1,D839)</f>
        <v>139</v>
      </c>
      <c r="E840" s="208">
        <f>IF(MOD(COUNT($E$10:E839),3)=0,E839+1,E839)</f>
        <v>277</v>
      </c>
      <c r="F840" s="208">
        <f>IF(MOD(COUNT($F$10:F839),1)=0,F839+1,F839)</f>
        <v>831</v>
      </c>
      <c r="G840" s="204">
        <f>IFERROR(IF(C840=1,VLOOKUP(A840,Output!$A$27:$AB$137,28,FALSE)/AnnuityMode,0),0)</f>
        <v>0</v>
      </c>
      <c r="H840" s="220">
        <f>IFERROR(IF(AND(MIN(A840&gt;25,Age+A840&gt;=85),B840=12),VLOOKUP(A840,Output!$A$27:$AE$137,31,FALSE),0),0)</f>
        <v>0</v>
      </c>
      <c r="I840" s="221">
        <f>IFERROR(IF(AND(MIN(A840&gt;15,A840+Age&gt;=70),C840=1),VLOOKUP(A840,Output!$A$27:$AF$137,32,FALSE)*VLOOKUP('SV calc_ignore'!A840,Output!$A$27:$AG$137,33,FALSE)/IF(AnnuityMode=2,2,IF(AnnuityMode=4,4,IF(AnnuityMode=12,12,1))),0),0)</f>
        <v>0</v>
      </c>
      <c r="J840" s="227">
        <f t="shared" si="156"/>
        <v>0</v>
      </c>
      <c r="K840" s="213">
        <f t="shared" si="152"/>
        <v>0</v>
      </c>
      <c r="L840" s="209">
        <f t="shared" si="148"/>
        <v>0</v>
      </c>
      <c r="M840" s="214">
        <f t="shared" si="158"/>
        <v>0</v>
      </c>
      <c r="N840" s="211">
        <f t="shared" si="153"/>
        <v>0</v>
      </c>
      <c r="O840" s="194">
        <f t="shared" si="154"/>
        <v>0</v>
      </c>
      <c r="P840" s="212">
        <f t="shared" si="149"/>
        <v>0</v>
      </c>
      <c r="Q840">
        <f t="shared" si="157"/>
        <v>0</v>
      </c>
      <c r="X840" s="216">
        <f t="shared" si="155"/>
        <v>69</v>
      </c>
      <c r="Y840">
        <f t="shared" si="150"/>
        <v>0</v>
      </c>
    </row>
    <row r="841" spans="1:25" ht="13.5" thickBot="1" x14ac:dyDescent="0.25">
      <c r="A841" s="204">
        <f>IF(MOD(COUNT($A$10:A840),12)=0,A840+1,A840)</f>
        <v>70</v>
      </c>
      <c r="B841" s="218">
        <f t="shared" si="151"/>
        <v>4</v>
      </c>
      <c r="C841" s="218">
        <f t="shared" si="147"/>
        <v>1</v>
      </c>
      <c r="D841" s="208">
        <f>IF(MOD(COUNT($D$10:D840),6)=0,D840+1,D840)</f>
        <v>139</v>
      </c>
      <c r="E841" s="208">
        <f>IF(MOD(COUNT($E$10:E840),3)=0,E840+1,E840)</f>
        <v>278</v>
      </c>
      <c r="F841" s="208">
        <f>IF(MOD(COUNT($F$10:F840),1)=0,F840+1,F840)</f>
        <v>832</v>
      </c>
      <c r="G841" s="204">
        <f>IFERROR(IF(C841=1,VLOOKUP(A841,Output!$A$27:$AB$137,28,FALSE)/AnnuityMode,0),0)</f>
        <v>0</v>
      </c>
      <c r="H841" s="220">
        <f>IFERROR(IF(AND(MIN(A841&gt;25,Age+A841&gt;=85),B841=12),VLOOKUP(A841,Output!$A$27:$AE$137,31,FALSE),0),0)</f>
        <v>0</v>
      </c>
      <c r="I841" s="221">
        <f>IFERROR(IF(AND(MIN(A841&gt;15,A841+Age&gt;=70),C841=1),VLOOKUP(A841,Output!$A$27:$AF$137,32,FALSE)*VLOOKUP('SV calc_ignore'!A841,Output!$A$27:$AG$137,33,FALSE)/IF(AnnuityMode=2,2,IF(AnnuityMode=4,4,IF(AnnuityMode=12,12,1))),0),0)</f>
        <v>0</v>
      </c>
      <c r="J841" s="227">
        <f t="shared" si="156"/>
        <v>0</v>
      </c>
      <c r="K841" s="213">
        <f t="shared" si="152"/>
        <v>0</v>
      </c>
      <c r="L841" s="209">
        <f t="shared" si="148"/>
        <v>0</v>
      </c>
      <c r="M841" s="214">
        <f t="shared" si="158"/>
        <v>0</v>
      </c>
      <c r="N841" s="211">
        <f t="shared" si="153"/>
        <v>0</v>
      </c>
      <c r="O841" s="194">
        <f t="shared" si="154"/>
        <v>0</v>
      </c>
      <c r="P841" s="212">
        <f t="shared" si="149"/>
        <v>0</v>
      </c>
      <c r="Q841">
        <f t="shared" si="157"/>
        <v>0</v>
      </c>
      <c r="X841" s="216">
        <f t="shared" si="155"/>
        <v>69</v>
      </c>
      <c r="Y841">
        <f t="shared" si="150"/>
        <v>0</v>
      </c>
    </row>
    <row r="842" spans="1:25" ht="13.5" thickBot="1" x14ac:dyDescent="0.25">
      <c r="A842" s="204">
        <f>IF(MOD(COUNT($A$10:A841),12)=0,A841+1,A841)</f>
        <v>70</v>
      </c>
      <c r="B842" s="218">
        <f t="shared" si="151"/>
        <v>5</v>
      </c>
      <c r="C842" s="218">
        <f t="shared" ref="C842:C897" si="159">IF(AND(AnnuityMode=1,B842=12),1,IF(AND(OR(B842=6,B842=12),AnnuityMode=2),1,IF(AND(OR(B842=3,B842=6,B842=12,B842=9),AnnuityMode=4),1,IF(AND(OR(B842=1,B842=2,B842=3,B842=4,B842=5,B842=6,B842=7,B842=8,B842=9,B842=10,B842=11,B842=12),AnnuityMode=12),1,0))))</f>
        <v>1</v>
      </c>
      <c r="D842" s="208">
        <f>IF(MOD(COUNT($D$10:D841),6)=0,D841+1,D841)</f>
        <v>139</v>
      </c>
      <c r="E842" s="208">
        <f>IF(MOD(COUNT($E$10:E841),3)=0,E841+1,E841)</f>
        <v>278</v>
      </c>
      <c r="F842" s="208">
        <f>IF(MOD(COUNT($F$10:F841),1)=0,F841+1,F841)</f>
        <v>833</v>
      </c>
      <c r="G842" s="204">
        <f>IFERROR(IF(C842=1,VLOOKUP(A842,Output!$A$27:$AB$137,28,FALSE)/AnnuityMode,0),0)</f>
        <v>0</v>
      </c>
      <c r="H842" s="220">
        <f>IFERROR(IF(AND(MIN(A842&gt;25,Age+A842&gt;=85),B842=12),VLOOKUP(A842,Output!$A$27:$AE$137,31,FALSE),0),0)</f>
        <v>0</v>
      </c>
      <c r="I842" s="221">
        <f>IFERROR(IF(AND(MIN(A842&gt;15,A842+Age&gt;=70),C842=1),VLOOKUP(A842,Output!$A$27:$AF$137,32,FALSE)*VLOOKUP('SV calc_ignore'!A842,Output!$A$27:$AG$137,33,FALSE)/IF(AnnuityMode=2,2,IF(AnnuityMode=4,4,IF(AnnuityMode=12,12,1))),0),0)</f>
        <v>0</v>
      </c>
      <c r="J842" s="227">
        <f t="shared" si="156"/>
        <v>0</v>
      </c>
      <c r="K842" s="213">
        <f t="shared" si="152"/>
        <v>0</v>
      </c>
      <c r="L842" s="209">
        <f t="shared" ref="L842:L897" si="160">(L843+G843)*$K$2</f>
        <v>0</v>
      </c>
      <c r="M842" s="214">
        <f t="shared" si="158"/>
        <v>0</v>
      </c>
      <c r="N842" s="211">
        <f t="shared" si="153"/>
        <v>0</v>
      </c>
      <c r="O842" s="194">
        <f t="shared" si="154"/>
        <v>0</v>
      </c>
      <c r="P842" s="212">
        <f t="shared" ref="P842:P905" si="161">(P843+H843)*(1+$K$3)^(-1)</f>
        <v>0</v>
      </c>
      <c r="Q842">
        <f t="shared" si="157"/>
        <v>0</v>
      </c>
      <c r="X842" s="216">
        <f t="shared" si="155"/>
        <v>69</v>
      </c>
      <c r="Y842">
        <f t="shared" ref="Y842:Y905" si="162">G842*(1-IF(AnnuityMode=1,$L$2,IF(AnnuityMode=2,$M$2,IF(AnnuityMode=4,$N$2,$K$2)))^(110*AnnuityMode-IF(AnnuityMode=1,X842,IF(AnnuityMode=2,D842,IF(AnnuityMode=4,E842,F842)))-0))/(IF(AnnuityMode=1,$L$3,IF(AnnuityMode=2,$M$3,IF(AnnuityMode=4,$N$3,$K$3))))</f>
        <v>0</v>
      </c>
    </row>
    <row r="843" spans="1:25" ht="13.5" thickBot="1" x14ac:dyDescent="0.25">
      <c r="A843" s="204">
        <f>IF(MOD(COUNT($A$10:A842),12)=0,A842+1,A842)</f>
        <v>70</v>
      </c>
      <c r="B843" s="218">
        <f t="shared" ref="B843:B897" si="163">IF(A842&lt;&gt;A843,1,B842+1)</f>
        <v>6</v>
      </c>
      <c r="C843" s="218">
        <f t="shared" si="159"/>
        <v>1</v>
      </c>
      <c r="D843" s="208">
        <f>IF(MOD(COUNT($D$10:D842),6)=0,D842+1,D842)</f>
        <v>139</v>
      </c>
      <c r="E843" s="208">
        <f>IF(MOD(COUNT($E$10:E842),3)=0,E842+1,E842)</f>
        <v>278</v>
      </c>
      <c r="F843" s="208">
        <f>IF(MOD(COUNT($F$10:F842),1)=0,F842+1,F842)</f>
        <v>834</v>
      </c>
      <c r="G843" s="204">
        <f>IFERROR(IF(C843=1,VLOOKUP(A843,Output!$A$27:$AB$137,28,FALSE)/AnnuityMode,0),0)</f>
        <v>0</v>
      </c>
      <c r="H843" s="220">
        <f>IFERROR(IF(AND(MIN(A843&gt;25,Age+A843&gt;=85),B843=12),VLOOKUP(A843,Output!$A$27:$AE$137,31,FALSE),0),0)</f>
        <v>0</v>
      </c>
      <c r="I843" s="221">
        <f>IFERROR(IF(AND(MIN(A843&gt;15,A843+Age&gt;=70),C843=1),VLOOKUP(A843,Output!$A$27:$AF$137,32,FALSE)*VLOOKUP('SV calc_ignore'!A843,Output!$A$27:$AG$137,33,FALSE)/IF(AnnuityMode=2,2,IF(AnnuityMode=4,4,IF(AnnuityMode=12,12,1))),0),0)</f>
        <v>0</v>
      </c>
      <c r="J843" s="227">
        <f t="shared" si="156"/>
        <v>0</v>
      </c>
      <c r="K843" s="213">
        <f t="shared" ref="K843:K906" si="164">IF(OR(K842&gt;$K$8,K842=0),0,K842+1)</f>
        <v>0</v>
      </c>
      <c r="L843" s="209">
        <f t="shared" si="160"/>
        <v>0</v>
      </c>
      <c r="M843" s="214">
        <f t="shared" si="158"/>
        <v>0</v>
      </c>
      <c r="N843" s="211">
        <f t="shared" ref="N843:N897" si="165">M843-L843-G843</f>
        <v>0</v>
      </c>
      <c r="O843" s="194">
        <f t="shared" ref="O843:O897" si="166">MAX($H$10:$H$897)/(1+$K$3)^($Q$5*12-F843)*(A843&lt;=$Q$5)</f>
        <v>0</v>
      </c>
      <c r="P843" s="212">
        <f t="shared" si="161"/>
        <v>0</v>
      </c>
      <c r="Q843">
        <f t="shared" si="157"/>
        <v>0</v>
      </c>
      <c r="X843" s="216">
        <f t="shared" ref="X843:X906" si="167">A843-1</f>
        <v>69</v>
      </c>
      <c r="Y843">
        <f t="shared" si="162"/>
        <v>0</v>
      </c>
    </row>
    <row r="844" spans="1:25" ht="13.5" thickBot="1" x14ac:dyDescent="0.25">
      <c r="A844" s="204">
        <f>IF(MOD(COUNT($A$10:A843),12)=0,A843+1,A843)</f>
        <v>70</v>
      </c>
      <c r="B844" s="218">
        <f t="shared" si="163"/>
        <v>7</v>
      </c>
      <c r="C844" s="218">
        <f t="shared" si="159"/>
        <v>1</v>
      </c>
      <c r="D844" s="208">
        <f>IF(MOD(COUNT($D$10:D843),6)=0,D843+1,D843)</f>
        <v>140</v>
      </c>
      <c r="E844" s="208">
        <f>IF(MOD(COUNT($E$10:E843),3)=0,E843+1,E843)</f>
        <v>279</v>
      </c>
      <c r="F844" s="208">
        <f>IF(MOD(COUNT($F$10:F843),1)=0,F843+1,F843)</f>
        <v>835</v>
      </c>
      <c r="G844" s="204">
        <f>IFERROR(IF(C844=1,VLOOKUP(A844,Output!$A$27:$AB$137,28,FALSE)/AnnuityMode,0),0)</f>
        <v>0</v>
      </c>
      <c r="H844" s="220">
        <f>IFERROR(IF(AND(MIN(A844&gt;25,Age+A844&gt;=85),B844=12),VLOOKUP(A844,Output!$A$27:$AE$137,31,FALSE),0),0)</f>
        <v>0</v>
      </c>
      <c r="I844" s="221">
        <f>IFERROR(IF(AND(MIN(A844&gt;15,A844+Age&gt;=70),C844=1),VLOOKUP(A844,Output!$A$27:$AF$137,32,FALSE)*VLOOKUP('SV calc_ignore'!A844,Output!$A$27:$AG$137,33,FALSE)/IF(AnnuityMode=2,2,IF(AnnuityMode=4,4,IF(AnnuityMode=12,12,1))),0),0)</f>
        <v>0</v>
      </c>
      <c r="J844" s="227">
        <f t="shared" si="156"/>
        <v>0</v>
      </c>
      <c r="K844" s="213">
        <f t="shared" si="164"/>
        <v>0</v>
      </c>
      <c r="L844" s="209">
        <f t="shared" si="160"/>
        <v>0</v>
      </c>
      <c r="M844" s="214">
        <f t="shared" si="158"/>
        <v>0</v>
      </c>
      <c r="N844" s="211">
        <f t="shared" si="165"/>
        <v>0</v>
      </c>
      <c r="O844" s="194">
        <f t="shared" si="166"/>
        <v>0</v>
      </c>
      <c r="P844" s="212">
        <f t="shared" si="161"/>
        <v>0</v>
      </c>
      <c r="Q844">
        <f t="shared" si="157"/>
        <v>0</v>
      </c>
      <c r="X844" s="216">
        <f t="shared" si="167"/>
        <v>69</v>
      </c>
      <c r="Y844">
        <f t="shared" si="162"/>
        <v>0</v>
      </c>
    </row>
    <row r="845" spans="1:25" ht="13.5" thickBot="1" x14ac:dyDescent="0.25">
      <c r="A845" s="204">
        <f>IF(MOD(COUNT($A$10:A844),12)=0,A844+1,A844)</f>
        <v>70</v>
      </c>
      <c r="B845" s="218">
        <f t="shared" si="163"/>
        <v>8</v>
      </c>
      <c r="C845" s="218">
        <f t="shared" si="159"/>
        <v>1</v>
      </c>
      <c r="D845" s="208">
        <f>IF(MOD(COUNT($D$10:D844),6)=0,D844+1,D844)</f>
        <v>140</v>
      </c>
      <c r="E845" s="208">
        <f>IF(MOD(COUNT($E$10:E844),3)=0,E844+1,E844)</f>
        <v>279</v>
      </c>
      <c r="F845" s="208">
        <f>IF(MOD(COUNT($F$10:F844),1)=0,F844+1,F844)</f>
        <v>836</v>
      </c>
      <c r="G845" s="204">
        <f>IFERROR(IF(C845=1,VLOOKUP(A845,Output!$A$27:$AB$137,28,FALSE)/AnnuityMode,0),0)</f>
        <v>0</v>
      </c>
      <c r="H845" s="220">
        <f>IFERROR(IF(AND(MIN(A845&gt;25,Age+A845&gt;=85),B845=12),VLOOKUP(A845,Output!$A$27:$AE$137,31,FALSE),0),0)</f>
        <v>0</v>
      </c>
      <c r="I845" s="221">
        <f>IFERROR(IF(AND(MIN(A845&gt;15,A845+Age&gt;=70),C845=1),VLOOKUP(A845,Output!$A$27:$AF$137,32,FALSE)*VLOOKUP('SV calc_ignore'!A845,Output!$A$27:$AG$137,33,FALSE)/IF(AnnuityMode=2,2,IF(AnnuityMode=4,4,IF(AnnuityMode=12,12,1))),0),0)</f>
        <v>0</v>
      </c>
      <c r="J845" s="227">
        <f t="shared" si="156"/>
        <v>0</v>
      </c>
      <c r="K845" s="213">
        <f t="shared" si="164"/>
        <v>0</v>
      </c>
      <c r="L845" s="209">
        <f t="shared" si="160"/>
        <v>0</v>
      </c>
      <c r="M845" s="214">
        <f t="shared" si="158"/>
        <v>0</v>
      </c>
      <c r="N845" s="211">
        <f t="shared" si="165"/>
        <v>0</v>
      </c>
      <c r="O845" s="194">
        <f t="shared" si="166"/>
        <v>0</v>
      </c>
      <c r="P845" s="212">
        <f t="shared" si="161"/>
        <v>0</v>
      </c>
      <c r="Q845">
        <f t="shared" si="157"/>
        <v>0</v>
      </c>
      <c r="X845" s="216">
        <f t="shared" si="167"/>
        <v>69</v>
      </c>
      <c r="Y845">
        <f t="shared" si="162"/>
        <v>0</v>
      </c>
    </row>
    <row r="846" spans="1:25" ht="13.5" thickBot="1" x14ac:dyDescent="0.25">
      <c r="A846" s="204">
        <f>IF(MOD(COUNT($A$10:A845),12)=0,A845+1,A845)</f>
        <v>70</v>
      </c>
      <c r="B846" s="218">
        <f t="shared" si="163"/>
        <v>9</v>
      </c>
      <c r="C846" s="218">
        <f t="shared" si="159"/>
        <v>1</v>
      </c>
      <c r="D846" s="208">
        <f>IF(MOD(COUNT($D$10:D845),6)=0,D845+1,D845)</f>
        <v>140</v>
      </c>
      <c r="E846" s="208">
        <f>IF(MOD(COUNT($E$10:E845),3)=0,E845+1,E845)</f>
        <v>279</v>
      </c>
      <c r="F846" s="208">
        <f>IF(MOD(COUNT($F$10:F845),1)=0,F845+1,F845)</f>
        <v>837</v>
      </c>
      <c r="G846" s="204">
        <f>IFERROR(IF(C846=1,VLOOKUP(A846,Output!$A$27:$AB$137,28,FALSE)/AnnuityMode,0),0)</f>
        <v>0</v>
      </c>
      <c r="H846" s="220">
        <f>IFERROR(IF(AND(MIN(A846&gt;25,Age+A846&gt;=85),B846=12),VLOOKUP(A846,Output!$A$27:$AE$137,31,FALSE),0),0)</f>
        <v>0</v>
      </c>
      <c r="I846" s="221">
        <f>IFERROR(IF(AND(MIN(A846&gt;15,A846+Age&gt;=70),C846=1),VLOOKUP(A846,Output!$A$27:$AF$137,32,FALSE)*VLOOKUP('SV calc_ignore'!A846,Output!$A$27:$AG$137,33,FALSE)/IF(AnnuityMode=2,2,IF(AnnuityMode=4,4,IF(AnnuityMode=12,12,1))),0),0)</f>
        <v>0</v>
      </c>
      <c r="J846" s="227">
        <f t="shared" si="156"/>
        <v>0</v>
      </c>
      <c r="K846" s="213">
        <f t="shared" si="164"/>
        <v>0</v>
      </c>
      <c r="L846" s="209">
        <f t="shared" si="160"/>
        <v>0</v>
      </c>
      <c r="M846" s="214">
        <f t="shared" si="158"/>
        <v>0</v>
      </c>
      <c r="N846" s="211">
        <f t="shared" si="165"/>
        <v>0</v>
      </c>
      <c r="O846" s="194">
        <f t="shared" si="166"/>
        <v>0</v>
      </c>
      <c r="P846" s="212">
        <f t="shared" si="161"/>
        <v>0</v>
      </c>
      <c r="Q846">
        <f t="shared" si="157"/>
        <v>0</v>
      </c>
      <c r="X846" s="216">
        <f t="shared" si="167"/>
        <v>69</v>
      </c>
      <c r="Y846">
        <f t="shared" si="162"/>
        <v>0</v>
      </c>
    </row>
    <row r="847" spans="1:25" ht="13.5" thickBot="1" x14ac:dyDescent="0.25">
      <c r="A847" s="204">
        <f>IF(MOD(COUNT($A$10:A846),12)=0,A846+1,A846)</f>
        <v>70</v>
      </c>
      <c r="B847" s="218">
        <f t="shared" si="163"/>
        <v>10</v>
      </c>
      <c r="C847" s="218">
        <f t="shared" si="159"/>
        <v>1</v>
      </c>
      <c r="D847" s="208">
        <f>IF(MOD(COUNT($D$10:D846),6)=0,D846+1,D846)</f>
        <v>140</v>
      </c>
      <c r="E847" s="208">
        <f>IF(MOD(COUNT($E$10:E846),3)=0,E846+1,E846)</f>
        <v>280</v>
      </c>
      <c r="F847" s="208">
        <f>IF(MOD(COUNT($F$10:F846),1)=0,F846+1,F846)</f>
        <v>838</v>
      </c>
      <c r="G847" s="204">
        <f>IFERROR(IF(C847=1,VLOOKUP(A847,Output!$A$27:$AB$137,28,FALSE)/AnnuityMode,0),0)</f>
        <v>0</v>
      </c>
      <c r="H847" s="220">
        <f>IFERROR(IF(AND(MIN(A847&gt;25,Age+A847&gt;=85),B847=12),VLOOKUP(A847,Output!$A$27:$AE$137,31,FALSE),0),0)</f>
        <v>0</v>
      </c>
      <c r="I847" s="221">
        <f>IFERROR(IF(AND(MIN(A847&gt;15,A847+Age&gt;=70),C847=1),VLOOKUP(A847,Output!$A$27:$AF$137,32,FALSE)*VLOOKUP('SV calc_ignore'!A847,Output!$A$27:$AG$137,33,FALSE)/IF(AnnuityMode=2,2,IF(AnnuityMode=4,4,IF(AnnuityMode=12,12,1))),0),0)</f>
        <v>0</v>
      </c>
      <c r="J847" s="227">
        <f t="shared" si="156"/>
        <v>0</v>
      </c>
      <c r="K847" s="213">
        <f t="shared" si="164"/>
        <v>0</v>
      </c>
      <c r="L847" s="209">
        <f t="shared" si="160"/>
        <v>0</v>
      </c>
      <c r="M847" s="214">
        <f t="shared" si="158"/>
        <v>0</v>
      </c>
      <c r="N847" s="211">
        <f t="shared" si="165"/>
        <v>0</v>
      </c>
      <c r="O847" s="194">
        <f t="shared" si="166"/>
        <v>0</v>
      </c>
      <c r="P847" s="212">
        <f t="shared" si="161"/>
        <v>0</v>
      </c>
      <c r="Q847">
        <f t="shared" si="157"/>
        <v>0</v>
      </c>
      <c r="X847" s="216">
        <f t="shared" si="167"/>
        <v>69</v>
      </c>
      <c r="Y847">
        <f t="shared" si="162"/>
        <v>0</v>
      </c>
    </row>
    <row r="848" spans="1:25" ht="13.5" thickBot="1" x14ac:dyDescent="0.25">
      <c r="A848" s="204">
        <f>IF(MOD(COUNT($A$10:A847),12)=0,A847+1,A847)</f>
        <v>70</v>
      </c>
      <c r="B848" s="218">
        <f t="shared" si="163"/>
        <v>11</v>
      </c>
      <c r="C848" s="218">
        <f t="shared" si="159"/>
        <v>1</v>
      </c>
      <c r="D848" s="208">
        <f>IF(MOD(COUNT($D$10:D847),6)=0,D847+1,D847)</f>
        <v>140</v>
      </c>
      <c r="E848" s="208">
        <f>IF(MOD(COUNT($E$10:E847),3)=0,E847+1,E847)</f>
        <v>280</v>
      </c>
      <c r="F848" s="208">
        <f>IF(MOD(COUNT($F$10:F847),1)=0,F847+1,F847)</f>
        <v>839</v>
      </c>
      <c r="G848" s="204">
        <f>IFERROR(IF(C848=1,VLOOKUP(A848,Output!$A$27:$AB$137,28,FALSE)/AnnuityMode,0),0)</f>
        <v>0</v>
      </c>
      <c r="H848" s="220">
        <f>IFERROR(IF(AND(MIN(A848&gt;25,Age+A848&gt;=85),B848=12),VLOOKUP(A848,Output!$A$27:$AE$137,31,FALSE),0),0)</f>
        <v>0</v>
      </c>
      <c r="I848" s="221">
        <f>IFERROR(IF(AND(MIN(A848&gt;15,A848+Age&gt;=70),C848=1),VLOOKUP(A848,Output!$A$27:$AF$137,32,FALSE)*VLOOKUP('SV calc_ignore'!A848,Output!$A$27:$AG$137,33,FALSE)/IF(AnnuityMode=2,2,IF(AnnuityMode=4,4,IF(AnnuityMode=12,12,1))),0),0)</f>
        <v>0</v>
      </c>
      <c r="J848" s="227">
        <f t="shared" si="156"/>
        <v>0</v>
      </c>
      <c r="K848" s="213">
        <f t="shared" si="164"/>
        <v>0</v>
      </c>
      <c r="L848" s="209">
        <f t="shared" si="160"/>
        <v>0</v>
      </c>
      <c r="M848" s="214">
        <f t="shared" si="158"/>
        <v>0</v>
      </c>
      <c r="N848" s="211">
        <f t="shared" si="165"/>
        <v>0</v>
      </c>
      <c r="O848" s="194">
        <f t="shared" si="166"/>
        <v>0</v>
      </c>
      <c r="P848" s="212">
        <f t="shared" si="161"/>
        <v>0</v>
      </c>
      <c r="Q848">
        <f t="shared" si="157"/>
        <v>0</v>
      </c>
      <c r="X848" s="216">
        <f t="shared" si="167"/>
        <v>69</v>
      </c>
      <c r="Y848">
        <f t="shared" si="162"/>
        <v>0</v>
      </c>
    </row>
    <row r="849" spans="1:25" ht="13.5" thickBot="1" x14ac:dyDescent="0.25">
      <c r="A849" s="204">
        <f>IF(MOD(COUNT($A$10:A848),12)=0,A848+1,A848)</f>
        <v>70</v>
      </c>
      <c r="B849" s="218">
        <f t="shared" si="163"/>
        <v>12</v>
      </c>
      <c r="C849" s="218">
        <f t="shared" si="159"/>
        <v>1</v>
      </c>
      <c r="D849" s="208">
        <f>IF(MOD(COUNT($D$10:D848),6)=0,D848+1,D848)</f>
        <v>140</v>
      </c>
      <c r="E849" s="208">
        <f>IF(MOD(COUNT($E$10:E848),3)=0,E848+1,E848)</f>
        <v>280</v>
      </c>
      <c r="F849" s="208">
        <f>IF(MOD(COUNT($F$10:F848),1)=0,F848+1,F848)</f>
        <v>840</v>
      </c>
      <c r="G849" s="204">
        <f>IFERROR(IF(C849=1,VLOOKUP(A849,Output!$A$27:$AB$137,28,FALSE)/AnnuityMode,0),0)</f>
        <v>0</v>
      </c>
      <c r="H849" s="220">
        <f>IFERROR(IF(AND(MIN(A849&gt;25,Age+A849&gt;=85),B849=12),VLOOKUP(A849,Output!$A$27:$AE$137,31,FALSE),0),0)</f>
        <v>0</v>
      </c>
      <c r="I849" s="221">
        <f>IFERROR(IF(AND(MIN(A849&gt;15,A849+Age&gt;=70),C849=1),VLOOKUP(A849,Output!$A$27:$AF$137,32,FALSE)*VLOOKUP('SV calc_ignore'!A849,Output!$A$27:$AG$137,33,FALSE)/IF(AnnuityMode=2,2,IF(AnnuityMode=4,4,IF(AnnuityMode=12,12,1))),0),0)</f>
        <v>0</v>
      </c>
      <c r="J849" s="227">
        <f t="shared" si="156"/>
        <v>0</v>
      </c>
      <c r="K849" s="213">
        <f t="shared" si="164"/>
        <v>0</v>
      </c>
      <c r="L849" s="209">
        <f t="shared" si="160"/>
        <v>0</v>
      </c>
      <c r="M849" s="214">
        <f t="shared" si="158"/>
        <v>0</v>
      </c>
      <c r="N849" s="211">
        <f t="shared" si="165"/>
        <v>0</v>
      </c>
      <c r="O849" s="194">
        <f t="shared" si="166"/>
        <v>0</v>
      </c>
      <c r="P849" s="212">
        <f t="shared" si="161"/>
        <v>0</v>
      </c>
      <c r="Q849">
        <f t="shared" si="157"/>
        <v>0</v>
      </c>
      <c r="X849" s="216">
        <f t="shared" si="167"/>
        <v>69</v>
      </c>
      <c r="Y849">
        <f t="shared" si="162"/>
        <v>0</v>
      </c>
    </row>
    <row r="850" spans="1:25" ht="13.5" thickBot="1" x14ac:dyDescent="0.25">
      <c r="A850" s="204">
        <f>IF(MOD(COUNT($A$10:A849),12)=0,A849+1,A849)</f>
        <v>71</v>
      </c>
      <c r="B850" s="218">
        <f t="shared" si="163"/>
        <v>1</v>
      </c>
      <c r="C850" s="218">
        <f t="shared" si="159"/>
        <v>1</v>
      </c>
      <c r="D850" s="208">
        <f>IF(MOD(COUNT($D$10:D849),6)=0,D849+1,D849)</f>
        <v>141</v>
      </c>
      <c r="E850" s="208">
        <f>IF(MOD(COUNT($E$10:E849),3)=0,E849+1,E849)</f>
        <v>281</v>
      </c>
      <c r="F850" s="208">
        <f>IF(MOD(COUNT($F$10:F849),1)=0,F849+1,F849)</f>
        <v>841</v>
      </c>
      <c r="G850" s="204">
        <f>IFERROR(IF(C850=1,VLOOKUP(A850,Output!$A$27:$AB$137,28,FALSE)/AnnuityMode,0),0)</f>
        <v>0</v>
      </c>
      <c r="H850" s="220">
        <f>IFERROR(IF(AND(MIN(A850&gt;25,Age+A850&gt;=85),B850=12),VLOOKUP(A850,Output!$A$27:$AE$137,31,FALSE),0),0)</f>
        <v>0</v>
      </c>
      <c r="I850" s="221">
        <f>IFERROR(IF(AND(MIN(A850&gt;15,A850+Age&gt;=70),C850=1),VLOOKUP(A850,Output!$A$27:$AF$137,32,FALSE)*VLOOKUP('SV calc_ignore'!A850,Output!$A$27:$AG$137,33,FALSE)/IF(AnnuityMode=2,2,IF(AnnuityMode=4,4,IF(AnnuityMode=12,12,1))),0),0)</f>
        <v>0</v>
      </c>
      <c r="J850" s="227">
        <f t="shared" si="156"/>
        <v>0</v>
      </c>
      <c r="K850" s="213">
        <f t="shared" si="164"/>
        <v>0</v>
      </c>
      <c r="L850" s="209">
        <f t="shared" si="160"/>
        <v>0</v>
      </c>
      <c r="M850" s="214">
        <f t="shared" si="158"/>
        <v>0</v>
      </c>
      <c r="N850" s="211">
        <f t="shared" si="165"/>
        <v>0</v>
      </c>
      <c r="O850" s="194">
        <f t="shared" si="166"/>
        <v>0</v>
      </c>
      <c r="P850" s="212">
        <f t="shared" si="161"/>
        <v>0</v>
      </c>
      <c r="Q850">
        <f t="shared" si="157"/>
        <v>0</v>
      </c>
      <c r="X850" s="216">
        <f t="shared" si="167"/>
        <v>70</v>
      </c>
      <c r="Y850">
        <f t="shared" si="162"/>
        <v>0</v>
      </c>
    </row>
    <row r="851" spans="1:25" ht="13.5" thickBot="1" x14ac:dyDescent="0.25">
      <c r="A851" s="204">
        <f>IF(MOD(COUNT($A$10:A850),12)=0,A850+1,A850)</f>
        <v>71</v>
      </c>
      <c r="B851" s="218">
        <f t="shared" si="163"/>
        <v>2</v>
      </c>
      <c r="C851" s="218">
        <f t="shared" si="159"/>
        <v>1</v>
      </c>
      <c r="D851" s="208">
        <f>IF(MOD(COUNT($D$10:D850),6)=0,D850+1,D850)</f>
        <v>141</v>
      </c>
      <c r="E851" s="208">
        <f>IF(MOD(COUNT($E$10:E850),3)=0,E850+1,E850)</f>
        <v>281</v>
      </c>
      <c r="F851" s="208">
        <f>IF(MOD(COUNT($F$10:F850),1)=0,F850+1,F850)</f>
        <v>842</v>
      </c>
      <c r="G851" s="204">
        <f>IFERROR(IF(C851=1,VLOOKUP(A851,Output!$A$27:$AB$137,28,FALSE)/AnnuityMode,0),0)</f>
        <v>0</v>
      </c>
      <c r="H851" s="220">
        <f>IFERROR(IF(AND(MIN(A851&gt;25,Age+A851&gt;=85),B851=12),VLOOKUP(A851,Output!$A$27:$AE$137,31,FALSE),0),0)</f>
        <v>0</v>
      </c>
      <c r="I851" s="221">
        <f>IFERROR(IF(AND(MIN(A851&gt;15,A851+Age&gt;=70),C851=1),VLOOKUP(A851,Output!$A$27:$AF$137,32,FALSE)*VLOOKUP('SV calc_ignore'!A851,Output!$A$27:$AG$137,33,FALSE)/IF(AnnuityMode=2,2,IF(AnnuityMode=4,4,IF(AnnuityMode=12,12,1))),0),0)</f>
        <v>0</v>
      </c>
      <c r="J851" s="227">
        <f t="shared" si="156"/>
        <v>0</v>
      </c>
      <c r="K851" s="213">
        <f t="shared" si="164"/>
        <v>0</v>
      </c>
      <c r="L851" s="209">
        <f t="shared" si="160"/>
        <v>0</v>
      </c>
      <c r="M851" s="214">
        <f t="shared" si="158"/>
        <v>0</v>
      </c>
      <c r="N851" s="211">
        <f t="shared" si="165"/>
        <v>0</v>
      </c>
      <c r="O851" s="194">
        <f t="shared" si="166"/>
        <v>0</v>
      </c>
      <c r="P851" s="212">
        <f t="shared" si="161"/>
        <v>0</v>
      </c>
      <c r="Q851">
        <f t="shared" si="157"/>
        <v>0</v>
      </c>
      <c r="X851" s="216">
        <f t="shared" si="167"/>
        <v>70</v>
      </c>
      <c r="Y851">
        <f t="shared" si="162"/>
        <v>0</v>
      </c>
    </row>
    <row r="852" spans="1:25" ht="13.5" thickBot="1" x14ac:dyDescent="0.25">
      <c r="A852" s="204">
        <f>IF(MOD(COUNT($A$10:A851),12)=0,A851+1,A851)</f>
        <v>71</v>
      </c>
      <c r="B852" s="218">
        <f t="shared" si="163"/>
        <v>3</v>
      </c>
      <c r="C852" s="218">
        <f t="shared" si="159"/>
        <v>1</v>
      </c>
      <c r="D852" s="208">
        <f>IF(MOD(COUNT($D$10:D851),6)=0,D851+1,D851)</f>
        <v>141</v>
      </c>
      <c r="E852" s="208">
        <f>IF(MOD(COUNT($E$10:E851),3)=0,E851+1,E851)</f>
        <v>281</v>
      </c>
      <c r="F852" s="208">
        <f>IF(MOD(COUNT($F$10:F851),1)=0,F851+1,F851)</f>
        <v>843</v>
      </c>
      <c r="G852" s="204">
        <f>IFERROR(IF(C852=1,VLOOKUP(A852,Output!$A$27:$AB$137,28,FALSE)/AnnuityMode,0),0)</f>
        <v>0</v>
      </c>
      <c r="H852" s="220">
        <f>IFERROR(IF(AND(MIN(A852&gt;25,Age+A852&gt;=85),B852=12),VLOOKUP(A852,Output!$A$27:$AE$137,31,FALSE),0),0)</f>
        <v>0</v>
      </c>
      <c r="I852" s="221">
        <f>IFERROR(IF(AND(MIN(A852&gt;15,A852+Age&gt;=70),C852=1),VLOOKUP(A852,Output!$A$27:$AF$137,32,FALSE)*VLOOKUP('SV calc_ignore'!A852,Output!$A$27:$AG$137,33,FALSE)/IF(AnnuityMode=2,2,IF(AnnuityMode=4,4,IF(AnnuityMode=12,12,1))),0),0)</f>
        <v>0</v>
      </c>
      <c r="J852" s="227">
        <f t="shared" si="156"/>
        <v>0</v>
      </c>
      <c r="K852" s="213">
        <f t="shared" si="164"/>
        <v>0</v>
      </c>
      <c r="L852" s="209">
        <f t="shared" si="160"/>
        <v>0</v>
      </c>
      <c r="M852" s="214">
        <f t="shared" si="158"/>
        <v>0</v>
      </c>
      <c r="N852" s="211">
        <f t="shared" si="165"/>
        <v>0</v>
      </c>
      <c r="O852" s="194">
        <f t="shared" si="166"/>
        <v>0</v>
      </c>
      <c r="P852" s="212">
        <f t="shared" si="161"/>
        <v>0</v>
      </c>
      <c r="Q852">
        <f t="shared" si="157"/>
        <v>0</v>
      </c>
      <c r="X852" s="216">
        <f t="shared" si="167"/>
        <v>70</v>
      </c>
      <c r="Y852">
        <f t="shared" si="162"/>
        <v>0</v>
      </c>
    </row>
    <row r="853" spans="1:25" ht="13.5" thickBot="1" x14ac:dyDescent="0.25">
      <c r="A853" s="204">
        <f>IF(MOD(COUNT($A$10:A852),12)=0,A852+1,A852)</f>
        <v>71</v>
      </c>
      <c r="B853" s="218">
        <f t="shared" si="163"/>
        <v>4</v>
      </c>
      <c r="C853" s="218">
        <f t="shared" si="159"/>
        <v>1</v>
      </c>
      <c r="D853" s="208">
        <f>IF(MOD(COUNT($D$10:D852),6)=0,D852+1,D852)</f>
        <v>141</v>
      </c>
      <c r="E853" s="208">
        <f>IF(MOD(COUNT($E$10:E852),3)=0,E852+1,E852)</f>
        <v>282</v>
      </c>
      <c r="F853" s="208">
        <f>IF(MOD(COUNT($F$10:F852),1)=0,F852+1,F852)</f>
        <v>844</v>
      </c>
      <c r="G853" s="204">
        <f>IFERROR(IF(C853=1,VLOOKUP(A853,Output!$A$27:$AB$137,28,FALSE)/AnnuityMode,0),0)</f>
        <v>0</v>
      </c>
      <c r="H853" s="220">
        <f>IFERROR(IF(AND(MIN(A853&gt;25,Age+A853&gt;=85),B853=12),VLOOKUP(A853,Output!$A$27:$AE$137,31,FALSE),0),0)</f>
        <v>0</v>
      </c>
      <c r="I853" s="221">
        <f>IFERROR(IF(AND(MIN(A853&gt;15,A853+Age&gt;=70),C853=1),VLOOKUP(A853,Output!$A$27:$AF$137,32,FALSE)*VLOOKUP('SV calc_ignore'!A853,Output!$A$27:$AG$137,33,FALSE)/IF(AnnuityMode=2,2,IF(AnnuityMode=4,4,IF(AnnuityMode=12,12,1))),0),0)</f>
        <v>0</v>
      </c>
      <c r="J853" s="227">
        <f t="shared" si="156"/>
        <v>0</v>
      </c>
      <c r="K853" s="213">
        <f t="shared" si="164"/>
        <v>0</v>
      </c>
      <c r="L853" s="209">
        <f t="shared" si="160"/>
        <v>0</v>
      </c>
      <c r="M853" s="214">
        <f t="shared" si="158"/>
        <v>0</v>
      </c>
      <c r="N853" s="211">
        <f t="shared" si="165"/>
        <v>0</v>
      </c>
      <c r="O853" s="194">
        <f t="shared" si="166"/>
        <v>0</v>
      </c>
      <c r="P853" s="212">
        <f t="shared" si="161"/>
        <v>0</v>
      </c>
      <c r="Q853">
        <f t="shared" si="157"/>
        <v>0</v>
      </c>
      <c r="X853" s="216">
        <f t="shared" si="167"/>
        <v>70</v>
      </c>
      <c r="Y853">
        <f t="shared" si="162"/>
        <v>0</v>
      </c>
    </row>
    <row r="854" spans="1:25" ht="13.5" thickBot="1" x14ac:dyDescent="0.25">
      <c r="A854" s="204">
        <f>IF(MOD(COUNT($A$10:A853),12)=0,A853+1,A853)</f>
        <v>71</v>
      </c>
      <c r="B854" s="218">
        <f t="shared" si="163"/>
        <v>5</v>
      </c>
      <c r="C854" s="218">
        <f t="shared" si="159"/>
        <v>1</v>
      </c>
      <c r="D854" s="208">
        <f>IF(MOD(COUNT($D$10:D853),6)=0,D853+1,D853)</f>
        <v>141</v>
      </c>
      <c r="E854" s="208">
        <f>IF(MOD(COUNT($E$10:E853),3)=0,E853+1,E853)</f>
        <v>282</v>
      </c>
      <c r="F854" s="208">
        <f>IF(MOD(COUNT($F$10:F853),1)=0,F853+1,F853)</f>
        <v>845</v>
      </c>
      <c r="G854" s="204">
        <f>IFERROR(IF(C854=1,VLOOKUP(A854,Output!$A$27:$AB$137,28,FALSE)/AnnuityMode,0),0)</f>
        <v>0</v>
      </c>
      <c r="H854" s="220">
        <f>IFERROR(IF(AND(MIN(A854&gt;25,Age+A854&gt;=85),B854=12),VLOOKUP(A854,Output!$A$27:$AE$137,31,FALSE),0),0)</f>
        <v>0</v>
      </c>
      <c r="I854" s="221">
        <f>IFERROR(IF(AND(MIN(A854&gt;15,A854+Age&gt;=70),C854=1),VLOOKUP(A854,Output!$A$27:$AF$137,32,FALSE)*VLOOKUP('SV calc_ignore'!A854,Output!$A$27:$AG$137,33,FALSE)/IF(AnnuityMode=2,2,IF(AnnuityMode=4,4,IF(AnnuityMode=12,12,1))),0),0)</f>
        <v>0</v>
      </c>
      <c r="J854" s="227">
        <f t="shared" si="156"/>
        <v>0</v>
      </c>
      <c r="K854" s="213">
        <f t="shared" si="164"/>
        <v>0</v>
      </c>
      <c r="L854" s="209">
        <f t="shared" si="160"/>
        <v>0</v>
      </c>
      <c r="M854" s="214">
        <f t="shared" si="158"/>
        <v>0</v>
      </c>
      <c r="N854" s="211">
        <f t="shared" si="165"/>
        <v>0</v>
      </c>
      <c r="O854" s="194">
        <f t="shared" si="166"/>
        <v>0</v>
      </c>
      <c r="P854" s="212">
        <f t="shared" si="161"/>
        <v>0</v>
      </c>
      <c r="Q854">
        <f t="shared" si="157"/>
        <v>0</v>
      </c>
      <c r="X854" s="216">
        <f t="shared" si="167"/>
        <v>70</v>
      </c>
      <c r="Y854">
        <f t="shared" si="162"/>
        <v>0</v>
      </c>
    </row>
    <row r="855" spans="1:25" ht="13.5" thickBot="1" x14ac:dyDescent="0.25">
      <c r="A855" s="204">
        <f>IF(MOD(COUNT($A$10:A854),12)=0,A854+1,A854)</f>
        <v>71</v>
      </c>
      <c r="B855" s="218">
        <f t="shared" si="163"/>
        <v>6</v>
      </c>
      <c r="C855" s="218">
        <f t="shared" si="159"/>
        <v>1</v>
      </c>
      <c r="D855" s="208">
        <f>IF(MOD(COUNT($D$10:D854),6)=0,D854+1,D854)</f>
        <v>141</v>
      </c>
      <c r="E855" s="208">
        <f>IF(MOD(COUNT($E$10:E854),3)=0,E854+1,E854)</f>
        <v>282</v>
      </c>
      <c r="F855" s="208">
        <f>IF(MOD(COUNT($F$10:F854),1)=0,F854+1,F854)</f>
        <v>846</v>
      </c>
      <c r="G855" s="204">
        <f>IFERROR(IF(C855=1,VLOOKUP(A855,Output!$A$27:$AB$137,28,FALSE)/AnnuityMode,0),0)</f>
        <v>0</v>
      </c>
      <c r="H855" s="220">
        <f>IFERROR(IF(AND(MIN(A855&gt;25,Age+A855&gt;=85),B855=12),VLOOKUP(A855,Output!$A$27:$AE$137,31,FALSE),0),0)</f>
        <v>0</v>
      </c>
      <c r="I855" s="221">
        <f>IFERROR(IF(AND(MIN(A855&gt;15,A855+Age&gt;=70),C855=1),VLOOKUP(A855,Output!$A$27:$AF$137,32,FALSE)*VLOOKUP('SV calc_ignore'!A855,Output!$A$27:$AG$137,33,FALSE)/IF(AnnuityMode=2,2,IF(AnnuityMode=4,4,IF(AnnuityMode=12,12,1))),0),0)</f>
        <v>0</v>
      </c>
      <c r="J855" s="227">
        <f t="shared" si="156"/>
        <v>0</v>
      </c>
      <c r="K855" s="213">
        <f t="shared" si="164"/>
        <v>0</v>
      </c>
      <c r="L855" s="209">
        <f t="shared" si="160"/>
        <v>0</v>
      </c>
      <c r="M855" s="214">
        <f t="shared" si="158"/>
        <v>0</v>
      </c>
      <c r="N855" s="211">
        <f t="shared" si="165"/>
        <v>0</v>
      </c>
      <c r="O855" s="194">
        <f t="shared" si="166"/>
        <v>0</v>
      </c>
      <c r="P855" s="212">
        <f t="shared" si="161"/>
        <v>0</v>
      </c>
      <c r="Q855">
        <f t="shared" si="157"/>
        <v>0</v>
      </c>
      <c r="X855" s="216">
        <f t="shared" si="167"/>
        <v>70</v>
      </c>
      <c r="Y855">
        <f t="shared" si="162"/>
        <v>0</v>
      </c>
    </row>
    <row r="856" spans="1:25" ht="13.5" thickBot="1" x14ac:dyDescent="0.25">
      <c r="A856" s="204">
        <f>IF(MOD(COUNT($A$10:A855),12)=0,A855+1,A855)</f>
        <v>71</v>
      </c>
      <c r="B856" s="218">
        <f t="shared" si="163"/>
        <v>7</v>
      </c>
      <c r="C856" s="218">
        <f t="shared" si="159"/>
        <v>1</v>
      </c>
      <c r="D856" s="208">
        <f>IF(MOD(COUNT($D$10:D855),6)=0,D855+1,D855)</f>
        <v>142</v>
      </c>
      <c r="E856" s="208">
        <f>IF(MOD(COUNT($E$10:E855),3)=0,E855+1,E855)</f>
        <v>283</v>
      </c>
      <c r="F856" s="208">
        <f>IF(MOD(COUNT($F$10:F855),1)=0,F855+1,F855)</f>
        <v>847</v>
      </c>
      <c r="G856" s="204">
        <f>IFERROR(IF(C856=1,VLOOKUP(A856,Output!$A$27:$AB$137,28,FALSE)/AnnuityMode,0),0)</f>
        <v>0</v>
      </c>
      <c r="H856" s="220">
        <f>IFERROR(IF(AND(MIN(A856&gt;25,Age+A856&gt;=85),B856=12),VLOOKUP(A856,Output!$A$27:$AE$137,31,FALSE),0),0)</f>
        <v>0</v>
      </c>
      <c r="I856" s="221">
        <f>IFERROR(IF(AND(MIN(A856&gt;15,A856+Age&gt;=70),C856=1),VLOOKUP(A856,Output!$A$27:$AF$137,32,FALSE)*VLOOKUP('SV calc_ignore'!A856,Output!$A$27:$AG$137,33,FALSE)/IF(AnnuityMode=2,2,IF(AnnuityMode=4,4,IF(AnnuityMode=12,12,1))),0),0)</f>
        <v>0</v>
      </c>
      <c r="J856" s="227">
        <f t="shared" si="156"/>
        <v>0</v>
      </c>
      <c r="K856" s="213">
        <f t="shared" si="164"/>
        <v>0</v>
      </c>
      <c r="L856" s="209">
        <f t="shared" si="160"/>
        <v>0</v>
      </c>
      <c r="M856" s="214">
        <f t="shared" si="158"/>
        <v>0</v>
      </c>
      <c r="N856" s="211">
        <f t="shared" si="165"/>
        <v>0</v>
      </c>
      <c r="O856" s="194">
        <f t="shared" si="166"/>
        <v>0</v>
      </c>
      <c r="P856" s="212">
        <f t="shared" si="161"/>
        <v>0</v>
      </c>
      <c r="Q856">
        <f t="shared" si="157"/>
        <v>0</v>
      </c>
      <c r="X856" s="216">
        <f t="shared" si="167"/>
        <v>70</v>
      </c>
      <c r="Y856">
        <f t="shared" si="162"/>
        <v>0</v>
      </c>
    </row>
    <row r="857" spans="1:25" ht="13.5" thickBot="1" x14ac:dyDescent="0.25">
      <c r="A857" s="204">
        <f>IF(MOD(COUNT($A$10:A856),12)=0,A856+1,A856)</f>
        <v>71</v>
      </c>
      <c r="B857" s="218">
        <f t="shared" si="163"/>
        <v>8</v>
      </c>
      <c r="C857" s="218">
        <f t="shared" si="159"/>
        <v>1</v>
      </c>
      <c r="D857" s="208">
        <f>IF(MOD(COUNT($D$10:D856),6)=0,D856+1,D856)</f>
        <v>142</v>
      </c>
      <c r="E857" s="208">
        <f>IF(MOD(COUNT($E$10:E856),3)=0,E856+1,E856)</f>
        <v>283</v>
      </c>
      <c r="F857" s="208">
        <f>IF(MOD(COUNT($F$10:F856),1)=0,F856+1,F856)</f>
        <v>848</v>
      </c>
      <c r="G857" s="204">
        <f>IFERROR(IF(C857=1,VLOOKUP(A857,Output!$A$27:$AB$137,28,FALSE)/AnnuityMode,0),0)</f>
        <v>0</v>
      </c>
      <c r="H857" s="220">
        <f>IFERROR(IF(AND(MIN(A857&gt;25,Age+A857&gt;=85),B857=12),VLOOKUP(A857,Output!$A$27:$AE$137,31,FALSE),0),0)</f>
        <v>0</v>
      </c>
      <c r="I857" s="221">
        <f>IFERROR(IF(AND(MIN(A857&gt;15,A857+Age&gt;=70),C857=1),VLOOKUP(A857,Output!$A$27:$AF$137,32,FALSE)*VLOOKUP('SV calc_ignore'!A857,Output!$A$27:$AG$137,33,FALSE)/IF(AnnuityMode=2,2,IF(AnnuityMode=4,4,IF(AnnuityMode=12,12,1))),0),0)</f>
        <v>0</v>
      </c>
      <c r="J857" s="227">
        <f t="shared" si="156"/>
        <v>0</v>
      </c>
      <c r="K857" s="213">
        <f t="shared" si="164"/>
        <v>0</v>
      </c>
      <c r="L857" s="209">
        <f t="shared" si="160"/>
        <v>0</v>
      </c>
      <c r="M857" s="214">
        <f t="shared" si="158"/>
        <v>0</v>
      </c>
      <c r="N857" s="211">
        <f t="shared" si="165"/>
        <v>0</v>
      </c>
      <c r="O857" s="194">
        <f t="shared" si="166"/>
        <v>0</v>
      </c>
      <c r="P857" s="212">
        <f t="shared" si="161"/>
        <v>0</v>
      </c>
      <c r="Q857">
        <f t="shared" si="157"/>
        <v>0</v>
      </c>
      <c r="X857" s="216">
        <f t="shared" si="167"/>
        <v>70</v>
      </c>
      <c r="Y857">
        <f t="shared" si="162"/>
        <v>0</v>
      </c>
    </row>
    <row r="858" spans="1:25" ht="13.5" thickBot="1" x14ac:dyDescent="0.25">
      <c r="A858" s="204">
        <f>IF(MOD(COUNT($A$10:A857),12)=0,A857+1,A857)</f>
        <v>71</v>
      </c>
      <c r="B858" s="218">
        <f t="shared" si="163"/>
        <v>9</v>
      </c>
      <c r="C858" s="218">
        <f t="shared" si="159"/>
        <v>1</v>
      </c>
      <c r="D858" s="208">
        <f>IF(MOD(COUNT($D$10:D857),6)=0,D857+1,D857)</f>
        <v>142</v>
      </c>
      <c r="E858" s="208">
        <f>IF(MOD(COUNT($E$10:E857),3)=0,E857+1,E857)</f>
        <v>283</v>
      </c>
      <c r="F858" s="208">
        <f>IF(MOD(COUNT($F$10:F857),1)=0,F857+1,F857)</f>
        <v>849</v>
      </c>
      <c r="G858" s="204">
        <f>IFERROR(IF(C858=1,VLOOKUP(A858,Output!$A$27:$AB$137,28,FALSE)/AnnuityMode,0),0)</f>
        <v>0</v>
      </c>
      <c r="H858" s="220">
        <f>IFERROR(IF(AND(MIN(A858&gt;25,Age+A858&gt;=85),B858=12),VLOOKUP(A858,Output!$A$27:$AE$137,31,FALSE),0),0)</f>
        <v>0</v>
      </c>
      <c r="I858" s="221">
        <f>IFERROR(IF(AND(MIN(A858&gt;15,A858+Age&gt;=70),C858=1),VLOOKUP(A858,Output!$A$27:$AF$137,32,FALSE)*VLOOKUP('SV calc_ignore'!A858,Output!$A$27:$AG$137,33,FALSE)/IF(AnnuityMode=2,2,IF(AnnuityMode=4,4,IF(AnnuityMode=12,12,1))),0),0)</f>
        <v>0</v>
      </c>
      <c r="J858" s="227">
        <f t="shared" si="156"/>
        <v>0</v>
      </c>
      <c r="K858" s="213">
        <f t="shared" si="164"/>
        <v>0</v>
      </c>
      <c r="L858" s="209">
        <f t="shared" si="160"/>
        <v>0</v>
      </c>
      <c r="M858" s="214">
        <f t="shared" si="158"/>
        <v>0</v>
      </c>
      <c r="N858" s="211">
        <f t="shared" si="165"/>
        <v>0</v>
      </c>
      <c r="O858" s="194">
        <f t="shared" si="166"/>
        <v>0</v>
      </c>
      <c r="P858" s="212">
        <f t="shared" si="161"/>
        <v>0</v>
      </c>
      <c r="Q858">
        <f t="shared" si="157"/>
        <v>0</v>
      </c>
      <c r="X858" s="216">
        <f t="shared" si="167"/>
        <v>70</v>
      </c>
      <c r="Y858">
        <f t="shared" si="162"/>
        <v>0</v>
      </c>
    </row>
    <row r="859" spans="1:25" ht="13.5" thickBot="1" x14ac:dyDescent="0.25">
      <c r="A859" s="204">
        <f>IF(MOD(COUNT($A$10:A858),12)=0,A858+1,A858)</f>
        <v>71</v>
      </c>
      <c r="B859" s="218">
        <f t="shared" si="163"/>
        <v>10</v>
      </c>
      <c r="C859" s="218">
        <f t="shared" si="159"/>
        <v>1</v>
      </c>
      <c r="D859" s="208">
        <f>IF(MOD(COUNT($D$10:D858),6)=0,D858+1,D858)</f>
        <v>142</v>
      </c>
      <c r="E859" s="208">
        <f>IF(MOD(COUNT($E$10:E858),3)=0,E858+1,E858)</f>
        <v>284</v>
      </c>
      <c r="F859" s="208">
        <f>IF(MOD(COUNT($F$10:F858),1)=0,F858+1,F858)</f>
        <v>850</v>
      </c>
      <c r="G859" s="204">
        <f>IFERROR(IF(C859=1,VLOOKUP(A859,Output!$A$27:$AB$137,28,FALSE)/AnnuityMode,0),0)</f>
        <v>0</v>
      </c>
      <c r="H859" s="220">
        <f>IFERROR(IF(AND(MIN(A859&gt;25,Age+A859&gt;=85),B859=12),VLOOKUP(A859,Output!$A$27:$AE$137,31,FALSE),0),0)</f>
        <v>0</v>
      </c>
      <c r="I859" s="221">
        <f>IFERROR(IF(AND(MIN(A859&gt;15,A859+Age&gt;=70),C859=1),VLOOKUP(A859,Output!$A$27:$AF$137,32,FALSE)*VLOOKUP('SV calc_ignore'!A859,Output!$A$27:$AG$137,33,FALSE)/IF(AnnuityMode=2,2,IF(AnnuityMode=4,4,IF(AnnuityMode=12,12,1))),0),0)</f>
        <v>0</v>
      </c>
      <c r="J859" s="227">
        <f t="shared" si="156"/>
        <v>0</v>
      </c>
      <c r="K859" s="213">
        <f t="shared" si="164"/>
        <v>0</v>
      </c>
      <c r="L859" s="209">
        <f t="shared" si="160"/>
        <v>0</v>
      </c>
      <c r="M859" s="214">
        <f t="shared" si="158"/>
        <v>0</v>
      </c>
      <c r="N859" s="211">
        <f t="shared" si="165"/>
        <v>0</v>
      </c>
      <c r="O859" s="194">
        <f t="shared" si="166"/>
        <v>0</v>
      </c>
      <c r="P859" s="212">
        <f t="shared" si="161"/>
        <v>0</v>
      </c>
      <c r="Q859">
        <f t="shared" si="157"/>
        <v>0</v>
      </c>
      <c r="X859" s="216">
        <f t="shared" si="167"/>
        <v>70</v>
      </c>
      <c r="Y859">
        <f t="shared" si="162"/>
        <v>0</v>
      </c>
    </row>
    <row r="860" spans="1:25" ht="13.5" thickBot="1" x14ac:dyDescent="0.25">
      <c r="A860" s="204">
        <f>IF(MOD(COUNT($A$10:A859),12)=0,A859+1,A859)</f>
        <v>71</v>
      </c>
      <c r="B860" s="218">
        <f t="shared" si="163"/>
        <v>11</v>
      </c>
      <c r="C860" s="218">
        <f t="shared" si="159"/>
        <v>1</v>
      </c>
      <c r="D860" s="208">
        <f>IF(MOD(COUNT($D$10:D859),6)=0,D859+1,D859)</f>
        <v>142</v>
      </c>
      <c r="E860" s="208">
        <f>IF(MOD(COUNT($E$10:E859),3)=0,E859+1,E859)</f>
        <v>284</v>
      </c>
      <c r="F860" s="208">
        <f>IF(MOD(COUNT($F$10:F859),1)=0,F859+1,F859)</f>
        <v>851</v>
      </c>
      <c r="G860" s="204">
        <f>IFERROR(IF(C860=1,VLOOKUP(A860,Output!$A$27:$AB$137,28,FALSE)/AnnuityMode,0),0)</f>
        <v>0</v>
      </c>
      <c r="H860" s="220">
        <f>IFERROR(IF(AND(MIN(A860&gt;25,Age+A860&gt;=85),B860=12),VLOOKUP(A860,Output!$A$27:$AE$137,31,FALSE),0),0)</f>
        <v>0</v>
      </c>
      <c r="I860" s="221">
        <f>IFERROR(IF(AND(MIN(A860&gt;15,A860+Age&gt;=70),C860=1),VLOOKUP(A860,Output!$A$27:$AF$137,32,FALSE)*VLOOKUP('SV calc_ignore'!A860,Output!$A$27:$AG$137,33,FALSE)/IF(AnnuityMode=2,2,IF(AnnuityMode=4,4,IF(AnnuityMode=12,12,1))),0),0)</f>
        <v>0</v>
      </c>
      <c r="J860" s="227">
        <f t="shared" si="156"/>
        <v>0</v>
      </c>
      <c r="K860" s="213">
        <f t="shared" si="164"/>
        <v>0</v>
      </c>
      <c r="L860" s="209">
        <f t="shared" si="160"/>
        <v>0</v>
      </c>
      <c r="M860" s="214">
        <f t="shared" si="158"/>
        <v>0</v>
      </c>
      <c r="N860" s="211">
        <f t="shared" si="165"/>
        <v>0</v>
      </c>
      <c r="O860" s="194">
        <f t="shared" si="166"/>
        <v>0</v>
      </c>
      <c r="P860" s="212">
        <f t="shared" si="161"/>
        <v>0</v>
      </c>
      <c r="Q860">
        <f t="shared" si="157"/>
        <v>0</v>
      </c>
      <c r="X860" s="216">
        <f t="shared" si="167"/>
        <v>70</v>
      </c>
      <c r="Y860">
        <f t="shared" si="162"/>
        <v>0</v>
      </c>
    </row>
    <row r="861" spans="1:25" ht="13.5" thickBot="1" x14ac:dyDescent="0.25">
      <c r="A861" s="204">
        <f>IF(MOD(COUNT($A$10:A860),12)=0,A860+1,A860)</f>
        <v>71</v>
      </c>
      <c r="B861" s="218">
        <f t="shared" si="163"/>
        <v>12</v>
      </c>
      <c r="C861" s="218">
        <f t="shared" si="159"/>
        <v>1</v>
      </c>
      <c r="D861" s="208">
        <f>IF(MOD(COUNT($D$10:D860),6)=0,D860+1,D860)</f>
        <v>142</v>
      </c>
      <c r="E861" s="208">
        <f>IF(MOD(COUNT($E$10:E860),3)=0,E860+1,E860)</f>
        <v>284</v>
      </c>
      <c r="F861" s="208">
        <f>IF(MOD(COUNT($F$10:F860),1)=0,F860+1,F860)</f>
        <v>852</v>
      </c>
      <c r="G861" s="204">
        <f>IFERROR(IF(C861=1,VLOOKUP(A861,Output!$A$27:$AB$137,28,FALSE)/AnnuityMode,0),0)</f>
        <v>0</v>
      </c>
      <c r="H861" s="220">
        <f>IFERROR(IF(AND(MIN(A861&gt;25,Age+A861&gt;=85),B861=12),VLOOKUP(A861,Output!$A$27:$AE$137,31,FALSE),0),0)</f>
        <v>0</v>
      </c>
      <c r="I861" s="221">
        <f>IFERROR(IF(AND(MIN(A861&gt;15,A861+Age&gt;=70),C861=1),VLOOKUP(A861,Output!$A$27:$AF$137,32,FALSE)*VLOOKUP('SV calc_ignore'!A861,Output!$A$27:$AG$137,33,FALSE)/IF(AnnuityMode=2,2,IF(AnnuityMode=4,4,IF(AnnuityMode=12,12,1))),0),0)</f>
        <v>0</v>
      </c>
      <c r="J861" s="227">
        <f t="shared" si="156"/>
        <v>0</v>
      </c>
      <c r="K861" s="213">
        <f t="shared" si="164"/>
        <v>0</v>
      </c>
      <c r="L861" s="209">
        <f t="shared" si="160"/>
        <v>0</v>
      </c>
      <c r="M861" s="214">
        <f t="shared" si="158"/>
        <v>0</v>
      </c>
      <c r="N861" s="211">
        <f t="shared" si="165"/>
        <v>0</v>
      </c>
      <c r="O861" s="194">
        <f t="shared" si="166"/>
        <v>0</v>
      </c>
      <c r="P861" s="212">
        <f t="shared" si="161"/>
        <v>0</v>
      </c>
      <c r="Q861">
        <f t="shared" si="157"/>
        <v>0</v>
      </c>
      <c r="X861" s="216">
        <f t="shared" si="167"/>
        <v>70</v>
      </c>
      <c r="Y861">
        <f t="shared" si="162"/>
        <v>0</v>
      </c>
    </row>
    <row r="862" spans="1:25" ht="13.5" thickBot="1" x14ac:dyDescent="0.25">
      <c r="A862" s="204">
        <f>IF(MOD(COUNT($A$10:A861),12)=0,A861+1,A861)</f>
        <v>72</v>
      </c>
      <c r="B862" s="218">
        <f t="shared" si="163"/>
        <v>1</v>
      </c>
      <c r="C862" s="218">
        <f t="shared" si="159"/>
        <v>1</v>
      </c>
      <c r="D862" s="208">
        <f>IF(MOD(COUNT($D$10:D861),6)=0,D861+1,D861)</f>
        <v>143</v>
      </c>
      <c r="E862" s="208">
        <f>IF(MOD(COUNT($E$10:E861),3)=0,E861+1,E861)</f>
        <v>285</v>
      </c>
      <c r="F862" s="208">
        <f>IF(MOD(COUNT($F$10:F861),1)=0,F861+1,F861)</f>
        <v>853</v>
      </c>
      <c r="G862" s="204">
        <f>IFERROR(IF(C862=1,VLOOKUP(A862,Output!$A$27:$AB$137,28,FALSE)/AnnuityMode,0),0)</f>
        <v>0</v>
      </c>
      <c r="H862" s="220">
        <f>IFERROR(IF(AND(MIN(A862&gt;25,Age+A862&gt;=85),B862=12),VLOOKUP(A862,Output!$A$27:$AE$137,31,FALSE),0),0)</f>
        <v>0</v>
      </c>
      <c r="I862" s="221">
        <f>IFERROR(IF(AND(MIN(A862&gt;15,A862+Age&gt;=70),C862=1),VLOOKUP(A862,Output!$A$27:$AF$137,32,FALSE)*VLOOKUP('SV calc_ignore'!A862,Output!$A$27:$AG$137,33,FALSE)/IF(AnnuityMode=2,2,IF(AnnuityMode=4,4,IF(AnnuityMode=12,12,1))),0),0)</f>
        <v>0</v>
      </c>
      <c r="J862" s="227">
        <f t="shared" si="156"/>
        <v>0</v>
      </c>
      <c r="K862" s="213">
        <f t="shared" si="164"/>
        <v>0</v>
      </c>
      <c r="L862" s="209">
        <f t="shared" si="160"/>
        <v>0</v>
      </c>
      <c r="M862" s="214">
        <f t="shared" si="158"/>
        <v>0</v>
      </c>
      <c r="N862" s="211">
        <f t="shared" si="165"/>
        <v>0</v>
      </c>
      <c r="O862" s="194">
        <f t="shared" si="166"/>
        <v>0</v>
      </c>
      <c r="P862" s="212">
        <f t="shared" si="161"/>
        <v>0</v>
      </c>
      <c r="Q862">
        <f t="shared" si="157"/>
        <v>0</v>
      </c>
      <c r="X862" s="216">
        <f t="shared" si="167"/>
        <v>71</v>
      </c>
      <c r="Y862">
        <f t="shared" si="162"/>
        <v>0</v>
      </c>
    </row>
    <row r="863" spans="1:25" ht="13.5" thickBot="1" x14ac:dyDescent="0.25">
      <c r="A863" s="204">
        <f>IF(MOD(COUNT($A$10:A862),12)=0,A862+1,A862)</f>
        <v>72</v>
      </c>
      <c r="B863" s="218">
        <f t="shared" si="163"/>
        <v>2</v>
      </c>
      <c r="C863" s="218">
        <f t="shared" si="159"/>
        <v>1</v>
      </c>
      <c r="D863" s="208">
        <f>IF(MOD(COUNT($D$10:D862),6)=0,D862+1,D862)</f>
        <v>143</v>
      </c>
      <c r="E863" s="208">
        <f>IF(MOD(COUNT($E$10:E862),3)=0,E862+1,E862)</f>
        <v>285</v>
      </c>
      <c r="F863" s="208">
        <f>IF(MOD(COUNT($F$10:F862),1)=0,F862+1,F862)</f>
        <v>854</v>
      </c>
      <c r="G863" s="204">
        <f>IFERROR(IF(C863=1,VLOOKUP(A863,Output!$A$27:$AB$137,28,FALSE)/AnnuityMode,0),0)</f>
        <v>0</v>
      </c>
      <c r="H863" s="220">
        <f>IFERROR(IF(AND(MIN(A863&gt;25,Age+A863&gt;=85),B863=12),VLOOKUP(A863,Output!$A$27:$AE$137,31,FALSE),0),0)</f>
        <v>0</v>
      </c>
      <c r="I863" s="221">
        <f>IFERROR(IF(AND(MIN(A863&gt;15,A863+Age&gt;=70),C863=1),VLOOKUP(A863,Output!$A$27:$AF$137,32,FALSE)*VLOOKUP('SV calc_ignore'!A863,Output!$A$27:$AG$137,33,FALSE)/IF(AnnuityMode=2,2,IF(AnnuityMode=4,4,IF(AnnuityMode=12,12,1))),0),0)</f>
        <v>0</v>
      </c>
      <c r="J863" s="227">
        <f t="shared" si="156"/>
        <v>0</v>
      </c>
      <c r="K863" s="213">
        <f t="shared" si="164"/>
        <v>0</v>
      </c>
      <c r="L863" s="209">
        <f t="shared" si="160"/>
        <v>0</v>
      </c>
      <c r="M863" s="214">
        <f t="shared" si="158"/>
        <v>0</v>
      </c>
      <c r="N863" s="211">
        <f t="shared" si="165"/>
        <v>0</v>
      </c>
      <c r="O863" s="194">
        <f t="shared" si="166"/>
        <v>0</v>
      </c>
      <c r="P863" s="212">
        <f t="shared" si="161"/>
        <v>0</v>
      </c>
      <c r="Q863">
        <f t="shared" si="157"/>
        <v>0</v>
      </c>
      <c r="X863" s="216">
        <f t="shared" si="167"/>
        <v>71</v>
      </c>
      <c r="Y863">
        <f t="shared" si="162"/>
        <v>0</v>
      </c>
    </row>
    <row r="864" spans="1:25" ht="13.5" thickBot="1" x14ac:dyDescent="0.25">
      <c r="A864" s="204">
        <f>IF(MOD(COUNT($A$10:A863),12)=0,A863+1,A863)</f>
        <v>72</v>
      </c>
      <c r="B864" s="218">
        <f t="shared" si="163"/>
        <v>3</v>
      </c>
      <c r="C864" s="218">
        <f t="shared" si="159"/>
        <v>1</v>
      </c>
      <c r="D864" s="208">
        <f>IF(MOD(COUNT($D$10:D863),6)=0,D863+1,D863)</f>
        <v>143</v>
      </c>
      <c r="E864" s="208">
        <f>IF(MOD(COUNT($E$10:E863),3)=0,E863+1,E863)</f>
        <v>285</v>
      </c>
      <c r="F864" s="208">
        <f>IF(MOD(COUNT($F$10:F863),1)=0,F863+1,F863)</f>
        <v>855</v>
      </c>
      <c r="G864" s="204">
        <f>IFERROR(IF(C864=1,VLOOKUP(A864,Output!$A$27:$AB$137,28,FALSE)/AnnuityMode,0),0)</f>
        <v>0</v>
      </c>
      <c r="H864" s="220">
        <f>IFERROR(IF(AND(MIN(A864&gt;25,Age+A864&gt;=85),B864=12),VLOOKUP(A864,Output!$A$27:$AE$137,31,FALSE),0),0)</f>
        <v>0</v>
      </c>
      <c r="I864" s="221">
        <f>IFERROR(IF(AND(MIN(A864&gt;15,A864+Age&gt;=70),C864=1),VLOOKUP(A864,Output!$A$27:$AF$137,32,FALSE)*VLOOKUP('SV calc_ignore'!A864,Output!$A$27:$AG$137,33,FALSE)/IF(AnnuityMode=2,2,IF(AnnuityMode=4,4,IF(AnnuityMode=12,12,1))),0),0)</f>
        <v>0</v>
      </c>
      <c r="J864" s="227">
        <f t="shared" si="156"/>
        <v>0</v>
      </c>
      <c r="K864" s="213">
        <f t="shared" si="164"/>
        <v>0</v>
      </c>
      <c r="L864" s="209">
        <f t="shared" si="160"/>
        <v>0</v>
      </c>
      <c r="M864" s="214">
        <f t="shared" si="158"/>
        <v>0</v>
      </c>
      <c r="N864" s="211">
        <f t="shared" si="165"/>
        <v>0</v>
      </c>
      <c r="O864" s="194">
        <f t="shared" si="166"/>
        <v>0</v>
      </c>
      <c r="P864" s="212">
        <f t="shared" si="161"/>
        <v>0</v>
      </c>
      <c r="Q864">
        <f t="shared" si="157"/>
        <v>0</v>
      </c>
      <c r="X864" s="216">
        <f t="shared" si="167"/>
        <v>71</v>
      </c>
      <c r="Y864">
        <f t="shared" si="162"/>
        <v>0</v>
      </c>
    </row>
    <row r="865" spans="1:25" ht="13.5" thickBot="1" x14ac:dyDescent="0.25">
      <c r="A865" s="204">
        <f>IF(MOD(COUNT($A$10:A864),12)=0,A864+1,A864)</f>
        <v>72</v>
      </c>
      <c r="B865" s="218">
        <f t="shared" si="163"/>
        <v>4</v>
      </c>
      <c r="C865" s="218">
        <f t="shared" si="159"/>
        <v>1</v>
      </c>
      <c r="D865" s="208">
        <f>IF(MOD(COUNT($D$10:D864),6)=0,D864+1,D864)</f>
        <v>143</v>
      </c>
      <c r="E865" s="208">
        <f>IF(MOD(COUNT($E$10:E864),3)=0,E864+1,E864)</f>
        <v>286</v>
      </c>
      <c r="F865" s="208">
        <f>IF(MOD(COUNT($F$10:F864),1)=0,F864+1,F864)</f>
        <v>856</v>
      </c>
      <c r="G865" s="204">
        <f>IFERROR(IF(C865=1,VLOOKUP(A865,Output!$A$27:$AB$137,28,FALSE)/AnnuityMode,0),0)</f>
        <v>0</v>
      </c>
      <c r="H865" s="220">
        <f>IFERROR(IF(AND(MIN(A865&gt;25,Age+A865&gt;=85),B865=12),VLOOKUP(A865,Output!$A$27:$AE$137,31,FALSE),0),0)</f>
        <v>0</v>
      </c>
      <c r="I865" s="221">
        <f>IFERROR(IF(AND(MIN(A865&gt;15,A865+Age&gt;=70),C865=1),VLOOKUP(A865,Output!$A$27:$AF$137,32,FALSE)*VLOOKUP('SV calc_ignore'!A865,Output!$A$27:$AG$137,33,FALSE)/IF(AnnuityMode=2,2,IF(AnnuityMode=4,4,IF(AnnuityMode=12,12,1))),0),0)</f>
        <v>0</v>
      </c>
      <c r="J865" s="227">
        <f t="shared" si="156"/>
        <v>0</v>
      </c>
      <c r="K865" s="213">
        <f t="shared" si="164"/>
        <v>0</v>
      </c>
      <c r="L865" s="209">
        <f t="shared" si="160"/>
        <v>0</v>
      </c>
      <c r="M865" s="214">
        <f t="shared" si="158"/>
        <v>0</v>
      </c>
      <c r="N865" s="211">
        <f t="shared" si="165"/>
        <v>0</v>
      </c>
      <c r="O865" s="194">
        <f t="shared" si="166"/>
        <v>0</v>
      </c>
      <c r="P865" s="212">
        <f t="shared" si="161"/>
        <v>0</v>
      </c>
      <c r="Q865">
        <f t="shared" si="157"/>
        <v>0</v>
      </c>
      <c r="X865" s="216">
        <f t="shared" si="167"/>
        <v>71</v>
      </c>
      <c r="Y865">
        <f t="shared" si="162"/>
        <v>0</v>
      </c>
    </row>
    <row r="866" spans="1:25" ht="13.5" thickBot="1" x14ac:dyDescent="0.25">
      <c r="A866" s="204">
        <f>IF(MOD(COUNT($A$10:A865),12)=0,A865+1,A865)</f>
        <v>72</v>
      </c>
      <c r="B866" s="218">
        <f t="shared" si="163"/>
        <v>5</v>
      </c>
      <c r="C866" s="218">
        <f t="shared" si="159"/>
        <v>1</v>
      </c>
      <c r="D866" s="208">
        <f>IF(MOD(COUNT($D$10:D865),6)=0,D865+1,D865)</f>
        <v>143</v>
      </c>
      <c r="E866" s="208">
        <f>IF(MOD(COUNT($E$10:E865),3)=0,E865+1,E865)</f>
        <v>286</v>
      </c>
      <c r="F866" s="208">
        <f>IF(MOD(COUNT($F$10:F865),1)=0,F865+1,F865)</f>
        <v>857</v>
      </c>
      <c r="G866" s="204">
        <f>IFERROR(IF(C866=1,VLOOKUP(A866,Output!$A$27:$AB$137,28,FALSE)/AnnuityMode,0),0)</f>
        <v>0</v>
      </c>
      <c r="H866" s="220">
        <f>IFERROR(IF(AND(MIN(A866&gt;25,Age+A866&gt;=85),B866=12),VLOOKUP(A866,Output!$A$27:$AE$137,31,FALSE),0),0)</f>
        <v>0</v>
      </c>
      <c r="I866" s="221">
        <f>IFERROR(IF(AND(MIN(A866&gt;15,A866+Age&gt;=70),C866=1),VLOOKUP(A866,Output!$A$27:$AF$137,32,FALSE)*VLOOKUP('SV calc_ignore'!A866,Output!$A$27:$AG$137,33,FALSE)/IF(AnnuityMode=2,2,IF(AnnuityMode=4,4,IF(AnnuityMode=12,12,1))),0),0)</f>
        <v>0</v>
      </c>
      <c r="J866" s="227">
        <f t="shared" si="156"/>
        <v>0</v>
      </c>
      <c r="K866" s="213">
        <f t="shared" si="164"/>
        <v>0</v>
      </c>
      <c r="L866" s="209">
        <f t="shared" si="160"/>
        <v>0</v>
      </c>
      <c r="M866" s="214">
        <f t="shared" si="158"/>
        <v>0</v>
      </c>
      <c r="N866" s="211">
        <f t="shared" si="165"/>
        <v>0</v>
      </c>
      <c r="O866" s="194">
        <f t="shared" si="166"/>
        <v>0</v>
      </c>
      <c r="P866" s="212">
        <f t="shared" si="161"/>
        <v>0</v>
      </c>
      <c r="Q866">
        <f t="shared" si="157"/>
        <v>0</v>
      </c>
      <c r="X866" s="216">
        <f t="shared" si="167"/>
        <v>71</v>
      </c>
      <c r="Y866">
        <f t="shared" si="162"/>
        <v>0</v>
      </c>
    </row>
    <row r="867" spans="1:25" ht="13.5" thickBot="1" x14ac:dyDescent="0.25">
      <c r="A867" s="204">
        <f>IF(MOD(COUNT($A$10:A866),12)=0,A866+1,A866)</f>
        <v>72</v>
      </c>
      <c r="B867" s="218">
        <f t="shared" si="163"/>
        <v>6</v>
      </c>
      <c r="C867" s="218">
        <f t="shared" si="159"/>
        <v>1</v>
      </c>
      <c r="D867" s="208">
        <f>IF(MOD(COUNT($D$10:D866),6)=0,D866+1,D866)</f>
        <v>143</v>
      </c>
      <c r="E867" s="208">
        <f>IF(MOD(COUNT($E$10:E866),3)=0,E866+1,E866)</f>
        <v>286</v>
      </c>
      <c r="F867" s="208">
        <f>IF(MOD(COUNT($F$10:F866),1)=0,F866+1,F866)</f>
        <v>858</v>
      </c>
      <c r="G867" s="204">
        <f>IFERROR(IF(C867=1,VLOOKUP(A867,Output!$A$27:$AB$137,28,FALSE)/AnnuityMode,0),0)</f>
        <v>0</v>
      </c>
      <c r="H867" s="220">
        <f>IFERROR(IF(AND(MIN(A867&gt;25,Age+A867&gt;=85),B867=12),VLOOKUP(A867,Output!$A$27:$AE$137,31,FALSE),0),0)</f>
        <v>0</v>
      </c>
      <c r="I867" s="221">
        <f>IFERROR(IF(AND(MIN(A867&gt;15,A867+Age&gt;=70),C867=1),VLOOKUP(A867,Output!$A$27:$AF$137,32,FALSE)*VLOOKUP('SV calc_ignore'!A867,Output!$A$27:$AG$137,33,FALSE)/IF(AnnuityMode=2,2,IF(AnnuityMode=4,4,IF(AnnuityMode=12,12,1))),0),0)</f>
        <v>0</v>
      </c>
      <c r="J867" s="227">
        <f t="shared" si="156"/>
        <v>0</v>
      </c>
      <c r="K867" s="213">
        <f t="shared" si="164"/>
        <v>0</v>
      </c>
      <c r="L867" s="209">
        <f t="shared" si="160"/>
        <v>0</v>
      </c>
      <c r="M867" s="214">
        <f t="shared" si="158"/>
        <v>0</v>
      </c>
      <c r="N867" s="211">
        <f t="shared" si="165"/>
        <v>0</v>
      </c>
      <c r="O867" s="194">
        <f t="shared" si="166"/>
        <v>0</v>
      </c>
      <c r="P867" s="212">
        <f t="shared" si="161"/>
        <v>0</v>
      </c>
      <c r="Q867">
        <f t="shared" si="157"/>
        <v>0</v>
      </c>
      <c r="X867" s="216">
        <f t="shared" si="167"/>
        <v>71</v>
      </c>
      <c r="Y867">
        <f t="shared" si="162"/>
        <v>0</v>
      </c>
    </row>
    <row r="868" spans="1:25" ht="13.5" thickBot="1" x14ac:dyDescent="0.25">
      <c r="A868" s="204">
        <f>IF(MOD(COUNT($A$10:A867),12)=0,A867+1,A867)</f>
        <v>72</v>
      </c>
      <c r="B868" s="218">
        <f t="shared" si="163"/>
        <v>7</v>
      </c>
      <c r="C868" s="218">
        <f t="shared" si="159"/>
        <v>1</v>
      </c>
      <c r="D868" s="208">
        <f>IF(MOD(COUNT($D$10:D867),6)=0,D867+1,D867)</f>
        <v>144</v>
      </c>
      <c r="E868" s="208">
        <f>IF(MOD(COUNT($E$10:E867),3)=0,E867+1,E867)</f>
        <v>287</v>
      </c>
      <c r="F868" s="208">
        <f>IF(MOD(COUNT($F$10:F867),1)=0,F867+1,F867)</f>
        <v>859</v>
      </c>
      <c r="G868" s="204">
        <f>IFERROR(IF(C868=1,VLOOKUP(A868,Output!$A$27:$AB$137,28,FALSE)/AnnuityMode,0),0)</f>
        <v>0</v>
      </c>
      <c r="H868" s="220">
        <f>IFERROR(IF(AND(MIN(A868&gt;25,Age+A868&gt;=85),B868=12),VLOOKUP(A868,Output!$A$27:$AE$137,31,FALSE),0),0)</f>
        <v>0</v>
      </c>
      <c r="I868" s="221">
        <f>IFERROR(IF(AND(MIN(A868&gt;15,A868+Age&gt;=70),C868=1),VLOOKUP(A868,Output!$A$27:$AF$137,32,FALSE)*VLOOKUP('SV calc_ignore'!A868,Output!$A$27:$AG$137,33,FALSE)/IF(AnnuityMode=2,2,IF(AnnuityMode=4,4,IF(AnnuityMode=12,12,1))),0),0)</f>
        <v>0</v>
      </c>
      <c r="J868" s="227">
        <f t="shared" si="156"/>
        <v>0</v>
      </c>
      <c r="K868" s="213">
        <f t="shared" si="164"/>
        <v>0</v>
      </c>
      <c r="L868" s="209">
        <f t="shared" si="160"/>
        <v>0</v>
      </c>
      <c r="M868" s="214">
        <f t="shared" si="158"/>
        <v>0</v>
      </c>
      <c r="N868" s="211">
        <f t="shared" si="165"/>
        <v>0</v>
      </c>
      <c r="O868" s="194">
        <f t="shared" si="166"/>
        <v>0</v>
      </c>
      <c r="P868" s="212">
        <f t="shared" si="161"/>
        <v>0</v>
      </c>
      <c r="Q868">
        <f t="shared" si="157"/>
        <v>0</v>
      </c>
      <c r="X868" s="216">
        <f t="shared" si="167"/>
        <v>71</v>
      </c>
      <c r="Y868">
        <f t="shared" si="162"/>
        <v>0</v>
      </c>
    </row>
    <row r="869" spans="1:25" ht="13.5" thickBot="1" x14ac:dyDescent="0.25">
      <c r="A869" s="204">
        <f>IF(MOD(COUNT($A$10:A868),12)=0,A868+1,A868)</f>
        <v>72</v>
      </c>
      <c r="B869" s="218">
        <f t="shared" si="163"/>
        <v>8</v>
      </c>
      <c r="C869" s="218">
        <f t="shared" si="159"/>
        <v>1</v>
      </c>
      <c r="D869" s="208">
        <f>IF(MOD(COUNT($D$10:D868),6)=0,D868+1,D868)</f>
        <v>144</v>
      </c>
      <c r="E869" s="208">
        <f>IF(MOD(COUNT($E$10:E868),3)=0,E868+1,E868)</f>
        <v>287</v>
      </c>
      <c r="F869" s="208">
        <f>IF(MOD(COUNT($F$10:F868),1)=0,F868+1,F868)</f>
        <v>860</v>
      </c>
      <c r="G869" s="204">
        <f>IFERROR(IF(C869=1,VLOOKUP(A869,Output!$A$27:$AB$137,28,FALSE)/AnnuityMode,0),0)</f>
        <v>0</v>
      </c>
      <c r="H869" s="220">
        <f>IFERROR(IF(AND(MIN(A869&gt;25,Age+A869&gt;=85),B869=12),VLOOKUP(A869,Output!$A$27:$AE$137,31,FALSE),0),0)</f>
        <v>0</v>
      </c>
      <c r="I869" s="221">
        <f>IFERROR(IF(AND(MIN(A869&gt;15,A869+Age&gt;=70),C869=1),VLOOKUP(A869,Output!$A$27:$AF$137,32,FALSE)*VLOOKUP('SV calc_ignore'!A869,Output!$A$27:$AG$137,33,FALSE)/IF(AnnuityMode=2,2,IF(AnnuityMode=4,4,IF(AnnuityMode=12,12,1))),0),0)</f>
        <v>0</v>
      </c>
      <c r="J869" s="227">
        <f t="shared" si="156"/>
        <v>0</v>
      </c>
      <c r="K869" s="213">
        <f t="shared" si="164"/>
        <v>0</v>
      </c>
      <c r="L869" s="209">
        <f t="shared" si="160"/>
        <v>0</v>
      </c>
      <c r="M869" s="214">
        <f t="shared" si="158"/>
        <v>0</v>
      </c>
      <c r="N869" s="211">
        <f t="shared" si="165"/>
        <v>0</v>
      </c>
      <c r="O869" s="194">
        <f t="shared" si="166"/>
        <v>0</v>
      </c>
      <c r="P869" s="212">
        <f t="shared" si="161"/>
        <v>0</v>
      </c>
      <c r="Q869">
        <f t="shared" si="157"/>
        <v>0</v>
      </c>
      <c r="X869" s="216">
        <f t="shared" si="167"/>
        <v>71</v>
      </c>
      <c r="Y869">
        <f t="shared" si="162"/>
        <v>0</v>
      </c>
    </row>
    <row r="870" spans="1:25" ht="13.5" thickBot="1" x14ac:dyDescent="0.25">
      <c r="A870" s="204">
        <f>IF(MOD(COUNT($A$10:A869),12)=0,A869+1,A869)</f>
        <v>72</v>
      </c>
      <c r="B870" s="218">
        <f t="shared" si="163"/>
        <v>9</v>
      </c>
      <c r="C870" s="218">
        <f t="shared" si="159"/>
        <v>1</v>
      </c>
      <c r="D870" s="208">
        <f>IF(MOD(COUNT($D$10:D869),6)=0,D869+1,D869)</f>
        <v>144</v>
      </c>
      <c r="E870" s="208">
        <f>IF(MOD(COUNT($E$10:E869),3)=0,E869+1,E869)</f>
        <v>287</v>
      </c>
      <c r="F870" s="208">
        <f>IF(MOD(COUNT($F$10:F869),1)=0,F869+1,F869)</f>
        <v>861</v>
      </c>
      <c r="G870" s="204">
        <f>IFERROR(IF(C870=1,VLOOKUP(A870,Output!$A$27:$AB$137,28,FALSE)/AnnuityMode,0),0)</f>
        <v>0</v>
      </c>
      <c r="H870" s="220">
        <f>IFERROR(IF(AND(MIN(A870&gt;25,Age+A870&gt;=85),B870=12),VLOOKUP(A870,Output!$A$27:$AE$137,31,FALSE),0),0)</f>
        <v>0</v>
      </c>
      <c r="I870" s="221">
        <f>IFERROR(IF(AND(MIN(A870&gt;15,A870+Age&gt;=70),C870=1),VLOOKUP(A870,Output!$A$27:$AF$137,32,FALSE)*VLOOKUP('SV calc_ignore'!A870,Output!$A$27:$AG$137,33,FALSE)/IF(AnnuityMode=2,2,IF(AnnuityMode=4,4,IF(AnnuityMode=12,12,1))),0),0)</f>
        <v>0</v>
      </c>
      <c r="J870" s="227">
        <f t="shared" ref="J870:J897" si="168">G870+(J871)*(1+$K$3)^(-1)</f>
        <v>0</v>
      </c>
      <c r="K870" s="213">
        <f t="shared" si="164"/>
        <v>0</v>
      </c>
      <c r="L870" s="209">
        <f t="shared" si="160"/>
        <v>0</v>
      </c>
      <c r="M870" s="214">
        <f t="shared" si="158"/>
        <v>0</v>
      </c>
      <c r="N870" s="211">
        <f t="shared" si="165"/>
        <v>0</v>
      </c>
      <c r="O870" s="194">
        <f t="shared" si="166"/>
        <v>0</v>
      </c>
      <c r="P870" s="212">
        <f t="shared" si="161"/>
        <v>0</v>
      </c>
      <c r="Q870">
        <f t="shared" si="157"/>
        <v>0</v>
      </c>
      <c r="X870" s="216">
        <f t="shared" si="167"/>
        <v>71</v>
      </c>
      <c r="Y870">
        <f t="shared" si="162"/>
        <v>0</v>
      </c>
    </row>
    <row r="871" spans="1:25" ht="13.5" thickBot="1" x14ac:dyDescent="0.25">
      <c r="A871" s="204">
        <f>IF(MOD(COUNT($A$10:A870),12)=0,A870+1,A870)</f>
        <v>72</v>
      </c>
      <c r="B871" s="218">
        <f t="shared" si="163"/>
        <v>10</v>
      </c>
      <c r="C871" s="218">
        <f t="shared" si="159"/>
        <v>1</v>
      </c>
      <c r="D871" s="208">
        <f>IF(MOD(COUNT($D$10:D870),6)=0,D870+1,D870)</f>
        <v>144</v>
      </c>
      <c r="E871" s="208">
        <f>IF(MOD(COUNT($E$10:E870),3)=0,E870+1,E870)</f>
        <v>288</v>
      </c>
      <c r="F871" s="208">
        <f>IF(MOD(COUNT($F$10:F870),1)=0,F870+1,F870)</f>
        <v>862</v>
      </c>
      <c r="G871" s="204">
        <f>IFERROR(IF(C871=1,VLOOKUP(A871,Output!$A$27:$AB$137,28,FALSE)/AnnuityMode,0),0)</f>
        <v>0</v>
      </c>
      <c r="H871" s="220">
        <f>IFERROR(IF(AND(MIN(A871&gt;25,Age+A871&gt;=85),B871=12),VLOOKUP(A871,Output!$A$27:$AE$137,31,FALSE),0),0)</f>
        <v>0</v>
      </c>
      <c r="I871" s="221">
        <f>IFERROR(IF(AND(MIN(A871&gt;15,A871+Age&gt;=70),C871=1),VLOOKUP(A871,Output!$A$27:$AF$137,32,FALSE)*VLOOKUP('SV calc_ignore'!A871,Output!$A$27:$AG$137,33,FALSE)/IF(AnnuityMode=2,2,IF(AnnuityMode=4,4,IF(AnnuityMode=12,12,1))),0),0)</f>
        <v>0</v>
      </c>
      <c r="J871" s="227">
        <f t="shared" si="168"/>
        <v>0</v>
      </c>
      <c r="K871" s="213">
        <f t="shared" si="164"/>
        <v>0</v>
      </c>
      <c r="L871" s="209">
        <f t="shared" si="160"/>
        <v>0</v>
      </c>
      <c r="M871" s="214">
        <f t="shared" si="158"/>
        <v>0</v>
      </c>
      <c r="N871" s="211">
        <f t="shared" si="165"/>
        <v>0</v>
      </c>
      <c r="O871" s="194">
        <f t="shared" si="166"/>
        <v>0</v>
      </c>
      <c r="P871" s="212">
        <f t="shared" si="161"/>
        <v>0</v>
      </c>
      <c r="Q871">
        <f t="shared" si="157"/>
        <v>0</v>
      </c>
      <c r="X871" s="216">
        <f t="shared" si="167"/>
        <v>71</v>
      </c>
      <c r="Y871">
        <f t="shared" si="162"/>
        <v>0</v>
      </c>
    </row>
    <row r="872" spans="1:25" ht="13.5" thickBot="1" x14ac:dyDescent="0.25">
      <c r="A872" s="204">
        <f>IF(MOD(COUNT($A$10:A871),12)=0,A871+1,A871)</f>
        <v>72</v>
      </c>
      <c r="B872" s="218">
        <f t="shared" si="163"/>
        <v>11</v>
      </c>
      <c r="C872" s="218">
        <f t="shared" si="159"/>
        <v>1</v>
      </c>
      <c r="D872" s="208">
        <f>IF(MOD(COUNT($D$10:D871),6)=0,D871+1,D871)</f>
        <v>144</v>
      </c>
      <c r="E872" s="208">
        <f>IF(MOD(COUNT($E$10:E871),3)=0,E871+1,E871)</f>
        <v>288</v>
      </c>
      <c r="F872" s="208">
        <f>IF(MOD(COUNT($F$10:F871),1)=0,F871+1,F871)</f>
        <v>863</v>
      </c>
      <c r="G872" s="204">
        <f>IFERROR(IF(C872=1,VLOOKUP(A872,Output!$A$27:$AB$137,28,FALSE)/AnnuityMode,0),0)</f>
        <v>0</v>
      </c>
      <c r="H872" s="220">
        <f>IFERROR(IF(AND(MIN(A872&gt;25,Age+A872&gt;=85),B872=12),VLOOKUP(A872,Output!$A$27:$AE$137,31,FALSE),0),0)</f>
        <v>0</v>
      </c>
      <c r="I872" s="221">
        <f>IFERROR(IF(AND(MIN(A872&gt;15,A872+Age&gt;=70),C872=1),VLOOKUP(A872,Output!$A$27:$AF$137,32,FALSE)*VLOOKUP('SV calc_ignore'!A872,Output!$A$27:$AG$137,33,FALSE)/IF(AnnuityMode=2,2,IF(AnnuityMode=4,4,IF(AnnuityMode=12,12,1))),0),0)</f>
        <v>0</v>
      </c>
      <c r="J872" s="227">
        <f t="shared" si="168"/>
        <v>0</v>
      </c>
      <c r="K872" s="213">
        <f t="shared" si="164"/>
        <v>0</v>
      </c>
      <c r="L872" s="209">
        <f t="shared" si="160"/>
        <v>0</v>
      </c>
      <c r="M872" s="214">
        <f t="shared" si="158"/>
        <v>0</v>
      </c>
      <c r="N872" s="211">
        <f t="shared" si="165"/>
        <v>0</v>
      </c>
      <c r="O872" s="194">
        <f t="shared" si="166"/>
        <v>0</v>
      </c>
      <c r="P872" s="212">
        <f t="shared" si="161"/>
        <v>0</v>
      </c>
      <c r="Q872">
        <f t="shared" si="157"/>
        <v>0</v>
      </c>
      <c r="X872" s="216">
        <f t="shared" si="167"/>
        <v>71</v>
      </c>
      <c r="Y872">
        <f t="shared" si="162"/>
        <v>0</v>
      </c>
    </row>
    <row r="873" spans="1:25" ht="13.5" thickBot="1" x14ac:dyDescent="0.25">
      <c r="A873" s="204">
        <f>IF(MOD(COUNT($A$10:A872),12)=0,A872+1,A872)</f>
        <v>72</v>
      </c>
      <c r="B873" s="218">
        <f t="shared" si="163"/>
        <v>12</v>
      </c>
      <c r="C873" s="218">
        <f t="shared" si="159"/>
        <v>1</v>
      </c>
      <c r="D873" s="208">
        <f>IF(MOD(COUNT($D$10:D872),6)=0,D872+1,D872)</f>
        <v>144</v>
      </c>
      <c r="E873" s="208">
        <f>IF(MOD(COUNT($E$10:E872),3)=0,E872+1,E872)</f>
        <v>288</v>
      </c>
      <c r="F873" s="208">
        <f>IF(MOD(COUNT($F$10:F872),1)=0,F872+1,F872)</f>
        <v>864</v>
      </c>
      <c r="G873" s="204">
        <f>IFERROR(IF(C873=1,VLOOKUP(A873,Output!$A$27:$AB$137,28,FALSE)/AnnuityMode,0),0)</f>
        <v>0</v>
      </c>
      <c r="H873" s="220">
        <f>IFERROR(IF(AND(MIN(A873&gt;25,Age+A873&gt;=85),B873=12),VLOOKUP(A873,Output!$A$27:$AE$137,31,FALSE),0),0)</f>
        <v>0</v>
      </c>
      <c r="I873" s="221">
        <f>IFERROR(IF(AND(MIN(A873&gt;15,A873+Age&gt;=70),C873=1),VLOOKUP(A873,Output!$A$27:$AF$137,32,FALSE)*VLOOKUP('SV calc_ignore'!A873,Output!$A$27:$AG$137,33,FALSE)/IF(AnnuityMode=2,2,IF(AnnuityMode=4,4,IF(AnnuityMode=12,12,1))),0),0)</f>
        <v>0</v>
      </c>
      <c r="J873" s="227">
        <f t="shared" si="168"/>
        <v>0</v>
      </c>
      <c r="K873" s="213">
        <f t="shared" si="164"/>
        <v>0</v>
      </c>
      <c r="L873" s="209">
        <f t="shared" si="160"/>
        <v>0</v>
      </c>
      <c r="M873" s="214">
        <f t="shared" si="158"/>
        <v>0</v>
      </c>
      <c r="N873" s="211">
        <f t="shared" si="165"/>
        <v>0</v>
      </c>
      <c r="O873" s="194">
        <f t="shared" si="166"/>
        <v>0</v>
      </c>
      <c r="P873" s="212">
        <f t="shared" si="161"/>
        <v>0</v>
      </c>
      <c r="Q873">
        <f t="shared" si="157"/>
        <v>0</v>
      </c>
      <c r="X873" s="216">
        <f t="shared" si="167"/>
        <v>71</v>
      </c>
      <c r="Y873">
        <f t="shared" si="162"/>
        <v>0</v>
      </c>
    </row>
    <row r="874" spans="1:25" ht="13.5" thickBot="1" x14ac:dyDescent="0.25">
      <c r="A874" s="204">
        <f>IF(MOD(COUNT($A$10:A873),12)=0,A873+1,A873)</f>
        <v>73</v>
      </c>
      <c r="B874" s="218">
        <f t="shared" si="163"/>
        <v>1</v>
      </c>
      <c r="C874" s="218">
        <f t="shared" si="159"/>
        <v>1</v>
      </c>
      <c r="D874" s="208">
        <f>IF(MOD(COUNT($D$10:D873),6)=0,D873+1,D873)</f>
        <v>145</v>
      </c>
      <c r="E874" s="208">
        <f>IF(MOD(COUNT($E$10:E873),3)=0,E873+1,E873)</f>
        <v>289</v>
      </c>
      <c r="F874" s="208">
        <f>IF(MOD(COUNT($F$10:F873),1)=0,F873+1,F873)</f>
        <v>865</v>
      </c>
      <c r="G874" s="204">
        <f>IFERROR(IF(C874=1,VLOOKUP(A874,Output!$A$27:$AB$137,28,FALSE)/AnnuityMode,0),0)</f>
        <v>0</v>
      </c>
      <c r="H874" s="220">
        <f>IFERROR(IF(AND(MIN(A874&gt;25,Age+A874&gt;=85),B874=12),VLOOKUP(A874,Output!$A$27:$AE$137,31,FALSE),0),0)</f>
        <v>0</v>
      </c>
      <c r="I874" s="221">
        <f>IFERROR(IF(AND(MIN(A874&gt;15,A874+Age&gt;=70),C874=1),VLOOKUP(A874,Output!$A$27:$AF$137,32,FALSE)*VLOOKUP('SV calc_ignore'!A874,Output!$A$27:$AG$137,33,FALSE)/IF(AnnuityMode=2,2,IF(AnnuityMode=4,4,IF(AnnuityMode=12,12,1))),0),0)</f>
        <v>0</v>
      </c>
      <c r="J874" s="227">
        <f t="shared" si="168"/>
        <v>0</v>
      </c>
      <c r="K874" s="213">
        <f t="shared" si="164"/>
        <v>0</v>
      </c>
      <c r="L874" s="209">
        <f t="shared" si="160"/>
        <v>0</v>
      </c>
      <c r="M874" s="214">
        <f t="shared" si="158"/>
        <v>0</v>
      </c>
      <c r="N874" s="211">
        <f t="shared" si="165"/>
        <v>0</v>
      </c>
      <c r="O874" s="194">
        <f t="shared" si="166"/>
        <v>0</v>
      </c>
      <c r="P874" s="212">
        <f t="shared" si="161"/>
        <v>0</v>
      </c>
      <c r="Q874">
        <f t="shared" ref="Q874:Q937" si="169">(I874+(Q875)*(1+$K$3)^(-1))*(A874&lt;=$W$5)</f>
        <v>0</v>
      </c>
      <c r="X874" s="216">
        <f t="shared" si="167"/>
        <v>72</v>
      </c>
      <c r="Y874">
        <f t="shared" si="162"/>
        <v>0</v>
      </c>
    </row>
    <row r="875" spans="1:25" ht="13.5" thickBot="1" x14ac:dyDescent="0.25">
      <c r="A875" s="204">
        <f>IF(MOD(COUNT($A$10:A874),12)=0,A874+1,A874)</f>
        <v>73</v>
      </c>
      <c r="B875" s="218">
        <f t="shared" si="163"/>
        <v>2</v>
      </c>
      <c r="C875" s="218">
        <f t="shared" si="159"/>
        <v>1</v>
      </c>
      <c r="D875" s="208">
        <f>IF(MOD(COUNT($D$10:D874),6)=0,D874+1,D874)</f>
        <v>145</v>
      </c>
      <c r="E875" s="208">
        <f>IF(MOD(COUNT($E$10:E874),3)=0,E874+1,E874)</f>
        <v>289</v>
      </c>
      <c r="F875" s="208">
        <f>IF(MOD(COUNT($F$10:F874),1)=0,F874+1,F874)</f>
        <v>866</v>
      </c>
      <c r="G875" s="204">
        <f>IFERROR(IF(C875=1,VLOOKUP(A875,Output!$A$27:$AB$137,28,FALSE)/AnnuityMode,0),0)</f>
        <v>0</v>
      </c>
      <c r="H875" s="220">
        <f>IFERROR(IF(AND(MIN(A875&gt;25,Age+A875&gt;=85),B875=12),VLOOKUP(A875,Output!$A$27:$AE$137,31,FALSE),0),0)</f>
        <v>0</v>
      </c>
      <c r="I875" s="221">
        <f>IFERROR(IF(AND(MIN(A875&gt;15,A875+Age&gt;=70),C875=1),VLOOKUP(A875,Output!$A$27:$AF$137,32,FALSE)*VLOOKUP('SV calc_ignore'!A875,Output!$A$27:$AG$137,33,FALSE)/IF(AnnuityMode=2,2,IF(AnnuityMode=4,4,IF(AnnuityMode=12,12,1))),0),0)</f>
        <v>0</v>
      </c>
      <c r="J875" s="227">
        <f t="shared" si="168"/>
        <v>0</v>
      </c>
      <c r="K875" s="213">
        <f t="shared" si="164"/>
        <v>0</v>
      </c>
      <c r="L875" s="209">
        <f t="shared" si="160"/>
        <v>0</v>
      </c>
      <c r="M875" s="214">
        <f t="shared" si="158"/>
        <v>0</v>
      </c>
      <c r="N875" s="211">
        <f t="shared" si="165"/>
        <v>0</v>
      </c>
      <c r="O875" s="194">
        <f t="shared" si="166"/>
        <v>0</v>
      </c>
      <c r="P875" s="212">
        <f t="shared" si="161"/>
        <v>0</v>
      </c>
      <c r="Q875">
        <f t="shared" si="169"/>
        <v>0</v>
      </c>
      <c r="X875" s="216">
        <f t="shared" si="167"/>
        <v>72</v>
      </c>
      <c r="Y875">
        <f t="shared" si="162"/>
        <v>0</v>
      </c>
    </row>
    <row r="876" spans="1:25" ht="13.5" thickBot="1" x14ac:dyDescent="0.25">
      <c r="A876" s="204">
        <f>IF(MOD(COUNT($A$10:A875),12)=0,A875+1,A875)</f>
        <v>73</v>
      </c>
      <c r="B876" s="218">
        <f t="shared" si="163"/>
        <v>3</v>
      </c>
      <c r="C876" s="218">
        <f t="shared" si="159"/>
        <v>1</v>
      </c>
      <c r="D876" s="208">
        <f>IF(MOD(COUNT($D$10:D875),6)=0,D875+1,D875)</f>
        <v>145</v>
      </c>
      <c r="E876" s="208">
        <f>IF(MOD(COUNT($E$10:E875),3)=0,E875+1,E875)</f>
        <v>289</v>
      </c>
      <c r="F876" s="208">
        <f>IF(MOD(COUNT($F$10:F875),1)=0,F875+1,F875)</f>
        <v>867</v>
      </c>
      <c r="G876" s="204">
        <f>IFERROR(IF(C876=1,VLOOKUP(A876,Output!$A$27:$AB$137,28,FALSE)/AnnuityMode,0),0)</f>
        <v>0</v>
      </c>
      <c r="H876" s="220">
        <f>IFERROR(IF(AND(MIN(A876&gt;25,Age+A876&gt;=85),B876=12),VLOOKUP(A876,Output!$A$27:$AE$137,31,FALSE),0),0)</f>
        <v>0</v>
      </c>
      <c r="I876" s="221">
        <f>IFERROR(IF(AND(MIN(A876&gt;15,A876+Age&gt;=70),C876=1),VLOOKUP(A876,Output!$A$27:$AF$137,32,FALSE)*VLOOKUP('SV calc_ignore'!A876,Output!$A$27:$AG$137,33,FALSE)/IF(AnnuityMode=2,2,IF(AnnuityMode=4,4,IF(AnnuityMode=12,12,1))),0),0)</f>
        <v>0</v>
      </c>
      <c r="J876" s="227">
        <f t="shared" si="168"/>
        <v>0</v>
      </c>
      <c r="K876" s="213">
        <f t="shared" si="164"/>
        <v>0</v>
      </c>
      <c r="L876" s="209">
        <f t="shared" si="160"/>
        <v>0</v>
      </c>
      <c r="M876" s="214">
        <f t="shared" si="158"/>
        <v>0</v>
      </c>
      <c r="N876" s="211">
        <f t="shared" si="165"/>
        <v>0</v>
      </c>
      <c r="O876" s="194">
        <f t="shared" si="166"/>
        <v>0</v>
      </c>
      <c r="P876" s="212">
        <f t="shared" si="161"/>
        <v>0</v>
      </c>
      <c r="Q876">
        <f t="shared" si="169"/>
        <v>0</v>
      </c>
      <c r="X876" s="216">
        <f t="shared" si="167"/>
        <v>72</v>
      </c>
      <c r="Y876">
        <f t="shared" si="162"/>
        <v>0</v>
      </c>
    </row>
    <row r="877" spans="1:25" ht="13.5" thickBot="1" x14ac:dyDescent="0.25">
      <c r="A877" s="204">
        <f>IF(MOD(COUNT($A$10:A876),12)=0,A876+1,A876)</f>
        <v>73</v>
      </c>
      <c r="B877" s="218">
        <f t="shared" si="163"/>
        <v>4</v>
      </c>
      <c r="C877" s="218">
        <f t="shared" si="159"/>
        <v>1</v>
      </c>
      <c r="D877" s="208">
        <f>IF(MOD(COUNT($D$10:D876),6)=0,D876+1,D876)</f>
        <v>145</v>
      </c>
      <c r="E877" s="208">
        <f>IF(MOD(COUNT($E$10:E876),3)=0,E876+1,E876)</f>
        <v>290</v>
      </c>
      <c r="F877" s="208">
        <f>IF(MOD(COUNT($F$10:F876),1)=0,F876+1,F876)</f>
        <v>868</v>
      </c>
      <c r="G877" s="204">
        <f>IFERROR(IF(C877=1,VLOOKUP(A877,Output!$A$27:$AB$137,28,FALSE)/AnnuityMode,0),0)</f>
        <v>0</v>
      </c>
      <c r="H877" s="220">
        <f>IFERROR(IF(AND(MIN(A877&gt;25,Age+A877&gt;=85),B877=12),VLOOKUP(A877,Output!$A$27:$AE$137,31,FALSE),0),0)</f>
        <v>0</v>
      </c>
      <c r="I877" s="221">
        <f>IFERROR(IF(AND(MIN(A877&gt;15,A877+Age&gt;=70),C877=1),VLOOKUP(A877,Output!$A$27:$AF$137,32,FALSE)*VLOOKUP('SV calc_ignore'!A877,Output!$A$27:$AG$137,33,FALSE)/IF(AnnuityMode=2,2,IF(AnnuityMode=4,4,IF(AnnuityMode=12,12,1))),0),0)</f>
        <v>0</v>
      </c>
      <c r="J877" s="227">
        <f t="shared" si="168"/>
        <v>0</v>
      </c>
      <c r="K877" s="213">
        <f t="shared" si="164"/>
        <v>0</v>
      </c>
      <c r="L877" s="209">
        <f t="shared" si="160"/>
        <v>0</v>
      </c>
      <c r="M877" s="214">
        <f t="shared" si="158"/>
        <v>0</v>
      </c>
      <c r="N877" s="211">
        <f t="shared" si="165"/>
        <v>0</v>
      </c>
      <c r="O877" s="194">
        <f t="shared" si="166"/>
        <v>0</v>
      </c>
      <c r="P877" s="212">
        <f t="shared" si="161"/>
        <v>0</v>
      </c>
      <c r="Q877">
        <f t="shared" si="169"/>
        <v>0</v>
      </c>
      <c r="X877" s="216">
        <f t="shared" si="167"/>
        <v>72</v>
      </c>
      <c r="Y877">
        <f t="shared" si="162"/>
        <v>0</v>
      </c>
    </row>
    <row r="878" spans="1:25" ht="13.5" thickBot="1" x14ac:dyDescent="0.25">
      <c r="A878" s="204">
        <f>IF(MOD(COUNT($A$10:A877),12)=0,A877+1,A877)</f>
        <v>73</v>
      </c>
      <c r="B878" s="218">
        <f t="shared" si="163"/>
        <v>5</v>
      </c>
      <c r="C878" s="218">
        <f t="shared" si="159"/>
        <v>1</v>
      </c>
      <c r="D878" s="208">
        <f>IF(MOD(COUNT($D$10:D877),6)=0,D877+1,D877)</f>
        <v>145</v>
      </c>
      <c r="E878" s="208">
        <f>IF(MOD(COUNT($E$10:E877),3)=0,E877+1,E877)</f>
        <v>290</v>
      </c>
      <c r="F878" s="208">
        <f>IF(MOD(COUNT($F$10:F877),1)=0,F877+1,F877)</f>
        <v>869</v>
      </c>
      <c r="G878" s="204">
        <f>IFERROR(IF(C878=1,VLOOKUP(A878,Output!$A$27:$AB$137,28,FALSE)/AnnuityMode,0),0)</f>
        <v>0</v>
      </c>
      <c r="H878" s="220">
        <f>IFERROR(IF(AND(MIN(A878&gt;25,Age+A878&gt;=85),B878=12),VLOOKUP(A878,Output!$A$27:$AE$137,31,FALSE),0),0)</f>
        <v>0</v>
      </c>
      <c r="I878" s="221">
        <f>IFERROR(IF(AND(MIN(A878&gt;15,A878+Age&gt;=70),C878=1),VLOOKUP(A878,Output!$A$27:$AF$137,32,FALSE)*VLOOKUP('SV calc_ignore'!A878,Output!$A$27:$AG$137,33,FALSE)/IF(AnnuityMode=2,2,IF(AnnuityMode=4,4,IF(AnnuityMode=12,12,1))),0),0)</f>
        <v>0</v>
      </c>
      <c r="J878" s="227">
        <f t="shared" si="168"/>
        <v>0</v>
      </c>
      <c r="K878" s="213">
        <f t="shared" si="164"/>
        <v>0</v>
      </c>
      <c r="L878" s="209">
        <f t="shared" si="160"/>
        <v>0</v>
      </c>
      <c r="M878" s="214">
        <f t="shared" si="158"/>
        <v>0</v>
      </c>
      <c r="N878" s="211">
        <f t="shared" si="165"/>
        <v>0</v>
      </c>
      <c r="O878" s="194">
        <f t="shared" si="166"/>
        <v>0</v>
      </c>
      <c r="P878" s="212">
        <f t="shared" si="161"/>
        <v>0</v>
      </c>
      <c r="Q878">
        <f t="shared" si="169"/>
        <v>0</v>
      </c>
      <c r="X878" s="216">
        <f t="shared" si="167"/>
        <v>72</v>
      </c>
      <c r="Y878">
        <f t="shared" si="162"/>
        <v>0</v>
      </c>
    </row>
    <row r="879" spans="1:25" ht="13.5" thickBot="1" x14ac:dyDescent="0.25">
      <c r="A879" s="204">
        <f>IF(MOD(COUNT($A$10:A878),12)=0,A878+1,A878)</f>
        <v>73</v>
      </c>
      <c r="B879" s="218">
        <f t="shared" si="163"/>
        <v>6</v>
      </c>
      <c r="C879" s="218">
        <f t="shared" si="159"/>
        <v>1</v>
      </c>
      <c r="D879" s="208">
        <f>IF(MOD(COUNT($D$10:D878),6)=0,D878+1,D878)</f>
        <v>145</v>
      </c>
      <c r="E879" s="208">
        <f>IF(MOD(COUNT($E$10:E878),3)=0,E878+1,E878)</f>
        <v>290</v>
      </c>
      <c r="F879" s="208">
        <f>IF(MOD(COUNT($F$10:F878),1)=0,F878+1,F878)</f>
        <v>870</v>
      </c>
      <c r="G879" s="204">
        <f>IFERROR(IF(C879=1,VLOOKUP(A879,Output!$A$27:$AB$137,28,FALSE)/AnnuityMode,0),0)</f>
        <v>0</v>
      </c>
      <c r="H879" s="220">
        <f>IFERROR(IF(AND(MIN(A879&gt;25,Age+A879&gt;=85),B879=12),VLOOKUP(A879,Output!$A$27:$AE$137,31,FALSE),0),0)</f>
        <v>0</v>
      </c>
      <c r="I879" s="221">
        <f>IFERROR(IF(AND(MIN(A879&gt;15,A879+Age&gt;=70),C879=1),VLOOKUP(A879,Output!$A$27:$AF$137,32,FALSE)*VLOOKUP('SV calc_ignore'!A879,Output!$A$27:$AG$137,33,FALSE)/IF(AnnuityMode=2,2,IF(AnnuityMode=4,4,IF(AnnuityMode=12,12,1))),0),0)</f>
        <v>0</v>
      </c>
      <c r="J879" s="227">
        <f t="shared" si="168"/>
        <v>0</v>
      </c>
      <c r="K879" s="213">
        <f t="shared" si="164"/>
        <v>0</v>
      </c>
      <c r="L879" s="209">
        <f t="shared" si="160"/>
        <v>0</v>
      </c>
      <c r="M879" s="214">
        <f t="shared" si="158"/>
        <v>0</v>
      </c>
      <c r="N879" s="211">
        <f t="shared" si="165"/>
        <v>0</v>
      </c>
      <c r="O879" s="194">
        <f t="shared" si="166"/>
        <v>0</v>
      </c>
      <c r="P879" s="212">
        <f t="shared" si="161"/>
        <v>0</v>
      </c>
      <c r="Q879">
        <f t="shared" si="169"/>
        <v>0</v>
      </c>
      <c r="X879" s="216">
        <f t="shared" si="167"/>
        <v>72</v>
      </c>
      <c r="Y879">
        <f t="shared" si="162"/>
        <v>0</v>
      </c>
    </row>
    <row r="880" spans="1:25" ht="13.5" thickBot="1" x14ac:dyDescent="0.25">
      <c r="A880" s="204">
        <f>IF(MOD(COUNT($A$10:A879),12)=0,A879+1,A879)</f>
        <v>73</v>
      </c>
      <c r="B880" s="218">
        <f t="shared" si="163"/>
        <v>7</v>
      </c>
      <c r="C880" s="218">
        <f t="shared" si="159"/>
        <v>1</v>
      </c>
      <c r="D880" s="208">
        <f>IF(MOD(COUNT($D$10:D879),6)=0,D879+1,D879)</f>
        <v>146</v>
      </c>
      <c r="E880" s="208">
        <f>IF(MOD(COUNT($E$10:E879),3)=0,E879+1,E879)</f>
        <v>291</v>
      </c>
      <c r="F880" s="208">
        <f>IF(MOD(COUNT($F$10:F879),1)=0,F879+1,F879)</f>
        <v>871</v>
      </c>
      <c r="G880" s="204">
        <f>IFERROR(IF(C880=1,VLOOKUP(A880,Output!$A$27:$AB$137,28,FALSE)/AnnuityMode,0),0)</f>
        <v>0</v>
      </c>
      <c r="H880" s="220">
        <f>IFERROR(IF(AND(MIN(A880&gt;25,Age+A880&gt;=85),B880=12),VLOOKUP(A880,Output!$A$27:$AE$137,31,FALSE),0),0)</f>
        <v>0</v>
      </c>
      <c r="I880" s="221">
        <f>IFERROR(IF(AND(MIN(A880&gt;15,A880+Age&gt;=70),C880=1),VLOOKUP(A880,Output!$A$27:$AF$137,32,FALSE)*VLOOKUP('SV calc_ignore'!A880,Output!$A$27:$AG$137,33,FALSE)/IF(AnnuityMode=2,2,IF(AnnuityMode=4,4,IF(AnnuityMode=12,12,1))),0),0)</f>
        <v>0</v>
      </c>
      <c r="J880" s="227">
        <f t="shared" si="168"/>
        <v>0</v>
      </c>
      <c r="K880" s="213">
        <f t="shared" si="164"/>
        <v>0</v>
      </c>
      <c r="L880" s="209">
        <f t="shared" si="160"/>
        <v>0</v>
      </c>
      <c r="M880" s="214">
        <f t="shared" si="158"/>
        <v>0</v>
      </c>
      <c r="N880" s="211">
        <f t="shared" si="165"/>
        <v>0</v>
      </c>
      <c r="O880" s="194">
        <f t="shared" si="166"/>
        <v>0</v>
      </c>
      <c r="P880" s="212">
        <f t="shared" si="161"/>
        <v>0</v>
      </c>
      <c r="Q880">
        <f t="shared" si="169"/>
        <v>0</v>
      </c>
      <c r="X880" s="216">
        <f t="shared" si="167"/>
        <v>72</v>
      </c>
      <c r="Y880">
        <f t="shared" si="162"/>
        <v>0</v>
      </c>
    </row>
    <row r="881" spans="1:25" ht="13.5" thickBot="1" x14ac:dyDescent="0.25">
      <c r="A881" s="204">
        <f>IF(MOD(COUNT($A$10:A880),12)=0,A880+1,A880)</f>
        <v>73</v>
      </c>
      <c r="B881" s="218">
        <f t="shared" si="163"/>
        <v>8</v>
      </c>
      <c r="C881" s="218">
        <f t="shared" si="159"/>
        <v>1</v>
      </c>
      <c r="D881" s="208">
        <f>IF(MOD(COUNT($D$10:D880),6)=0,D880+1,D880)</f>
        <v>146</v>
      </c>
      <c r="E881" s="208">
        <f>IF(MOD(COUNT($E$10:E880),3)=0,E880+1,E880)</f>
        <v>291</v>
      </c>
      <c r="F881" s="208">
        <f>IF(MOD(COUNT($F$10:F880),1)=0,F880+1,F880)</f>
        <v>872</v>
      </c>
      <c r="G881" s="204">
        <f>IFERROR(IF(C881=1,VLOOKUP(A881,Output!$A$27:$AB$137,28,FALSE)/AnnuityMode,0),0)</f>
        <v>0</v>
      </c>
      <c r="H881" s="220">
        <f>IFERROR(IF(AND(MIN(A881&gt;25,Age+A881&gt;=85),B881=12),VLOOKUP(A881,Output!$A$27:$AE$137,31,FALSE),0),0)</f>
        <v>0</v>
      </c>
      <c r="I881" s="221">
        <f>IFERROR(IF(AND(MIN(A881&gt;15,A881+Age&gt;=70),C881=1),VLOOKUP(A881,Output!$A$27:$AF$137,32,FALSE)*VLOOKUP('SV calc_ignore'!A881,Output!$A$27:$AG$137,33,FALSE)/IF(AnnuityMode=2,2,IF(AnnuityMode=4,4,IF(AnnuityMode=12,12,1))),0),0)</f>
        <v>0</v>
      </c>
      <c r="J881" s="227">
        <f t="shared" si="168"/>
        <v>0</v>
      </c>
      <c r="K881" s="213">
        <f t="shared" si="164"/>
        <v>0</v>
      </c>
      <c r="L881" s="209">
        <f t="shared" si="160"/>
        <v>0</v>
      </c>
      <c r="M881" s="214">
        <f t="shared" si="158"/>
        <v>0</v>
      </c>
      <c r="N881" s="211">
        <f t="shared" si="165"/>
        <v>0</v>
      </c>
      <c r="O881" s="194">
        <f t="shared" si="166"/>
        <v>0</v>
      </c>
      <c r="P881" s="212">
        <f t="shared" si="161"/>
        <v>0</v>
      </c>
      <c r="Q881">
        <f t="shared" si="169"/>
        <v>0</v>
      </c>
      <c r="X881" s="216">
        <f t="shared" si="167"/>
        <v>72</v>
      </c>
      <c r="Y881">
        <f t="shared" si="162"/>
        <v>0</v>
      </c>
    </row>
    <row r="882" spans="1:25" ht="13.5" thickBot="1" x14ac:dyDescent="0.25">
      <c r="A882" s="204">
        <f>IF(MOD(COUNT($A$10:A881),12)=0,A881+1,A881)</f>
        <v>73</v>
      </c>
      <c r="B882" s="218">
        <f t="shared" si="163"/>
        <v>9</v>
      </c>
      <c r="C882" s="218">
        <f t="shared" si="159"/>
        <v>1</v>
      </c>
      <c r="D882" s="208">
        <f>IF(MOD(COUNT($D$10:D881),6)=0,D881+1,D881)</f>
        <v>146</v>
      </c>
      <c r="E882" s="208">
        <f>IF(MOD(COUNT($E$10:E881),3)=0,E881+1,E881)</f>
        <v>291</v>
      </c>
      <c r="F882" s="208">
        <f>IF(MOD(COUNT($F$10:F881),1)=0,F881+1,F881)</f>
        <v>873</v>
      </c>
      <c r="G882" s="204">
        <f>IFERROR(IF(C882=1,VLOOKUP(A882,Output!$A$27:$AB$137,28,FALSE)/AnnuityMode,0),0)</f>
        <v>0</v>
      </c>
      <c r="H882" s="220">
        <f>IFERROR(IF(AND(MIN(A882&gt;25,Age+A882&gt;=85),B882=12),VLOOKUP(A882,Output!$A$27:$AE$137,31,FALSE),0),0)</f>
        <v>0</v>
      </c>
      <c r="I882" s="221">
        <f>IFERROR(IF(AND(MIN(A882&gt;15,A882+Age&gt;=70),C882=1),VLOOKUP(A882,Output!$A$27:$AF$137,32,FALSE)*VLOOKUP('SV calc_ignore'!A882,Output!$A$27:$AG$137,33,FALSE)/IF(AnnuityMode=2,2,IF(AnnuityMode=4,4,IF(AnnuityMode=12,12,1))),0),0)</f>
        <v>0</v>
      </c>
      <c r="J882" s="227">
        <f t="shared" si="168"/>
        <v>0</v>
      </c>
      <c r="K882" s="213">
        <f t="shared" si="164"/>
        <v>0</v>
      </c>
      <c r="L882" s="209">
        <f t="shared" si="160"/>
        <v>0</v>
      </c>
      <c r="M882" s="214">
        <f t="shared" si="158"/>
        <v>0</v>
      </c>
      <c r="N882" s="211">
        <f t="shared" si="165"/>
        <v>0</v>
      </c>
      <c r="O882" s="194">
        <f t="shared" si="166"/>
        <v>0</v>
      </c>
      <c r="P882" s="212">
        <f t="shared" si="161"/>
        <v>0</v>
      </c>
      <c r="Q882">
        <f t="shared" si="169"/>
        <v>0</v>
      </c>
      <c r="X882" s="216">
        <f t="shared" si="167"/>
        <v>72</v>
      </c>
      <c r="Y882">
        <f t="shared" si="162"/>
        <v>0</v>
      </c>
    </row>
    <row r="883" spans="1:25" ht="13.5" thickBot="1" x14ac:dyDescent="0.25">
      <c r="A883" s="204">
        <f>IF(MOD(COUNT($A$10:A882),12)=0,A882+1,A882)</f>
        <v>73</v>
      </c>
      <c r="B883" s="218">
        <f t="shared" si="163"/>
        <v>10</v>
      </c>
      <c r="C883" s="218">
        <f t="shared" si="159"/>
        <v>1</v>
      </c>
      <c r="D883" s="208">
        <f>IF(MOD(COUNT($D$10:D882),6)=0,D882+1,D882)</f>
        <v>146</v>
      </c>
      <c r="E883" s="208">
        <f>IF(MOD(COUNT($E$10:E882),3)=0,E882+1,E882)</f>
        <v>292</v>
      </c>
      <c r="F883" s="208">
        <f>IF(MOD(COUNT($F$10:F882),1)=0,F882+1,F882)</f>
        <v>874</v>
      </c>
      <c r="G883" s="204">
        <f>IFERROR(IF(C883=1,VLOOKUP(A883,Output!$A$27:$AB$137,28,FALSE)/AnnuityMode,0),0)</f>
        <v>0</v>
      </c>
      <c r="H883" s="220">
        <f>IFERROR(IF(AND(MIN(A883&gt;25,Age+A883&gt;=85),B883=12),VLOOKUP(A883,Output!$A$27:$AE$137,31,FALSE),0),0)</f>
        <v>0</v>
      </c>
      <c r="I883" s="221">
        <f>IFERROR(IF(AND(MIN(A883&gt;15,A883+Age&gt;=70),C883=1),VLOOKUP(A883,Output!$A$27:$AF$137,32,FALSE)*VLOOKUP('SV calc_ignore'!A883,Output!$A$27:$AG$137,33,FALSE)/IF(AnnuityMode=2,2,IF(AnnuityMode=4,4,IF(AnnuityMode=12,12,1))),0),0)</f>
        <v>0</v>
      </c>
      <c r="J883" s="227">
        <f t="shared" si="168"/>
        <v>0</v>
      </c>
      <c r="K883" s="213">
        <f t="shared" si="164"/>
        <v>0</v>
      </c>
      <c r="L883" s="209">
        <f t="shared" si="160"/>
        <v>0</v>
      </c>
      <c r="M883" s="214">
        <f t="shared" si="158"/>
        <v>0</v>
      </c>
      <c r="N883" s="211">
        <f t="shared" si="165"/>
        <v>0</v>
      </c>
      <c r="O883" s="194">
        <f t="shared" si="166"/>
        <v>0</v>
      </c>
      <c r="P883" s="212">
        <f t="shared" si="161"/>
        <v>0</v>
      </c>
      <c r="Q883">
        <f t="shared" si="169"/>
        <v>0</v>
      </c>
      <c r="X883" s="216">
        <f t="shared" si="167"/>
        <v>72</v>
      </c>
      <c r="Y883">
        <f t="shared" si="162"/>
        <v>0</v>
      </c>
    </row>
    <row r="884" spans="1:25" ht="13.5" thickBot="1" x14ac:dyDescent="0.25">
      <c r="A884" s="204">
        <f>IF(MOD(COUNT($A$10:A883),12)=0,A883+1,A883)</f>
        <v>73</v>
      </c>
      <c r="B884" s="218">
        <f t="shared" si="163"/>
        <v>11</v>
      </c>
      <c r="C884" s="218">
        <f t="shared" si="159"/>
        <v>1</v>
      </c>
      <c r="D884" s="208">
        <f>IF(MOD(COUNT($D$10:D883),6)=0,D883+1,D883)</f>
        <v>146</v>
      </c>
      <c r="E884" s="208">
        <f>IF(MOD(COUNT($E$10:E883),3)=0,E883+1,E883)</f>
        <v>292</v>
      </c>
      <c r="F884" s="208">
        <f>IF(MOD(COUNT($F$10:F883),1)=0,F883+1,F883)</f>
        <v>875</v>
      </c>
      <c r="G884" s="204">
        <f>IFERROR(IF(C884=1,VLOOKUP(A884,Output!$A$27:$AB$137,28,FALSE)/AnnuityMode,0),0)</f>
        <v>0</v>
      </c>
      <c r="H884" s="220">
        <f>IFERROR(IF(AND(MIN(A884&gt;25,Age+A884&gt;=85),B884=12),VLOOKUP(A884,Output!$A$27:$AE$137,31,FALSE),0),0)</f>
        <v>0</v>
      </c>
      <c r="I884" s="221">
        <f>IFERROR(IF(AND(MIN(A884&gt;15,A884+Age&gt;=70),C884=1),VLOOKUP(A884,Output!$A$27:$AF$137,32,FALSE)*VLOOKUP('SV calc_ignore'!A884,Output!$A$27:$AG$137,33,FALSE)/IF(AnnuityMode=2,2,IF(AnnuityMode=4,4,IF(AnnuityMode=12,12,1))),0),0)</f>
        <v>0</v>
      </c>
      <c r="J884" s="227">
        <f t="shared" si="168"/>
        <v>0</v>
      </c>
      <c r="K884" s="213">
        <f t="shared" si="164"/>
        <v>0</v>
      </c>
      <c r="L884" s="209">
        <f t="shared" si="160"/>
        <v>0</v>
      </c>
      <c r="M884" s="214">
        <f t="shared" si="158"/>
        <v>0</v>
      </c>
      <c r="N884" s="211">
        <f t="shared" si="165"/>
        <v>0</v>
      </c>
      <c r="O884" s="194">
        <f t="shared" si="166"/>
        <v>0</v>
      </c>
      <c r="P884" s="212">
        <f t="shared" si="161"/>
        <v>0</v>
      </c>
      <c r="Q884">
        <f t="shared" si="169"/>
        <v>0</v>
      </c>
      <c r="X884" s="216">
        <f t="shared" si="167"/>
        <v>72</v>
      </c>
      <c r="Y884">
        <f t="shared" si="162"/>
        <v>0</v>
      </c>
    </row>
    <row r="885" spans="1:25" ht="13.5" thickBot="1" x14ac:dyDescent="0.25">
      <c r="A885" s="204">
        <f>IF(MOD(COUNT($A$10:A884),12)=0,A884+1,A884)</f>
        <v>73</v>
      </c>
      <c r="B885" s="218">
        <f t="shared" si="163"/>
        <v>12</v>
      </c>
      <c r="C885" s="218">
        <f t="shared" si="159"/>
        <v>1</v>
      </c>
      <c r="D885" s="208">
        <f>IF(MOD(COUNT($D$10:D884),6)=0,D884+1,D884)</f>
        <v>146</v>
      </c>
      <c r="E885" s="208">
        <f>IF(MOD(COUNT($E$10:E884),3)=0,E884+1,E884)</f>
        <v>292</v>
      </c>
      <c r="F885" s="208">
        <f>IF(MOD(COUNT($F$10:F884),1)=0,F884+1,F884)</f>
        <v>876</v>
      </c>
      <c r="G885" s="204">
        <f>IFERROR(IF(C885=1,VLOOKUP(A885,Output!$A$27:$AB$137,28,FALSE)/AnnuityMode,0),0)</f>
        <v>0</v>
      </c>
      <c r="H885" s="220">
        <f>IFERROR(IF(AND(MIN(A885&gt;25,Age+A885&gt;=85),B885=12),VLOOKUP(A885,Output!$A$27:$AE$137,31,FALSE),0),0)</f>
        <v>0</v>
      </c>
      <c r="I885" s="221">
        <f>IFERROR(IF(AND(MIN(A885&gt;15,A885+Age&gt;=70),C885=1),VLOOKUP(A885,Output!$A$27:$AF$137,32,FALSE)*VLOOKUP('SV calc_ignore'!A885,Output!$A$27:$AG$137,33,FALSE)/IF(AnnuityMode=2,2,IF(AnnuityMode=4,4,IF(AnnuityMode=12,12,1))),0),0)</f>
        <v>0</v>
      </c>
      <c r="J885" s="227">
        <f t="shared" si="168"/>
        <v>0</v>
      </c>
      <c r="K885" s="213">
        <f t="shared" si="164"/>
        <v>0</v>
      </c>
      <c r="L885" s="209">
        <f t="shared" si="160"/>
        <v>0</v>
      </c>
      <c r="M885" s="214">
        <f t="shared" si="158"/>
        <v>0</v>
      </c>
      <c r="N885" s="211">
        <f t="shared" si="165"/>
        <v>0</v>
      </c>
      <c r="O885" s="194">
        <f t="shared" si="166"/>
        <v>0</v>
      </c>
      <c r="P885" s="212">
        <f t="shared" si="161"/>
        <v>0</v>
      </c>
      <c r="Q885">
        <f t="shared" si="169"/>
        <v>0</v>
      </c>
      <c r="X885" s="216">
        <f t="shared" si="167"/>
        <v>72</v>
      </c>
      <c r="Y885">
        <f t="shared" si="162"/>
        <v>0</v>
      </c>
    </row>
    <row r="886" spans="1:25" ht="13.5" thickBot="1" x14ac:dyDescent="0.25">
      <c r="A886" s="204">
        <f>IF(MOD(COUNT($A$10:A885),12)=0,A885+1,A885)</f>
        <v>74</v>
      </c>
      <c r="B886" s="218">
        <f t="shared" si="163"/>
        <v>1</v>
      </c>
      <c r="C886" s="218">
        <f t="shared" si="159"/>
        <v>1</v>
      </c>
      <c r="D886" s="208">
        <f>IF(MOD(COUNT($D$10:D885),6)=0,D885+1,D885)</f>
        <v>147</v>
      </c>
      <c r="E886" s="208">
        <f>IF(MOD(COUNT($E$10:E885),3)=0,E885+1,E885)</f>
        <v>293</v>
      </c>
      <c r="F886" s="208">
        <f>IF(MOD(COUNT($F$10:F885),1)=0,F885+1,F885)</f>
        <v>877</v>
      </c>
      <c r="G886" s="204">
        <f>IFERROR(IF(C886=1,VLOOKUP(A886,Output!$A$27:$AB$137,28,FALSE)/AnnuityMode,0),0)</f>
        <v>0</v>
      </c>
      <c r="H886" s="220">
        <f>IFERROR(IF(AND(MIN(A886&gt;25,Age+A886&gt;=85),B886=12),VLOOKUP(A886,Output!$A$27:$AE$137,31,FALSE),0),0)</f>
        <v>0</v>
      </c>
      <c r="I886" s="221">
        <f>IFERROR(IF(AND(MIN(A886&gt;15,A886+Age&gt;=70),C886=1),VLOOKUP(A886,Output!$A$27:$AF$137,32,FALSE)*VLOOKUP('SV calc_ignore'!A886,Output!$A$27:$AG$137,33,FALSE)/IF(AnnuityMode=2,2,IF(AnnuityMode=4,4,IF(AnnuityMode=12,12,1))),0),0)</f>
        <v>0</v>
      </c>
      <c r="J886" s="227">
        <f t="shared" si="168"/>
        <v>0</v>
      </c>
      <c r="K886" s="213">
        <f t="shared" si="164"/>
        <v>0</v>
      </c>
      <c r="L886" s="209">
        <f t="shared" si="160"/>
        <v>0</v>
      </c>
      <c r="M886" s="214">
        <f t="shared" si="158"/>
        <v>0</v>
      </c>
      <c r="N886" s="211">
        <f t="shared" si="165"/>
        <v>0</v>
      </c>
      <c r="O886" s="194">
        <f t="shared" si="166"/>
        <v>0</v>
      </c>
      <c r="P886" s="212">
        <f t="shared" si="161"/>
        <v>0</v>
      </c>
      <c r="Q886">
        <f t="shared" si="169"/>
        <v>0</v>
      </c>
      <c r="X886" s="216">
        <f t="shared" si="167"/>
        <v>73</v>
      </c>
      <c r="Y886">
        <f t="shared" si="162"/>
        <v>0</v>
      </c>
    </row>
    <row r="887" spans="1:25" ht="13.5" thickBot="1" x14ac:dyDescent="0.25">
      <c r="A887" s="204">
        <f>IF(MOD(COUNT($A$10:A886),12)=0,A886+1,A886)</f>
        <v>74</v>
      </c>
      <c r="B887" s="218">
        <f t="shared" si="163"/>
        <v>2</v>
      </c>
      <c r="C887" s="218">
        <f t="shared" si="159"/>
        <v>1</v>
      </c>
      <c r="D887" s="208">
        <f>IF(MOD(COUNT($D$10:D886),6)=0,D886+1,D886)</f>
        <v>147</v>
      </c>
      <c r="E887" s="208">
        <f>IF(MOD(COUNT($E$10:E886),3)=0,E886+1,E886)</f>
        <v>293</v>
      </c>
      <c r="F887" s="208">
        <f>IF(MOD(COUNT($F$10:F886),1)=0,F886+1,F886)</f>
        <v>878</v>
      </c>
      <c r="G887" s="204">
        <f>IFERROR(IF(C887=1,VLOOKUP(A887,Output!$A$27:$AB$137,28,FALSE)/AnnuityMode,0),0)</f>
        <v>0</v>
      </c>
      <c r="H887" s="220">
        <f>IFERROR(IF(AND(MIN(A887&gt;25,Age+A887&gt;=85),B887=12),VLOOKUP(A887,Output!$A$27:$AE$137,31,FALSE),0),0)</f>
        <v>0</v>
      </c>
      <c r="I887" s="221">
        <f>IFERROR(IF(AND(MIN(A887&gt;15,A887+Age&gt;=70),C887=1),VLOOKUP(A887,Output!$A$27:$AF$137,32,FALSE)*VLOOKUP('SV calc_ignore'!A887,Output!$A$27:$AG$137,33,FALSE)/IF(AnnuityMode=2,2,IF(AnnuityMode=4,4,IF(AnnuityMode=12,12,1))),0),0)</f>
        <v>0</v>
      </c>
      <c r="J887" s="227">
        <f t="shared" si="168"/>
        <v>0</v>
      </c>
      <c r="K887" s="213">
        <f t="shared" si="164"/>
        <v>0</v>
      </c>
      <c r="L887" s="209">
        <f t="shared" si="160"/>
        <v>0</v>
      </c>
      <c r="M887" s="214">
        <f t="shared" si="158"/>
        <v>0</v>
      </c>
      <c r="N887" s="211">
        <f t="shared" si="165"/>
        <v>0</v>
      </c>
      <c r="O887" s="194">
        <f t="shared" si="166"/>
        <v>0</v>
      </c>
      <c r="P887" s="212">
        <f t="shared" si="161"/>
        <v>0</v>
      </c>
      <c r="Q887">
        <f t="shared" si="169"/>
        <v>0</v>
      </c>
      <c r="X887" s="216">
        <f t="shared" si="167"/>
        <v>73</v>
      </c>
      <c r="Y887">
        <f t="shared" si="162"/>
        <v>0</v>
      </c>
    </row>
    <row r="888" spans="1:25" ht="13.5" thickBot="1" x14ac:dyDescent="0.25">
      <c r="A888" s="204">
        <f>IF(MOD(COUNT($A$10:A887),12)=0,A887+1,A887)</f>
        <v>74</v>
      </c>
      <c r="B888" s="218">
        <f t="shared" si="163"/>
        <v>3</v>
      </c>
      <c r="C888" s="218">
        <f t="shared" si="159"/>
        <v>1</v>
      </c>
      <c r="D888" s="208">
        <f>IF(MOD(COUNT($D$10:D887),6)=0,D887+1,D887)</f>
        <v>147</v>
      </c>
      <c r="E888" s="208">
        <f>IF(MOD(COUNT($E$10:E887),3)=0,E887+1,E887)</f>
        <v>293</v>
      </c>
      <c r="F888" s="208">
        <f>IF(MOD(COUNT($F$10:F887),1)=0,F887+1,F887)</f>
        <v>879</v>
      </c>
      <c r="G888" s="204">
        <f>IFERROR(IF(C888=1,VLOOKUP(A888,Output!$A$27:$AB$137,28,FALSE)/AnnuityMode,0),0)</f>
        <v>0</v>
      </c>
      <c r="H888" s="220">
        <f>IFERROR(IF(AND(MIN(A888&gt;25,Age+A888&gt;=85),B888=12),VLOOKUP(A888,Output!$A$27:$AE$137,31,FALSE),0),0)</f>
        <v>0</v>
      </c>
      <c r="I888" s="221">
        <f>IFERROR(IF(AND(MIN(A888&gt;15,A888+Age&gt;=70),C888=1),VLOOKUP(A888,Output!$A$27:$AF$137,32,FALSE)*VLOOKUP('SV calc_ignore'!A888,Output!$A$27:$AG$137,33,FALSE)/IF(AnnuityMode=2,2,IF(AnnuityMode=4,4,IF(AnnuityMode=12,12,1))),0),0)</f>
        <v>0</v>
      </c>
      <c r="J888" s="227">
        <f t="shared" si="168"/>
        <v>0</v>
      </c>
      <c r="K888" s="213">
        <f t="shared" si="164"/>
        <v>0</v>
      </c>
      <c r="L888" s="209">
        <f t="shared" si="160"/>
        <v>0</v>
      </c>
      <c r="M888" s="214">
        <f t="shared" si="158"/>
        <v>0</v>
      </c>
      <c r="N888" s="211">
        <f t="shared" si="165"/>
        <v>0</v>
      </c>
      <c r="O888" s="194">
        <f t="shared" si="166"/>
        <v>0</v>
      </c>
      <c r="P888" s="212">
        <f t="shared" si="161"/>
        <v>0</v>
      </c>
      <c r="Q888">
        <f t="shared" si="169"/>
        <v>0</v>
      </c>
      <c r="X888" s="216">
        <f t="shared" si="167"/>
        <v>73</v>
      </c>
      <c r="Y888">
        <f t="shared" si="162"/>
        <v>0</v>
      </c>
    </row>
    <row r="889" spans="1:25" ht="13.5" thickBot="1" x14ac:dyDescent="0.25">
      <c r="A889" s="204">
        <f>IF(MOD(COUNT($A$10:A888),12)=0,A888+1,A888)</f>
        <v>74</v>
      </c>
      <c r="B889" s="218">
        <f t="shared" si="163"/>
        <v>4</v>
      </c>
      <c r="C889" s="218">
        <f t="shared" si="159"/>
        <v>1</v>
      </c>
      <c r="D889" s="208">
        <f>IF(MOD(COUNT($D$10:D888),6)=0,D888+1,D888)</f>
        <v>147</v>
      </c>
      <c r="E889" s="208">
        <f>IF(MOD(COUNT($E$10:E888),3)=0,E888+1,E888)</f>
        <v>294</v>
      </c>
      <c r="F889" s="208">
        <f>IF(MOD(COUNT($F$10:F888),1)=0,F888+1,F888)</f>
        <v>880</v>
      </c>
      <c r="G889" s="204">
        <f>IFERROR(IF(C889=1,VLOOKUP(A889,Output!$A$27:$AB$137,28,FALSE)/AnnuityMode,0),0)</f>
        <v>0</v>
      </c>
      <c r="H889" s="220">
        <f>IFERROR(IF(AND(MIN(A889&gt;25,Age+A889&gt;=85),B889=12),VLOOKUP(A889,Output!$A$27:$AE$137,31,FALSE),0),0)</f>
        <v>0</v>
      </c>
      <c r="I889" s="221">
        <f>IFERROR(IF(AND(MIN(A889&gt;15,A889+Age&gt;=70),C889=1),VLOOKUP(A889,Output!$A$27:$AF$137,32,FALSE)*VLOOKUP('SV calc_ignore'!A889,Output!$A$27:$AG$137,33,FALSE)/IF(AnnuityMode=2,2,IF(AnnuityMode=4,4,IF(AnnuityMode=12,12,1))),0),0)</f>
        <v>0</v>
      </c>
      <c r="J889" s="227">
        <f t="shared" si="168"/>
        <v>0</v>
      </c>
      <c r="K889" s="213">
        <f t="shared" si="164"/>
        <v>0</v>
      </c>
      <c r="L889" s="209">
        <f t="shared" si="160"/>
        <v>0</v>
      </c>
      <c r="M889" s="214">
        <f t="shared" si="158"/>
        <v>0</v>
      </c>
      <c r="N889" s="211">
        <f t="shared" si="165"/>
        <v>0</v>
      </c>
      <c r="O889" s="194">
        <f t="shared" si="166"/>
        <v>0</v>
      </c>
      <c r="P889" s="212">
        <f t="shared" si="161"/>
        <v>0</v>
      </c>
      <c r="Q889">
        <f t="shared" si="169"/>
        <v>0</v>
      </c>
      <c r="X889" s="216">
        <f t="shared" si="167"/>
        <v>73</v>
      </c>
      <c r="Y889">
        <f t="shared" si="162"/>
        <v>0</v>
      </c>
    </row>
    <row r="890" spans="1:25" ht="13.5" thickBot="1" x14ac:dyDescent="0.25">
      <c r="A890" s="204">
        <f>IF(MOD(COUNT($A$10:A889),12)=0,A889+1,A889)</f>
        <v>74</v>
      </c>
      <c r="B890" s="218">
        <f t="shared" si="163"/>
        <v>5</v>
      </c>
      <c r="C890" s="218">
        <f t="shared" si="159"/>
        <v>1</v>
      </c>
      <c r="D890" s="208">
        <f>IF(MOD(COUNT($D$10:D889),6)=0,D889+1,D889)</f>
        <v>147</v>
      </c>
      <c r="E890" s="208">
        <f>IF(MOD(COUNT($E$10:E889),3)=0,E889+1,E889)</f>
        <v>294</v>
      </c>
      <c r="F890" s="208">
        <f>IF(MOD(COUNT($F$10:F889),1)=0,F889+1,F889)</f>
        <v>881</v>
      </c>
      <c r="G890" s="204">
        <f>IFERROR(IF(C890=1,VLOOKUP(A890,Output!$A$27:$AB$137,28,FALSE)/AnnuityMode,0),0)</f>
        <v>0</v>
      </c>
      <c r="H890" s="220">
        <f>IFERROR(IF(AND(MIN(A890&gt;25,Age+A890&gt;=85),B890=12),VLOOKUP(A890,Output!$A$27:$AE$137,31,FALSE),0),0)</f>
        <v>0</v>
      </c>
      <c r="I890" s="221">
        <f>IFERROR(IF(AND(MIN(A890&gt;15,A890+Age&gt;=70),C890=1),VLOOKUP(A890,Output!$A$27:$AF$137,32,FALSE)*VLOOKUP('SV calc_ignore'!A890,Output!$A$27:$AG$137,33,FALSE)/IF(AnnuityMode=2,2,IF(AnnuityMode=4,4,IF(AnnuityMode=12,12,1))),0),0)</f>
        <v>0</v>
      </c>
      <c r="J890" s="227">
        <f t="shared" si="168"/>
        <v>0</v>
      </c>
      <c r="K890" s="213">
        <f t="shared" si="164"/>
        <v>0</v>
      </c>
      <c r="L890" s="209">
        <f t="shared" si="160"/>
        <v>0</v>
      </c>
      <c r="M890" s="214">
        <f t="shared" si="158"/>
        <v>0</v>
      </c>
      <c r="N890" s="211">
        <f t="shared" si="165"/>
        <v>0</v>
      </c>
      <c r="O890" s="194">
        <f t="shared" si="166"/>
        <v>0</v>
      </c>
      <c r="P890" s="212">
        <f t="shared" si="161"/>
        <v>0</v>
      </c>
      <c r="Q890">
        <f t="shared" si="169"/>
        <v>0</v>
      </c>
      <c r="X890" s="216">
        <f t="shared" si="167"/>
        <v>73</v>
      </c>
      <c r="Y890">
        <f t="shared" si="162"/>
        <v>0</v>
      </c>
    </row>
    <row r="891" spans="1:25" ht="13.5" thickBot="1" x14ac:dyDescent="0.25">
      <c r="A891" s="204">
        <f>IF(MOD(COUNT($A$10:A890),12)=0,A890+1,A890)</f>
        <v>74</v>
      </c>
      <c r="B891" s="218">
        <f t="shared" si="163"/>
        <v>6</v>
      </c>
      <c r="C891" s="218">
        <f t="shared" si="159"/>
        <v>1</v>
      </c>
      <c r="D891" s="208">
        <f>IF(MOD(COUNT($D$10:D890),6)=0,D890+1,D890)</f>
        <v>147</v>
      </c>
      <c r="E891" s="208">
        <f>IF(MOD(COUNT($E$10:E890),3)=0,E890+1,E890)</f>
        <v>294</v>
      </c>
      <c r="F891" s="208">
        <f>IF(MOD(COUNT($F$10:F890),1)=0,F890+1,F890)</f>
        <v>882</v>
      </c>
      <c r="G891" s="204">
        <f>IFERROR(IF(C891=1,VLOOKUP(A891,Output!$A$27:$AB$137,28,FALSE)/AnnuityMode,0),0)</f>
        <v>0</v>
      </c>
      <c r="H891" s="220">
        <f>IFERROR(IF(AND(MIN(A891&gt;25,Age+A891&gt;=85),B891=12),VLOOKUP(A891,Output!$A$27:$AE$137,31,FALSE),0),0)</f>
        <v>0</v>
      </c>
      <c r="I891" s="221">
        <f>IFERROR(IF(AND(MIN(A891&gt;15,A891+Age&gt;=70),C891=1),VLOOKUP(A891,Output!$A$27:$AF$137,32,FALSE)*VLOOKUP('SV calc_ignore'!A891,Output!$A$27:$AG$137,33,FALSE)/IF(AnnuityMode=2,2,IF(AnnuityMode=4,4,IF(AnnuityMode=12,12,1))),0),0)</f>
        <v>0</v>
      </c>
      <c r="J891" s="227">
        <f t="shared" si="168"/>
        <v>0</v>
      </c>
      <c r="K891" s="213">
        <f t="shared" si="164"/>
        <v>0</v>
      </c>
      <c r="L891" s="209">
        <f t="shared" si="160"/>
        <v>0</v>
      </c>
      <c r="M891" s="214">
        <f t="shared" si="158"/>
        <v>0</v>
      </c>
      <c r="N891" s="211">
        <f t="shared" si="165"/>
        <v>0</v>
      </c>
      <c r="O891" s="194">
        <f t="shared" si="166"/>
        <v>0</v>
      </c>
      <c r="P891" s="212">
        <f t="shared" si="161"/>
        <v>0</v>
      </c>
      <c r="Q891">
        <f t="shared" si="169"/>
        <v>0</v>
      </c>
      <c r="X891" s="216">
        <f t="shared" si="167"/>
        <v>73</v>
      </c>
      <c r="Y891">
        <f t="shared" si="162"/>
        <v>0</v>
      </c>
    </row>
    <row r="892" spans="1:25" ht="13.5" thickBot="1" x14ac:dyDescent="0.25">
      <c r="A892" s="204">
        <f>IF(MOD(COUNT($A$10:A891),12)=0,A891+1,A891)</f>
        <v>74</v>
      </c>
      <c r="B892" s="218">
        <f t="shared" si="163"/>
        <v>7</v>
      </c>
      <c r="C892" s="218">
        <f t="shared" si="159"/>
        <v>1</v>
      </c>
      <c r="D892" s="208">
        <f>IF(MOD(COUNT($D$10:D891),6)=0,D891+1,D891)</f>
        <v>148</v>
      </c>
      <c r="E892" s="208">
        <f>IF(MOD(COUNT($E$10:E891),3)=0,E891+1,E891)</f>
        <v>295</v>
      </c>
      <c r="F892" s="208">
        <f>IF(MOD(COUNT($F$10:F891),1)=0,F891+1,F891)</f>
        <v>883</v>
      </c>
      <c r="G892" s="204">
        <f>IFERROR(IF(C892=1,VLOOKUP(A892,Output!$A$27:$AB$137,28,FALSE)/AnnuityMode,0),0)</f>
        <v>0</v>
      </c>
      <c r="H892" s="220">
        <f>IFERROR(IF(AND(MIN(A892&gt;25,Age+A892&gt;=85),B892=12),VLOOKUP(A892,Output!$A$27:$AE$137,31,FALSE),0),0)</f>
        <v>0</v>
      </c>
      <c r="I892" s="221">
        <f>IFERROR(IF(AND(MIN(A892&gt;15,A892+Age&gt;=70),C892=1),VLOOKUP(A892,Output!$A$27:$AF$137,32,FALSE)*VLOOKUP('SV calc_ignore'!A892,Output!$A$27:$AG$137,33,FALSE)/IF(AnnuityMode=2,2,IF(AnnuityMode=4,4,IF(AnnuityMode=12,12,1))),0),0)</f>
        <v>0</v>
      </c>
      <c r="J892" s="227">
        <f t="shared" si="168"/>
        <v>0</v>
      </c>
      <c r="K892" s="213">
        <f t="shared" si="164"/>
        <v>0</v>
      </c>
      <c r="L892" s="209">
        <f t="shared" si="160"/>
        <v>0</v>
      </c>
      <c r="M892" s="214">
        <f t="shared" si="158"/>
        <v>0</v>
      </c>
      <c r="N892" s="211">
        <f t="shared" si="165"/>
        <v>0</v>
      </c>
      <c r="O892" s="194">
        <f t="shared" si="166"/>
        <v>0</v>
      </c>
      <c r="P892" s="212">
        <f t="shared" si="161"/>
        <v>0</v>
      </c>
      <c r="Q892">
        <f t="shared" si="169"/>
        <v>0</v>
      </c>
      <c r="X892" s="216">
        <f t="shared" si="167"/>
        <v>73</v>
      </c>
      <c r="Y892">
        <f t="shared" si="162"/>
        <v>0</v>
      </c>
    </row>
    <row r="893" spans="1:25" ht="13.5" thickBot="1" x14ac:dyDescent="0.25">
      <c r="A893" s="204">
        <f>IF(MOD(COUNT($A$10:A892),12)=0,A892+1,A892)</f>
        <v>74</v>
      </c>
      <c r="B893" s="218">
        <f t="shared" si="163"/>
        <v>8</v>
      </c>
      <c r="C893" s="218">
        <f t="shared" si="159"/>
        <v>1</v>
      </c>
      <c r="D893" s="208">
        <f>IF(MOD(COUNT($D$10:D892),6)=0,D892+1,D892)</f>
        <v>148</v>
      </c>
      <c r="E893" s="208">
        <f>IF(MOD(COUNT($E$10:E892),3)=0,E892+1,E892)</f>
        <v>295</v>
      </c>
      <c r="F893" s="208">
        <f>IF(MOD(COUNT($F$10:F892),1)=0,F892+1,F892)</f>
        <v>884</v>
      </c>
      <c r="G893" s="204">
        <f>IFERROR(IF(C893=1,VLOOKUP(A893,Output!$A$27:$AB$137,28,FALSE)/AnnuityMode,0),0)</f>
        <v>0</v>
      </c>
      <c r="H893" s="220">
        <f>IFERROR(IF(AND(MIN(A893&gt;25,Age+A893&gt;=85),B893=12),VLOOKUP(A893,Output!$A$27:$AE$137,31,FALSE),0),0)</f>
        <v>0</v>
      </c>
      <c r="I893" s="221">
        <f>IFERROR(IF(AND(MIN(A893&gt;15,A893+Age&gt;=70),C893=1),VLOOKUP(A893,Output!$A$27:$AF$137,32,FALSE)*VLOOKUP('SV calc_ignore'!A893,Output!$A$27:$AG$137,33,FALSE)/IF(AnnuityMode=2,2,IF(AnnuityMode=4,4,IF(AnnuityMode=12,12,1))),0),0)</f>
        <v>0</v>
      </c>
      <c r="J893" s="227">
        <f t="shared" si="168"/>
        <v>0</v>
      </c>
      <c r="K893" s="213">
        <f t="shared" si="164"/>
        <v>0</v>
      </c>
      <c r="L893" s="209">
        <f t="shared" si="160"/>
        <v>0</v>
      </c>
      <c r="M893" s="214">
        <f t="shared" si="158"/>
        <v>0</v>
      </c>
      <c r="N893" s="211">
        <f t="shared" si="165"/>
        <v>0</v>
      </c>
      <c r="O893" s="194">
        <f t="shared" si="166"/>
        <v>0</v>
      </c>
      <c r="P893" s="212">
        <f t="shared" si="161"/>
        <v>0</v>
      </c>
      <c r="Q893">
        <f t="shared" si="169"/>
        <v>0</v>
      </c>
      <c r="X893" s="216">
        <f t="shared" si="167"/>
        <v>73</v>
      </c>
      <c r="Y893">
        <f t="shared" si="162"/>
        <v>0</v>
      </c>
    </row>
    <row r="894" spans="1:25" ht="13.5" thickBot="1" x14ac:dyDescent="0.25">
      <c r="A894" s="204">
        <f>IF(MOD(COUNT($A$10:A893),12)=0,A893+1,A893)</f>
        <v>74</v>
      </c>
      <c r="B894" s="218">
        <f t="shared" si="163"/>
        <v>9</v>
      </c>
      <c r="C894" s="218">
        <f t="shared" si="159"/>
        <v>1</v>
      </c>
      <c r="D894" s="208">
        <f>IF(MOD(COUNT($D$10:D893),6)=0,D893+1,D893)</f>
        <v>148</v>
      </c>
      <c r="E894" s="208">
        <f>IF(MOD(COUNT($E$10:E893),3)=0,E893+1,E893)</f>
        <v>295</v>
      </c>
      <c r="F894" s="208">
        <f>IF(MOD(COUNT($F$10:F893),1)=0,F893+1,F893)</f>
        <v>885</v>
      </c>
      <c r="G894" s="204">
        <f>IFERROR(IF(C894=1,VLOOKUP(A894,Output!$A$27:$AB$137,28,FALSE)/AnnuityMode,0),0)</f>
        <v>0</v>
      </c>
      <c r="H894" s="220">
        <f>IFERROR(IF(AND(MIN(A894&gt;25,Age+A894&gt;=85),B894=12),VLOOKUP(A894,Output!$A$27:$AE$137,31,FALSE),0),0)</f>
        <v>0</v>
      </c>
      <c r="I894" s="221">
        <f>IFERROR(IF(AND(MIN(A894&gt;15,A894+Age&gt;=70),C894=1),VLOOKUP(A894,Output!$A$27:$AF$137,32,FALSE)*VLOOKUP('SV calc_ignore'!A894,Output!$A$27:$AG$137,33,FALSE)/IF(AnnuityMode=2,2,IF(AnnuityMode=4,4,IF(AnnuityMode=12,12,1))),0),0)</f>
        <v>0</v>
      </c>
      <c r="J894" s="227">
        <f t="shared" si="168"/>
        <v>0</v>
      </c>
      <c r="K894" s="213">
        <f t="shared" si="164"/>
        <v>0</v>
      </c>
      <c r="L894" s="209">
        <f t="shared" si="160"/>
        <v>0</v>
      </c>
      <c r="M894" s="214">
        <f>L893*(1+$K$3)</f>
        <v>0</v>
      </c>
      <c r="N894" s="211">
        <f t="shared" si="165"/>
        <v>0</v>
      </c>
      <c r="O894" s="194">
        <f t="shared" si="166"/>
        <v>0</v>
      </c>
      <c r="P894" s="212">
        <f t="shared" si="161"/>
        <v>0</v>
      </c>
      <c r="Q894">
        <f t="shared" si="169"/>
        <v>0</v>
      </c>
      <c r="X894" s="216">
        <f t="shared" si="167"/>
        <v>73</v>
      </c>
      <c r="Y894">
        <f t="shared" si="162"/>
        <v>0</v>
      </c>
    </row>
    <row r="895" spans="1:25" ht="13.5" thickBot="1" x14ac:dyDescent="0.25">
      <c r="A895" s="204">
        <f>IF(MOD(COUNT($A$10:A894),12)=0,A894+1,A894)</f>
        <v>74</v>
      </c>
      <c r="B895" s="218">
        <f t="shared" si="163"/>
        <v>10</v>
      </c>
      <c r="C895" s="218">
        <f t="shared" si="159"/>
        <v>1</v>
      </c>
      <c r="D895" s="208">
        <f>IF(MOD(COUNT($D$10:D894),6)=0,D894+1,D894)</f>
        <v>148</v>
      </c>
      <c r="E895" s="208">
        <f>IF(MOD(COUNT($E$10:E894),3)=0,E894+1,E894)</f>
        <v>296</v>
      </c>
      <c r="F895" s="208">
        <f>IF(MOD(COUNT($F$10:F894),1)=0,F894+1,F894)</f>
        <v>886</v>
      </c>
      <c r="G895" s="204">
        <f>IFERROR(IF(C895=1,VLOOKUP(A895,Output!$A$27:$AB$137,28,FALSE)/AnnuityMode,0),0)</f>
        <v>0</v>
      </c>
      <c r="H895" s="220">
        <f>IFERROR(IF(AND(MIN(A895&gt;25,Age+A895&gt;=85),B895=12),VLOOKUP(A895,Output!$A$27:$AE$137,31,FALSE),0),0)</f>
        <v>0</v>
      </c>
      <c r="I895" s="221">
        <f>IFERROR(IF(AND(MIN(A895&gt;15,A895+Age&gt;=70),C895=1),VLOOKUP(A895,Output!$A$27:$AF$137,32,FALSE)*VLOOKUP('SV calc_ignore'!A895,Output!$A$27:$AG$137,33,FALSE)/IF(AnnuityMode=2,2,IF(AnnuityMode=4,4,IF(AnnuityMode=12,12,1))),0),0)</f>
        <v>0</v>
      </c>
      <c r="J895" s="227">
        <f t="shared" si="168"/>
        <v>0</v>
      </c>
      <c r="K895" s="213">
        <f t="shared" si="164"/>
        <v>0</v>
      </c>
      <c r="L895" s="209">
        <f t="shared" si="160"/>
        <v>0</v>
      </c>
      <c r="M895" s="214">
        <f>L894*(1+$K$3)</f>
        <v>0</v>
      </c>
      <c r="N895" s="211">
        <f t="shared" si="165"/>
        <v>0</v>
      </c>
      <c r="O895" s="194">
        <f t="shared" si="166"/>
        <v>0</v>
      </c>
      <c r="P895" s="212">
        <f t="shared" si="161"/>
        <v>0</v>
      </c>
      <c r="Q895">
        <f t="shared" si="169"/>
        <v>0</v>
      </c>
      <c r="X895" s="216">
        <f t="shared" si="167"/>
        <v>73</v>
      </c>
      <c r="Y895">
        <f t="shared" si="162"/>
        <v>0</v>
      </c>
    </row>
    <row r="896" spans="1:25" ht="13.5" thickBot="1" x14ac:dyDescent="0.25">
      <c r="A896" s="204">
        <f>IF(MOD(COUNT($A$10:A895),12)=0,A895+1,A895)</f>
        <v>74</v>
      </c>
      <c r="B896" s="218">
        <f t="shared" si="163"/>
        <v>11</v>
      </c>
      <c r="C896" s="218">
        <f t="shared" si="159"/>
        <v>1</v>
      </c>
      <c r="D896" s="208">
        <f>IF(MOD(COUNT($D$10:D895),6)=0,D895+1,D895)</f>
        <v>148</v>
      </c>
      <c r="E896" s="208">
        <f>IF(MOD(COUNT($E$10:E895),3)=0,E895+1,E895)</f>
        <v>296</v>
      </c>
      <c r="F896" s="208">
        <f>IF(MOD(COUNT($F$10:F895),1)=0,F895+1,F895)</f>
        <v>887</v>
      </c>
      <c r="G896" s="204">
        <f>IFERROR(IF(C896=1,VLOOKUP(A896,Output!$A$27:$AB$137,28,FALSE)/AnnuityMode,0),0)</f>
        <v>0</v>
      </c>
      <c r="H896" s="220">
        <f>IFERROR(IF(AND(MIN(A896&gt;25,Age+A896&gt;=85),B896=12),VLOOKUP(A896,Output!$A$27:$AE$137,31,FALSE),0),0)</f>
        <v>0</v>
      </c>
      <c r="I896" s="221">
        <f>IFERROR(IF(AND(MIN(A896&gt;15,A896+Age&gt;=70),C896=1),VLOOKUP(A896,Output!$A$27:$AF$137,32,FALSE)*VLOOKUP('SV calc_ignore'!A896,Output!$A$27:$AG$137,33,FALSE)/IF(AnnuityMode=2,2,IF(AnnuityMode=4,4,IF(AnnuityMode=12,12,1))),0),0)</f>
        <v>0</v>
      </c>
      <c r="J896" s="227">
        <f t="shared" si="168"/>
        <v>0</v>
      </c>
      <c r="K896" s="213">
        <f t="shared" si="164"/>
        <v>0</v>
      </c>
      <c r="L896" s="209">
        <f t="shared" si="160"/>
        <v>0</v>
      </c>
      <c r="M896" s="214">
        <f>L895*(1+$K$3)</f>
        <v>0</v>
      </c>
      <c r="N896" s="211">
        <f t="shared" si="165"/>
        <v>0</v>
      </c>
      <c r="O896" s="194">
        <f t="shared" si="166"/>
        <v>0</v>
      </c>
      <c r="P896" s="212">
        <f t="shared" si="161"/>
        <v>0</v>
      </c>
      <c r="Q896">
        <f t="shared" si="169"/>
        <v>0</v>
      </c>
      <c r="X896" s="216">
        <f t="shared" si="167"/>
        <v>73</v>
      </c>
      <c r="Y896">
        <f t="shared" si="162"/>
        <v>0</v>
      </c>
    </row>
    <row r="897" spans="1:25" ht="13.5" thickBot="1" x14ac:dyDescent="0.25">
      <c r="A897" s="204">
        <f>IF(MOD(COUNT($A$10:A896),12)=0,A896+1,A896)</f>
        <v>74</v>
      </c>
      <c r="B897" s="218">
        <f t="shared" si="163"/>
        <v>12</v>
      </c>
      <c r="C897" s="218">
        <f t="shared" si="159"/>
        <v>1</v>
      </c>
      <c r="D897" s="208">
        <f>IF(MOD(COUNT($D$10:D896),6)=0,D896+1,D896)</f>
        <v>148</v>
      </c>
      <c r="E897" s="208">
        <f>IF(MOD(COUNT($E$10:E896),3)=0,E896+1,E896)</f>
        <v>296</v>
      </c>
      <c r="F897" s="208">
        <f>IF(MOD(COUNT($F$10:F896),1)=0,F896+1,F896)</f>
        <v>888</v>
      </c>
      <c r="G897" s="204">
        <f>IFERROR(IF(C897=1,VLOOKUP(A897,Output!$A$27:$AB$137,28,FALSE)/AnnuityMode,0),0)</f>
        <v>0</v>
      </c>
      <c r="H897" s="220">
        <f>IFERROR(IF(AND(MIN(A897&gt;25,Age+A897&gt;=85),B897=12),VLOOKUP(A897,Output!$A$27:$AE$137,31,FALSE),0),0)</f>
        <v>0</v>
      </c>
      <c r="I897" s="221">
        <f>IFERROR(IF(AND(MIN(A897&gt;15,A897+Age&gt;=70),C897=1),VLOOKUP(A897,Output!$A$27:$AF$137,32,FALSE)*VLOOKUP('SV calc_ignore'!A897,Output!$A$27:$AG$137,33,FALSE)/IF(AnnuityMode=2,2,IF(AnnuityMode=4,4,IF(AnnuityMode=12,12,1))),0),0)</f>
        <v>0</v>
      </c>
      <c r="J897" s="227">
        <f t="shared" si="168"/>
        <v>0</v>
      </c>
      <c r="K897" s="213">
        <f t="shared" si="164"/>
        <v>0</v>
      </c>
      <c r="L897" s="209">
        <f t="shared" si="160"/>
        <v>0</v>
      </c>
      <c r="M897" s="214">
        <f>L896*(1+$K$3)</f>
        <v>0</v>
      </c>
      <c r="N897" s="211">
        <f t="shared" si="165"/>
        <v>0</v>
      </c>
      <c r="O897" s="194">
        <f t="shared" si="166"/>
        <v>0</v>
      </c>
      <c r="P897" s="212">
        <f t="shared" si="161"/>
        <v>0</v>
      </c>
      <c r="Q897">
        <f t="shared" si="169"/>
        <v>0</v>
      </c>
      <c r="X897" s="216">
        <f t="shared" si="167"/>
        <v>73</v>
      </c>
      <c r="Y897">
        <f t="shared" si="162"/>
        <v>0</v>
      </c>
    </row>
    <row r="898" spans="1:25" ht="13.5" thickBot="1" x14ac:dyDescent="0.25">
      <c r="A898" s="204">
        <f>IF(MOD(COUNT($A$10:A897),12)=0,A897+1,A897)</f>
        <v>75</v>
      </c>
      <c r="B898" s="218">
        <f t="shared" ref="B898:B961" si="170">IF(A897&lt;&gt;A898,1,B897+1)</f>
        <v>1</v>
      </c>
      <c r="C898" s="218">
        <f t="shared" ref="C898:C961" si="171">IF(AND(AnnuityMode=1,B898=12),1,IF(AND(OR(B898=6,B898=12),AnnuityMode=2),1,IF(AND(OR(B898=3,B898=6,B898=12,B898=9),AnnuityMode=4),1,IF(AND(OR(B898=1,B898=2,B898=3,B898=4,B898=5,B898=6,B898=7,B898=8,B898=9,B898=10,B898=11,B898=12),AnnuityMode=12),1,0))))</f>
        <v>1</v>
      </c>
      <c r="D898" s="208">
        <f>IF(MOD(COUNT($D$10:D897),6)=0,D897+1,D897)</f>
        <v>149</v>
      </c>
      <c r="E898" s="208">
        <f>IF(MOD(COUNT($E$10:E897),3)=0,E897+1,E897)</f>
        <v>297</v>
      </c>
      <c r="F898" s="208">
        <f>IF(MOD(COUNT($F$10:F897),1)=0,F897+1,F897)</f>
        <v>889</v>
      </c>
      <c r="G898" s="204">
        <f>IFERROR(IF(C898=1,VLOOKUP(A898,Output!$A$27:$AB$137,28,FALSE)/AnnuityMode,0),0)</f>
        <v>0</v>
      </c>
      <c r="H898" s="220">
        <f>IFERROR(IF(AND(MIN(A898&gt;25,Age+A898&gt;=85),B898=12),VLOOKUP(A898,Output!$A$27:$AE$137,31,FALSE),0),0)</f>
        <v>0</v>
      </c>
      <c r="I898" s="221">
        <f>IFERROR(IF(AND(MIN(A898&gt;15,A898+Age&gt;=70),C898=1),VLOOKUP(A898,Output!$A$27:$AF$137,32,FALSE)*VLOOKUP('SV calc_ignore'!A898,Output!$A$27:$AG$137,33,FALSE)/IF(AnnuityMode=2,2,IF(AnnuityMode=4,4,IF(AnnuityMode=12,12,1))),0),0)</f>
        <v>0</v>
      </c>
      <c r="J898" s="227">
        <f t="shared" ref="J898:J961" si="172">G898+(J899)*(1+$K$3)^(-1)</f>
        <v>0</v>
      </c>
      <c r="K898" s="213">
        <f t="shared" si="164"/>
        <v>0</v>
      </c>
      <c r="L898" s="209">
        <f t="shared" ref="L898:L961" si="173">(L899+G899)*$K$2</f>
        <v>0</v>
      </c>
      <c r="M898" s="214">
        <f t="shared" ref="M898:M961" si="174">L897*(1+$K$3)</f>
        <v>0</v>
      </c>
      <c r="N898" s="211">
        <f t="shared" ref="N898:N961" si="175">M898-L898-G898</f>
        <v>0</v>
      </c>
      <c r="O898" s="194">
        <f t="shared" ref="O898:O961" si="176">MAX($H$10:$H$897)/(1+$K$3)^($Q$5*12-F898)*(A898&lt;=$Q$5)</f>
        <v>0</v>
      </c>
      <c r="P898" s="212">
        <f t="shared" si="161"/>
        <v>0</v>
      </c>
      <c r="Q898">
        <f t="shared" si="169"/>
        <v>0</v>
      </c>
      <c r="X898" s="216">
        <f t="shared" si="167"/>
        <v>74</v>
      </c>
      <c r="Y898">
        <f t="shared" si="162"/>
        <v>0</v>
      </c>
    </row>
    <row r="899" spans="1:25" ht="13.5" thickBot="1" x14ac:dyDescent="0.25">
      <c r="A899" s="204">
        <f>IF(MOD(COUNT($A$10:A898),12)=0,A898+1,A898)</f>
        <v>75</v>
      </c>
      <c r="B899" s="218">
        <f t="shared" si="170"/>
        <v>2</v>
      </c>
      <c r="C899" s="218">
        <f t="shared" si="171"/>
        <v>1</v>
      </c>
      <c r="D899" s="208">
        <f>IF(MOD(COUNT($D$10:D898),6)=0,D898+1,D898)</f>
        <v>149</v>
      </c>
      <c r="E899" s="208">
        <f>IF(MOD(COUNT($E$10:E898),3)=0,E898+1,E898)</f>
        <v>297</v>
      </c>
      <c r="F899" s="208">
        <f>IF(MOD(COUNT($F$10:F898),1)=0,F898+1,F898)</f>
        <v>890</v>
      </c>
      <c r="G899" s="204">
        <f>IFERROR(IF(C899=1,VLOOKUP(A899,Output!$A$27:$AB$137,28,FALSE)/AnnuityMode,0),0)</f>
        <v>0</v>
      </c>
      <c r="H899" s="220">
        <f>IFERROR(IF(AND(MIN(A899&gt;25,Age+A899&gt;=85),B899=12),VLOOKUP(A899,Output!$A$27:$AE$137,31,FALSE),0),0)</f>
        <v>0</v>
      </c>
      <c r="I899" s="221">
        <f>IFERROR(IF(AND(MIN(A899&gt;15,A899+Age&gt;=70),C899=1),VLOOKUP(A899,Output!$A$27:$AF$137,32,FALSE)*VLOOKUP('SV calc_ignore'!A899,Output!$A$27:$AG$137,33,FALSE)/IF(AnnuityMode=2,2,IF(AnnuityMode=4,4,IF(AnnuityMode=12,12,1))),0),0)</f>
        <v>0</v>
      </c>
      <c r="J899" s="227">
        <f t="shared" si="172"/>
        <v>0</v>
      </c>
      <c r="K899" s="213">
        <f t="shared" si="164"/>
        <v>0</v>
      </c>
      <c r="L899" s="209">
        <f t="shared" si="173"/>
        <v>0</v>
      </c>
      <c r="M899" s="214">
        <f t="shared" si="174"/>
        <v>0</v>
      </c>
      <c r="N899" s="211">
        <f t="shared" si="175"/>
        <v>0</v>
      </c>
      <c r="O899" s="194">
        <f t="shared" si="176"/>
        <v>0</v>
      </c>
      <c r="P899" s="212">
        <f t="shared" si="161"/>
        <v>0</v>
      </c>
      <c r="Q899">
        <f t="shared" si="169"/>
        <v>0</v>
      </c>
      <c r="X899" s="216">
        <f t="shared" si="167"/>
        <v>74</v>
      </c>
      <c r="Y899">
        <f t="shared" si="162"/>
        <v>0</v>
      </c>
    </row>
    <row r="900" spans="1:25" ht="13.5" thickBot="1" x14ac:dyDescent="0.25">
      <c r="A900" s="204">
        <f>IF(MOD(COUNT($A$10:A899),12)=0,A899+1,A899)</f>
        <v>75</v>
      </c>
      <c r="B900" s="218">
        <f t="shared" si="170"/>
        <v>3</v>
      </c>
      <c r="C900" s="218">
        <f t="shared" si="171"/>
        <v>1</v>
      </c>
      <c r="D900" s="208">
        <f>IF(MOD(COUNT($D$10:D899),6)=0,D899+1,D899)</f>
        <v>149</v>
      </c>
      <c r="E900" s="208">
        <f>IF(MOD(COUNT($E$10:E899),3)=0,E899+1,E899)</f>
        <v>297</v>
      </c>
      <c r="F900" s="208">
        <f>IF(MOD(COUNT($F$10:F899),1)=0,F899+1,F899)</f>
        <v>891</v>
      </c>
      <c r="G900" s="204">
        <f>IFERROR(IF(C900=1,VLOOKUP(A900,Output!$A$27:$AB$137,28,FALSE)/AnnuityMode,0),0)</f>
        <v>0</v>
      </c>
      <c r="H900" s="220">
        <f>IFERROR(IF(AND(MIN(A900&gt;25,Age+A900&gt;=85),B900=12),VLOOKUP(A900,Output!$A$27:$AE$137,31,FALSE),0),0)</f>
        <v>0</v>
      </c>
      <c r="I900" s="221">
        <f>IFERROR(IF(AND(MIN(A900&gt;15,A900+Age&gt;=70),C900=1),VLOOKUP(A900,Output!$A$27:$AF$137,32,FALSE)*VLOOKUP('SV calc_ignore'!A900,Output!$A$27:$AG$137,33,FALSE)/IF(AnnuityMode=2,2,IF(AnnuityMode=4,4,IF(AnnuityMode=12,12,1))),0),0)</f>
        <v>0</v>
      </c>
      <c r="J900" s="227">
        <f t="shared" si="172"/>
        <v>0</v>
      </c>
      <c r="K900" s="213">
        <f t="shared" si="164"/>
        <v>0</v>
      </c>
      <c r="L900" s="209">
        <f t="shared" si="173"/>
        <v>0</v>
      </c>
      <c r="M900" s="214">
        <f t="shared" si="174"/>
        <v>0</v>
      </c>
      <c r="N900" s="211">
        <f t="shared" si="175"/>
        <v>0</v>
      </c>
      <c r="O900" s="194">
        <f t="shared" si="176"/>
        <v>0</v>
      </c>
      <c r="P900" s="212">
        <f t="shared" si="161"/>
        <v>0</v>
      </c>
      <c r="Q900">
        <f t="shared" si="169"/>
        <v>0</v>
      </c>
      <c r="X900" s="216">
        <f t="shared" si="167"/>
        <v>74</v>
      </c>
      <c r="Y900">
        <f t="shared" si="162"/>
        <v>0</v>
      </c>
    </row>
    <row r="901" spans="1:25" ht="13.5" thickBot="1" x14ac:dyDescent="0.25">
      <c r="A901" s="204">
        <f>IF(MOD(COUNT($A$10:A900),12)=0,A900+1,A900)</f>
        <v>75</v>
      </c>
      <c r="B901" s="218">
        <f t="shared" si="170"/>
        <v>4</v>
      </c>
      <c r="C901" s="218">
        <f t="shared" si="171"/>
        <v>1</v>
      </c>
      <c r="D901" s="208">
        <f>IF(MOD(COUNT($D$10:D900),6)=0,D900+1,D900)</f>
        <v>149</v>
      </c>
      <c r="E901" s="208">
        <f>IF(MOD(COUNT($E$10:E900),3)=0,E900+1,E900)</f>
        <v>298</v>
      </c>
      <c r="F901" s="208">
        <f>IF(MOD(COUNT($F$10:F900),1)=0,F900+1,F900)</f>
        <v>892</v>
      </c>
      <c r="G901" s="204">
        <f>IFERROR(IF(C901=1,VLOOKUP(A901,Output!$A$27:$AB$137,28,FALSE)/AnnuityMode,0),0)</f>
        <v>0</v>
      </c>
      <c r="H901" s="220">
        <f>IFERROR(IF(AND(MIN(A901&gt;25,Age+A901&gt;=85),B901=12),VLOOKUP(A901,Output!$A$27:$AE$137,31,FALSE),0),0)</f>
        <v>0</v>
      </c>
      <c r="I901" s="221">
        <f>IFERROR(IF(AND(MIN(A901&gt;15,A901+Age&gt;=70),C901=1),VLOOKUP(A901,Output!$A$27:$AF$137,32,FALSE)*VLOOKUP('SV calc_ignore'!A901,Output!$A$27:$AG$137,33,FALSE)/IF(AnnuityMode=2,2,IF(AnnuityMode=4,4,IF(AnnuityMode=12,12,1))),0),0)</f>
        <v>0</v>
      </c>
      <c r="J901" s="227">
        <f t="shared" si="172"/>
        <v>0</v>
      </c>
      <c r="K901" s="213">
        <f t="shared" si="164"/>
        <v>0</v>
      </c>
      <c r="L901" s="209">
        <f t="shared" si="173"/>
        <v>0</v>
      </c>
      <c r="M901" s="214">
        <f t="shared" si="174"/>
        <v>0</v>
      </c>
      <c r="N901" s="211">
        <f t="shared" si="175"/>
        <v>0</v>
      </c>
      <c r="O901" s="194">
        <f t="shared" si="176"/>
        <v>0</v>
      </c>
      <c r="P901" s="212">
        <f t="shared" si="161"/>
        <v>0</v>
      </c>
      <c r="Q901">
        <f t="shared" si="169"/>
        <v>0</v>
      </c>
      <c r="X901" s="216">
        <f t="shared" si="167"/>
        <v>74</v>
      </c>
      <c r="Y901">
        <f t="shared" si="162"/>
        <v>0</v>
      </c>
    </row>
    <row r="902" spans="1:25" ht="13.5" thickBot="1" x14ac:dyDescent="0.25">
      <c r="A902" s="204">
        <f>IF(MOD(COUNT($A$10:A901),12)=0,A901+1,A901)</f>
        <v>75</v>
      </c>
      <c r="B902" s="218">
        <f t="shared" si="170"/>
        <v>5</v>
      </c>
      <c r="C902" s="218">
        <f t="shared" si="171"/>
        <v>1</v>
      </c>
      <c r="D902" s="208">
        <f>IF(MOD(COUNT($D$10:D901),6)=0,D901+1,D901)</f>
        <v>149</v>
      </c>
      <c r="E902" s="208">
        <f>IF(MOD(COUNT($E$10:E901),3)=0,E901+1,E901)</f>
        <v>298</v>
      </c>
      <c r="F902" s="208">
        <f>IF(MOD(COUNT($F$10:F901),1)=0,F901+1,F901)</f>
        <v>893</v>
      </c>
      <c r="G902" s="204">
        <f>IFERROR(IF(C902=1,VLOOKUP(A902,Output!$A$27:$AB$137,28,FALSE)/AnnuityMode,0),0)</f>
        <v>0</v>
      </c>
      <c r="H902" s="220">
        <f>IFERROR(IF(AND(MIN(A902&gt;25,Age+A902&gt;=85),B902=12),VLOOKUP(A902,Output!$A$27:$AE$137,31,FALSE),0),0)</f>
        <v>0</v>
      </c>
      <c r="I902" s="221">
        <f>IFERROR(IF(AND(MIN(A902&gt;15,A902+Age&gt;=70),C902=1),VLOOKUP(A902,Output!$A$27:$AF$137,32,FALSE)*VLOOKUP('SV calc_ignore'!A902,Output!$A$27:$AG$137,33,FALSE)/IF(AnnuityMode=2,2,IF(AnnuityMode=4,4,IF(AnnuityMode=12,12,1))),0),0)</f>
        <v>0</v>
      </c>
      <c r="J902" s="227">
        <f t="shared" si="172"/>
        <v>0</v>
      </c>
      <c r="K902" s="213">
        <f t="shared" si="164"/>
        <v>0</v>
      </c>
      <c r="L902" s="209">
        <f t="shared" si="173"/>
        <v>0</v>
      </c>
      <c r="M902" s="214">
        <f t="shared" si="174"/>
        <v>0</v>
      </c>
      <c r="N902" s="211">
        <f t="shared" si="175"/>
        <v>0</v>
      </c>
      <c r="O902" s="194">
        <f t="shared" si="176"/>
        <v>0</v>
      </c>
      <c r="P902" s="212">
        <f t="shared" si="161"/>
        <v>0</v>
      </c>
      <c r="Q902">
        <f t="shared" si="169"/>
        <v>0</v>
      </c>
      <c r="X902" s="216">
        <f t="shared" si="167"/>
        <v>74</v>
      </c>
      <c r="Y902">
        <f t="shared" si="162"/>
        <v>0</v>
      </c>
    </row>
    <row r="903" spans="1:25" ht="13.5" thickBot="1" x14ac:dyDescent="0.25">
      <c r="A903" s="204">
        <f>IF(MOD(COUNT($A$10:A902),12)=0,A902+1,A902)</f>
        <v>75</v>
      </c>
      <c r="B903" s="218">
        <f t="shared" si="170"/>
        <v>6</v>
      </c>
      <c r="C903" s="218">
        <f t="shared" si="171"/>
        <v>1</v>
      </c>
      <c r="D903" s="208">
        <f>IF(MOD(COUNT($D$10:D902),6)=0,D902+1,D902)</f>
        <v>149</v>
      </c>
      <c r="E903" s="208">
        <f>IF(MOD(COUNT($E$10:E902),3)=0,E902+1,E902)</f>
        <v>298</v>
      </c>
      <c r="F903" s="208">
        <f>IF(MOD(COUNT($F$10:F902),1)=0,F902+1,F902)</f>
        <v>894</v>
      </c>
      <c r="G903" s="204">
        <f>IFERROR(IF(C903=1,VLOOKUP(A903,Output!$A$27:$AB$137,28,FALSE)/AnnuityMode,0),0)</f>
        <v>0</v>
      </c>
      <c r="H903" s="220">
        <f>IFERROR(IF(AND(MIN(A903&gt;25,Age+A903&gt;=85),B903=12),VLOOKUP(A903,Output!$A$27:$AE$137,31,FALSE),0),0)</f>
        <v>0</v>
      </c>
      <c r="I903" s="221">
        <f>IFERROR(IF(AND(MIN(A903&gt;15,A903+Age&gt;=70),C903=1),VLOOKUP(A903,Output!$A$27:$AF$137,32,FALSE)*VLOOKUP('SV calc_ignore'!A903,Output!$A$27:$AG$137,33,FALSE)/IF(AnnuityMode=2,2,IF(AnnuityMode=4,4,IF(AnnuityMode=12,12,1))),0),0)</f>
        <v>0</v>
      </c>
      <c r="J903" s="227">
        <f t="shared" si="172"/>
        <v>0</v>
      </c>
      <c r="K903" s="213">
        <f t="shared" si="164"/>
        <v>0</v>
      </c>
      <c r="L903" s="209">
        <f t="shared" si="173"/>
        <v>0</v>
      </c>
      <c r="M903" s="214">
        <f t="shared" si="174"/>
        <v>0</v>
      </c>
      <c r="N903" s="211">
        <f t="shared" si="175"/>
        <v>0</v>
      </c>
      <c r="O903" s="194">
        <f t="shared" si="176"/>
        <v>0</v>
      </c>
      <c r="P903" s="212">
        <f t="shared" si="161"/>
        <v>0</v>
      </c>
      <c r="Q903">
        <f t="shared" si="169"/>
        <v>0</v>
      </c>
      <c r="X903" s="216">
        <f t="shared" si="167"/>
        <v>74</v>
      </c>
      <c r="Y903">
        <f t="shared" si="162"/>
        <v>0</v>
      </c>
    </row>
    <row r="904" spans="1:25" ht="13.5" thickBot="1" x14ac:dyDescent="0.25">
      <c r="A904" s="204">
        <f>IF(MOD(COUNT($A$10:A903),12)=0,A903+1,A903)</f>
        <v>75</v>
      </c>
      <c r="B904" s="218">
        <f t="shared" si="170"/>
        <v>7</v>
      </c>
      <c r="C904" s="218">
        <f t="shared" si="171"/>
        <v>1</v>
      </c>
      <c r="D904" s="208">
        <f>IF(MOD(COUNT($D$10:D903),6)=0,D903+1,D903)</f>
        <v>150</v>
      </c>
      <c r="E904" s="208">
        <f>IF(MOD(COUNT($E$10:E903),3)=0,E903+1,E903)</f>
        <v>299</v>
      </c>
      <c r="F904" s="208">
        <f>IF(MOD(COUNT($F$10:F903),1)=0,F903+1,F903)</f>
        <v>895</v>
      </c>
      <c r="G904" s="204">
        <f>IFERROR(IF(C904=1,VLOOKUP(A904,Output!$A$27:$AB$137,28,FALSE)/AnnuityMode,0),0)</f>
        <v>0</v>
      </c>
      <c r="H904" s="220">
        <f>IFERROR(IF(AND(MIN(A904&gt;25,Age+A904&gt;=85),B904=12),VLOOKUP(A904,Output!$A$27:$AE$137,31,FALSE),0),0)</f>
        <v>0</v>
      </c>
      <c r="I904" s="221">
        <f>IFERROR(IF(AND(MIN(A904&gt;15,A904+Age&gt;=70),C904=1),VLOOKUP(A904,Output!$A$27:$AF$137,32,FALSE)*VLOOKUP('SV calc_ignore'!A904,Output!$A$27:$AG$137,33,FALSE)/IF(AnnuityMode=2,2,IF(AnnuityMode=4,4,IF(AnnuityMode=12,12,1))),0),0)</f>
        <v>0</v>
      </c>
      <c r="J904" s="227">
        <f t="shared" si="172"/>
        <v>0</v>
      </c>
      <c r="K904" s="213">
        <f t="shared" si="164"/>
        <v>0</v>
      </c>
      <c r="L904" s="209">
        <f t="shared" si="173"/>
        <v>0</v>
      </c>
      <c r="M904" s="214">
        <f t="shared" si="174"/>
        <v>0</v>
      </c>
      <c r="N904" s="211">
        <f t="shared" si="175"/>
        <v>0</v>
      </c>
      <c r="O904" s="194">
        <f t="shared" si="176"/>
        <v>0</v>
      </c>
      <c r="P904" s="212">
        <f t="shared" si="161"/>
        <v>0</v>
      </c>
      <c r="Q904">
        <f t="shared" si="169"/>
        <v>0</v>
      </c>
      <c r="X904" s="216">
        <f t="shared" si="167"/>
        <v>74</v>
      </c>
      <c r="Y904">
        <f t="shared" si="162"/>
        <v>0</v>
      </c>
    </row>
    <row r="905" spans="1:25" ht="13.5" thickBot="1" x14ac:dyDescent="0.25">
      <c r="A905" s="204">
        <f>IF(MOD(COUNT($A$10:A904),12)=0,A904+1,A904)</f>
        <v>75</v>
      </c>
      <c r="B905" s="218">
        <f t="shared" si="170"/>
        <v>8</v>
      </c>
      <c r="C905" s="218">
        <f t="shared" si="171"/>
        <v>1</v>
      </c>
      <c r="D905" s="208">
        <f>IF(MOD(COUNT($D$10:D904),6)=0,D904+1,D904)</f>
        <v>150</v>
      </c>
      <c r="E905" s="208">
        <f>IF(MOD(COUNT($E$10:E904),3)=0,E904+1,E904)</f>
        <v>299</v>
      </c>
      <c r="F905" s="208">
        <f>IF(MOD(COUNT($F$10:F904),1)=0,F904+1,F904)</f>
        <v>896</v>
      </c>
      <c r="G905" s="204">
        <f>IFERROR(IF(C905=1,VLOOKUP(A905,Output!$A$27:$AB$137,28,FALSE)/AnnuityMode,0),0)</f>
        <v>0</v>
      </c>
      <c r="H905" s="220">
        <f>IFERROR(IF(AND(MIN(A905&gt;25,Age+A905&gt;=85),B905=12),VLOOKUP(A905,Output!$A$27:$AE$137,31,FALSE),0),0)</f>
        <v>0</v>
      </c>
      <c r="I905" s="221">
        <f>IFERROR(IF(AND(MIN(A905&gt;15,A905+Age&gt;=70),C905=1),VLOOKUP(A905,Output!$A$27:$AF$137,32,FALSE)*VLOOKUP('SV calc_ignore'!A905,Output!$A$27:$AG$137,33,FALSE)/IF(AnnuityMode=2,2,IF(AnnuityMode=4,4,IF(AnnuityMode=12,12,1))),0),0)</f>
        <v>0</v>
      </c>
      <c r="J905" s="227">
        <f t="shared" si="172"/>
        <v>0</v>
      </c>
      <c r="K905" s="213">
        <f t="shared" si="164"/>
        <v>0</v>
      </c>
      <c r="L905" s="209">
        <f t="shared" si="173"/>
        <v>0</v>
      </c>
      <c r="M905" s="214">
        <f t="shared" si="174"/>
        <v>0</v>
      </c>
      <c r="N905" s="211">
        <f t="shared" si="175"/>
        <v>0</v>
      </c>
      <c r="O905" s="194">
        <f t="shared" si="176"/>
        <v>0</v>
      </c>
      <c r="P905" s="212">
        <f t="shared" si="161"/>
        <v>0</v>
      </c>
      <c r="Q905">
        <f t="shared" si="169"/>
        <v>0</v>
      </c>
      <c r="X905" s="216">
        <f t="shared" si="167"/>
        <v>74</v>
      </c>
      <c r="Y905">
        <f t="shared" si="162"/>
        <v>0</v>
      </c>
    </row>
    <row r="906" spans="1:25" ht="13.5" thickBot="1" x14ac:dyDescent="0.25">
      <c r="A906" s="204">
        <f>IF(MOD(COUNT($A$10:A905),12)=0,A905+1,A905)</f>
        <v>75</v>
      </c>
      <c r="B906" s="218">
        <f t="shared" si="170"/>
        <v>9</v>
      </c>
      <c r="C906" s="218">
        <f t="shared" si="171"/>
        <v>1</v>
      </c>
      <c r="D906" s="208">
        <f>IF(MOD(COUNT($D$10:D905),6)=0,D905+1,D905)</f>
        <v>150</v>
      </c>
      <c r="E906" s="208">
        <f>IF(MOD(COUNT($E$10:E905),3)=0,E905+1,E905)</f>
        <v>299</v>
      </c>
      <c r="F906" s="208">
        <f>IF(MOD(COUNT($F$10:F905),1)=0,F905+1,F905)</f>
        <v>897</v>
      </c>
      <c r="G906" s="204">
        <f>IFERROR(IF(C906=1,VLOOKUP(A906,Output!$A$27:$AB$137,28,FALSE)/AnnuityMode,0),0)</f>
        <v>0</v>
      </c>
      <c r="H906" s="220">
        <f>IFERROR(IF(AND(MIN(A906&gt;25,Age+A906&gt;=85),B906=12),VLOOKUP(A906,Output!$A$27:$AE$137,31,FALSE),0),0)</f>
        <v>0</v>
      </c>
      <c r="I906" s="221">
        <f>IFERROR(IF(AND(MIN(A906&gt;15,A906+Age&gt;=70),C906=1),VLOOKUP(A906,Output!$A$27:$AF$137,32,FALSE)*VLOOKUP('SV calc_ignore'!A906,Output!$A$27:$AG$137,33,FALSE)/IF(AnnuityMode=2,2,IF(AnnuityMode=4,4,IF(AnnuityMode=12,12,1))),0),0)</f>
        <v>0</v>
      </c>
      <c r="J906" s="227">
        <f t="shared" si="172"/>
        <v>0</v>
      </c>
      <c r="K906" s="213">
        <f t="shared" si="164"/>
        <v>0</v>
      </c>
      <c r="L906" s="209">
        <f t="shared" si="173"/>
        <v>0</v>
      </c>
      <c r="M906" s="214">
        <f t="shared" si="174"/>
        <v>0</v>
      </c>
      <c r="N906" s="211">
        <f t="shared" si="175"/>
        <v>0</v>
      </c>
      <c r="O906" s="194">
        <f t="shared" si="176"/>
        <v>0</v>
      </c>
      <c r="P906" s="212">
        <f t="shared" ref="P906:P969" si="177">(P907+H907)*(1+$K$3)^(-1)</f>
        <v>0</v>
      </c>
      <c r="Q906">
        <f t="shared" si="169"/>
        <v>0</v>
      </c>
      <c r="X906" s="216">
        <f t="shared" si="167"/>
        <v>74</v>
      </c>
      <c r="Y906">
        <f t="shared" ref="Y906:Y969" si="178">G906*(1-IF(AnnuityMode=1,$L$2,IF(AnnuityMode=2,$M$2,IF(AnnuityMode=4,$N$2,$K$2)))^(110*AnnuityMode-IF(AnnuityMode=1,X906,IF(AnnuityMode=2,D906,IF(AnnuityMode=4,E906,F906)))-0))/(IF(AnnuityMode=1,$L$3,IF(AnnuityMode=2,$M$3,IF(AnnuityMode=4,$N$3,$K$3))))</f>
        <v>0</v>
      </c>
    </row>
    <row r="907" spans="1:25" ht="13.5" thickBot="1" x14ac:dyDescent="0.25">
      <c r="A907" s="204">
        <f>IF(MOD(COUNT($A$10:A906),12)=0,A906+1,A906)</f>
        <v>75</v>
      </c>
      <c r="B907" s="218">
        <f t="shared" si="170"/>
        <v>10</v>
      </c>
      <c r="C907" s="218">
        <f t="shared" si="171"/>
        <v>1</v>
      </c>
      <c r="D907" s="208">
        <f>IF(MOD(COUNT($D$10:D906),6)=0,D906+1,D906)</f>
        <v>150</v>
      </c>
      <c r="E907" s="208">
        <f>IF(MOD(COUNT($E$10:E906),3)=0,E906+1,E906)</f>
        <v>300</v>
      </c>
      <c r="F907" s="208">
        <f>IF(MOD(COUNT($F$10:F906),1)=0,F906+1,F906)</f>
        <v>898</v>
      </c>
      <c r="G907" s="204">
        <f>IFERROR(IF(C907=1,VLOOKUP(A907,Output!$A$27:$AB$137,28,FALSE)/AnnuityMode,0),0)</f>
        <v>0</v>
      </c>
      <c r="H907" s="220">
        <f>IFERROR(IF(AND(MIN(A907&gt;25,Age+A907&gt;=85),B907=12),VLOOKUP(A907,Output!$A$27:$AE$137,31,FALSE),0),0)</f>
        <v>0</v>
      </c>
      <c r="I907" s="221">
        <f>IFERROR(IF(AND(MIN(A907&gt;15,A907+Age&gt;=70),C907=1),VLOOKUP(A907,Output!$A$27:$AF$137,32,FALSE)*VLOOKUP('SV calc_ignore'!A907,Output!$A$27:$AG$137,33,FALSE)/IF(AnnuityMode=2,2,IF(AnnuityMode=4,4,IF(AnnuityMode=12,12,1))),0),0)</f>
        <v>0</v>
      </c>
      <c r="J907" s="227">
        <f t="shared" si="172"/>
        <v>0</v>
      </c>
      <c r="K907" s="213">
        <f t="shared" ref="K907:K970" si="179">IF(OR(K906&gt;$K$8,K906=0),0,K906+1)</f>
        <v>0</v>
      </c>
      <c r="L907" s="209">
        <f t="shared" si="173"/>
        <v>0</v>
      </c>
      <c r="M907" s="214">
        <f t="shared" si="174"/>
        <v>0</v>
      </c>
      <c r="N907" s="211">
        <f t="shared" si="175"/>
        <v>0</v>
      </c>
      <c r="O907" s="194">
        <f t="shared" si="176"/>
        <v>0</v>
      </c>
      <c r="P907" s="212">
        <f t="shared" si="177"/>
        <v>0</v>
      </c>
      <c r="Q907">
        <f t="shared" si="169"/>
        <v>0</v>
      </c>
      <c r="X907" s="216">
        <f t="shared" ref="X907:X970" si="180">A907-1</f>
        <v>74</v>
      </c>
      <c r="Y907">
        <f t="shared" si="178"/>
        <v>0</v>
      </c>
    </row>
    <row r="908" spans="1:25" ht="13.5" thickBot="1" x14ac:dyDescent="0.25">
      <c r="A908" s="204">
        <f>IF(MOD(COUNT($A$10:A907),12)=0,A907+1,A907)</f>
        <v>75</v>
      </c>
      <c r="B908" s="218">
        <f t="shared" si="170"/>
        <v>11</v>
      </c>
      <c r="C908" s="218">
        <f t="shared" si="171"/>
        <v>1</v>
      </c>
      <c r="D908" s="208">
        <f>IF(MOD(COUNT($D$10:D907),6)=0,D907+1,D907)</f>
        <v>150</v>
      </c>
      <c r="E908" s="208">
        <f>IF(MOD(COUNT($E$10:E907),3)=0,E907+1,E907)</f>
        <v>300</v>
      </c>
      <c r="F908" s="208">
        <f>IF(MOD(COUNT($F$10:F907),1)=0,F907+1,F907)</f>
        <v>899</v>
      </c>
      <c r="G908" s="204">
        <f>IFERROR(IF(C908=1,VLOOKUP(A908,Output!$A$27:$AB$137,28,FALSE)/AnnuityMode,0),0)</f>
        <v>0</v>
      </c>
      <c r="H908" s="220">
        <f>IFERROR(IF(AND(MIN(A908&gt;25,Age+A908&gt;=85),B908=12),VLOOKUP(A908,Output!$A$27:$AE$137,31,FALSE),0),0)</f>
        <v>0</v>
      </c>
      <c r="I908" s="221">
        <f>IFERROR(IF(AND(MIN(A908&gt;15,A908+Age&gt;=70),C908=1),VLOOKUP(A908,Output!$A$27:$AF$137,32,FALSE)*VLOOKUP('SV calc_ignore'!A908,Output!$A$27:$AG$137,33,FALSE)/IF(AnnuityMode=2,2,IF(AnnuityMode=4,4,IF(AnnuityMode=12,12,1))),0),0)</f>
        <v>0</v>
      </c>
      <c r="J908" s="227">
        <f t="shared" si="172"/>
        <v>0</v>
      </c>
      <c r="K908" s="213">
        <f t="shared" si="179"/>
        <v>0</v>
      </c>
      <c r="L908" s="209">
        <f t="shared" si="173"/>
        <v>0</v>
      </c>
      <c r="M908" s="214">
        <f t="shared" si="174"/>
        <v>0</v>
      </c>
      <c r="N908" s="211">
        <f t="shared" si="175"/>
        <v>0</v>
      </c>
      <c r="O908" s="194">
        <f t="shared" si="176"/>
        <v>0</v>
      </c>
      <c r="P908" s="212">
        <f t="shared" si="177"/>
        <v>0</v>
      </c>
      <c r="Q908">
        <f t="shared" si="169"/>
        <v>0</v>
      </c>
      <c r="X908" s="216">
        <f t="shared" si="180"/>
        <v>74</v>
      </c>
      <c r="Y908">
        <f t="shared" si="178"/>
        <v>0</v>
      </c>
    </row>
    <row r="909" spans="1:25" ht="13.5" thickBot="1" x14ac:dyDescent="0.25">
      <c r="A909" s="204">
        <f>IF(MOD(COUNT($A$10:A908),12)=0,A908+1,A908)</f>
        <v>75</v>
      </c>
      <c r="B909" s="218">
        <f t="shared" si="170"/>
        <v>12</v>
      </c>
      <c r="C909" s="218">
        <f t="shared" si="171"/>
        <v>1</v>
      </c>
      <c r="D909" s="208">
        <f>IF(MOD(COUNT($D$10:D908),6)=0,D908+1,D908)</f>
        <v>150</v>
      </c>
      <c r="E909" s="208">
        <f>IF(MOD(COUNT($E$10:E908),3)=0,E908+1,E908)</f>
        <v>300</v>
      </c>
      <c r="F909" s="208">
        <f>IF(MOD(COUNT($F$10:F908),1)=0,F908+1,F908)</f>
        <v>900</v>
      </c>
      <c r="G909" s="204">
        <f>IFERROR(IF(C909=1,VLOOKUP(A909,Output!$A$27:$AB$137,28,FALSE)/AnnuityMode,0),0)</f>
        <v>0</v>
      </c>
      <c r="H909" s="220">
        <f>IFERROR(IF(AND(MIN(A909&gt;25,Age+A909&gt;=85),B909=12),VLOOKUP(A909,Output!$A$27:$AE$137,31,FALSE),0),0)</f>
        <v>0</v>
      </c>
      <c r="I909" s="221">
        <f>IFERROR(IF(AND(MIN(A909&gt;15,A909+Age&gt;=70),C909=1),VLOOKUP(A909,Output!$A$27:$AF$137,32,FALSE)*VLOOKUP('SV calc_ignore'!A909,Output!$A$27:$AG$137,33,FALSE)/IF(AnnuityMode=2,2,IF(AnnuityMode=4,4,IF(AnnuityMode=12,12,1))),0),0)</f>
        <v>0</v>
      </c>
      <c r="J909" s="227">
        <f t="shared" si="172"/>
        <v>0</v>
      </c>
      <c r="K909" s="213">
        <f t="shared" si="179"/>
        <v>0</v>
      </c>
      <c r="L909" s="209">
        <f t="shared" si="173"/>
        <v>0</v>
      </c>
      <c r="M909" s="214">
        <f t="shared" si="174"/>
        <v>0</v>
      </c>
      <c r="N909" s="211">
        <f t="shared" si="175"/>
        <v>0</v>
      </c>
      <c r="O909" s="194">
        <f t="shared" si="176"/>
        <v>0</v>
      </c>
      <c r="P909" s="212">
        <f t="shared" si="177"/>
        <v>0</v>
      </c>
      <c r="Q909">
        <f t="shared" si="169"/>
        <v>0</v>
      </c>
      <c r="X909" s="216">
        <f t="shared" si="180"/>
        <v>74</v>
      </c>
      <c r="Y909">
        <f t="shared" si="178"/>
        <v>0</v>
      </c>
    </row>
    <row r="910" spans="1:25" ht="13.5" thickBot="1" x14ac:dyDescent="0.25">
      <c r="A910" s="204">
        <f>IF(MOD(COUNT($A$10:A909),12)=0,A909+1,A909)</f>
        <v>76</v>
      </c>
      <c r="B910" s="218">
        <f t="shared" si="170"/>
        <v>1</v>
      </c>
      <c r="C910" s="218">
        <f t="shared" si="171"/>
        <v>1</v>
      </c>
      <c r="D910" s="208">
        <f>IF(MOD(COUNT($D$10:D909),6)=0,D909+1,D909)</f>
        <v>151</v>
      </c>
      <c r="E910" s="208">
        <f>IF(MOD(COUNT($E$10:E909),3)=0,E909+1,E909)</f>
        <v>301</v>
      </c>
      <c r="F910" s="208">
        <f>IF(MOD(COUNT($F$10:F909),1)=0,F909+1,F909)</f>
        <v>901</v>
      </c>
      <c r="G910" s="204">
        <f>IFERROR(IF(C910=1,VLOOKUP(A910,Output!$A$27:$AB$137,28,FALSE)/AnnuityMode,0),0)</f>
        <v>0</v>
      </c>
      <c r="H910" s="220">
        <f>IFERROR(IF(AND(MIN(A910&gt;25,Age+A910&gt;=85),B910=12),VLOOKUP(A910,Output!$A$27:$AE$137,31,FALSE),0),0)</f>
        <v>0</v>
      </c>
      <c r="I910" s="221">
        <f>IFERROR(IF(AND(MIN(A910&gt;15,A910+Age&gt;=70),C910=1),VLOOKUP(A910,Output!$A$27:$AF$137,32,FALSE)*VLOOKUP('SV calc_ignore'!A910,Output!$A$27:$AG$137,33,FALSE)/IF(AnnuityMode=2,2,IF(AnnuityMode=4,4,IF(AnnuityMode=12,12,1))),0),0)</f>
        <v>0</v>
      </c>
      <c r="J910" s="227">
        <f t="shared" si="172"/>
        <v>0</v>
      </c>
      <c r="K910" s="213">
        <f t="shared" si="179"/>
        <v>0</v>
      </c>
      <c r="L910" s="209">
        <f t="shared" si="173"/>
        <v>0</v>
      </c>
      <c r="M910" s="214">
        <f t="shared" si="174"/>
        <v>0</v>
      </c>
      <c r="N910" s="211">
        <f t="shared" si="175"/>
        <v>0</v>
      </c>
      <c r="O910" s="194">
        <f t="shared" si="176"/>
        <v>0</v>
      </c>
      <c r="P910" s="212">
        <f t="shared" si="177"/>
        <v>0</v>
      </c>
      <c r="Q910">
        <f t="shared" si="169"/>
        <v>0</v>
      </c>
      <c r="X910" s="216">
        <f t="shared" si="180"/>
        <v>75</v>
      </c>
      <c r="Y910">
        <f t="shared" si="178"/>
        <v>0</v>
      </c>
    </row>
    <row r="911" spans="1:25" ht="13.5" thickBot="1" x14ac:dyDescent="0.25">
      <c r="A911" s="204">
        <f>IF(MOD(COUNT($A$10:A910),12)=0,A910+1,A910)</f>
        <v>76</v>
      </c>
      <c r="B911" s="218">
        <f t="shared" si="170"/>
        <v>2</v>
      </c>
      <c r="C911" s="218">
        <f t="shared" si="171"/>
        <v>1</v>
      </c>
      <c r="D911" s="208">
        <f>IF(MOD(COUNT($D$10:D910),6)=0,D910+1,D910)</f>
        <v>151</v>
      </c>
      <c r="E911" s="208">
        <f>IF(MOD(COUNT($E$10:E910),3)=0,E910+1,E910)</f>
        <v>301</v>
      </c>
      <c r="F911" s="208">
        <f>IF(MOD(COUNT($F$10:F910),1)=0,F910+1,F910)</f>
        <v>902</v>
      </c>
      <c r="G911" s="204">
        <f>IFERROR(IF(C911=1,VLOOKUP(A911,Output!$A$27:$AB$137,28,FALSE)/AnnuityMode,0),0)</f>
        <v>0</v>
      </c>
      <c r="H911" s="220">
        <f>IFERROR(IF(AND(MIN(A911&gt;25,Age+A911&gt;=85),B911=12),VLOOKUP(A911,Output!$A$27:$AE$137,31,FALSE),0),0)</f>
        <v>0</v>
      </c>
      <c r="I911" s="221">
        <f>IFERROR(IF(AND(MIN(A911&gt;15,A911+Age&gt;=70),C911=1),VLOOKUP(A911,Output!$A$27:$AF$137,32,FALSE)*VLOOKUP('SV calc_ignore'!A911,Output!$A$27:$AG$137,33,FALSE)/IF(AnnuityMode=2,2,IF(AnnuityMode=4,4,IF(AnnuityMode=12,12,1))),0),0)</f>
        <v>0</v>
      </c>
      <c r="J911" s="227">
        <f t="shared" si="172"/>
        <v>0</v>
      </c>
      <c r="K911" s="213">
        <f t="shared" si="179"/>
        <v>0</v>
      </c>
      <c r="L911" s="209">
        <f t="shared" si="173"/>
        <v>0</v>
      </c>
      <c r="M911" s="214">
        <f t="shared" si="174"/>
        <v>0</v>
      </c>
      <c r="N911" s="211">
        <f t="shared" si="175"/>
        <v>0</v>
      </c>
      <c r="O911" s="194">
        <f t="shared" si="176"/>
        <v>0</v>
      </c>
      <c r="P911" s="212">
        <f t="shared" si="177"/>
        <v>0</v>
      </c>
      <c r="Q911">
        <f t="shared" si="169"/>
        <v>0</v>
      </c>
      <c r="X911" s="216">
        <f t="shared" si="180"/>
        <v>75</v>
      </c>
      <c r="Y911">
        <f t="shared" si="178"/>
        <v>0</v>
      </c>
    </row>
    <row r="912" spans="1:25" ht="13.5" thickBot="1" x14ac:dyDescent="0.25">
      <c r="A912" s="204">
        <f>IF(MOD(COUNT($A$10:A911),12)=0,A911+1,A911)</f>
        <v>76</v>
      </c>
      <c r="B912" s="218">
        <f t="shared" si="170"/>
        <v>3</v>
      </c>
      <c r="C912" s="218">
        <f t="shared" si="171"/>
        <v>1</v>
      </c>
      <c r="D912" s="208">
        <f>IF(MOD(COUNT($D$10:D911),6)=0,D911+1,D911)</f>
        <v>151</v>
      </c>
      <c r="E912" s="208">
        <f>IF(MOD(COUNT($E$10:E911),3)=0,E911+1,E911)</f>
        <v>301</v>
      </c>
      <c r="F912" s="208">
        <f>IF(MOD(COUNT($F$10:F911),1)=0,F911+1,F911)</f>
        <v>903</v>
      </c>
      <c r="G912" s="204">
        <f>IFERROR(IF(C912=1,VLOOKUP(A912,Output!$A$27:$AB$137,28,FALSE)/AnnuityMode,0),0)</f>
        <v>0</v>
      </c>
      <c r="H912" s="220">
        <f>IFERROR(IF(AND(MIN(A912&gt;25,Age+A912&gt;=85),B912=12),VLOOKUP(A912,Output!$A$27:$AE$137,31,FALSE),0),0)</f>
        <v>0</v>
      </c>
      <c r="I912" s="221">
        <f>IFERROR(IF(AND(MIN(A912&gt;15,A912+Age&gt;=70),C912=1),VLOOKUP(A912,Output!$A$27:$AF$137,32,FALSE)*VLOOKUP('SV calc_ignore'!A912,Output!$A$27:$AG$137,33,FALSE)/IF(AnnuityMode=2,2,IF(AnnuityMode=4,4,IF(AnnuityMode=12,12,1))),0),0)</f>
        <v>0</v>
      </c>
      <c r="J912" s="227">
        <f t="shared" si="172"/>
        <v>0</v>
      </c>
      <c r="K912" s="213">
        <f t="shared" si="179"/>
        <v>0</v>
      </c>
      <c r="L912" s="209">
        <f t="shared" si="173"/>
        <v>0</v>
      </c>
      <c r="M912" s="214">
        <f t="shared" si="174"/>
        <v>0</v>
      </c>
      <c r="N912" s="211">
        <f t="shared" si="175"/>
        <v>0</v>
      </c>
      <c r="O912" s="194">
        <f t="shared" si="176"/>
        <v>0</v>
      </c>
      <c r="P912" s="212">
        <f t="shared" si="177"/>
        <v>0</v>
      </c>
      <c r="Q912">
        <f t="shared" si="169"/>
        <v>0</v>
      </c>
      <c r="X912" s="216">
        <f t="shared" si="180"/>
        <v>75</v>
      </c>
      <c r="Y912">
        <f t="shared" si="178"/>
        <v>0</v>
      </c>
    </row>
    <row r="913" spans="1:25" ht="13.5" thickBot="1" x14ac:dyDescent="0.25">
      <c r="A913" s="204">
        <f>IF(MOD(COUNT($A$10:A912),12)=0,A912+1,A912)</f>
        <v>76</v>
      </c>
      <c r="B913" s="218">
        <f t="shared" si="170"/>
        <v>4</v>
      </c>
      <c r="C913" s="218">
        <f t="shared" si="171"/>
        <v>1</v>
      </c>
      <c r="D913" s="208">
        <f>IF(MOD(COUNT($D$10:D912),6)=0,D912+1,D912)</f>
        <v>151</v>
      </c>
      <c r="E913" s="208">
        <f>IF(MOD(COUNT($E$10:E912),3)=0,E912+1,E912)</f>
        <v>302</v>
      </c>
      <c r="F913" s="208">
        <f>IF(MOD(COUNT($F$10:F912),1)=0,F912+1,F912)</f>
        <v>904</v>
      </c>
      <c r="G913" s="204">
        <f>IFERROR(IF(C913=1,VLOOKUP(A913,Output!$A$27:$AB$137,28,FALSE)/AnnuityMode,0),0)</f>
        <v>0</v>
      </c>
      <c r="H913" s="220">
        <f>IFERROR(IF(AND(MIN(A913&gt;25,Age+A913&gt;=85),B913=12),VLOOKUP(A913,Output!$A$27:$AE$137,31,FALSE),0),0)</f>
        <v>0</v>
      </c>
      <c r="I913" s="221">
        <f>IFERROR(IF(AND(MIN(A913&gt;15,A913+Age&gt;=70),C913=1),VLOOKUP(A913,Output!$A$27:$AF$137,32,FALSE)*VLOOKUP('SV calc_ignore'!A913,Output!$A$27:$AG$137,33,FALSE)/IF(AnnuityMode=2,2,IF(AnnuityMode=4,4,IF(AnnuityMode=12,12,1))),0),0)</f>
        <v>0</v>
      </c>
      <c r="J913" s="227">
        <f t="shared" si="172"/>
        <v>0</v>
      </c>
      <c r="K913" s="213">
        <f t="shared" si="179"/>
        <v>0</v>
      </c>
      <c r="L913" s="209">
        <f t="shared" si="173"/>
        <v>0</v>
      </c>
      <c r="M913" s="214">
        <f t="shared" si="174"/>
        <v>0</v>
      </c>
      <c r="N913" s="211">
        <f t="shared" si="175"/>
        <v>0</v>
      </c>
      <c r="O913" s="194">
        <f t="shared" si="176"/>
        <v>0</v>
      </c>
      <c r="P913" s="212">
        <f t="shared" si="177"/>
        <v>0</v>
      </c>
      <c r="Q913">
        <f t="shared" si="169"/>
        <v>0</v>
      </c>
      <c r="X913" s="216">
        <f t="shared" si="180"/>
        <v>75</v>
      </c>
      <c r="Y913">
        <f t="shared" si="178"/>
        <v>0</v>
      </c>
    </row>
    <row r="914" spans="1:25" ht="13.5" thickBot="1" x14ac:dyDescent="0.25">
      <c r="A914" s="204">
        <f>IF(MOD(COUNT($A$10:A913),12)=0,A913+1,A913)</f>
        <v>76</v>
      </c>
      <c r="B914" s="218">
        <f t="shared" si="170"/>
        <v>5</v>
      </c>
      <c r="C914" s="218">
        <f t="shared" si="171"/>
        <v>1</v>
      </c>
      <c r="D914" s="208">
        <f>IF(MOD(COUNT($D$10:D913),6)=0,D913+1,D913)</f>
        <v>151</v>
      </c>
      <c r="E914" s="208">
        <f>IF(MOD(COUNT($E$10:E913),3)=0,E913+1,E913)</f>
        <v>302</v>
      </c>
      <c r="F914" s="208">
        <f>IF(MOD(COUNT($F$10:F913),1)=0,F913+1,F913)</f>
        <v>905</v>
      </c>
      <c r="G914" s="204">
        <f>IFERROR(IF(C914=1,VLOOKUP(A914,Output!$A$27:$AB$137,28,FALSE)/AnnuityMode,0),0)</f>
        <v>0</v>
      </c>
      <c r="H914" s="220">
        <f>IFERROR(IF(AND(MIN(A914&gt;25,Age+A914&gt;=85),B914=12),VLOOKUP(A914,Output!$A$27:$AE$137,31,FALSE),0),0)</f>
        <v>0</v>
      </c>
      <c r="I914" s="221">
        <f>IFERROR(IF(AND(MIN(A914&gt;15,A914+Age&gt;=70),C914=1),VLOOKUP(A914,Output!$A$27:$AF$137,32,FALSE)*VLOOKUP('SV calc_ignore'!A914,Output!$A$27:$AG$137,33,FALSE)/IF(AnnuityMode=2,2,IF(AnnuityMode=4,4,IF(AnnuityMode=12,12,1))),0),0)</f>
        <v>0</v>
      </c>
      <c r="J914" s="227">
        <f t="shared" si="172"/>
        <v>0</v>
      </c>
      <c r="K914" s="213">
        <f t="shared" si="179"/>
        <v>0</v>
      </c>
      <c r="L914" s="209">
        <f t="shared" si="173"/>
        <v>0</v>
      </c>
      <c r="M914" s="214">
        <f t="shared" si="174"/>
        <v>0</v>
      </c>
      <c r="N914" s="211">
        <f t="shared" si="175"/>
        <v>0</v>
      </c>
      <c r="O914" s="194">
        <f t="shared" si="176"/>
        <v>0</v>
      </c>
      <c r="P914" s="212">
        <f t="shared" si="177"/>
        <v>0</v>
      </c>
      <c r="Q914">
        <f t="shared" si="169"/>
        <v>0</v>
      </c>
      <c r="X914" s="216">
        <f t="shared" si="180"/>
        <v>75</v>
      </c>
      <c r="Y914">
        <f t="shared" si="178"/>
        <v>0</v>
      </c>
    </row>
    <row r="915" spans="1:25" ht="13.5" thickBot="1" x14ac:dyDescent="0.25">
      <c r="A915" s="204">
        <f>IF(MOD(COUNT($A$10:A914),12)=0,A914+1,A914)</f>
        <v>76</v>
      </c>
      <c r="B915" s="218">
        <f t="shared" si="170"/>
        <v>6</v>
      </c>
      <c r="C915" s="218">
        <f t="shared" si="171"/>
        <v>1</v>
      </c>
      <c r="D915" s="208">
        <f>IF(MOD(COUNT($D$10:D914),6)=0,D914+1,D914)</f>
        <v>151</v>
      </c>
      <c r="E915" s="208">
        <f>IF(MOD(COUNT($E$10:E914),3)=0,E914+1,E914)</f>
        <v>302</v>
      </c>
      <c r="F915" s="208">
        <f>IF(MOD(COUNT($F$10:F914),1)=0,F914+1,F914)</f>
        <v>906</v>
      </c>
      <c r="G915" s="204">
        <f>IFERROR(IF(C915=1,VLOOKUP(A915,Output!$A$27:$AB$137,28,FALSE)/AnnuityMode,0),0)</f>
        <v>0</v>
      </c>
      <c r="H915" s="220">
        <f>IFERROR(IF(AND(MIN(A915&gt;25,Age+A915&gt;=85),B915=12),VLOOKUP(A915,Output!$A$27:$AE$137,31,FALSE),0),0)</f>
        <v>0</v>
      </c>
      <c r="I915" s="221">
        <f>IFERROR(IF(AND(MIN(A915&gt;15,A915+Age&gt;=70),C915=1),VLOOKUP(A915,Output!$A$27:$AF$137,32,FALSE)*VLOOKUP('SV calc_ignore'!A915,Output!$A$27:$AG$137,33,FALSE)/IF(AnnuityMode=2,2,IF(AnnuityMode=4,4,IF(AnnuityMode=12,12,1))),0),0)</f>
        <v>0</v>
      </c>
      <c r="J915" s="227">
        <f t="shared" si="172"/>
        <v>0</v>
      </c>
      <c r="K915" s="213">
        <f t="shared" si="179"/>
        <v>0</v>
      </c>
      <c r="L915" s="209">
        <f t="shared" si="173"/>
        <v>0</v>
      </c>
      <c r="M915" s="214">
        <f t="shared" si="174"/>
        <v>0</v>
      </c>
      <c r="N915" s="211">
        <f t="shared" si="175"/>
        <v>0</v>
      </c>
      <c r="O915" s="194">
        <f t="shared" si="176"/>
        <v>0</v>
      </c>
      <c r="P915" s="212">
        <f t="shared" si="177"/>
        <v>0</v>
      </c>
      <c r="Q915">
        <f t="shared" si="169"/>
        <v>0</v>
      </c>
      <c r="X915" s="216">
        <f t="shared" si="180"/>
        <v>75</v>
      </c>
      <c r="Y915">
        <f t="shared" si="178"/>
        <v>0</v>
      </c>
    </row>
    <row r="916" spans="1:25" ht="13.5" thickBot="1" x14ac:dyDescent="0.25">
      <c r="A916" s="204">
        <f>IF(MOD(COUNT($A$10:A915),12)=0,A915+1,A915)</f>
        <v>76</v>
      </c>
      <c r="B916" s="218">
        <f t="shared" si="170"/>
        <v>7</v>
      </c>
      <c r="C916" s="218">
        <f t="shared" si="171"/>
        <v>1</v>
      </c>
      <c r="D916" s="208">
        <f>IF(MOD(COUNT($D$10:D915),6)=0,D915+1,D915)</f>
        <v>152</v>
      </c>
      <c r="E916" s="208">
        <f>IF(MOD(COUNT($E$10:E915),3)=0,E915+1,E915)</f>
        <v>303</v>
      </c>
      <c r="F916" s="208">
        <f>IF(MOD(COUNT($F$10:F915),1)=0,F915+1,F915)</f>
        <v>907</v>
      </c>
      <c r="G916" s="204">
        <f>IFERROR(IF(C916=1,VLOOKUP(A916,Output!$A$27:$AB$137,28,FALSE)/AnnuityMode,0),0)</f>
        <v>0</v>
      </c>
      <c r="H916" s="220">
        <f>IFERROR(IF(AND(MIN(A916&gt;25,Age+A916&gt;=85),B916=12),VLOOKUP(A916,Output!$A$27:$AE$137,31,FALSE),0),0)</f>
        <v>0</v>
      </c>
      <c r="I916" s="221">
        <f>IFERROR(IF(AND(MIN(A916&gt;15,A916+Age&gt;=70),C916=1),VLOOKUP(A916,Output!$A$27:$AF$137,32,FALSE)*VLOOKUP('SV calc_ignore'!A916,Output!$A$27:$AG$137,33,FALSE)/IF(AnnuityMode=2,2,IF(AnnuityMode=4,4,IF(AnnuityMode=12,12,1))),0),0)</f>
        <v>0</v>
      </c>
      <c r="J916" s="227">
        <f t="shared" si="172"/>
        <v>0</v>
      </c>
      <c r="K916" s="213">
        <f t="shared" si="179"/>
        <v>0</v>
      </c>
      <c r="L916" s="209">
        <f t="shared" si="173"/>
        <v>0</v>
      </c>
      <c r="M916" s="214">
        <f t="shared" si="174"/>
        <v>0</v>
      </c>
      <c r="N916" s="211">
        <f t="shared" si="175"/>
        <v>0</v>
      </c>
      <c r="O916" s="194">
        <f t="shared" si="176"/>
        <v>0</v>
      </c>
      <c r="P916" s="212">
        <f t="shared" si="177"/>
        <v>0</v>
      </c>
      <c r="Q916">
        <f t="shared" si="169"/>
        <v>0</v>
      </c>
      <c r="X916" s="216">
        <f t="shared" si="180"/>
        <v>75</v>
      </c>
      <c r="Y916">
        <f t="shared" si="178"/>
        <v>0</v>
      </c>
    </row>
    <row r="917" spans="1:25" ht="13.5" thickBot="1" x14ac:dyDescent="0.25">
      <c r="A917" s="204">
        <f>IF(MOD(COUNT($A$10:A916),12)=0,A916+1,A916)</f>
        <v>76</v>
      </c>
      <c r="B917" s="218">
        <f t="shared" si="170"/>
        <v>8</v>
      </c>
      <c r="C917" s="218">
        <f t="shared" si="171"/>
        <v>1</v>
      </c>
      <c r="D917" s="208">
        <f>IF(MOD(COUNT($D$10:D916),6)=0,D916+1,D916)</f>
        <v>152</v>
      </c>
      <c r="E917" s="208">
        <f>IF(MOD(COUNT($E$10:E916),3)=0,E916+1,E916)</f>
        <v>303</v>
      </c>
      <c r="F917" s="208">
        <f>IF(MOD(COUNT($F$10:F916),1)=0,F916+1,F916)</f>
        <v>908</v>
      </c>
      <c r="G917" s="204">
        <f>IFERROR(IF(C917=1,VLOOKUP(A917,Output!$A$27:$AB$137,28,FALSE)/AnnuityMode,0),0)</f>
        <v>0</v>
      </c>
      <c r="H917" s="220">
        <f>IFERROR(IF(AND(MIN(A917&gt;25,Age+A917&gt;=85),B917=12),VLOOKUP(A917,Output!$A$27:$AE$137,31,FALSE),0),0)</f>
        <v>0</v>
      </c>
      <c r="I917" s="221">
        <f>IFERROR(IF(AND(MIN(A917&gt;15,A917+Age&gt;=70),C917=1),VLOOKUP(A917,Output!$A$27:$AF$137,32,FALSE)*VLOOKUP('SV calc_ignore'!A917,Output!$A$27:$AG$137,33,FALSE)/IF(AnnuityMode=2,2,IF(AnnuityMode=4,4,IF(AnnuityMode=12,12,1))),0),0)</f>
        <v>0</v>
      </c>
      <c r="J917" s="227">
        <f t="shared" si="172"/>
        <v>0</v>
      </c>
      <c r="K917" s="213">
        <f t="shared" si="179"/>
        <v>0</v>
      </c>
      <c r="L917" s="209">
        <f t="shared" si="173"/>
        <v>0</v>
      </c>
      <c r="M917" s="214">
        <f t="shared" si="174"/>
        <v>0</v>
      </c>
      <c r="N917" s="211">
        <f t="shared" si="175"/>
        <v>0</v>
      </c>
      <c r="O917" s="194">
        <f t="shared" si="176"/>
        <v>0</v>
      </c>
      <c r="P917" s="212">
        <f t="shared" si="177"/>
        <v>0</v>
      </c>
      <c r="Q917">
        <f t="shared" si="169"/>
        <v>0</v>
      </c>
      <c r="X917" s="216">
        <f t="shared" si="180"/>
        <v>75</v>
      </c>
      <c r="Y917">
        <f t="shared" si="178"/>
        <v>0</v>
      </c>
    </row>
    <row r="918" spans="1:25" ht="13.5" thickBot="1" x14ac:dyDescent="0.25">
      <c r="A918" s="204">
        <f>IF(MOD(COUNT($A$10:A917),12)=0,A917+1,A917)</f>
        <v>76</v>
      </c>
      <c r="B918" s="218">
        <f t="shared" si="170"/>
        <v>9</v>
      </c>
      <c r="C918" s="218">
        <f t="shared" si="171"/>
        <v>1</v>
      </c>
      <c r="D918" s="208">
        <f>IF(MOD(COUNT($D$10:D917),6)=0,D917+1,D917)</f>
        <v>152</v>
      </c>
      <c r="E918" s="208">
        <f>IF(MOD(COUNT($E$10:E917),3)=0,E917+1,E917)</f>
        <v>303</v>
      </c>
      <c r="F918" s="208">
        <f>IF(MOD(COUNT($F$10:F917),1)=0,F917+1,F917)</f>
        <v>909</v>
      </c>
      <c r="G918" s="204">
        <f>IFERROR(IF(C918=1,VLOOKUP(A918,Output!$A$27:$AB$137,28,FALSE)/AnnuityMode,0),0)</f>
        <v>0</v>
      </c>
      <c r="H918" s="220">
        <f>IFERROR(IF(AND(MIN(A918&gt;25,Age+A918&gt;=85),B918=12),VLOOKUP(A918,Output!$A$27:$AE$137,31,FALSE),0),0)</f>
        <v>0</v>
      </c>
      <c r="I918" s="221">
        <f>IFERROR(IF(AND(MIN(A918&gt;15,A918+Age&gt;=70),C918=1),VLOOKUP(A918,Output!$A$27:$AF$137,32,FALSE)*VLOOKUP('SV calc_ignore'!A918,Output!$A$27:$AG$137,33,FALSE)/IF(AnnuityMode=2,2,IF(AnnuityMode=4,4,IF(AnnuityMode=12,12,1))),0),0)</f>
        <v>0</v>
      </c>
      <c r="J918" s="227">
        <f t="shared" si="172"/>
        <v>0</v>
      </c>
      <c r="K918" s="213">
        <f t="shared" si="179"/>
        <v>0</v>
      </c>
      <c r="L918" s="209">
        <f t="shared" si="173"/>
        <v>0</v>
      </c>
      <c r="M918" s="214">
        <f t="shared" si="174"/>
        <v>0</v>
      </c>
      <c r="N918" s="211">
        <f t="shared" si="175"/>
        <v>0</v>
      </c>
      <c r="O918" s="194">
        <f t="shared" si="176"/>
        <v>0</v>
      </c>
      <c r="P918" s="212">
        <f t="shared" si="177"/>
        <v>0</v>
      </c>
      <c r="Q918">
        <f t="shared" si="169"/>
        <v>0</v>
      </c>
      <c r="X918" s="216">
        <f t="shared" si="180"/>
        <v>75</v>
      </c>
      <c r="Y918">
        <f t="shared" si="178"/>
        <v>0</v>
      </c>
    </row>
    <row r="919" spans="1:25" ht="13.5" thickBot="1" x14ac:dyDescent="0.25">
      <c r="A919" s="204">
        <f>IF(MOD(COUNT($A$10:A918),12)=0,A918+1,A918)</f>
        <v>76</v>
      </c>
      <c r="B919" s="218">
        <f t="shared" si="170"/>
        <v>10</v>
      </c>
      <c r="C919" s="218">
        <f t="shared" si="171"/>
        <v>1</v>
      </c>
      <c r="D919" s="208">
        <f>IF(MOD(COUNT($D$10:D918),6)=0,D918+1,D918)</f>
        <v>152</v>
      </c>
      <c r="E919" s="208">
        <f>IF(MOD(COUNT($E$10:E918),3)=0,E918+1,E918)</f>
        <v>304</v>
      </c>
      <c r="F919" s="208">
        <f>IF(MOD(COUNT($F$10:F918),1)=0,F918+1,F918)</f>
        <v>910</v>
      </c>
      <c r="G919" s="204">
        <f>IFERROR(IF(C919=1,VLOOKUP(A919,Output!$A$27:$AB$137,28,FALSE)/AnnuityMode,0),0)</f>
        <v>0</v>
      </c>
      <c r="H919" s="220">
        <f>IFERROR(IF(AND(MIN(A919&gt;25,Age+A919&gt;=85),B919=12),VLOOKUP(A919,Output!$A$27:$AE$137,31,FALSE),0),0)</f>
        <v>0</v>
      </c>
      <c r="I919" s="221">
        <f>IFERROR(IF(AND(MIN(A919&gt;15,A919+Age&gt;=70),C919=1),VLOOKUP(A919,Output!$A$27:$AF$137,32,FALSE)*VLOOKUP('SV calc_ignore'!A919,Output!$A$27:$AG$137,33,FALSE)/IF(AnnuityMode=2,2,IF(AnnuityMode=4,4,IF(AnnuityMode=12,12,1))),0),0)</f>
        <v>0</v>
      </c>
      <c r="J919" s="227">
        <f t="shared" si="172"/>
        <v>0</v>
      </c>
      <c r="K919" s="213">
        <f t="shared" si="179"/>
        <v>0</v>
      </c>
      <c r="L919" s="209">
        <f t="shared" si="173"/>
        <v>0</v>
      </c>
      <c r="M919" s="214">
        <f t="shared" si="174"/>
        <v>0</v>
      </c>
      <c r="N919" s="211">
        <f t="shared" si="175"/>
        <v>0</v>
      </c>
      <c r="O919" s="194">
        <f t="shared" si="176"/>
        <v>0</v>
      </c>
      <c r="P919" s="212">
        <f t="shared" si="177"/>
        <v>0</v>
      </c>
      <c r="Q919">
        <f t="shared" si="169"/>
        <v>0</v>
      </c>
      <c r="X919" s="216">
        <f t="shared" si="180"/>
        <v>75</v>
      </c>
      <c r="Y919">
        <f t="shared" si="178"/>
        <v>0</v>
      </c>
    </row>
    <row r="920" spans="1:25" ht="13.5" thickBot="1" x14ac:dyDescent="0.25">
      <c r="A920" s="204">
        <f>IF(MOD(COUNT($A$10:A919),12)=0,A919+1,A919)</f>
        <v>76</v>
      </c>
      <c r="B920" s="218">
        <f t="shared" si="170"/>
        <v>11</v>
      </c>
      <c r="C920" s="218">
        <f t="shared" si="171"/>
        <v>1</v>
      </c>
      <c r="D920" s="208">
        <f>IF(MOD(COUNT($D$10:D919),6)=0,D919+1,D919)</f>
        <v>152</v>
      </c>
      <c r="E920" s="208">
        <f>IF(MOD(COUNT($E$10:E919),3)=0,E919+1,E919)</f>
        <v>304</v>
      </c>
      <c r="F920" s="208">
        <f>IF(MOD(COUNT($F$10:F919),1)=0,F919+1,F919)</f>
        <v>911</v>
      </c>
      <c r="G920" s="204">
        <f>IFERROR(IF(C920=1,VLOOKUP(A920,Output!$A$27:$AB$137,28,FALSE)/AnnuityMode,0),0)</f>
        <v>0</v>
      </c>
      <c r="H920" s="220">
        <f>IFERROR(IF(AND(MIN(A920&gt;25,Age+A920&gt;=85),B920=12),VLOOKUP(A920,Output!$A$27:$AE$137,31,FALSE),0),0)</f>
        <v>0</v>
      </c>
      <c r="I920" s="221">
        <f>IFERROR(IF(AND(MIN(A920&gt;15,A920+Age&gt;=70),C920=1),VLOOKUP(A920,Output!$A$27:$AF$137,32,FALSE)*VLOOKUP('SV calc_ignore'!A920,Output!$A$27:$AG$137,33,FALSE)/IF(AnnuityMode=2,2,IF(AnnuityMode=4,4,IF(AnnuityMode=12,12,1))),0),0)</f>
        <v>0</v>
      </c>
      <c r="J920" s="227">
        <f t="shared" si="172"/>
        <v>0</v>
      </c>
      <c r="K920" s="213">
        <f t="shared" si="179"/>
        <v>0</v>
      </c>
      <c r="L920" s="209">
        <f t="shared" si="173"/>
        <v>0</v>
      </c>
      <c r="M920" s="214">
        <f t="shared" si="174"/>
        <v>0</v>
      </c>
      <c r="N920" s="211">
        <f t="shared" si="175"/>
        <v>0</v>
      </c>
      <c r="O920" s="194">
        <f t="shared" si="176"/>
        <v>0</v>
      </c>
      <c r="P920" s="212">
        <f t="shared" si="177"/>
        <v>0</v>
      </c>
      <c r="Q920">
        <f t="shared" si="169"/>
        <v>0</v>
      </c>
      <c r="X920" s="216">
        <f t="shared" si="180"/>
        <v>75</v>
      </c>
      <c r="Y920">
        <f t="shared" si="178"/>
        <v>0</v>
      </c>
    </row>
    <row r="921" spans="1:25" ht="13.5" thickBot="1" x14ac:dyDescent="0.25">
      <c r="A921" s="204">
        <f>IF(MOD(COUNT($A$10:A920),12)=0,A920+1,A920)</f>
        <v>76</v>
      </c>
      <c r="B921" s="218">
        <f t="shared" si="170"/>
        <v>12</v>
      </c>
      <c r="C921" s="218">
        <f t="shared" si="171"/>
        <v>1</v>
      </c>
      <c r="D921" s="208">
        <f>IF(MOD(COUNT($D$10:D920),6)=0,D920+1,D920)</f>
        <v>152</v>
      </c>
      <c r="E921" s="208">
        <f>IF(MOD(COUNT($E$10:E920),3)=0,E920+1,E920)</f>
        <v>304</v>
      </c>
      <c r="F921" s="208">
        <f>IF(MOD(COUNT($F$10:F920),1)=0,F920+1,F920)</f>
        <v>912</v>
      </c>
      <c r="G921" s="204">
        <f>IFERROR(IF(C921=1,VLOOKUP(A921,Output!$A$27:$AB$137,28,FALSE)/AnnuityMode,0),0)</f>
        <v>0</v>
      </c>
      <c r="H921" s="220">
        <f>IFERROR(IF(AND(MIN(A921&gt;25,Age+A921&gt;=85),B921=12),VLOOKUP(A921,Output!$A$27:$AE$137,31,FALSE),0),0)</f>
        <v>0</v>
      </c>
      <c r="I921" s="221">
        <f>IFERROR(IF(AND(MIN(A921&gt;15,A921+Age&gt;=70),C921=1),VLOOKUP(A921,Output!$A$27:$AF$137,32,FALSE)*VLOOKUP('SV calc_ignore'!A921,Output!$A$27:$AG$137,33,FALSE)/IF(AnnuityMode=2,2,IF(AnnuityMode=4,4,IF(AnnuityMode=12,12,1))),0),0)</f>
        <v>0</v>
      </c>
      <c r="J921" s="227">
        <f t="shared" si="172"/>
        <v>0</v>
      </c>
      <c r="K921" s="213">
        <f t="shared" si="179"/>
        <v>0</v>
      </c>
      <c r="L921" s="209">
        <f t="shared" si="173"/>
        <v>0</v>
      </c>
      <c r="M921" s="214">
        <f t="shared" si="174"/>
        <v>0</v>
      </c>
      <c r="N921" s="211">
        <f t="shared" si="175"/>
        <v>0</v>
      </c>
      <c r="O921" s="194">
        <f t="shared" si="176"/>
        <v>0</v>
      </c>
      <c r="P921" s="212">
        <f t="shared" si="177"/>
        <v>0</v>
      </c>
      <c r="Q921">
        <f t="shared" si="169"/>
        <v>0</v>
      </c>
      <c r="X921" s="216">
        <f t="shared" si="180"/>
        <v>75</v>
      </c>
      <c r="Y921">
        <f t="shared" si="178"/>
        <v>0</v>
      </c>
    </row>
    <row r="922" spans="1:25" ht="13.5" thickBot="1" x14ac:dyDescent="0.25">
      <c r="A922" s="204">
        <f>IF(MOD(COUNT($A$10:A921),12)=0,A921+1,A921)</f>
        <v>77</v>
      </c>
      <c r="B922" s="218">
        <f t="shared" si="170"/>
        <v>1</v>
      </c>
      <c r="C922" s="218">
        <f t="shared" si="171"/>
        <v>1</v>
      </c>
      <c r="D922" s="208">
        <f>IF(MOD(COUNT($D$10:D921),6)=0,D921+1,D921)</f>
        <v>153</v>
      </c>
      <c r="E922" s="208">
        <f>IF(MOD(COUNT($E$10:E921),3)=0,E921+1,E921)</f>
        <v>305</v>
      </c>
      <c r="F922" s="208">
        <f>IF(MOD(COUNT($F$10:F921),1)=0,F921+1,F921)</f>
        <v>913</v>
      </c>
      <c r="G922" s="204">
        <f>IFERROR(IF(C922=1,VLOOKUP(A922,Output!$A$27:$AB$137,28,FALSE)/AnnuityMode,0),0)</f>
        <v>0</v>
      </c>
      <c r="H922" s="220">
        <f>IFERROR(IF(AND(MIN(A922&gt;25,Age+A922&gt;=85),B922=12),VLOOKUP(A922,Output!$A$27:$AE$137,31,FALSE),0),0)</f>
        <v>0</v>
      </c>
      <c r="I922" s="221">
        <f>IFERROR(IF(AND(MIN(A922&gt;15,A922+Age&gt;=70),C922=1),VLOOKUP(A922,Output!$A$27:$AF$137,32,FALSE)*VLOOKUP('SV calc_ignore'!A922,Output!$A$27:$AG$137,33,FALSE)/IF(AnnuityMode=2,2,IF(AnnuityMode=4,4,IF(AnnuityMode=12,12,1))),0),0)</f>
        <v>0</v>
      </c>
      <c r="J922" s="227">
        <f t="shared" si="172"/>
        <v>0</v>
      </c>
      <c r="K922" s="213">
        <f t="shared" si="179"/>
        <v>0</v>
      </c>
      <c r="L922" s="209">
        <f t="shared" si="173"/>
        <v>0</v>
      </c>
      <c r="M922" s="214">
        <f t="shared" si="174"/>
        <v>0</v>
      </c>
      <c r="N922" s="211">
        <f t="shared" si="175"/>
        <v>0</v>
      </c>
      <c r="O922" s="194">
        <f t="shared" si="176"/>
        <v>0</v>
      </c>
      <c r="P922" s="212">
        <f t="shared" si="177"/>
        <v>0</v>
      </c>
      <c r="Q922">
        <f t="shared" si="169"/>
        <v>0</v>
      </c>
      <c r="X922" s="216">
        <f t="shared" si="180"/>
        <v>76</v>
      </c>
      <c r="Y922">
        <f t="shared" si="178"/>
        <v>0</v>
      </c>
    </row>
    <row r="923" spans="1:25" ht="13.5" thickBot="1" x14ac:dyDescent="0.25">
      <c r="A923" s="204">
        <f>IF(MOD(COUNT($A$10:A922),12)=0,A922+1,A922)</f>
        <v>77</v>
      </c>
      <c r="B923" s="218">
        <f t="shared" si="170"/>
        <v>2</v>
      </c>
      <c r="C923" s="218">
        <f t="shared" si="171"/>
        <v>1</v>
      </c>
      <c r="D923" s="208">
        <f>IF(MOD(COUNT($D$10:D922),6)=0,D922+1,D922)</f>
        <v>153</v>
      </c>
      <c r="E923" s="208">
        <f>IF(MOD(COUNT($E$10:E922),3)=0,E922+1,E922)</f>
        <v>305</v>
      </c>
      <c r="F923" s="208">
        <f>IF(MOD(COUNT($F$10:F922),1)=0,F922+1,F922)</f>
        <v>914</v>
      </c>
      <c r="G923" s="204">
        <f>IFERROR(IF(C923=1,VLOOKUP(A923,Output!$A$27:$AB$137,28,FALSE)/AnnuityMode,0),0)</f>
        <v>0</v>
      </c>
      <c r="H923" s="220">
        <f>IFERROR(IF(AND(MIN(A923&gt;25,Age+A923&gt;=85),B923=12),VLOOKUP(A923,Output!$A$27:$AE$137,31,FALSE),0),0)</f>
        <v>0</v>
      </c>
      <c r="I923" s="221">
        <f>IFERROR(IF(AND(MIN(A923&gt;15,A923+Age&gt;=70),C923=1),VLOOKUP(A923,Output!$A$27:$AF$137,32,FALSE)*VLOOKUP('SV calc_ignore'!A923,Output!$A$27:$AG$137,33,FALSE)/IF(AnnuityMode=2,2,IF(AnnuityMode=4,4,IF(AnnuityMode=12,12,1))),0),0)</f>
        <v>0</v>
      </c>
      <c r="J923" s="227">
        <f t="shared" si="172"/>
        <v>0</v>
      </c>
      <c r="K923" s="213">
        <f t="shared" si="179"/>
        <v>0</v>
      </c>
      <c r="L923" s="209">
        <f t="shared" si="173"/>
        <v>0</v>
      </c>
      <c r="M923" s="214">
        <f t="shared" si="174"/>
        <v>0</v>
      </c>
      <c r="N923" s="211">
        <f t="shared" si="175"/>
        <v>0</v>
      </c>
      <c r="O923" s="194">
        <f t="shared" si="176"/>
        <v>0</v>
      </c>
      <c r="P923" s="212">
        <f t="shared" si="177"/>
        <v>0</v>
      </c>
      <c r="Q923">
        <f t="shared" si="169"/>
        <v>0</v>
      </c>
      <c r="X923" s="216">
        <f t="shared" si="180"/>
        <v>76</v>
      </c>
      <c r="Y923">
        <f t="shared" si="178"/>
        <v>0</v>
      </c>
    </row>
    <row r="924" spans="1:25" ht="13.5" thickBot="1" x14ac:dyDescent="0.25">
      <c r="A924" s="204">
        <f>IF(MOD(COUNT($A$10:A923),12)=0,A923+1,A923)</f>
        <v>77</v>
      </c>
      <c r="B924" s="218">
        <f t="shared" si="170"/>
        <v>3</v>
      </c>
      <c r="C924" s="218">
        <f t="shared" si="171"/>
        <v>1</v>
      </c>
      <c r="D924" s="208">
        <f>IF(MOD(COUNT($D$10:D923),6)=0,D923+1,D923)</f>
        <v>153</v>
      </c>
      <c r="E924" s="208">
        <f>IF(MOD(COUNT($E$10:E923),3)=0,E923+1,E923)</f>
        <v>305</v>
      </c>
      <c r="F924" s="208">
        <f>IF(MOD(COUNT($F$10:F923),1)=0,F923+1,F923)</f>
        <v>915</v>
      </c>
      <c r="G924" s="204">
        <f>IFERROR(IF(C924=1,VLOOKUP(A924,Output!$A$27:$AB$137,28,FALSE)/AnnuityMode,0),0)</f>
        <v>0</v>
      </c>
      <c r="H924" s="220">
        <f>IFERROR(IF(AND(MIN(A924&gt;25,Age+A924&gt;=85),B924=12),VLOOKUP(A924,Output!$A$27:$AE$137,31,FALSE),0),0)</f>
        <v>0</v>
      </c>
      <c r="I924" s="221">
        <f>IFERROR(IF(AND(MIN(A924&gt;15,A924+Age&gt;=70),C924=1),VLOOKUP(A924,Output!$A$27:$AF$137,32,FALSE)*VLOOKUP('SV calc_ignore'!A924,Output!$A$27:$AG$137,33,FALSE)/IF(AnnuityMode=2,2,IF(AnnuityMode=4,4,IF(AnnuityMode=12,12,1))),0),0)</f>
        <v>0</v>
      </c>
      <c r="J924" s="227">
        <f t="shared" si="172"/>
        <v>0</v>
      </c>
      <c r="K924" s="213">
        <f t="shared" si="179"/>
        <v>0</v>
      </c>
      <c r="L924" s="209">
        <f t="shared" si="173"/>
        <v>0</v>
      </c>
      <c r="M924" s="214">
        <f t="shared" si="174"/>
        <v>0</v>
      </c>
      <c r="N924" s="211">
        <f t="shared" si="175"/>
        <v>0</v>
      </c>
      <c r="O924" s="194">
        <f t="shared" si="176"/>
        <v>0</v>
      </c>
      <c r="P924" s="212">
        <f t="shared" si="177"/>
        <v>0</v>
      </c>
      <c r="Q924">
        <f t="shared" si="169"/>
        <v>0</v>
      </c>
      <c r="X924" s="216">
        <f t="shared" si="180"/>
        <v>76</v>
      </c>
      <c r="Y924">
        <f t="shared" si="178"/>
        <v>0</v>
      </c>
    </row>
    <row r="925" spans="1:25" ht="13.5" thickBot="1" x14ac:dyDescent="0.25">
      <c r="A925" s="204">
        <f>IF(MOD(COUNT($A$10:A924),12)=0,A924+1,A924)</f>
        <v>77</v>
      </c>
      <c r="B925" s="218">
        <f t="shared" si="170"/>
        <v>4</v>
      </c>
      <c r="C925" s="218">
        <f t="shared" si="171"/>
        <v>1</v>
      </c>
      <c r="D925" s="208">
        <f>IF(MOD(COUNT($D$10:D924),6)=0,D924+1,D924)</f>
        <v>153</v>
      </c>
      <c r="E925" s="208">
        <f>IF(MOD(COUNT($E$10:E924),3)=0,E924+1,E924)</f>
        <v>306</v>
      </c>
      <c r="F925" s="208">
        <f>IF(MOD(COUNT($F$10:F924),1)=0,F924+1,F924)</f>
        <v>916</v>
      </c>
      <c r="G925" s="204">
        <f>IFERROR(IF(C925=1,VLOOKUP(A925,Output!$A$27:$AB$137,28,FALSE)/AnnuityMode,0),0)</f>
        <v>0</v>
      </c>
      <c r="H925" s="220">
        <f>IFERROR(IF(AND(MIN(A925&gt;25,Age+A925&gt;=85),B925=12),VLOOKUP(A925,Output!$A$27:$AE$137,31,FALSE),0),0)</f>
        <v>0</v>
      </c>
      <c r="I925" s="221">
        <f>IFERROR(IF(AND(MIN(A925&gt;15,A925+Age&gt;=70),C925=1),VLOOKUP(A925,Output!$A$27:$AF$137,32,FALSE)*VLOOKUP('SV calc_ignore'!A925,Output!$A$27:$AG$137,33,FALSE)/IF(AnnuityMode=2,2,IF(AnnuityMode=4,4,IF(AnnuityMode=12,12,1))),0),0)</f>
        <v>0</v>
      </c>
      <c r="J925" s="227">
        <f t="shared" si="172"/>
        <v>0</v>
      </c>
      <c r="K925" s="213">
        <f t="shared" si="179"/>
        <v>0</v>
      </c>
      <c r="L925" s="209">
        <f t="shared" si="173"/>
        <v>0</v>
      </c>
      <c r="M925" s="214">
        <f t="shared" si="174"/>
        <v>0</v>
      </c>
      <c r="N925" s="211">
        <f t="shared" si="175"/>
        <v>0</v>
      </c>
      <c r="O925" s="194">
        <f t="shared" si="176"/>
        <v>0</v>
      </c>
      <c r="P925" s="212">
        <f t="shared" si="177"/>
        <v>0</v>
      </c>
      <c r="Q925">
        <f t="shared" si="169"/>
        <v>0</v>
      </c>
      <c r="X925" s="216">
        <f t="shared" si="180"/>
        <v>76</v>
      </c>
      <c r="Y925">
        <f t="shared" si="178"/>
        <v>0</v>
      </c>
    </row>
    <row r="926" spans="1:25" ht="13.5" thickBot="1" x14ac:dyDescent="0.25">
      <c r="A926" s="204">
        <f>IF(MOD(COUNT($A$10:A925),12)=0,A925+1,A925)</f>
        <v>77</v>
      </c>
      <c r="B926" s="218">
        <f t="shared" si="170"/>
        <v>5</v>
      </c>
      <c r="C926" s="218">
        <f t="shared" si="171"/>
        <v>1</v>
      </c>
      <c r="D926" s="208">
        <f>IF(MOD(COUNT($D$10:D925),6)=0,D925+1,D925)</f>
        <v>153</v>
      </c>
      <c r="E926" s="208">
        <f>IF(MOD(COUNT($E$10:E925),3)=0,E925+1,E925)</f>
        <v>306</v>
      </c>
      <c r="F926" s="208">
        <f>IF(MOD(COUNT($F$10:F925),1)=0,F925+1,F925)</f>
        <v>917</v>
      </c>
      <c r="G926" s="204">
        <f>IFERROR(IF(C926=1,VLOOKUP(A926,Output!$A$27:$AB$137,28,FALSE)/AnnuityMode,0),0)</f>
        <v>0</v>
      </c>
      <c r="H926" s="220">
        <f>IFERROR(IF(AND(MIN(A926&gt;25,Age+A926&gt;=85),B926=12),VLOOKUP(A926,Output!$A$27:$AE$137,31,FALSE),0),0)</f>
        <v>0</v>
      </c>
      <c r="I926" s="221">
        <f>IFERROR(IF(AND(MIN(A926&gt;15,A926+Age&gt;=70),C926=1),VLOOKUP(A926,Output!$A$27:$AF$137,32,FALSE)*VLOOKUP('SV calc_ignore'!A926,Output!$A$27:$AG$137,33,FALSE)/IF(AnnuityMode=2,2,IF(AnnuityMode=4,4,IF(AnnuityMode=12,12,1))),0),0)</f>
        <v>0</v>
      </c>
      <c r="J926" s="227">
        <f t="shared" si="172"/>
        <v>0</v>
      </c>
      <c r="K926" s="213">
        <f t="shared" si="179"/>
        <v>0</v>
      </c>
      <c r="L926" s="209">
        <f t="shared" si="173"/>
        <v>0</v>
      </c>
      <c r="M926" s="214">
        <f t="shared" si="174"/>
        <v>0</v>
      </c>
      <c r="N926" s="211">
        <f t="shared" si="175"/>
        <v>0</v>
      </c>
      <c r="O926" s="194">
        <f t="shared" si="176"/>
        <v>0</v>
      </c>
      <c r="P926" s="212">
        <f t="shared" si="177"/>
        <v>0</v>
      </c>
      <c r="Q926">
        <f t="shared" si="169"/>
        <v>0</v>
      </c>
      <c r="X926" s="216">
        <f t="shared" si="180"/>
        <v>76</v>
      </c>
      <c r="Y926">
        <f t="shared" si="178"/>
        <v>0</v>
      </c>
    </row>
    <row r="927" spans="1:25" ht="13.5" thickBot="1" x14ac:dyDescent="0.25">
      <c r="A927" s="204">
        <f>IF(MOD(COUNT($A$10:A926),12)=0,A926+1,A926)</f>
        <v>77</v>
      </c>
      <c r="B927" s="218">
        <f t="shared" si="170"/>
        <v>6</v>
      </c>
      <c r="C927" s="218">
        <f t="shared" si="171"/>
        <v>1</v>
      </c>
      <c r="D927" s="208">
        <f>IF(MOD(COUNT($D$10:D926),6)=0,D926+1,D926)</f>
        <v>153</v>
      </c>
      <c r="E927" s="208">
        <f>IF(MOD(COUNT($E$10:E926),3)=0,E926+1,E926)</f>
        <v>306</v>
      </c>
      <c r="F927" s="208">
        <f>IF(MOD(COUNT($F$10:F926),1)=0,F926+1,F926)</f>
        <v>918</v>
      </c>
      <c r="G927" s="204">
        <f>IFERROR(IF(C927=1,VLOOKUP(A927,Output!$A$27:$AB$137,28,FALSE)/AnnuityMode,0),0)</f>
        <v>0</v>
      </c>
      <c r="H927" s="220">
        <f>IFERROR(IF(AND(MIN(A927&gt;25,Age+A927&gt;=85),B927=12),VLOOKUP(A927,Output!$A$27:$AE$137,31,FALSE),0),0)</f>
        <v>0</v>
      </c>
      <c r="I927" s="221">
        <f>IFERROR(IF(AND(MIN(A927&gt;15,A927+Age&gt;=70),C927=1),VLOOKUP(A927,Output!$A$27:$AF$137,32,FALSE)*VLOOKUP('SV calc_ignore'!A927,Output!$A$27:$AG$137,33,FALSE)/IF(AnnuityMode=2,2,IF(AnnuityMode=4,4,IF(AnnuityMode=12,12,1))),0),0)</f>
        <v>0</v>
      </c>
      <c r="J927" s="227">
        <f t="shared" si="172"/>
        <v>0</v>
      </c>
      <c r="K927" s="213">
        <f t="shared" si="179"/>
        <v>0</v>
      </c>
      <c r="L927" s="209">
        <f t="shared" si="173"/>
        <v>0</v>
      </c>
      <c r="M927" s="214">
        <f t="shared" si="174"/>
        <v>0</v>
      </c>
      <c r="N927" s="211">
        <f t="shared" si="175"/>
        <v>0</v>
      </c>
      <c r="O927" s="194">
        <f t="shared" si="176"/>
        <v>0</v>
      </c>
      <c r="P927" s="212">
        <f t="shared" si="177"/>
        <v>0</v>
      </c>
      <c r="Q927">
        <f t="shared" si="169"/>
        <v>0</v>
      </c>
      <c r="X927" s="216">
        <f t="shared" si="180"/>
        <v>76</v>
      </c>
      <c r="Y927">
        <f t="shared" si="178"/>
        <v>0</v>
      </c>
    </row>
    <row r="928" spans="1:25" ht="13.5" thickBot="1" x14ac:dyDescent="0.25">
      <c r="A928" s="204">
        <f>IF(MOD(COUNT($A$10:A927),12)=0,A927+1,A927)</f>
        <v>77</v>
      </c>
      <c r="B928" s="218">
        <f t="shared" si="170"/>
        <v>7</v>
      </c>
      <c r="C928" s="218">
        <f t="shared" si="171"/>
        <v>1</v>
      </c>
      <c r="D928" s="208">
        <f>IF(MOD(COUNT($D$10:D927),6)=0,D927+1,D927)</f>
        <v>154</v>
      </c>
      <c r="E928" s="208">
        <f>IF(MOD(COUNT($E$10:E927),3)=0,E927+1,E927)</f>
        <v>307</v>
      </c>
      <c r="F928" s="208">
        <f>IF(MOD(COUNT($F$10:F927),1)=0,F927+1,F927)</f>
        <v>919</v>
      </c>
      <c r="G928" s="204">
        <f>IFERROR(IF(C928=1,VLOOKUP(A928,Output!$A$27:$AB$137,28,FALSE)/AnnuityMode,0),0)</f>
        <v>0</v>
      </c>
      <c r="H928" s="220">
        <f>IFERROR(IF(AND(MIN(A928&gt;25,Age+A928&gt;=85),B928=12),VLOOKUP(A928,Output!$A$27:$AE$137,31,FALSE),0),0)</f>
        <v>0</v>
      </c>
      <c r="I928" s="221">
        <f>IFERROR(IF(AND(MIN(A928&gt;15,A928+Age&gt;=70),C928=1),VLOOKUP(A928,Output!$A$27:$AF$137,32,FALSE)*VLOOKUP('SV calc_ignore'!A928,Output!$A$27:$AG$137,33,FALSE)/IF(AnnuityMode=2,2,IF(AnnuityMode=4,4,IF(AnnuityMode=12,12,1))),0),0)</f>
        <v>0</v>
      </c>
      <c r="J928" s="227">
        <f t="shared" si="172"/>
        <v>0</v>
      </c>
      <c r="K928" s="213">
        <f t="shared" si="179"/>
        <v>0</v>
      </c>
      <c r="L928" s="209">
        <f t="shared" si="173"/>
        <v>0</v>
      </c>
      <c r="M928" s="214">
        <f t="shared" si="174"/>
        <v>0</v>
      </c>
      <c r="N928" s="211">
        <f t="shared" si="175"/>
        <v>0</v>
      </c>
      <c r="O928" s="194">
        <f t="shared" si="176"/>
        <v>0</v>
      </c>
      <c r="P928" s="212">
        <f t="shared" si="177"/>
        <v>0</v>
      </c>
      <c r="Q928">
        <f t="shared" si="169"/>
        <v>0</v>
      </c>
      <c r="X928" s="216">
        <f t="shared" si="180"/>
        <v>76</v>
      </c>
      <c r="Y928">
        <f t="shared" si="178"/>
        <v>0</v>
      </c>
    </row>
    <row r="929" spans="1:25" ht="13.5" thickBot="1" x14ac:dyDescent="0.25">
      <c r="A929" s="204">
        <f>IF(MOD(COUNT($A$10:A928),12)=0,A928+1,A928)</f>
        <v>77</v>
      </c>
      <c r="B929" s="218">
        <f t="shared" si="170"/>
        <v>8</v>
      </c>
      <c r="C929" s="218">
        <f t="shared" si="171"/>
        <v>1</v>
      </c>
      <c r="D929" s="208">
        <f>IF(MOD(COUNT($D$10:D928),6)=0,D928+1,D928)</f>
        <v>154</v>
      </c>
      <c r="E929" s="208">
        <f>IF(MOD(COUNT($E$10:E928),3)=0,E928+1,E928)</f>
        <v>307</v>
      </c>
      <c r="F929" s="208">
        <f>IF(MOD(COUNT($F$10:F928),1)=0,F928+1,F928)</f>
        <v>920</v>
      </c>
      <c r="G929" s="204">
        <f>IFERROR(IF(C929=1,VLOOKUP(A929,Output!$A$27:$AB$137,28,FALSE)/AnnuityMode,0),0)</f>
        <v>0</v>
      </c>
      <c r="H929" s="220">
        <f>IFERROR(IF(AND(MIN(A929&gt;25,Age+A929&gt;=85),B929=12),VLOOKUP(A929,Output!$A$27:$AE$137,31,FALSE),0),0)</f>
        <v>0</v>
      </c>
      <c r="I929" s="221">
        <f>IFERROR(IF(AND(MIN(A929&gt;15,A929+Age&gt;=70),C929=1),VLOOKUP(A929,Output!$A$27:$AF$137,32,FALSE)*VLOOKUP('SV calc_ignore'!A929,Output!$A$27:$AG$137,33,FALSE)/IF(AnnuityMode=2,2,IF(AnnuityMode=4,4,IF(AnnuityMode=12,12,1))),0),0)</f>
        <v>0</v>
      </c>
      <c r="J929" s="227">
        <f t="shared" si="172"/>
        <v>0</v>
      </c>
      <c r="K929" s="213">
        <f t="shared" si="179"/>
        <v>0</v>
      </c>
      <c r="L929" s="209">
        <f t="shared" si="173"/>
        <v>0</v>
      </c>
      <c r="M929" s="214">
        <f t="shared" si="174"/>
        <v>0</v>
      </c>
      <c r="N929" s="211">
        <f t="shared" si="175"/>
        <v>0</v>
      </c>
      <c r="O929" s="194">
        <f t="shared" si="176"/>
        <v>0</v>
      </c>
      <c r="P929" s="212">
        <f t="shared" si="177"/>
        <v>0</v>
      </c>
      <c r="Q929">
        <f t="shared" si="169"/>
        <v>0</v>
      </c>
      <c r="X929" s="216">
        <f t="shared" si="180"/>
        <v>76</v>
      </c>
      <c r="Y929">
        <f t="shared" si="178"/>
        <v>0</v>
      </c>
    </row>
    <row r="930" spans="1:25" ht="13.5" thickBot="1" x14ac:dyDescent="0.25">
      <c r="A930" s="204">
        <f>IF(MOD(COUNT($A$10:A929),12)=0,A929+1,A929)</f>
        <v>77</v>
      </c>
      <c r="B930" s="218">
        <f t="shared" si="170"/>
        <v>9</v>
      </c>
      <c r="C930" s="218">
        <f t="shared" si="171"/>
        <v>1</v>
      </c>
      <c r="D930" s="208">
        <f>IF(MOD(COUNT($D$10:D929),6)=0,D929+1,D929)</f>
        <v>154</v>
      </c>
      <c r="E930" s="208">
        <f>IF(MOD(COUNT($E$10:E929),3)=0,E929+1,E929)</f>
        <v>307</v>
      </c>
      <c r="F930" s="208">
        <f>IF(MOD(COUNT($F$10:F929),1)=0,F929+1,F929)</f>
        <v>921</v>
      </c>
      <c r="G930" s="204">
        <f>IFERROR(IF(C930=1,VLOOKUP(A930,Output!$A$27:$AB$137,28,FALSE)/AnnuityMode,0),0)</f>
        <v>0</v>
      </c>
      <c r="H930" s="220">
        <f>IFERROR(IF(AND(MIN(A930&gt;25,Age+A930&gt;=85),B930=12),VLOOKUP(A930,Output!$A$27:$AE$137,31,FALSE),0),0)</f>
        <v>0</v>
      </c>
      <c r="I930" s="221">
        <f>IFERROR(IF(AND(MIN(A930&gt;15,A930+Age&gt;=70),C930=1),VLOOKUP(A930,Output!$A$27:$AF$137,32,FALSE)*VLOOKUP('SV calc_ignore'!A930,Output!$A$27:$AG$137,33,FALSE)/IF(AnnuityMode=2,2,IF(AnnuityMode=4,4,IF(AnnuityMode=12,12,1))),0),0)</f>
        <v>0</v>
      </c>
      <c r="J930" s="227">
        <f t="shared" si="172"/>
        <v>0</v>
      </c>
      <c r="K930" s="213">
        <f t="shared" si="179"/>
        <v>0</v>
      </c>
      <c r="L930" s="209">
        <f t="shared" si="173"/>
        <v>0</v>
      </c>
      <c r="M930" s="214">
        <f t="shared" si="174"/>
        <v>0</v>
      </c>
      <c r="N930" s="211">
        <f t="shared" si="175"/>
        <v>0</v>
      </c>
      <c r="O930" s="194">
        <f t="shared" si="176"/>
        <v>0</v>
      </c>
      <c r="P930" s="212">
        <f t="shared" si="177"/>
        <v>0</v>
      </c>
      <c r="Q930">
        <f t="shared" si="169"/>
        <v>0</v>
      </c>
      <c r="X930" s="216">
        <f t="shared" si="180"/>
        <v>76</v>
      </c>
      <c r="Y930">
        <f t="shared" si="178"/>
        <v>0</v>
      </c>
    </row>
    <row r="931" spans="1:25" ht="13.5" thickBot="1" x14ac:dyDescent="0.25">
      <c r="A931" s="204">
        <f>IF(MOD(COUNT($A$10:A930),12)=0,A930+1,A930)</f>
        <v>77</v>
      </c>
      <c r="B931" s="218">
        <f t="shared" si="170"/>
        <v>10</v>
      </c>
      <c r="C931" s="218">
        <f t="shared" si="171"/>
        <v>1</v>
      </c>
      <c r="D931" s="208">
        <f>IF(MOD(COUNT($D$10:D930),6)=0,D930+1,D930)</f>
        <v>154</v>
      </c>
      <c r="E931" s="208">
        <f>IF(MOD(COUNT($E$10:E930),3)=0,E930+1,E930)</f>
        <v>308</v>
      </c>
      <c r="F931" s="208">
        <f>IF(MOD(COUNT($F$10:F930),1)=0,F930+1,F930)</f>
        <v>922</v>
      </c>
      <c r="G931" s="204">
        <f>IFERROR(IF(C931=1,VLOOKUP(A931,Output!$A$27:$AB$137,28,FALSE)/AnnuityMode,0),0)</f>
        <v>0</v>
      </c>
      <c r="H931" s="220">
        <f>IFERROR(IF(AND(MIN(A931&gt;25,Age+A931&gt;=85),B931=12),VLOOKUP(A931,Output!$A$27:$AE$137,31,FALSE),0),0)</f>
        <v>0</v>
      </c>
      <c r="I931" s="221">
        <f>IFERROR(IF(AND(MIN(A931&gt;15,A931+Age&gt;=70),C931=1),VLOOKUP(A931,Output!$A$27:$AF$137,32,FALSE)*VLOOKUP('SV calc_ignore'!A931,Output!$A$27:$AG$137,33,FALSE)/IF(AnnuityMode=2,2,IF(AnnuityMode=4,4,IF(AnnuityMode=12,12,1))),0),0)</f>
        <v>0</v>
      </c>
      <c r="J931" s="227">
        <f t="shared" si="172"/>
        <v>0</v>
      </c>
      <c r="K931" s="213">
        <f t="shared" si="179"/>
        <v>0</v>
      </c>
      <c r="L931" s="209">
        <f t="shared" si="173"/>
        <v>0</v>
      </c>
      <c r="M931" s="214">
        <f t="shared" si="174"/>
        <v>0</v>
      </c>
      <c r="N931" s="211">
        <f t="shared" si="175"/>
        <v>0</v>
      </c>
      <c r="O931" s="194">
        <f t="shared" si="176"/>
        <v>0</v>
      </c>
      <c r="P931" s="212">
        <f t="shared" si="177"/>
        <v>0</v>
      </c>
      <c r="Q931">
        <f t="shared" si="169"/>
        <v>0</v>
      </c>
      <c r="X931" s="216">
        <f t="shared" si="180"/>
        <v>76</v>
      </c>
      <c r="Y931">
        <f t="shared" si="178"/>
        <v>0</v>
      </c>
    </row>
    <row r="932" spans="1:25" ht="13.5" thickBot="1" x14ac:dyDescent="0.25">
      <c r="A932" s="204">
        <f>IF(MOD(COUNT($A$10:A931),12)=0,A931+1,A931)</f>
        <v>77</v>
      </c>
      <c r="B932" s="218">
        <f t="shared" si="170"/>
        <v>11</v>
      </c>
      <c r="C932" s="218">
        <f t="shared" si="171"/>
        <v>1</v>
      </c>
      <c r="D932" s="208">
        <f>IF(MOD(COUNT($D$10:D931),6)=0,D931+1,D931)</f>
        <v>154</v>
      </c>
      <c r="E932" s="208">
        <f>IF(MOD(COUNT($E$10:E931),3)=0,E931+1,E931)</f>
        <v>308</v>
      </c>
      <c r="F932" s="208">
        <f>IF(MOD(COUNT($F$10:F931),1)=0,F931+1,F931)</f>
        <v>923</v>
      </c>
      <c r="G932" s="204">
        <f>IFERROR(IF(C932=1,VLOOKUP(A932,Output!$A$27:$AB$137,28,FALSE)/AnnuityMode,0),0)</f>
        <v>0</v>
      </c>
      <c r="H932" s="220">
        <f>IFERROR(IF(AND(MIN(A932&gt;25,Age+A932&gt;=85),B932=12),VLOOKUP(A932,Output!$A$27:$AE$137,31,FALSE),0),0)</f>
        <v>0</v>
      </c>
      <c r="I932" s="221">
        <f>IFERROR(IF(AND(MIN(A932&gt;15,A932+Age&gt;=70),C932=1),VLOOKUP(A932,Output!$A$27:$AF$137,32,FALSE)*VLOOKUP('SV calc_ignore'!A932,Output!$A$27:$AG$137,33,FALSE)/IF(AnnuityMode=2,2,IF(AnnuityMode=4,4,IF(AnnuityMode=12,12,1))),0),0)</f>
        <v>0</v>
      </c>
      <c r="J932" s="227">
        <f t="shared" si="172"/>
        <v>0</v>
      </c>
      <c r="K932" s="213">
        <f t="shared" si="179"/>
        <v>0</v>
      </c>
      <c r="L932" s="209">
        <f t="shared" si="173"/>
        <v>0</v>
      </c>
      <c r="M932" s="214">
        <f t="shared" si="174"/>
        <v>0</v>
      </c>
      <c r="N932" s="211">
        <f t="shared" si="175"/>
        <v>0</v>
      </c>
      <c r="O932" s="194">
        <f t="shared" si="176"/>
        <v>0</v>
      </c>
      <c r="P932" s="212">
        <f t="shared" si="177"/>
        <v>0</v>
      </c>
      <c r="Q932">
        <f t="shared" si="169"/>
        <v>0</v>
      </c>
      <c r="X932" s="216">
        <f t="shared" si="180"/>
        <v>76</v>
      </c>
      <c r="Y932">
        <f t="shared" si="178"/>
        <v>0</v>
      </c>
    </row>
    <row r="933" spans="1:25" ht="13.5" thickBot="1" x14ac:dyDescent="0.25">
      <c r="A933" s="204">
        <f>IF(MOD(COUNT($A$10:A932),12)=0,A932+1,A932)</f>
        <v>77</v>
      </c>
      <c r="B933" s="218">
        <f t="shared" si="170"/>
        <v>12</v>
      </c>
      <c r="C933" s="218">
        <f t="shared" si="171"/>
        <v>1</v>
      </c>
      <c r="D933" s="208">
        <f>IF(MOD(COUNT($D$10:D932),6)=0,D932+1,D932)</f>
        <v>154</v>
      </c>
      <c r="E933" s="208">
        <f>IF(MOD(COUNT($E$10:E932),3)=0,E932+1,E932)</f>
        <v>308</v>
      </c>
      <c r="F933" s="208">
        <f>IF(MOD(COUNT($F$10:F932),1)=0,F932+1,F932)</f>
        <v>924</v>
      </c>
      <c r="G933" s="204">
        <f>IFERROR(IF(C933=1,VLOOKUP(A933,Output!$A$27:$AB$137,28,FALSE)/AnnuityMode,0),0)</f>
        <v>0</v>
      </c>
      <c r="H933" s="220">
        <f>IFERROR(IF(AND(MIN(A933&gt;25,Age+A933&gt;=85),B933=12),VLOOKUP(A933,Output!$A$27:$AE$137,31,FALSE),0),0)</f>
        <v>0</v>
      </c>
      <c r="I933" s="221">
        <f>IFERROR(IF(AND(MIN(A933&gt;15,A933+Age&gt;=70),C933=1),VLOOKUP(A933,Output!$A$27:$AF$137,32,FALSE)*VLOOKUP('SV calc_ignore'!A933,Output!$A$27:$AG$137,33,FALSE)/IF(AnnuityMode=2,2,IF(AnnuityMode=4,4,IF(AnnuityMode=12,12,1))),0),0)</f>
        <v>0</v>
      </c>
      <c r="J933" s="227">
        <f t="shared" si="172"/>
        <v>0</v>
      </c>
      <c r="K933" s="213">
        <f t="shared" si="179"/>
        <v>0</v>
      </c>
      <c r="L933" s="209">
        <f t="shared" si="173"/>
        <v>0</v>
      </c>
      <c r="M933" s="214">
        <f t="shared" si="174"/>
        <v>0</v>
      </c>
      <c r="N933" s="211">
        <f t="shared" si="175"/>
        <v>0</v>
      </c>
      <c r="O933" s="194">
        <f t="shared" si="176"/>
        <v>0</v>
      </c>
      <c r="P933" s="212">
        <f t="shared" si="177"/>
        <v>0</v>
      </c>
      <c r="Q933">
        <f t="shared" si="169"/>
        <v>0</v>
      </c>
      <c r="X933" s="216">
        <f t="shared" si="180"/>
        <v>76</v>
      </c>
      <c r="Y933">
        <f t="shared" si="178"/>
        <v>0</v>
      </c>
    </row>
    <row r="934" spans="1:25" ht="13.5" thickBot="1" x14ac:dyDescent="0.25">
      <c r="A934" s="204">
        <f>IF(MOD(COUNT($A$10:A933),12)=0,A933+1,A933)</f>
        <v>78</v>
      </c>
      <c r="B934" s="218">
        <f t="shared" si="170"/>
        <v>1</v>
      </c>
      <c r="C934" s="218">
        <f t="shared" si="171"/>
        <v>1</v>
      </c>
      <c r="D934" s="208">
        <f>IF(MOD(COUNT($D$10:D933),6)=0,D933+1,D933)</f>
        <v>155</v>
      </c>
      <c r="E934" s="208">
        <f>IF(MOD(COUNT($E$10:E933),3)=0,E933+1,E933)</f>
        <v>309</v>
      </c>
      <c r="F934" s="208">
        <f>IF(MOD(COUNT($F$10:F933),1)=0,F933+1,F933)</f>
        <v>925</v>
      </c>
      <c r="G934" s="204">
        <f>IFERROR(IF(C934=1,VLOOKUP(A934,Output!$A$27:$AB$137,28,FALSE)/AnnuityMode,0),0)</f>
        <v>0</v>
      </c>
      <c r="H934" s="220">
        <f>IFERROR(IF(AND(MIN(A934&gt;25,Age+A934&gt;=85),B934=12),VLOOKUP(A934,Output!$A$27:$AE$137,31,FALSE),0),0)</f>
        <v>0</v>
      </c>
      <c r="I934" s="221">
        <f>IFERROR(IF(AND(MIN(A934&gt;15,A934+Age&gt;=70),C934=1),VLOOKUP(A934,Output!$A$27:$AF$137,32,FALSE)*VLOOKUP('SV calc_ignore'!A934,Output!$A$27:$AG$137,33,FALSE)/IF(AnnuityMode=2,2,IF(AnnuityMode=4,4,IF(AnnuityMode=12,12,1))),0),0)</f>
        <v>0</v>
      </c>
      <c r="J934" s="227">
        <f t="shared" si="172"/>
        <v>0</v>
      </c>
      <c r="K934" s="213">
        <f t="shared" si="179"/>
        <v>0</v>
      </c>
      <c r="L934" s="209">
        <f t="shared" si="173"/>
        <v>0</v>
      </c>
      <c r="M934" s="214">
        <f t="shared" si="174"/>
        <v>0</v>
      </c>
      <c r="N934" s="211">
        <f t="shared" si="175"/>
        <v>0</v>
      </c>
      <c r="O934" s="194">
        <f t="shared" si="176"/>
        <v>0</v>
      </c>
      <c r="P934" s="212">
        <f t="shared" si="177"/>
        <v>0</v>
      </c>
      <c r="Q934">
        <f t="shared" si="169"/>
        <v>0</v>
      </c>
      <c r="X934" s="216">
        <f t="shared" si="180"/>
        <v>77</v>
      </c>
      <c r="Y934">
        <f t="shared" si="178"/>
        <v>0</v>
      </c>
    </row>
    <row r="935" spans="1:25" ht="13.5" thickBot="1" x14ac:dyDescent="0.25">
      <c r="A935" s="204">
        <f>IF(MOD(COUNT($A$10:A934),12)=0,A934+1,A934)</f>
        <v>78</v>
      </c>
      <c r="B935" s="218">
        <f t="shared" si="170"/>
        <v>2</v>
      </c>
      <c r="C935" s="218">
        <f t="shared" si="171"/>
        <v>1</v>
      </c>
      <c r="D935" s="208">
        <f>IF(MOD(COUNT($D$10:D934),6)=0,D934+1,D934)</f>
        <v>155</v>
      </c>
      <c r="E935" s="208">
        <f>IF(MOD(COUNT($E$10:E934),3)=0,E934+1,E934)</f>
        <v>309</v>
      </c>
      <c r="F935" s="208">
        <f>IF(MOD(COUNT($F$10:F934),1)=0,F934+1,F934)</f>
        <v>926</v>
      </c>
      <c r="G935" s="204">
        <f>IFERROR(IF(C935=1,VLOOKUP(A935,Output!$A$27:$AB$137,28,FALSE)/AnnuityMode,0),0)</f>
        <v>0</v>
      </c>
      <c r="H935" s="220">
        <f>IFERROR(IF(AND(MIN(A935&gt;25,Age+A935&gt;=85),B935=12),VLOOKUP(A935,Output!$A$27:$AE$137,31,FALSE),0),0)</f>
        <v>0</v>
      </c>
      <c r="I935" s="221">
        <f>IFERROR(IF(AND(MIN(A935&gt;15,A935+Age&gt;=70),C935=1),VLOOKUP(A935,Output!$A$27:$AF$137,32,FALSE)*VLOOKUP('SV calc_ignore'!A935,Output!$A$27:$AG$137,33,FALSE)/IF(AnnuityMode=2,2,IF(AnnuityMode=4,4,IF(AnnuityMode=12,12,1))),0),0)</f>
        <v>0</v>
      </c>
      <c r="J935" s="227">
        <f t="shared" si="172"/>
        <v>0</v>
      </c>
      <c r="K935" s="213">
        <f t="shared" si="179"/>
        <v>0</v>
      </c>
      <c r="L935" s="209">
        <f t="shared" si="173"/>
        <v>0</v>
      </c>
      <c r="M935" s="214">
        <f t="shared" si="174"/>
        <v>0</v>
      </c>
      <c r="N935" s="211">
        <f t="shared" si="175"/>
        <v>0</v>
      </c>
      <c r="O935" s="194">
        <f t="shared" si="176"/>
        <v>0</v>
      </c>
      <c r="P935" s="212">
        <f t="shared" si="177"/>
        <v>0</v>
      </c>
      <c r="Q935">
        <f t="shared" si="169"/>
        <v>0</v>
      </c>
      <c r="X935" s="216">
        <f t="shared" si="180"/>
        <v>77</v>
      </c>
      <c r="Y935">
        <f t="shared" si="178"/>
        <v>0</v>
      </c>
    </row>
    <row r="936" spans="1:25" ht="13.5" thickBot="1" x14ac:dyDescent="0.25">
      <c r="A936" s="204">
        <f>IF(MOD(COUNT($A$10:A935),12)=0,A935+1,A935)</f>
        <v>78</v>
      </c>
      <c r="B936" s="218">
        <f t="shared" si="170"/>
        <v>3</v>
      </c>
      <c r="C936" s="218">
        <f t="shared" si="171"/>
        <v>1</v>
      </c>
      <c r="D936" s="208">
        <f>IF(MOD(COUNT($D$10:D935),6)=0,D935+1,D935)</f>
        <v>155</v>
      </c>
      <c r="E936" s="208">
        <f>IF(MOD(COUNT($E$10:E935),3)=0,E935+1,E935)</f>
        <v>309</v>
      </c>
      <c r="F936" s="208">
        <f>IF(MOD(COUNT($F$10:F935),1)=0,F935+1,F935)</f>
        <v>927</v>
      </c>
      <c r="G936" s="204">
        <f>IFERROR(IF(C936=1,VLOOKUP(A936,Output!$A$27:$AB$137,28,FALSE)/AnnuityMode,0),0)</f>
        <v>0</v>
      </c>
      <c r="H936" s="220">
        <f>IFERROR(IF(AND(MIN(A936&gt;25,Age+A936&gt;=85),B936=12),VLOOKUP(A936,Output!$A$27:$AE$137,31,FALSE),0),0)</f>
        <v>0</v>
      </c>
      <c r="I936" s="221">
        <f>IFERROR(IF(AND(MIN(A936&gt;15,A936+Age&gt;=70),C936=1),VLOOKUP(A936,Output!$A$27:$AF$137,32,FALSE)*VLOOKUP('SV calc_ignore'!A936,Output!$A$27:$AG$137,33,FALSE)/IF(AnnuityMode=2,2,IF(AnnuityMode=4,4,IF(AnnuityMode=12,12,1))),0),0)</f>
        <v>0</v>
      </c>
      <c r="J936" s="227">
        <f t="shared" si="172"/>
        <v>0</v>
      </c>
      <c r="K936" s="213">
        <f t="shared" si="179"/>
        <v>0</v>
      </c>
      <c r="L936" s="209">
        <f t="shared" si="173"/>
        <v>0</v>
      </c>
      <c r="M936" s="214">
        <f t="shared" si="174"/>
        <v>0</v>
      </c>
      <c r="N936" s="211">
        <f t="shared" si="175"/>
        <v>0</v>
      </c>
      <c r="O936" s="194">
        <f t="shared" si="176"/>
        <v>0</v>
      </c>
      <c r="P936" s="212">
        <f t="shared" si="177"/>
        <v>0</v>
      </c>
      <c r="Q936">
        <f t="shared" si="169"/>
        <v>0</v>
      </c>
      <c r="X936" s="216">
        <f t="shared" si="180"/>
        <v>77</v>
      </c>
      <c r="Y936">
        <f t="shared" si="178"/>
        <v>0</v>
      </c>
    </row>
    <row r="937" spans="1:25" ht="13.5" thickBot="1" x14ac:dyDescent="0.25">
      <c r="A937" s="204">
        <f>IF(MOD(COUNT($A$10:A936),12)=0,A936+1,A936)</f>
        <v>78</v>
      </c>
      <c r="B937" s="218">
        <f t="shared" si="170"/>
        <v>4</v>
      </c>
      <c r="C937" s="218">
        <f t="shared" si="171"/>
        <v>1</v>
      </c>
      <c r="D937" s="208">
        <f>IF(MOD(COUNT($D$10:D936),6)=0,D936+1,D936)</f>
        <v>155</v>
      </c>
      <c r="E937" s="208">
        <f>IF(MOD(COUNT($E$10:E936),3)=0,E936+1,E936)</f>
        <v>310</v>
      </c>
      <c r="F937" s="208">
        <f>IF(MOD(COUNT($F$10:F936),1)=0,F936+1,F936)</f>
        <v>928</v>
      </c>
      <c r="G937" s="204">
        <f>IFERROR(IF(C937=1,VLOOKUP(A937,Output!$A$27:$AB$137,28,FALSE)/AnnuityMode,0),0)</f>
        <v>0</v>
      </c>
      <c r="H937" s="220">
        <f>IFERROR(IF(AND(MIN(A937&gt;25,Age+A937&gt;=85),B937=12),VLOOKUP(A937,Output!$A$27:$AE$137,31,FALSE),0),0)</f>
        <v>0</v>
      </c>
      <c r="I937" s="221">
        <f>IFERROR(IF(AND(MIN(A937&gt;15,A937+Age&gt;=70),C937=1),VLOOKUP(A937,Output!$A$27:$AF$137,32,FALSE)*VLOOKUP('SV calc_ignore'!A937,Output!$A$27:$AG$137,33,FALSE)/IF(AnnuityMode=2,2,IF(AnnuityMode=4,4,IF(AnnuityMode=12,12,1))),0),0)</f>
        <v>0</v>
      </c>
      <c r="J937" s="227">
        <f t="shared" si="172"/>
        <v>0</v>
      </c>
      <c r="K937" s="213">
        <f t="shared" si="179"/>
        <v>0</v>
      </c>
      <c r="L937" s="209">
        <f t="shared" si="173"/>
        <v>0</v>
      </c>
      <c r="M937" s="214">
        <f t="shared" si="174"/>
        <v>0</v>
      </c>
      <c r="N937" s="211">
        <f t="shared" si="175"/>
        <v>0</v>
      </c>
      <c r="O937" s="194">
        <f t="shared" si="176"/>
        <v>0</v>
      </c>
      <c r="P937" s="212">
        <f t="shared" si="177"/>
        <v>0</v>
      </c>
      <c r="Q937">
        <f t="shared" si="169"/>
        <v>0</v>
      </c>
      <c r="X937" s="216">
        <f t="shared" si="180"/>
        <v>77</v>
      </c>
      <c r="Y937">
        <f t="shared" si="178"/>
        <v>0</v>
      </c>
    </row>
    <row r="938" spans="1:25" ht="13.5" thickBot="1" x14ac:dyDescent="0.25">
      <c r="A938" s="204">
        <f>IF(MOD(COUNT($A$10:A937),12)=0,A937+1,A937)</f>
        <v>78</v>
      </c>
      <c r="B938" s="218">
        <f t="shared" si="170"/>
        <v>5</v>
      </c>
      <c r="C938" s="218">
        <f t="shared" si="171"/>
        <v>1</v>
      </c>
      <c r="D938" s="208">
        <f>IF(MOD(COUNT($D$10:D937),6)=0,D937+1,D937)</f>
        <v>155</v>
      </c>
      <c r="E938" s="208">
        <f>IF(MOD(COUNT($E$10:E937),3)=0,E937+1,E937)</f>
        <v>310</v>
      </c>
      <c r="F938" s="208">
        <f>IF(MOD(COUNT($F$10:F937),1)=0,F937+1,F937)</f>
        <v>929</v>
      </c>
      <c r="G938" s="204">
        <f>IFERROR(IF(C938=1,VLOOKUP(A938,Output!$A$27:$AB$137,28,FALSE)/AnnuityMode,0),0)</f>
        <v>0</v>
      </c>
      <c r="H938" s="220">
        <f>IFERROR(IF(AND(MIN(A938&gt;25,Age+A938&gt;=85),B938=12),VLOOKUP(A938,Output!$A$27:$AE$137,31,FALSE),0),0)</f>
        <v>0</v>
      </c>
      <c r="I938" s="221">
        <f>IFERROR(IF(AND(MIN(A938&gt;15,A938+Age&gt;=70),C938=1),VLOOKUP(A938,Output!$A$27:$AF$137,32,FALSE)*VLOOKUP('SV calc_ignore'!A938,Output!$A$27:$AG$137,33,FALSE)/IF(AnnuityMode=2,2,IF(AnnuityMode=4,4,IF(AnnuityMode=12,12,1))),0),0)</f>
        <v>0</v>
      </c>
      <c r="J938" s="227">
        <f t="shared" si="172"/>
        <v>0</v>
      </c>
      <c r="K938" s="213">
        <f t="shared" si="179"/>
        <v>0</v>
      </c>
      <c r="L938" s="209">
        <f t="shared" si="173"/>
        <v>0</v>
      </c>
      <c r="M938" s="214">
        <f t="shared" si="174"/>
        <v>0</v>
      </c>
      <c r="N938" s="211">
        <f t="shared" si="175"/>
        <v>0</v>
      </c>
      <c r="O938" s="194">
        <f t="shared" si="176"/>
        <v>0</v>
      </c>
      <c r="P938" s="212">
        <f t="shared" si="177"/>
        <v>0</v>
      </c>
      <c r="Q938">
        <f t="shared" ref="Q938:Q1001" si="181">(I938+(Q939)*(1+$K$3)^(-1))*(A938&lt;=$W$5)</f>
        <v>0</v>
      </c>
      <c r="X938" s="216">
        <f t="shared" si="180"/>
        <v>77</v>
      </c>
      <c r="Y938">
        <f t="shared" si="178"/>
        <v>0</v>
      </c>
    </row>
    <row r="939" spans="1:25" ht="13.5" thickBot="1" x14ac:dyDescent="0.25">
      <c r="A939" s="204">
        <f>IF(MOD(COUNT($A$10:A938),12)=0,A938+1,A938)</f>
        <v>78</v>
      </c>
      <c r="B939" s="218">
        <f t="shared" si="170"/>
        <v>6</v>
      </c>
      <c r="C939" s="218">
        <f t="shared" si="171"/>
        <v>1</v>
      </c>
      <c r="D939" s="208">
        <f>IF(MOD(COUNT($D$10:D938),6)=0,D938+1,D938)</f>
        <v>155</v>
      </c>
      <c r="E939" s="208">
        <f>IF(MOD(COUNT($E$10:E938),3)=0,E938+1,E938)</f>
        <v>310</v>
      </c>
      <c r="F939" s="208">
        <f>IF(MOD(COUNT($F$10:F938),1)=0,F938+1,F938)</f>
        <v>930</v>
      </c>
      <c r="G939" s="204">
        <f>IFERROR(IF(C939=1,VLOOKUP(A939,Output!$A$27:$AB$137,28,FALSE)/AnnuityMode,0),0)</f>
        <v>0</v>
      </c>
      <c r="H939" s="220">
        <f>IFERROR(IF(AND(MIN(A939&gt;25,Age+A939&gt;=85),B939=12),VLOOKUP(A939,Output!$A$27:$AE$137,31,FALSE),0),0)</f>
        <v>0</v>
      </c>
      <c r="I939" s="221">
        <f>IFERROR(IF(AND(MIN(A939&gt;15,A939+Age&gt;=70),C939=1),VLOOKUP(A939,Output!$A$27:$AF$137,32,FALSE)*VLOOKUP('SV calc_ignore'!A939,Output!$A$27:$AG$137,33,FALSE)/IF(AnnuityMode=2,2,IF(AnnuityMode=4,4,IF(AnnuityMode=12,12,1))),0),0)</f>
        <v>0</v>
      </c>
      <c r="J939" s="227">
        <f t="shared" si="172"/>
        <v>0</v>
      </c>
      <c r="K939" s="213">
        <f t="shared" si="179"/>
        <v>0</v>
      </c>
      <c r="L939" s="209">
        <f t="shared" si="173"/>
        <v>0</v>
      </c>
      <c r="M939" s="214">
        <f t="shared" si="174"/>
        <v>0</v>
      </c>
      <c r="N939" s="211">
        <f t="shared" si="175"/>
        <v>0</v>
      </c>
      <c r="O939" s="194">
        <f t="shared" si="176"/>
        <v>0</v>
      </c>
      <c r="P939" s="212">
        <f t="shared" si="177"/>
        <v>0</v>
      </c>
      <c r="Q939">
        <f t="shared" si="181"/>
        <v>0</v>
      </c>
      <c r="X939" s="216">
        <f t="shared" si="180"/>
        <v>77</v>
      </c>
      <c r="Y939">
        <f t="shared" si="178"/>
        <v>0</v>
      </c>
    </row>
    <row r="940" spans="1:25" ht="13.5" thickBot="1" x14ac:dyDescent="0.25">
      <c r="A940" s="204">
        <f>IF(MOD(COUNT($A$10:A939),12)=0,A939+1,A939)</f>
        <v>78</v>
      </c>
      <c r="B940" s="218">
        <f t="shared" si="170"/>
        <v>7</v>
      </c>
      <c r="C940" s="218">
        <f t="shared" si="171"/>
        <v>1</v>
      </c>
      <c r="D940" s="208">
        <f>IF(MOD(COUNT($D$10:D939),6)=0,D939+1,D939)</f>
        <v>156</v>
      </c>
      <c r="E940" s="208">
        <f>IF(MOD(COUNT($E$10:E939),3)=0,E939+1,E939)</f>
        <v>311</v>
      </c>
      <c r="F940" s="208">
        <f>IF(MOD(COUNT($F$10:F939),1)=0,F939+1,F939)</f>
        <v>931</v>
      </c>
      <c r="G940" s="204">
        <f>IFERROR(IF(C940=1,VLOOKUP(A940,Output!$A$27:$AB$137,28,FALSE)/AnnuityMode,0),0)</f>
        <v>0</v>
      </c>
      <c r="H940" s="220">
        <f>IFERROR(IF(AND(MIN(A940&gt;25,Age+A940&gt;=85),B940=12),VLOOKUP(A940,Output!$A$27:$AE$137,31,FALSE),0),0)</f>
        <v>0</v>
      </c>
      <c r="I940" s="221">
        <f>IFERROR(IF(AND(MIN(A940&gt;15,A940+Age&gt;=70),C940=1),VLOOKUP(A940,Output!$A$27:$AF$137,32,FALSE)*VLOOKUP('SV calc_ignore'!A940,Output!$A$27:$AG$137,33,FALSE)/IF(AnnuityMode=2,2,IF(AnnuityMode=4,4,IF(AnnuityMode=12,12,1))),0),0)</f>
        <v>0</v>
      </c>
      <c r="J940" s="227">
        <f t="shared" si="172"/>
        <v>0</v>
      </c>
      <c r="K940" s="213">
        <f t="shared" si="179"/>
        <v>0</v>
      </c>
      <c r="L940" s="209">
        <f t="shared" si="173"/>
        <v>0</v>
      </c>
      <c r="M940" s="214">
        <f t="shared" si="174"/>
        <v>0</v>
      </c>
      <c r="N940" s="211">
        <f t="shared" si="175"/>
        <v>0</v>
      </c>
      <c r="O940" s="194">
        <f t="shared" si="176"/>
        <v>0</v>
      </c>
      <c r="P940" s="212">
        <f t="shared" si="177"/>
        <v>0</v>
      </c>
      <c r="Q940">
        <f t="shared" si="181"/>
        <v>0</v>
      </c>
      <c r="X940" s="216">
        <f t="shared" si="180"/>
        <v>77</v>
      </c>
      <c r="Y940">
        <f t="shared" si="178"/>
        <v>0</v>
      </c>
    </row>
    <row r="941" spans="1:25" ht="13.5" thickBot="1" x14ac:dyDescent="0.25">
      <c r="A941" s="204">
        <f>IF(MOD(COUNT($A$10:A940),12)=0,A940+1,A940)</f>
        <v>78</v>
      </c>
      <c r="B941" s="218">
        <f t="shared" si="170"/>
        <v>8</v>
      </c>
      <c r="C941" s="218">
        <f t="shared" si="171"/>
        <v>1</v>
      </c>
      <c r="D941" s="208">
        <f>IF(MOD(COUNT($D$10:D940),6)=0,D940+1,D940)</f>
        <v>156</v>
      </c>
      <c r="E941" s="208">
        <f>IF(MOD(COUNT($E$10:E940),3)=0,E940+1,E940)</f>
        <v>311</v>
      </c>
      <c r="F941" s="208">
        <f>IF(MOD(COUNT($F$10:F940),1)=0,F940+1,F940)</f>
        <v>932</v>
      </c>
      <c r="G941" s="204">
        <f>IFERROR(IF(C941=1,VLOOKUP(A941,Output!$A$27:$AB$137,28,FALSE)/AnnuityMode,0),0)</f>
        <v>0</v>
      </c>
      <c r="H941" s="220">
        <f>IFERROR(IF(AND(MIN(A941&gt;25,Age+A941&gt;=85),B941=12),VLOOKUP(A941,Output!$A$27:$AE$137,31,FALSE),0),0)</f>
        <v>0</v>
      </c>
      <c r="I941" s="221">
        <f>IFERROR(IF(AND(MIN(A941&gt;15,A941+Age&gt;=70),C941=1),VLOOKUP(A941,Output!$A$27:$AF$137,32,FALSE)*VLOOKUP('SV calc_ignore'!A941,Output!$A$27:$AG$137,33,FALSE)/IF(AnnuityMode=2,2,IF(AnnuityMode=4,4,IF(AnnuityMode=12,12,1))),0),0)</f>
        <v>0</v>
      </c>
      <c r="J941" s="227">
        <f t="shared" si="172"/>
        <v>0</v>
      </c>
      <c r="K941" s="213">
        <f t="shared" si="179"/>
        <v>0</v>
      </c>
      <c r="L941" s="209">
        <f t="shared" si="173"/>
        <v>0</v>
      </c>
      <c r="M941" s="214">
        <f t="shared" si="174"/>
        <v>0</v>
      </c>
      <c r="N941" s="211">
        <f t="shared" si="175"/>
        <v>0</v>
      </c>
      <c r="O941" s="194">
        <f t="shared" si="176"/>
        <v>0</v>
      </c>
      <c r="P941" s="212">
        <f t="shared" si="177"/>
        <v>0</v>
      </c>
      <c r="Q941">
        <f t="shared" si="181"/>
        <v>0</v>
      </c>
      <c r="X941" s="216">
        <f t="shared" si="180"/>
        <v>77</v>
      </c>
      <c r="Y941">
        <f t="shared" si="178"/>
        <v>0</v>
      </c>
    </row>
    <row r="942" spans="1:25" ht="13.5" thickBot="1" x14ac:dyDescent="0.25">
      <c r="A942" s="204">
        <f>IF(MOD(COUNT($A$10:A941),12)=0,A941+1,A941)</f>
        <v>78</v>
      </c>
      <c r="B942" s="218">
        <f t="shared" si="170"/>
        <v>9</v>
      </c>
      <c r="C942" s="218">
        <f t="shared" si="171"/>
        <v>1</v>
      </c>
      <c r="D942" s="208">
        <f>IF(MOD(COUNT($D$10:D941),6)=0,D941+1,D941)</f>
        <v>156</v>
      </c>
      <c r="E942" s="208">
        <f>IF(MOD(COUNT($E$10:E941),3)=0,E941+1,E941)</f>
        <v>311</v>
      </c>
      <c r="F942" s="208">
        <f>IF(MOD(COUNT($F$10:F941),1)=0,F941+1,F941)</f>
        <v>933</v>
      </c>
      <c r="G942" s="204">
        <f>IFERROR(IF(C942=1,VLOOKUP(A942,Output!$A$27:$AB$137,28,FALSE)/AnnuityMode,0),0)</f>
        <v>0</v>
      </c>
      <c r="H942" s="220">
        <f>IFERROR(IF(AND(MIN(A942&gt;25,Age+A942&gt;=85),B942=12),VLOOKUP(A942,Output!$A$27:$AE$137,31,FALSE),0),0)</f>
        <v>0</v>
      </c>
      <c r="I942" s="221">
        <f>IFERROR(IF(AND(MIN(A942&gt;15,A942+Age&gt;=70),C942=1),VLOOKUP(A942,Output!$A$27:$AF$137,32,FALSE)*VLOOKUP('SV calc_ignore'!A942,Output!$A$27:$AG$137,33,FALSE)/IF(AnnuityMode=2,2,IF(AnnuityMode=4,4,IF(AnnuityMode=12,12,1))),0),0)</f>
        <v>0</v>
      </c>
      <c r="J942" s="227">
        <f t="shared" si="172"/>
        <v>0</v>
      </c>
      <c r="K942" s="213">
        <f t="shared" si="179"/>
        <v>0</v>
      </c>
      <c r="L942" s="209">
        <f t="shared" si="173"/>
        <v>0</v>
      </c>
      <c r="M942" s="214">
        <f t="shared" si="174"/>
        <v>0</v>
      </c>
      <c r="N942" s="211">
        <f t="shared" si="175"/>
        <v>0</v>
      </c>
      <c r="O942" s="194">
        <f t="shared" si="176"/>
        <v>0</v>
      </c>
      <c r="P942" s="212">
        <f t="shared" si="177"/>
        <v>0</v>
      </c>
      <c r="Q942">
        <f t="shared" si="181"/>
        <v>0</v>
      </c>
      <c r="X942" s="216">
        <f t="shared" si="180"/>
        <v>77</v>
      </c>
      <c r="Y942">
        <f t="shared" si="178"/>
        <v>0</v>
      </c>
    </row>
    <row r="943" spans="1:25" ht="13.5" thickBot="1" x14ac:dyDescent="0.25">
      <c r="A943" s="204">
        <f>IF(MOD(COUNT($A$10:A942),12)=0,A942+1,A942)</f>
        <v>78</v>
      </c>
      <c r="B943" s="218">
        <f t="shared" si="170"/>
        <v>10</v>
      </c>
      <c r="C943" s="218">
        <f t="shared" si="171"/>
        <v>1</v>
      </c>
      <c r="D943" s="208">
        <f>IF(MOD(COUNT($D$10:D942),6)=0,D942+1,D942)</f>
        <v>156</v>
      </c>
      <c r="E943" s="208">
        <f>IF(MOD(COUNT($E$10:E942),3)=0,E942+1,E942)</f>
        <v>312</v>
      </c>
      <c r="F943" s="208">
        <f>IF(MOD(COUNT($F$10:F942),1)=0,F942+1,F942)</f>
        <v>934</v>
      </c>
      <c r="G943" s="204">
        <f>IFERROR(IF(C943=1,VLOOKUP(A943,Output!$A$27:$AB$137,28,FALSE)/AnnuityMode,0),0)</f>
        <v>0</v>
      </c>
      <c r="H943" s="220">
        <f>IFERROR(IF(AND(MIN(A943&gt;25,Age+A943&gt;=85),B943=12),VLOOKUP(A943,Output!$A$27:$AE$137,31,FALSE),0),0)</f>
        <v>0</v>
      </c>
      <c r="I943" s="221">
        <f>IFERROR(IF(AND(MIN(A943&gt;15,A943+Age&gt;=70),C943=1),VLOOKUP(A943,Output!$A$27:$AF$137,32,FALSE)*VLOOKUP('SV calc_ignore'!A943,Output!$A$27:$AG$137,33,FALSE)/IF(AnnuityMode=2,2,IF(AnnuityMode=4,4,IF(AnnuityMode=12,12,1))),0),0)</f>
        <v>0</v>
      </c>
      <c r="J943" s="227">
        <f t="shared" si="172"/>
        <v>0</v>
      </c>
      <c r="K943" s="213">
        <f t="shared" si="179"/>
        <v>0</v>
      </c>
      <c r="L943" s="209">
        <f t="shared" si="173"/>
        <v>0</v>
      </c>
      <c r="M943" s="214">
        <f t="shared" si="174"/>
        <v>0</v>
      </c>
      <c r="N943" s="211">
        <f t="shared" si="175"/>
        <v>0</v>
      </c>
      <c r="O943" s="194">
        <f t="shared" si="176"/>
        <v>0</v>
      </c>
      <c r="P943" s="212">
        <f t="shared" si="177"/>
        <v>0</v>
      </c>
      <c r="Q943">
        <f t="shared" si="181"/>
        <v>0</v>
      </c>
      <c r="X943" s="216">
        <f t="shared" si="180"/>
        <v>77</v>
      </c>
      <c r="Y943">
        <f t="shared" si="178"/>
        <v>0</v>
      </c>
    </row>
    <row r="944" spans="1:25" ht="13.5" thickBot="1" x14ac:dyDescent="0.25">
      <c r="A944" s="204">
        <f>IF(MOD(COUNT($A$10:A943),12)=0,A943+1,A943)</f>
        <v>78</v>
      </c>
      <c r="B944" s="218">
        <f t="shared" si="170"/>
        <v>11</v>
      </c>
      <c r="C944" s="218">
        <f t="shared" si="171"/>
        <v>1</v>
      </c>
      <c r="D944" s="208">
        <f>IF(MOD(COUNT($D$10:D943),6)=0,D943+1,D943)</f>
        <v>156</v>
      </c>
      <c r="E944" s="208">
        <f>IF(MOD(COUNT($E$10:E943),3)=0,E943+1,E943)</f>
        <v>312</v>
      </c>
      <c r="F944" s="208">
        <f>IF(MOD(COUNT($F$10:F943),1)=0,F943+1,F943)</f>
        <v>935</v>
      </c>
      <c r="G944" s="204">
        <f>IFERROR(IF(C944=1,VLOOKUP(A944,Output!$A$27:$AB$137,28,FALSE)/AnnuityMode,0),0)</f>
        <v>0</v>
      </c>
      <c r="H944" s="220">
        <f>IFERROR(IF(AND(MIN(A944&gt;25,Age+A944&gt;=85),B944=12),VLOOKUP(A944,Output!$A$27:$AE$137,31,FALSE),0),0)</f>
        <v>0</v>
      </c>
      <c r="I944" s="221">
        <f>IFERROR(IF(AND(MIN(A944&gt;15,A944+Age&gt;=70),C944=1),VLOOKUP(A944,Output!$A$27:$AF$137,32,FALSE)*VLOOKUP('SV calc_ignore'!A944,Output!$A$27:$AG$137,33,FALSE)/IF(AnnuityMode=2,2,IF(AnnuityMode=4,4,IF(AnnuityMode=12,12,1))),0),0)</f>
        <v>0</v>
      </c>
      <c r="J944" s="227">
        <f t="shared" si="172"/>
        <v>0</v>
      </c>
      <c r="K944" s="213">
        <f t="shared" si="179"/>
        <v>0</v>
      </c>
      <c r="L944" s="209">
        <f t="shared" si="173"/>
        <v>0</v>
      </c>
      <c r="M944" s="214">
        <f t="shared" si="174"/>
        <v>0</v>
      </c>
      <c r="N944" s="211">
        <f t="shared" si="175"/>
        <v>0</v>
      </c>
      <c r="O944" s="194">
        <f t="shared" si="176"/>
        <v>0</v>
      </c>
      <c r="P944" s="212">
        <f t="shared" si="177"/>
        <v>0</v>
      </c>
      <c r="Q944">
        <f t="shared" si="181"/>
        <v>0</v>
      </c>
      <c r="X944" s="216">
        <f t="shared" si="180"/>
        <v>77</v>
      </c>
      <c r="Y944">
        <f t="shared" si="178"/>
        <v>0</v>
      </c>
    </row>
    <row r="945" spans="1:25" ht="13.5" thickBot="1" x14ac:dyDescent="0.25">
      <c r="A945" s="204">
        <f>IF(MOD(COUNT($A$10:A944),12)=0,A944+1,A944)</f>
        <v>78</v>
      </c>
      <c r="B945" s="218">
        <f t="shared" si="170"/>
        <v>12</v>
      </c>
      <c r="C945" s="218">
        <f t="shared" si="171"/>
        <v>1</v>
      </c>
      <c r="D945" s="208">
        <f>IF(MOD(COUNT($D$10:D944),6)=0,D944+1,D944)</f>
        <v>156</v>
      </c>
      <c r="E945" s="208">
        <f>IF(MOD(COUNT($E$10:E944),3)=0,E944+1,E944)</f>
        <v>312</v>
      </c>
      <c r="F945" s="208">
        <f>IF(MOD(COUNT($F$10:F944),1)=0,F944+1,F944)</f>
        <v>936</v>
      </c>
      <c r="G945" s="204">
        <f>IFERROR(IF(C945=1,VLOOKUP(A945,Output!$A$27:$AB$137,28,FALSE)/AnnuityMode,0),0)</f>
        <v>0</v>
      </c>
      <c r="H945" s="220">
        <f>IFERROR(IF(AND(MIN(A945&gt;25,Age+A945&gt;=85),B945=12),VLOOKUP(A945,Output!$A$27:$AE$137,31,FALSE),0),0)</f>
        <v>0</v>
      </c>
      <c r="I945" s="221">
        <f>IFERROR(IF(AND(MIN(A945&gt;15,A945+Age&gt;=70),C945=1),VLOOKUP(A945,Output!$A$27:$AF$137,32,FALSE)*VLOOKUP('SV calc_ignore'!A945,Output!$A$27:$AG$137,33,FALSE)/IF(AnnuityMode=2,2,IF(AnnuityMode=4,4,IF(AnnuityMode=12,12,1))),0),0)</f>
        <v>0</v>
      </c>
      <c r="J945" s="227">
        <f t="shared" si="172"/>
        <v>0</v>
      </c>
      <c r="K945" s="213">
        <f t="shared" si="179"/>
        <v>0</v>
      </c>
      <c r="L945" s="209">
        <f t="shared" si="173"/>
        <v>0</v>
      </c>
      <c r="M945" s="214">
        <f t="shared" si="174"/>
        <v>0</v>
      </c>
      <c r="N945" s="211">
        <f t="shared" si="175"/>
        <v>0</v>
      </c>
      <c r="O945" s="194">
        <f t="shared" si="176"/>
        <v>0</v>
      </c>
      <c r="P945" s="212">
        <f t="shared" si="177"/>
        <v>0</v>
      </c>
      <c r="Q945">
        <f t="shared" si="181"/>
        <v>0</v>
      </c>
      <c r="X945" s="216">
        <f t="shared" si="180"/>
        <v>77</v>
      </c>
      <c r="Y945">
        <f t="shared" si="178"/>
        <v>0</v>
      </c>
    </row>
    <row r="946" spans="1:25" ht="13.5" thickBot="1" x14ac:dyDescent="0.25">
      <c r="A946" s="204">
        <f>IF(MOD(COUNT($A$10:A945),12)=0,A945+1,A945)</f>
        <v>79</v>
      </c>
      <c r="B946" s="218">
        <f t="shared" si="170"/>
        <v>1</v>
      </c>
      <c r="C946" s="218">
        <f t="shared" si="171"/>
        <v>1</v>
      </c>
      <c r="D946" s="208">
        <f>IF(MOD(COUNT($D$10:D945),6)=0,D945+1,D945)</f>
        <v>157</v>
      </c>
      <c r="E946" s="208">
        <f>IF(MOD(COUNT($E$10:E945),3)=0,E945+1,E945)</f>
        <v>313</v>
      </c>
      <c r="F946" s="208">
        <f>IF(MOD(COUNT($F$10:F945),1)=0,F945+1,F945)</f>
        <v>937</v>
      </c>
      <c r="G946" s="204">
        <f>IFERROR(IF(C946=1,VLOOKUP(A946,Output!$A$27:$AB$137,28,FALSE)/AnnuityMode,0),0)</f>
        <v>0</v>
      </c>
      <c r="H946" s="220">
        <f>IFERROR(IF(AND(MIN(A946&gt;25,Age+A946&gt;=85),B946=12),VLOOKUP(A946,Output!$A$27:$AE$137,31,FALSE),0),0)</f>
        <v>0</v>
      </c>
      <c r="I946" s="221">
        <f>IFERROR(IF(AND(MIN(A946&gt;15,A946+Age&gt;=70),C946=1),VLOOKUP(A946,Output!$A$27:$AF$137,32,FALSE)*VLOOKUP('SV calc_ignore'!A946,Output!$A$27:$AG$137,33,FALSE)/IF(AnnuityMode=2,2,IF(AnnuityMode=4,4,IF(AnnuityMode=12,12,1))),0),0)</f>
        <v>0</v>
      </c>
      <c r="J946" s="227">
        <f t="shared" si="172"/>
        <v>0</v>
      </c>
      <c r="K946" s="213">
        <f t="shared" si="179"/>
        <v>0</v>
      </c>
      <c r="L946" s="209">
        <f t="shared" si="173"/>
        <v>0</v>
      </c>
      <c r="M946" s="214">
        <f t="shared" si="174"/>
        <v>0</v>
      </c>
      <c r="N946" s="211">
        <f t="shared" si="175"/>
        <v>0</v>
      </c>
      <c r="O946" s="194">
        <f t="shared" si="176"/>
        <v>0</v>
      </c>
      <c r="P946" s="212">
        <f t="shared" si="177"/>
        <v>0</v>
      </c>
      <c r="Q946">
        <f t="shared" si="181"/>
        <v>0</v>
      </c>
      <c r="X946" s="216">
        <f t="shared" si="180"/>
        <v>78</v>
      </c>
      <c r="Y946">
        <f t="shared" si="178"/>
        <v>0</v>
      </c>
    </row>
    <row r="947" spans="1:25" ht="13.5" thickBot="1" x14ac:dyDescent="0.25">
      <c r="A947" s="204">
        <f>IF(MOD(COUNT($A$10:A946),12)=0,A946+1,A946)</f>
        <v>79</v>
      </c>
      <c r="B947" s="218">
        <f t="shared" si="170"/>
        <v>2</v>
      </c>
      <c r="C947" s="218">
        <f t="shared" si="171"/>
        <v>1</v>
      </c>
      <c r="D947" s="208">
        <f>IF(MOD(COUNT($D$10:D946),6)=0,D946+1,D946)</f>
        <v>157</v>
      </c>
      <c r="E947" s="208">
        <f>IF(MOD(COUNT($E$10:E946),3)=0,E946+1,E946)</f>
        <v>313</v>
      </c>
      <c r="F947" s="208">
        <f>IF(MOD(COUNT($F$10:F946),1)=0,F946+1,F946)</f>
        <v>938</v>
      </c>
      <c r="G947" s="204">
        <f>IFERROR(IF(C947=1,VLOOKUP(A947,Output!$A$27:$AB$137,28,FALSE)/AnnuityMode,0),0)</f>
        <v>0</v>
      </c>
      <c r="H947" s="220">
        <f>IFERROR(IF(AND(MIN(A947&gt;25,Age+A947&gt;=85),B947=12),VLOOKUP(A947,Output!$A$27:$AE$137,31,FALSE),0),0)</f>
        <v>0</v>
      </c>
      <c r="I947" s="221">
        <f>IFERROR(IF(AND(MIN(A947&gt;15,A947+Age&gt;=70),C947=1),VLOOKUP(A947,Output!$A$27:$AF$137,32,FALSE)*VLOOKUP('SV calc_ignore'!A947,Output!$A$27:$AG$137,33,FALSE)/IF(AnnuityMode=2,2,IF(AnnuityMode=4,4,IF(AnnuityMode=12,12,1))),0),0)</f>
        <v>0</v>
      </c>
      <c r="J947" s="227">
        <f t="shared" si="172"/>
        <v>0</v>
      </c>
      <c r="K947" s="213">
        <f t="shared" si="179"/>
        <v>0</v>
      </c>
      <c r="L947" s="209">
        <f t="shared" si="173"/>
        <v>0</v>
      </c>
      <c r="M947" s="214">
        <f t="shared" si="174"/>
        <v>0</v>
      </c>
      <c r="N947" s="211">
        <f t="shared" si="175"/>
        <v>0</v>
      </c>
      <c r="O947" s="194">
        <f t="shared" si="176"/>
        <v>0</v>
      </c>
      <c r="P947" s="212">
        <f t="shared" si="177"/>
        <v>0</v>
      </c>
      <c r="Q947">
        <f t="shared" si="181"/>
        <v>0</v>
      </c>
      <c r="X947" s="216">
        <f t="shared" si="180"/>
        <v>78</v>
      </c>
      <c r="Y947">
        <f t="shared" si="178"/>
        <v>0</v>
      </c>
    </row>
    <row r="948" spans="1:25" ht="13.5" thickBot="1" x14ac:dyDescent="0.25">
      <c r="A948" s="204">
        <f>IF(MOD(COUNT($A$10:A947),12)=0,A947+1,A947)</f>
        <v>79</v>
      </c>
      <c r="B948" s="218">
        <f t="shared" si="170"/>
        <v>3</v>
      </c>
      <c r="C948" s="218">
        <f t="shared" si="171"/>
        <v>1</v>
      </c>
      <c r="D948" s="208">
        <f>IF(MOD(COUNT($D$10:D947),6)=0,D947+1,D947)</f>
        <v>157</v>
      </c>
      <c r="E948" s="208">
        <f>IF(MOD(COUNT($E$10:E947),3)=0,E947+1,E947)</f>
        <v>313</v>
      </c>
      <c r="F948" s="208">
        <f>IF(MOD(COUNT($F$10:F947),1)=0,F947+1,F947)</f>
        <v>939</v>
      </c>
      <c r="G948" s="204">
        <f>IFERROR(IF(C948=1,VLOOKUP(A948,Output!$A$27:$AB$137,28,FALSE)/AnnuityMode,0),0)</f>
        <v>0</v>
      </c>
      <c r="H948" s="220">
        <f>IFERROR(IF(AND(MIN(A948&gt;25,Age+A948&gt;=85),B948=12),VLOOKUP(A948,Output!$A$27:$AE$137,31,FALSE),0),0)</f>
        <v>0</v>
      </c>
      <c r="I948" s="221">
        <f>IFERROR(IF(AND(MIN(A948&gt;15,A948+Age&gt;=70),C948=1),VLOOKUP(A948,Output!$A$27:$AF$137,32,FALSE)*VLOOKUP('SV calc_ignore'!A948,Output!$A$27:$AG$137,33,FALSE)/IF(AnnuityMode=2,2,IF(AnnuityMode=4,4,IF(AnnuityMode=12,12,1))),0),0)</f>
        <v>0</v>
      </c>
      <c r="J948" s="227">
        <f t="shared" si="172"/>
        <v>0</v>
      </c>
      <c r="K948" s="213">
        <f t="shared" si="179"/>
        <v>0</v>
      </c>
      <c r="L948" s="209">
        <f t="shared" si="173"/>
        <v>0</v>
      </c>
      <c r="M948" s="214">
        <f t="shared" si="174"/>
        <v>0</v>
      </c>
      <c r="N948" s="211">
        <f t="shared" si="175"/>
        <v>0</v>
      </c>
      <c r="O948" s="194">
        <f t="shared" si="176"/>
        <v>0</v>
      </c>
      <c r="P948" s="212">
        <f t="shared" si="177"/>
        <v>0</v>
      </c>
      <c r="Q948">
        <f t="shared" si="181"/>
        <v>0</v>
      </c>
      <c r="X948" s="216">
        <f t="shared" si="180"/>
        <v>78</v>
      </c>
      <c r="Y948">
        <f t="shared" si="178"/>
        <v>0</v>
      </c>
    </row>
    <row r="949" spans="1:25" ht="13.5" thickBot="1" x14ac:dyDescent="0.25">
      <c r="A949" s="204">
        <f>IF(MOD(COUNT($A$10:A948),12)=0,A948+1,A948)</f>
        <v>79</v>
      </c>
      <c r="B949" s="218">
        <f t="shared" si="170"/>
        <v>4</v>
      </c>
      <c r="C949" s="218">
        <f t="shared" si="171"/>
        <v>1</v>
      </c>
      <c r="D949" s="208">
        <f>IF(MOD(COUNT($D$10:D948),6)=0,D948+1,D948)</f>
        <v>157</v>
      </c>
      <c r="E949" s="208">
        <f>IF(MOD(COUNT($E$10:E948),3)=0,E948+1,E948)</f>
        <v>314</v>
      </c>
      <c r="F949" s="208">
        <f>IF(MOD(COUNT($F$10:F948),1)=0,F948+1,F948)</f>
        <v>940</v>
      </c>
      <c r="G949" s="204">
        <f>IFERROR(IF(C949=1,VLOOKUP(A949,Output!$A$27:$AB$137,28,FALSE)/AnnuityMode,0),0)</f>
        <v>0</v>
      </c>
      <c r="H949" s="220">
        <f>IFERROR(IF(AND(MIN(A949&gt;25,Age+A949&gt;=85),B949=12),VLOOKUP(A949,Output!$A$27:$AE$137,31,FALSE),0),0)</f>
        <v>0</v>
      </c>
      <c r="I949" s="221">
        <f>IFERROR(IF(AND(MIN(A949&gt;15,A949+Age&gt;=70),C949=1),VLOOKUP(A949,Output!$A$27:$AF$137,32,FALSE)*VLOOKUP('SV calc_ignore'!A949,Output!$A$27:$AG$137,33,FALSE)/IF(AnnuityMode=2,2,IF(AnnuityMode=4,4,IF(AnnuityMode=12,12,1))),0),0)</f>
        <v>0</v>
      </c>
      <c r="J949" s="227">
        <f t="shared" si="172"/>
        <v>0</v>
      </c>
      <c r="K949" s="213">
        <f t="shared" si="179"/>
        <v>0</v>
      </c>
      <c r="L949" s="209">
        <f t="shared" si="173"/>
        <v>0</v>
      </c>
      <c r="M949" s="214">
        <f t="shared" si="174"/>
        <v>0</v>
      </c>
      <c r="N949" s="211">
        <f t="shared" si="175"/>
        <v>0</v>
      </c>
      <c r="O949" s="194">
        <f t="shared" si="176"/>
        <v>0</v>
      </c>
      <c r="P949" s="212">
        <f t="shared" si="177"/>
        <v>0</v>
      </c>
      <c r="Q949">
        <f t="shared" si="181"/>
        <v>0</v>
      </c>
      <c r="X949" s="216">
        <f t="shared" si="180"/>
        <v>78</v>
      </c>
      <c r="Y949">
        <f t="shared" si="178"/>
        <v>0</v>
      </c>
    </row>
    <row r="950" spans="1:25" ht="13.5" thickBot="1" x14ac:dyDescent="0.25">
      <c r="A950" s="204">
        <f>IF(MOD(COUNT($A$10:A949),12)=0,A949+1,A949)</f>
        <v>79</v>
      </c>
      <c r="B950" s="218">
        <f t="shared" si="170"/>
        <v>5</v>
      </c>
      <c r="C950" s="218">
        <f t="shared" si="171"/>
        <v>1</v>
      </c>
      <c r="D950" s="208">
        <f>IF(MOD(COUNT($D$10:D949),6)=0,D949+1,D949)</f>
        <v>157</v>
      </c>
      <c r="E950" s="208">
        <f>IF(MOD(COUNT($E$10:E949),3)=0,E949+1,E949)</f>
        <v>314</v>
      </c>
      <c r="F950" s="208">
        <f>IF(MOD(COUNT($F$10:F949),1)=0,F949+1,F949)</f>
        <v>941</v>
      </c>
      <c r="G950" s="204">
        <f>IFERROR(IF(C950=1,VLOOKUP(A950,Output!$A$27:$AB$137,28,FALSE)/AnnuityMode,0),0)</f>
        <v>0</v>
      </c>
      <c r="H950" s="220">
        <f>IFERROR(IF(AND(MIN(A950&gt;25,Age+A950&gt;=85),B950=12),VLOOKUP(A950,Output!$A$27:$AE$137,31,FALSE),0),0)</f>
        <v>0</v>
      </c>
      <c r="I950" s="221">
        <f>IFERROR(IF(AND(MIN(A950&gt;15,A950+Age&gt;=70),C950=1),VLOOKUP(A950,Output!$A$27:$AF$137,32,FALSE)*VLOOKUP('SV calc_ignore'!A950,Output!$A$27:$AG$137,33,FALSE)/IF(AnnuityMode=2,2,IF(AnnuityMode=4,4,IF(AnnuityMode=12,12,1))),0),0)</f>
        <v>0</v>
      </c>
      <c r="J950" s="227">
        <f t="shared" si="172"/>
        <v>0</v>
      </c>
      <c r="K950" s="213">
        <f t="shared" si="179"/>
        <v>0</v>
      </c>
      <c r="L950" s="209">
        <f t="shared" si="173"/>
        <v>0</v>
      </c>
      <c r="M950" s="214">
        <f t="shared" si="174"/>
        <v>0</v>
      </c>
      <c r="N950" s="211">
        <f t="shared" si="175"/>
        <v>0</v>
      </c>
      <c r="O950" s="194">
        <f t="shared" si="176"/>
        <v>0</v>
      </c>
      <c r="P950" s="212">
        <f t="shared" si="177"/>
        <v>0</v>
      </c>
      <c r="Q950">
        <f t="shared" si="181"/>
        <v>0</v>
      </c>
      <c r="X950" s="216">
        <f t="shared" si="180"/>
        <v>78</v>
      </c>
      <c r="Y950">
        <f t="shared" si="178"/>
        <v>0</v>
      </c>
    </row>
    <row r="951" spans="1:25" ht="13.5" thickBot="1" x14ac:dyDescent="0.25">
      <c r="A951" s="204">
        <f>IF(MOD(COUNT($A$10:A950),12)=0,A950+1,A950)</f>
        <v>79</v>
      </c>
      <c r="B951" s="218">
        <f t="shared" si="170"/>
        <v>6</v>
      </c>
      <c r="C951" s="218">
        <f t="shared" si="171"/>
        <v>1</v>
      </c>
      <c r="D951" s="208">
        <f>IF(MOD(COUNT($D$10:D950),6)=0,D950+1,D950)</f>
        <v>157</v>
      </c>
      <c r="E951" s="208">
        <f>IF(MOD(COUNT($E$10:E950),3)=0,E950+1,E950)</f>
        <v>314</v>
      </c>
      <c r="F951" s="208">
        <f>IF(MOD(COUNT($F$10:F950),1)=0,F950+1,F950)</f>
        <v>942</v>
      </c>
      <c r="G951" s="204">
        <f>IFERROR(IF(C951=1,VLOOKUP(A951,Output!$A$27:$AB$137,28,FALSE)/AnnuityMode,0),0)</f>
        <v>0</v>
      </c>
      <c r="H951" s="220">
        <f>IFERROR(IF(AND(MIN(A951&gt;25,Age+A951&gt;=85),B951=12),VLOOKUP(A951,Output!$A$27:$AE$137,31,FALSE),0),0)</f>
        <v>0</v>
      </c>
      <c r="I951" s="221">
        <f>IFERROR(IF(AND(MIN(A951&gt;15,A951+Age&gt;=70),C951=1),VLOOKUP(A951,Output!$A$27:$AF$137,32,FALSE)*VLOOKUP('SV calc_ignore'!A951,Output!$A$27:$AG$137,33,FALSE)/IF(AnnuityMode=2,2,IF(AnnuityMode=4,4,IF(AnnuityMode=12,12,1))),0),0)</f>
        <v>0</v>
      </c>
      <c r="J951" s="227">
        <f t="shared" si="172"/>
        <v>0</v>
      </c>
      <c r="K951" s="213">
        <f t="shared" si="179"/>
        <v>0</v>
      </c>
      <c r="L951" s="209">
        <f t="shared" si="173"/>
        <v>0</v>
      </c>
      <c r="M951" s="214">
        <f t="shared" si="174"/>
        <v>0</v>
      </c>
      <c r="N951" s="211">
        <f t="shared" si="175"/>
        <v>0</v>
      </c>
      <c r="O951" s="194">
        <f t="shared" si="176"/>
        <v>0</v>
      </c>
      <c r="P951" s="212">
        <f t="shared" si="177"/>
        <v>0</v>
      </c>
      <c r="Q951">
        <f t="shared" si="181"/>
        <v>0</v>
      </c>
      <c r="X951" s="216">
        <f t="shared" si="180"/>
        <v>78</v>
      </c>
      <c r="Y951">
        <f t="shared" si="178"/>
        <v>0</v>
      </c>
    </row>
    <row r="952" spans="1:25" ht="13.5" thickBot="1" x14ac:dyDescent="0.25">
      <c r="A952" s="204">
        <f>IF(MOD(COUNT($A$10:A951),12)=0,A951+1,A951)</f>
        <v>79</v>
      </c>
      <c r="B952" s="218">
        <f t="shared" si="170"/>
        <v>7</v>
      </c>
      <c r="C952" s="218">
        <f t="shared" si="171"/>
        <v>1</v>
      </c>
      <c r="D952" s="208">
        <f>IF(MOD(COUNT($D$10:D951),6)=0,D951+1,D951)</f>
        <v>158</v>
      </c>
      <c r="E952" s="208">
        <f>IF(MOD(COUNT($E$10:E951),3)=0,E951+1,E951)</f>
        <v>315</v>
      </c>
      <c r="F952" s="208">
        <f>IF(MOD(COUNT($F$10:F951),1)=0,F951+1,F951)</f>
        <v>943</v>
      </c>
      <c r="G952" s="204">
        <f>IFERROR(IF(C952=1,VLOOKUP(A952,Output!$A$27:$AB$137,28,FALSE)/AnnuityMode,0),0)</f>
        <v>0</v>
      </c>
      <c r="H952" s="220">
        <f>IFERROR(IF(AND(MIN(A952&gt;25,Age+A952&gt;=85),B952=12),VLOOKUP(A952,Output!$A$27:$AE$137,31,FALSE),0),0)</f>
        <v>0</v>
      </c>
      <c r="I952" s="221">
        <f>IFERROR(IF(AND(MIN(A952&gt;15,A952+Age&gt;=70),C952=1),VLOOKUP(A952,Output!$A$27:$AF$137,32,FALSE)*VLOOKUP('SV calc_ignore'!A952,Output!$A$27:$AG$137,33,FALSE)/IF(AnnuityMode=2,2,IF(AnnuityMode=4,4,IF(AnnuityMode=12,12,1))),0),0)</f>
        <v>0</v>
      </c>
      <c r="J952" s="227">
        <f t="shared" si="172"/>
        <v>0</v>
      </c>
      <c r="K952" s="213">
        <f t="shared" si="179"/>
        <v>0</v>
      </c>
      <c r="L952" s="209">
        <f t="shared" si="173"/>
        <v>0</v>
      </c>
      <c r="M952" s="214">
        <f t="shared" si="174"/>
        <v>0</v>
      </c>
      <c r="N952" s="211">
        <f t="shared" si="175"/>
        <v>0</v>
      </c>
      <c r="O952" s="194">
        <f t="shared" si="176"/>
        <v>0</v>
      </c>
      <c r="P952" s="212">
        <f t="shared" si="177"/>
        <v>0</v>
      </c>
      <c r="Q952">
        <f t="shared" si="181"/>
        <v>0</v>
      </c>
      <c r="X952" s="216">
        <f t="shared" si="180"/>
        <v>78</v>
      </c>
      <c r="Y952">
        <f t="shared" si="178"/>
        <v>0</v>
      </c>
    </row>
    <row r="953" spans="1:25" ht="13.5" thickBot="1" x14ac:dyDescent="0.25">
      <c r="A953" s="204">
        <f>IF(MOD(COUNT($A$10:A952),12)=0,A952+1,A952)</f>
        <v>79</v>
      </c>
      <c r="B953" s="218">
        <f t="shared" si="170"/>
        <v>8</v>
      </c>
      <c r="C953" s="218">
        <f t="shared" si="171"/>
        <v>1</v>
      </c>
      <c r="D953" s="208">
        <f>IF(MOD(COUNT($D$10:D952),6)=0,D952+1,D952)</f>
        <v>158</v>
      </c>
      <c r="E953" s="208">
        <f>IF(MOD(COUNT($E$10:E952),3)=0,E952+1,E952)</f>
        <v>315</v>
      </c>
      <c r="F953" s="208">
        <f>IF(MOD(COUNT($F$10:F952),1)=0,F952+1,F952)</f>
        <v>944</v>
      </c>
      <c r="G953" s="204">
        <f>IFERROR(IF(C953=1,VLOOKUP(A953,Output!$A$27:$AB$137,28,FALSE)/AnnuityMode,0),0)</f>
        <v>0</v>
      </c>
      <c r="H953" s="220">
        <f>IFERROR(IF(AND(MIN(A953&gt;25,Age+A953&gt;=85),B953=12),VLOOKUP(A953,Output!$A$27:$AE$137,31,FALSE),0),0)</f>
        <v>0</v>
      </c>
      <c r="I953" s="221">
        <f>IFERROR(IF(AND(MIN(A953&gt;15,A953+Age&gt;=70),C953=1),VLOOKUP(A953,Output!$A$27:$AF$137,32,FALSE)*VLOOKUP('SV calc_ignore'!A953,Output!$A$27:$AG$137,33,FALSE)/IF(AnnuityMode=2,2,IF(AnnuityMode=4,4,IF(AnnuityMode=12,12,1))),0),0)</f>
        <v>0</v>
      </c>
      <c r="J953" s="227">
        <f t="shared" si="172"/>
        <v>0</v>
      </c>
      <c r="K953" s="213">
        <f t="shared" si="179"/>
        <v>0</v>
      </c>
      <c r="L953" s="209">
        <f t="shared" si="173"/>
        <v>0</v>
      </c>
      <c r="M953" s="214">
        <f t="shared" si="174"/>
        <v>0</v>
      </c>
      <c r="N953" s="211">
        <f t="shared" si="175"/>
        <v>0</v>
      </c>
      <c r="O953" s="194">
        <f t="shared" si="176"/>
        <v>0</v>
      </c>
      <c r="P953" s="212">
        <f t="shared" si="177"/>
        <v>0</v>
      </c>
      <c r="Q953">
        <f t="shared" si="181"/>
        <v>0</v>
      </c>
      <c r="X953" s="216">
        <f t="shared" si="180"/>
        <v>78</v>
      </c>
      <c r="Y953">
        <f t="shared" si="178"/>
        <v>0</v>
      </c>
    </row>
    <row r="954" spans="1:25" ht="13.5" thickBot="1" x14ac:dyDescent="0.25">
      <c r="A954" s="204">
        <f>IF(MOD(COUNT($A$10:A953),12)=0,A953+1,A953)</f>
        <v>79</v>
      </c>
      <c r="B954" s="218">
        <f t="shared" si="170"/>
        <v>9</v>
      </c>
      <c r="C954" s="218">
        <f t="shared" si="171"/>
        <v>1</v>
      </c>
      <c r="D954" s="208">
        <f>IF(MOD(COUNT($D$10:D953),6)=0,D953+1,D953)</f>
        <v>158</v>
      </c>
      <c r="E954" s="208">
        <f>IF(MOD(COUNT($E$10:E953),3)=0,E953+1,E953)</f>
        <v>315</v>
      </c>
      <c r="F954" s="208">
        <f>IF(MOD(COUNT($F$10:F953),1)=0,F953+1,F953)</f>
        <v>945</v>
      </c>
      <c r="G954" s="204">
        <f>IFERROR(IF(C954=1,VLOOKUP(A954,Output!$A$27:$AB$137,28,FALSE)/AnnuityMode,0),0)</f>
        <v>0</v>
      </c>
      <c r="H954" s="220">
        <f>IFERROR(IF(AND(MIN(A954&gt;25,Age+A954&gt;=85),B954=12),VLOOKUP(A954,Output!$A$27:$AE$137,31,FALSE),0),0)</f>
        <v>0</v>
      </c>
      <c r="I954" s="221">
        <f>IFERROR(IF(AND(MIN(A954&gt;15,A954+Age&gt;=70),C954=1),VLOOKUP(A954,Output!$A$27:$AF$137,32,FALSE)*VLOOKUP('SV calc_ignore'!A954,Output!$A$27:$AG$137,33,FALSE)/IF(AnnuityMode=2,2,IF(AnnuityMode=4,4,IF(AnnuityMode=12,12,1))),0),0)</f>
        <v>0</v>
      </c>
      <c r="J954" s="227">
        <f t="shared" si="172"/>
        <v>0</v>
      </c>
      <c r="K954" s="213">
        <f t="shared" si="179"/>
        <v>0</v>
      </c>
      <c r="L954" s="209">
        <f t="shared" si="173"/>
        <v>0</v>
      </c>
      <c r="M954" s="214">
        <f t="shared" si="174"/>
        <v>0</v>
      </c>
      <c r="N954" s="211">
        <f t="shared" si="175"/>
        <v>0</v>
      </c>
      <c r="O954" s="194">
        <f t="shared" si="176"/>
        <v>0</v>
      </c>
      <c r="P954" s="212">
        <f t="shared" si="177"/>
        <v>0</v>
      </c>
      <c r="Q954">
        <f t="shared" si="181"/>
        <v>0</v>
      </c>
      <c r="X954" s="216">
        <f t="shared" si="180"/>
        <v>78</v>
      </c>
      <c r="Y954">
        <f t="shared" si="178"/>
        <v>0</v>
      </c>
    </row>
    <row r="955" spans="1:25" ht="13.5" thickBot="1" x14ac:dyDescent="0.25">
      <c r="A955" s="204">
        <f>IF(MOD(COUNT($A$10:A954),12)=0,A954+1,A954)</f>
        <v>79</v>
      </c>
      <c r="B955" s="218">
        <f t="shared" si="170"/>
        <v>10</v>
      </c>
      <c r="C955" s="218">
        <f t="shared" si="171"/>
        <v>1</v>
      </c>
      <c r="D955" s="208">
        <f>IF(MOD(COUNT($D$10:D954),6)=0,D954+1,D954)</f>
        <v>158</v>
      </c>
      <c r="E955" s="208">
        <f>IF(MOD(COUNT($E$10:E954),3)=0,E954+1,E954)</f>
        <v>316</v>
      </c>
      <c r="F955" s="208">
        <f>IF(MOD(COUNT($F$10:F954),1)=0,F954+1,F954)</f>
        <v>946</v>
      </c>
      <c r="G955" s="204">
        <f>IFERROR(IF(C955=1,VLOOKUP(A955,Output!$A$27:$AB$137,28,FALSE)/AnnuityMode,0),0)</f>
        <v>0</v>
      </c>
      <c r="H955" s="220">
        <f>IFERROR(IF(AND(MIN(A955&gt;25,Age+A955&gt;=85),B955=12),VLOOKUP(A955,Output!$A$27:$AE$137,31,FALSE),0),0)</f>
        <v>0</v>
      </c>
      <c r="I955" s="221">
        <f>IFERROR(IF(AND(MIN(A955&gt;15,A955+Age&gt;=70),C955=1),VLOOKUP(A955,Output!$A$27:$AF$137,32,FALSE)*VLOOKUP('SV calc_ignore'!A955,Output!$A$27:$AG$137,33,FALSE)/IF(AnnuityMode=2,2,IF(AnnuityMode=4,4,IF(AnnuityMode=12,12,1))),0),0)</f>
        <v>0</v>
      </c>
      <c r="J955" s="227">
        <f t="shared" si="172"/>
        <v>0</v>
      </c>
      <c r="K955" s="213">
        <f t="shared" si="179"/>
        <v>0</v>
      </c>
      <c r="L955" s="209">
        <f t="shared" si="173"/>
        <v>0</v>
      </c>
      <c r="M955" s="214">
        <f t="shared" si="174"/>
        <v>0</v>
      </c>
      <c r="N955" s="211">
        <f t="shared" si="175"/>
        <v>0</v>
      </c>
      <c r="O955" s="194">
        <f t="shared" si="176"/>
        <v>0</v>
      </c>
      <c r="P955" s="212">
        <f t="shared" si="177"/>
        <v>0</v>
      </c>
      <c r="Q955">
        <f t="shared" si="181"/>
        <v>0</v>
      </c>
      <c r="X955" s="216">
        <f t="shared" si="180"/>
        <v>78</v>
      </c>
      <c r="Y955">
        <f t="shared" si="178"/>
        <v>0</v>
      </c>
    </row>
    <row r="956" spans="1:25" ht="13.5" thickBot="1" x14ac:dyDescent="0.25">
      <c r="A956" s="204">
        <f>IF(MOD(COUNT($A$10:A955),12)=0,A955+1,A955)</f>
        <v>79</v>
      </c>
      <c r="B956" s="218">
        <f t="shared" si="170"/>
        <v>11</v>
      </c>
      <c r="C956" s="218">
        <f t="shared" si="171"/>
        <v>1</v>
      </c>
      <c r="D956" s="208">
        <f>IF(MOD(COUNT($D$10:D955),6)=0,D955+1,D955)</f>
        <v>158</v>
      </c>
      <c r="E956" s="208">
        <f>IF(MOD(COUNT($E$10:E955),3)=0,E955+1,E955)</f>
        <v>316</v>
      </c>
      <c r="F956" s="208">
        <f>IF(MOD(COUNT($F$10:F955),1)=0,F955+1,F955)</f>
        <v>947</v>
      </c>
      <c r="G956" s="204">
        <f>IFERROR(IF(C956=1,VLOOKUP(A956,Output!$A$27:$AB$137,28,FALSE)/AnnuityMode,0),0)</f>
        <v>0</v>
      </c>
      <c r="H956" s="220">
        <f>IFERROR(IF(AND(MIN(A956&gt;25,Age+A956&gt;=85),B956=12),VLOOKUP(A956,Output!$A$27:$AE$137,31,FALSE),0),0)</f>
        <v>0</v>
      </c>
      <c r="I956" s="221">
        <f>IFERROR(IF(AND(MIN(A956&gt;15,A956+Age&gt;=70),C956=1),VLOOKUP(A956,Output!$A$27:$AF$137,32,FALSE)*VLOOKUP('SV calc_ignore'!A956,Output!$A$27:$AG$137,33,FALSE)/IF(AnnuityMode=2,2,IF(AnnuityMode=4,4,IF(AnnuityMode=12,12,1))),0),0)</f>
        <v>0</v>
      </c>
      <c r="J956" s="227">
        <f t="shared" si="172"/>
        <v>0</v>
      </c>
      <c r="K956" s="213">
        <f t="shared" si="179"/>
        <v>0</v>
      </c>
      <c r="L956" s="209">
        <f t="shared" si="173"/>
        <v>0</v>
      </c>
      <c r="M956" s="214">
        <f t="shared" si="174"/>
        <v>0</v>
      </c>
      <c r="N956" s="211">
        <f t="shared" si="175"/>
        <v>0</v>
      </c>
      <c r="O956" s="194">
        <f t="shared" si="176"/>
        <v>0</v>
      </c>
      <c r="P956" s="212">
        <f t="shared" si="177"/>
        <v>0</v>
      </c>
      <c r="Q956">
        <f t="shared" si="181"/>
        <v>0</v>
      </c>
      <c r="X956" s="216">
        <f t="shared" si="180"/>
        <v>78</v>
      </c>
      <c r="Y956">
        <f t="shared" si="178"/>
        <v>0</v>
      </c>
    </row>
    <row r="957" spans="1:25" ht="13.5" thickBot="1" x14ac:dyDescent="0.25">
      <c r="A957" s="204">
        <f>IF(MOD(COUNT($A$10:A956),12)=0,A956+1,A956)</f>
        <v>79</v>
      </c>
      <c r="B957" s="218">
        <f t="shared" si="170"/>
        <v>12</v>
      </c>
      <c r="C957" s="218">
        <f t="shared" si="171"/>
        <v>1</v>
      </c>
      <c r="D957" s="208">
        <f>IF(MOD(COUNT($D$10:D956),6)=0,D956+1,D956)</f>
        <v>158</v>
      </c>
      <c r="E957" s="208">
        <f>IF(MOD(COUNT($E$10:E956),3)=0,E956+1,E956)</f>
        <v>316</v>
      </c>
      <c r="F957" s="208">
        <f>IF(MOD(COUNT($F$10:F956),1)=0,F956+1,F956)</f>
        <v>948</v>
      </c>
      <c r="G957" s="204">
        <f>IFERROR(IF(C957=1,VLOOKUP(A957,Output!$A$27:$AB$137,28,FALSE)/AnnuityMode,0),0)</f>
        <v>0</v>
      </c>
      <c r="H957" s="220">
        <f>IFERROR(IF(AND(MIN(A957&gt;25,Age+A957&gt;=85),B957=12),VLOOKUP(A957,Output!$A$27:$AE$137,31,FALSE),0),0)</f>
        <v>0</v>
      </c>
      <c r="I957" s="221">
        <f>IFERROR(IF(AND(MIN(A957&gt;15,A957+Age&gt;=70),C957=1),VLOOKUP(A957,Output!$A$27:$AF$137,32,FALSE)*VLOOKUP('SV calc_ignore'!A957,Output!$A$27:$AG$137,33,FALSE)/IF(AnnuityMode=2,2,IF(AnnuityMode=4,4,IF(AnnuityMode=12,12,1))),0),0)</f>
        <v>0</v>
      </c>
      <c r="J957" s="227">
        <f t="shared" si="172"/>
        <v>0</v>
      </c>
      <c r="K957" s="213">
        <f t="shared" si="179"/>
        <v>0</v>
      </c>
      <c r="L957" s="209">
        <f t="shared" si="173"/>
        <v>0</v>
      </c>
      <c r="M957" s="214">
        <f t="shared" si="174"/>
        <v>0</v>
      </c>
      <c r="N957" s="211">
        <f t="shared" si="175"/>
        <v>0</v>
      </c>
      <c r="O957" s="194">
        <f t="shared" si="176"/>
        <v>0</v>
      </c>
      <c r="P957" s="212">
        <f t="shared" si="177"/>
        <v>0</v>
      </c>
      <c r="Q957">
        <f t="shared" si="181"/>
        <v>0</v>
      </c>
      <c r="X957" s="216">
        <f t="shared" si="180"/>
        <v>78</v>
      </c>
      <c r="Y957">
        <f t="shared" si="178"/>
        <v>0</v>
      </c>
    </row>
    <row r="958" spans="1:25" ht="13.5" thickBot="1" x14ac:dyDescent="0.25">
      <c r="A958" s="204">
        <f>IF(MOD(COUNT($A$10:A957),12)=0,A957+1,A957)</f>
        <v>80</v>
      </c>
      <c r="B958" s="218">
        <f t="shared" si="170"/>
        <v>1</v>
      </c>
      <c r="C958" s="218">
        <f t="shared" si="171"/>
        <v>1</v>
      </c>
      <c r="D958" s="208">
        <f>IF(MOD(COUNT($D$10:D957),6)=0,D957+1,D957)</f>
        <v>159</v>
      </c>
      <c r="E958" s="208">
        <f>IF(MOD(COUNT($E$10:E957),3)=0,E957+1,E957)</f>
        <v>317</v>
      </c>
      <c r="F958" s="208">
        <f>IF(MOD(COUNT($F$10:F957),1)=0,F957+1,F957)</f>
        <v>949</v>
      </c>
      <c r="G958" s="204">
        <f>IFERROR(IF(C958=1,VLOOKUP(A958,Output!$A$27:$AB$137,28,FALSE)/AnnuityMode,0),0)</f>
        <v>0</v>
      </c>
      <c r="H958" s="220">
        <f>IFERROR(IF(AND(MIN(A958&gt;25,Age+A958&gt;=85),B958=12),VLOOKUP(A958,Output!$A$27:$AE$137,31,FALSE),0),0)</f>
        <v>0</v>
      </c>
      <c r="I958" s="221">
        <f>IFERROR(IF(AND(MIN(A958&gt;15,A958+Age&gt;=70),C958=1),VLOOKUP(A958,Output!$A$27:$AF$137,32,FALSE)*VLOOKUP('SV calc_ignore'!A958,Output!$A$27:$AG$137,33,FALSE)/IF(AnnuityMode=2,2,IF(AnnuityMode=4,4,IF(AnnuityMode=12,12,1))),0),0)</f>
        <v>0</v>
      </c>
      <c r="J958" s="227">
        <f t="shared" si="172"/>
        <v>0</v>
      </c>
      <c r="K958" s="213">
        <f t="shared" si="179"/>
        <v>0</v>
      </c>
      <c r="L958" s="209">
        <f t="shared" si="173"/>
        <v>0</v>
      </c>
      <c r="M958" s="214">
        <f t="shared" si="174"/>
        <v>0</v>
      </c>
      <c r="N958" s="211">
        <f t="shared" si="175"/>
        <v>0</v>
      </c>
      <c r="O958" s="194">
        <f t="shared" si="176"/>
        <v>0</v>
      </c>
      <c r="P958" s="212">
        <f t="shared" si="177"/>
        <v>0</v>
      </c>
      <c r="Q958">
        <f t="shared" si="181"/>
        <v>0</v>
      </c>
      <c r="X958" s="216">
        <f t="shared" si="180"/>
        <v>79</v>
      </c>
      <c r="Y958">
        <f t="shared" si="178"/>
        <v>0</v>
      </c>
    </row>
    <row r="959" spans="1:25" ht="13.5" thickBot="1" x14ac:dyDescent="0.25">
      <c r="A959" s="204">
        <f>IF(MOD(COUNT($A$10:A958),12)=0,A958+1,A958)</f>
        <v>80</v>
      </c>
      <c r="B959" s="218">
        <f t="shared" si="170"/>
        <v>2</v>
      </c>
      <c r="C959" s="218">
        <f t="shared" si="171"/>
        <v>1</v>
      </c>
      <c r="D959" s="208">
        <f>IF(MOD(COUNT($D$10:D958),6)=0,D958+1,D958)</f>
        <v>159</v>
      </c>
      <c r="E959" s="208">
        <f>IF(MOD(COUNT($E$10:E958),3)=0,E958+1,E958)</f>
        <v>317</v>
      </c>
      <c r="F959" s="208">
        <f>IF(MOD(COUNT($F$10:F958),1)=0,F958+1,F958)</f>
        <v>950</v>
      </c>
      <c r="G959" s="204">
        <f>IFERROR(IF(C959=1,VLOOKUP(A959,Output!$A$27:$AB$137,28,FALSE)/AnnuityMode,0),0)</f>
        <v>0</v>
      </c>
      <c r="H959" s="220">
        <f>IFERROR(IF(AND(MIN(A959&gt;25,Age+A959&gt;=85),B959=12),VLOOKUP(A959,Output!$A$27:$AE$137,31,FALSE),0),0)</f>
        <v>0</v>
      </c>
      <c r="I959" s="221">
        <f>IFERROR(IF(AND(MIN(A959&gt;15,A959+Age&gt;=70),C959=1),VLOOKUP(A959,Output!$A$27:$AF$137,32,FALSE)*VLOOKUP('SV calc_ignore'!A959,Output!$A$27:$AG$137,33,FALSE)/IF(AnnuityMode=2,2,IF(AnnuityMode=4,4,IF(AnnuityMode=12,12,1))),0),0)</f>
        <v>0</v>
      </c>
      <c r="J959" s="227">
        <f t="shared" si="172"/>
        <v>0</v>
      </c>
      <c r="K959" s="213">
        <f t="shared" si="179"/>
        <v>0</v>
      </c>
      <c r="L959" s="209">
        <f t="shared" si="173"/>
        <v>0</v>
      </c>
      <c r="M959" s="214">
        <f t="shared" si="174"/>
        <v>0</v>
      </c>
      <c r="N959" s="211">
        <f t="shared" si="175"/>
        <v>0</v>
      </c>
      <c r="O959" s="194">
        <f t="shared" si="176"/>
        <v>0</v>
      </c>
      <c r="P959" s="212">
        <f t="shared" si="177"/>
        <v>0</v>
      </c>
      <c r="Q959">
        <f t="shared" si="181"/>
        <v>0</v>
      </c>
      <c r="X959" s="216">
        <f t="shared" si="180"/>
        <v>79</v>
      </c>
      <c r="Y959">
        <f t="shared" si="178"/>
        <v>0</v>
      </c>
    </row>
    <row r="960" spans="1:25" ht="13.5" thickBot="1" x14ac:dyDescent="0.25">
      <c r="A960" s="204">
        <f>IF(MOD(COUNT($A$10:A959),12)=0,A959+1,A959)</f>
        <v>80</v>
      </c>
      <c r="B960" s="218">
        <f t="shared" si="170"/>
        <v>3</v>
      </c>
      <c r="C960" s="218">
        <f t="shared" si="171"/>
        <v>1</v>
      </c>
      <c r="D960" s="208">
        <f>IF(MOD(COUNT($D$10:D959),6)=0,D959+1,D959)</f>
        <v>159</v>
      </c>
      <c r="E960" s="208">
        <f>IF(MOD(COUNT($E$10:E959),3)=0,E959+1,E959)</f>
        <v>317</v>
      </c>
      <c r="F960" s="208">
        <f>IF(MOD(COUNT($F$10:F959),1)=0,F959+1,F959)</f>
        <v>951</v>
      </c>
      <c r="G960" s="204">
        <f>IFERROR(IF(C960=1,VLOOKUP(A960,Output!$A$27:$AB$137,28,FALSE)/AnnuityMode,0),0)</f>
        <v>0</v>
      </c>
      <c r="H960" s="220">
        <f>IFERROR(IF(AND(MIN(A960&gt;25,Age+A960&gt;=85),B960=12),VLOOKUP(A960,Output!$A$27:$AE$137,31,FALSE),0),0)</f>
        <v>0</v>
      </c>
      <c r="I960" s="221">
        <f>IFERROR(IF(AND(MIN(A960&gt;15,A960+Age&gt;=70),C960=1),VLOOKUP(A960,Output!$A$27:$AF$137,32,FALSE)*VLOOKUP('SV calc_ignore'!A960,Output!$A$27:$AG$137,33,FALSE)/IF(AnnuityMode=2,2,IF(AnnuityMode=4,4,IF(AnnuityMode=12,12,1))),0),0)</f>
        <v>0</v>
      </c>
      <c r="J960" s="227">
        <f t="shared" si="172"/>
        <v>0</v>
      </c>
      <c r="K960" s="213">
        <f t="shared" si="179"/>
        <v>0</v>
      </c>
      <c r="L960" s="209">
        <f t="shared" si="173"/>
        <v>0</v>
      </c>
      <c r="M960" s="214">
        <f t="shared" si="174"/>
        <v>0</v>
      </c>
      <c r="N960" s="211">
        <f t="shared" si="175"/>
        <v>0</v>
      </c>
      <c r="O960" s="194">
        <f t="shared" si="176"/>
        <v>0</v>
      </c>
      <c r="P960" s="212">
        <f t="shared" si="177"/>
        <v>0</v>
      </c>
      <c r="Q960">
        <f t="shared" si="181"/>
        <v>0</v>
      </c>
      <c r="X960" s="216">
        <f t="shared" si="180"/>
        <v>79</v>
      </c>
      <c r="Y960">
        <f t="shared" si="178"/>
        <v>0</v>
      </c>
    </row>
    <row r="961" spans="1:25" ht="13.5" thickBot="1" x14ac:dyDescent="0.25">
      <c r="A961" s="204">
        <f>IF(MOD(COUNT($A$10:A960),12)=0,A960+1,A960)</f>
        <v>80</v>
      </c>
      <c r="B961" s="218">
        <f t="shared" si="170"/>
        <v>4</v>
      </c>
      <c r="C961" s="218">
        <f t="shared" si="171"/>
        <v>1</v>
      </c>
      <c r="D961" s="208">
        <f>IF(MOD(COUNT($D$10:D960),6)=0,D960+1,D960)</f>
        <v>159</v>
      </c>
      <c r="E961" s="208">
        <f>IF(MOD(COUNT($E$10:E960),3)=0,E960+1,E960)</f>
        <v>318</v>
      </c>
      <c r="F961" s="208">
        <f>IF(MOD(COUNT($F$10:F960),1)=0,F960+1,F960)</f>
        <v>952</v>
      </c>
      <c r="G961" s="204">
        <f>IFERROR(IF(C961=1,VLOOKUP(A961,Output!$A$27:$AB$137,28,FALSE)/AnnuityMode,0),0)</f>
        <v>0</v>
      </c>
      <c r="H961" s="220">
        <f>IFERROR(IF(AND(MIN(A961&gt;25,Age+A961&gt;=85),B961=12),VLOOKUP(A961,Output!$A$27:$AE$137,31,FALSE),0),0)</f>
        <v>0</v>
      </c>
      <c r="I961" s="221">
        <f>IFERROR(IF(AND(MIN(A961&gt;15,A961+Age&gt;=70),C961=1),VLOOKUP(A961,Output!$A$27:$AF$137,32,FALSE)*VLOOKUP('SV calc_ignore'!A961,Output!$A$27:$AG$137,33,FALSE)/IF(AnnuityMode=2,2,IF(AnnuityMode=4,4,IF(AnnuityMode=12,12,1))),0),0)</f>
        <v>0</v>
      </c>
      <c r="J961" s="227">
        <f t="shared" si="172"/>
        <v>0</v>
      </c>
      <c r="K961" s="213">
        <f t="shared" si="179"/>
        <v>0</v>
      </c>
      <c r="L961" s="209">
        <f t="shared" si="173"/>
        <v>0</v>
      </c>
      <c r="M961" s="214">
        <f t="shared" si="174"/>
        <v>0</v>
      </c>
      <c r="N961" s="211">
        <f t="shared" si="175"/>
        <v>0</v>
      </c>
      <c r="O961" s="194">
        <f t="shared" si="176"/>
        <v>0</v>
      </c>
      <c r="P961" s="212">
        <f t="shared" si="177"/>
        <v>0</v>
      </c>
      <c r="Q961">
        <f t="shared" si="181"/>
        <v>0</v>
      </c>
      <c r="X961" s="216">
        <f t="shared" si="180"/>
        <v>79</v>
      </c>
      <c r="Y961">
        <f t="shared" si="178"/>
        <v>0</v>
      </c>
    </row>
    <row r="962" spans="1:25" ht="13.5" thickBot="1" x14ac:dyDescent="0.25">
      <c r="A962" s="204">
        <f>IF(MOD(COUNT($A$10:A961),12)=0,A961+1,A961)</f>
        <v>80</v>
      </c>
      <c r="B962" s="218">
        <f t="shared" ref="B962:B1025" si="182">IF(A961&lt;&gt;A962,1,B961+1)</f>
        <v>5</v>
      </c>
      <c r="C962" s="218">
        <f t="shared" ref="C962:C1025" si="183">IF(AND(AnnuityMode=1,B962=12),1,IF(AND(OR(B962=6,B962=12),AnnuityMode=2),1,IF(AND(OR(B962=3,B962=6,B962=12,B962=9),AnnuityMode=4),1,IF(AND(OR(B962=1,B962=2,B962=3,B962=4,B962=5,B962=6,B962=7,B962=8,B962=9,B962=10,B962=11,B962=12),AnnuityMode=12),1,0))))</f>
        <v>1</v>
      </c>
      <c r="D962" s="208">
        <f>IF(MOD(COUNT($D$10:D961),6)=0,D961+1,D961)</f>
        <v>159</v>
      </c>
      <c r="E962" s="208">
        <f>IF(MOD(COUNT($E$10:E961),3)=0,E961+1,E961)</f>
        <v>318</v>
      </c>
      <c r="F962" s="208">
        <f>IF(MOD(COUNT($F$10:F961),1)=0,F961+1,F961)</f>
        <v>953</v>
      </c>
      <c r="G962" s="204">
        <f>IFERROR(IF(C962=1,VLOOKUP(A962,Output!$A$27:$AB$137,28,FALSE)/AnnuityMode,0),0)</f>
        <v>0</v>
      </c>
      <c r="H962" s="220">
        <f>IFERROR(IF(AND(MIN(A962&gt;25,Age+A962&gt;=85),B962=12),VLOOKUP(A962,Output!$A$27:$AE$137,31,FALSE),0),0)</f>
        <v>0</v>
      </c>
      <c r="I962" s="221">
        <f>IFERROR(IF(AND(MIN(A962&gt;15,A962+Age&gt;=70),C962=1),VLOOKUP(A962,Output!$A$27:$AF$137,32,FALSE)*VLOOKUP('SV calc_ignore'!A962,Output!$A$27:$AG$137,33,FALSE)/IF(AnnuityMode=2,2,IF(AnnuityMode=4,4,IF(AnnuityMode=12,12,1))),0),0)</f>
        <v>0</v>
      </c>
      <c r="J962" s="227">
        <f t="shared" ref="J962:J1025" si="184">G962+(J963)*(1+$K$3)^(-1)</f>
        <v>0</v>
      </c>
      <c r="K962" s="213">
        <f t="shared" si="179"/>
        <v>0</v>
      </c>
      <c r="L962" s="209">
        <f t="shared" ref="L962:L1025" si="185">(L963+G963)*$K$2</f>
        <v>0</v>
      </c>
      <c r="M962" s="214">
        <f t="shared" ref="M962:M1025" si="186">L961*(1+$K$3)</f>
        <v>0</v>
      </c>
      <c r="N962" s="211">
        <f t="shared" ref="N962:N1025" si="187">M962-L962-G962</f>
        <v>0</v>
      </c>
      <c r="O962" s="194">
        <f t="shared" ref="O962:O1025" si="188">MAX($H$10:$H$897)/(1+$K$3)^($Q$5*12-F962)*(A962&lt;=$Q$5)</f>
        <v>0</v>
      </c>
      <c r="P962" s="212">
        <f t="shared" si="177"/>
        <v>0</v>
      </c>
      <c r="Q962">
        <f t="shared" si="181"/>
        <v>0</v>
      </c>
      <c r="X962" s="216">
        <f t="shared" si="180"/>
        <v>79</v>
      </c>
      <c r="Y962">
        <f t="shared" si="178"/>
        <v>0</v>
      </c>
    </row>
    <row r="963" spans="1:25" ht="13.5" thickBot="1" x14ac:dyDescent="0.25">
      <c r="A963" s="204">
        <f>IF(MOD(COUNT($A$10:A962),12)=0,A962+1,A962)</f>
        <v>80</v>
      </c>
      <c r="B963" s="218">
        <f t="shared" si="182"/>
        <v>6</v>
      </c>
      <c r="C963" s="218">
        <f t="shared" si="183"/>
        <v>1</v>
      </c>
      <c r="D963" s="208">
        <f>IF(MOD(COUNT($D$10:D962),6)=0,D962+1,D962)</f>
        <v>159</v>
      </c>
      <c r="E963" s="208">
        <f>IF(MOD(COUNT($E$10:E962),3)=0,E962+1,E962)</f>
        <v>318</v>
      </c>
      <c r="F963" s="208">
        <f>IF(MOD(COUNT($F$10:F962),1)=0,F962+1,F962)</f>
        <v>954</v>
      </c>
      <c r="G963" s="204">
        <f>IFERROR(IF(C963=1,VLOOKUP(A963,Output!$A$27:$AB$137,28,FALSE)/AnnuityMode,0),0)</f>
        <v>0</v>
      </c>
      <c r="H963" s="220">
        <f>IFERROR(IF(AND(MIN(A963&gt;25,Age+A963&gt;=85),B963=12),VLOOKUP(A963,Output!$A$27:$AE$137,31,FALSE),0),0)</f>
        <v>0</v>
      </c>
      <c r="I963" s="221">
        <f>IFERROR(IF(AND(MIN(A963&gt;15,A963+Age&gt;=70),C963=1),VLOOKUP(A963,Output!$A$27:$AF$137,32,FALSE)*VLOOKUP('SV calc_ignore'!A963,Output!$A$27:$AG$137,33,FALSE)/IF(AnnuityMode=2,2,IF(AnnuityMode=4,4,IF(AnnuityMode=12,12,1))),0),0)</f>
        <v>0</v>
      </c>
      <c r="J963" s="227">
        <f t="shared" si="184"/>
        <v>0</v>
      </c>
      <c r="K963" s="213">
        <f t="shared" si="179"/>
        <v>0</v>
      </c>
      <c r="L963" s="209">
        <f t="shared" si="185"/>
        <v>0</v>
      </c>
      <c r="M963" s="214">
        <f t="shared" si="186"/>
        <v>0</v>
      </c>
      <c r="N963" s="211">
        <f t="shared" si="187"/>
        <v>0</v>
      </c>
      <c r="O963" s="194">
        <f t="shared" si="188"/>
        <v>0</v>
      </c>
      <c r="P963" s="212">
        <f t="shared" si="177"/>
        <v>0</v>
      </c>
      <c r="Q963">
        <f t="shared" si="181"/>
        <v>0</v>
      </c>
      <c r="X963" s="216">
        <f t="shared" si="180"/>
        <v>79</v>
      </c>
      <c r="Y963">
        <f t="shared" si="178"/>
        <v>0</v>
      </c>
    </row>
    <row r="964" spans="1:25" ht="13.5" thickBot="1" x14ac:dyDescent="0.25">
      <c r="A964" s="204">
        <f>IF(MOD(COUNT($A$10:A963),12)=0,A963+1,A963)</f>
        <v>80</v>
      </c>
      <c r="B964" s="218">
        <f t="shared" si="182"/>
        <v>7</v>
      </c>
      <c r="C964" s="218">
        <f t="shared" si="183"/>
        <v>1</v>
      </c>
      <c r="D964" s="208">
        <f>IF(MOD(COUNT($D$10:D963),6)=0,D963+1,D963)</f>
        <v>160</v>
      </c>
      <c r="E964" s="208">
        <f>IF(MOD(COUNT($E$10:E963),3)=0,E963+1,E963)</f>
        <v>319</v>
      </c>
      <c r="F964" s="208">
        <f>IF(MOD(COUNT($F$10:F963),1)=0,F963+1,F963)</f>
        <v>955</v>
      </c>
      <c r="G964" s="204">
        <f>IFERROR(IF(C964=1,VLOOKUP(A964,Output!$A$27:$AB$137,28,FALSE)/AnnuityMode,0),0)</f>
        <v>0</v>
      </c>
      <c r="H964" s="220">
        <f>IFERROR(IF(AND(MIN(A964&gt;25,Age+A964&gt;=85),B964=12),VLOOKUP(A964,Output!$A$27:$AE$137,31,FALSE),0),0)</f>
        <v>0</v>
      </c>
      <c r="I964" s="221">
        <f>IFERROR(IF(AND(MIN(A964&gt;15,A964+Age&gt;=70),C964=1),VLOOKUP(A964,Output!$A$27:$AF$137,32,FALSE)*VLOOKUP('SV calc_ignore'!A964,Output!$A$27:$AG$137,33,FALSE)/IF(AnnuityMode=2,2,IF(AnnuityMode=4,4,IF(AnnuityMode=12,12,1))),0),0)</f>
        <v>0</v>
      </c>
      <c r="J964" s="227">
        <f t="shared" si="184"/>
        <v>0</v>
      </c>
      <c r="K964" s="213">
        <f t="shared" si="179"/>
        <v>0</v>
      </c>
      <c r="L964" s="209">
        <f t="shared" si="185"/>
        <v>0</v>
      </c>
      <c r="M964" s="214">
        <f t="shared" si="186"/>
        <v>0</v>
      </c>
      <c r="N964" s="211">
        <f t="shared" si="187"/>
        <v>0</v>
      </c>
      <c r="O964" s="194">
        <f t="shared" si="188"/>
        <v>0</v>
      </c>
      <c r="P964" s="212">
        <f t="shared" si="177"/>
        <v>0</v>
      </c>
      <c r="Q964">
        <f t="shared" si="181"/>
        <v>0</v>
      </c>
      <c r="X964" s="216">
        <f t="shared" si="180"/>
        <v>79</v>
      </c>
      <c r="Y964">
        <f t="shared" si="178"/>
        <v>0</v>
      </c>
    </row>
    <row r="965" spans="1:25" ht="13.5" thickBot="1" x14ac:dyDescent="0.25">
      <c r="A965" s="204">
        <f>IF(MOD(COUNT($A$10:A964),12)=0,A964+1,A964)</f>
        <v>80</v>
      </c>
      <c r="B965" s="218">
        <f t="shared" si="182"/>
        <v>8</v>
      </c>
      <c r="C965" s="218">
        <f t="shared" si="183"/>
        <v>1</v>
      </c>
      <c r="D965" s="208">
        <f>IF(MOD(COUNT($D$10:D964),6)=0,D964+1,D964)</f>
        <v>160</v>
      </c>
      <c r="E965" s="208">
        <f>IF(MOD(COUNT($E$10:E964),3)=0,E964+1,E964)</f>
        <v>319</v>
      </c>
      <c r="F965" s="208">
        <f>IF(MOD(COUNT($F$10:F964),1)=0,F964+1,F964)</f>
        <v>956</v>
      </c>
      <c r="G965" s="204">
        <f>IFERROR(IF(C965=1,VLOOKUP(A965,Output!$A$27:$AB$137,28,FALSE)/AnnuityMode,0),0)</f>
        <v>0</v>
      </c>
      <c r="H965" s="220">
        <f>IFERROR(IF(AND(MIN(A965&gt;25,Age+A965&gt;=85),B965=12),VLOOKUP(A965,Output!$A$27:$AE$137,31,FALSE),0),0)</f>
        <v>0</v>
      </c>
      <c r="I965" s="221">
        <f>IFERROR(IF(AND(MIN(A965&gt;15,A965+Age&gt;=70),C965=1),VLOOKUP(A965,Output!$A$27:$AF$137,32,FALSE)*VLOOKUP('SV calc_ignore'!A965,Output!$A$27:$AG$137,33,FALSE)/IF(AnnuityMode=2,2,IF(AnnuityMode=4,4,IF(AnnuityMode=12,12,1))),0),0)</f>
        <v>0</v>
      </c>
      <c r="J965" s="227">
        <f t="shared" si="184"/>
        <v>0</v>
      </c>
      <c r="K965" s="213">
        <f t="shared" si="179"/>
        <v>0</v>
      </c>
      <c r="L965" s="209">
        <f t="shared" si="185"/>
        <v>0</v>
      </c>
      <c r="M965" s="214">
        <f t="shared" si="186"/>
        <v>0</v>
      </c>
      <c r="N965" s="211">
        <f t="shared" si="187"/>
        <v>0</v>
      </c>
      <c r="O965" s="194">
        <f t="shared" si="188"/>
        <v>0</v>
      </c>
      <c r="P965" s="212">
        <f t="shared" si="177"/>
        <v>0</v>
      </c>
      <c r="Q965">
        <f t="shared" si="181"/>
        <v>0</v>
      </c>
      <c r="X965" s="216">
        <f t="shared" si="180"/>
        <v>79</v>
      </c>
      <c r="Y965">
        <f t="shared" si="178"/>
        <v>0</v>
      </c>
    </row>
    <row r="966" spans="1:25" ht="13.5" thickBot="1" x14ac:dyDescent="0.25">
      <c r="A966" s="204">
        <f>IF(MOD(COUNT($A$10:A965),12)=0,A965+1,A965)</f>
        <v>80</v>
      </c>
      <c r="B966" s="218">
        <f t="shared" si="182"/>
        <v>9</v>
      </c>
      <c r="C966" s="218">
        <f t="shared" si="183"/>
        <v>1</v>
      </c>
      <c r="D966" s="208">
        <f>IF(MOD(COUNT($D$10:D965),6)=0,D965+1,D965)</f>
        <v>160</v>
      </c>
      <c r="E966" s="208">
        <f>IF(MOD(COUNT($E$10:E965),3)=0,E965+1,E965)</f>
        <v>319</v>
      </c>
      <c r="F966" s="208">
        <f>IF(MOD(COUNT($F$10:F965),1)=0,F965+1,F965)</f>
        <v>957</v>
      </c>
      <c r="G966" s="204">
        <f>IFERROR(IF(C966=1,VLOOKUP(A966,Output!$A$27:$AB$137,28,FALSE)/AnnuityMode,0),0)</f>
        <v>0</v>
      </c>
      <c r="H966" s="220">
        <f>IFERROR(IF(AND(MIN(A966&gt;25,Age+A966&gt;=85),B966=12),VLOOKUP(A966,Output!$A$27:$AE$137,31,FALSE),0),0)</f>
        <v>0</v>
      </c>
      <c r="I966" s="221">
        <f>IFERROR(IF(AND(MIN(A966&gt;15,A966+Age&gt;=70),C966=1),VLOOKUP(A966,Output!$A$27:$AF$137,32,FALSE)*VLOOKUP('SV calc_ignore'!A966,Output!$A$27:$AG$137,33,FALSE)/IF(AnnuityMode=2,2,IF(AnnuityMode=4,4,IF(AnnuityMode=12,12,1))),0),0)</f>
        <v>0</v>
      </c>
      <c r="J966" s="227">
        <f t="shared" si="184"/>
        <v>0</v>
      </c>
      <c r="K966" s="213">
        <f t="shared" si="179"/>
        <v>0</v>
      </c>
      <c r="L966" s="209">
        <f t="shared" si="185"/>
        <v>0</v>
      </c>
      <c r="M966" s="214">
        <f t="shared" si="186"/>
        <v>0</v>
      </c>
      <c r="N966" s="211">
        <f t="shared" si="187"/>
        <v>0</v>
      </c>
      <c r="O966" s="194">
        <f t="shared" si="188"/>
        <v>0</v>
      </c>
      <c r="P966" s="212">
        <f t="shared" si="177"/>
        <v>0</v>
      </c>
      <c r="Q966">
        <f t="shared" si="181"/>
        <v>0</v>
      </c>
      <c r="X966" s="216">
        <f t="shared" si="180"/>
        <v>79</v>
      </c>
      <c r="Y966">
        <f t="shared" si="178"/>
        <v>0</v>
      </c>
    </row>
    <row r="967" spans="1:25" ht="13.5" thickBot="1" x14ac:dyDescent="0.25">
      <c r="A967" s="204">
        <f>IF(MOD(COUNT($A$10:A966),12)=0,A966+1,A966)</f>
        <v>80</v>
      </c>
      <c r="B967" s="218">
        <f t="shared" si="182"/>
        <v>10</v>
      </c>
      <c r="C967" s="218">
        <f t="shared" si="183"/>
        <v>1</v>
      </c>
      <c r="D967" s="208">
        <f>IF(MOD(COUNT($D$10:D966),6)=0,D966+1,D966)</f>
        <v>160</v>
      </c>
      <c r="E967" s="208">
        <f>IF(MOD(COUNT($E$10:E966),3)=0,E966+1,E966)</f>
        <v>320</v>
      </c>
      <c r="F967" s="208">
        <f>IF(MOD(COUNT($F$10:F966),1)=0,F966+1,F966)</f>
        <v>958</v>
      </c>
      <c r="G967" s="204">
        <f>IFERROR(IF(C967=1,VLOOKUP(A967,Output!$A$27:$AB$137,28,FALSE)/AnnuityMode,0),0)</f>
        <v>0</v>
      </c>
      <c r="H967" s="220">
        <f>IFERROR(IF(AND(MIN(A967&gt;25,Age+A967&gt;=85),B967=12),VLOOKUP(A967,Output!$A$27:$AE$137,31,FALSE),0),0)</f>
        <v>0</v>
      </c>
      <c r="I967" s="221">
        <f>IFERROR(IF(AND(MIN(A967&gt;15,A967+Age&gt;=70),C967=1),VLOOKUP(A967,Output!$A$27:$AF$137,32,FALSE)*VLOOKUP('SV calc_ignore'!A967,Output!$A$27:$AG$137,33,FALSE)/IF(AnnuityMode=2,2,IF(AnnuityMode=4,4,IF(AnnuityMode=12,12,1))),0),0)</f>
        <v>0</v>
      </c>
      <c r="J967" s="227">
        <f t="shared" si="184"/>
        <v>0</v>
      </c>
      <c r="K967" s="213">
        <f t="shared" si="179"/>
        <v>0</v>
      </c>
      <c r="L967" s="209">
        <f t="shared" si="185"/>
        <v>0</v>
      </c>
      <c r="M967" s="214">
        <f t="shared" si="186"/>
        <v>0</v>
      </c>
      <c r="N967" s="211">
        <f t="shared" si="187"/>
        <v>0</v>
      </c>
      <c r="O967" s="194">
        <f t="shared" si="188"/>
        <v>0</v>
      </c>
      <c r="P967" s="212">
        <f t="shared" si="177"/>
        <v>0</v>
      </c>
      <c r="Q967">
        <f t="shared" si="181"/>
        <v>0</v>
      </c>
      <c r="X967" s="216">
        <f t="shared" si="180"/>
        <v>79</v>
      </c>
      <c r="Y967">
        <f t="shared" si="178"/>
        <v>0</v>
      </c>
    </row>
    <row r="968" spans="1:25" ht="13.5" thickBot="1" x14ac:dyDescent="0.25">
      <c r="A968" s="204">
        <f>IF(MOD(COUNT($A$10:A967),12)=0,A967+1,A967)</f>
        <v>80</v>
      </c>
      <c r="B968" s="218">
        <f t="shared" si="182"/>
        <v>11</v>
      </c>
      <c r="C968" s="218">
        <f t="shared" si="183"/>
        <v>1</v>
      </c>
      <c r="D968" s="208">
        <f>IF(MOD(COUNT($D$10:D967),6)=0,D967+1,D967)</f>
        <v>160</v>
      </c>
      <c r="E968" s="208">
        <f>IF(MOD(COUNT($E$10:E967),3)=0,E967+1,E967)</f>
        <v>320</v>
      </c>
      <c r="F968" s="208">
        <f>IF(MOD(COUNT($F$10:F967),1)=0,F967+1,F967)</f>
        <v>959</v>
      </c>
      <c r="G968" s="204">
        <f>IFERROR(IF(C968=1,VLOOKUP(A968,Output!$A$27:$AB$137,28,FALSE)/AnnuityMode,0),0)</f>
        <v>0</v>
      </c>
      <c r="H968" s="220">
        <f>IFERROR(IF(AND(MIN(A968&gt;25,Age+A968&gt;=85),B968=12),VLOOKUP(A968,Output!$A$27:$AE$137,31,FALSE),0),0)</f>
        <v>0</v>
      </c>
      <c r="I968" s="221">
        <f>IFERROR(IF(AND(MIN(A968&gt;15,A968+Age&gt;=70),C968=1),VLOOKUP(A968,Output!$A$27:$AF$137,32,FALSE)*VLOOKUP('SV calc_ignore'!A968,Output!$A$27:$AG$137,33,FALSE)/IF(AnnuityMode=2,2,IF(AnnuityMode=4,4,IF(AnnuityMode=12,12,1))),0),0)</f>
        <v>0</v>
      </c>
      <c r="J968" s="227">
        <f t="shared" si="184"/>
        <v>0</v>
      </c>
      <c r="K968" s="213">
        <f t="shared" si="179"/>
        <v>0</v>
      </c>
      <c r="L968" s="209">
        <f t="shared" si="185"/>
        <v>0</v>
      </c>
      <c r="M968" s="214">
        <f t="shared" si="186"/>
        <v>0</v>
      </c>
      <c r="N968" s="211">
        <f t="shared" si="187"/>
        <v>0</v>
      </c>
      <c r="O968" s="194">
        <f t="shared" si="188"/>
        <v>0</v>
      </c>
      <c r="P968" s="212">
        <f t="shared" si="177"/>
        <v>0</v>
      </c>
      <c r="Q968">
        <f t="shared" si="181"/>
        <v>0</v>
      </c>
      <c r="X968" s="216">
        <f t="shared" si="180"/>
        <v>79</v>
      </c>
      <c r="Y968">
        <f t="shared" si="178"/>
        <v>0</v>
      </c>
    </row>
    <row r="969" spans="1:25" ht="13.5" thickBot="1" x14ac:dyDescent="0.25">
      <c r="A969" s="204">
        <f>IF(MOD(COUNT($A$10:A968),12)=0,A968+1,A968)</f>
        <v>80</v>
      </c>
      <c r="B969" s="218">
        <f t="shared" si="182"/>
        <v>12</v>
      </c>
      <c r="C969" s="218">
        <f t="shared" si="183"/>
        <v>1</v>
      </c>
      <c r="D969" s="208">
        <f>IF(MOD(COUNT($D$10:D968),6)=0,D968+1,D968)</f>
        <v>160</v>
      </c>
      <c r="E969" s="208">
        <f>IF(MOD(COUNT($E$10:E968),3)=0,E968+1,E968)</f>
        <v>320</v>
      </c>
      <c r="F969" s="208">
        <f>IF(MOD(COUNT($F$10:F968),1)=0,F968+1,F968)</f>
        <v>960</v>
      </c>
      <c r="G969" s="204">
        <f>IFERROR(IF(C969=1,VLOOKUP(A969,Output!$A$27:$AB$137,28,FALSE)/AnnuityMode,0),0)</f>
        <v>0</v>
      </c>
      <c r="H969" s="220">
        <f>IFERROR(IF(AND(MIN(A969&gt;25,Age+A969&gt;=85),B969=12),VLOOKUP(A969,Output!$A$27:$AE$137,31,FALSE),0),0)</f>
        <v>0</v>
      </c>
      <c r="I969" s="221">
        <f>IFERROR(IF(AND(MIN(A969&gt;15,A969+Age&gt;=70),C969=1),VLOOKUP(A969,Output!$A$27:$AF$137,32,FALSE)*VLOOKUP('SV calc_ignore'!A969,Output!$A$27:$AG$137,33,FALSE)/IF(AnnuityMode=2,2,IF(AnnuityMode=4,4,IF(AnnuityMode=12,12,1))),0),0)</f>
        <v>0</v>
      </c>
      <c r="J969" s="227">
        <f t="shared" si="184"/>
        <v>0</v>
      </c>
      <c r="K969" s="213">
        <f t="shared" si="179"/>
        <v>0</v>
      </c>
      <c r="L969" s="209">
        <f t="shared" si="185"/>
        <v>0</v>
      </c>
      <c r="M969" s="214">
        <f t="shared" si="186"/>
        <v>0</v>
      </c>
      <c r="N969" s="211">
        <f t="shared" si="187"/>
        <v>0</v>
      </c>
      <c r="O969" s="194">
        <f t="shared" si="188"/>
        <v>0</v>
      </c>
      <c r="P969" s="212">
        <f t="shared" si="177"/>
        <v>0</v>
      </c>
      <c r="Q969">
        <f t="shared" si="181"/>
        <v>0</v>
      </c>
      <c r="X969" s="216">
        <f t="shared" si="180"/>
        <v>79</v>
      </c>
      <c r="Y969">
        <f t="shared" si="178"/>
        <v>0</v>
      </c>
    </row>
    <row r="970" spans="1:25" ht="13.5" thickBot="1" x14ac:dyDescent="0.25">
      <c r="A970" s="204">
        <f>IF(MOD(COUNT($A$10:A969),12)=0,A969+1,A969)</f>
        <v>81</v>
      </c>
      <c r="B970" s="218">
        <f t="shared" si="182"/>
        <v>1</v>
      </c>
      <c r="C970" s="218">
        <f t="shared" si="183"/>
        <v>1</v>
      </c>
      <c r="D970" s="208">
        <f>IF(MOD(COUNT($D$10:D969),6)=0,D969+1,D969)</f>
        <v>161</v>
      </c>
      <c r="E970" s="208">
        <f>IF(MOD(COUNT($E$10:E969),3)=0,E969+1,E969)</f>
        <v>321</v>
      </c>
      <c r="F970" s="208">
        <f>IF(MOD(COUNT($F$10:F969),1)=0,F969+1,F969)</f>
        <v>961</v>
      </c>
      <c r="G970" s="204">
        <f>IFERROR(IF(C970=1,VLOOKUP(A970,Output!$A$27:$AB$137,28,FALSE)/AnnuityMode,0),0)</f>
        <v>0</v>
      </c>
      <c r="H970" s="220">
        <f>IFERROR(IF(AND(MIN(A970&gt;25,Age+A970&gt;=85),B970=12),VLOOKUP(A970,Output!$A$27:$AE$137,31,FALSE),0),0)</f>
        <v>0</v>
      </c>
      <c r="I970" s="221">
        <f>IFERROR(IF(AND(MIN(A970&gt;15,A970+Age&gt;=70),C970=1),VLOOKUP(A970,Output!$A$27:$AF$137,32,FALSE)*VLOOKUP('SV calc_ignore'!A970,Output!$A$27:$AG$137,33,FALSE)/IF(AnnuityMode=2,2,IF(AnnuityMode=4,4,IF(AnnuityMode=12,12,1))),0),0)</f>
        <v>0</v>
      </c>
      <c r="J970" s="227">
        <f t="shared" si="184"/>
        <v>0</v>
      </c>
      <c r="K970" s="213">
        <f t="shared" si="179"/>
        <v>0</v>
      </c>
      <c r="L970" s="209">
        <f t="shared" si="185"/>
        <v>0</v>
      </c>
      <c r="M970" s="214">
        <f t="shared" si="186"/>
        <v>0</v>
      </c>
      <c r="N970" s="211">
        <f t="shared" si="187"/>
        <v>0</v>
      </c>
      <c r="O970" s="194">
        <f t="shared" si="188"/>
        <v>0</v>
      </c>
      <c r="P970" s="212">
        <f t="shared" ref="P970:P1033" si="189">(P971+H971)*(1+$K$3)^(-1)</f>
        <v>0</v>
      </c>
      <c r="Q970">
        <f t="shared" si="181"/>
        <v>0</v>
      </c>
      <c r="X970" s="216">
        <f t="shared" si="180"/>
        <v>80</v>
      </c>
      <c r="Y970">
        <f t="shared" ref="Y970:Y1033" si="190">G970*(1-IF(AnnuityMode=1,$L$2,IF(AnnuityMode=2,$M$2,IF(AnnuityMode=4,$N$2,$K$2)))^(110*AnnuityMode-IF(AnnuityMode=1,X970,IF(AnnuityMode=2,D970,IF(AnnuityMode=4,E970,F970)))-0))/(IF(AnnuityMode=1,$L$3,IF(AnnuityMode=2,$M$3,IF(AnnuityMode=4,$N$3,$K$3))))</f>
        <v>0</v>
      </c>
    </row>
    <row r="971" spans="1:25" ht="13.5" thickBot="1" x14ac:dyDescent="0.25">
      <c r="A971" s="204">
        <f>IF(MOD(COUNT($A$10:A970),12)=0,A970+1,A970)</f>
        <v>81</v>
      </c>
      <c r="B971" s="218">
        <f t="shared" si="182"/>
        <v>2</v>
      </c>
      <c r="C971" s="218">
        <f t="shared" si="183"/>
        <v>1</v>
      </c>
      <c r="D971" s="208">
        <f>IF(MOD(COUNT($D$10:D970),6)=0,D970+1,D970)</f>
        <v>161</v>
      </c>
      <c r="E971" s="208">
        <f>IF(MOD(COUNT($E$10:E970),3)=0,E970+1,E970)</f>
        <v>321</v>
      </c>
      <c r="F971" s="208">
        <f>IF(MOD(COUNT($F$10:F970),1)=0,F970+1,F970)</f>
        <v>962</v>
      </c>
      <c r="G971" s="204">
        <f>IFERROR(IF(C971=1,VLOOKUP(A971,Output!$A$27:$AB$137,28,FALSE)/AnnuityMode,0),0)</f>
        <v>0</v>
      </c>
      <c r="H971" s="220">
        <f>IFERROR(IF(AND(MIN(A971&gt;25,Age+A971&gt;=85),B971=12),VLOOKUP(A971,Output!$A$27:$AE$137,31,FALSE),0),0)</f>
        <v>0</v>
      </c>
      <c r="I971" s="221">
        <f>IFERROR(IF(AND(MIN(A971&gt;15,A971+Age&gt;=70),C971=1),VLOOKUP(A971,Output!$A$27:$AF$137,32,FALSE)*VLOOKUP('SV calc_ignore'!A971,Output!$A$27:$AG$137,33,FALSE)/IF(AnnuityMode=2,2,IF(AnnuityMode=4,4,IF(AnnuityMode=12,12,1))),0),0)</f>
        <v>0</v>
      </c>
      <c r="J971" s="227">
        <f t="shared" si="184"/>
        <v>0</v>
      </c>
      <c r="K971" s="213">
        <f t="shared" ref="K971:K1034" si="191">IF(OR(K970&gt;$K$8,K970=0),0,K970+1)</f>
        <v>0</v>
      </c>
      <c r="L971" s="209">
        <f t="shared" si="185"/>
        <v>0</v>
      </c>
      <c r="M971" s="214">
        <f t="shared" si="186"/>
        <v>0</v>
      </c>
      <c r="N971" s="211">
        <f t="shared" si="187"/>
        <v>0</v>
      </c>
      <c r="O971" s="194">
        <f t="shared" si="188"/>
        <v>0</v>
      </c>
      <c r="P971" s="212">
        <f t="shared" si="189"/>
        <v>0</v>
      </c>
      <c r="Q971">
        <f t="shared" si="181"/>
        <v>0</v>
      </c>
      <c r="X971" s="216">
        <f t="shared" ref="X971:X1034" si="192">A971-1</f>
        <v>80</v>
      </c>
      <c r="Y971">
        <f t="shared" si="190"/>
        <v>0</v>
      </c>
    </row>
    <row r="972" spans="1:25" ht="13.5" thickBot="1" x14ac:dyDescent="0.25">
      <c r="A972" s="204">
        <f>IF(MOD(COUNT($A$10:A971),12)=0,A971+1,A971)</f>
        <v>81</v>
      </c>
      <c r="B972" s="218">
        <f t="shared" si="182"/>
        <v>3</v>
      </c>
      <c r="C972" s="218">
        <f t="shared" si="183"/>
        <v>1</v>
      </c>
      <c r="D972" s="208">
        <f>IF(MOD(COUNT($D$10:D971),6)=0,D971+1,D971)</f>
        <v>161</v>
      </c>
      <c r="E972" s="208">
        <f>IF(MOD(COUNT($E$10:E971),3)=0,E971+1,E971)</f>
        <v>321</v>
      </c>
      <c r="F972" s="208">
        <f>IF(MOD(COUNT($F$10:F971),1)=0,F971+1,F971)</f>
        <v>963</v>
      </c>
      <c r="G972" s="204">
        <f>IFERROR(IF(C972=1,VLOOKUP(A972,Output!$A$27:$AB$137,28,FALSE)/AnnuityMode,0),0)</f>
        <v>0</v>
      </c>
      <c r="H972" s="220">
        <f>IFERROR(IF(AND(MIN(A972&gt;25,Age+A972&gt;=85),B972=12),VLOOKUP(A972,Output!$A$27:$AE$137,31,FALSE),0),0)</f>
        <v>0</v>
      </c>
      <c r="I972" s="221">
        <f>IFERROR(IF(AND(MIN(A972&gt;15,A972+Age&gt;=70),C972=1),VLOOKUP(A972,Output!$A$27:$AF$137,32,FALSE)*VLOOKUP('SV calc_ignore'!A972,Output!$A$27:$AG$137,33,FALSE)/IF(AnnuityMode=2,2,IF(AnnuityMode=4,4,IF(AnnuityMode=12,12,1))),0),0)</f>
        <v>0</v>
      </c>
      <c r="J972" s="227">
        <f t="shared" si="184"/>
        <v>0</v>
      </c>
      <c r="K972" s="213">
        <f t="shared" si="191"/>
        <v>0</v>
      </c>
      <c r="L972" s="209">
        <f t="shared" si="185"/>
        <v>0</v>
      </c>
      <c r="M972" s="214">
        <f t="shared" si="186"/>
        <v>0</v>
      </c>
      <c r="N972" s="211">
        <f t="shared" si="187"/>
        <v>0</v>
      </c>
      <c r="O972" s="194">
        <f t="shared" si="188"/>
        <v>0</v>
      </c>
      <c r="P972" s="212">
        <f t="shared" si="189"/>
        <v>0</v>
      </c>
      <c r="Q972">
        <f t="shared" si="181"/>
        <v>0</v>
      </c>
      <c r="X972" s="216">
        <f t="shared" si="192"/>
        <v>80</v>
      </c>
      <c r="Y972">
        <f t="shared" si="190"/>
        <v>0</v>
      </c>
    </row>
    <row r="973" spans="1:25" ht="13.5" thickBot="1" x14ac:dyDescent="0.25">
      <c r="A973" s="204">
        <f>IF(MOD(COUNT($A$10:A972),12)=0,A972+1,A972)</f>
        <v>81</v>
      </c>
      <c r="B973" s="218">
        <f t="shared" si="182"/>
        <v>4</v>
      </c>
      <c r="C973" s="218">
        <f t="shared" si="183"/>
        <v>1</v>
      </c>
      <c r="D973" s="208">
        <f>IF(MOD(COUNT($D$10:D972),6)=0,D972+1,D972)</f>
        <v>161</v>
      </c>
      <c r="E973" s="208">
        <f>IF(MOD(COUNT($E$10:E972),3)=0,E972+1,E972)</f>
        <v>322</v>
      </c>
      <c r="F973" s="208">
        <f>IF(MOD(COUNT($F$10:F972),1)=0,F972+1,F972)</f>
        <v>964</v>
      </c>
      <c r="G973" s="204">
        <f>IFERROR(IF(C973=1,VLOOKUP(A973,Output!$A$27:$AB$137,28,FALSE)/AnnuityMode,0),0)</f>
        <v>0</v>
      </c>
      <c r="H973" s="220">
        <f>IFERROR(IF(AND(MIN(A973&gt;25,Age+A973&gt;=85),B973=12),VLOOKUP(A973,Output!$A$27:$AE$137,31,FALSE),0),0)</f>
        <v>0</v>
      </c>
      <c r="I973" s="221">
        <f>IFERROR(IF(AND(MIN(A973&gt;15,A973+Age&gt;=70),C973=1),VLOOKUP(A973,Output!$A$27:$AF$137,32,FALSE)*VLOOKUP('SV calc_ignore'!A973,Output!$A$27:$AG$137,33,FALSE)/IF(AnnuityMode=2,2,IF(AnnuityMode=4,4,IF(AnnuityMode=12,12,1))),0),0)</f>
        <v>0</v>
      </c>
      <c r="J973" s="227">
        <f t="shared" si="184"/>
        <v>0</v>
      </c>
      <c r="K973" s="213">
        <f t="shared" si="191"/>
        <v>0</v>
      </c>
      <c r="L973" s="209">
        <f t="shared" si="185"/>
        <v>0</v>
      </c>
      <c r="M973" s="214">
        <f t="shared" si="186"/>
        <v>0</v>
      </c>
      <c r="N973" s="211">
        <f t="shared" si="187"/>
        <v>0</v>
      </c>
      <c r="O973" s="194">
        <f t="shared" si="188"/>
        <v>0</v>
      </c>
      <c r="P973" s="212">
        <f t="shared" si="189"/>
        <v>0</v>
      </c>
      <c r="Q973">
        <f t="shared" si="181"/>
        <v>0</v>
      </c>
      <c r="X973" s="216">
        <f t="shared" si="192"/>
        <v>80</v>
      </c>
      <c r="Y973">
        <f t="shared" si="190"/>
        <v>0</v>
      </c>
    </row>
    <row r="974" spans="1:25" ht="13.5" thickBot="1" x14ac:dyDescent="0.25">
      <c r="A974" s="204">
        <f>IF(MOD(COUNT($A$10:A973),12)=0,A973+1,A973)</f>
        <v>81</v>
      </c>
      <c r="B974" s="218">
        <f t="shared" si="182"/>
        <v>5</v>
      </c>
      <c r="C974" s="218">
        <f t="shared" si="183"/>
        <v>1</v>
      </c>
      <c r="D974" s="208">
        <f>IF(MOD(COUNT($D$10:D973),6)=0,D973+1,D973)</f>
        <v>161</v>
      </c>
      <c r="E974" s="208">
        <f>IF(MOD(COUNT($E$10:E973),3)=0,E973+1,E973)</f>
        <v>322</v>
      </c>
      <c r="F974" s="208">
        <f>IF(MOD(COUNT($F$10:F973),1)=0,F973+1,F973)</f>
        <v>965</v>
      </c>
      <c r="G974" s="204">
        <f>IFERROR(IF(C974=1,VLOOKUP(A974,Output!$A$27:$AB$137,28,FALSE)/AnnuityMode,0),0)</f>
        <v>0</v>
      </c>
      <c r="H974" s="220">
        <f>IFERROR(IF(AND(MIN(A974&gt;25,Age+A974&gt;=85),B974=12),VLOOKUP(A974,Output!$A$27:$AE$137,31,FALSE),0),0)</f>
        <v>0</v>
      </c>
      <c r="I974" s="221">
        <f>IFERROR(IF(AND(MIN(A974&gt;15,A974+Age&gt;=70),C974=1),VLOOKUP(A974,Output!$A$27:$AF$137,32,FALSE)*VLOOKUP('SV calc_ignore'!A974,Output!$A$27:$AG$137,33,FALSE)/IF(AnnuityMode=2,2,IF(AnnuityMode=4,4,IF(AnnuityMode=12,12,1))),0),0)</f>
        <v>0</v>
      </c>
      <c r="J974" s="227">
        <f t="shared" si="184"/>
        <v>0</v>
      </c>
      <c r="K974" s="213">
        <f t="shared" si="191"/>
        <v>0</v>
      </c>
      <c r="L974" s="209">
        <f t="shared" si="185"/>
        <v>0</v>
      </c>
      <c r="M974" s="214">
        <f t="shared" si="186"/>
        <v>0</v>
      </c>
      <c r="N974" s="211">
        <f t="shared" si="187"/>
        <v>0</v>
      </c>
      <c r="O974" s="194">
        <f t="shared" si="188"/>
        <v>0</v>
      </c>
      <c r="P974" s="212">
        <f t="shared" si="189"/>
        <v>0</v>
      </c>
      <c r="Q974">
        <f t="shared" si="181"/>
        <v>0</v>
      </c>
      <c r="X974" s="216">
        <f t="shared" si="192"/>
        <v>80</v>
      </c>
      <c r="Y974">
        <f t="shared" si="190"/>
        <v>0</v>
      </c>
    </row>
    <row r="975" spans="1:25" ht="13.5" thickBot="1" x14ac:dyDescent="0.25">
      <c r="A975" s="204">
        <f>IF(MOD(COUNT($A$10:A974),12)=0,A974+1,A974)</f>
        <v>81</v>
      </c>
      <c r="B975" s="218">
        <f t="shared" si="182"/>
        <v>6</v>
      </c>
      <c r="C975" s="218">
        <f t="shared" si="183"/>
        <v>1</v>
      </c>
      <c r="D975" s="208">
        <f>IF(MOD(COUNT($D$10:D974),6)=0,D974+1,D974)</f>
        <v>161</v>
      </c>
      <c r="E975" s="208">
        <f>IF(MOD(COUNT($E$10:E974),3)=0,E974+1,E974)</f>
        <v>322</v>
      </c>
      <c r="F975" s="208">
        <f>IF(MOD(COUNT($F$10:F974),1)=0,F974+1,F974)</f>
        <v>966</v>
      </c>
      <c r="G975" s="204">
        <f>IFERROR(IF(C975=1,VLOOKUP(A975,Output!$A$27:$AB$137,28,FALSE)/AnnuityMode,0),0)</f>
        <v>0</v>
      </c>
      <c r="H975" s="220">
        <f>IFERROR(IF(AND(MIN(A975&gt;25,Age+A975&gt;=85),B975=12),VLOOKUP(A975,Output!$A$27:$AE$137,31,FALSE),0),0)</f>
        <v>0</v>
      </c>
      <c r="I975" s="221">
        <f>IFERROR(IF(AND(MIN(A975&gt;15,A975+Age&gt;=70),C975=1),VLOOKUP(A975,Output!$A$27:$AF$137,32,FALSE)*VLOOKUP('SV calc_ignore'!A975,Output!$A$27:$AG$137,33,FALSE)/IF(AnnuityMode=2,2,IF(AnnuityMode=4,4,IF(AnnuityMode=12,12,1))),0),0)</f>
        <v>0</v>
      </c>
      <c r="J975" s="227">
        <f t="shared" si="184"/>
        <v>0</v>
      </c>
      <c r="K975" s="213">
        <f t="shared" si="191"/>
        <v>0</v>
      </c>
      <c r="L975" s="209">
        <f t="shared" si="185"/>
        <v>0</v>
      </c>
      <c r="M975" s="214">
        <f t="shared" si="186"/>
        <v>0</v>
      </c>
      <c r="N975" s="211">
        <f t="shared" si="187"/>
        <v>0</v>
      </c>
      <c r="O975" s="194">
        <f t="shared" si="188"/>
        <v>0</v>
      </c>
      <c r="P975" s="212">
        <f t="shared" si="189"/>
        <v>0</v>
      </c>
      <c r="Q975">
        <f t="shared" si="181"/>
        <v>0</v>
      </c>
      <c r="X975" s="216">
        <f t="shared" si="192"/>
        <v>80</v>
      </c>
      <c r="Y975">
        <f t="shared" si="190"/>
        <v>0</v>
      </c>
    </row>
    <row r="976" spans="1:25" ht="13.5" thickBot="1" x14ac:dyDescent="0.25">
      <c r="A976" s="204">
        <f>IF(MOD(COUNT($A$10:A975),12)=0,A975+1,A975)</f>
        <v>81</v>
      </c>
      <c r="B976" s="218">
        <f t="shared" si="182"/>
        <v>7</v>
      </c>
      <c r="C976" s="218">
        <f t="shared" si="183"/>
        <v>1</v>
      </c>
      <c r="D976" s="208">
        <f>IF(MOD(COUNT($D$10:D975),6)=0,D975+1,D975)</f>
        <v>162</v>
      </c>
      <c r="E976" s="208">
        <f>IF(MOD(COUNT($E$10:E975),3)=0,E975+1,E975)</f>
        <v>323</v>
      </c>
      <c r="F976" s="208">
        <f>IF(MOD(COUNT($F$10:F975),1)=0,F975+1,F975)</f>
        <v>967</v>
      </c>
      <c r="G976" s="204">
        <f>IFERROR(IF(C976=1,VLOOKUP(A976,Output!$A$27:$AB$137,28,FALSE)/AnnuityMode,0),0)</f>
        <v>0</v>
      </c>
      <c r="H976" s="220">
        <f>IFERROR(IF(AND(MIN(A976&gt;25,Age+A976&gt;=85),B976=12),VLOOKUP(A976,Output!$A$27:$AE$137,31,FALSE),0),0)</f>
        <v>0</v>
      </c>
      <c r="I976" s="221">
        <f>IFERROR(IF(AND(MIN(A976&gt;15,A976+Age&gt;=70),C976=1),VLOOKUP(A976,Output!$A$27:$AF$137,32,FALSE)*VLOOKUP('SV calc_ignore'!A976,Output!$A$27:$AG$137,33,FALSE)/IF(AnnuityMode=2,2,IF(AnnuityMode=4,4,IF(AnnuityMode=12,12,1))),0),0)</f>
        <v>0</v>
      </c>
      <c r="J976" s="227">
        <f t="shared" si="184"/>
        <v>0</v>
      </c>
      <c r="K976" s="213">
        <f t="shared" si="191"/>
        <v>0</v>
      </c>
      <c r="L976" s="209">
        <f t="shared" si="185"/>
        <v>0</v>
      </c>
      <c r="M976" s="214">
        <f t="shared" si="186"/>
        <v>0</v>
      </c>
      <c r="N976" s="211">
        <f t="shared" si="187"/>
        <v>0</v>
      </c>
      <c r="O976" s="194">
        <f t="shared" si="188"/>
        <v>0</v>
      </c>
      <c r="P976" s="212">
        <f t="shared" si="189"/>
        <v>0</v>
      </c>
      <c r="Q976">
        <f t="shared" si="181"/>
        <v>0</v>
      </c>
      <c r="X976" s="216">
        <f t="shared" si="192"/>
        <v>80</v>
      </c>
      <c r="Y976">
        <f t="shared" si="190"/>
        <v>0</v>
      </c>
    </row>
    <row r="977" spans="1:25" ht="13.5" thickBot="1" x14ac:dyDescent="0.25">
      <c r="A977" s="204">
        <f>IF(MOD(COUNT($A$10:A976),12)=0,A976+1,A976)</f>
        <v>81</v>
      </c>
      <c r="B977" s="218">
        <f t="shared" si="182"/>
        <v>8</v>
      </c>
      <c r="C977" s="218">
        <f t="shared" si="183"/>
        <v>1</v>
      </c>
      <c r="D977" s="208">
        <f>IF(MOD(COUNT($D$10:D976),6)=0,D976+1,D976)</f>
        <v>162</v>
      </c>
      <c r="E977" s="208">
        <f>IF(MOD(COUNT($E$10:E976),3)=0,E976+1,E976)</f>
        <v>323</v>
      </c>
      <c r="F977" s="208">
        <f>IF(MOD(COUNT($F$10:F976),1)=0,F976+1,F976)</f>
        <v>968</v>
      </c>
      <c r="G977" s="204">
        <f>IFERROR(IF(C977=1,VLOOKUP(A977,Output!$A$27:$AB$137,28,FALSE)/AnnuityMode,0),0)</f>
        <v>0</v>
      </c>
      <c r="H977" s="220">
        <f>IFERROR(IF(AND(MIN(A977&gt;25,Age+A977&gt;=85),B977=12),VLOOKUP(A977,Output!$A$27:$AE$137,31,FALSE),0),0)</f>
        <v>0</v>
      </c>
      <c r="I977" s="221">
        <f>IFERROR(IF(AND(MIN(A977&gt;15,A977+Age&gt;=70),C977=1),VLOOKUP(A977,Output!$A$27:$AF$137,32,FALSE)*VLOOKUP('SV calc_ignore'!A977,Output!$A$27:$AG$137,33,FALSE)/IF(AnnuityMode=2,2,IF(AnnuityMode=4,4,IF(AnnuityMode=12,12,1))),0),0)</f>
        <v>0</v>
      </c>
      <c r="J977" s="227">
        <f t="shared" si="184"/>
        <v>0</v>
      </c>
      <c r="K977" s="213">
        <f t="shared" si="191"/>
        <v>0</v>
      </c>
      <c r="L977" s="209">
        <f t="shared" si="185"/>
        <v>0</v>
      </c>
      <c r="M977" s="214">
        <f t="shared" si="186"/>
        <v>0</v>
      </c>
      <c r="N977" s="211">
        <f t="shared" si="187"/>
        <v>0</v>
      </c>
      <c r="O977" s="194">
        <f t="shared" si="188"/>
        <v>0</v>
      </c>
      <c r="P977" s="212">
        <f t="shared" si="189"/>
        <v>0</v>
      </c>
      <c r="Q977">
        <f t="shared" si="181"/>
        <v>0</v>
      </c>
      <c r="X977" s="216">
        <f t="shared" si="192"/>
        <v>80</v>
      </c>
      <c r="Y977">
        <f t="shared" si="190"/>
        <v>0</v>
      </c>
    </row>
    <row r="978" spans="1:25" ht="13.5" thickBot="1" x14ac:dyDescent="0.25">
      <c r="A978" s="204">
        <f>IF(MOD(COUNT($A$10:A977),12)=0,A977+1,A977)</f>
        <v>81</v>
      </c>
      <c r="B978" s="218">
        <f t="shared" si="182"/>
        <v>9</v>
      </c>
      <c r="C978" s="218">
        <f t="shared" si="183"/>
        <v>1</v>
      </c>
      <c r="D978" s="208">
        <f>IF(MOD(COUNT($D$10:D977),6)=0,D977+1,D977)</f>
        <v>162</v>
      </c>
      <c r="E978" s="208">
        <f>IF(MOD(COUNT($E$10:E977),3)=0,E977+1,E977)</f>
        <v>323</v>
      </c>
      <c r="F978" s="208">
        <f>IF(MOD(COUNT($F$10:F977),1)=0,F977+1,F977)</f>
        <v>969</v>
      </c>
      <c r="G978" s="204">
        <f>IFERROR(IF(C978=1,VLOOKUP(A978,Output!$A$27:$AB$137,28,FALSE)/AnnuityMode,0),0)</f>
        <v>0</v>
      </c>
      <c r="H978" s="220">
        <f>IFERROR(IF(AND(MIN(A978&gt;25,Age+A978&gt;=85),B978=12),VLOOKUP(A978,Output!$A$27:$AE$137,31,FALSE),0),0)</f>
        <v>0</v>
      </c>
      <c r="I978" s="221">
        <f>IFERROR(IF(AND(MIN(A978&gt;15,A978+Age&gt;=70),C978=1),VLOOKUP(A978,Output!$A$27:$AF$137,32,FALSE)*VLOOKUP('SV calc_ignore'!A978,Output!$A$27:$AG$137,33,FALSE)/IF(AnnuityMode=2,2,IF(AnnuityMode=4,4,IF(AnnuityMode=12,12,1))),0),0)</f>
        <v>0</v>
      </c>
      <c r="J978" s="227">
        <f t="shared" si="184"/>
        <v>0</v>
      </c>
      <c r="K978" s="213">
        <f t="shared" si="191"/>
        <v>0</v>
      </c>
      <c r="L978" s="209">
        <f t="shared" si="185"/>
        <v>0</v>
      </c>
      <c r="M978" s="214">
        <f t="shared" si="186"/>
        <v>0</v>
      </c>
      <c r="N978" s="211">
        <f t="shared" si="187"/>
        <v>0</v>
      </c>
      <c r="O978" s="194">
        <f t="shared" si="188"/>
        <v>0</v>
      </c>
      <c r="P978" s="212">
        <f t="shared" si="189"/>
        <v>0</v>
      </c>
      <c r="Q978">
        <f t="shared" si="181"/>
        <v>0</v>
      </c>
      <c r="X978" s="216">
        <f t="shared" si="192"/>
        <v>80</v>
      </c>
      <c r="Y978">
        <f t="shared" si="190"/>
        <v>0</v>
      </c>
    </row>
    <row r="979" spans="1:25" ht="13.5" thickBot="1" x14ac:dyDescent="0.25">
      <c r="A979" s="204">
        <f>IF(MOD(COUNT($A$10:A978),12)=0,A978+1,A978)</f>
        <v>81</v>
      </c>
      <c r="B979" s="218">
        <f t="shared" si="182"/>
        <v>10</v>
      </c>
      <c r="C979" s="218">
        <f t="shared" si="183"/>
        <v>1</v>
      </c>
      <c r="D979" s="208">
        <f>IF(MOD(COUNT($D$10:D978),6)=0,D978+1,D978)</f>
        <v>162</v>
      </c>
      <c r="E979" s="208">
        <f>IF(MOD(COUNT($E$10:E978),3)=0,E978+1,E978)</f>
        <v>324</v>
      </c>
      <c r="F979" s="208">
        <f>IF(MOD(COUNT($F$10:F978),1)=0,F978+1,F978)</f>
        <v>970</v>
      </c>
      <c r="G979" s="204">
        <f>IFERROR(IF(C979=1,VLOOKUP(A979,Output!$A$27:$AB$137,28,FALSE)/AnnuityMode,0),0)</f>
        <v>0</v>
      </c>
      <c r="H979" s="220">
        <f>IFERROR(IF(AND(MIN(A979&gt;25,Age+A979&gt;=85),B979=12),VLOOKUP(A979,Output!$A$27:$AE$137,31,FALSE),0),0)</f>
        <v>0</v>
      </c>
      <c r="I979" s="221">
        <f>IFERROR(IF(AND(MIN(A979&gt;15,A979+Age&gt;=70),C979=1),VLOOKUP(A979,Output!$A$27:$AF$137,32,FALSE)*VLOOKUP('SV calc_ignore'!A979,Output!$A$27:$AG$137,33,FALSE)/IF(AnnuityMode=2,2,IF(AnnuityMode=4,4,IF(AnnuityMode=12,12,1))),0),0)</f>
        <v>0</v>
      </c>
      <c r="J979" s="227">
        <f t="shared" si="184"/>
        <v>0</v>
      </c>
      <c r="K979" s="213">
        <f t="shared" si="191"/>
        <v>0</v>
      </c>
      <c r="L979" s="209">
        <f t="shared" si="185"/>
        <v>0</v>
      </c>
      <c r="M979" s="214">
        <f t="shared" si="186"/>
        <v>0</v>
      </c>
      <c r="N979" s="211">
        <f t="shared" si="187"/>
        <v>0</v>
      </c>
      <c r="O979" s="194">
        <f t="shared" si="188"/>
        <v>0</v>
      </c>
      <c r="P979" s="212">
        <f t="shared" si="189"/>
        <v>0</v>
      </c>
      <c r="Q979">
        <f t="shared" si="181"/>
        <v>0</v>
      </c>
      <c r="X979" s="216">
        <f t="shared" si="192"/>
        <v>80</v>
      </c>
      <c r="Y979">
        <f t="shared" si="190"/>
        <v>0</v>
      </c>
    </row>
    <row r="980" spans="1:25" ht="13.5" thickBot="1" x14ac:dyDescent="0.25">
      <c r="A980" s="204">
        <f>IF(MOD(COUNT($A$10:A979),12)=0,A979+1,A979)</f>
        <v>81</v>
      </c>
      <c r="B980" s="218">
        <f t="shared" si="182"/>
        <v>11</v>
      </c>
      <c r="C980" s="218">
        <f t="shared" si="183"/>
        <v>1</v>
      </c>
      <c r="D980" s="208">
        <f>IF(MOD(COUNT($D$10:D979),6)=0,D979+1,D979)</f>
        <v>162</v>
      </c>
      <c r="E980" s="208">
        <f>IF(MOD(COUNT($E$10:E979),3)=0,E979+1,E979)</f>
        <v>324</v>
      </c>
      <c r="F980" s="208">
        <f>IF(MOD(COUNT($F$10:F979),1)=0,F979+1,F979)</f>
        <v>971</v>
      </c>
      <c r="G980" s="204">
        <f>IFERROR(IF(C980=1,VLOOKUP(A980,Output!$A$27:$AB$137,28,FALSE)/AnnuityMode,0),0)</f>
        <v>0</v>
      </c>
      <c r="H980" s="220">
        <f>IFERROR(IF(AND(MIN(A980&gt;25,Age+A980&gt;=85),B980=12),VLOOKUP(A980,Output!$A$27:$AE$137,31,FALSE),0),0)</f>
        <v>0</v>
      </c>
      <c r="I980" s="221">
        <f>IFERROR(IF(AND(MIN(A980&gt;15,A980+Age&gt;=70),C980=1),VLOOKUP(A980,Output!$A$27:$AF$137,32,FALSE)*VLOOKUP('SV calc_ignore'!A980,Output!$A$27:$AG$137,33,FALSE)/IF(AnnuityMode=2,2,IF(AnnuityMode=4,4,IF(AnnuityMode=12,12,1))),0),0)</f>
        <v>0</v>
      </c>
      <c r="J980" s="227">
        <f t="shared" si="184"/>
        <v>0</v>
      </c>
      <c r="K980" s="213">
        <f t="shared" si="191"/>
        <v>0</v>
      </c>
      <c r="L980" s="209">
        <f t="shared" si="185"/>
        <v>0</v>
      </c>
      <c r="M980" s="214">
        <f t="shared" si="186"/>
        <v>0</v>
      </c>
      <c r="N980" s="211">
        <f t="shared" si="187"/>
        <v>0</v>
      </c>
      <c r="O980" s="194">
        <f t="shared" si="188"/>
        <v>0</v>
      </c>
      <c r="P980" s="212">
        <f t="shared" si="189"/>
        <v>0</v>
      </c>
      <c r="Q980">
        <f t="shared" si="181"/>
        <v>0</v>
      </c>
      <c r="X980" s="216">
        <f t="shared" si="192"/>
        <v>80</v>
      </c>
      <c r="Y980">
        <f t="shared" si="190"/>
        <v>0</v>
      </c>
    </row>
    <row r="981" spans="1:25" ht="13.5" thickBot="1" x14ac:dyDescent="0.25">
      <c r="A981" s="204">
        <f>IF(MOD(COUNT($A$10:A980),12)=0,A980+1,A980)</f>
        <v>81</v>
      </c>
      <c r="B981" s="218">
        <f t="shared" si="182"/>
        <v>12</v>
      </c>
      <c r="C981" s="218">
        <f t="shared" si="183"/>
        <v>1</v>
      </c>
      <c r="D981" s="208">
        <f>IF(MOD(COUNT($D$10:D980),6)=0,D980+1,D980)</f>
        <v>162</v>
      </c>
      <c r="E981" s="208">
        <f>IF(MOD(COUNT($E$10:E980),3)=0,E980+1,E980)</f>
        <v>324</v>
      </c>
      <c r="F981" s="208">
        <f>IF(MOD(COUNT($F$10:F980),1)=0,F980+1,F980)</f>
        <v>972</v>
      </c>
      <c r="G981" s="204">
        <f>IFERROR(IF(C981=1,VLOOKUP(A981,Output!$A$27:$AB$137,28,FALSE)/AnnuityMode,0),0)</f>
        <v>0</v>
      </c>
      <c r="H981" s="220">
        <f>IFERROR(IF(AND(MIN(A981&gt;25,Age+A981&gt;=85),B981=12),VLOOKUP(A981,Output!$A$27:$AE$137,31,FALSE),0),0)</f>
        <v>0</v>
      </c>
      <c r="I981" s="221">
        <f>IFERROR(IF(AND(MIN(A981&gt;15,A981+Age&gt;=70),C981=1),VLOOKUP(A981,Output!$A$27:$AF$137,32,FALSE)*VLOOKUP('SV calc_ignore'!A981,Output!$A$27:$AG$137,33,FALSE)/IF(AnnuityMode=2,2,IF(AnnuityMode=4,4,IF(AnnuityMode=12,12,1))),0),0)</f>
        <v>0</v>
      </c>
      <c r="J981" s="227">
        <f t="shared" si="184"/>
        <v>0</v>
      </c>
      <c r="K981" s="213">
        <f t="shared" si="191"/>
        <v>0</v>
      </c>
      <c r="L981" s="209">
        <f t="shared" si="185"/>
        <v>0</v>
      </c>
      <c r="M981" s="214">
        <f t="shared" si="186"/>
        <v>0</v>
      </c>
      <c r="N981" s="211">
        <f t="shared" si="187"/>
        <v>0</v>
      </c>
      <c r="O981" s="194">
        <f t="shared" si="188"/>
        <v>0</v>
      </c>
      <c r="P981" s="212">
        <f t="shared" si="189"/>
        <v>0</v>
      </c>
      <c r="Q981">
        <f t="shared" si="181"/>
        <v>0</v>
      </c>
      <c r="X981" s="216">
        <f t="shared" si="192"/>
        <v>80</v>
      </c>
      <c r="Y981">
        <f t="shared" si="190"/>
        <v>0</v>
      </c>
    </row>
    <row r="982" spans="1:25" ht="13.5" thickBot="1" x14ac:dyDescent="0.25">
      <c r="A982" s="204">
        <f>IF(MOD(COUNT($A$10:A981),12)=0,A981+1,A981)</f>
        <v>82</v>
      </c>
      <c r="B982" s="218">
        <f t="shared" si="182"/>
        <v>1</v>
      </c>
      <c r="C982" s="218">
        <f t="shared" si="183"/>
        <v>1</v>
      </c>
      <c r="D982" s="208">
        <f>IF(MOD(COUNT($D$10:D981),6)=0,D981+1,D981)</f>
        <v>163</v>
      </c>
      <c r="E982" s="208">
        <f>IF(MOD(COUNT($E$10:E981),3)=0,E981+1,E981)</f>
        <v>325</v>
      </c>
      <c r="F982" s="208">
        <f>IF(MOD(COUNT($F$10:F981),1)=0,F981+1,F981)</f>
        <v>973</v>
      </c>
      <c r="G982" s="204">
        <f>IFERROR(IF(C982=1,VLOOKUP(A982,Output!$A$27:$AB$137,28,FALSE)/AnnuityMode,0),0)</f>
        <v>0</v>
      </c>
      <c r="H982" s="220">
        <f>IFERROR(IF(AND(MIN(A982&gt;25,Age+A982&gt;=85),B982=12),VLOOKUP(A982,Output!$A$27:$AE$137,31,FALSE),0),0)</f>
        <v>0</v>
      </c>
      <c r="I982" s="221">
        <f>IFERROR(IF(AND(MIN(A982&gt;15,A982+Age&gt;=70),C982=1),VLOOKUP(A982,Output!$A$27:$AF$137,32,FALSE)*VLOOKUP('SV calc_ignore'!A982,Output!$A$27:$AG$137,33,FALSE)/IF(AnnuityMode=2,2,IF(AnnuityMode=4,4,IF(AnnuityMode=12,12,1))),0),0)</f>
        <v>0</v>
      </c>
      <c r="J982" s="227">
        <f t="shared" si="184"/>
        <v>0</v>
      </c>
      <c r="K982" s="213">
        <f t="shared" si="191"/>
        <v>0</v>
      </c>
      <c r="L982" s="209">
        <f t="shared" si="185"/>
        <v>0</v>
      </c>
      <c r="M982" s="214">
        <f t="shared" si="186"/>
        <v>0</v>
      </c>
      <c r="N982" s="211">
        <f t="shared" si="187"/>
        <v>0</v>
      </c>
      <c r="O982" s="194">
        <f t="shared" si="188"/>
        <v>0</v>
      </c>
      <c r="P982" s="212">
        <f t="shared" si="189"/>
        <v>0</v>
      </c>
      <c r="Q982">
        <f t="shared" si="181"/>
        <v>0</v>
      </c>
      <c r="X982" s="216">
        <f t="shared" si="192"/>
        <v>81</v>
      </c>
      <c r="Y982">
        <f t="shared" si="190"/>
        <v>0</v>
      </c>
    </row>
    <row r="983" spans="1:25" ht="13.5" thickBot="1" x14ac:dyDescent="0.25">
      <c r="A983" s="204">
        <f>IF(MOD(COUNT($A$10:A982),12)=0,A982+1,A982)</f>
        <v>82</v>
      </c>
      <c r="B983" s="218">
        <f t="shared" si="182"/>
        <v>2</v>
      </c>
      <c r="C983" s="218">
        <f t="shared" si="183"/>
        <v>1</v>
      </c>
      <c r="D983" s="208">
        <f>IF(MOD(COUNT($D$10:D982),6)=0,D982+1,D982)</f>
        <v>163</v>
      </c>
      <c r="E983" s="208">
        <f>IF(MOD(COUNT($E$10:E982),3)=0,E982+1,E982)</f>
        <v>325</v>
      </c>
      <c r="F983" s="208">
        <f>IF(MOD(COUNT($F$10:F982),1)=0,F982+1,F982)</f>
        <v>974</v>
      </c>
      <c r="G983" s="204">
        <f>IFERROR(IF(C983=1,VLOOKUP(A983,Output!$A$27:$AB$137,28,FALSE)/AnnuityMode,0),0)</f>
        <v>0</v>
      </c>
      <c r="H983" s="220">
        <f>IFERROR(IF(AND(MIN(A983&gt;25,Age+A983&gt;=85),B983=12),VLOOKUP(A983,Output!$A$27:$AE$137,31,FALSE),0),0)</f>
        <v>0</v>
      </c>
      <c r="I983" s="221">
        <f>IFERROR(IF(AND(MIN(A983&gt;15,A983+Age&gt;=70),C983=1),VLOOKUP(A983,Output!$A$27:$AF$137,32,FALSE)*VLOOKUP('SV calc_ignore'!A983,Output!$A$27:$AG$137,33,FALSE)/IF(AnnuityMode=2,2,IF(AnnuityMode=4,4,IF(AnnuityMode=12,12,1))),0),0)</f>
        <v>0</v>
      </c>
      <c r="J983" s="227">
        <f t="shared" si="184"/>
        <v>0</v>
      </c>
      <c r="K983" s="213">
        <f t="shared" si="191"/>
        <v>0</v>
      </c>
      <c r="L983" s="209">
        <f t="shared" si="185"/>
        <v>0</v>
      </c>
      <c r="M983" s="214">
        <f t="shared" si="186"/>
        <v>0</v>
      </c>
      <c r="N983" s="211">
        <f t="shared" si="187"/>
        <v>0</v>
      </c>
      <c r="O983" s="194">
        <f t="shared" si="188"/>
        <v>0</v>
      </c>
      <c r="P983" s="212">
        <f t="shared" si="189"/>
        <v>0</v>
      </c>
      <c r="Q983">
        <f t="shared" si="181"/>
        <v>0</v>
      </c>
      <c r="X983" s="216">
        <f t="shared" si="192"/>
        <v>81</v>
      </c>
      <c r="Y983">
        <f t="shared" si="190"/>
        <v>0</v>
      </c>
    </row>
    <row r="984" spans="1:25" ht="13.5" thickBot="1" x14ac:dyDescent="0.25">
      <c r="A984" s="204">
        <f>IF(MOD(COUNT($A$10:A983),12)=0,A983+1,A983)</f>
        <v>82</v>
      </c>
      <c r="B984" s="218">
        <f t="shared" si="182"/>
        <v>3</v>
      </c>
      <c r="C984" s="218">
        <f t="shared" si="183"/>
        <v>1</v>
      </c>
      <c r="D984" s="208">
        <f>IF(MOD(COUNT($D$10:D983),6)=0,D983+1,D983)</f>
        <v>163</v>
      </c>
      <c r="E984" s="208">
        <f>IF(MOD(COUNT($E$10:E983),3)=0,E983+1,E983)</f>
        <v>325</v>
      </c>
      <c r="F984" s="208">
        <f>IF(MOD(COUNT($F$10:F983),1)=0,F983+1,F983)</f>
        <v>975</v>
      </c>
      <c r="G984" s="204">
        <f>IFERROR(IF(C984=1,VLOOKUP(A984,Output!$A$27:$AB$137,28,FALSE)/AnnuityMode,0),0)</f>
        <v>0</v>
      </c>
      <c r="H984" s="220">
        <f>IFERROR(IF(AND(MIN(A984&gt;25,Age+A984&gt;=85),B984=12),VLOOKUP(A984,Output!$A$27:$AE$137,31,FALSE),0),0)</f>
        <v>0</v>
      </c>
      <c r="I984" s="221">
        <f>IFERROR(IF(AND(MIN(A984&gt;15,A984+Age&gt;=70),C984=1),VLOOKUP(A984,Output!$A$27:$AF$137,32,FALSE)*VLOOKUP('SV calc_ignore'!A984,Output!$A$27:$AG$137,33,FALSE)/IF(AnnuityMode=2,2,IF(AnnuityMode=4,4,IF(AnnuityMode=12,12,1))),0),0)</f>
        <v>0</v>
      </c>
      <c r="J984" s="227">
        <f t="shared" si="184"/>
        <v>0</v>
      </c>
      <c r="K984" s="213">
        <f t="shared" si="191"/>
        <v>0</v>
      </c>
      <c r="L984" s="209">
        <f t="shared" si="185"/>
        <v>0</v>
      </c>
      <c r="M984" s="214">
        <f t="shared" si="186"/>
        <v>0</v>
      </c>
      <c r="N984" s="211">
        <f t="shared" si="187"/>
        <v>0</v>
      </c>
      <c r="O984" s="194">
        <f t="shared" si="188"/>
        <v>0</v>
      </c>
      <c r="P984" s="212">
        <f t="shared" si="189"/>
        <v>0</v>
      </c>
      <c r="Q984">
        <f t="shared" si="181"/>
        <v>0</v>
      </c>
      <c r="X984" s="216">
        <f t="shared" si="192"/>
        <v>81</v>
      </c>
      <c r="Y984">
        <f t="shared" si="190"/>
        <v>0</v>
      </c>
    </row>
    <row r="985" spans="1:25" ht="13.5" thickBot="1" x14ac:dyDescent="0.25">
      <c r="A985" s="204">
        <f>IF(MOD(COUNT($A$10:A984),12)=0,A984+1,A984)</f>
        <v>82</v>
      </c>
      <c r="B985" s="218">
        <f t="shared" si="182"/>
        <v>4</v>
      </c>
      <c r="C985" s="218">
        <f t="shared" si="183"/>
        <v>1</v>
      </c>
      <c r="D985" s="208">
        <f>IF(MOD(COUNT($D$10:D984),6)=0,D984+1,D984)</f>
        <v>163</v>
      </c>
      <c r="E985" s="208">
        <f>IF(MOD(COUNT($E$10:E984),3)=0,E984+1,E984)</f>
        <v>326</v>
      </c>
      <c r="F985" s="208">
        <f>IF(MOD(COUNT($F$10:F984),1)=0,F984+1,F984)</f>
        <v>976</v>
      </c>
      <c r="G985" s="204">
        <f>IFERROR(IF(C985=1,VLOOKUP(A985,Output!$A$27:$AB$137,28,FALSE)/AnnuityMode,0),0)</f>
        <v>0</v>
      </c>
      <c r="H985" s="220">
        <f>IFERROR(IF(AND(MIN(A985&gt;25,Age+A985&gt;=85),B985=12),VLOOKUP(A985,Output!$A$27:$AE$137,31,FALSE),0),0)</f>
        <v>0</v>
      </c>
      <c r="I985" s="221">
        <f>IFERROR(IF(AND(MIN(A985&gt;15,A985+Age&gt;=70),C985=1),VLOOKUP(A985,Output!$A$27:$AF$137,32,FALSE)*VLOOKUP('SV calc_ignore'!A985,Output!$A$27:$AG$137,33,FALSE)/IF(AnnuityMode=2,2,IF(AnnuityMode=4,4,IF(AnnuityMode=12,12,1))),0),0)</f>
        <v>0</v>
      </c>
      <c r="J985" s="227">
        <f t="shared" si="184"/>
        <v>0</v>
      </c>
      <c r="K985" s="213">
        <f t="shared" si="191"/>
        <v>0</v>
      </c>
      <c r="L985" s="209">
        <f t="shared" si="185"/>
        <v>0</v>
      </c>
      <c r="M985" s="214">
        <f t="shared" si="186"/>
        <v>0</v>
      </c>
      <c r="N985" s="211">
        <f t="shared" si="187"/>
        <v>0</v>
      </c>
      <c r="O985" s="194">
        <f t="shared" si="188"/>
        <v>0</v>
      </c>
      <c r="P985" s="212">
        <f t="shared" si="189"/>
        <v>0</v>
      </c>
      <c r="Q985">
        <f t="shared" si="181"/>
        <v>0</v>
      </c>
      <c r="X985" s="216">
        <f t="shared" si="192"/>
        <v>81</v>
      </c>
      <c r="Y985">
        <f t="shared" si="190"/>
        <v>0</v>
      </c>
    </row>
    <row r="986" spans="1:25" ht="13.5" thickBot="1" x14ac:dyDescent="0.25">
      <c r="A986" s="204">
        <f>IF(MOD(COUNT($A$10:A985),12)=0,A985+1,A985)</f>
        <v>82</v>
      </c>
      <c r="B986" s="218">
        <f t="shared" si="182"/>
        <v>5</v>
      </c>
      <c r="C986" s="218">
        <f t="shared" si="183"/>
        <v>1</v>
      </c>
      <c r="D986" s="208">
        <f>IF(MOD(COUNT($D$10:D985),6)=0,D985+1,D985)</f>
        <v>163</v>
      </c>
      <c r="E986" s="208">
        <f>IF(MOD(COUNT($E$10:E985),3)=0,E985+1,E985)</f>
        <v>326</v>
      </c>
      <c r="F986" s="208">
        <f>IF(MOD(COUNT($F$10:F985),1)=0,F985+1,F985)</f>
        <v>977</v>
      </c>
      <c r="G986" s="204">
        <f>IFERROR(IF(C986=1,VLOOKUP(A986,Output!$A$27:$AB$137,28,FALSE)/AnnuityMode,0),0)</f>
        <v>0</v>
      </c>
      <c r="H986" s="220">
        <f>IFERROR(IF(AND(MIN(A986&gt;25,Age+A986&gt;=85),B986=12),VLOOKUP(A986,Output!$A$27:$AE$137,31,FALSE),0),0)</f>
        <v>0</v>
      </c>
      <c r="I986" s="221">
        <f>IFERROR(IF(AND(MIN(A986&gt;15,A986+Age&gt;=70),C986=1),VLOOKUP(A986,Output!$A$27:$AF$137,32,FALSE)*VLOOKUP('SV calc_ignore'!A986,Output!$A$27:$AG$137,33,FALSE)/IF(AnnuityMode=2,2,IF(AnnuityMode=4,4,IF(AnnuityMode=12,12,1))),0),0)</f>
        <v>0</v>
      </c>
      <c r="J986" s="227">
        <f t="shared" si="184"/>
        <v>0</v>
      </c>
      <c r="K986" s="213">
        <f t="shared" si="191"/>
        <v>0</v>
      </c>
      <c r="L986" s="209">
        <f t="shared" si="185"/>
        <v>0</v>
      </c>
      <c r="M986" s="214">
        <f t="shared" si="186"/>
        <v>0</v>
      </c>
      <c r="N986" s="211">
        <f t="shared" si="187"/>
        <v>0</v>
      </c>
      <c r="O986" s="194">
        <f t="shared" si="188"/>
        <v>0</v>
      </c>
      <c r="P986" s="212">
        <f t="shared" si="189"/>
        <v>0</v>
      </c>
      <c r="Q986">
        <f t="shared" si="181"/>
        <v>0</v>
      </c>
      <c r="X986" s="216">
        <f t="shared" si="192"/>
        <v>81</v>
      </c>
      <c r="Y986">
        <f t="shared" si="190"/>
        <v>0</v>
      </c>
    </row>
    <row r="987" spans="1:25" ht="13.5" thickBot="1" x14ac:dyDescent="0.25">
      <c r="A987" s="204">
        <f>IF(MOD(COUNT($A$10:A986),12)=0,A986+1,A986)</f>
        <v>82</v>
      </c>
      <c r="B987" s="218">
        <f t="shared" si="182"/>
        <v>6</v>
      </c>
      <c r="C987" s="218">
        <f t="shared" si="183"/>
        <v>1</v>
      </c>
      <c r="D987" s="208">
        <f>IF(MOD(COUNT($D$10:D986),6)=0,D986+1,D986)</f>
        <v>163</v>
      </c>
      <c r="E987" s="208">
        <f>IF(MOD(COUNT($E$10:E986),3)=0,E986+1,E986)</f>
        <v>326</v>
      </c>
      <c r="F987" s="208">
        <f>IF(MOD(COUNT($F$10:F986),1)=0,F986+1,F986)</f>
        <v>978</v>
      </c>
      <c r="G987" s="204">
        <f>IFERROR(IF(C987=1,VLOOKUP(A987,Output!$A$27:$AB$137,28,FALSE)/AnnuityMode,0),0)</f>
        <v>0</v>
      </c>
      <c r="H987" s="220">
        <f>IFERROR(IF(AND(MIN(A987&gt;25,Age+A987&gt;=85),B987=12),VLOOKUP(A987,Output!$A$27:$AE$137,31,FALSE),0),0)</f>
        <v>0</v>
      </c>
      <c r="I987" s="221">
        <f>IFERROR(IF(AND(MIN(A987&gt;15,A987+Age&gt;=70),C987=1),VLOOKUP(A987,Output!$A$27:$AF$137,32,FALSE)*VLOOKUP('SV calc_ignore'!A987,Output!$A$27:$AG$137,33,FALSE)/IF(AnnuityMode=2,2,IF(AnnuityMode=4,4,IF(AnnuityMode=12,12,1))),0),0)</f>
        <v>0</v>
      </c>
      <c r="J987" s="227">
        <f t="shared" si="184"/>
        <v>0</v>
      </c>
      <c r="K987" s="213">
        <f t="shared" si="191"/>
        <v>0</v>
      </c>
      <c r="L987" s="209">
        <f t="shared" si="185"/>
        <v>0</v>
      </c>
      <c r="M987" s="214">
        <f t="shared" si="186"/>
        <v>0</v>
      </c>
      <c r="N987" s="211">
        <f t="shared" si="187"/>
        <v>0</v>
      </c>
      <c r="O987" s="194">
        <f t="shared" si="188"/>
        <v>0</v>
      </c>
      <c r="P987" s="212">
        <f t="shared" si="189"/>
        <v>0</v>
      </c>
      <c r="Q987">
        <f t="shared" si="181"/>
        <v>0</v>
      </c>
      <c r="X987" s="216">
        <f t="shared" si="192"/>
        <v>81</v>
      </c>
      <c r="Y987">
        <f t="shared" si="190"/>
        <v>0</v>
      </c>
    </row>
    <row r="988" spans="1:25" ht="13.5" thickBot="1" x14ac:dyDescent="0.25">
      <c r="A988" s="204">
        <f>IF(MOD(COUNT($A$10:A987),12)=0,A987+1,A987)</f>
        <v>82</v>
      </c>
      <c r="B988" s="218">
        <f t="shared" si="182"/>
        <v>7</v>
      </c>
      <c r="C988" s="218">
        <f t="shared" si="183"/>
        <v>1</v>
      </c>
      <c r="D988" s="208">
        <f>IF(MOD(COUNT($D$10:D987),6)=0,D987+1,D987)</f>
        <v>164</v>
      </c>
      <c r="E988" s="208">
        <f>IF(MOD(COUNT($E$10:E987),3)=0,E987+1,E987)</f>
        <v>327</v>
      </c>
      <c r="F988" s="208">
        <f>IF(MOD(COUNT($F$10:F987),1)=0,F987+1,F987)</f>
        <v>979</v>
      </c>
      <c r="G988" s="204">
        <f>IFERROR(IF(C988=1,VLOOKUP(A988,Output!$A$27:$AB$137,28,FALSE)/AnnuityMode,0),0)</f>
        <v>0</v>
      </c>
      <c r="H988" s="220">
        <f>IFERROR(IF(AND(MIN(A988&gt;25,Age+A988&gt;=85),B988=12),VLOOKUP(A988,Output!$A$27:$AE$137,31,FALSE),0),0)</f>
        <v>0</v>
      </c>
      <c r="I988" s="221">
        <f>IFERROR(IF(AND(MIN(A988&gt;15,A988+Age&gt;=70),C988=1),VLOOKUP(A988,Output!$A$27:$AF$137,32,FALSE)*VLOOKUP('SV calc_ignore'!A988,Output!$A$27:$AG$137,33,FALSE)/IF(AnnuityMode=2,2,IF(AnnuityMode=4,4,IF(AnnuityMode=12,12,1))),0),0)</f>
        <v>0</v>
      </c>
      <c r="J988" s="227">
        <f t="shared" si="184"/>
        <v>0</v>
      </c>
      <c r="K988" s="213">
        <f t="shared" si="191"/>
        <v>0</v>
      </c>
      <c r="L988" s="209">
        <f t="shared" si="185"/>
        <v>0</v>
      </c>
      <c r="M988" s="214">
        <f t="shared" si="186"/>
        <v>0</v>
      </c>
      <c r="N988" s="211">
        <f t="shared" si="187"/>
        <v>0</v>
      </c>
      <c r="O988" s="194">
        <f t="shared" si="188"/>
        <v>0</v>
      </c>
      <c r="P988" s="212">
        <f t="shared" si="189"/>
        <v>0</v>
      </c>
      <c r="Q988">
        <f t="shared" si="181"/>
        <v>0</v>
      </c>
      <c r="X988" s="216">
        <f t="shared" si="192"/>
        <v>81</v>
      </c>
      <c r="Y988">
        <f t="shared" si="190"/>
        <v>0</v>
      </c>
    </row>
    <row r="989" spans="1:25" ht="13.5" thickBot="1" x14ac:dyDescent="0.25">
      <c r="A989" s="204">
        <f>IF(MOD(COUNT($A$10:A988),12)=0,A988+1,A988)</f>
        <v>82</v>
      </c>
      <c r="B989" s="218">
        <f t="shared" si="182"/>
        <v>8</v>
      </c>
      <c r="C989" s="218">
        <f t="shared" si="183"/>
        <v>1</v>
      </c>
      <c r="D989" s="208">
        <f>IF(MOD(COUNT($D$10:D988),6)=0,D988+1,D988)</f>
        <v>164</v>
      </c>
      <c r="E989" s="208">
        <f>IF(MOD(COUNT($E$10:E988),3)=0,E988+1,E988)</f>
        <v>327</v>
      </c>
      <c r="F989" s="208">
        <f>IF(MOD(COUNT($F$10:F988),1)=0,F988+1,F988)</f>
        <v>980</v>
      </c>
      <c r="G989" s="204">
        <f>IFERROR(IF(C989=1,VLOOKUP(A989,Output!$A$27:$AB$137,28,FALSE)/AnnuityMode,0),0)</f>
        <v>0</v>
      </c>
      <c r="H989" s="220">
        <f>IFERROR(IF(AND(MIN(A989&gt;25,Age+A989&gt;=85),B989=12),VLOOKUP(A989,Output!$A$27:$AE$137,31,FALSE),0),0)</f>
        <v>0</v>
      </c>
      <c r="I989" s="221">
        <f>IFERROR(IF(AND(MIN(A989&gt;15,A989+Age&gt;=70),C989=1),VLOOKUP(A989,Output!$A$27:$AF$137,32,FALSE)*VLOOKUP('SV calc_ignore'!A989,Output!$A$27:$AG$137,33,FALSE)/IF(AnnuityMode=2,2,IF(AnnuityMode=4,4,IF(AnnuityMode=12,12,1))),0),0)</f>
        <v>0</v>
      </c>
      <c r="J989" s="227">
        <f t="shared" si="184"/>
        <v>0</v>
      </c>
      <c r="K989" s="213">
        <f t="shared" si="191"/>
        <v>0</v>
      </c>
      <c r="L989" s="209">
        <f t="shared" si="185"/>
        <v>0</v>
      </c>
      <c r="M989" s="214">
        <f t="shared" si="186"/>
        <v>0</v>
      </c>
      <c r="N989" s="211">
        <f t="shared" si="187"/>
        <v>0</v>
      </c>
      <c r="O989" s="194">
        <f t="shared" si="188"/>
        <v>0</v>
      </c>
      <c r="P989" s="212">
        <f t="shared" si="189"/>
        <v>0</v>
      </c>
      <c r="Q989">
        <f t="shared" si="181"/>
        <v>0</v>
      </c>
      <c r="X989" s="216">
        <f t="shared" si="192"/>
        <v>81</v>
      </c>
      <c r="Y989">
        <f t="shared" si="190"/>
        <v>0</v>
      </c>
    </row>
    <row r="990" spans="1:25" ht="13.5" thickBot="1" x14ac:dyDescent="0.25">
      <c r="A990" s="204">
        <f>IF(MOD(COUNT($A$10:A989),12)=0,A989+1,A989)</f>
        <v>82</v>
      </c>
      <c r="B990" s="218">
        <f t="shared" si="182"/>
        <v>9</v>
      </c>
      <c r="C990" s="218">
        <f t="shared" si="183"/>
        <v>1</v>
      </c>
      <c r="D990" s="208">
        <f>IF(MOD(COUNT($D$10:D989),6)=0,D989+1,D989)</f>
        <v>164</v>
      </c>
      <c r="E990" s="208">
        <f>IF(MOD(COUNT($E$10:E989),3)=0,E989+1,E989)</f>
        <v>327</v>
      </c>
      <c r="F990" s="208">
        <f>IF(MOD(COUNT($F$10:F989),1)=0,F989+1,F989)</f>
        <v>981</v>
      </c>
      <c r="G990" s="204">
        <f>IFERROR(IF(C990=1,VLOOKUP(A990,Output!$A$27:$AB$137,28,FALSE)/AnnuityMode,0),0)</f>
        <v>0</v>
      </c>
      <c r="H990" s="220">
        <f>IFERROR(IF(AND(MIN(A990&gt;25,Age+A990&gt;=85),B990=12),VLOOKUP(A990,Output!$A$27:$AE$137,31,FALSE),0),0)</f>
        <v>0</v>
      </c>
      <c r="I990" s="221">
        <f>IFERROR(IF(AND(MIN(A990&gt;15,A990+Age&gt;=70),C990=1),VLOOKUP(A990,Output!$A$27:$AF$137,32,FALSE)*VLOOKUP('SV calc_ignore'!A990,Output!$A$27:$AG$137,33,FALSE)/IF(AnnuityMode=2,2,IF(AnnuityMode=4,4,IF(AnnuityMode=12,12,1))),0),0)</f>
        <v>0</v>
      </c>
      <c r="J990" s="227">
        <f t="shared" si="184"/>
        <v>0</v>
      </c>
      <c r="K990" s="213">
        <f t="shared" si="191"/>
        <v>0</v>
      </c>
      <c r="L990" s="209">
        <f t="shared" si="185"/>
        <v>0</v>
      </c>
      <c r="M990" s="214">
        <f t="shared" si="186"/>
        <v>0</v>
      </c>
      <c r="N990" s="211">
        <f t="shared" si="187"/>
        <v>0</v>
      </c>
      <c r="O990" s="194">
        <f t="shared" si="188"/>
        <v>0</v>
      </c>
      <c r="P990" s="212">
        <f t="shared" si="189"/>
        <v>0</v>
      </c>
      <c r="Q990">
        <f t="shared" si="181"/>
        <v>0</v>
      </c>
      <c r="X990" s="216">
        <f t="shared" si="192"/>
        <v>81</v>
      </c>
      <c r="Y990">
        <f t="shared" si="190"/>
        <v>0</v>
      </c>
    </row>
    <row r="991" spans="1:25" ht="13.5" thickBot="1" x14ac:dyDescent="0.25">
      <c r="A991" s="204">
        <f>IF(MOD(COUNT($A$10:A990),12)=0,A990+1,A990)</f>
        <v>82</v>
      </c>
      <c r="B991" s="218">
        <f t="shared" si="182"/>
        <v>10</v>
      </c>
      <c r="C991" s="218">
        <f t="shared" si="183"/>
        <v>1</v>
      </c>
      <c r="D991" s="208">
        <f>IF(MOD(COUNT($D$10:D990),6)=0,D990+1,D990)</f>
        <v>164</v>
      </c>
      <c r="E991" s="208">
        <f>IF(MOD(COUNT($E$10:E990),3)=0,E990+1,E990)</f>
        <v>328</v>
      </c>
      <c r="F991" s="208">
        <f>IF(MOD(COUNT($F$10:F990),1)=0,F990+1,F990)</f>
        <v>982</v>
      </c>
      <c r="G991" s="204">
        <f>IFERROR(IF(C991=1,VLOOKUP(A991,Output!$A$27:$AB$137,28,FALSE)/AnnuityMode,0),0)</f>
        <v>0</v>
      </c>
      <c r="H991" s="220">
        <f>IFERROR(IF(AND(MIN(A991&gt;25,Age+A991&gt;=85),B991=12),VLOOKUP(A991,Output!$A$27:$AE$137,31,FALSE),0),0)</f>
        <v>0</v>
      </c>
      <c r="I991" s="221">
        <f>IFERROR(IF(AND(MIN(A991&gt;15,A991+Age&gt;=70),C991=1),VLOOKUP(A991,Output!$A$27:$AF$137,32,FALSE)*VLOOKUP('SV calc_ignore'!A991,Output!$A$27:$AG$137,33,FALSE)/IF(AnnuityMode=2,2,IF(AnnuityMode=4,4,IF(AnnuityMode=12,12,1))),0),0)</f>
        <v>0</v>
      </c>
      <c r="J991" s="227">
        <f t="shared" si="184"/>
        <v>0</v>
      </c>
      <c r="K991" s="213">
        <f t="shared" si="191"/>
        <v>0</v>
      </c>
      <c r="L991" s="209">
        <f t="shared" si="185"/>
        <v>0</v>
      </c>
      <c r="M991" s="214">
        <f t="shared" si="186"/>
        <v>0</v>
      </c>
      <c r="N991" s="211">
        <f t="shared" si="187"/>
        <v>0</v>
      </c>
      <c r="O991" s="194">
        <f t="shared" si="188"/>
        <v>0</v>
      </c>
      <c r="P991" s="212">
        <f t="shared" si="189"/>
        <v>0</v>
      </c>
      <c r="Q991">
        <f t="shared" si="181"/>
        <v>0</v>
      </c>
      <c r="X991" s="216">
        <f t="shared" si="192"/>
        <v>81</v>
      </c>
      <c r="Y991">
        <f t="shared" si="190"/>
        <v>0</v>
      </c>
    </row>
    <row r="992" spans="1:25" ht="13.5" thickBot="1" x14ac:dyDescent="0.25">
      <c r="A992" s="204">
        <f>IF(MOD(COUNT($A$10:A991),12)=0,A991+1,A991)</f>
        <v>82</v>
      </c>
      <c r="B992" s="218">
        <f t="shared" si="182"/>
        <v>11</v>
      </c>
      <c r="C992" s="218">
        <f t="shared" si="183"/>
        <v>1</v>
      </c>
      <c r="D992" s="208">
        <f>IF(MOD(COUNT($D$10:D991),6)=0,D991+1,D991)</f>
        <v>164</v>
      </c>
      <c r="E992" s="208">
        <f>IF(MOD(COUNT($E$10:E991),3)=0,E991+1,E991)</f>
        <v>328</v>
      </c>
      <c r="F992" s="208">
        <f>IF(MOD(COUNT($F$10:F991),1)=0,F991+1,F991)</f>
        <v>983</v>
      </c>
      <c r="G992" s="204">
        <f>IFERROR(IF(C992=1,VLOOKUP(A992,Output!$A$27:$AB$137,28,FALSE)/AnnuityMode,0),0)</f>
        <v>0</v>
      </c>
      <c r="H992" s="220">
        <f>IFERROR(IF(AND(MIN(A992&gt;25,Age+A992&gt;=85),B992=12),VLOOKUP(A992,Output!$A$27:$AE$137,31,FALSE),0),0)</f>
        <v>0</v>
      </c>
      <c r="I992" s="221">
        <f>IFERROR(IF(AND(MIN(A992&gt;15,A992+Age&gt;=70),C992=1),VLOOKUP(A992,Output!$A$27:$AF$137,32,FALSE)*VLOOKUP('SV calc_ignore'!A992,Output!$A$27:$AG$137,33,FALSE)/IF(AnnuityMode=2,2,IF(AnnuityMode=4,4,IF(AnnuityMode=12,12,1))),0),0)</f>
        <v>0</v>
      </c>
      <c r="J992" s="227">
        <f t="shared" si="184"/>
        <v>0</v>
      </c>
      <c r="K992" s="213">
        <f t="shared" si="191"/>
        <v>0</v>
      </c>
      <c r="L992" s="209">
        <f t="shared" si="185"/>
        <v>0</v>
      </c>
      <c r="M992" s="214">
        <f t="shared" si="186"/>
        <v>0</v>
      </c>
      <c r="N992" s="211">
        <f t="shared" si="187"/>
        <v>0</v>
      </c>
      <c r="O992" s="194">
        <f t="shared" si="188"/>
        <v>0</v>
      </c>
      <c r="P992" s="212">
        <f t="shared" si="189"/>
        <v>0</v>
      </c>
      <c r="Q992">
        <f t="shared" si="181"/>
        <v>0</v>
      </c>
      <c r="X992" s="216">
        <f t="shared" si="192"/>
        <v>81</v>
      </c>
      <c r="Y992">
        <f t="shared" si="190"/>
        <v>0</v>
      </c>
    </row>
    <row r="993" spans="1:25" ht="13.5" thickBot="1" x14ac:dyDescent="0.25">
      <c r="A993" s="204">
        <f>IF(MOD(COUNT($A$10:A992),12)=0,A992+1,A992)</f>
        <v>82</v>
      </c>
      <c r="B993" s="218">
        <f t="shared" si="182"/>
        <v>12</v>
      </c>
      <c r="C993" s="218">
        <f t="shared" si="183"/>
        <v>1</v>
      </c>
      <c r="D993" s="208">
        <f>IF(MOD(COUNT($D$10:D992),6)=0,D992+1,D992)</f>
        <v>164</v>
      </c>
      <c r="E993" s="208">
        <f>IF(MOD(COUNT($E$10:E992),3)=0,E992+1,E992)</f>
        <v>328</v>
      </c>
      <c r="F993" s="208">
        <f>IF(MOD(COUNT($F$10:F992),1)=0,F992+1,F992)</f>
        <v>984</v>
      </c>
      <c r="G993" s="204">
        <f>IFERROR(IF(C993=1,VLOOKUP(A993,Output!$A$27:$AB$137,28,FALSE)/AnnuityMode,0),0)</f>
        <v>0</v>
      </c>
      <c r="H993" s="220">
        <f>IFERROR(IF(AND(MIN(A993&gt;25,Age+A993&gt;=85),B993=12),VLOOKUP(A993,Output!$A$27:$AE$137,31,FALSE),0),0)</f>
        <v>0</v>
      </c>
      <c r="I993" s="221">
        <f>IFERROR(IF(AND(MIN(A993&gt;15,A993+Age&gt;=70),C993=1),VLOOKUP(A993,Output!$A$27:$AF$137,32,FALSE)*VLOOKUP('SV calc_ignore'!A993,Output!$A$27:$AG$137,33,FALSE)/IF(AnnuityMode=2,2,IF(AnnuityMode=4,4,IF(AnnuityMode=12,12,1))),0),0)</f>
        <v>0</v>
      </c>
      <c r="J993" s="227">
        <f t="shared" si="184"/>
        <v>0</v>
      </c>
      <c r="K993" s="213">
        <f t="shared" si="191"/>
        <v>0</v>
      </c>
      <c r="L993" s="209">
        <f t="shared" si="185"/>
        <v>0</v>
      </c>
      <c r="M993" s="214">
        <f t="shared" si="186"/>
        <v>0</v>
      </c>
      <c r="N993" s="211">
        <f t="shared" si="187"/>
        <v>0</v>
      </c>
      <c r="O993" s="194">
        <f t="shared" si="188"/>
        <v>0</v>
      </c>
      <c r="P993" s="212">
        <f t="shared" si="189"/>
        <v>0</v>
      </c>
      <c r="Q993">
        <f t="shared" si="181"/>
        <v>0</v>
      </c>
      <c r="X993" s="216">
        <f t="shared" si="192"/>
        <v>81</v>
      </c>
      <c r="Y993">
        <f t="shared" si="190"/>
        <v>0</v>
      </c>
    </row>
    <row r="994" spans="1:25" ht="13.5" thickBot="1" x14ac:dyDescent="0.25">
      <c r="A994" s="204">
        <f>IF(MOD(COUNT($A$10:A993),12)=0,A993+1,A993)</f>
        <v>83</v>
      </c>
      <c r="B994" s="218">
        <f t="shared" si="182"/>
        <v>1</v>
      </c>
      <c r="C994" s="218">
        <f t="shared" si="183"/>
        <v>1</v>
      </c>
      <c r="D994" s="208">
        <f>IF(MOD(COUNT($D$10:D993),6)=0,D993+1,D993)</f>
        <v>165</v>
      </c>
      <c r="E994" s="208">
        <f>IF(MOD(COUNT($E$10:E993),3)=0,E993+1,E993)</f>
        <v>329</v>
      </c>
      <c r="F994" s="208">
        <f>IF(MOD(COUNT($F$10:F993),1)=0,F993+1,F993)</f>
        <v>985</v>
      </c>
      <c r="G994" s="204">
        <f>IFERROR(IF(C994=1,VLOOKUP(A994,Output!$A$27:$AB$137,28,FALSE)/AnnuityMode,0),0)</f>
        <v>0</v>
      </c>
      <c r="H994" s="220">
        <f>IFERROR(IF(AND(MIN(A994&gt;25,Age+A994&gt;=85),B994=12),VLOOKUP(A994,Output!$A$27:$AE$137,31,FALSE),0),0)</f>
        <v>0</v>
      </c>
      <c r="I994" s="221">
        <f>IFERROR(IF(AND(MIN(A994&gt;15,A994+Age&gt;=70),C994=1),VLOOKUP(A994,Output!$A$27:$AF$137,32,FALSE)*VLOOKUP('SV calc_ignore'!A994,Output!$A$27:$AG$137,33,FALSE)/IF(AnnuityMode=2,2,IF(AnnuityMode=4,4,IF(AnnuityMode=12,12,1))),0),0)</f>
        <v>0</v>
      </c>
      <c r="J994" s="227">
        <f t="shared" si="184"/>
        <v>0</v>
      </c>
      <c r="K994" s="213">
        <f t="shared" si="191"/>
        <v>0</v>
      </c>
      <c r="L994" s="209">
        <f t="shared" si="185"/>
        <v>0</v>
      </c>
      <c r="M994" s="214">
        <f t="shared" si="186"/>
        <v>0</v>
      </c>
      <c r="N994" s="211">
        <f t="shared" si="187"/>
        <v>0</v>
      </c>
      <c r="O994" s="194">
        <f t="shared" si="188"/>
        <v>0</v>
      </c>
      <c r="P994" s="212">
        <f t="shared" si="189"/>
        <v>0</v>
      </c>
      <c r="Q994">
        <f t="shared" si="181"/>
        <v>0</v>
      </c>
      <c r="X994" s="216">
        <f t="shared" si="192"/>
        <v>82</v>
      </c>
      <c r="Y994">
        <f t="shared" si="190"/>
        <v>0</v>
      </c>
    </row>
    <row r="995" spans="1:25" ht="13.5" thickBot="1" x14ac:dyDescent="0.25">
      <c r="A995" s="204">
        <f>IF(MOD(COUNT($A$10:A994),12)=0,A994+1,A994)</f>
        <v>83</v>
      </c>
      <c r="B995" s="218">
        <f t="shared" si="182"/>
        <v>2</v>
      </c>
      <c r="C995" s="218">
        <f t="shared" si="183"/>
        <v>1</v>
      </c>
      <c r="D995" s="208">
        <f>IF(MOD(COUNT($D$10:D994),6)=0,D994+1,D994)</f>
        <v>165</v>
      </c>
      <c r="E995" s="208">
        <f>IF(MOD(COUNT($E$10:E994),3)=0,E994+1,E994)</f>
        <v>329</v>
      </c>
      <c r="F995" s="208">
        <f>IF(MOD(COUNT($F$10:F994),1)=0,F994+1,F994)</f>
        <v>986</v>
      </c>
      <c r="G995" s="204">
        <f>IFERROR(IF(C995=1,VLOOKUP(A995,Output!$A$27:$AB$137,28,FALSE)/AnnuityMode,0),0)</f>
        <v>0</v>
      </c>
      <c r="H995" s="220">
        <f>IFERROR(IF(AND(MIN(A995&gt;25,Age+A995&gt;=85),B995=12),VLOOKUP(A995,Output!$A$27:$AE$137,31,FALSE),0),0)</f>
        <v>0</v>
      </c>
      <c r="I995" s="221">
        <f>IFERROR(IF(AND(MIN(A995&gt;15,A995+Age&gt;=70),C995=1),VLOOKUP(A995,Output!$A$27:$AF$137,32,FALSE)*VLOOKUP('SV calc_ignore'!A995,Output!$A$27:$AG$137,33,FALSE)/IF(AnnuityMode=2,2,IF(AnnuityMode=4,4,IF(AnnuityMode=12,12,1))),0),0)</f>
        <v>0</v>
      </c>
      <c r="J995" s="227">
        <f t="shared" si="184"/>
        <v>0</v>
      </c>
      <c r="K995" s="213">
        <f t="shared" si="191"/>
        <v>0</v>
      </c>
      <c r="L995" s="209">
        <f t="shared" si="185"/>
        <v>0</v>
      </c>
      <c r="M995" s="214">
        <f t="shared" si="186"/>
        <v>0</v>
      </c>
      <c r="N995" s="211">
        <f t="shared" si="187"/>
        <v>0</v>
      </c>
      <c r="O995" s="194">
        <f t="shared" si="188"/>
        <v>0</v>
      </c>
      <c r="P995" s="212">
        <f t="shared" si="189"/>
        <v>0</v>
      </c>
      <c r="Q995">
        <f t="shared" si="181"/>
        <v>0</v>
      </c>
      <c r="X995" s="216">
        <f t="shared" si="192"/>
        <v>82</v>
      </c>
      <c r="Y995">
        <f t="shared" si="190"/>
        <v>0</v>
      </c>
    </row>
    <row r="996" spans="1:25" ht="13.5" thickBot="1" x14ac:dyDescent="0.25">
      <c r="A996" s="204">
        <f>IF(MOD(COUNT($A$10:A995),12)=0,A995+1,A995)</f>
        <v>83</v>
      </c>
      <c r="B996" s="218">
        <f t="shared" si="182"/>
        <v>3</v>
      </c>
      <c r="C996" s="218">
        <f t="shared" si="183"/>
        <v>1</v>
      </c>
      <c r="D996" s="208">
        <f>IF(MOD(COUNT($D$10:D995),6)=0,D995+1,D995)</f>
        <v>165</v>
      </c>
      <c r="E996" s="208">
        <f>IF(MOD(COUNT($E$10:E995),3)=0,E995+1,E995)</f>
        <v>329</v>
      </c>
      <c r="F996" s="208">
        <f>IF(MOD(COUNT($F$10:F995),1)=0,F995+1,F995)</f>
        <v>987</v>
      </c>
      <c r="G996" s="204">
        <f>IFERROR(IF(C996=1,VLOOKUP(A996,Output!$A$27:$AB$137,28,FALSE)/AnnuityMode,0),0)</f>
        <v>0</v>
      </c>
      <c r="H996" s="220">
        <f>IFERROR(IF(AND(MIN(A996&gt;25,Age+A996&gt;=85),B996=12),VLOOKUP(A996,Output!$A$27:$AE$137,31,FALSE),0),0)</f>
        <v>0</v>
      </c>
      <c r="I996" s="221">
        <f>IFERROR(IF(AND(MIN(A996&gt;15,A996+Age&gt;=70),C996=1),VLOOKUP(A996,Output!$A$27:$AF$137,32,FALSE)*VLOOKUP('SV calc_ignore'!A996,Output!$A$27:$AG$137,33,FALSE)/IF(AnnuityMode=2,2,IF(AnnuityMode=4,4,IF(AnnuityMode=12,12,1))),0),0)</f>
        <v>0</v>
      </c>
      <c r="J996" s="227">
        <f t="shared" si="184"/>
        <v>0</v>
      </c>
      <c r="K996" s="213">
        <f t="shared" si="191"/>
        <v>0</v>
      </c>
      <c r="L996" s="209">
        <f t="shared" si="185"/>
        <v>0</v>
      </c>
      <c r="M996" s="214">
        <f t="shared" si="186"/>
        <v>0</v>
      </c>
      <c r="N996" s="211">
        <f t="shared" si="187"/>
        <v>0</v>
      </c>
      <c r="O996" s="194">
        <f t="shared" si="188"/>
        <v>0</v>
      </c>
      <c r="P996" s="212">
        <f t="shared" si="189"/>
        <v>0</v>
      </c>
      <c r="Q996">
        <f t="shared" si="181"/>
        <v>0</v>
      </c>
      <c r="X996" s="216">
        <f t="shared" si="192"/>
        <v>82</v>
      </c>
      <c r="Y996">
        <f t="shared" si="190"/>
        <v>0</v>
      </c>
    </row>
    <row r="997" spans="1:25" ht="13.5" thickBot="1" x14ac:dyDescent="0.25">
      <c r="A997" s="204">
        <f>IF(MOD(COUNT($A$10:A996),12)=0,A996+1,A996)</f>
        <v>83</v>
      </c>
      <c r="B997" s="218">
        <f t="shared" si="182"/>
        <v>4</v>
      </c>
      <c r="C997" s="218">
        <f t="shared" si="183"/>
        <v>1</v>
      </c>
      <c r="D997" s="208">
        <f>IF(MOD(COUNT($D$10:D996),6)=0,D996+1,D996)</f>
        <v>165</v>
      </c>
      <c r="E997" s="208">
        <f>IF(MOD(COUNT($E$10:E996),3)=0,E996+1,E996)</f>
        <v>330</v>
      </c>
      <c r="F997" s="208">
        <f>IF(MOD(COUNT($F$10:F996),1)=0,F996+1,F996)</f>
        <v>988</v>
      </c>
      <c r="G997" s="204">
        <f>IFERROR(IF(C997=1,VLOOKUP(A997,Output!$A$27:$AB$137,28,FALSE)/AnnuityMode,0),0)</f>
        <v>0</v>
      </c>
      <c r="H997" s="220">
        <f>IFERROR(IF(AND(MIN(A997&gt;25,Age+A997&gt;=85),B997=12),VLOOKUP(A997,Output!$A$27:$AE$137,31,FALSE),0),0)</f>
        <v>0</v>
      </c>
      <c r="I997" s="221">
        <f>IFERROR(IF(AND(MIN(A997&gt;15,A997+Age&gt;=70),C997=1),VLOOKUP(A997,Output!$A$27:$AF$137,32,FALSE)*VLOOKUP('SV calc_ignore'!A997,Output!$A$27:$AG$137,33,FALSE)/IF(AnnuityMode=2,2,IF(AnnuityMode=4,4,IF(AnnuityMode=12,12,1))),0),0)</f>
        <v>0</v>
      </c>
      <c r="J997" s="227">
        <f t="shared" si="184"/>
        <v>0</v>
      </c>
      <c r="K997" s="213">
        <f t="shared" si="191"/>
        <v>0</v>
      </c>
      <c r="L997" s="209">
        <f t="shared" si="185"/>
        <v>0</v>
      </c>
      <c r="M997" s="214">
        <f t="shared" si="186"/>
        <v>0</v>
      </c>
      <c r="N997" s="211">
        <f t="shared" si="187"/>
        <v>0</v>
      </c>
      <c r="O997" s="194">
        <f t="shared" si="188"/>
        <v>0</v>
      </c>
      <c r="P997" s="212">
        <f t="shared" si="189"/>
        <v>0</v>
      </c>
      <c r="Q997">
        <f t="shared" si="181"/>
        <v>0</v>
      </c>
      <c r="X997" s="216">
        <f t="shared" si="192"/>
        <v>82</v>
      </c>
      <c r="Y997">
        <f t="shared" si="190"/>
        <v>0</v>
      </c>
    </row>
    <row r="998" spans="1:25" ht="13.5" thickBot="1" x14ac:dyDescent="0.25">
      <c r="A998" s="204">
        <f>IF(MOD(COUNT($A$10:A997),12)=0,A997+1,A997)</f>
        <v>83</v>
      </c>
      <c r="B998" s="218">
        <f t="shared" si="182"/>
        <v>5</v>
      </c>
      <c r="C998" s="218">
        <f t="shared" si="183"/>
        <v>1</v>
      </c>
      <c r="D998" s="208">
        <f>IF(MOD(COUNT($D$10:D997),6)=0,D997+1,D997)</f>
        <v>165</v>
      </c>
      <c r="E998" s="208">
        <f>IF(MOD(COUNT($E$10:E997),3)=0,E997+1,E997)</f>
        <v>330</v>
      </c>
      <c r="F998" s="208">
        <f>IF(MOD(COUNT($F$10:F997),1)=0,F997+1,F997)</f>
        <v>989</v>
      </c>
      <c r="G998" s="204">
        <f>IFERROR(IF(C998=1,VLOOKUP(A998,Output!$A$27:$AB$137,28,FALSE)/AnnuityMode,0),0)</f>
        <v>0</v>
      </c>
      <c r="H998" s="220">
        <f>IFERROR(IF(AND(MIN(A998&gt;25,Age+A998&gt;=85),B998=12),VLOOKUP(A998,Output!$A$27:$AE$137,31,FALSE),0),0)</f>
        <v>0</v>
      </c>
      <c r="I998" s="221">
        <f>IFERROR(IF(AND(MIN(A998&gt;15,A998+Age&gt;=70),C998=1),VLOOKUP(A998,Output!$A$27:$AF$137,32,FALSE)*VLOOKUP('SV calc_ignore'!A998,Output!$A$27:$AG$137,33,FALSE)/IF(AnnuityMode=2,2,IF(AnnuityMode=4,4,IF(AnnuityMode=12,12,1))),0),0)</f>
        <v>0</v>
      </c>
      <c r="J998" s="227">
        <f t="shared" si="184"/>
        <v>0</v>
      </c>
      <c r="K998" s="213">
        <f t="shared" si="191"/>
        <v>0</v>
      </c>
      <c r="L998" s="209">
        <f t="shared" si="185"/>
        <v>0</v>
      </c>
      <c r="M998" s="214">
        <f t="shared" si="186"/>
        <v>0</v>
      </c>
      <c r="N998" s="211">
        <f t="shared" si="187"/>
        <v>0</v>
      </c>
      <c r="O998" s="194">
        <f t="shared" si="188"/>
        <v>0</v>
      </c>
      <c r="P998" s="212">
        <f t="shared" si="189"/>
        <v>0</v>
      </c>
      <c r="Q998">
        <f t="shared" si="181"/>
        <v>0</v>
      </c>
      <c r="X998" s="216">
        <f t="shared" si="192"/>
        <v>82</v>
      </c>
      <c r="Y998">
        <f t="shared" si="190"/>
        <v>0</v>
      </c>
    </row>
    <row r="999" spans="1:25" ht="13.5" thickBot="1" x14ac:dyDescent="0.25">
      <c r="A999" s="204">
        <f>IF(MOD(COUNT($A$10:A998),12)=0,A998+1,A998)</f>
        <v>83</v>
      </c>
      <c r="B999" s="218">
        <f t="shared" si="182"/>
        <v>6</v>
      </c>
      <c r="C999" s="218">
        <f t="shared" si="183"/>
        <v>1</v>
      </c>
      <c r="D999" s="208">
        <f>IF(MOD(COUNT($D$10:D998),6)=0,D998+1,D998)</f>
        <v>165</v>
      </c>
      <c r="E999" s="208">
        <f>IF(MOD(COUNT($E$10:E998),3)=0,E998+1,E998)</f>
        <v>330</v>
      </c>
      <c r="F999" s="208">
        <f>IF(MOD(COUNT($F$10:F998),1)=0,F998+1,F998)</f>
        <v>990</v>
      </c>
      <c r="G999" s="204">
        <f>IFERROR(IF(C999=1,VLOOKUP(A999,Output!$A$27:$AB$137,28,FALSE)/AnnuityMode,0),0)</f>
        <v>0</v>
      </c>
      <c r="H999" s="220">
        <f>IFERROR(IF(AND(MIN(A999&gt;25,Age+A999&gt;=85),B999=12),VLOOKUP(A999,Output!$A$27:$AE$137,31,FALSE),0),0)</f>
        <v>0</v>
      </c>
      <c r="I999" s="221">
        <f>IFERROR(IF(AND(MIN(A999&gt;15,A999+Age&gt;=70),C999=1),VLOOKUP(A999,Output!$A$27:$AF$137,32,FALSE)*VLOOKUP('SV calc_ignore'!A999,Output!$A$27:$AG$137,33,FALSE)/IF(AnnuityMode=2,2,IF(AnnuityMode=4,4,IF(AnnuityMode=12,12,1))),0),0)</f>
        <v>0</v>
      </c>
      <c r="J999" s="227">
        <f t="shared" si="184"/>
        <v>0</v>
      </c>
      <c r="K999" s="213">
        <f t="shared" si="191"/>
        <v>0</v>
      </c>
      <c r="L999" s="209">
        <f t="shared" si="185"/>
        <v>0</v>
      </c>
      <c r="M999" s="214">
        <f t="shared" si="186"/>
        <v>0</v>
      </c>
      <c r="N999" s="211">
        <f t="shared" si="187"/>
        <v>0</v>
      </c>
      <c r="O999" s="194">
        <f t="shared" si="188"/>
        <v>0</v>
      </c>
      <c r="P999" s="212">
        <f t="shared" si="189"/>
        <v>0</v>
      </c>
      <c r="Q999">
        <f t="shared" si="181"/>
        <v>0</v>
      </c>
      <c r="X999" s="216">
        <f t="shared" si="192"/>
        <v>82</v>
      </c>
      <c r="Y999">
        <f t="shared" si="190"/>
        <v>0</v>
      </c>
    </row>
    <row r="1000" spans="1:25" ht="13.5" thickBot="1" x14ac:dyDescent="0.25">
      <c r="A1000" s="204">
        <f>IF(MOD(COUNT($A$10:A999),12)=0,A999+1,A999)</f>
        <v>83</v>
      </c>
      <c r="B1000" s="218">
        <f t="shared" si="182"/>
        <v>7</v>
      </c>
      <c r="C1000" s="218">
        <f t="shared" si="183"/>
        <v>1</v>
      </c>
      <c r="D1000" s="208">
        <f>IF(MOD(COUNT($D$10:D999),6)=0,D999+1,D999)</f>
        <v>166</v>
      </c>
      <c r="E1000" s="208">
        <f>IF(MOD(COUNT($E$10:E999),3)=0,E999+1,E999)</f>
        <v>331</v>
      </c>
      <c r="F1000" s="208">
        <f>IF(MOD(COUNT($F$10:F999),1)=0,F999+1,F999)</f>
        <v>991</v>
      </c>
      <c r="G1000" s="204">
        <f>IFERROR(IF(C1000=1,VLOOKUP(A1000,Output!$A$27:$AB$137,28,FALSE)/AnnuityMode,0),0)</f>
        <v>0</v>
      </c>
      <c r="H1000" s="220">
        <f>IFERROR(IF(AND(MIN(A1000&gt;25,Age+A1000&gt;=85),B1000=12),VLOOKUP(A1000,Output!$A$27:$AE$137,31,FALSE),0),0)</f>
        <v>0</v>
      </c>
      <c r="I1000" s="221">
        <f>IFERROR(IF(AND(MIN(A1000&gt;15,A1000+Age&gt;=70),C1000=1),VLOOKUP(A1000,Output!$A$27:$AF$137,32,FALSE)*VLOOKUP('SV calc_ignore'!A1000,Output!$A$27:$AG$137,33,FALSE)/IF(AnnuityMode=2,2,IF(AnnuityMode=4,4,IF(AnnuityMode=12,12,1))),0),0)</f>
        <v>0</v>
      </c>
      <c r="J1000" s="227">
        <f t="shared" si="184"/>
        <v>0</v>
      </c>
      <c r="K1000" s="213">
        <f t="shared" si="191"/>
        <v>0</v>
      </c>
      <c r="L1000" s="209">
        <f t="shared" si="185"/>
        <v>0</v>
      </c>
      <c r="M1000" s="214">
        <f t="shared" si="186"/>
        <v>0</v>
      </c>
      <c r="N1000" s="211">
        <f t="shared" si="187"/>
        <v>0</v>
      </c>
      <c r="O1000" s="194">
        <f t="shared" si="188"/>
        <v>0</v>
      </c>
      <c r="P1000" s="212">
        <f t="shared" si="189"/>
        <v>0</v>
      </c>
      <c r="Q1000">
        <f t="shared" si="181"/>
        <v>0</v>
      </c>
      <c r="X1000" s="216">
        <f t="shared" si="192"/>
        <v>82</v>
      </c>
      <c r="Y1000">
        <f t="shared" si="190"/>
        <v>0</v>
      </c>
    </row>
    <row r="1001" spans="1:25" ht="13.5" thickBot="1" x14ac:dyDescent="0.25">
      <c r="A1001" s="204">
        <f>IF(MOD(COUNT($A$10:A1000),12)=0,A1000+1,A1000)</f>
        <v>83</v>
      </c>
      <c r="B1001" s="218">
        <f t="shared" si="182"/>
        <v>8</v>
      </c>
      <c r="C1001" s="218">
        <f t="shared" si="183"/>
        <v>1</v>
      </c>
      <c r="D1001" s="208">
        <f>IF(MOD(COUNT($D$10:D1000),6)=0,D1000+1,D1000)</f>
        <v>166</v>
      </c>
      <c r="E1001" s="208">
        <f>IF(MOD(COUNT($E$10:E1000),3)=0,E1000+1,E1000)</f>
        <v>331</v>
      </c>
      <c r="F1001" s="208">
        <f>IF(MOD(COUNT($F$10:F1000),1)=0,F1000+1,F1000)</f>
        <v>992</v>
      </c>
      <c r="G1001" s="204">
        <f>IFERROR(IF(C1001=1,VLOOKUP(A1001,Output!$A$27:$AB$137,28,FALSE)/AnnuityMode,0),0)</f>
        <v>0</v>
      </c>
      <c r="H1001" s="220">
        <f>IFERROR(IF(AND(MIN(A1001&gt;25,Age+A1001&gt;=85),B1001=12),VLOOKUP(A1001,Output!$A$27:$AE$137,31,FALSE),0),0)</f>
        <v>0</v>
      </c>
      <c r="I1001" s="221">
        <f>IFERROR(IF(AND(MIN(A1001&gt;15,A1001+Age&gt;=70),C1001=1),VLOOKUP(A1001,Output!$A$27:$AF$137,32,FALSE)*VLOOKUP('SV calc_ignore'!A1001,Output!$A$27:$AG$137,33,FALSE)/IF(AnnuityMode=2,2,IF(AnnuityMode=4,4,IF(AnnuityMode=12,12,1))),0),0)</f>
        <v>0</v>
      </c>
      <c r="J1001" s="227">
        <f t="shared" si="184"/>
        <v>0</v>
      </c>
      <c r="K1001" s="213">
        <f t="shared" si="191"/>
        <v>0</v>
      </c>
      <c r="L1001" s="209">
        <f t="shared" si="185"/>
        <v>0</v>
      </c>
      <c r="M1001" s="214">
        <f t="shared" si="186"/>
        <v>0</v>
      </c>
      <c r="N1001" s="211">
        <f t="shared" si="187"/>
        <v>0</v>
      </c>
      <c r="O1001" s="194">
        <f t="shared" si="188"/>
        <v>0</v>
      </c>
      <c r="P1001" s="212">
        <f t="shared" si="189"/>
        <v>0</v>
      </c>
      <c r="Q1001">
        <f t="shared" si="181"/>
        <v>0</v>
      </c>
      <c r="X1001" s="216">
        <f t="shared" si="192"/>
        <v>82</v>
      </c>
      <c r="Y1001">
        <f t="shared" si="190"/>
        <v>0</v>
      </c>
    </row>
    <row r="1002" spans="1:25" ht="13.5" thickBot="1" x14ac:dyDescent="0.25">
      <c r="A1002" s="204">
        <f>IF(MOD(COUNT($A$10:A1001),12)=0,A1001+1,A1001)</f>
        <v>83</v>
      </c>
      <c r="B1002" s="218">
        <f t="shared" si="182"/>
        <v>9</v>
      </c>
      <c r="C1002" s="218">
        <f t="shared" si="183"/>
        <v>1</v>
      </c>
      <c r="D1002" s="208">
        <f>IF(MOD(COUNT($D$10:D1001),6)=0,D1001+1,D1001)</f>
        <v>166</v>
      </c>
      <c r="E1002" s="208">
        <f>IF(MOD(COUNT($E$10:E1001),3)=0,E1001+1,E1001)</f>
        <v>331</v>
      </c>
      <c r="F1002" s="208">
        <f>IF(MOD(COUNT($F$10:F1001),1)=0,F1001+1,F1001)</f>
        <v>993</v>
      </c>
      <c r="G1002" s="204">
        <f>IFERROR(IF(C1002=1,VLOOKUP(A1002,Output!$A$27:$AB$137,28,FALSE)/AnnuityMode,0),0)</f>
        <v>0</v>
      </c>
      <c r="H1002" s="220">
        <f>IFERROR(IF(AND(MIN(A1002&gt;25,Age+A1002&gt;=85),B1002=12),VLOOKUP(A1002,Output!$A$27:$AE$137,31,FALSE),0),0)</f>
        <v>0</v>
      </c>
      <c r="I1002" s="221">
        <f>IFERROR(IF(AND(MIN(A1002&gt;15,A1002+Age&gt;=70),C1002=1),VLOOKUP(A1002,Output!$A$27:$AF$137,32,FALSE)*VLOOKUP('SV calc_ignore'!A1002,Output!$A$27:$AG$137,33,FALSE)/IF(AnnuityMode=2,2,IF(AnnuityMode=4,4,IF(AnnuityMode=12,12,1))),0),0)</f>
        <v>0</v>
      </c>
      <c r="J1002" s="227">
        <f t="shared" si="184"/>
        <v>0</v>
      </c>
      <c r="K1002" s="213">
        <f t="shared" si="191"/>
        <v>0</v>
      </c>
      <c r="L1002" s="209">
        <f t="shared" si="185"/>
        <v>0</v>
      </c>
      <c r="M1002" s="214">
        <f t="shared" si="186"/>
        <v>0</v>
      </c>
      <c r="N1002" s="211">
        <f t="shared" si="187"/>
        <v>0</v>
      </c>
      <c r="O1002" s="194">
        <f t="shared" si="188"/>
        <v>0</v>
      </c>
      <c r="P1002" s="212">
        <f t="shared" si="189"/>
        <v>0</v>
      </c>
      <c r="Q1002">
        <f t="shared" ref="Q1002:Q1065" si="193">(I1002+(Q1003)*(1+$K$3)^(-1))*(A1002&lt;=$W$5)</f>
        <v>0</v>
      </c>
      <c r="X1002" s="216">
        <f t="shared" si="192"/>
        <v>82</v>
      </c>
      <c r="Y1002">
        <f t="shared" si="190"/>
        <v>0</v>
      </c>
    </row>
    <row r="1003" spans="1:25" ht="13.5" thickBot="1" x14ac:dyDescent="0.25">
      <c r="A1003" s="204">
        <f>IF(MOD(COUNT($A$10:A1002),12)=0,A1002+1,A1002)</f>
        <v>83</v>
      </c>
      <c r="B1003" s="218">
        <f t="shared" si="182"/>
        <v>10</v>
      </c>
      <c r="C1003" s="218">
        <f t="shared" si="183"/>
        <v>1</v>
      </c>
      <c r="D1003" s="208">
        <f>IF(MOD(COUNT($D$10:D1002),6)=0,D1002+1,D1002)</f>
        <v>166</v>
      </c>
      <c r="E1003" s="208">
        <f>IF(MOD(COUNT($E$10:E1002),3)=0,E1002+1,E1002)</f>
        <v>332</v>
      </c>
      <c r="F1003" s="208">
        <f>IF(MOD(COUNT($F$10:F1002),1)=0,F1002+1,F1002)</f>
        <v>994</v>
      </c>
      <c r="G1003" s="204">
        <f>IFERROR(IF(C1003=1,VLOOKUP(A1003,Output!$A$27:$AB$137,28,FALSE)/AnnuityMode,0),0)</f>
        <v>0</v>
      </c>
      <c r="H1003" s="220">
        <f>IFERROR(IF(AND(MIN(A1003&gt;25,Age+A1003&gt;=85),B1003=12),VLOOKUP(A1003,Output!$A$27:$AE$137,31,FALSE),0),0)</f>
        <v>0</v>
      </c>
      <c r="I1003" s="221">
        <f>IFERROR(IF(AND(MIN(A1003&gt;15,A1003+Age&gt;=70),C1003=1),VLOOKUP(A1003,Output!$A$27:$AF$137,32,FALSE)*VLOOKUP('SV calc_ignore'!A1003,Output!$A$27:$AG$137,33,FALSE)/IF(AnnuityMode=2,2,IF(AnnuityMode=4,4,IF(AnnuityMode=12,12,1))),0),0)</f>
        <v>0</v>
      </c>
      <c r="J1003" s="227">
        <f t="shared" si="184"/>
        <v>0</v>
      </c>
      <c r="K1003" s="213">
        <f t="shared" si="191"/>
        <v>0</v>
      </c>
      <c r="L1003" s="209">
        <f t="shared" si="185"/>
        <v>0</v>
      </c>
      <c r="M1003" s="214">
        <f t="shared" si="186"/>
        <v>0</v>
      </c>
      <c r="N1003" s="211">
        <f t="shared" si="187"/>
        <v>0</v>
      </c>
      <c r="O1003" s="194">
        <f t="shared" si="188"/>
        <v>0</v>
      </c>
      <c r="P1003" s="212">
        <f t="shared" si="189"/>
        <v>0</v>
      </c>
      <c r="Q1003">
        <f t="shared" si="193"/>
        <v>0</v>
      </c>
      <c r="X1003" s="216">
        <f t="shared" si="192"/>
        <v>82</v>
      </c>
      <c r="Y1003">
        <f t="shared" si="190"/>
        <v>0</v>
      </c>
    </row>
    <row r="1004" spans="1:25" ht="13.5" thickBot="1" x14ac:dyDescent="0.25">
      <c r="A1004" s="204">
        <f>IF(MOD(COUNT($A$10:A1003),12)=0,A1003+1,A1003)</f>
        <v>83</v>
      </c>
      <c r="B1004" s="218">
        <f t="shared" si="182"/>
        <v>11</v>
      </c>
      <c r="C1004" s="218">
        <f t="shared" si="183"/>
        <v>1</v>
      </c>
      <c r="D1004" s="208">
        <f>IF(MOD(COUNT($D$10:D1003),6)=0,D1003+1,D1003)</f>
        <v>166</v>
      </c>
      <c r="E1004" s="208">
        <f>IF(MOD(COUNT($E$10:E1003),3)=0,E1003+1,E1003)</f>
        <v>332</v>
      </c>
      <c r="F1004" s="208">
        <f>IF(MOD(COUNT($F$10:F1003),1)=0,F1003+1,F1003)</f>
        <v>995</v>
      </c>
      <c r="G1004" s="204">
        <f>IFERROR(IF(C1004=1,VLOOKUP(A1004,Output!$A$27:$AB$137,28,FALSE)/AnnuityMode,0),0)</f>
        <v>0</v>
      </c>
      <c r="H1004" s="220">
        <f>IFERROR(IF(AND(MIN(A1004&gt;25,Age+A1004&gt;=85),B1004=12),VLOOKUP(A1004,Output!$A$27:$AE$137,31,FALSE),0),0)</f>
        <v>0</v>
      </c>
      <c r="I1004" s="221">
        <f>IFERROR(IF(AND(MIN(A1004&gt;15,A1004+Age&gt;=70),C1004=1),VLOOKUP(A1004,Output!$A$27:$AF$137,32,FALSE)*VLOOKUP('SV calc_ignore'!A1004,Output!$A$27:$AG$137,33,FALSE)/IF(AnnuityMode=2,2,IF(AnnuityMode=4,4,IF(AnnuityMode=12,12,1))),0),0)</f>
        <v>0</v>
      </c>
      <c r="J1004" s="227">
        <f t="shared" si="184"/>
        <v>0</v>
      </c>
      <c r="K1004" s="213">
        <f t="shared" si="191"/>
        <v>0</v>
      </c>
      <c r="L1004" s="209">
        <f t="shared" si="185"/>
        <v>0</v>
      </c>
      <c r="M1004" s="214">
        <f t="shared" si="186"/>
        <v>0</v>
      </c>
      <c r="N1004" s="211">
        <f t="shared" si="187"/>
        <v>0</v>
      </c>
      <c r="O1004" s="194">
        <f t="shared" si="188"/>
        <v>0</v>
      </c>
      <c r="P1004" s="212">
        <f t="shared" si="189"/>
        <v>0</v>
      </c>
      <c r="Q1004">
        <f t="shared" si="193"/>
        <v>0</v>
      </c>
      <c r="X1004" s="216">
        <f t="shared" si="192"/>
        <v>82</v>
      </c>
      <c r="Y1004">
        <f t="shared" si="190"/>
        <v>0</v>
      </c>
    </row>
    <row r="1005" spans="1:25" ht="13.5" thickBot="1" x14ac:dyDescent="0.25">
      <c r="A1005" s="204">
        <f>IF(MOD(COUNT($A$10:A1004),12)=0,A1004+1,A1004)</f>
        <v>83</v>
      </c>
      <c r="B1005" s="218">
        <f t="shared" si="182"/>
        <v>12</v>
      </c>
      <c r="C1005" s="218">
        <f t="shared" si="183"/>
        <v>1</v>
      </c>
      <c r="D1005" s="208">
        <f>IF(MOD(COUNT($D$10:D1004),6)=0,D1004+1,D1004)</f>
        <v>166</v>
      </c>
      <c r="E1005" s="208">
        <f>IF(MOD(COUNT($E$10:E1004),3)=0,E1004+1,E1004)</f>
        <v>332</v>
      </c>
      <c r="F1005" s="208">
        <f>IF(MOD(COUNT($F$10:F1004),1)=0,F1004+1,F1004)</f>
        <v>996</v>
      </c>
      <c r="G1005" s="204">
        <f>IFERROR(IF(C1005=1,VLOOKUP(A1005,Output!$A$27:$AB$137,28,FALSE)/AnnuityMode,0),0)</f>
        <v>0</v>
      </c>
      <c r="H1005" s="220">
        <f>IFERROR(IF(AND(MIN(A1005&gt;25,Age+A1005&gt;=85),B1005=12),VLOOKUP(A1005,Output!$A$27:$AE$137,31,FALSE),0),0)</f>
        <v>0</v>
      </c>
      <c r="I1005" s="221">
        <f>IFERROR(IF(AND(MIN(A1005&gt;15,A1005+Age&gt;=70),C1005=1),VLOOKUP(A1005,Output!$A$27:$AF$137,32,FALSE)*VLOOKUP('SV calc_ignore'!A1005,Output!$A$27:$AG$137,33,FALSE)/IF(AnnuityMode=2,2,IF(AnnuityMode=4,4,IF(AnnuityMode=12,12,1))),0),0)</f>
        <v>0</v>
      </c>
      <c r="J1005" s="227">
        <f t="shared" si="184"/>
        <v>0</v>
      </c>
      <c r="K1005" s="213">
        <f t="shared" si="191"/>
        <v>0</v>
      </c>
      <c r="L1005" s="209">
        <f t="shared" si="185"/>
        <v>0</v>
      </c>
      <c r="M1005" s="214">
        <f t="shared" si="186"/>
        <v>0</v>
      </c>
      <c r="N1005" s="211">
        <f t="shared" si="187"/>
        <v>0</v>
      </c>
      <c r="O1005" s="194">
        <f t="shared" si="188"/>
        <v>0</v>
      </c>
      <c r="P1005" s="212">
        <f t="shared" si="189"/>
        <v>0</v>
      </c>
      <c r="Q1005">
        <f t="shared" si="193"/>
        <v>0</v>
      </c>
      <c r="X1005" s="216">
        <f t="shared" si="192"/>
        <v>82</v>
      </c>
      <c r="Y1005">
        <f t="shared" si="190"/>
        <v>0</v>
      </c>
    </row>
    <row r="1006" spans="1:25" ht="13.5" thickBot="1" x14ac:dyDescent="0.25">
      <c r="A1006" s="204">
        <f>IF(MOD(COUNT($A$10:A1005),12)=0,A1005+1,A1005)</f>
        <v>84</v>
      </c>
      <c r="B1006" s="218">
        <f t="shared" si="182"/>
        <v>1</v>
      </c>
      <c r="C1006" s="218">
        <f t="shared" si="183"/>
        <v>1</v>
      </c>
      <c r="D1006" s="208">
        <f>IF(MOD(COUNT($D$10:D1005),6)=0,D1005+1,D1005)</f>
        <v>167</v>
      </c>
      <c r="E1006" s="208">
        <f>IF(MOD(COUNT($E$10:E1005),3)=0,E1005+1,E1005)</f>
        <v>333</v>
      </c>
      <c r="F1006" s="208">
        <f>IF(MOD(COUNT($F$10:F1005),1)=0,F1005+1,F1005)</f>
        <v>997</v>
      </c>
      <c r="G1006" s="204">
        <f>IFERROR(IF(C1006=1,VLOOKUP(A1006,Output!$A$27:$AB$137,28,FALSE)/AnnuityMode,0),0)</f>
        <v>0</v>
      </c>
      <c r="H1006" s="220">
        <f>IFERROR(IF(AND(MIN(A1006&gt;25,Age+A1006&gt;=85),B1006=12),VLOOKUP(A1006,Output!$A$27:$AE$137,31,FALSE),0),0)</f>
        <v>0</v>
      </c>
      <c r="I1006" s="221">
        <f>IFERROR(IF(AND(MIN(A1006&gt;15,A1006+Age&gt;=70),C1006=1),VLOOKUP(A1006,Output!$A$27:$AF$137,32,FALSE)*VLOOKUP('SV calc_ignore'!A1006,Output!$A$27:$AG$137,33,FALSE)/IF(AnnuityMode=2,2,IF(AnnuityMode=4,4,IF(AnnuityMode=12,12,1))),0),0)</f>
        <v>0</v>
      </c>
      <c r="J1006" s="227">
        <f t="shared" si="184"/>
        <v>0</v>
      </c>
      <c r="K1006" s="213">
        <f t="shared" si="191"/>
        <v>0</v>
      </c>
      <c r="L1006" s="209">
        <f t="shared" si="185"/>
        <v>0</v>
      </c>
      <c r="M1006" s="214">
        <f t="shared" si="186"/>
        <v>0</v>
      </c>
      <c r="N1006" s="211">
        <f t="shared" si="187"/>
        <v>0</v>
      </c>
      <c r="O1006" s="194">
        <f t="shared" si="188"/>
        <v>0</v>
      </c>
      <c r="P1006" s="212">
        <f t="shared" si="189"/>
        <v>0</v>
      </c>
      <c r="Q1006">
        <f t="shared" si="193"/>
        <v>0</v>
      </c>
      <c r="X1006" s="216">
        <f t="shared" si="192"/>
        <v>83</v>
      </c>
      <c r="Y1006">
        <f t="shared" si="190"/>
        <v>0</v>
      </c>
    </row>
    <row r="1007" spans="1:25" ht="13.5" thickBot="1" x14ac:dyDescent="0.25">
      <c r="A1007" s="204">
        <f>IF(MOD(COUNT($A$10:A1006),12)=0,A1006+1,A1006)</f>
        <v>84</v>
      </c>
      <c r="B1007" s="218">
        <f t="shared" si="182"/>
        <v>2</v>
      </c>
      <c r="C1007" s="218">
        <f t="shared" si="183"/>
        <v>1</v>
      </c>
      <c r="D1007" s="208">
        <f>IF(MOD(COUNT($D$10:D1006),6)=0,D1006+1,D1006)</f>
        <v>167</v>
      </c>
      <c r="E1007" s="208">
        <f>IF(MOD(COUNT($E$10:E1006),3)=0,E1006+1,E1006)</f>
        <v>333</v>
      </c>
      <c r="F1007" s="208">
        <f>IF(MOD(COUNT($F$10:F1006),1)=0,F1006+1,F1006)</f>
        <v>998</v>
      </c>
      <c r="G1007" s="204">
        <f>IFERROR(IF(C1007=1,VLOOKUP(A1007,Output!$A$27:$AB$137,28,FALSE)/AnnuityMode,0),0)</f>
        <v>0</v>
      </c>
      <c r="H1007" s="220">
        <f>IFERROR(IF(AND(MIN(A1007&gt;25,Age+A1007&gt;=85),B1007=12),VLOOKUP(A1007,Output!$A$27:$AE$137,31,FALSE),0),0)</f>
        <v>0</v>
      </c>
      <c r="I1007" s="221">
        <f>IFERROR(IF(AND(MIN(A1007&gt;15,A1007+Age&gt;=70),C1007=1),VLOOKUP(A1007,Output!$A$27:$AF$137,32,FALSE)*VLOOKUP('SV calc_ignore'!A1007,Output!$A$27:$AG$137,33,FALSE)/IF(AnnuityMode=2,2,IF(AnnuityMode=4,4,IF(AnnuityMode=12,12,1))),0),0)</f>
        <v>0</v>
      </c>
      <c r="J1007" s="227">
        <f t="shared" si="184"/>
        <v>0</v>
      </c>
      <c r="K1007" s="213">
        <f t="shared" si="191"/>
        <v>0</v>
      </c>
      <c r="L1007" s="209">
        <f t="shared" si="185"/>
        <v>0</v>
      </c>
      <c r="M1007" s="214">
        <f t="shared" si="186"/>
        <v>0</v>
      </c>
      <c r="N1007" s="211">
        <f t="shared" si="187"/>
        <v>0</v>
      </c>
      <c r="O1007" s="194">
        <f t="shared" si="188"/>
        <v>0</v>
      </c>
      <c r="P1007" s="212">
        <f t="shared" si="189"/>
        <v>0</v>
      </c>
      <c r="Q1007">
        <f t="shared" si="193"/>
        <v>0</v>
      </c>
      <c r="X1007" s="216">
        <f t="shared" si="192"/>
        <v>83</v>
      </c>
      <c r="Y1007">
        <f t="shared" si="190"/>
        <v>0</v>
      </c>
    </row>
    <row r="1008" spans="1:25" ht="13.5" thickBot="1" x14ac:dyDescent="0.25">
      <c r="A1008" s="204">
        <f>IF(MOD(COUNT($A$10:A1007),12)=0,A1007+1,A1007)</f>
        <v>84</v>
      </c>
      <c r="B1008" s="218">
        <f t="shared" si="182"/>
        <v>3</v>
      </c>
      <c r="C1008" s="218">
        <f t="shared" si="183"/>
        <v>1</v>
      </c>
      <c r="D1008" s="208">
        <f>IF(MOD(COUNT($D$10:D1007),6)=0,D1007+1,D1007)</f>
        <v>167</v>
      </c>
      <c r="E1008" s="208">
        <f>IF(MOD(COUNT($E$10:E1007),3)=0,E1007+1,E1007)</f>
        <v>333</v>
      </c>
      <c r="F1008" s="208">
        <f>IF(MOD(COUNT($F$10:F1007),1)=0,F1007+1,F1007)</f>
        <v>999</v>
      </c>
      <c r="G1008" s="204">
        <f>IFERROR(IF(C1008=1,VLOOKUP(A1008,Output!$A$27:$AB$137,28,FALSE)/AnnuityMode,0),0)</f>
        <v>0</v>
      </c>
      <c r="H1008" s="220">
        <f>IFERROR(IF(AND(MIN(A1008&gt;25,Age+A1008&gt;=85),B1008=12),VLOOKUP(A1008,Output!$A$27:$AE$137,31,FALSE),0),0)</f>
        <v>0</v>
      </c>
      <c r="I1008" s="221">
        <f>IFERROR(IF(AND(MIN(A1008&gt;15,A1008+Age&gt;=70),C1008=1),VLOOKUP(A1008,Output!$A$27:$AF$137,32,FALSE)*VLOOKUP('SV calc_ignore'!A1008,Output!$A$27:$AG$137,33,FALSE)/IF(AnnuityMode=2,2,IF(AnnuityMode=4,4,IF(AnnuityMode=12,12,1))),0),0)</f>
        <v>0</v>
      </c>
      <c r="J1008" s="227">
        <f t="shared" si="184"/>
        <v>0</v>
      </c>
      <c r="K1008" s="213">
        <f t="shared" si="191"/>
        <v>0</v>
      </c>
      <c r="L1008" s="209">
        <f t="shared" si="185"/>
        <v>0</v>
      </c>
      <c r="M1008" s="214">
        <f t="shared" si="186"/>
        <v>0</v>
      </c>
      <c r="N1008" s="211">
        <f t="shared" si="187"/>
        <v>0</v>
      </c>
      <c r="O1008" s="194">
        <f t="shared" si="188"/>
        <v>0</v>
      </c>
      <c r="P1008" s="212">
        <f t="shared" si="189"/>
        <v>0</v>
      </c>
      <c r="Q1008">
        <f t="shared" si="193"/>
        <v>0</v>
      </c>
      <c r="X1008" s="216">
        <f t="shared" si="192"/>
        <v>83</v>
      </c>
      <c r="Y1008">
        <f t="shared" si="190"/>
        <v>0</v>
      </c>
    </row>
    <row r="1009" spans="1:25" ht="13.5" thickBot="1" x14ac:dyDescent="0.25">
      <c r="A1009" s="204">
        <f>IF(MOD(COUNT($A$10:A1008),12)=0,A1008+1,A1008)</f>
        <v>84</v>
      </c>
      <c r="B1009" s="218">
        <f t="shared" si="182"/>
        <v>4</v>
      </c>
      <c r="C1009" s="218">
        <f t="shared" si="183"/>
        <v>1</v>
      </c>
      <c r="D1009" s="208">
        <f>IF(MOD(COUNT($D$10:D1008),6)=0,D1008+1,D1008)</f>
        <v>167</v>
      </c>
      <c r="E1009" s="208">
        <f>IF(MOD(COUNT($E$10:E1008),3)=0,E1008+1,E1008)</f>
        <v>334</v>
      </c>
      <c r="F1009" s="208">
        <f>IF(MOD(COUNT($F$10:F1008),1)=0,F1008+1,F1008)</f>
        <v>1000</v>
      </c>
      <c r="G1009" s="204">
        <f>IFERROR(IF(C1009=1,VLOOKUP(A1009,Output!$A$27:$AB$137,28,FALSE)/AnnuityMode,0),0)</f>
        <v>0</v>
      </c>
      <c r="H1009" s="220">
        <f>IFERROR(IF(AND(MIN(A1009&gt;25,Age+A1009&gt;=85),B1009=12),VLOOKUP(A1009,Output!$A$27:$AE$137,31,FALSE),0),0)</f>
        <v>0</v>
      </c>
      <c r="I1009" s="221">
        <f>IFERROR(IF(AND(MIN(A1009&gt;15,A1009+Age&gt;=70),C1009=1),VLOOKUP(A1009,Output!$A$27:$AF$137,32,FALSE)*VLOOKUP('SV calc_ignore'!A1009,Output!$A$27:$AG$137,33,FALSE)/IF(AnnuityMode=2,2,IF(AnnuityMode=4,4,IF(AnnuityMode=12,12,1))),0),0)</f>
        <v>0</v>
      </c>
      <c r="J1009" s="227">
        <f t="shared" si="184"/>
        <v>0</v>
      </c>
      <c r="K1009" s="213">
        <f t="shared" si="191"/>
        <v>0</v>
      </c>
      <c r="L1009" s="209">
        <f t="shared" si="185"/>
        <v>0</v>
      </c>
      <c r="M1009" s="214">
        <f t="shared" si="186"/>
        <v>0</v>
      </c>
      <c r="N1009" s="211">
        <f t="shared" si="187"/>
        <v>0</v>
      </c>
      <c r="O1009" s="194">
        <f t="shared" si="188"/>
        <v>0</v>
      </c>
      <c r="P1009" s="212">
        <f t="shared" si="189"/>
        <v>0</v>
      </c>
      <c r="Q1009">
        <f t="shared" si="193"/>
        <v>0</v>
      </c>
      <c r="X1009" s="216">
        <f t="shared" si="192"/>
        <v>83</v>
      </c>
      <c r="Y1009">
        <f t="shared" si="190"/>
        <v>0</v>
      </c>
    </row>
    <row r="1010" spans="1:25" ht="13.5" thickBot="1" x14ac:dyDescent="0.25">
      <c r="A1010" s="204">
        <f>IF(MOD(COUNT($A$10:A1009),12)=0,A1009+1,A1009)</f>
        <v>84</v>
      </c>
      <c r="B1010" s="218">
        <f t="shared" si="182"/>
        <v>5</v>
      </c>
      <c r="C1010" s="218">
        <f t="shared" si="183"/>
        <v>1</v>
      </c>
      <c r="D1010" s="208">
        <f>IF(MOD(COUNT($D$10:D1009),6)=0,D1009+1,D1009)</f>
        <v>167</v>
      </c>
      <c r="E1010" s="208">
        <f>IF(MOD(COUNT($E$10:E1009),3)=0,E1009+1,E1009)</f>
        <v>334</v>
      </c>
      <c r="F1010" s="208">
        <f>IF(MOD(COUNT($F$10:F1009),1)=0,F1009+1,F1009)</f>
        <v>1001</v>
      </c>
      <c r="G1010" s="204">
        <f>IFERROR(IF(C1010=1,VLOOKUP(A1010,Output!$A$27:$AB$137,28,FALSE)/AnnuityMode,0),0)</f>
        <v>0</v>
      </c>
      <c r="H1010" s="220">
        <f>IFERROR(IF(AND(MIN(A1010&gt;25,Age+A1010&gt;=85),B1010=12),VLOOKUP(A1010,Output!$A$27:$AE$137,31,FALSE),0),0)</f>
        <v>0</v>
      </c>
      <c r="I1010" s="221">
        <f>IFERROR(IF(AND(MIN(A1010&gt;15,A1010+Age&gt;=70),C1010=1),VLOOKUP(A1010,Output!$A$27:$AF$137,32,FALSE)*VLOOKUP('SV calc_ignore'!A1010,Output!$A$27:$AG$137,33,FALSE)/IF(AnnuityMode=2,2,IF(AnnuityMode=4,4,IF(AnnuityMode=12,12,1))),0),0)</f>
        <v>0</v>
      </c>
      <c r="J1010" s="227">
        <f t="shared" si="184"/>
        <v>0</v>
      </c>
      <c r="K1010" s="213">
        <f t="shared" si="191"/>
        <v>0</v>
      </c>
      <c r="L1010" s="209">
        <f t="shared" si="185"/>
        <v>0</v>
      </c>
      <c r="M1010" s="214">
        <f t="shared" si="186"/>
        <v>0</v>
      </c>
      <c r="N1010" s="211">
        <f t="shared" si="187"/>
        <v>0</v>
      </c>
      <c r="O1010" s="194">
        <f t="shared" si="188"/>
        <v>0</v>
      </c>
      <c r="P1010" s="212">
        <f t="shared" si="189"/>
        <v>0</v>
      </c>
      <c r="Q1010">
        <f t="shared" si="193"/>
        <v>0</v>
      </c>
      <c r="X1010" s="216">
        <f t="shared" si="192"/>
        <v>83</v>
      </c>
      <c r="Y1010">
        <f t="shared" si="190"/>
        <v>0</v>
      </c>
    </row>
    <row r="1011" spans="1:25" ht="13.5" thickBot="1" x14ac:dyDescent="0.25">
      <c r="A1011" s="204">
        <f>IF(MOD(COUNT($A$10:A1010),12)=0,A1010+1,A1010)</f>
        <v>84</v>
      </c>
      <c r="B1011" s="218">
        <f t="shared" si="182"/>
        <v>6</v>
      </c>
      <c r="C1011" s="218">
        <f t="shared" si="183"/>
        <v>1</v>
      </c>
      <c r="D1011" s="208">
        <f>IF(MOD(COUNT($D$10:D1010),6)=0,D1010+1,D1010)</f>
        <v>167</v>
      </c>
      <c r="E1011" s="208">
        <f>IF(MOD(COUNT($E$10:E1010),3)=0,E1010+1,E1010)</f>
        <v>334</v>
      </c>
      <c r="F1011" s="208">
        <f>IF(MOD(COUNT($F$10:F1010),1)=0,F1010+1,F1010)</f>
        <v>1002</v>
      </c>
      <c r="G1011" s="204">
        <f>IFERROR(IF(C1011=1,VLOOKUP(A1011,Output!$A$27:$AB$137,28,FALSE)/AnnuityMode,0),0)</f>
        <v>0</v>
      </c>
      <c r="H1011" s="220">
        <f>IFERROR(IF(AND(MIN(A1011&gt;25,Age+A1011&gt;=85),B1011=12),VLOOKUP(A1011,Output!$A$27:$AE$137,31,FALSE),0),0)</f>
        <v>0</v>
      </c>
      <c r="I1011" s="221">
        <f>IFERROR(IF(AND(MIN(A1011&gt;15,A1011+Age&gt;=70),C1011=1),VLOOKUP(A1011,Output!$A$27:$AF$137,32,FALSE)*VLOOKUP('SV calc_ignore'!A1011,Output!$A$27:$AG$137,33,FALSE)/IF(AnnuityMode=2,2,IF(AnnuityMode=4,4,IF(AnnuityMode=12,12,1))),0),0)</f>
        <v>0</v>
      </c>
      <c r="J1011" s="227">
        <f t="shared" si="184"/>
        <v>0</v>
      </c>
      <c r="K1011" s="213">
        <f t="shared" si="191"/>
        <v>0</v>
      </c>
      <c r="L1011" s="209">
        <f t="shared" si="185"/>
        <v>0</v>
      </c>
      <c r="M1011" s="214">
        <f t="shared" si="186"/>
        <v>0</v>
      </c>
      <c r="N1011" s="211">
        <f t="shared" si="187"/>
        <v>0</v>
      </c>
      <c r="O1011" s="194">
        <f t="shared" si="188"/>
        <v>0</v>
      </c>
      <c r="P1011" s="212">
        <f t="shared" si="189"/>
        <v>0</v>
      </c>
      <c r="Q1011">
        <f t="shared" si="193"/>
        <v>0</v>
      </c>
      <c r="X1011" s="216">
        <f t="shared" si="192"/>
        <v>83</v>
      </c>
      <c r="Y1011">
        <f t="shared" si="190"/>
        <v>0</v>
      </c>
    </row>
    <row r="1012" spans="1:25" ht="13.5" thickBot="1" x14ac:dyDescent="0.25">
      <c r="A1012" s="204">
        <f>IF(MOD(COUNT($A$10:A1011),12)=0,A1011+1,A1011)</f>
        <v>84</v>
      </c>
      <c r="B1012" s="218">
        <f t="shared" si="182"/>
        <v>7</v>
      </c>
      <c r="C1012" s="218">
        <f t="shared" si="183"/>
        <v>1</v>
      </c>
      <c r="D1012" s="208">
        <f>IF(MOD(COUNT($D$10:D1011),6)=0,D1011+1,D1011)</f>
        <v>168</v>
      </c>
      <c r="E1012" s="208">
        <f>IF(MOD(COUNT($E$10:E1011),3)=0,E1011+1,E1011)</f>
        <v>335</v>
      </c>
      <c r="F1012" s="208">
        <f>IF(MOD(COUNT($F$10:F1011),1)=0,F1011+1,F1011)</f>
        <v>1003</v>
      </c>
      <c r="G1012" s="204">
        <f>IFERROR(IF(C1012=1,VLOOKUP(A1012,Output!$A$27:$AB$137,28,FALSE)/AnnuityMode,0),0)</f>
        <v>0</v>
      </c>
      <c r="H1012" s="220">
        <f>IFERROR(IF(AND(MIN(A1012&gt;25,Age+A1012&gt;=85),B1012=12),VLOOKUP(A1012,Output!$A$27:$AE$137,31,FALSE),0),0)</f>
        <v>0</v>
      </c>
      <c r="I1012" s="221">
        <f>IFERROR(IF(AND(MIN(A1012&gt;15,A1012+Age&gt;=70),C1012=1),VLOOKUP(A1012,Output!$A$27:$AF$137,32,FALSE)*VLOOKUP('SV calc_ignore'!A1012,Output!$A$27:$AG$137,33,FALSE)/IF(AnnuityMode=2,2,IF(AnnuityMode=4,4,IF(AnnuityMode=12,12,1))),0),0)</f>
        <v>0</v>
      </c>
      <c r="J1012" s="227">
        <f t="shared" si="184"/>
        <v>0</v>
      </c>
      <c r="K1012" s="213">
        <f t="shared" si="191"/>
        <v>0</v>
      </c>
      <c r="L1012" s="209">
        <f t="shared" si="185"/>
        <v>0</v>
      </c>
      <c r="M1012" s="214">
        <f t="shared" si="186"/>
        <v>0</v>
      </c>
      <c r="N1012" s="211">
        <f t="shared" si="187"/>
        <v>0</v>
      </c>
      <c r="O1012" s="194">
        <f t="shared" si="188"/>
        <v>0</v>
      </c>
      <c r="P1012" s="212">
        <f t="shared" si="189"/>
        <v>0</v>
      </c>
      <c r="Q1012">
        <f t="shared" si="193"/>
        <v>0</v>
      </c>
      <c r="X1012" s="216">
        <f t="shared" si="192"/>
        <v>83</v>
      </c>
      <c r="Y1012">
        <f t="shared" si="190"/>
        <v>0</v>
      </c>
    </row>
    <row r="1013" spans="1:25" ht="13.5" thickBot="1" x14ac:dyDescent="0.25">
      <c r="A1013" s="204">
        <f>IF(MOD(COUNT($A$10:A1012),12)=0,A1012+1,A1012)</f>
        <v>84</v>
      </c>
      <c r="B1013" s="218">
        <f t="shared" si="182"/>
        <v>8</v>
      </c>
      <c r="C1013" s="218">
        <f t="shared" si="183"/>
        <v>1</v>
      </c>
      <c r="D1013" s="208">
        <f>IF(MOD(COUNT($D$10:D1012),6)=0,D1012+1,D1012)</f>
        <v>168</v>
      </c>
      <c r="E1013" s="208">
        <f>IF(MOD(COUNT($E$10:E1012),3)=0,E1012+1,E1012)</f>
        <v>335</v>
      </c>
      <c r="F1013" s="208">
        <f>IF(MOD(COUNT($F$10:F1012),1)=0,F1012+1,F1012)</f>
        <v>1004</v>
      </c>
      <c r="G1013" s="204">
        <f>IFERROR(IF(C1013=1,VLOOKUP(A1013,Output!$A$27:$AB$137,28,FALSE)/AnnuityMode,0),0)</f>
        <v>0</v>
      </c>
      <c r="H1013" s="220">
        <f>IFERROR(IF(AND(MIN(A1013&gt;25,Age+A1013&gt;=85),B1013=12),VLOOKUP(A1013,Output!$A$27:$AE$137,31,FALSE),0),0)</f>
        <v>0</v>
      </c>
      <c r="I1013" s="221">
        <f>IFERROR(IF(AND(MIN(A1013&gt;15,A1013+Age&gt;=70),C1013=1),VLOOKUP(A1013,Output!$A$27:$AF$137,32,FALSE)*VLOOKUP('SV calc_ignore'!A1013,Output!$A$27:$AG$137,33,FALSE)/IF(AnnuityMode=2,2,IF(AnnuityMode=4,4,IF(AnnuityMode=12,12,1))),0),0)</f>
        <v>0</v>
      </c>
      <c r="J1013" s="227">
        <f t="shared" si="184"/>
        <v>0</v>
      </c>
      <c r="K1013" s="213">
        <f t="shared" si="191"/>
        <v>0</v>
      </c>
      <c r="L1013" s="209">
        <f t="shared" si="185"/>
        <v>0</v>
      </c>
      <c r="M1013" s="214">
        <f t="shared" si="186"/>
        <v>0</v>
      </c>
      <c r="N1013" s="211">
        <f t="shared" si="187"/>
        <v>0</v>
      </c>
      <c r="O1013" s="194">
        <f t="shared" si="188"/>
        <v>0</v>
      </c>
      <c r="P1013" s="212">
        <f t="shared" si="189"/>
        <v>0</v>
      </c>
      <c r="Q1013">
        <f t="shared" si="193"/>
        <v>0</v>
      </c>
      <c r="X1013" s="216">
        <f t="shared" si="192"/>
        <v>83</v>
      </c>
      <c r="Y1013">
        <f t="shared" si="190"/>
        <v>0</v>
      </c>
    </row>
    <row r="1014" spans="1:25" ht="13.5" thickBot="1" x14ac:dyDescent="0.25">
      <c r="A1014" s="204">
        <f>IF(MOD(COUNT($A$10:A1013),12)=0,A1013+1,A1013)</f>
        <v>84</v>
      </c>
      <c r="B1014" s="218">
        <f t="shared" si="182"/>
        <v>9</v>
      </c>
      <c r="C1014" s="218">
        <f t="shared" si="183"/>
        <v>1</v>
      </c>
      <c r="D1014" s="208">
        <f>IF(MOD(COUNT($D$10:D1013),6)=0,D1013+1,D1013)</f>
        <v>168</v>
      </c>
      <c r="E1014" s="208">
        <f>IF(MOD(COUNT($E$10:E1013),3)=0,E1013+1,E1013)</f>
        <v>335</v>
      </c>
      <c r="F1014" s="208">
        <f>IF(MOD(COUNT($F$10:F1013),1)=0,F1013+1,F1013)</f>
        <v>1005</v>
      </c>
      <c r="G1014" s="204">
        <f>IFERROR(IF(C1014=1,VLOOKUP(A1014,Output!$A$27:$AB$137,28,FALSE)/AnnuityMode,0),0)</f>
        <v>0</v>
      </c>
      <c r="H1014" s="220">
        <f>IFERROR(IF(AND(MIN(A1014&gt;25,Age+A1014&gt;=85),B1014=12),VLOOKUP(A1014,Output!$A$27:$AE$137,31,FALSE),0),0)</f>
        <v>0</v>
      </c>
      <c r="I1014" s="221">
        <f>IFERROR(IF(AND(MIN(A1014&gt;15,A1014+Age&gt;=70),C1014=1),VLOOKUP(A1014,Output!$A$27:$AF$137,32,FALSE)*VLOOKUP('SV calc_ignore'!A1014,Output!$A$27:$AG$137,33,FALSE)/IF(AnnuityMode=2,2,IF(AnnuityMode=4,4,IF(AnnuityMode=12,12,1))),0),0)</f>
        <v>0</v>
      </c>
      <c r="J1014" s="227">
        <f t="shared" si="184"/>
        <v>0</v>
      </c>
      <c r="K1014" s="213">
        <f t="shared" si="191"/>
        <v>0</v>
      </c>
      <c r="L1014" s="209">
        <f t="shared" si="185"/>
        <v>0</v>
      </c>
      <c r="M1014" s="214">
        <f t="shared" si="186"/>
        <v>0</v>
      </c>
      <c r="N1014" s="211">
        <f t="shared" si="187"/>
        <v>0</v>
      </c>
      <c r="O1014" s="194">
        <f t="shared" si="188"/>
        <v>0</v>
      </c>
      <c r="P1014" s="212">
        <f t="shared" si="189"/>
        <v>0</v>
      </c>
      <c r="Q1014">
        <f t="shared" si="193"/>
        <v>0</v>
      </c>
      <c r="X1014" s="216">
        <f t="shared" si="192"/>
        <v>83</v>
      </c>
      <c r="Y1014">
        <f t="shared" si="190"/>
        <v>0</v>
      </c>
    </row>
    <row r="1015" spans="1:25" ht="13.5" thickBot="1" x14ac:dyDescent="0.25">
      <c r="A1015" s="204">
        <f>IF(MOD(COUNT($A$10:A1014),12)=0,A1014+1,A1014)</f>
        <v>84</v>
      </c>
      <c r="B1015" s="218">
        <f t="shared" si="182"/>
        <v>10</v>
      </c>
      <c r="C1015" s="218">
        <f t="shared" si="183"/>
        <v>1</v>
      </c>
      <c r="D1015" s="208">
        <f>IF(MOD(COUNT($D$10:D1014),6)=0,D1014+1,D1014)</f>
        <v>168</v>
      </c>
      <c r="E1015" s="208">
        <f>IF(MOD(COUNT($E$10:E1014),3)=0,E1014+1,E1014)</f>
        <v>336</v>
      </c>
      <c r="F1015" s="208">
        <f>IF(MOD(COUNT($F$10:F1014),1)=0,F1014+1,F1014)</f>
        <v>1006</v>
      </c>
      <c r="G1015" s="204">
        <f>IFERROR(IF(C1015=1,VLOOKUP(A1015,Output!$A$27:$AB$137,28,FALSE)/AnnuityMode,0),0)</f>
        <v>0</v>
      </c>
      <c r="H1015" s="220">
        <f>IFERROR(IF(AND(MIN(A1015&gt;25,Age+A1015&gt;=85),B1015=12),VLOOKUP(A1015,Output!$A$27:$AE$137,31,FALSE),0),0)</f>
        <v>0</v>
      </c>
      <c r="I1015" s="221">
        <f>IFERROR(IF(AND(MIN(A1015&gt;15,A1015+Age&gt;=70),C1015=1),VLOOKUP(A1015,Output!$A$27:$AF$137,32,FALSE)*VLOOKUP('SV calc_ignore'!A1015,Output!$A$27:$AG$137,33,FALSE)/IF(AnnuityMode=2,2,IF(AnnuityMode=4,4,IF(AnnuityMode=12,12,1))),0),0)</f>
        <v>0</v>
      </c>
      <c r="J1015" s="227">
        <f t="shared" si="184"/>
        <v>0</v>
      </c>
      <c r="K1015" s="213">
        <f t="shared" si="191"/>
        <v>0</v>
      </c>
      <c r="L1015" s="209">
        <f t="shared" si="185"/>
        <v>0</v>
      </c>
      <c r="M1015" s="214">
        <f t="shared" si="186"/>
        <v>0</v>
      </c>
      <c r="N1015" s="211">
        <f t="shared" si="187"/>
        <v>0</v>
      </c>
      <c r="O1015" s="194">
        <f t="shared" si="188"/>
        <v>0</v>
      </c>
      <c r="P1015" s="212">
        <f t="shared" si="189"/>
        <v>0</v>
      </c>
      <c r="Q1015">
        <f t="shared" si="193"/>
        <v>0</v>
      </c>
      <c r="X1015" s="216">
        <f t="shared" si="192"/>
        <v>83</v>
      </c>
      <c r="Y1015">
        <f t="shared" si="190"/>
        <v>0</v>
      </c>
    </row>
    <row r="1016" spans="1:25" ht="13.5" thickBot="1" x14ac:dyDescent="0.25">
      <c r="A1016" s="204">
        <f>IF(MOD(COUNT($A$10:A1015),12)=0,A1015+1,A1015)</f>
        <v>84</v>
      </c>
      <c r="B1016" s="218">
        <f t="shared" si="182"/>
        <v>11</v>
      </c>
      <c r="C1016" s="218">
        <f t="shared" si="183"/>
        <v>1</v>
      </c>
      <c r="D1016" s="208">
        <f>IF(MOD(COUNT($D$10:D1015),6)=0,D1015+1,D1015)</f>
        <v>168</v>
      </c>
      <c r="E1016" s="208">
        <f>IF(MOD(COUNT($E$10:E1015),3)=0,E1015+1,E1015)</f>
        <v>336</v>
      </c>
      <c r="F1016" s="208">
        <f>IF(MOD(COUNT($F$10:F1015),1)=0,F1015+1,F1015)</f>
        <v>1007</v>
      </c>
      <c r="G1016" s="204">
        <f>IFERROR(IF(C1016=1,VLOOKUP(A1016,Output!$A$27:$AB$137,28,FALSE)/AnnuityMode,0),0)</f>
        <v>0</v>
      </c>
      <c r="H1016" s="220">
        <f>IFERROR(IF(AND(MIN(A1016&gt;25,Age+A1016&gt;=85),B1016=12),VLOOKUP(A1016,Output!$A$27:$AE$137,31,FALSE),0),0)</f>
        <v>0</v>
      </c>
      <c r="I1016" s="221">
        <f>IFERROR(IF(AND(MIN(A1016&gt;15,A1016+Age&gt;=70),C1016=1),VLOOKUP(A1016,Output!$A$27:$AF$137,32,FALSE)*VLOOKUP('SV calc_ignore'!A1016,Output!$A$27:$AG$137,33,FALSE)/IF(AnnuityMode=2,2,IF(AnnuityMode=4,4,IF(AnnuityMode=12,12,1))),0),0)</f>
        <v>0</v>
      </c>
      <c r="J1016" s="227">
        <f t="shared" si="184"/>
        <v>0</v>
      </c>
      <c r="K1016" s="213">
        <f t="shared" si="191"/>
        <v>0</v>
      </c>
      <c r="L1016" s="209">
        <f t="shared" si="185"/>
        <v>0</v>
      </c>
      <c r="M1016" s="214">
        <f t="shared" si="186"/>
        <v>0</v>
      </c>
      <c r="N1016" s="211">
        <f t="shared" si="187"/>
        <v>0</v>
      </c>
      <c r="O1016" s="194">
        <f t="shared" si="188"/>
        <v>0</v>
      </c>
      <c r="P1016" s="212">
        <f t="shared" si="189"/>
        <v>0</v>
      </c>
      <c r="Q1016">
        <f t="shared" si="193"/>
        <v>0</v>
      </c>
      <c r="X1016" s="216">
        <f t="shared" si="192"/>
        <v>83</v>
      </c>
      <c r="Y1016">
        <f t="shared" si="190"/>
        <v>0</v>
      </c>
    </row>
    <row r="1017" spans="1:25" ht="13.5" thickBot="1" x14ac:dyDescent="0.25">
      <c r="A1017" s="204">
        <f>IF(MOD(COUNT($A$10:A1016),12)=0,A1016+1,A1016)</f>
        <v>84</v>
      </c>
      <c r="B1017" s="218">
        <f t="shared" si="182"/>
        <v>12</v>
      </c>
      <c r="C1017" s="218">
        <f t="shared" si="183"/>
        <v>1</v>
      </c>
      <c r="D1017" s="208">
        <f>IF(MOD(COUNT($D$10:D1016),6)=0,D1016+1,D1016)</f>
        <v>168</v>
      </c>
      <c r="E1017" s="208">
        <f>IF(MOD(COUNT($E$10:E1016),3)=0,E1016+1,E1016)</f>
        <v>336</v>
      </c>
      <c r="F1017" s="208">
        <f>IF(MOD(COUNT($F$10:F1016),1)=0,F1016+1,F1016)</f>
        <v>1008</v>
      </c>
      <c r="G1017" s="204">
        <f>IFERROR(IF(C1017=1,VLOOKUP(A1017,Output!$A$27:$AB$137,28,FALSE)/AnnuityMode,0),0)</f>
        <v>0</v>
      </c>
      <c r="H1017" s="220">
        <f>IFERROR(IF(AND(MIN(A1017&gt;25,Age+A1017&gt;=85),B1017=12),VLOOKUP(A1017,Output!$A$27:$AE$137,31,FALSE),0),0)</f>
        <v>0</v>
      </c>
      <c r="I1017" s="221">
        <f>IFERROR(IF(AND(MIN(A1017&gt;15,A1017+Age&gt;=70),C1017=1),VLOOKUP(A1017,Output!$A$27:$AF$137,32,FALSE)*VLOOKUP('SV calc_ignore'!A1017,Output!$A$27:$AG$137,33,FALSE)/IF(AnnuityMode=2,2,IF(AnnuityMode=4,4,IF(AnnuityMode=12,12,1))),0),0)</f>
        <v>0</v>
      </c>
      <c r="J1017" s="227">
        <f t="shared" si="184"/>
        <v>0</v>
      </c>
      <c r="K1017" s="213">
        <f t="shared" si="191"/>
        <v>0</v>
      </c>
      <c r="L1017" s="209">
        <f t="shared" si="185"/>
        <v>0</v>
      </c>
      <c r="M1017" s="214">
        <f t="shared" si="186"/>
        <v>0</v>
      </c>
      <c r="N1017" s="211">
        <f t="shared" si="187"/>
        <v>0</v>
      </c>
      <c r="O1017" s="194">
        <f t="shared" si="188"/>
        <v>0</v>
      </c>
      <c r="P1017" s="212">
        <f t="shared" si="189"/>
        <v>0</v>
      </c>
      <c r="Q1017">
        <f t="shared" si="193"/>
        <v>0</v>
      </c>
      <c r="X1017" s="216">
        <f t="shared" si="192"/>
        <v>83</v>
      </c>
      <c r="Y1017">
        <f t="shared" si="190"/>
        <v>0</v>
      </c>
    </row>
    <row r="1018" spans="1:25" ht="13.5" thickBot="1" x14ac:dyDescent="0.25">
      <c r="A1018" s="204">
        <f>IF(MOD(COUNT($A$10:A1017),12)=0,A1017+1,A1017)</f>
        <v>85</v>
      </c>
      <c r="B1018" s="218">
        <f t="shared" si="182"/>
        <v>1</v>
      </c>
      <c r="C1018" s="218">
        <f t="shared" si="183"/>
        <v>1</v>
      </c>
      <c r="D1018" s="208">
        <f>IF(MOD(COUNT($D$10:D1017),6)=0,D1017+1,D1017)</f>
        <v>169</v>
      </c>
      <c r="E1018" s="208">
        <f>IF(MOD(COUNT($E$10:E1017),3)=0,E1017+1,E1017)</f>
        <v>337</v>
      </c>
      <c r="F1018" s="208">
        <f>IF(MOD(COUNT($F$10:F1017),1)=0,F1017+1,F1017)</f>
        <v>1009</v>
      </c>
      <c r="G1018" s="204">
        <f>IFERROR(IF(C1018=1,VLOOKUP(A1018,Output!$A$27:$AB$137,28,FALSE)/AnnuityMode,0),0)</f>
        <v>0</v>
      </c>
      <c r="H1018" s="220">
        <f>IFERROR(IF(AND(MIN(A1018&gt;25,Age+A1018&gt;=85),B1018=12),VLOOKUP(A1018,Output!$A$27:$AE$137,31,FALSE),0),0)</f>
        <v>0</v>
      </c>
      <c r="I1018" s="221">
        <f>IFERROR(IF(AND(MIN(A1018&gt;15,A1018+Age&gt;=70),C1018=1),VLOOKUP(A1018,Output!$A$27:$AF$137,32,FALSE)*VLOOKUP('SV calc_ignore'!A1018,Output!$A$27:$AG$137,33,FALSE)/IF(AnnuityMode=2,2,IF(AnnuityMode=4,4,IF(AnnuityMode=12,12,1))),0),0)</f>
        <v>0</v>
      </c>
      <c r="J1018" s="227">
        <f t="shared" si="184"/>
        <v>0</v>
      </c>
      <c r="K1018" s="213">
        <f t="shared" si="191"/>
        <v>0</v>
      </c>
      <c r="L1018" s="209">
        <f t="shared" si="185"/>
        <v>0</v>
      </c>
      <c r="M1018" s="214">
        <f t="shared" si="186"/>
        <v>0</v>
      </c>
      <c r="N1018" s="211">
        <f t="shared" si="187"/>
        <v>0</v>
      </c>
      <c r="O1018" s="194">
        <f t="shared" si="188"/>
        <v>0</v>
      </c>
      <c r="P1018" s="212">
        <f t="shared" si="189"/>
        <v>0</v>
      </c>
      <c r="Q1018">
        <f t="shared" si="193"/>
        <v>0</v>
      </c>
      <c r="X1018" s="216">
        <f t="shared" si="192"/>
        <v>84</v>
      </c>
      <c r="Y1018">
        <f t="shared" si="190"/>
        <v>0</v>
      </c>
    </row>
    <row r="1019" spans="1:25" ht="13.5" thickBot="1" x14ac:dyDescent="0.25">
      <c r="A1019" s="204">
        <f>IF(MOD(COUNT($A$10:A1018),12)=0,A1018+1,A1018)</f>
        <v>85</v>
      </c>
      <c r="B1019" s="218">
        <f t="shared" si="182"/>
        <v>2</v>
      </c>
      <c r="C1019" s="218">
        <f t="shared" si="183"/>
        <v>1</v>
      </c>
      <c r="D1019" s="208">
        <f>IF(MOD(COUNT($D$10:D1018),6)=0,D1018+1,D1018)</f>
        <v>169</v>
      </c>
      <c r="E1019" s="208">
        <f>IF(MOD(COUNT($E$10:E1018),3)=0,E1018+1,E1018)</f>
        <v>337</v>
      </c>
      <c r="F1019" s="208">
        <f>IF(MOD(COUNT($F$10:F1018),1)=0,F1018+1,F1018)</f>
        <v>1010</v>
      </c>
      <c r="G1019" s="204">
        <f>IFERROR(IF(C1019=1,VLOOKUP(A1019,Output!$A$27:$AB$137,28,FALSE)/AnnuityMode,0),0)</f>
        <v>0</v>
      </c>
      <c r="H1019" s="220">
        <f>IFERROR(IF(AND(MIN(A1019&gt;25,Age+A1019&gt;=85),B1019=12),VLOOKUP(A1019,Output!$A$27:$AE$137,31,FALSE),0),0)</f>
        <v>0</v>
      </c>
      <c r="I1019" s="221">
        <f>IFERROR(IF(AND(MIN(A1019&gt;15,A1019+Age&gt;=70),C1019=1),VLOOKUP(A1019,Output!$A$27:$AF$137,32,FALSE)*VLOOKUP('SV calc_ignore'!A1019,Output!$A$27:$AG$137,33,FALSE)/IF(AnnuityMode=2,2,IF(AnnuityMode=4,4,IF(AnnuityMode=12,12,1))),0),0)</f>
        <v>0</v>
      </c>
      <c r="J1019" s="227">
        <f t="shared" si="184"/>
        <v>0</v>
      </c>
      <c r="K1019" s="213">
        <f t="shared" si="191"/>
        <v>0</v>
      </c>
      <c r="L1019" s="209">
        <f t="shared" si="185"/>
        <v>0</v>
      </c>
      <c r="M1019" s="214">
        <f t="shared" si="186"/>
        <v>0</v>
      </c>
      <c r="N1019" s="211">
        <f t="shared" si="187"/>
        <v>0</v>
      </c>
      <c r="O1019" s="194">
        <f t="shared" si="188"/>
        <v>0</v>
      </c>
      <c r="P1019" s="212">
        <f t="shared" si="189"/>
        <v>0</v>
      </c>
      <c r="Q1019">
        <f t="shared" si="193"/>
        <v>0</v>
      </c>
      <c r="X1019" s="216">
        <f t="shared" si="192"/>
        <v>84</v>
      </c>
      <c r="Y1019">
        <f t="shared" si="190"/>
        <v>0</v>
      </c>
    </row>
    <row r="1020" spans="1:25" ht="13.5" thickBot="1" x14ac:dyDescent="0.25">
      <c r="A1020" s="204">
        <f>IF(MOD(COUNT($A$10:A1019),12)=0,A1019+1,A1019)</f>
        <v>85</v>
      </c>
      <c r="B1020" s="218">
        <f t="shared" si="182"/>
        <v>3</v>
      </c>
      <c r="C1020" s="218">
        <f t="shared" si="183"/>
        <v>1</v>
      </c>
      <c r="D1020" s="208">
        <f>IF(MOD(COUNT($D$10:D1019),6)=0,D1019+1,D1019)</f>
        <v>169</v>
      </c>
      <c r="E1020" s="208">
        <f>IF(MOD(COUNT($E$10:E1019),3)=0,E1019+1,E1019)</f>
        <v>337</v>
      </c>
      <c r="F1020" s="208">
        <f>IF(MOD(COUNT($F$10:F1019),1)=0,F1019+1,F1019)</f>
        <v>1011</v>
      </c>
      <c r="G1020" s="204">
        <f>IFERROR(IF(C1020=1,VLOOKUP(A1020,Output!$A$27:$AB$137,28,FALSE)/AnnuityMode,0),0)</f>
        <v>0</v>
      </c>
      <c r="H1020" s="220">
        <f>IFERROR(IF(AND(MIN(A1020&gt;25,Age+A1020&gt;=85),B1020=12),VLOOKUP(A1020,Output!$A$27:$AE$137,31,FALSE),0),0)</f>
        <v>0</v>
      </c>
      <c r="I1020" s="221">
        <f>IFERROR(IF(AND(MIN(A1020&gt;15,A1020+Age&gt;=70),C1020=1),VLOOKUP(A1020,Output!$A$27:$AF$137,32,FALSE)*VLOOKUP('SV calc_ignore'!A1020,Output!$A$27:$AG$137,33,FALSE)/IF(AnnuityMode=2,2,IF(AnnuityMode=4,4,IF(AnnuityMode=12,12,1))),0),0)</f>
        <v>0</v>
      </c>
      <c r="J1020" s="227">
        <f t="shared" si="184"/>
        <v>0</v>
      </c>
      <c r="K1020" s="213">
        <f t="shared" si="191"/>
        <v>0</v>
      </c>
      <c r="L1020" s="209">
        <f t="shared" si="185"/>
        <v>0</v>
      </c>
      <c r="M1020" s="214">
        <f t="shared" si="186"/>
        <v>0</v>
      </c>
      <c r="N1020" s="211">
        <f t="shared" si="187"/>
        <v>0</v>
      </c>
      <c r="O1020" s="194">
        <f t="shared" si="188"/>
        <v>0</v>
      </c>
      <c r="P1020" s="212">
        <f t="shared" si="189"/>
        <v>0</v>
      </c>
      <c r="Q1020">
        <f t="shared" si="193"/>
        <v>0</v>
      </c>
      <c r="X1020" s="216">
        <f t="shared" si="192"/>
        <v>84</v>
      </c>
      <c r="Y1020">
        <f t="shared" si="190"/>
        <v>0</v>
      </c>
    </row>
    <row r="1021" spans="1:25" ht="13.5" thickBot="1" x14ac:dyDescent="0.25">
      <c r="A1021" s="204">
        <f>IF(MOD(COUNT($A$10:A1020),12)=0,A1020+1,A1020)</f>
        <v>85</v>
      </c>
      <c r="B1021" s="218">
        <f t="shared" si="182"/>
        <v>4</v>
      </c>
      <c r="C1021" s="218">
        <f t="shared" si="183"/>
        <v>1</v>
      </c>
      <c r="D1021" s="208">
        <f>IF(MOD(COUNT($D$10:D1020),6)=0,D1020+1,D1020)</f>
        <v>169</v>
      </c>
      <c r="E1021" s="208">
        <f>IF(MOD(COUNT($E$10:E1020),3)=0,E1020+1,E1020)</f>
        <v>338</v>
      </c>
      <c r="F1021" s="208">
        <f>IF(MOD(COUNT($F$10:F1020),1)=0,F1020+1,F1020)</f>
        <v>1012</v>
      </c>
      <c r="G1021" s="204">
        <f>IFERROR(IF(C1021=1,VLOOKUP(A1021,Output!$A$27:$AB$137,28,FALSE)/AnnuityMode,0),0)</f>
        <v>0</v>
      </c>
      <c r="H1021" s="220">
        <f>IFERROR(IF(AND(MIN(A1021&gt;25,Age+A1021&gt;=85),B1021=12),VLOOKUP(A1021,Output!$A$27:$AE$137,31,FALSE),0),0)</f>
        <v>0</v>
      </c>
      <c r="I1021" s="221">
        <f>IFERROR(IF(AND(MIN(A1021&gt;15,A1021+Age&gt;=70),C1021=1),VLOOKUP(A1021,Output!$A$27:$AF$137,32,FALSE)*VLOOKUP('SV calc_ignore'!A1021,Output!$A$27:$AG$137,33,FALSE)/IF(AnnuityMode=2,2,IF(AnnuityMode=4,4,IF(AnnuityMode=12,12,1))),0),0)</f>
        <v>0</v>
      </c>
      <c r="J1021" s="227">
        <f t="shared" si="184"/>
        <v>0</v>
      </c>
      <c r="K1021" s="213">
        <f t="shared" si="191"/>
        <v>0</v>
      </c>
      <c r="L1021" s="209">
        <f t="shared" si="185"/>
        <v>0</v>
      </c>
      <c r="M1021" s="214">
        <f t="shared" si="186"/>
        <v>0</v>
      </c>
      <c r="N1021" s="211">
        <f t="shared" si="187"/>
        <v>0</v>
      </c>
      <c r="O1021" s="194">
        <f t="shared" si="188"/>
        <v>0</v>
      </c>
      <c r="P1021" s="212">
        <f t="shared" si="189"/>
        <v>0</v>
      </c>
      <c r="Q1021">
        <f t="shared" si="193"/>
        <v>0</v>
      </c>
      <c r="X1021" s="216">
        <f t="shared" si="192"/>
        <v>84</v>
      </c>
      <c r="Y1021">
        <f t="shared" si="190"/>
        <v>0</v>
      </c>
    </row>
    <row r="1022" spans="1:25" ht="13.5" thickBot="1" x14ac:dyDescent="0.25">
      <c r="A1022" s="204">
        <f>IF(MOD(COUNT($A$10:A1021),12)=0,A1021+1,A1021)</f>
        <v>85</v>
      </c>
      <c r="B1022" s="218">
        <f t="shared" si="182"/>
        <v>5</v>
      </c>
      <c r="C1022" s="218">
        <f t="shared" si="183"/>
        <v>1</v>
      </c>
      <c r="D1022" s="208">
        <f>IF(MOD(COUNT($D$10:D1021),6)=0,D1021+1,D1021)</f>
        <v>169</v>
      </c>
      <c r="E1022" s="208">
        <f>IF(MOD(COUNT($E$10:E1021),3)=0,E1021+1,E1021)</f>
        <v>338</v>
      </c>
      <c r="F1022" s="208">
        <f>IF(MOD(COUNT($F$10:F1021),1)=0,F1021+1,F1021)</f>
        <v>1013</v>
      </c>
      <c r="G1022" s="204">
        <f>IFERROR(IF(C1022=1,VLOOKUP(A1022,Output!$A$27:$AB$137,28,FALSE)/AnnuityMode,0),0)</f>
        <v>0</v>
      </c>
      <c r="H1022" s="220">
        <f>IFERROR(IF(AND(MIN(A1022&gt;25,Age+A1022&gt;=85),B1022=12),VLOOKUP(A1022,Output!$A$27:$AE$137,31,FALSE),0),0)</f>
        <v>0</v>
      </c>
      <c r="I1022" s="221">
        <f>IFERROR(IF(AND(MIN(A1022&gt;15,A1022+Age&gt;=70),C1022=1),VLOOKUP(A1022,Output!$A$27:$AF$137,32,FALSE)*VLOOKUP('SV calc_ignore'!A1022,Output!$A$27:$AG$137,33,FALSE)/IF(AnnuityMode=2,2,IF(AnnuityMode=4,4,IF(AnnuityMode=12,12,1))),0),0)</f>
        <v>0</v>
      </c>
      <c r="J1022" s="227">
        <f t="shared" si="184"/>
        <v>0</v>
      </c>
      <c r="K1022" s="213">
        <f t="shared" si="191"/>
        <v>0</v>
      </c>
      <c r="L1022" s="209">
        <f t="shared" si="185"/>
        <v>0</v>
      </c>
      <c r="M1022" s="214">
        <f t="shared" si="186"/>
        <v>0</v>
      </c>
      <c r="N1022" s="211">
        <f t="shared" si="187"/>
        <v>0</v>
      </c>
      <c r="O1022" s="194">
        <f t="shared" si="188"/>
        <v>0</v>
      </c>
      <c r="P1022" s="212">
        <f t="shared" si="189"/>
        <v>0</v>
      </c>
      <c r="Q1022">
        <f t="shared" si="193"/>
        <v>0</v>
      </c>
      <c r="X1022" s="216">
        <f t="shared" si="192"/>
        <v>84</v>
      </c>
      <c r="Y1022">
        <f t="shared" si="190"/>
        <v>0</v>
      </c>
    </row>
    <row r="1023" spans="1:25" ht="13.5" thickBot="1" x14ac:dyDescent="0.25">
      <c r="A1023" s="204">
        <f>IF(MOD(COUNT($A$10:A1022),12)=0,A1022+1,A1022)</f>
        <v>85</v>
      </c>
      <c r="B1023" s="218">
        <f t="shared" si="182"/>
        <v>6</v>
      </c>
      <c r="C1023" s="218">
        <f t="shared" si="183"/>
        <v>1</v>
      </c>
      <c r="D1023" s="208">
        <f>IF(MOD(COUNT($D$10:D1022),6)=0,D1022+1,D1022)</f>
        <v>169</v>
      </c>
      <c r="E1023" s="208">
        <f>IF(MOD(COUNT($E$10:E1022),3)=0,E1022+1,E1022)</f>
        <v>338</v>
      </c>
      <c r="F1023" s="208">
        <f>IF(MOD(COUNT($F$10:F1022),1)=0,F1022+1,F1022)</f>
        <v>1014</v>
      </c>
      <c r="G1023" s="204">
        <f>IFERROR(IF(C1023=1,VLOOKUP(A1023,Output!$A$27:$AB$137,28,FALSE)/AnnuityMode,0),0)</f>
        <v>0</v>
      </c>
      <c r="H1023" s="220">
        <f>IFERROR(IF(AND(MIN(A1023&gt;25,Age+A1023&gt;=85),B1023=12),VLOOKUP(A1023,Output!$A$27:$AE$137,31,FALSE),0),0)</f>
        <v>0</v>
      </c>
      <c r="I1023" s="221">
        <f>IFERROR(IF(AND(MIN(A1023&gt;15,A1023+Age&gt;=70),C1023=1),VLOOKUP(A1023,Output!$A$27:$AF$137,32,FALSE)*VLOOKUP('SV calc_ignore'!A1023,Output!$A$27:$AG$137,33,FALSE)/IF(AnnuityMode=2,2,IF(AnnuityMode=4,4,IF(AnnuityMode=12,12,1))),0),0)</f>
        <v>0</v>
      </c>
      <c r="J1023" s="227">
        <f t="shared" si="184"/>
        <v>0</v>
      </c>
      <c r="K1023" s="213">
        <f t="shared" si="191"/>
        <v>0</v>
      </c>
      <c r="L1023" s="209">
        <f t="shared" si="185"/>
        <v>0</v>
      </c>
      <c r="M1023" s="214">
        <f t="shared" si="186"/>
        <v>0</v>
      </c>
      <c r="N1023" s="211">
        <f t="shared" si="187"/>
        <v>0</v>
      </c>
      <c r="O1023" s="194">
        <f t="shared" si="188"/>
        <v>0</v>
      </c>
      <c r="P1023" s="212">
        <f t="shared" si="189"/>
        <v>0</v>
      </c>
      <c r="Q1023">
        <f t="shared" si="193"/>
        <v>0</v>
      </c>
      <c r="X1023" s="216">
        <f t="shared" si="192"/>
        <v>84</v>
      </c>
      <c r="Y1023">
        <f t="shared" si="190"/>
        <v>0</v>
      </c>
    </row>
    <row r="1024" spans="1:25" ht="13.5" thickBot="1" x14ac:dyDescent="0.25">
      <c r="A1024" s="204">
        <f>IF(MOD(COUNT($A$10:A1023),12)=0,A1023+1,A1023)</f>
        <v>85</v>
      </c>
      <c r="B1024" s="218">
        <f t="shared" si="182"/>
        <v>7</v>
      </c>
      <c r="C1024" s="218">
        <f t="shared" si="183"/>
        <v>1</v>
      </c>
      <c r="D1024" s="208">
        <f>IF(MOD(COUNT($D$10:D1023),6)=0,D1023+1,D1023)</f>
        <v>170</v>
      </c>
      <c r="E1024" s="208">
        <f>IF(MOD(COUNT($E$10:E1023),3)=0,E1023+1,E1023)</f>
        <v>339</v>
      </c>
      <c r="F1024" s="208">
        <f>IF(MOD(COUNT($F$10:F1023),1)=0,F1023+1,F1023)</f>
        <v>1015</v>
      </c>
      <c r="G1024" s="204">
        <f>IFERROR(IF(C1024=1,VLOOKUP(A1024,Output!$A$27:$AB$137,28,FALSE)/AnnuityMode,0),0)</f>
        <v>0</v>
      </c>
      <c r="H1024" s="220">
        <f>IFERROR(IF(AND(MIN(A1024&gt;25,Age+A1024&gt;=85),B1024=12),VLOOKUP(A1024,Output!$A$27:$AE$137,31,FALSE),0),0)</f>
        <v>0</v>
      </c>
      <c r="I1024" s="221">
        <f>IFERROR(IF(AND(MIN(A1024&gt;15,A1024+Age&gt;=70),C1024=1),VLOOKUP(A1024,Output!$A$27:$AF$137,32,FALSE)*VLOOKUP('SV calc_ignore'!A1024,Output!$A$27:$AG$137,33,FALSE)/IF(AnnuityMode=2,2,IF(AnnuityMode=4,4,IF(AnnuityMode=12,12,1))),0),0)</f>
        <v>0</v>
      </c>
      <c r="J1024" s="227">
        <f t="shared" si="184"/>
        <v>0</v>
      </c>
      <c r="K1024" s="213">
        <f t="shared" si="191"/>
        <v>0</v>
      </c>
      <c r="L1024" s="209">
        <f t="shared" si="185"/>
        <v>0</v>
      </c>
      <c r="M1024" s="214">
        <f t="shared" si="186"/>
        <v>0</v>
      </c>
      <c r="N1024" s="211">
        <f t="shared" si="187"/>
        <v>0</v>
      </c>
      <c r="O1024" s="194">
        <f t="shared" si="188"/>
        <v>0</v>
      </c>
      <c r="P1024" s="212">
        <f t="shared" si="189"/>
        <v>0</v>
      </c>
      <c r="Q1024">
        <f t="shared" si="193"/>
        <v>0</v>
      </c>
      <c r="X1024" s="216">
        <f t="shared" si="192"/>
        <v>84</v>
      </c>
      <c r="Y1024">
        <f t="shared" si="190"/>
        <v>0</v>
      </c>
    </row>
    <row r="1025" spans="1:25" ht="13.5" thickBot="1" x14ac:dyDescent="0.25">
      <c r="A1025" s="204">
        <f>IF(MOD(COUNT($A$10:A1024),12)=0,A1024+1,A1024)</f>
        <v>85</v>
      </c>
      <c r="B1025" s="218">
        <f t="shared" si="182"/>
        <v>8</v>
      </c>
      <c r="C1025" s="218">
        <f t="shared" si="183"/>
        <v>1</v>
      </c>
      <c r="D1025" s="208">
        <f>IF(MOD(COUNT($D$10:D1024),6)=0,D1024+1,D1024)</f>
        <v>170</v>
      </c>
      <c r="E1025" s="208">
        <f>IF(MOD(COUNT($E$10:E1024),3)=0,E1024+1,E1024)</f>
        <v>339</v>
      </c>
      <c r="F1025" s="208">
        <f>IF(MOD(COUNT($F$10:F1024),1)=0,F1024+1,F1024)</f>
        <v>1016</v>
      </c>
      <c r="G1025" s="204">
        <f>IFERROR(IF(C1025=1,VLOOKUP(A1025,Output!$A$27:$AB$137,28,FALSE)/AnnuityMode,0),0)</f>
        <v>0</v>
      </c>
      <c r="H1025" s="220">
        <f>IFERROR(IF(AND(MIN(A1025&gt;25,Age+A1025&gt;=85),B1025=12),VLOOKUP(A1025,Output!$A$27:$AE$137,31,FALSE),0),0)</f>
        <v>0</v>
      </c>
      <c r="I1025" s="221">
        <f>IFERROR(IF(AND(MIN(A1025&gt;15,A1025+Age&gt;=70),C1025=1),VLOOKUP(A1025,Output!$A$27:$AF$137,32,FALSE)*VLOOKUP('SV calc_ignore'!A1025,Output!$A$27:$AG$137,33,FALSE)/IF(AnnuityMode=2,2,IF(AnnuityMode=4,4,IF(AnnuityMode=12,12,1))),0),0)</f>
        <v>0</v>
      </c>
      <c r="J1025" s="227">
        <f t="shared" si="184"/>
        <v>0</v>
      </c>
      <c r="K1025" s="213">
        <f t="shared" si="191"/>
        <v>0</v>
      </c>
      <c r="L1025" s="209">
        <f t="shared" si="185"/>
        <v>0</v>
      </c>
      <c r="M1025" s="214">
        <f t="shared" si="186"/>
        <v>0</v>
      </c>
      <c r="N1025" s="211">
        <f t="shared" si="187"/>
        <v>0</v>
      </c>
      <c r="O1025" s="194">
        <f t="shared" si="188"/>
        <v>0</v>
      </c>
      <c r="P1025" s="212">
        <f t="shared" si="189"/>
        <v>0</v>
      </c>
      <c r="Q1025">
        <f t="shared" si="193"/>
        <v>0</v>
      </c>
      <c r="X1025" s="216">
        <f t="shared" si="192"/>
        <v>84</v>
      </c>
      <c r="Y1025">
        <f t="shared" si="190"/>
        <v>0</v>
      </c>
    </row>
    <row r="1026" spans="1:25" ht="13.5" thickBot="1" x14ac:dyDescent="0.25">
      <c r="A1026" s="204">
        <f>IF(MOD(COUNT($A$10:A1025),12)=0,A1025+1,A1025)</f>
        <v>85</v>
      </c>
      <c r="B1026" s="218">
        <f t="shared" ref="B1026:B1089" si="194">IF(A1025&lt;&gt;A1026,1,B1025+1)</f>
        <v>9</v>
      </c>
      <c r="C1026" s="218">
        <f t="shared" ref="C1026:C1089" si="195">IF(AND(AnnuityMode=1,B1026=12),1,IF(AND(OR(B1026=6,B1026=12),AnnuityMode=2),1,IF(AND(OR(B1026=3,B1026=6,B1026=12,B1026=9),AnnuityMode=4),1,IF(AND(OR(B1026=1,B1026=2,B1026=3,B1026=4,B1026=5,B1026=6,B1026=7,B1026=8,B1026=9,B1026=10,B1026=11,B1026=12),AnnuityMode=12),1,0))))</f>
        <v>1</v>
      </c>
      <c r="D1026" s="208">
        <f>IF(MOD(COUNT($D$10:D1025),6)=0,D1025+1,D1025)</f>
        <v>170</v>
      </c>
      <c r="E1026" s="208">
        <f>IF(MOD(COUNT($E$10:E1025),3)=0,E1025+1,E1025)</f>
        <v>339</v>
      </c>
      <c r="F1026" s="208">
        <f>IF(MOD(COUNT($F$10:F1025),1)=0,F1025+1,F1025)</f>
        <v>1017</v>
      </c>
      <c r="G1026" s="204">
        <f>IFERROR(IF(C1026=1,VLOOKUP(A1026,Output!$A$27:$AB$137,28,FALSE)/AnnuityMode,0),0)</f>
        <v>0</v>
      </c>
      <c r="H1026" s="220">
        <f>IFERROR(IF(AND(MIN(A1026&gt;25,Age+A1026&gt;=85),B1026=12),VLOOKUP(A1026,Output!$A$27:$AE$137,31,FALSE),0),0)</f>
        <v>0</v>
      </c>
      <c r="I1026" s="221">
        <f>IFERROR(IF(AND(MIN(A1026&gt;15,A1026+Age&gt;=70),C1026=1),VLOOKUP(A1026,Output!$A$27:$AF$137,32,FALSE)*VLOOKUP('SV calc_ignore'!A1026,Output!$A$27:$AG$137,33,FALSE)/IF(AnnuityMode=2,2,IF(AnnuityMode=4,4,IF(AnnuityMode=12,12,1))),0),0)</f>
        <v>0</v>
      </c>
      <c r="J1026" s="227">
        <f t="shared" ref="J1026:J1089" si="196">G1026+(J1027)*(1+$K$3)^(-1)</f>
        <v>0</v>
      </c>
      <c r="K1026" s="213">
        <f t="shared" si="191"/>
        <v>0</v>
      </c>
      <c r="L1026" s="209">
        <f t="shared" ref="L1026:L1089" si="197">(L1027+G1027)*$K$2</f>
        <v>0</v>
      </c>
      <c r="M1026" s="214">
        <f t="shared" ref="M1026:M1089" si="198">L1025*(1+$K$3)</f>
        <v>0</v>
      </c>
      <c r="N1026" s="211">
        <f t="shared" ref="N1026:N1089" si="199">M1026-L1026-G1026</f>
        <v>0</v>
      </c>
      <c r="O1026" s="194">
        <f t="shared" ref="O1026:O1089" si="200">MAX($H$10:$H$897)/(1+$K$3)^($Q$5*12-F1026)*(A1026&lt;=$Q$5)</f>
        <v>0</v>
      </c>
      <c r="P1026" s="212">
        <f t="shared" si="189"/>
        <v>0</v>
      </c>
      <c r="Q1026">
        <f t="shared" si="193"/>
        <v>0</v>
      </c>
      <c r="X1026" s="216">
        <f t="shared" si="192"/>
        <v>84</v>
      </c>
      <c r="Y1026">
        <f t="shared" si="190"/>
        <v>0</v>
      </c>
    </row>
    <row r="1027" spans="1:25" ht="13.5" thickBot="1" x14ac:dyDescent="0.25">
      <c r="A1027" s="204">
        <f>IF(MOD(COUNT($A$10:A1026),12)=0,A1026+1,A1026)</f>
        <v>85</v>
      </c>
      <c r="B1027" s="218">
        <f t="shared" si="194"/>
        <v>10</v>
      </c>
      <c r="C1027" s="218">
        <f t="shared" si="195"/>
        <v>1</v>
      </c>
      <c r="D1027" s="208">
        <f>IF(MOD(COUNT($D$10:D1026),6)=0,D1026+1,D1026)</f>
        <v>170</v>
      </c>
      <c r="E1027" s="208">
        <f>IF(MOD(COUNT($E$10:E1026),3)=0,E1026+1,E1026)</f>
        <v>340</v>
      </c>
      <c r="F1027" s="208">
        <f>IF(MOD(COUNT($F$10:F1026),1)=0,F1026+1,F1026)</f>
        <v>1018</v>
      </c>
      <c r="G1027" s="204">
        <f>IFERROR(IF(C1027=1,VLOOKUP(A1027,Output!$A$27:$AB$137,28,FALSE)/AnnuityMode,0),0)</f>
        <v>0</v>
      </c>
      <c r="H1027" s="220">
        <f>IFERROR(IF(AND(MIN(A1027&gt;25,Age+A1027&gt;=85),B1027=12),VLOOKUP(A1027,Output!$A$27:$AE$137,31,FALSE),0),0)</f>
        <v>0</v>
      </c>
      <c r="I1027" s="221">
        <f>IFERROR(IF(AND(MIN(A1027&gt;15,A1027+Age&gt;=70),C1027=1),VLOOKUP(A1027,Output!$A$27:$AF$137,32,FALSE)*VLOOKUP('SV calc_ignore'!A1027,Output!$A$27:$AG$137,33,FALSE)/IF(AnnuityMode=2,2,IF(AnnuityMode=4,4,IF(AnnuityMode=12,12,1))),0),0)</f>
        <v>0</v>
      </c>
      <c r="J1027" s="227">
        <f t="shared" si="196"/>
        <v>0</v>
      </c>
      <c r="K1027" s="213">
        <f t="shared" si="191"/>
        <v>0</v>
      </c>
      <c r="L1027" s="209">
        <f t="shared" si="197"/>
        <v>0</v>
      </c>
      <c r="M1027" s="214">
        <f t="shared" si="198"/>
        <v>0</v>
      </c>
      <c r="N1027" s="211">
        <f t="shared" si="199"/>
        <v>0</v>
      </c>
      <c r="O1027" s="194">
        <f t="shared" si="200"/>
        <v>0</v>
      </c>
      <c r="P1027" s="212">
        <f t="shared" si="189"/>
        <v>0</v>
      </c>
      <c r="Q1027">
        <f t="shared" si="193"/>
        <v>0</v>
      </c>
      <c r="X1027" s="216">
        <f t="shared" si="192"/>
        <v>84</v>
      </c>
      <c r="Y1027">
        <f t="shared" si="190"/>
        <v>0</v>
      </c>
    </row>
    <row r="1028" spans="1:25" ht="13.5" thickBot="1" x14ac:dyDescent="0.25">
      <c r="A1028" s="204">
        <f>IF(MOD(COUNT($A$10:A1027),12)=0,A1027+1,A1027)</f>
        <v>85</v>
      </c>
      <c r="B1028" s="218">
        <f t="shared" si="194"/>
        <v>11</v>
      </c>
      <c r="C1028" s="218">
        <f t="shared" si="195"/>
        <v>1</v>
      </c>
      <c r="D1028" s="208">
        <f>IF(MOD(COUNT($D$10:D1027),6)=0,D1027+1,D1027)</f>
        <v>170</v>
      </c>
      <c r="E1028" s="208">
        <f>IF(MOD(COUNT($E$10:E1027),3)=0,E1027+1,E1027)</f>
        <v>340</v>
      </c>
      <c r="F1028" s="208">
        <f>IF(MOD(COUNT($F$10:F1027),1)=0,F1027+1,F1027)</f>
        <v>1019</v>
      </c>
      <c r="G1028" s="204">
        <f>IFERROR(IF(C1028=1,VLOOKUP(A1028,Output!$A$27:$AB$137,28,FALSE)/AnnuityMode,0),0)</f>
        <v>0</v>
      </c>
      <c r="H1028" s="220">
        <f>IFERROR(IF(AND(MIN(A1028&gt;25,Age+A1028&gt;=85),B1028=12),VLOOKUP(A1028,Output!$A$27:$AE$137,31,FALSE),0),0)</f>
        <v>0</v>
      </c>
      <c r="I1028" s="221">
        <f>IFERROR(IF(AND(MIN(A1028&gt;15,A1028+Age&gt;=70),C1028=1),VLOOKUP(A1028,Output!$A$27:$AF$137,32,FALSE)*VLOOKUP('SV calc_ignore'!A1028,Output!$A$27:$AG$137,33,FALSE)/IF(AnnuityMode=2,2,IF(AnnuityMode=4,4,IF(AnnuityMode=12,12,1))),0),0)</f>
        <v>0</v>
      </c>
      <c r="J1028" s="227">
        <f t="shared" si="196"/>
        <v>0</v>
      </c>
      <c r="K1028" s="213">
        <f t="shared" si="191"/>
        <v>0</v>
      </c>
      <c r="L1028" s="209">
        <f t="shared" si="197"/>
        <v>0</v>
      </c>
      <c r="M1028" s="214">
        <f t="shared" si="198"/>
        <v>0</v>
      </c>
      <c r="N1028" s="211">
        <f t="shared" si="199"/>
        <v>0</v>
      </c>
      <c r="O1028" s="194">
        <f t="shared" si="200"/>
        <v>0</v>
      </c>
      <c r="P1028" s="212">
        <f t="shared" si="189"/>
        <v>0</v>
      </c>
      <c r="Q1028">
        <f t="shared" si="193"/>
        <v>0</v>
      </c>
      <c r="X1028" s="216">
        <f t="shared" si="192"/>
        <v>84</v>
      </c>
      <c r="Y1028">
        <f t="shared" si="190"/>
        <v>0</v>
      </c>
    </row>
    <row r="1029" spans="1:25" ht="13.5" thickBot="1" x14ac:dyDescent="0.25">
      <c r="A1029" s="204">
        <f>IF(MOD(COUNT($A$10:A1028),12)=0,A1028+1,A1028)</f>
        <v>85</v>
      </c>
      <c r="B1029" s="218">
        <f t="shared" si="194"/>
        <v>12</v>
      </c>
      <c r="C1029" s="218">
        <f t="shared" si="195"/>
        <v>1</v>
      </c>
      <c r="D1029" s="208">
        <f>IF(MOD(COUNT($D$10:D1028),6)=0,D1028+1,D1028)</f>
        <v>170</v>
      </c>
      <c r="E1029" s="208">
        <f>IF(MOD(COUNT($E$10:E1028),3)=0,E1028+1,E1028)</f>
        <v>340</v>
      </c>
      <c r="F1029" s="208">
        <f>IF(MOD(COUNT($F$10:F1028),1)=0,F1028+1,F1028)</f>
        <v>1020</v>
      </c>
      <c r="G1029" s="204">
        <f>IFERROR(IF(C1029=1,VLOOKUP(A1029,Output!$A$27:$AB$137,28,FALSE)/AnnuityMode,0),0)</f>
        <v>0</v>
      </c>
      <c r="H1029" s="220">
        <f>IFERROR(IF(AND(MIN(A1029&gt;25,Age+A1029&gt;=85),B1029=12),VLOOKUP(A1029,Output!$A$27:$AE$137,31,FALSE),0),0)</f>
        <v>0</v>
      </c>
      <c r="I1029" s="221">
        <f>IFERROR(IF(AND(MIN(A1029&gt;15,A1029+Age&gt;=70),C1029=1),VLOOKUP(A1029,Output!$A$27:$AF$137,32,FALSE)*VLOOKUP('SV calc_ignore'!A1029,Output!$A$27:$AG$137,33,FALSE)/IF(AnnuityMode=2,2,IF(AnnuityMode=4,4,IF(AnnuityMode=12,12,1))),0),0)</f>
        <v>0</v>
      </c>
      <c r="J1029" s="227">
        <f t="shared" si="196"/>
        <v>0</v>
      </c>
      <c r="K1029" s="213">
        <f t="shared" si="191"/>
        <v>0</v>
      </c>
      <c r="L1029" s="209">
        <f t="shared" si="197"/>
        <v>0</v>
      </c>
      <c r="M1029" s="214">
        <f t="shared" si="198"/>
        <v>0</v>
      </c>
      <c r="N1029" s="211">
        <f t="shared" si="199"/>
        <v>0</v>
      </c>
      <c r="O1029" s="194">
        <f t="shared" si="200"/>
        <v>0</v>
      </c>
      <c r="P1029" s="212">
        <f t="shared" si="189"/>
        <v>0</v>
      </c>
      <c r="Q1029">
        <f t="shared" si="193"/>
        <v>0</v>
      </c>
      <c r="X1029" s="216">
        <f t="shared" si="192"/>
        <v>84</v>
      </c>
      <c r="Y1029">
        <f t="shared" si="190"/>
        <v>0</v>
      </c>
    </row>
    <row r="1030" spans="1:25" ht="13.5" thickBot="1" x14ac:dyDescent="0.25">
      <c r="A1030" s="204">
        <f>IF(MOD(COUNT($A$10:A1029),12)=0,A1029+1,A1029)</f>
        <v>86</v>
      </c>
      <c r="B1030" s="218">
        <f t="shared" si="194"/>
        <v>1</v>
      </c>
      <c r="C1030" s="218">
        <f t="shared" si="195"/>
        <v>1</v>
      </c>
      <c r="D1030" s="208">
        <f>IF(MOD(COUNT($D$10:D1029),6)=0,D1029+1,D1029)</f>
        <v>171</v>
      </c>
      <c r="E1030" s="208">
        <f>IF(MOD(COUNT($E$10:E1029),3)=0,E1029+1,E1029)</f>
        <v>341</v>
      </c>
      <c r="F1030" s="208">
        <f>IF(MOD(COUNT($F$10:F1029),1)=0,F1029+1,F1029)</f>
        <v>1021</v>
      </c>
      <c r="G1030" s="204">
        <f>IFERROR(IF(C1030=1,VLOOKUP(A1030,Output!$A$27:$AB$137,28,FALSE)/AnnuityMode,0),0)</f>
        <v>0</v>
      </c>
      <c r="H1030" s="220">
        <f>IFERROR(IF(AND(MIN(A1030&gt;25,Age+A1030&gt;=85),B1030=12),VLOOKUP(A1030,Output!$A$27:$AE$137,31,FALSE),0),0)</f>
        <v>0</v>
      </c>
      <c r="I1030" s="221">
        <f>IFERROR(IF(AND(MIN(A1030&gt;15,A1030+Age&gt;=70),C1030=1),VLOOKUP(A1030,Output!$A$27:$AF$137,32,FALSE)*VLOOKUP('SV calc_ignore'!A1030,Output!$A$27:$AG$137,33,FALSE)/IF(AnnuityMode=2,2,IF(AnnuityMode=4,4,IF(AnnuityMode=12,12,1))),0),0)</f>
        <v>0</v>
      </c>
      <c r="J1030" s="227">
        <f t="shared" si="196"/>
        <v>0</v>
      </c>
      <c r="K1030" s="213">
        <f t="shared" si="191"/>
        <v>0</v>
      </c>
      <c r="L1030" s="209">
        <f t="shared" si="197"/>
        <v>0</v>
      </c>
      <c r="M1030" s="214">
        <f t="shared" si="198"/>
        <v>0</v>
      </c>
      <c r="N1030" s="211">
        <f t="shared" si="199"/>
        <v>0</v>
      </c>
      <c r="O1030" s="194">
        <f t="shared" si="200"/>
        <v>0</v>
      </c>
      <c r="P1030" s="212">
        <f t="shared" si="189"/>
        <v>0</v>
      </c>
      <c r="Q1030">
        <f t="shared" si="193"/>
        <v>0</v>
      </c>
      <c r="X1030" s="216">
        <f t="shared" si="192"/>
        <v>85</v>
      </c>
      <c r="Y1030">
        <f t="shared" si="190"/>
        <v>0</v>
      </c>
    </row>
    <row r="1031" spans="1:25" ht="13.5" thickBot="1" x14ac:dyDescent="0.25">
      <c r="A1031" s="204">
        <f>IF(MOD(COUNT($A$10:A1030),12)=0,A1030+1,A1030)</f>
        <v>86</v>
      </c>
      <c r="B1031" s="218">
        <f t="shared" si="194"/>
        <v>2</v>
      </c>
      <c r="C1031" s="218">
        <f t="shared" si="195"/>
        <v>1</v>
      </c>
      <c r="D1031" s="208">
        <f>IF(MOD(COUNT($D$10:D1030),6)=0,D1030+1,D1030)</f>
        <v>171</v>
      </c>
      <c r="E1031" s="208">
        <f>IF(MOD(COUNT($E$10:E1030),3)=0,E1030+1,E1030)</f>
        <v>341</v>
      </c>
      <c r="F1031" s="208">
        <f>IF(MOD(COUNT($F$10:F1030),1)=0,F1030+1,F1030)</f>
        <v>1022</v>
      </c>
      <c r="G1031" s="204">
        <f>IFERROR(IF(C1031=1,VLOOKUP(A1031,Output!$A$27:$AB$137,28,FALSE)/AnnuityMode,0),0)</f>
        <v>0</v>
      </c>
      <c r="H1031" s="220">
        <f>IFERROR(IF(AND(MIN(A1031&gt;25,Age+A1031&gt;=85),B1031=12),VLOOKUP(A1031,Output!$A$27:$AE$137,31,FALSE),0),0)</f>
        <v>0</v>
      </c>
      <c r="I1031" s="221">
        <f>IFERROR(IF(AND(MIN(A1031&gt;15,A1031+Age&gt;=70),C1031=1),VLOOKUP(A1031,Output!$A$27:$AF$137,32,FALSE)*VLOOKUP('SV calc_ignore'!A1031,Output!$A$27:$AG$137,33,FALSE)/IF(AnnuityMode=2,2,IF(AnnuityMode=4,4,IF(AnnuityMode=12,12,1))),0),0)</f>
        <v>0</v>
      </c>
      <c r="J1031" s="227">
        <f t="shared" si="196"/>
        <v>0</v>
      </c>
      <c r="K1031" s="213">
        <f t="shared" si="191"/>
        <v>0</v>
      </c>
      <c r="L1031" s="209">
        <f t="shared" si="197"/>
        <v>0</v>
      </c>
      <c r="M1031" s="214">
        <f t="shared" si="198"/>
        <v>0</v>
      </c>
      <c r="N1031" s="211">
        <f t="shared" si="199"/>
        <v>0</v>
      </c>
      <c r="O1031" s="194">
        <f t="shared" si="200"/>
        <v>0</v>
      </c>
      <c r="P1031" s="212">
        <f t="shared" si="189"/>
        <v>0</v>
      </c>
      <c r="Q1031">
        <f t="shared" si="193"/>
        <v>0</v>
      </c>
      <c r="X1031" s="216">
        <f t="shared" si="192"/>
        <v>85</v>
      </c>
      <c r="Y1031">
        <f t="shared" si="190"/>
        <v>0</v>
      </c>
    </row>
    <row r="1032" spans="1:25" ht="13.5" thickBot="1" x14ac:dyDescent="0.25">
      <c r="A1032" s="204">
        <f>IF(MOD(COUNT($A$10:A1031),12)=0,A1031+1,A1031)</f>
        <v>86</v>
      </c>
      <c r="B1032" s="218">
        <f t="shared" si="194"/>
        <v>3</v>
      </c>
      <c r="C1032" s="218">
        <f t="shared" si="195"/>
        <v>1</v>
      </c>
      <c r="D1032" s="208">
        <f>IF(MOD(COUNT($D$10:D1031),6)=0,D1031+1,D1031)</f>
        <v>171</v>
      </c>
      <c r="E1032" s="208">
        <f>IF(MOD(COUNT($E$10:E1031),3)=0,E1031+1,E1031)</f>
        <v>341</v>
      </c>
      <c r="F1032" s="208">
        <f>IF(MOD(COUNT($F$10:F1031),1)=0,F1031+1,F1031)</f>
        <v>1023</v>
      </c>
      <c r="G1032" s="204">
        <f>IFERROR(IF(C1032=1,VLOOKUP(A1032,Output!$A$27:$AB$137,28,FALSE)/AnnuityMode,0),0)</f>
        <v>0</v>
      </c>
      <c r="H1032" s="220">
        <f>IFERROR(IF(AND(MIN(A1032&gt;25,Age+A1032&gt;=85),B1032=12),VLOOKUP(A1032,Output!$A$27:$AE$137,31,FALSE),0),0)</f>
        <v>0</v>
      </c>
      <c r="I1032" s="221">
        <f>IFERROR(IF(AND(MIN(A1032&gt;15,A1032+Age&gt;=70),C1032=1),VLOOKUP(A1032,Output!$A$27:$AF$137,32,FALSE)*VLOOKUP('SV calc_ignore'!A1032,Output!$A$27:$AG$137,33,FALSE)/IF(AnnuityMode=2,2,IF(AnnuityMode=4,4,IF(AnnuityMode=12,12,1))),0),0)</f>
        <v>0</v>
      </c>
      <c r="J1032" s="227">
        <f t="shared" si="196"/>
        <v>0</v>
      </c>
      <c r="K1032" s="213">
        <f t="shared" si="191"/>
        <v>0</v>
      </c>
      <c r="L1032" s="209">
        <f t="shared" si="197"/>
        <v>0</v>
      </c>
      <c r="M1032" s="214">
        <f t="shared" si="198"/>
        <v>0</v>
      </c>
      <c r="N1032" s="211">
        <f t="shared" si="199"/>
        <v>0</v>
      </c>
      <c r="O1032" s="194">
        <f t="shared" si="200"/>
        <v>0</v>
      </c>
      <c r="P1032" s="212">
        <f t="shared" si="189"/>
        <v>0</v>
      </c>
      <c r="Q1032">
        <f t="shared" si="193"/>
        <v>0</v>
      </c>
      <c r="X1032" s="216">
        <f t="shared" si="192"/>
        <v>85</v>
      </c>
      <c r="Y1032">
        <f t="shared" si="190"/>
        <v>0</v>
      </c>
    </row>
    <row r="1033" spans="1:25" ht="13.5" thickBot="1" x14ac:dyDescent="0.25">
      <c r="A1033" s="204">
        <f>IF(MOD(COUNT($A$10:A1032),12)=0,A1032+1,A1032)</f>
        <v>86</v>
      </c>
      <c r="B1033" s="218">
        <f t="shared" si="194"/>
        <v>4</v>
      </c>
      <c r="C1033" s="218">
        <f t="shared" si="195"/>
        <v>1</v>
      </c>
      <c r="D1033" s="208">
        <f>IF(MOD(COUNT($D$10:D1032),6)=0,D1032+1,D1032)</f>
        <v>171</v>
      </c>
      <c r="E1033" s="208">
        <f>IF(MOD(COUNT($E$10:E1032),3)=0,E1032+1,E1032)</f>
        <v>342</v>
      </c>
      <c r="F1033" s="208">
        <f>IF(MOD(COUNT($F$10:F1032),1)=0,F1032+1,F1032)</f>
        <v>1024</v>
      </c>
      <c r="G1033" s="204">
        <f>IFERROR(IF(C1033=1,VLOOKUP(A1033,Output!$A$27:$AB$137,28,FALSE)/AnnuityMode,0),0)</f>
        <v>0</v>
      </c>
      <c r="H1033" s="220">
        <f>IFERROR(IF(AND(MIN(A1033&gt;25,Age+A1033&gt;=85),B1033=12),VLOOKUP(A1033,Output!$A$27:$AE$137,31,FALSE),0),0)</f>
        <v>0</v>
      </c>
      <c r="I1033" s="221">
        <f>IFERROR(IF(AND(MIN(A1033&gt;15,A1033+Age&gt;=70),C1033=1),VLOOKUP(A1033,Output!$A$27:$AF$137,32,FALSE)*VLOOKUP('SV calc_ignore'!A1033,Output!$A$27:$AG$137,33,FALSE)/IF(AnnuityMode=2,2,IF(AnnuityMode=4,4,IF(AnnuityMode=12,12,1))),0),0)</f>
        <v>0</v>
      </c>
      <c r="J1033" s="227">
        <f t="shared" si="196"/>
        <v>0</v>
      </c>
      <c r="K1033" s="213">
        <f t="shared" si="191"/>
        <v>0</v>
      </c>
      <c r="L1033" s="209">
        <f t="shared" si="197"/>
        <v>0</v>
      </c>
      <c r="M1033" s="214">
        <f t="shared" si="198"/>
        <v>0</v>
      </c>
      <c r="N1033" s="211">
        <f t="shared" si="199"/>
        <v>0</v>
      </c>
      <c r="O1033" s="194">
        <f t="shared" si="200"/>
        <v>0</v>
      </c>
      <c r="P1033" s="212">
        <f t="shared" si="189"/>
        <v>0</v>
      </c>
      <c r="Q1033">
        <f t="shared" si="193"/>
        <v>0</v>
      </c>
      <c r="X1033" s="216">
        <f t="shared" si="192"/>
        <v>85</v>
      </c>
      <c r="Y1033">
        <f t="shared" si="190"/>
        <v>0</v>
      </c>
    </row>
    <row r="1034" spans="1:25" ht="13.5" thickBot="1" x14ac:dyDescent="0.25">
      <c r="A1034" s="204">
        <f>IF(MOD(COUNT($A$10:A1033),12)=0,A1033+1,A1033)</f>
        <v>86</v>
      </c>
      <c r="B1034" s="218">
        <f t="shared" si="194"/>
        <v>5</v>
      </c>
      <c r="C1034" s="218">
        <f t="shared" si="195"/>
        <v>1</v>
      </c>
      <c r="D1034" s="208">
        <f>IF(MOD(COUNT($D$10:D1033),6)=0,D1033+1,D1033)</f>
        <v>171</v>
      </c>
      <c r="E1034" s="208">
        <f>IF(MOD(COUNT($E$10:E1033),3)=0,E1033+1,E1033)</f>
        <v>342</v>
      </c>
      <c r="F1034" s="208">
        <f>IF(MOD(COUNT($F$10:F1033),1)=0,F1033+1,F1033)</f>
        <v>1025</v>
      </c>
      <c r="G1034" s="204">
        <f>IFERROR(IF(C1034=1,VLOOKUP(A1034,Output!$A$27:$AB$137,28,FALSE)/AnnuityMode,0),0)</f>
        <v>0</v>
      </c>
      <c r="H1034" s="220">
        <f>IFERROR(IF(AND(MIN(A1034&gt;25,Age+A1034&gt;=85),B1034=12),VLOOKUP(A1034,Output!$A$27:$AE$137,31,FALSE),0),0)</f>
        <v>0</v>
      </c>
      <c r="I1034" s="221">
        <f>IFERROR(IF(AND(MIN(A1034&gt;15,A1034+Age&gt;=70),C1034=1),VLOOKUP(A1034,Output!$A$27:$AF$137,32,FALSE)*VLOOKUP('SV calc_ignore'!A1034,Output!$A$27:$AG$137,33,FALSE)/IF(AnnuityMode=2,2,IF(AnnuityMode=4,4,IF(AnnuityMode=12,12,1))),0),0)</f>
        <v>0</v>
      </c>
      <c r="J1034" s="227">
        <f t="shared" si="196"/>
        <v>0</v>
      </c>
      <c r="K1034" s="213">
        <f t="shared" si="191"/>
        <v>0</v>
      </c>
      <c r="L1034" s="209">
        <f t="shared" si="197"/>
        <v>0</v>
      </c>
      <c r="M1034" s="214">
        <f t="shared" si="198"/>
        <v>0</v>
      </c>
      <c r="N1034" s="211">
        <f t="shared" si="199"/>
        <v>0</v>
      </c>
      <c r="O1034" s="194">
        <f t="shared" si="200"/>
        <v>0</v>
      </c>
      <c r="P1034" s="212">
        <f t="shared" ref="P1034:P1097" si="201">(P1035+H1035)*(1+$K$3)^(-1)</f>
        <v>0</v>
      </c>
      <c r="Q1034">
        <f t="shared" si="193"/>
        <v>0</v>
      </c>
      <c r="X1034" s="216">
        <f t="shared" si="192"/>
        <v>85</v>
      </c>
      <c r="Y1034">
        <f t="shared" ref="Y1034:Y1097" si="202">G1034*(1-IF(AnnuityMode=1,$L$2,IF(AnnuityMode=2,$M$2,IF(AnnuityMode=4,$N$2,$K$2)))^(110*AnnuityMode-IF(AnnuityMode=1,X1034,IF(AnnuityMode=2,D1034,IF(AnnuityMode=4,E1034,F1034)))-0))/(IF(AnnuityMode=1,$L$3,IF(AnnuityMode=2,$M$3,IF(AnnuityMode=4,$N$3,$K$3))))</f>
        <v>0</v>
      </c>
    </row>
    <row r="1035" spans="1:25" ht="13.5" thickBot="1" x14ac:dyDescent="0.25">
      <c r="A1035" s="204">
        <f>IF(MOD(COUNT($A$10:A1034),12)=0,A1034+1,A1034)</f>
        <v>86</v>
      </c>
      <c r="B1035" s="218">
        <f t="shared" si="194"/>
        <v>6</v>
      </c>
      <c r="C1035" s="218">
        <f t="shared" si="195"/>
        <v>1</v>
      </c>
      <c r="D1035" s="208">
        <f>IF(MOD(COUNT($D$10:D1034),6)=0,D1034+1,D1034)</f>
        <v>171</v>
      </c>
      <c r="E1035" s="208">
        <f>IF(MOD(COUNT($E$10:E1034),3)=0,E1034+1,E1034)</f>
        <v>342</v>
      </c>
      <c r="F1035" s="208">
        <f>IF(MOD(COUNT($F$10:F1034),1)=0,F1034+1,F1034)</f>
        <v>1026</v>
      </c>
      <c r="G1035" s="204">
        <f>IFERROR(IF(C1035=1,VLOOKUP(A1035,Output!$A$27:$AB$137,28,FALSE)/AnnuityMode,0),0)</f>
        <v>0</v>
      </c>
      <c r="H1035" s="220">
        <f>IFERROR(IF(AND(MIN(A1035&gt;25,Age+A1035&gt;=85),B1035=12),VLOOKUP(A1035,Output!$A$27:$AE$137,31,FALSE),0),0)</f>
        <v>0</v>
      </c>
      <c r="I1035" s="221">
        <f>IFERROR(IF(AND(MIN(A1035&gt;15,A1035+Age&gt;=70),C1035=1),VLOOKUP(A1035,Output!$A$27:$AF$137,32,FALSE)*VLOOKUP('SV calc_ignore'!A1035,Output!$A$27:$AG$137,33,FALSE)/IF(AnnuityMode=2,2,IF(AnnuityMode=4,4,IF(AnnuityMode=12,12,1))),0),0)</f>
        <v>0</v>
      </c>
      <c r="J1035" s="227">
        <f t="shared" si="196"/>
        <v>0</v>
      </c>
      <c r="K1035" s="213">
        <f t="shared" ref="K1035:K1098" si="203">IF(OR(K1034&gt;$K$8,K1034=0),0,K1034+1)</f>
        <v>0</v>
      </c>
      <c r="L1035" s="209">
        <f t="shared" si="197"/>
        <v>0</v>
      </c>
      <c r="M1035" s="214">
        <f t="shared" si="198"/>
        <v>0</v>
      </c>
      <c r="N1035" s="211">
        <f t="shared" si="199"/>
        <v>0</v>
      </c>
      <c r="O1035" s="194">
        <f t="shared" si="200"/>
        <v>0</v>
      </c>
      <c r="P1035" s="212">
        <f t="shared" si="201"/>
        <v>0</v>
      </c>
      <c r="Q1035">
        <f t="shared" si="193"/>
        <v>0</v>
      </c>
      <c r="X1035" s="216">
        <f t="shared" ref="X1035:X1098" si="204">A1035-1</f>
        <v>85</v>
      </c>
      <c r="Y1035">
        <f t="shared" si="202"/>
        <v>0</v>
      </c>
    </row>
    <row r="1036" spans="1:25" ht="13.5" thickBot="1" x14ac:dyDescent="0.25">
      <c r="A1036" s="204">
        <f>IF(MOD(COUNT($A$10:A1035),12)=0,A1035+1,A1035)</f>
        <v>86</v>
      </c>
      <c r="B1036" s="218">
        <f t="shared" si="194"/>
        <v>7</v>
      </c>
      <c r="C1036" s="218">
        <f t="shared" si="195"/>
        <v>1</v>
      </c>
      <c r="D1036" s="208">
        <f>IF(MOD(COUNT($D$10:D1035),6)=0,D1035+1,D1035)</f>
        <v>172</v>
      </c>
      <c r="E1036" s="208">
        <f>IF(MOD(COUNT($E$10:E1035),3)=0,E1035+1,E1035)</f>
        <v>343</v>
      </c>
      <c r="F1036" s="208">
        <f>IF(MOD(COUNT($F$10:F1035),1)=0,F1035+1,F1035)</f>
        <v>1027</v>
      </c>
      <c r="G1036" s="204">
        <f>IFERROR(IF(C1036=1,VLOOKUP(A1036,Output!$A$27:$AB$137,28,FALSE)/AnnuityMode,0),0)</f>
        <v>0</v>
      </c>
      <c r="H1036" s="220">
        <f>IFERROR(IF(AND(MIN(A1036&gt;25,Age+A1036&gt;=85),B1036=12),VLOOKUP(A1036,Output!$A$27:$AE$137,31,FALSE),0),0)</f>
        <v>0</v>
      </c>
      <c r="I1036" s="221">
        <f>IFERROR(IF(AND(MIN(A1036&gt;15,A1036+Age&gt;=70),C1036=1),VLOOKUP(A1036,Output!$A$27:$AF$137,32,FALSE)*VLOOKUP('SV calc_ignore'!A1036,Output!$A$27:$AG$137,33,FALSE)/IF(AnnuityMode=2,2,IF(AnnuityMode=4,4,IF(AnnuityMode=12,12,1))),0),0)</f>
        <v>0</v>
      </c>
      <c r="J1036" s="227">
        <f t="shared" si="196"/>
        <v>0</v>
      </c>
      <c r="K1036" s="213">
        <f t="shared" si="203"/>
        <v>0</v>
      </c>
      <c r="L1036" s="209">
        <f t="shared" si="197"/>
        <v>0</v>
      </c>
      <c r="M1036" s="214">
        <f t="shared" si="198"/>
        <v>0</v>
      </c>
      <c r="N1036" s="211">
        <f t="shared" si="199"/>
        <v>0</v>
      </c>
      <c r="O1036" s="194">
        <f t="shared" si="200"/>
        <v>0</v>
      </c>
      <c r="P1036" s="212">
        <f t="shared" si="201"/>
        <v>0</v>
      </c>
      <c r="Q1036">
        <f t="shared" si="193"/>
        <v>0</v>
      </c>
      <c r="X1036" s="216">
        <f t="shared" si="204"/>
        <v>85</v>
      </c>
      <c r="Y1036">
        <f t="shared" si="202"/>
        <v>0</v>
      </c>
    </row>
    <row r="1037" spans="1:25" ht="13.5" thickBot="1" x14ac:dyDescent="0.25">
      <c r="A1037" s="204">
        <f>IF(MOD(COUNT($A$10:A1036),12)=0,A1036+1,A1036)</f>
        <v>86</v>
      </c>
      <c r="B1037" s="218">
        <f t="shared" si="194"/>
        <v>8</v>
      </c>
      <c r="C1037" s="218">
        <f t="shared" si="195"/>
        <v>1</v>
      </c>
      <c r="D1037" s="208">
        <f>IF(MOD(COUNT($D$10:D1036),6)=0,D1036+1,D1036)</f>
        <v>172</v>
      </c>
      <c r="E1037" s="208">
        <f>IF(MOD(COUNT($E$10:E1036),3)=0,E1036+1,E1036)</f>
        <v>343</v>
      </c>
      <c r="F1037" s="208">
        <f>IF(MOD(COUNT($F$10:F1036),1)=0,F1036+1,F1036)</f>
        <v>1028</v>
      </c>
      <c r="G1037" s="204">
        <f>IFERROR(IF(C1037=1,VLOOKUP(A1037,Output!$A$27:$AB$137,28,FALSE)/AnnuityMode,0),0)</f>
        <v>0</v>
      </c>
      <c r="H1037" s="220">
        <f>IFERROR(IF(AND(MIN(A1037&gt;25,Age+A1037&gt;=85),B1037=12),VLOOKUP(A1037,Output!$A$27:$AE$137,31,FALSE),0),0)</f>
        <v>0</v>
      </c>
      <c r="I1037" s="221">
        <f>IFERROR(IF(AND(MIN(A1037&gt;15,A1037+Age&gt;=70),C1037=1),VLOOKUP(A1037,Output!$A$27:$AF$137,32,FALSE)*VLOOKUP('SV calc_ignore'!A1037,Output!$A$27:$AG$137,33,FALSE)/IF(AnnuityMode=2,2,IF(AnnuityMode=4,4,IF(AnnuityMode=12,12,1))),0),0)</f>
        <v>0</v>
      </c>
      <c r="J1037" s="227">
        <f t="shared" si="196"/>
        <v>0</v>
      </c>
      <c r="K1037" s="213">
        <f t="shared" si="203"/>
        <v>0</v>
      </c>
      <c r="L1037" s="209">
        <f t="shared" si="197"/>
        <v>0</v>
      </c>
      <c r="M1037" s="214">
        <f t="shared" si="198"/>
        <v>0</v>
      </c>
      <c r="N1037" s="211">
        <f t="shared" si="199"/>
        <v>0</v>
      </c>
      <c r="O1037" s="194">
        <f t="shared" si="200"/>
        <v>0</v>
      </c>
      <c r="P1037" s="212">
        <f t="shared" si="201"/>
        <v>0</v>
      </c>
      <c r="Q1037">
        <f t="shared" si="193"/>
        <v>0</v>
      </c>
      <c r="X1037" s="216">
        <f t="shared" si="204"/>
        <v>85</v>
      </c>
      <c r="Y1037">
        <f t="shared" si="202"/>
        <v>0</v>
      </c>
    </row>
    <row r="1038" spans="1:25" ht="13.5" thickBot="1" x14ac:dyDescent="0.25">
      <c r="A1038" s="204">
        <f>IF(MOD(COUNT($A$10:A1037),12)=0,A1037+1,A1037)</f>
        <v>86</v>
      </c>
      <c r="B1038" s="218">
        <f t="shared" si="194"/>
        <v>9</v>
      </c>
      <c r="C1038" s="218">
        <f t="shared" si="195"/>
        <v>1</v>
      </c>
      <c r="D1038" s="208">
        <f>IF(MOD(COUNT($D$10:D1037),6)=0,D1037+1,D1037)</f>
        <v>172</v>
      </c>
      <c r="E1038" s="208">
        <f>IF(MOD(COUNT($E$10:E1037),3)=0,E1037+1,E1037)</f>
        <v>343</v>
      </c>
      <c r="F1038" s="208">
        <f>IF(MOD(COUNT($F$10:F1037),1)=0,F1037+1,F1037)</f>
        <v>1029</v>
      </c>
      <c r="G1038" s="204">
        <f>IFERROR(IF(C1038=1,VLOOKUP(A1038,Output!$A$27:$AB$137,28,FALSE)/AnnuityMode,0),0)</f>
        <v>0</v>
      </c>
      <c r="H1038" s="220">
        <f>IFERROR(IF(AND(MIN(A1038&gt;25,Age+A1038&gt;=85),B1038=12),VLOOKUP(A1038,Output!$A$27:$AE$137,31,FALSE),0),0)</f>
        <v>0</v>
      </c>
      <c r="I1038" s="221">
        <f>IFERROR(IF(AND(MIN(A1038&gt;15,A1038+Age&gt;=70),C1038=1),VLOOKUP(A1038,Output!$A$27:$AF$137,32,FALSE)*VLOOKUP('SV calc_ignore'!A1038,Output!$A$27:$AG$137,33,FALSE)/IF(AnnuityMode=2,2,IF(AnnuityMode=4,4,IF(AnnuityMode=12,12,1))),0),0)</f>
        <v>0</v>
      </c>
      <c r="J1038" s="227">
        <f t="shared" si="196"/>
        <v>0</v>
      </c>
      <c r="K1038" s="213">
        <f t="shared" si="203"/>
        <v>0</v>
      </c>
      <c r="L1038" s="209">
        <f t="shared" si="197"/>
        <v>0</v>
      </c>
      <c r="M1038" s="214">
        <f t="shared" si="198"/>
        <v>0</v>
      </c>
      <c r="N1038" s="211">
        <f t="shared" si="199"/>
        <v>0</v>
      </c>
      <c r="O1038" s="194">
        <f t="shared" si="200"/>
        <v>0</v>
      </c>
      <c r="P1038" s="212">
        <f t="shared" si="201"/>
        <v>0</v>
      </c>
      <c r="Q1038">
        <f t="shared" si="193"/>
        <v>0</v>
      </c>
      <c r="X1038" s="216">
        <f t="shared" si="204"/>
        <v>85</v>
      </c>
      <c r="Y1038">
        <f t="shared" si="202"/>
        <v>0</v>
      </c>
    </row>
    <row r="1039" spans="1:25" ht="13.5" thickBot="1" x14ac:dyDescent="0.25">
      <c r="A1039" s="204">
        <f>IF(MOD(COUNT($A$10:A1038),12)=0,A1038+1,A1038)</f>
        <v>86</v>
      </c>
      <c r="B1039" s="218">
        <f t="shared" si="194"/>
        <v>10</v>
      </c>
      <c r="C1039" s="218">
        <f t="shared" si="195"/>
        <v>1</v>
      </c>
      <c r="D1039" s="208">
        <f>IF(MOD(COUNT($D$10:D1038),6)=0,D1038+1,D1038)</f>
        <v>172</v>
      </c>
      <c r="E1039" s="208">
        <f>IF(MOD(COUNT($E$10:E1038),3)=0,E1038+1,E1038)</f>
        <v>344</v>
      </c>
      <c r="F1039" s="208">
        <f>IF(MOD(COUNT($F$10:F1038),1)=0,F1038+1,F1038)</f>
        <v>1030</v>
      </c>
      <c r="G1039" s="204">
        <f>IFERROR(IF(C1039=1,VLOOKUP(A1039,Output!$A$27:$AB$137,28,FALSE)/AnnuityMode,0),0)</f>
        <v>0</v>
      </c>
      <c r="H1039" s="220">
        <f>IFERROR(IF(AND(MIN(A1039&gt;25,Age+A1039&gt;=85),B1039=12),VLOOKUP(A1039,Output!$A$27:$AE$137,31,FALSE),0),0)</f>
        <v>0</v>
      </c>
      <c r="I1039" s="221">
        <f>IFERROR(IF(AND(MIN(A1039&gt;15,A1039+Age&gt;=70),C1039=1),VLOOKUP(A1039,Output!$A$27:$AF$137,32,FALSE)*VLOOKUP('SV calc_ignore'!A1039,Output!$A$27:$AG$137,33,FALSE)/IF(AnnuityMode=2,2,IF(AnnuityMode=4,4,IF(AnnuityMode=12,12,1))),0),0)</f>
        <v>0</v>
      </c>
      <c r="J1039" s="227">
        <f t="shared" si="196"/>
        <v>0</v>
      </c>
      <c r="K1039" s="213">
        <f t="shared" si="203"/>
        <v>0</v>
      </c>
      <c r="L1039" s="209">
        <f t="shared" si="197"/>
        <v>0</v>
      </c>
      <c r="M1039" s="214">
        <f t="shared" si="198"/>
        <v>0</v>
      </c>
      <c r="N1039" s="211">
        <f t="shared" si="199"/>
        <v>0</v>
      </c>
      <c r="O1039" s="194">
        <f t="shared" si="200"/>
        <v>0</v>
      </c>
      <c r="P1039" s="212">
        <f t="shared" si="201"/>
        <v>0</v>
      </c>
      <c r="Q1039">
        <f t="shared" si="193"/>
        <v>0</v>
      </c>
      <c r="X1039" s="216">
        <f t="shared" si="204"/>
        <v>85</v>
      </c>
      <c r="Y1039">
        <f t="shared" si="202"/>
        <v>0</v>
      </c>
    </row>
    <row r="1040" spans="1:25" ht="13.5" thickBot="1" x14ac:dyDescent="0.25">
      <c r="A1040" s="204">
        <f>IF(MOD(COUNT($A$10:A1039),12)=0,A1039+1,A1039)</f>
        <v>86</v>
      </c>
      <c r="B1040" s="218">
        <f t="shared" si="194"/>
        <v>11</v>
      </c>
      <c r="C1040" s="218">
        <f t="shared" si="195"/>
        <v>1</v>
      </c>
      <c r="D1040" s="208">
        <f>IF(MOD(COUNT($D$10:D1039),6)=0,D1039+1,D1039)</f>
        <v>172</v>
      </c>
      <c r="E1040" s="208">
        <f>IF(MOD(COUNT($E$10:E1039),3)=0,E1039+1,E1039)</f>
        <v>344</v>
      </c>
      <c r="F1040" s="208">
        <f>IF(MOD(COUNT($F$10:F1039),1)=0,F1039+1,F1039)</f>
        <v>1031</v>
      </c>
      <c r="G1040" s="204">
        <f>IFERROR(IF(C1040=1,VLOOKUP(A1040,Output!$A$27:$AB$137,28,FALSE)/AnnuityMode,0),0)</f>
        <v>0</v>
      </c>
      <c r="H1040" s="220">
        <f>IFERROR(IF(AND(MIN(A1040&gt;25,Age+A1040&gt;=85),B1040=12),VLOOKUP(A1040,Output!$A$27:$AE$137,31,FALSE),0),0)</f>
        <v>0</v>
      </c>
      <c r="I1040" s="221">
        <f>IFERROR(IF(AND(MIN(A1040&gt;15,A1040+Age&gt;=70),C1040=1),VLOOKUP(A1040,Output!$A$27:$AF$137,32,FALSE)*VLOOKUP('SV calc_ignore'!A1040,Output!$A$27:$AG$137,33,FALSE)/IF(AnnuityMode=2,2,IF(AnnuityMode=4,4,IF(AnnuityMode=12,12,1))),0),0)</f>
        <v>0</v>
      </c>
      <c r="J1040" s="227">
        <f t="shared" si="196"/>
        <v>0</v>
      </c>
      <c r="K1040" s="213">
        <f t="shared" si="203"/>
        <v>0</v>
      </c>
      <c r="L1040" s="209">
        <f t="shared" si="197"/>
        <v>0</v>
      </c>
      <c r="M1040" s="214">
        <f t="shared" si="198"/>
        <v>0</v>
      </c>
      <c r="N1040" s="211">
        <f t="shared" si="199"/>
        <v>0</v>
      </c>
      <c r="O1040" s="194">
        <f t="shared" si="200"/>
        <v>0</v>
      </c>
      <c r="P1040" s="212">
        <f t="shared" si="201"/>
        <v>0</v>
      </c>
      <c r="Q1040">
        <f t="shared" si="193"/>
        <v>0</v>
      </c>
      <c r="X1040" s="216">
        <f t="shared" si="204"/>
        <v>85</v>
      </c>
      <c r="Y1040">
        <f t="shared" si="202"/>
        <v>0</v>
      </c>
    </row>
    <row r="1041" spans="1:25" ht="13.5" thickBot="1" x14ac:dyDescent="0.25">
      <c r="A1041" s="204">
        <f>IF(MOD(COUNT($A$10:A1040),12)=0,A1040+1,A1040)</f>
        <v>86</v>
      </c>
      <c r="B1041" s="218">
        <f t="shared" si="194"/>
        <v>12</v>
      </c>
      <c r="C1041" s="218">
        <f t="shared" si="195"/>
        <v>1</v>
      </c>
      <c r="D1041" s="208">
        <f>IF(MOD(COUNT($D$10:D1040),6)=0,D1040+1,D1040)</f>
        <v>172</v>
      </c>
      <c r="E1041" s="208">
        <f>IF(MOD(COUNT($E$10:E1040),3)=0,E1040+1,E1040)</f>
        <v>344</v>
      </c>
      <c r="F1041" s="208">
        <f>IF(MOD(COUNT($F$10:F1040),1)=0,F1040+1,F1040)</f>
        <v>1032</v>
      </c>
      <c r="G1041" s="204">
        <f>IFERROR(IF(C1041=1,VLOOKUP(A1041,Output!$A$27:$AB$137,28,FALSE)/AnnuityMode,0),0)</f>
        <v>0</v>
      </c>
      <c r="H1041" s="220">
        <f>IFERROR(IF(AND(MIN(A1041&gt;25,Age+A1041&gt;=85),B1041=12),VLOOKUP(A1041,Output!$A$27:$AE$137,31,FALSE),0),0)</f>
        <v>0</v>
      </c>
      <c r="I1041" s="221">
        <f>IFERROR(IF(AND(MIN(A1041&gt;15,A1041+Age&gt;=70),C1041=1),VLOOKUP(A1041,Output!$A$27:$AF$137,32,FALSE)*VLOOKUP('SV calc_ignore'!A1041,Output!$A$27:$AG$137,33,FALSE)/IF(AnnuityMode=2,2,IF(AnnuityMode=4,4,IF(AnnuityMode=12,12,1))),0),0)</f>
        <v>0</v>
      </c>
      <c r="J1041" s="227">
        <f t="shared" si="196"/>
        <v>0</v>
      </c>
      <c r="K1041" s="213">
        <f t="shared" si="203"/>
        <v>0</v>
      </c>
      <c r="L1041" s="209">
        <f t="shared" si="197"/>
        <v>0</v>
      </c>
      <c r="M1041" s="214">
        <f t="shared" si="198"/>
        <v>0</v>
      </c>
      <c r="N1041" s="211">
        <f t="shared" si="199"/>
        <v>0</v>
      </c>
      <c r="O1041" s="194">
        <f t="shared" si="200"/>
        <v>0</v>
      </c>
      <c r="P1041" s="212">
        <f t="shared" si="201"/>
        <v>0</v>
      </c>
      <c r="Q1041">
        <f t="shared" si="193"/>
        <v>0</v>
      </c>
      <c r="X1041" s="216">
        <f t="shared" si="204"/>
        <v>85</v>
      </c>
      <c r="Y1041">
        <f t="shared" si="202"/>
        <v>0</v>
      </c>
    </row>
    <row r="1042" spans="1:25" ht="13.5" thickBot="1" x14ac:dyDescent="0.25">
      <c r="A1042" s="204">
        <f>IF(MOD(COUNT($A$10:A1041),12)=0,A1041+1,A1041)</f>
        <v>87</v>
      </c>
      <c r="B1042" s="218">
        <f t="shared" si="194"/>
        <v>1</v>
      </c>
      <c r="C1042" s="218">
        <f t="shared" si="195"/>
        <v>1</v>
      </c>
      <c r="D1042" s="208">
        <f>IF(MOD(COUNT($D$10:D1041),6)=0,D1041+1,D1041)</f>
        <v>173</v>
      </c>
      <c r="E1042" s="208">
        <f>IF(MOD(COUNT($E$10:E1041),3)=0,E1041+1,E1041)</f>
        <v>345</v>
      </c>
      <c r="F1042" s="208">
        <f>IF(MOD(COUNT($F$10:F1041),1)=0,F1041+1,F1041)</f>
        <v>1033</v>
      </c>
      <c r="G1042" s="204">
        <f>IFERROR(IF(C1042=1,VLOOKUP(A1042,Output!$A$27:$AB$137,28,FALSE)/AnnuityMode,0),0)</f>
        <v>0</v>
      </c>
      <c r="H1042" s="220">
        <f>IFERROR(IF(AND(MIN(A1042&gt;25,Age+A1042&gt;=85),B1042=12),VLOOKUP(A1042,Output!$A$27:$AE$137,31,FALSE),0),0)</f>
        <v>0</v>
      </c>
      <c r="I1042" s="221">
        <f>IFERROR(IF(AND(MIN(A1042&gt;15,A1042+Age&gt;=70),C1042=1),VLOOKUP(A1042,Output!$A$27:$AF$137,32,FALSE)*VLOOKUP('SV calc_ignore'!A1042,Output!$A$27:$AG$137,33,FALSE)/IF(AnnuityMode=2,2,IF(AnnuityMode=4,4,IF(AnnuityMode=12,12,1))),0),0)</f>
        <v>0</v>
      </c>
      <c r="J1042" s="227">
        <f t="shared" si="196"/>
        <v>0</v>
      </c>
      <c r="K1042" s="213">
        <f t="shared" si="203"/>
        <v>0</v>
      </c>
      <c r="L1042" s="209">
        <f t="shared" si="197"/>
        <v>0</v>
      </c>
      <c r="M1042" s="214">
        <f t="shared" si="198"/>
        <v>0</v>
      </c>
      <c r="N1042" s="211">
        <f t="shared" si="199"/>
        <v>0</v>
      </c>
      <c r="O1042" s="194">
        <f t="shared" si="200"/>
        <v>0</v>
      </c>
      <c r="P1042" s="212">
        <f t="shared" si="201"/>
        <v>0</v>
      </c>
      <c r="Q1042">
        <f t="shared" si="193"/>
        <v>0</v>
      </c>
      <c r="X1042" s="216">
        <f t="shared" si="204"/>
        <v>86</v>
      </c>
      <c r="Y1042">
        <f t="shared" si="202"/>
        <v>0</v>
      </c>
    </row>
    <row r="1043" spans="1:25" ht="13.5" thickBot="1" x14ac:dyDescent="0.25">
      <c r="A1043" s="204">
        <f>IF(MOD(COUNT($A$10:A1042),12)=0,A1042+1,A1042)</f>
        <v>87</v>
      </c>
      <c r="B1043" s="218">
        <f t="shared" si="194"/>
        <v>2</v>
      </c>
      <c r="C1043" s="218">
        <f t="shared" si="195"/>
        <v>1</v>
      </c>
      <c r="D1043" s="208">
        <f>IF(MOD(COUNT($D$10:D1042),6)=0,D1042+1,D1042)</f>
        <v>173</v>
      </c>
      <c r="E1043" s="208">
        <f>IF(MOD(COUNT($E$10:E1042),3)=0,E1042+1,E1042)</f>
        <v>345</v>
      </c>
      <c r="F1043" s="208">
        <f>IF(MOD(COUNT($F$10:F1042),1)=0,F1042+1,F1042)</f>
        <v>1034</v>
      </c>
      <c r="G1043" s="204">
        <f>IFERROR(IF(C1043=1,VLOOKUP(A1043,Output!$A$27:$AB$137,28,FALSE)/AnnuityMode,0),0)</f>
        <v>0</v>
      </c>
      <c r="H1043" s="220">
        <f>IFERROR(IF(AND(MIN(A1043&gt;25,Age+A1043&gt;=85),B1043=12),VLOOKUP(A1043,Output!$A$27:$AE$137,31,FALSE),0),0)</f>
        <v>0</v>
      </c>
      <c r="I1043" s="221">
        <f>IFERROR(IF(AND(MIN(A1043&gt;15,A1043+Age&gt;=70),C1043=1),VLOOKUP(A1043,Output!$A$27:$AF$137,32,FALSE)*VLOOKUP('SV calc_ignore'!A1043,Output!$A$27:$AG$137,33,FALSE)/IF(AnnuityMode=2,2,IF(AnnuityMode=4,4,IF(AnnuityMode=12,12,1))),0),0)</f>
        <v>0</v>
      </c>
      <c r="J1043" s="227">
        <f t="shared" si="196"/>
        <v>0</v>
      </c>
      <c r="K1043" s="213">
        <f t="shared" si="203"/>
        <v>0</v>
      </c>
      <c r="L1043" s="209">
        <f t="shared" si="197"/>
        <v>0</v>
      </c>
      <c r="M1043" s="214">
        <f t="shared" si="198"/>
        <v>0</v>
      </c>
      <c r="N1043" s="211">
        <f t="shared" si="199"/>
        <v>0</v>
      </c>
      <c r="O1043" s="194">
        <f t="shared" si="200"/>
        <v>0</v>
      </c>
      <c r="P1043" s="212">
        <f t="shared" si="201"/>
        <v>0</v>
      </c>
      <c r="Q1043">
        <f t="shared" si="193"/>
        <v>0</v>
      </c>
      <c r="X1043" s="216">
        <f t="shared" si="204"/>
        <v>86</v>
      </c>
      <c r="Y1043">
        <f t="shared" si="202"/>
        <v>0</v>
      </c>
    </row>
    <row r="1044" spans="1:25" ht="13.5" thickBot="1" x14ac:dyDescent="0.25">
      <c r="A1044" s="204">
        <f>IF(MOD(COUNT($A$10:A1043),12)=0,A1043+1,A1043)</f>
        <v>87</v>
      </c>
      <c r="B1044" s="218">
        <f t="shared" si="194"/>
        <v>3</v>
      </c>
      <c r="C1044" s="218">
        <f t="shared" si="195"/>
        <v>1</v>
      </c>
      <c r="D1044" s="208">
        <f>IF(MOD(COUNT($D$10:D1043),6)=0,D1043+1,D1043)</f>
        <v>173</v>
      </c>
      <c r="E1044" s="208">
        <f>IF(MOD(COUNT($E$10:E1043),3)=0,E1043+1,E1043)</f>
        <v>345</v>
      </c>
      <c r="F1044" s="208">
        <f>IF(MOD(COUNT($F$10:F1043),1)=0,F1043+1,F1043)</f>
        <v>1035</v>
      </c>
      <c r="G1044" s="204">
        <f>IFERROR(IF(C1044=1,VLOOKUP(A1044,Output!$A$27:$AB$137,28,FALSE)/AnnuityMode,0),0)</f>
        <v>0</v>
      </c>
      <c r="H1044" s="220">
        <f>IFERROR(IF(AND(MIN(A1044&gt;25,Age+A1044&gt;=85),B1044=12),VLOOKUP(A1044,Output!$A$27:$AE$137,31,FALSE),0),0)</f>
        <v>0</v>
      </c>
      <c r="I1044" s="221">
        <f>IFERROR(IF(AND(MIN(A1044&gt;15,A1044+Age&gt;=70),C1044=1),VLOOKUP(A1044,Output!$A$27:$AF$137,32,FALSE)*VLOOKUP('SV calc_ignore'!A1044,Output!$A$27:$AG$137,33,FALSE)/IF(AnnuityMode=2,2,IF(AnnuityMode=4,4,IF(AnnuityMode=12,12,1))),0),0)</f>
        <v>0</v>
      </c>
      <c r="J1044" s="227">
        <f t="shared" si="196"/>
        <v>0</v>
      </c>
      <c r="K1044" s="213">
        <f t="shared" si="203"/>
        <v>0</v>
      </c>
      <c r="L1044" s="209">
        <f t="shared" si="197"/>
        <v>0</v>
      </c>
      <c r="M1044" s="214">
        <f t="shared" si="198"/>
        <v>0</v>
      </c>
      <c r="N1044" s="211">
        <f t="shared" si="199"/>
        <v>0</v>
      </c>
      <c r="O1044" s="194">
        <f t="shared" si="200"/>
        <v>0</v>
      </c>
      <c r="P1044" s="212">
        <f t="shared" si="201"/>
        <v>0</v>
      </c>
      <c r="Q1044">
        <f t="shared" si="193"/>
        <v>0</v>
      </c>
      <c r="X1044" s="216">
        <f t="shared" si="204"/>
        <v>86</v>
      </c>
      <c r="Y1044">
        <f t="shared" si="202"/>
        <v>0</v>
      </c>
    </row>
    <row r="1045" spans="1:25" ht="13.5" thickBot="1" x14ac:dyDescent="0.25">
      <c r="A1045" s="204">
        <f>IF(MOD(COUNT($A$10:A1044),12)=0,A1044+1,A1044)</f>
        <v>87</v>
      </c>
      <c r="B1045" s="218">
        <f t="shared" si="194"/>
        <v>4</v>
      </c>
      <c r="C1045" s="218">
        <f t="shared" si="195"/>
        <v>1</v>
      </c>
      <c r="D1045" s="208">
        <f>IF(MOD(COUNT($D$10:D1044),6)=0,D1044+1,D1044)</f>
        <v>173</v>
      </c>
      <c r="E1045" s="208">
        <f>IF(MOD(COUNT($E$10:E1044),3)=0,E1044+1,E1044)</f>
        <v>346</v>
      </c>
      <c r="F1045" s="208">
        <f>IF(MOD(COUNT($F$10:F1044),1)=0,F1044+1,F1044)</f>
        <v>1036</v>
      </c>
      <c r="G1045" s="204">
        <f>IFERROR(IF(C1045=1,VLOOKUP(A1045,Output!$A$27:$AB$137,28,FALSE)/AnnuityMode,0),0)</f>
        <v>0</v>
      </c>
      <c r="H1045" s="220">
        <f>IFERROR(IF(AND(MIN(A1045&gt;25,Age+A1045&gt;=85),B1045=12),VLOOKUP(A1045,Output!$A$27:$AE$137,31,FALSE),0),0)</f>
        <v>0</v>
      </c>
      <c r="I1045" s="221">
        <f>IFERROR(IF(AND(MIN(A1045&gt;15,A1045+Age&gt;=70),C1045=1),VLOOKUP(A1045,Output!$A$27:$AF$137,32,FALSE)*VLOOKUP('SV calc_ignore'!A1045,Output!$A$27:$AG$137,33,FALSE)/IF(AnnuityMode=2,2,IF(AnnuityMode=4,4,IF(AnnuityMode=12,12,1))),0),0)</f>
        <v>0</v>
      </c>
      <c r="J1045" s="227">
        <f t="shared" si="196"/>
        <v>0</v>
      </c>
      <c r="K1045" s="213">
        <f t="shared" si="203"/>
        <v>0</v>
      </c>
      <c r="L1045" s="209">
        <f t="shared" si="197"/>
        <v>0</v>
      </c>
      <c r="M1045" s="214">
        <f t="shared" si="198"/>
        <v>0</v>
      </c>
      <c r="N1045" s="211">
        <f t="shared" si="199"/>
        <v>0</v>
      </c>
      <c r="O1045" s="194">
        <f t="shared" si="200"/>
        <v>0</v>
      </c>
      <c r="P1045" s="212">
        <f t="shared" si="201"/>
        <v>0</v>
      </c>
      <c r="Q1045">
        <f t="shared" si="193"/>
        <v>0</v>
      </c>
      <c r="X1045" s="216">
        <f t="shared" si="204"/>
        <v>86</v>
      </c>
      <c r="Y1045">
        <f t="shared" si="202"/>
        <v>0</v>
      </c>
    </row>
    <row r="1046" spans="1:25" ht="13.5" thickBot="1" x14ac:dyDescent="0.25">
      <c r="A1046" s="204">
        <f>IF(MOD(COUNT($A$10:A1045),12)=0,A1045+1,A1045)</f>
        <v>87</v>
      </c>
      <c r="B1046" s="218">
        <f t="shared" si="194"/>
        <v>5</v>
      </c>
      <c r="C1046" s="218">
        <f t="shared" si="195"/>
        <v>1</v>
      </c>
      <c r="D1046" s="208">
        <f>IF(MOD(COUNT($D$10:D1045),6)=0,D1045+1,D1045)</f>
        <v>173</v>
      </c>
      <c r="E1046" s="208">
        <f>IF(MOD(COUNT($E$10:E1045),3)=0,E1045+1,E1045)</f>
        <v>346</v>
      </c>
      <c r="F1046" s="208">
        <f>IF(MOD(COUNT($F$10:F1045),1)=0,F1045+1,F1045)</f>
        <v>1037</v>
      </c>
      <c r="G1046" s="204">
        <f>IFERROR(IF(C1046=1,VLOOKUP(A1046,Output!$A$27:$AB$137,28,FALSE)/AnnuityMode,0),0)</f>
        <v>0</v>
      </c>
      <c r="H1046" s="220">
        <f>IFERROR(IF(AND(MIN(A1046&gt;25,Age+A1046&gt;=85),B1046=12),VLOOKUP(A1046,Output!$A$27:$AE$137,31,FALSE),0),0)</f>
        <v>0</v>
      </c>
      <c r="I1046" s="221">
        <f>IFERROR(IF(AND(MIN(A1046&gt;15,A1046+Age&gt;=70),C1046=1),VLOOKUP(A1046,Output!$A$27:$AF$137,32,FALSE)*VLOOKUP('SV calc_ignore'!A1046,Output!$A$27:$AG$137,33,FALSE)/IF(AnnuityMode=2,2,IF(AnnuityMode=4,4,IF(AnnuityMode=12,12,1))),0),0)</f>
        <v>0</v>
      </c>
      <c r="J1046" s="227">
        <f t="shared" si="196"/>
        <v>0</v>
      </c>
      <c r="K1046" s="213">
        <f t="shared" si="203"/>
        <v>0</v>
      </c>
      <c r="L1046" s="209">
        <f t="shared" si="197"/>
        <v>0</v>
      </c>
      <c r="M1046" s="214">
        <f t="shared" si="198"/>
        <v>0</v>
      </c>
      <c r="N1046" s="211">
        <f t="shared" si="199"/>
        <v>0</v>
      </c>
      <c r="O1046" s="194">
        <f t="shared" si="200"/>
        <v>0</v>
      </c>
      <c r="P1046" s="212">
        <f t="shared" si="201"/>
        <v>0</v>
      </c>
      <c r="Q1046">
        <f t="shared" si="193"/>
        <v>0</v>
      </c>
      <c r="X1046" s="216">
        <f t="shared" si="204"/>
        <v>86</v>
      </c>
      <c r="Y1046">
        <f t="shared" si="202"/>
        <v>0</v>
      </c>
    </row>
    <row r="1047" spans="1:25" ht="13.5" thickBot="1" x14ac:dyDescent="0.25">
      <c r="A1047" s="204">
        <f>IF(MOD(COUNT($A$10:A1046),12)=0,A1046+1,A1046)</f>
        <v>87</v>
      </c>
      <c r="B1047" s="218">
        <f t="shared" si="194"/>
        <v>6</v>
      </c>
      <c r="C1047" s="218">
        <f t="shared" si="195"/>
        <v>1</v>
      </c>
      <c r="D1047" s="208">
        <f>IF(MOD(COUNT($D$10:D1046),6)=0,D1046+1,D1046)</f>
        <v>173</v>
      </c>
      <c r="E1047" s="208">
        <f>IF(MOD(COUNT($E$10:E1046),3)=0,E1046+1,E1046)</f>
        <v>346</v>
      </c>
      <c r="F1047" s="208">
        <f>IF(MOD(COUNT($F$10:F1046),1)=0,F1046+1,F1046)</f>
        <v>1038</v>
      </c>
      <c r="G1047" s="204">
        <f>IFERROR(IF(C1047=1,VLOOKUP(A1047,Output!$A$27:$AB$137,28,FALSE)/AnnuityMode,0),0)</f>
        <v>0</v>
      </c>
      <c r="H1047" s="220">
        <f>IFERROR(IF(AND(MIN(A1047&gt;25,Age+A1047&gt;=85),B1047=12),VLOOKUP(A1047,Output!$A$27:$AE$137,31,FALSE),0),0)</f>
        <v>0</v>
      </c>
      <c r="I1047" s="221">
        <f>IFERROR(IF(AND(MIN(A1047&gt;15,A1047+Age&gt;=70),C1047=1),VLOOKUP(A1047,Output!$A$27:$AF$137,32,FALSE)*VLOOKUP('SV calc_ignore'!A1047,Output!$A$27:$AG$137,33,FALSE)/IF(AnnuityMode=2,2,IF(AnnuityMode=4,4,IF(AnnuityMode=12,12,1))),0),0)</f>
        <v>0</v>
      </c>
      <c r="J1047" s="227">
        <f t="shared" si="196"/>
        <v>0</v>
      </c>
      <c r="K1047" s="213">
        <f t="shared" si="203"/>
        <v>0</v>
      </c>
      <c r="L1047" s="209">
        <f t="shared" si="197"/>
        <v>0</v>
      </c>
      <c r="M1047" s="214">
        <f t="shared" si="198"/>
        <v>0</v>
      </c>
      <c r="N1047" s="211">
        <f t="shared" si="199"/>
        <v>0</v>
      </c>
      <c r="O1047" s="194">
        <f t="shared" si="200"/>
        <v>0</v>
      </c>
      <c r="P1047" s="212">
        <f t="shared" si="201"/>
        <v>0</v>
      </c>
      <c r="Q1047">
        <f t="shared" si="193"/>
        <v>0</v>
      </c>
      <c r="X1047" s="216">
        <f t="shared" si="204"/>
        <v>86</v>
      </c>
      <c r="Y1047">
        <f t="shared" si="202"/>
        <v>0</v>
      </c>
    </row>
    <row r="1048" spans="1:25" ht="13.5" thickBot="1" x14ac:dyDescent="0.25">
      <c r="A1048" s="204">
        <f>IF(MOD(COUNT($A$10:A1047),12)=0,A1047+1,A1047)</f>
        <v>87</v>
      </c>
      <c r="B1048" s="218">
        <f t="shared" si="194"/>
        <v>7</v>
      </c>
      <c r="C1048" s="218">
        <f t="shared" si="195"/>
        <v>1</v>
      </c>
      <c r="D1048" s="208">
        <f>IF(MOD(COUNT($D$10:D1047),6)=0,D1047+1,D1047)</f>
        <v>174</v>
      </c>
      <c r="E1048" s="208">
        <f>IF(MOD(COUNT($E$10:E1047),3)=0,E1047+1,E1047)</f>
        <v>347</v>
      </c>
      <c r="F1048" s="208">
        <f>IF(MOD(COUNT($F$10:F1047),1)=0,F1047+1,F1047)</f>
        <v>1039</v>
      </c>
      <c r="G1048" s="204">
        <f>IFERROR(IF(C1048=1,VLOOKUP(A1048,Output!$A$27:$AB$137,28,FALSE)/AnnuityMode,0),0)</f>
        <v>0</v>
      </c>
      <c r="H1048" s="220">
        <f>IFERROR(IF(AND(MIN(A1048&gt;25,Age+A1048&gt;=85),B1048=12),VLOOKUP(A1048,Output!$A$27:$AE$137,31,FALSE),0),0)</f>
        <v>0</v>
      </c>
      <c r="I1048" s="221">
        <f>IFERROR(IF(AND(MIN(A1048&gt;15,A1048+Age&gt;=70),C1048=1),VLOOKUP(A1048,Output!$A$27:$AF$137,32,FALSE)*VLOOKUP('SV calc_ignore'!A1048,Output!$A$27:$AG$137,33,FALSE)/IF(AnnuityMode=2,2,IF(AnnuityMode=4,4,IF(AnnuityMode=12,12,1))),0),0)</f>
        <v>0</v>
      </c>
      <c r="J1048" s="227">
        <f t="shared" si="196"/>
        <v>0</v>
      </c>
      <c r="K1048" s="213">
        <f t="shared" si="203"/>
        <v>0</v>
      </c>
      <c r="L1048" s="209">
        <f t="shared" si="197"/>
        <v>0</v>
      </c>
      <c r="M1048" s="214">
        <f t="shared" si="198"/>
        <v>0</v>
      </c>
      <c r="N1048" s="211">
        <f t="shared" si="199"/>
        <v>0</v>
      </c>
      <c r="O1048" s="194">
        <f t="shared" si="200"/>
        <v>0</v>
      </c>
      <c r="P1048" s="212">
        <f t="shared" si="201"/>
        <v>0</v>
      </c>
      <c r="Q1048">
        <f t="shared" si="193"/>
        <v>0</v>
      </c>
      <c r="X1048" s="216">
        <f t="shared" si="204"/>
        <v>86</v>
      </c>
      <c r="Y1048">
        <f t="shared" si="202"/>
        <v>0</v>
      </c>
    </row>
    <row r="1049" spans="1:25" ht="13.5" thickBot="1" x14ac:dyDescent="0.25">
      <c r="A1049" s="204">
        <f>IF(MOD(COUNT($A$10:A1048),12)=0,A1048+1,A1048)</f>
        <v>87</v>
      </c>
      <c r="B1049" s="218">
        <f t="shared" si="194"/>
        <v>8</v>
      </c>
      <c r="C1049" s="218">
        <f t="shared" si="195"/>
        <v>1</v>
      </c>
      <c r="D1049" s="208">
        <f>IF(MOD(COUNT($D$10:D1048),6)=0,D1048+1,D1048)</f>
        <v>174</v>
      </c>
      <c r="E1049" s="208">
        <f>IF(MOD(COUNT($E$10:E1048),3)=0,E1048+1,E1048)</f>
        <v>347</v>
      </c>
      <c r="F1049" s="208">
        <f>IF(MOD(COUNT($F$10:F1048),1)=0,F1048+1,F1048)</f>
        <v>1040</v>
      </c>
      <c r="G1049" s="204">
        <f>IFERROR(IF(C1049=1,VLOOKUP(A1049,Output!$A$27:$AB$137,28,FALSE)/AnnuityMode,0),0)</f>
        <v>0</v>
      </c>
      <c r="H1049" s="220">
        <f>IFERROR(IF(AND(MIN(A1049&gt;25,Age+A1049&gt;=85),B1049=12),VLOOKUP(A1049,Output!$A$27:$AE$137,31,FALSE),0),0)</f>
        <v>0</v>
      </c>
      <c r="I1049" s="221">
        <f>IFERROR(IF(AND(MIN(A1049&gt;15,A1049+Age&gt;=70),C1049=1),VLOOKUP(A1049,Output!$A$27:$AF$137,32,FALSE)*VLOOKUP('SV calc_ignore'!A1049,Output!$A$27:$AG$137,33,FALSE)/IF(AnnuityMode=2,2,IF(AnnuityMode=4,4,IF(AnnuityMode=12,12,1))),0),0)</f>
        <v>0</v>
      </c>
      <c r="J1049" s="227">
        <f t="shared" si="196"/>
        <v>0</v>
      </c>
      <c r="K1049" s="213">
        <f t="shared" si="203"/>
        <v>0</v>
      </c>
      <c r="L1049" s="209">
        <f t="shared" si="197"/>
        <v>0</v>
      </c>
      <c r="M1049" s="214">
        <f t="shared" si="198"/>
        <v>0</v>
      </c>
      <c r="N1049" s="211">
        <f t="shared" si="199"/>
        <v>0</v>
      </c>
      <c r="O1049" s="194">
        <f t="shared" si="200"/>
        <v>0</v>
      </c>
      <c r="P1049" s="212">
        <f t="shared" si="201"/>
        <v>0</v>
      </c>
      <c r="Q1049">
        <f t="shared" si="193"/>
        <v>0</v>
      </c>
      <c r="X1049" s="216">
        <f t="shared" si="204"/>
        <v>86</v>
      </c>
      <c r="Y1049">
        <f t="shared" si="202"/>
        <v>0</v>
      </c>
    </row>
    <row r="1050" spans="1:25" ht="13.5" thickBot="1" x14ac:dyDescent="0.25">
      <c r="A1050" s="204">
        <f>IF(MOD(COUNT($A$10:A1049),12)=0,A1049+1,A1049)</f>
        <v>87</v>
      </c>
      <c r="B1050" s="218">
        <f t="shared" si="194"/>
        <v>9</v>
      </c>
      <c r="C1050" s="218">
        <f t="shared" si="195"/>
        <v>1</v>
      </c>
      <c r="D1050" s="208">
        <f>IF(MOD(COUNT($D$10:D1049),6)=0,D1049+1,D1049)</f>
        <v>174</v>
      </c>
      <c r="E1050" s="208">
        <f>IF(MOD(COUNT($E$10:E1049),3)=0,E1049+1,E1049)</f>
        <v>347</v>
      </c>
      <c r="F1050" s="208">
        <f>IF(MOD(COUNT($F$10:F1049),1)=0,F1049+1,F1049)</f>
        <v>1041</v>
      </c>
      <c r="G1050" s="204">
        <f>IFERROR(IF(C1050=1,VLOOKUP(A1050,Output!$A$27:$AB$137,28,FALSE)/AnnuityMode,0),0)</f>
        <v>0</v>
      </c>
      <c r="H1050" s="220">
        <f>IFERROR(IF(AND(MIN(A1050&gt;25,Age+A1050&gt;=85),B1050=12),VLOOKUP(A1050,Output!$A$27:$AE$137,31,FALSE),0),0)</f>
        <v>0</v>
      </c>
      <c r="I1050" s="221">
        <f>IFERROR(IF(AND(MIN(A1050&gt;15,A1050+Age&gt;=70),C1050=1),VLOOKUP(A1050,Output!$A$27:$AF$137,32,FALSE)*VLOOKUP('SV calc_ignore'!A1050,Output!$A$27:$AG$137,33,FALSE)/IF(AnnuityMode=2,2,IF(AnnuityMode=4,4,IF(AnnuityMode=12,12,1))),0),0)</f>
        <v>0</v>
      </c>
      <c r="J1050" s="227">
        <f t="shared" si="196"/>
        <v>0</v>
      </c>
      <c r="K1050" s="213">
        <f t="shared" si="203"/>
        <v>0</v>
      </c>
      <c r="L1050" s="209">
        <f t="shared" si="197"/>
        <v>0</v>
      </c>
      <c r="M1050" s="214">
        <f t="shared" si="198"/>
        <v>0</v>
      </c>
      <c r="N1050" s="211">
        <f t="shared" si="199"/>
        <v>0</v>
      </c>
      <c r="O1050" s="194">
        <f t="shared" si="200"/>
        <v>0</v>
      </c>
      <c r="P1050" s="212">
        <f t="shared" si="201"/>
        <v>0</v>
      </c>
      <c r="Q1050">
        <f t="shared" si="193"/>
        <v>0</v>
      </c>
      <c r="X1050" s="216">
        <f t="shared" si="204"/>
        <v>86</v>
      </c>
      <c r="Y1050">
        <f t="shared" si="202"/>
        <v>0</v>
      </c>
    </row>
    <row r="1051" spans="1:25" ht="13.5" thickBot="1" x14ac:dyDescent="0.25">
      <c r="A1051" s="204">
        <f>IF(MOD(COUNT($A$10:A1050),12)=0,A1050+1,A1050)</f>
        <v>87</v>
      </c>
      <c r="B1051" s="218">
        <f t="shared" si="194"/>
        <v>10</v>
      </c>
      <c r="C1051" s="218">
        <f t="shared" si="195"/>
        <v>1</v>
      </c>
      <c r="D1051" s="208">
        <f>IF(MOD(COUNT($D$10:D1050),6)=0,D1050+1,D1050)</f>
        <v>174</v>
      </c>
      <c r="E1051" s="208">
        <f>IF(MOD(COUNT($E$10:E1050),3)=0,E1050+1,E1050)</f>
        <v>348</v>
      </c>
      <c r="F1051" s="208">
        <f>IF(MOD(COUNT($F$10:F1050),1)=0,F1050+1,F1050)</f>
        <v>1042</v>
      </c>
      <c r="G1051" s="204">
        <f>IFERROR(IF(C1051=1,VLOOKUP(A1051,Output!$A$27:$AB$137,28,FALSE)/AnnuityMode,0),0)</f>
        <v>0</v>
      </c>
      <c r="H1051" s="220">
        <f>IFERROR(IF(AND(MIN(A1051&gt;25,Age+A1051&gt;=85),B1051=12),VLOOKUP(A1051,Output!$A$27:$AE$137,31,FALSE),0),0)</f>
        <v>0</v>
      </c>
      <c r="I1051" s="221">
        <f>IFERROR(IF(AND(MIN(A1051&gt;15,A1051+Age&gt;=70),C1051=1),VLOOKUP(A1051,Output!$A$27:$AF$137,32,FALSE)*VLOOKUP('SV calc_ignore'!A1051,Output!$A$27:$AG$137,33,FALSE)/IF(AnnuityMode=2,2,IF(AnnuityMode=4,4,IF(AnnuityMode=12,12,1))),0),0)</f>
        <v>0</v>
      </c>
      <c r="J1051" s="227">
        <f t="shared" si="196"/>
        <v>0</v>
      </c>
      <c r="K1051" s="213">
        <f t="shared" si="203"/>
        <v>0</v>
      </c>
      <c r="L1051" s="209">
        <f t="shared" si="197"/>
        <v>0</v>
      </c>
      <c r="M1051" s="214">
        <f t="shared" si="198"/>
        <v>0</v>
      </c>
      <c r="N1051" s="211">
        <f t="shared" si="199"/>
        <v>0</v>
      </c>
      <c r="O1051" s="194">
        <f t="shared" si="200"/>
        <v>0</v>
      </c>
      <c r="P1051" s="212">
        <f t="shared" si="201"/>
        <v>0</v>
      </c>
      <c r="Q1051">
        <f t="shared" si="193"/>
        <v>0</v>
      </c>
      <c r="X1051" s="216">
        <f t="shared" si="204"/>
        <v>86</v>
      </c>
      <c r="Y1051">
        <f t="shared" si="202"/>
        <v>0</v>
      </c>
    </row>
    <row r="1052" spans="1:25" ht="13.5" thickBot="1" x14ac:dyDescent="0.25">
      <c r="A1052" s="204">
        <f>IF(MOD(COUNT($A$10:A1051),12)=0,A1051+1,A1051)</f>
        <v>87</v>
      </c>
      <c r="B1052" s="218">
        <f t="shared" si="194"/>
        <v>11</v>
      </c>
      <c r="C1052" s="218">
        <f t="shared" si="195"/>
        <v>1</v>
      </c>
      <c r="D1052" s="208">
        <f>IF(MOD(COUNT($D$10:D1051),6)=0,D1051+1,D1051)</f>
        <v>174</v>
      </c>
      <c r="E1052" s="208">
        <f>IF(MOD(COUNT($E$10:E1051),3)=0,E1051+1,E1051)</f>
        <v>348</v>
      </c>
      <c r="F1052" s="208">
        <f>IF(MOD(COUNT($F$10:F1051),1)=0,F1051+1,F1051)</f>
        <v>1043</v>
      </c>
      <c r="G1052" s="204">
        <f>IFERROR(IF(C1052=1,VLOOKUP(A1052,Output!$A$27:$AB$137,28,FALSE)/AnnuityMode,0),0)</f>
        <v>0</v>
      </c>
      <c r="H1052" s="220">
        <f>IFERROR(IF(AND(MIN(A1052&gt;25,Age+A1052&gt;=85),B1052=12),VLOOKUP(A1052,Output!$A$27:$AE$137,31,FALSE),0),0)</f>
        <v>0</v>
      </c>
      <c r="I1052" s="221">
        <f>IFERROR(IF(AND(MIN(A1052&gt;15,A1052+Age&gt;=70),C1052=1),VLOOKUP(A1052,Output!$A$27:$AF$137,32,FALSE)*VLOOKUP('SV calc_ignore'!A1052,Output!$A$27:$AG$137,33,FALSE)/IF(AnnuityMode=2,2,IF(AnnuityMode=4,4,IF(AnnuityMode=12,12,1))),0),0)</f>
        <v>0</v>
      </c>
      <c r="J1052" s="227">
        <f t="shared" si="196"/>
        <v>0</v>
      </c>
      <c r="K1052" s="213">
        <f t="shared" si="203"/>
        <v>0</v>
      </c>
      <c r="L1052" s="209">
        <f t="shared" si="197"/>
        <v>0</v>
      </c>
      <c r="M1052" s="214">
        <f t="shared" si="198"/>
        <v>0</v>
      </c>
      <c r="N1052" s="211">
        <f t="shared" si="199"/>
        <v>0</v>
      </c>
      <c r="O1052" s="194">
        <f t="shared" si="200"/>
        <v>0</v>
      </c>
      <c r="P1052" s="212">
        <f t="shared" si="201"/>
        <v>0</v>
      </c>
      <c r="Q1052">
        <f t="shared" si="193"/>
        <v>0</v>
      </c>
      <c r="X1052" s="216">
        <f t="shared" si="204"/>
        <v>86</v>
      </c>
      <c r="Y1052">
        <f t="shared" si="202"/>
        <v>0</v>
      </c>
    </row>
    <row r="1053" spans="1:25" ht="13.5" thickBot="1" x14ac:dyDescent="0.25">
      <c r="A1053" s="204">
        <f>IF(MOD(COUNT($A$10:A1052),12)=0,A1052+1,A1052)</f>
        <v>87</v>
      </c>
      <c r="B1053" s="218">
        <f t="shared" si="194"/>
        <v>12</v>
      </c>
      <c r="C1053" s="218">
        <f t="shared" si="195"/>
        <v>1</v>
      </c>
      <c r="D1053" s="208">
        <f>IF(MOD(COUNT($D$10:D1052),6)=0,D1052+1,D1052)</f>
        <v>174</v>
      </c>
      <c r="E1053" s="208">
        <f>IF(MOD(COUNT($E$10:E1052),3)=0,E1052+1,E1052)</f>
        <v>348</v>
      </c>
      <c r="F1053" s="208">
        <f>IF(MOD(COUNT($F$10:F1052),1)=0,F1052+1,F1052)</f>
        <v>1044</v>
      </c>
      <c r="G1053" s="204">
        <f>IFERROR(IF(C1053=1,VLOOKUP(A1053,Output!$A$27:$AB$137,28,FALSE)/AnnuityMode,0),0)</f>
        <v>0</v>
      </c>
      <c r="H1053" s="220">
        <f>IFERROR(IF(AND(MIN(A1053&gt;25,Age+A1053&gt;=85),B1053=12),VLOOKUP(A1053,Output!$A$27:$AE$137,31,FALSE),0),0)</f>
        <v>0</v>
      </c>
      <c r="I1053" s="221">
        <f>IFERROR(IF(AND(MIN(A1053&gt;15,A1053+Age&gt;=70),C1053=1),VLOOKUP(A1053,Output!$A$27:$AF$137,32,FALSE)*VLOOKUP('SV calc_ignore'!A1053,Output!$A$27:$AG$137,33,FALSE)/IF(AnnuityMode=2,2,IF(AnnuityMode=4,4,IF(AnnuityMode=12,12,1))),0),0)</f>
        <v>0</v>
      </c>
      <c r="J1053" s="227">
        <f t="shared" si="196"/>
        <v>0</v>
      </c>
      <c r="K1053" s="213">
        <f t="shared" si="203"/>
        <v>0</v>
      </c>
      <c r="L1053" s="209">
        <f t="shared" si="197"/>
        <v>0</v>
      </c>
      <c r="M1053" s="214">
        <f t="shared" si="198"/>
        <v>0</v>
      </c>
      <c r="N1053" s="211">
        <f t="shared" si="199"/>
        <v>0</v>
      </c>
      <c r="O1053" s="194">
        <f t="shared" si="200"/>
        <v>0</v>
      </c>
      <c r="P1053" s="212">
        <f t="shared" si="201"/>
        <v>0</v>
      </c>
      <c r="Q1053">
        <f t="shared" si="193"/>
        <v>0</v>
      </c>
      <c r="X1053" s="216">
        <f t="shared" si="204"/>
        <v>86</v>
      </c>
      <c r="Y1053">
        <f t="shared" si="202"/>
        <v>0</v>
      </c>
    </row>
    <row r="1054" spans="1:25" ht="13.5" thickBot="1" x14ac:dyDescent="0.25">
      <c r="A1054" s="204">
        <f>IF(MOD(COUNT($A$10:A1053),12)=0,A1053+1,A1053)</f>
        <v>88</v>
      </c>
      <c r="B1054" s="218">
        <f t="shared" si="194"/>
        <v>1</v>
      </c>
      <c r="C1054" s="218">
        <f t="shared" si="195"/>
        <v>1</v>
      </c>
      <c r="D1054" s="208">
        <f>IF(MOD(COUNT($D$10:D1053),6)=0,D1053+1,D1053)</f>
        <v>175</v>
      </c>
      <c r="E1054" s="208">
        <f>IF(MOD(COUNT($E$10:E1053),3)=0,E1053+1,E1053)</f>
        <v>349</v>
      </c>
      <c r="F1054" s="208">
        <f>IF(MOD(COUNT($F$10:F1053),1)=0,F1053+1,F1053)</f>
        <v>1045</v>
      </c>
      <c r="G1054" s="204">
        <f>IFERROR(IF(C1054=1,VLOOKUP(A1054,Output!$A$27:$AB$137,28,FALSE)/AnnuityMode,0),0)</f>
        <v>0</v>
      </c>
      <c r="H1054" s="220">
        <f>IFERROR(IF(AND(MIN(A1054&gt;25,Age+A1054&gt;=85),B1054=12),VLOOKUP(A1054,Output!$A$27:$AE$137,31,FALSE),0),0)</f>
        <v>0</v>
      </c>
      <c r="I1054" s="221">
        <f>IFERROR(IF(AND(MIN(A1054&gt;15,A1054+Age&gt;=70),C1054=1),VLOOKUP(A1054,Output!$A$27:$AF$137,32,FALSE)*VLOOKUP('SV calc_ignore'!A1054,Output!$A$27:$AG$137,33,FALSE)/IF(AnnuityMode=2,2,IF(AnnuityMode=4,4,IF(AnnuityMode=12,12,1))),0),0)</f>
        <v>0</v>
      </c>
      <c r="J1054" s="227">
        <f t="shared" si="196"/>
        <v>0</v>
      </c>
      <c r="K1054" s="213">
        <f t="shared" si="203"/>
        <v>0</v>
      </c>
      <c r="L1054" s="209">
        <f t="shared" si="197"/>
        <v>0</v>
      </c>
      <c r="M1054" s="214">
        <f t="shared" si="198"/>
        <v>0</v>
      </c>
      <c r="N1054" s="211">
        <f t="shared" si="199"/>
        <v>0</v>
      </c>
      <c r="O1054" s="194">
        <f t="shared" si="200"/>
        <v>0</v>
      </c>
      <c r="P1054" s="212">
        <f t="shared" si="201"/>
        <v>0</v>
      </c>
      <c r="Q1054">
        <f t="shared" si="193"/>
        <v>0</v>
      </c>
      <c r="X1054" s="216">
        <f t="shared" si="204"/>
        <v>87</v>
      </c>
      <c r="Y1054">
        <f t="shared" si="202"/>
        <v>0</v>
      </c>
    </row>
    <row r="1055" spans="1:25" ht="13.5" thickBot="1" x14ac:dyDescent="0.25">
      <c r="A1055" s="204">
        <f>IF(MOD(COUNT($A$10:A1054),12)=0,A1054+1,A1054)</f>
        <v>88</v>
      </c>
      <c r="B1055" s="218">
        <f t="shared" si="194"/>
        <v>2</v>
      </c>
      <c r="C1055" s="218">
        <f t="shared" si="195"/>
        <v>1</v>
      </c>
      <c r="D1055" s="208">
        <f>IF(MOD(COUNT($D$10:D1054),6)=0,D1054+1,D1054)</f>
        <v>175</v>
      </c>
      <c r="E1055" s="208">
        <f>IF(MOD(COUNT($E$10:E1054),3)=0,E1054+1,E1054)</f>
        <v>349</v>
      </c>
      <c r="F1055" s="208">
        <f>IF(MOD(COUNT($F$10:F1054),1)=0,F1054+1,F1054)</f>
        <v>1046</v>
      </c>
      <c r="G1055" s="204">
        <f>IFERROR(IF(C1055=1,VLOOKUP(A1055,Output!$A$27:$AB$137,28,FALSE)/AnnuityMode,0),0)</f>
        <v>0</v>
      </c>
      <c r="H1055" s="220">
        <f>IFERROR(IF(AND(MIN(A1055&gt;25,Age+A1055&gt;=85),B1055=12),VLOOKUP(A1055,Output!$A$27:$AE$137,31,FALSE),0),0)</f>
        <v>0</v>
      </c>
      <c r="I1055" s="221">
        <f>IFERROR(IF(AND(MIN(A1055&gt;15,A1055+Age&gt;=70),C1055=1),VLOOKUP(A1055,Output!$A$27:$AF$137,32,FALSE)*VLOOKUP('SV calc_ignore'!A1055,Output!$A$27:$AG$137,33,FALSE)/IF(AnnuityMode=2,2,IF(AnnuityMode=4,4,IF(AnnuityMode=12,12,1))),0),0)</f>
        <v>0</v>
      </c>
      <c r="J1055" s="227">
        <f t="shared" si="196"/>
        <v>0</v>
      </c>
      <c r="K1055" s="213">
        <f t="shared" si="203"/>
        <v>0</v>
      </c>
      <c r="L1055" s="209">
        <f t="shared" si="197"/>
        <v>0</v>
      </c>
      <c r="M1055" s="214">
        <f t="shared" si="198"/>
        <v>0</v>
      </c>
      <c r="N1055" s="211">
        <f t="shared" si="199"/>
        <v>0</v>
      </c>
      <c r="O1055" s="194">
        <f t="shared" si="200"/>
        <v>0</v>
      </c>
      <c r="P1055" s="212">
        <f t="shared" si="201"/>
        <v>0</v>
      </c>
      <c r="Q1055">
        <f t="shared" si="193"/>
        <v>0</v>
      </c>
      <c r="X1055" s="216">
        <f t="shared" si="204"/>
        <v>87</v>
      </c>
      <c r="Y1055">
        <f t="shared" si="202"/>
        <v>0</v>
      </c>
    </row>
    <row r="1056" spans="1:25" ht="13.5" thickBot="1" x14ac:dyDescent="0.25">
      <c r="A1056" s="204">
        <f>IF(MOD(COUNT($A$10:A1055),12)=0,A1055+1,A1055)</f>
        <v>88</v>
      </c>
      <c r="B1056" s="218">
        <f t="shared" si="194"/>
        <v>3</v>
      </c>
      <c r="C1056" s="218">
        <f t="shared" si="195"/>
        <v>1</v>
      </c>
      <c r="D1056" s="208">
        <f>IF(MOD(COUNT($D$10:D1055),6)=0,D1055+1,D1055)</f>
        <v>175</v>
      </c>
      <c r="E1056" s="208">
        <f>IF(MOD(COUNT($E$10:E1055),3)=0,E1055+1,E1055)</f>
        <v>349</v>
      </c>
      <c r="F1056" s="208">
        <f>IF(MOD(COUNT($F$10:F1055),1)=0,F1055+1,F1055)</f>
        <v>1047</v>
      </c>
      <c r="G1056" s="204">
        <f>IFERROR(IF(C1056=1,VLOOKUP(A1056,Output!$A$27:$AB$137,28,FALSE)/AnnuityMode,0),0)</f>
        <v>0</v>
      </c>
      <c r="H1056" s="220">
        <f>IFERROR(IF(AND(MIN(A1056&gt;25,Age+A1056&gt;=85),B1056=12),VLOOKUP(A1056,Output!$A$27:$AE$137,31,FALSE),0),0)</f>
        <v>0</v>
      </c>
      <c r="I1056" s="221">
        <f>IFERROR(IF(AND(MIN(A1056&gt;15,A1056+Age&gt;=70),C1056=1),VLOOKUP(A1056,Output!$A$27:$AF$137,32,FALSE)*VLOOKUP('SV calc_ignore'!A1056,Output!$A$27:$AG$137,33,FALSE)/IF(AnnuityMode=2,2,IF(AnnuityMode=4,4,IF(AnnuityMode=12,12,1))),0),0)</f>
        <v>0</v>
      </c>
      <c r="J1056" s="227">
        <f t="shared" si="196"/>
        <v>0</v>
      </c>
      <c r="K1056" s="213">
        <f t="shared" si="203"/>
        <v>0</v>
      </c>
      <c r="L1056" s="209">
        <f t="shared" si="197"/>
        <v>0</v>
      </c>
      <c r="M1056" s="214">
        <f t="shared" si="198"/>
        <v>0</v>
      </c>
      <c r="N1056" s="211">
        <f t="shared" si="199"/>
        <v>0</v>
      </c>
      <c r="O1056" s="194">
        <f t="shared" si="200"/>
        <v>0</v>
      </c>
      <c r="P1056" s="212">
        <f t="shared" si="201"/>
        <v>0</v>
      </c>
      <c r="Q1056">
        <f t="shared" si="193"/>
        <v>0</v>
      </c>
      <c r="X1056" s="216">
        <f t="shared" si="204"/>
        <v>87</v>
      </c>
      <c r="Y1056">
        <f t="shared" si="202"/>
        <v>0</v>
      </c>
    </row>
    <row r="1057" spans="1:25" ht="13.5" thickBot="1" x14ac:dyDescent="0.25">
      <c r="A1057" s="204">
        <f>IF(MOD(COUNT($A$10:A1056),12)=0,A1056+1,A1056)</f>
        <v>88</v>
      </c>
      <c r="B1057" s="218">
        <f t="shared" si="194"/>
        <v>4</v>
      </c>
      <c r="C1057" s="218">
        <f t="shared" si="195"/>
        <v>1</v>
      </c>
      <c r="D1057" s="208">
        <f>IF(MOD(COUNT($D$10:D1056),6)=0,D1056+1,D1056)</f>
        <v>175</v>
      </c>
      <c r="E1057" s="208">
        <f>IF(MOD(COUNT($E$10:E1056),3)=0,E1056+1,E1056)</f>
        <v>350</v>
      </c>
      <c r="F1057" s="208">
        <f>IF(MOD(COUNT($F$10:F1056),1)=0,F1056+1,F1056)</f>
        <v>1048</v>
      </c>
      <c r="G1057" s="204">
        <f>IFERROR(IF(C1057=1,VLOOKUP(A1057,Output!$A$27:$AB$137,28,FALSE)/AnnuityMode,0),0)</f>
        <v>0</v>
      </c>
      <c r="H1057" s="220">
        <f>IFERROR(IF(AND(MIN(A1057&gt;25,Age+A1057&gt;=85),B1057=12),VLOOKUP(A1057,Output!$A$27:$AE$137,31,FALSE),0),0)</f>
        <v>0</v>
      </c>
      <c r="I1057" s="221">
        <f>IFERROR(IF(AND(MIN(A1057&gt;15,A1057+Age&gt;=70),C1057=1),VLOOKUP(A1057,Output!$A$27:$AF$137,32,FALSE)*VLOOKUP('SV calc_ignore'!A1057,Output!$A$27:$AG$137,33,FALSE)/IF(AnnuityMode=2,2,IF(AnnuityMode=4,4,IF(AnnuityMode=12,12,1))),0),0)</f>
        <v>0</v>
      </c>
      <c r="J1057" s="227">
        <f t="shared" si="196"/>
        <v>0</v>
      </c>
      <c r="K1057" s="213">
        <f t="shared" si="203"/>
        <v>0</v>
      </c>
      <c r="L1057" s="209">
        <f t="shared" si="197"/>
        <v>0</v>
      </c>
      <c r="M1057" s="214">
        <f t="shared" si="198"/>
        <v>0</v>
      </c>
      <c r="N1057" s="211">
        <f t="shared" si="199"/>
        <v>0</v>
      </c>
      <c r="O1057" s="194">
        <f t="shared" si="200"/>
        <v>0</v>
      </c>
      <c r="P1057" s="212">
        <f t="shared" si="201"/>
        <v>0</v>
      </c>
      <c r="Q1057">
        <f t="shared" si="193"/>
        <v>0</v>
      </c>
      <c r="X1057" s="216">
        <f t="shared" si="204"/>
        <v>87</v>
      </c>
      <c r="Y1057">
        <f t="shared" si="202"/>
        <v>0</v>
      </c>
    </row>
    <row r="1058" spans="1:25" ht="13.5" thickBot="1" x14ac:dyDescent="0.25">
      <c r="A1058" s="204">
        <f>IF(MOD(COUNT($A$10:A1057),12)=0,A1057+1,A1057)</f>
        <v>88</v>
      </c>
      <c r="B1058" s="218">
        <f t="shared" si="194"/>
        <v>5</v>
      </c>
      <c r="C1058" s="218">
        <f t="shared" si="195"/>
        <v>1</v>
      </c>
      <c r="D1058" s="208">
        <f>IF(MOD(COUNT($D$10:D1057),6)=0,D1057+1,D1057)</f>
        <v>175</v>
      </c>
      <c r="E1058" s="208">
        <f>IF(MOD(COUNT($E$10:E1057),3)=0,E1057+1,E1057)</f>
        <v>350</v>
      </c>
      <c r="F1058" s="208">
        <f>IF(MOD(COUNT($F$10:F1057),1)=0,F1057+1,F1057)</f>
        <v>1049</v>
      </c>
      <c r="G1058" s="204">
        <f>IFERROR(IF(C1058=1,VLOOKUP(A1058,Output!$A$27:$AB$137,28,FALSE)/AnnuityMode,0),0)</f>
        <v>0</v>
      </c>
      <c r="H1058" s="220">
        <f>IFERROR(IF(AND(MIN(A1058&gt;25,Age+A1058&gt;=85),B1058=12),VLOOKUP(A1058,Output!$A$27:$AE$137,31,FALSE),0),0)</f>
        <v>0</v>
      </c>
      <c r="I1058" s="221">
        <f>IFERROR(IF(AND(MIN(A1058&gt;15,A1058+Age&gt;=70),C1058=1),VLOOKUP(A1058,Output!$A$27:$AF$137,32,FALSE)*VLOOKUP('SV calc_ignore'!A1058,Output!$A$27:$AG$137,33,FALSE)/IF(AnnuityMode=2,2,IF(AnnuityMode=4,4,IF(AnnuityMode=12,12,1))),0),0)</f>
        <v>0</v>
      </c>
      <c r="J1058" s="227">
        <f t="shared" si="196"/>
        <v>0</v>
      </c>
      <c r="K1058" s="213">
        <f t="shared" si="203"/>
        <v>0</v>
      </c>
      <c r="L1058" s="209">
        <f t="shared" si="197"/>
        <v>0</v>
      </c>
      <c r="M1058" s="214">
        <f t="shared" si="198"/>
        <v>0</v>
      </c>
      <c r="N1058" s="211">
        <f t="shared" si="199"/>
        <v>0</v>
      </c>
      <c r="O1058" s="194">
        <f t="shared" si="200"/>
        <v>0</v>
      </c>
      <c r="P1058" s="212">
        <f t="shared" si="201"/>
        <v>0</v>
      </c>
      <c r="Q1058">
        <f t="shared" si="193"/>
        <v>0</v>
      </c>
      <c r="X1058" s="216">
        <f t="shared" si="204"/>
        <v>87</v>
      </c>
      <c r="Y1058">
        <f t="shared" si="202"/>
        <v>0</v>
      </c>
    </row>
    <row r="1059" spans="1:25" ht="13.5" thickBot="1" x14ac:dyDescent="0.25">
      <c r="A1059" s="204">
        <f>IF(MOD(COUNT($A$10:A1058),12)=0,A1058+1,A1058)</f>
        <v>88</v>
      </c>
      <c r="B1059" s="218">
        <f t="shared" si="194"/>
        <v>6</v>
      </c>
      <c r="C1059" s="218">
        <f t="shared" si="195"/>
        <v>1</v>
      </c>
      <c r="D1059" s="208">
        <f>IF(MOD(COUNT($D$10:D1058),6)=0,D1058+1,D1058)</f>
        <v>175</v>
      </c>
      <c r="E1059" s="208">
        <f>IF(MOD(COUNT($E$10:E1058),3)=0,E1058+1,E1058)</f>
        <v>350</v>
      </c>
      <c r="F1059" s="208">
        <f>IF(MOD(COUNT($F$10:F1058),1)=0,F1058+1,F1058)</f>
        <v>1050</v>
      </c>
      <c r="G1059" s="204">
        <f>IFERROR(IF(C1059=1,VLOOKUP(A1059,Output!$A$27:$AB$137,28,FALSE)/AnnuityMode,0),0)</f>
        <v>0</v>
      </c>
      <c r="H1059" s="220">
        <f>IFERROR(IF(AND(MIN(A1059&gt;25,Age+A1059&gt;=85),B1059=12),VLOOKUP(A1059,Output!$A$27:$AE$137,31,FALSE),0),0)</f>
        <v>0</v>
      </c>
      <c r="I1059" s="221">
        <f>IFERROR(IF(AND(MIN(A1059&gt;15,A1059+Age&gt;=70),C1059=1),VLOOKUP(A1059,Output!$A$27:$AF$137,32,FALSE)*VLOOKUP('SV calc_ignore'!A1059,Output!$A$27:$AG$137,33,FALSE)/IF(AnnuityMode=2,2,IF(AnnuityMode=4,4,IF(AnnuityMode=12,12,1))),0),0)</f>
        <v>0</v>
      </c>
      <c r="J1059" s="227">
        <f t="shared" si="196"/>
        <v>0</v>
      </c>
      <c r="K1059" s="213">
        <f t="shared" si="203"/>
        <v>0</v>
      </c>
      <c r="L1059" s="209">
        <f t="shared" si="197"/>
        <v>0</v>
      </c>
      <c r="M1059" s="214">
        <f t="shared" si="198"/>
        <v>0</v>
      </c>
      <c r="N1059" s="211">
        <f t="shared" si="199"/>
        <v>0</v>
      </c>
      <c r="O1059" s="194">
        <f t="shared" si="200"/>
        <v>0</v>
      </c>
      <c r="P1059" s="212">
        <f t="shared" si="201"/>
        <v>0</v>
      </c>
      <c r="Q1059">
        <f t="shared" si="193"/>
        <v>0</v>
      </c>
      <c r="X1059" s="216">
        <f t="shared" si="204"/>
        <v>87</v>
      </c>
      <c r="Y1059">
        <f t="shared" si="202"/>
        <v>0</v>
      </c>
    </row>
    <row r="1060" spans="1:25" ht="13.5" thickBot="1" x14ac:dyDescent="0.25">
      <c r="A1060" s="204">
        <f>IF(MOD(COUNT($A$10:A1059),12)=0,A1059+1,A1059)</f>
        <v>88</v>
      </c>
      <c r="B1060" s="218">
        <f t="shared" si="194"/>
        <v>7</v>
      </c>
      <c r="C1060" s="218">
        <f t="shared" si="195"/>
        <v>1</v>
      </c>
      <c r="D1060" s="208">
        <f>IF(MOD(COUNT($D$10:D1059),6)=0,D1059+1,D1059)</f>
        <v>176</v>
      </c>
      <c r="E1060" s="208">
        <f>IF(MOD(COUNT($E$10:E1059),3)=0,E1059+1,E1059)</f>
        <v>351</v>
      </c>
      <c r="F1060" s="208">
        <f>IF(MOD(COUNT($F$10:F1059),1)=0,F1059+1,F1059)</f>
        <v>1051</v>
      </c>
      <c r="G1060" s="204">
        <f>IFERROR(IF(C1060=1,VLOOKUP(A1060,Output!$A$27:$AB$137,28,FALSE)/AnnuityMode,0),0)</f>
        <v>0</v>
      </c>
      <c r="H1060" s="220">
        <f>IFERROR(IF(AND(MIN(A1060&gt;25,Age+A1060&gt;=85),B1060=12),VLOOKUP(A1060,Output!$A$27:$AE$137,31,FALSE),0),0)</f>
        <v>0</v>
      </c>
      <c r="I1060" s="221">
        <f>IFERROR(IF(AND(MIN(A1060&gt;15,A1060+Age&gt;=70),C1060=1),VLOOKUP(A1060,Output!$A$27:$AF$137,32,FALSE)*VLOOKUP('SV calc_ignore'!A1060,Output!$A$27:$AG$137,33,FALSE)/IF(AnnuityMode=2,2,IF(AnnuityMode=4,4,IF(AnnuityMode=12,12,1))),0),0)</f>
        <v>0</v>
      </c>
      <c r="J1060" s="227">
        <f t="shared" si="196"/>
        <v>0</v>
      </c>
      <c r="K1060" s="213">
        <f t="shared" si="203"/>
        <v>0</v>
      </c>
      <c r="L1060" s="209">
        <f t="shared" si="197"/>
        <v>0</v>
      </c>
      <c r="M1060" s="214">
        <f t="shared" si="198"/>
        <v>0</v>
      </c>
      <c r="N1060" s="211">
        <f t="shared" si="199"/>
        <v>0</v>
      </c>
      <c r="O1060" s="194">
        <f t="shared" si="200"/>
        <v>0</v>
      </c>
      <c r="P1060" s="212">
        <f t="shared" si="201"/>
        <v>0</v>
      </c>
      <c r="Q1060">
        <f t="shared" si="193"/>
        <v>0</v>
      </c>
      <c r="X1060" s="216">
        <f t="shared" si="204"/>
        <v>87</v>
      </c>
      <c r="Y1060">
        <f t="shared" si="202"/>
        <v>0</v>
      </c>
    </row>
    <row r="1061" spans="1:25" ht="13.5" thickBot="1" x14ac:dyDescent="0.25">
      <c r="A1061" s="204">
        <f>IF(MOD(COUNT($A$10:A1060),12)=0,A1060+1,A1060)</f>
        <v>88</v>
      </c>
      <c r="B1061" s="218">
        <f t="shared" si="194"/>
        <v>8</v>
      </c>
      <c r="C1061" s="218">
        <f t="shared" si="195"/>
        <v>1</v>
      </c>
      <c r="D1061" s="208">
        <f>IF(MOD(COUNT($D$10:D1060),6)=0,D1060+1,D1060)</f>
        <v>176</v>
      </c>
      <c r="E1061" s="208">
        <f>IF(MOD(COUNT($E$10:E1060),3)=0,E1060+1,E1060)</f>
        <v>351</v>
      </c>
      <c r="F1061" s="208">
        <f>IF(MOD(COUNT($F$10:F1060),1)=0,F1060+1,F1060)</f>
        <v>1052</v>
      </c>
      <c r="G1061" s="204">
        <f>IFERROR(IF(C1061=1,VLOOKUP(A1061,Output!$A$27:$AB$137,28,FALSE)/AnnuityMode,0),0)</f>
        <v>0</v>
      </c>
      <c r="H1061" s="220">
        <f>IFERROR(IF(AND(MIN(A1061&gt;25,Age+A1061&gt;=85),B1061=12),VLOOKUP(A1061,Output!$A$27:$AE$137,31,FALSE),0),0)</f>
        <v>0</v>
      </c>
      <c r="I1061" s="221">
        <f>IFERROR(IF(AND(MIN(A1061&gt;15,A1061+Age&gt;=70),C1061=1),VLOOKUP(A1061,Output!$A$27:$AF$137,32,FALSE)*VLOOKUP('SV calc_ignore'!A1061,Output!$A$27:$AG$137,33,FALSE)/IF(AnnuityMode=2,2,IF(AnnuityMode=4,4,IF(AnnuityMode=12,12,1))),0),0)</f>
        <v>0</v>
      </c>
      <c r="J1061" s="227">
        <f t="shared" si="196"/>
        <v>0</v>
      </c>
      <c r="K1061" s="213">
        <f t="shared" si="203"/>
        <v>0</v>
      </c>
      <c r="L1061" s="209">
        <f t="shared" si="197"/>
        <v>0</v>
      </c>
      <c r="M1061" s="214">
        <f t="shared" si="198"/>
        <v>0</v>
      </c>
      <c r="N1061" s="211">
        <f t="shared" si="199"/>
        <v>0</v>
      </c>
      <c r="O1061" s="194">
        <f t="shared" si="200"/>
        <v>0</v>
      </c>
      <c r="P1061" s="212">
        <f t="shared" si="201"/>
        <v>0</v>
      </c>
      <c r="Q1061">
        <f t="shared" si="193"/>
        <v>0</v>
      </c>
      <c r="X1061" s="216">
        <f t="shared" si="204"/>
        <v>87</v>
      </c>
      <c r="Y1061">
        <f t="shared" si="202"/>
        <v>0</v>
      </c>
    </row>
    <row r="1062" spans="1:25" ht="13.5" thickBot="1" x14ac:dyDescent="0.25">
      <c r="A1062" s="204">
        <f>IF(MOD(COUNT($A$10:A1061),12)=0,A1061+1,A1061)</f>
        <v>88</v>
      </c>
      <c r="B1062" s="218">
        <f t="shared" si="194"/>
        <v>9</v>
      </c>
      <c r="C1062" s="218">
        <f t="shared" si="195"/>
        <v>1</v>
      </c>
      <c r="D1062" s="208">
        <f>IF(MOD(COUNT($D$10:D1061),6)=0,D1061+1,D1061)</f>
        <v>176</v>
      </c>
      <c r="E1062" s="208">
        <f>IF(MOD(COUNT($E$10:E1061),3)=0,E1061+1,E1061)</f>
        <v>351</v>
      </c>
      <c r="F1062" s="208">
        <f>IF(MOD(COUNT($F$10:F1061),1)=0,F1061+1,F1061)</f>
        <v>1053</v>
      </c>
      <c r="G1062" s="204">
        <f>IFERROR(IF(C1062=1,VLOOKUP(A1062,Output!$A$27:$AB$137,28,FALSE)/AnnuityMode,0),0)</f>
        <v>0</v>
      </c>
      <c r="H1062" s="220">
        <f>IFERROR(IF(AND(MIN(A1062&gt;25,Age+A1062&gt;=85),B1062=12),VLOOKUP(A1062,Output!$A$27:$AE$137,31,FALSE),0),0)</f>
        <v>0</v>
      </c>
      <c r="I1062" s="221">
        <f>IFERROR(IF(AND(MIN(A1062&gt;15,A1062+Age&gt;=70),C1062=1),VLOOKUP(A1062,Output!$A$27:$AF$137,32,FALSE)*VLOOKUP('SV calc_ignore'!A1062,Output!$A$27:$AG$137,33,FALSE)/IF(AnnuityMode=2,2,IF(AnnuityMode=4,4,IF(AnnuityMode=12,12,1))),0),0)</f>
        <v>0</v>
      </c>
      <c r="J1062" s="227">
        <f t="shared" si="196"/>
        <v>0</v>
      </c>
      <c r="K1062" s="213">
        <f t="shared" si="203"/>
        <v>0</v>
      </c>
      <c r="L1062" s="209">
        <f t="shared" si="197"/>
        <v>0</v>
      </c>
      <c r="M1062" s="214">
        <f t="shared" si="198"/>
        <v>0</v>
      </c>
      <c r="N1062" s="211">
        <f t="shared" si="199"/>
        <v>0</v>
      </c>
      <c r="O1062" s="194">
        <f t="shared" si="200"/>
        <v>0</v>
      </c>
      <c r="P1062" s="212">
        <f t="shared" si="201"/>
        <v>0</v>
      </c>
      <c r="Q1062">
        <f t="shared" si="193"/>
        <v>0</v>
      </c>
      <c r="X1062" s="216">
        <f t="shared" si="204"/>
        <v>87</v>
      </c>
      <c r="Y1062">
        <f t="shared" si="202"/>
        <v>0</v>
      </c>
    </row>
    <row r="1063" spans="1:25" ht="13.5" thickBot="1" x14ac:dyDescent="0.25">
      <c r="A1063" s="204">
        <f>IF(MOD(COUNT($A$10:A1062),12)=0,A1062+1,A1062)</f>
        <v>88</v>
      </c>
      <c r="B1063" s="218">
        <f t="shared" si="194"/>
        <v>10</v>
      </c>
      <c r="C1063" s="218">
        <f t="shared" si="195"/>
        <v>1</v>
      </c>
      <c r="D1063" s="208">
        <f>IF(MOD(COUNT($D$10:D1062),6)=0,D1062+1,D1062)</f>
        <v>176</v>
      </c>
      <c r="E1063" s="208">
        <f>IF(MOD(COUNT($E$10:E1062),3)=0,E1062+1,E1062)</f>
        <v>352</v>
      </c>
      <c r="F1063" s="208">
        <f>IF(MOD(COUNT($F$10:F1062),1)=0,F1062+1,F1062)</f>
        <v>1054</v>
      </c>
      <c r="G1063" s="204">
        <f>IFERROR(IF(C1063=1,VLOOKUP(A1063,Output!$A$27:$AB$137,28,FALSE)/AnnuityMode,0),0)</f>
        <v>0</v>
      </c>
      <c r="H1063" s="220">
        <f>IFERROR(IF(AND(MIN(A1063&gt;25,Age+A1063&gt;=85),B1063=12),VLOOKUP(A1063,Output!$A$27:$AE$137,31,FALSE),0),0)</f>
        <v>0</v>
      </c>
      <c r="I1063" s="221">
        <f>IFERROR(IF(AND(MIN(A1063&gt;15,A1063+Age&gt;=70),C1063=1),VLOOKUP(A1063,Output!$A$27:$AF$137,32,FALSE)*VLOOKUP('SV calc_ignore'!A1063,Output!$A$27:$AG$137,33,FALSE)/IF(AnnuityMode=2,2,IF(AnnuityMode=4,4,IF(AnnuityMode=12,12,1))),0),0)</f>
        <v>0</v>
      </c>
      <c r="J1063" s="227">
        <f t="shared" si="196"/>
        <v>0</v>
      </c>
      <c r="K1063" s="213">
        <f t="shared" si="203"/>
        <v>0</v>
      </c>
      <c r="L1063" s="209">
        <f t="shared" si="197"/>
        <v>0</v>
      </c>
      <c r="M1063" s="214">
        <f t="shared" si="198"/>
        <v>0</v>
      </c>
      <c r="N1063" s="211">
        <f t="shared" si="199"/>
        <v>0</v>
      </c>
      <c r="O1063" s="194">
        <f t="shared" si="200"/>
        <v>0</v>
      </c>
      <c r="P1063" s="212">
        <f t="shared" si="201"/>
        <v>0</v>
      </c>
      <c r="Q1063">
        <f t="shared" si="193"/>
        <v>0</v>
      </c>
      <c r="X1063" s="216">
        <f t="shared" si="204"/>
        <v>87</v>
      </c>
      <c r="Y1063">
        <f t="shared" si="202"/>
        <v>0</v>
      </c>
    </row>
    <row r="1064" spans="1:25" ht="13.5" thickBot="1" x14ac:dyDescent="0.25">
      <c r="A1064" s="204">
        <f>IF(MOD(COUNT($A$10:A1063),12)=0,A1063+1,A1063)</f>
        <v>88</v>
      </c>
      <c r="B1064" s="218">
        <f t="shared" si="194"/>
        <v>11</v>
      </c>
      <c r="C1064" s="218">
        <f t="shared" si="195"/>
        <v>1</v>
      </c>
      <c r="D1064" s="208">
        <f>IF(MOD(COUNT($D$10:D1063),6)=0,D1063+1,D1063)</f>
        <v>176</v>
      </c>
      <c r="E1064" s="208">
        <f>IF(MOD(COUNT($E$10:E1063),3)=0,E1063+1,E1063)</f>
        <v>352</v>
      </c>
      <c r="F1064" s="208">
        <f>IF(MOD(COUNT($F$10:F1063),1)=0,F1063+1,F1063)</f>
        <v>1055</v>
      </c>
      <c r="G1064" s="204">
        <f>IFERROR(IF(C1064=1,VLOOKUP(A1064,Output!$A$27:$AB$137,28,FALSE)/AnnuityMode,0),0)</f>
        <v>0</v>
      </c>
      <c r="H1064" s="220">
        <f>IFERROR(IF(AND(MIN(A1064&gt;25,Age+A1064&gt;=85),B1064=12),VLOOKUP(A1064,Output!$A$27:$AE$137,31,FALSE),0),0)</f>
        <v>0</v>
      </c>
      <c r="I1064" s="221">
        <f>IFERROR(IF(AND(MIN(A1064&gt;15,A1064+Age&gt;=70),C1064=1),VLOOKUP(A1064,Output!$A$27:$AF$137,32,FALSE)*VLOOKUP('SV calc_ignore'!A1064,Output!$A$27:$AG$137,33,FALSE)/IF(AnnuityMode=2,2,IF(AnnuityMode=4,4,IF(AnnuityMode=12,12,1))),0),0)</f>
        <v>0</v>
      </c>
      <c r="J1064" s="227">
        <f t="shared" si="196"/>
        <v>0</v>
      </c>
      <c r="K1064" s="213">
        <f t="shared" si="203"/>
        <v>0</v>
      </c>
      <c r="L1064" s="209">
        <f t="shared" si="197"/>
        <v>0</v>
      </c>
      <c r="M1064" s="214">
        <f t="shared" si="198"/>
        <v>0</v>
      </c>
      <c r="N1064" s="211">
        <f t="shared" si="199"/>
        <v>0</v>
      </c>
      <c r="O1064" s="194">
        <f t="shared" si="200"/>
        <v>0</v>
      </c>
      <c r="P1064" s="212">
        <f t="shared" si="201"/>
        <v>0</v>
      </c>
      <c r="Q1064">
        <f t="shared" si="193"/>
        <v>0</v>
      </c>
      <c r="X1064" s="216">
        <f t="shared" si="204"/>
        <v>87</v>
      </c>
      <c r="Y1064">
        <f t="shared" si="202"/>
        <v>0</v>
      </c>
    </row>
    <row r="1065" spans="1:25" ht="13.5" thickBot="1" x14ac:dyDescent="0.25">
      <c r="A1065" s="204">
        <f>IF(MOD(COUNT($A$10:A1064),12)=0,A1064+1,A1064)</f>
        <v>88</v>
      </c>
      <c r="B1065" s="218">
        <f t="shared" si="194"/>
        <v>12</v>
      </c>
      <c r="C1065" s="218">
        <f t="shared" si="195"/>
        <v>1</v>
      </c>
      <c r="D1065" s="208">
        <f>IF(MOD(COUNT($D$10:D1064),6)=0,D1064+1,D1064)</f>
        <v>176</v>
      </c>
      <c r="E1065" s="208">
        <f>IF(MOD(COUNT($E$10:E1064),3)=0,E1064+1,E1064)</f>
        <v>352</v>
      </c>
      <c r="F1065" s="208">
        <f>IF(MOD(COUNT($F$10:F1064),1)=0,F1064+1,F1064)</f>
        <v>1056</v>
      </c>
      <c r="G1065" s="204">
        <f>IFERROR(IF(C1065=1,VLOOKUP(A1065,Output!$A$27:$AB$137,28,FALSE)/AnnuityMode,0),0)</f>
        <v>0</v>
      </c>
      <c r="H1065" s="220">
        <f>IFERROR(IF(AND(MIN(A1065&gt;25,Age+A1065&gt;=85),B1065=12),VLOOKUP(A1065,Output!$A$27:$AE$137,31,FALSE),0),0)</f>
        <v>0</v>
      </c>
      <c r="I1065" s="221">
        <f>IFERROR(IF(AND(MIN(A1065&gt;15,A1065+Age&gt;=70),C1065=1),VLOOKUP(A1065,Output!$A$27:$AF$137,32,FALSE)*VLOOKUP('SV calc_ignore'!A1065,Output!$A$27:$AG$137,33,FALSE)/IF(AnnuityMode=2,2,IF(AnnuityMode=4,4,IF(AnnuityMode=12,12,1))),0),0)</f>
        <v>0</v>
      </c>
      <c r="J1065" s="227">
        <f t="shared" si="196"/>
        <v>0</v>
      </c>
      <c r="K1065" s="213">
        <f t="shared" si="203"/>
        <v>0</v>
      </c>
      <c r="L1065" s="209">
        <f t="shared" si="197"/>
        <v>0</v>
      </c>
      <c r="M1065" s="214">
        <f t="shared" si="198"/>
        <v>0</v>
      </c>
      <c r="N1065" s="211">
        <f t="shared" si="199"/>
        <v>0</v>
      </c>
      <c r="O1065" s="194">
        <f t="shared" si="200"/>
        <v>0</v>
      </c>
      <c r="P1065" s="212">
        <f t="shared" si="201"/>
        <v>0</v>
      </c>
      <c r="Q1065">
        <f t="shared" si="193"/>
        <v>0</v>
      </c>
      <c r="X1065" s="216">
        <f t="shared" si="204"/>
        <v>87</v>
      </c>
      <c r="Y1065">
        <f t="shared" si="202"/>
        <v>0</v>
      </c>
    </row>
    <row r="1066" spans="1:25" ht="13.5" thickBot="1" x14ac:dyDescent="0.25">
      <c r="A1066" s="204">
        <f>IF(MOD(COUNT($A$10:A1065),12)=0,A1065+1,A1065)</f>
        <v>89</v>
      </c>
      <c r="B1066" s="218">
        <f t="shared" si="194"/>
        <v>1</v>
      </c>
      <c r="C1066" s="218">
        <f t="shared" si="195"/>
        <v>1</v>
      </c>
      <c r="D1066" s="208">
        <f>IF(MOD(COUNT($D$10:D1065),6)=0,D1065+1,D1065)</f>
        <v>177</v>
      </c>
      <c r="E1066" s="208">
        <f>IF(MOD(COUNT($E$10:E1065),3)=0,E1065+1,E1065)</f>
        <v>353</v>
      </c>
      <c r="F1066" s="208">
        <f>IF(MOD(COUNT($F$10:F1065),1)=0,F1065+1,F1065)</f>
        <v>1057</v>
      </c>
      <c r="G1066" s="204">
        <f>IFERROR(IF(C1066=1,VLOOKUP(A1066,Output!$A$27:$AB$137,28,FALSE)/AnnuityMode,0),0)</f>
        <v>0</v>
      </c>
      <c r="H1066" s="220">
        <f>IFERROR(IF(AND(MIN(A1066&gt;25,Age+A1066&gt;=85),B1066=12),VLOOKUP(A1066,Output!$A$27:$AE$137,31,FALSE),0),0)</f>
        <v>0</v>
      </c>
      <c r="I1066" s="221">
        <f>IFERROR(IF(AND(MIN(A1066&gt;15,A1066+Age&gt;=70),C1066=1),VLOOKUP(A1066,Output!$A$27:$AF$137,32,FALSE)*VLOOKUP('SV calc_ignore'!A1066,Output!$A$27:$AG$137,33,FALSE)/IF(AnnuityMode=2,2,IF(AnnuityMode=4,4,IF(AnnuityMode=12,12,1))),0),0)</f>
        <v>0</v>
      </c>
      <c r="J1066" s="227">
        <f t="shared" si="196"/>
        <v>0</v>
      </c>
      <c r="K1066" s="213">
        <f t="shared" si="203"/>
        <v>0</v>
      </c>
      <c r="L1066" s="209">
        <f t="shared" si="197"/>
        <v>0</v>
      </c>
      <c r="M1066" s="214">
        <f t="shared" si="198"/>
        <v>0</v>
      </c>
      <c r="N1066" s="211">
        <f t="shared" si="199"/>
        <v>0</v>
      </c>
      <c r="O1066" s="194">
        <f t="shared" si="200"/>
        <v>0</v>
      </c>
      <c r="P1066" s="212">
        <f t="shared" si="201"/>
        <v>0</v>
      </c>
      <c r="Q1066">
        <f t="shared" ref="Q1066:Q1129" si="205">(I1066+(Q1067)*(1+$K$3)^(-1))*(A1066&lt;=$W$5)</f>
        <v>0</v>
      </c>
      <c r="X1066" s="216">
        <f t="shared" si="204"/>
        <v>88</v>
      </c>
      <c r="Y1066">
        <f t="shared" si="202"/>
        <v>0</v>
      </c>
    </row>
    <row r="1067" spans="1:25" ht="13.5" thickBot="1" x14ac:dyDescent="0.25">
      <c r="A1067" s="204">
        <f>IF(MOD(COUNT($A$10:A1066),12)=0,A1066+1,A1066)</f>
        <v>89</v>
      </c>
      <c r="B1067" s="218">
        <f t="shared" si="194"/>
        <v>2</v>
      </c>
      <c r="C1067" s="218">
        <f t="shared" si="195"/>
        <v>1</v>
      </c>
      <c r="D1067" s="208">
        <f>IF(MOD(COUNT($D$10:D1066),6)=0,D1066+1,D1066)</f>
        <v>177</v>
      </c>
      <c r="E1067" s="208">
        <f>IF(MOD(COUNT($E$10:E1066),3)=0,E1066+1,E1066)</f>
        <v>353</v>
      </c>
      <c r="F1067" s="208">
        <f>IF(MOD(COUNT($F$10:F1066),1)=0,F1066+1,F1066)</f>
        <v>1058</v>
      </c>
      <c r="G1067" s="204">
        <f>IFERROR(IF(C1067=1,VLOOKUP(A1067,Output!$A$27:$AB$137,28,FALSE)/AnnuityMode,0),0)</f>
        <v>0</v>
      </c>
      <c r="H1067" s="220">
        <f>IFERROR(IF(AND(MIN(A1067&gt;25,Age+A1067&gt;=85),B1067=12),VLOOKUP(A1067,Output!$A$27:$AE$137,31,FALSE),0),0)</f>
        <v>0</v>
      </c>
      <c r="I1067" s="221">
        <f>IFERROR(IF(AND(MIN(A1067&gt;15,A1067+Age&gt;=70),C1067=1),VLOOKUP(A1067,Output!$A$27:$AF$137,32,FALSE)*VLOOKUP('SV calc_ignore'!A1067,Output!$A$27:$AG$137,33,FALSE)/IF(AnnuityMode=2,2,IF(AnnuityMode=4,4,IF(AnnuityMode=12,12,1))),0),0)</f>
        <v>0</v>
      </c>
      <c r="J1067" s="227">
        <f t="shared" si="196"/>
        <v>0</v>
      </c>
      <c r="K1067" s="213">
        <f t="shared" si="203"/>
        <v>0</v>
      </c>
      <c r="L1067" s="209">
        <f t="shared" si="197"/>
        <v>0</v>
      </c>
      <c r="M1067" s="214">
        <f t="shared" si="198"/>
        <v>0</v>
      </c>
      <c r="N1067" s="211">
        <f t="shared" si="199"/>
        <v>0</v>
      </c>
      <c r="O1067" s="194">
        <f t="shared" si="200"/>
        <v>0</v>
      </c>
      <c r="P1067" s="212">
        <f t="shared" si="201"/>
        <v>0</v>
      </c>
      <c r="Q1067">
        <f t="shared" si="205"/>
        <v>0</v>
      </c>
      <c r="X1067" s="216">
        <f t="shared" si="204"/>
        <v>88</v>
      </c>
      <c r="Y1067">
        <f t="shared" si="202"/>
        <v>0</v>
      </c>
    </row>
    <row r="1068" spans="1:25" ht="13.5" thickBot="1" x14ac:dyDescent="0.25">
      <c r="A1068" s="204">
        <f>IF(MOD(COUNT($A$10:A1067),12)=0,A1067+1,A1067)</f>
        <v>89</v>
      </c>
      <c r="B1068" s="218">
        <f t="shared" si="194"/>
        <v>3</v>
      </c>
      <c r="C1068" s="218">
        <f t="shared" si="195"/>
        <v>1</v>
      </c>
      <c r="D1068" s="208">
        <f>IF(MOD(COUNT($D$10:D1067),6)=0,D1067+1,D1067)</f>
        <v>177</v>
      </c>
      <c r="E1068" s="208">
        <f>IF(MOD(COUNT($E$10:E1067),3)=0,E1067+1,E1067)</f>
        <v>353</v>
      </c>
      <c r="F1068" s="208">
        <f>IF(MOD(COUNT($F$10:F1067),1)=0,F1067+1,F1067)</f>
        <v>1059</v>
      </c>
      <c r="G1068" s="204">
        <f>IFERROR(IF(C1068=1,VLOOKUP(A1068,Output!$A$27:$AB$137,28,FALSE)/AnnuityMode,0),0)</f>
        <v>0</v>
      </c>
      <c r="H1068" s="220">
        <f>IFERROR(IF(AND(MIN(A1068&gt;25,Age+A1068&gt;=85),B1068=12),VLOOKUP(A1068,Output!$A$27:$AE$137,31,FALSE),0),0)</f>
        <v>0</v>
      </c>
      <c r="I1068" s="221">
        <f>IFERROR(IF(AND(MIN(A1068&gt;15,A1068+Age&gt;=70),C1068=1),VLOOKUP(A1068,Output!$A$27:$AF$137,32,FALSE)*VLOOKUP('SV calc_ignore'!A1068,Output!$A$27:$AG$137,33,FALSE)/IF(AnnuityMode=2,2,IF(AnnuityMode=4,4,IF(AnnuityMode=12,12,1))),0),0)</f>
        <v>0</v>
      </c>
      <c r="J1068" s="227">
        <f t="shared" si="196"/>
        <v>0</v>
      </c>
      <c r="K1068" s="213">
        <f t="shared" si="203"/>
        <v>0</v>
      </c>
      <c r="L1068" s="209">
        <f t="shared" si="197"/>
        <v>0</v>
      </c>
      <c r="M1068" s="214">
        <f t="shared" si="198"/>
        <v>0</v>
      </c>
      <c r="N1068" s="211">
        <f t="shared" si="199"/>
        <v>0</v>
      </c>
      <c r="O1068" s="194">
        <f t="shared" si="200"/>
        <v>0</v>
      </c>
      <c r="P1068" s="212">
        <f t="shared" si="201"/>
        <v>0</v>
      </c>
      <c r="Q1068">
        <f t="shared" si="205"/>
        <v>0</v>
      </c>
      <c r="X1068" s="216">
        <f t="shared" si="204"/>
        <v>88</v>
      </c>
      <c r="Y1068">
        <f t="shared" si="202"/>
        <v>0</v>
      </c>
    </row>
    <row r="1069" spans="1:25" ht="13.5" thickBot="1" x14ac:dyDescent="0.25">
      <c r="A1069" s="204">
        <f>IF(MOD(COUNT($A$10:A1068),12)=0,A1068+1,A1068)</f>
        <v>89</v>
      </c>
      <c r="B1069" s="218">
        <f t="shared" si="194"/>
        <v>4</v>
      </c>
      <c r="C1069" s="218">
        <f t="shared" si="195"/>
        <v>1</v>
      </c>
      <c r="D1069" s="208">
        <f>IF(MOD(COUNT($D$10:D1068),6)=0,D1068+1,D1068)</f>
        <v>177</v>
      </c>
      <c r="E1069" s="208">
        <f>IF(MOD(COUNT($E$10:E1068),3)=0,E1068+1,E1068)</f>
        <v>354</v>
      </c>
      <c r="F1069" s="208">
        <f>IF(MOD(COUNT($F$10:F1068),1)=0,F1068+1,F1068)</f>
        <v>1060</v>
      </c>
      <c r="G1069" s="204">
        <f>IFERROR(IF(C1069=1,VLOOKUP(A1069,Output!$A$27:$AB$137,28,FALSE)/AnnuityMode,0),0)</f>
        <v>0</v>
      </c>
      <c r="H1069" s="220">
        <f>IFERROR(IF(AND(MIN(A1069&gt;25,Age+A1069&gt;=85),B1069=12),VLOOKUP(A1069,Output!$A$27:$AE$137,31,FALSE),0),0)</f>
        <v>0</v>
      </c>
      <c r="I1069" s="221">
        <f>IFERROR(IF(AND(MIN(A1069&gt;15,A1069+Age&gt;=70),C1069=1),VLOOKUP(A1069,Output!$A$27:$AF$137,32,FALSE)*VLOOKUP('SV calc_ignore'!A1069,Output!$A$27:$AG$137,33,FALSE)/IF(AnnuityMode=2,2,IF(AnnuityMode=4,4,IF(AnnuityMode=12,12,1))),0),0)</f>
        <v>0</v>
      </c>
      <c r="J1069" s="227">
        <f t="shared" si="196"/>
        <v>0</v>
      </c>
      <c r="K1069" s="213">
        <f t="shared" si="203"/>
        <v>0</v>
      </c>
      <c r="L1069" s="209">
        <f t="shared" si="197"/>
        <v>0</v>
      </c>
      <c r="M1069" s="214">
        <f t="shared" si="198"/>
        <v>0</v>
      </c>
      <c r="N1069" s="211">
        <f t="shared" si="199"/>
        <v>0</v>
      </c>
      <c r="O1069" s="194">
        <f t="shared" si="200"/>
        <v>0</v>
      </c>
      <c r="P1069" s="212">
        <f t="shared" si="201"/>
        <v>0</v>
      </c>
      <c r="Q1069">
        <f t="shared" si="205"/>
        <v>0</v>
      </c>
      <c r="X1069" s="216">
        <f t="shared" si="204"/>
        <v>88</v>
      </c>
      <c r="Y1069">
        <f t="shared" si="202"/>
        <v>0</v>
      </c>
    </row>
    <row r="1070" spans="1:25" ht="13.5" thickBot="1" x14ac:dyDescent="0.25">
      <c r="A1070" s="204">
        <f>IF(MOD(COUNT($A$10:A1069),12)=0,A1069+1,A1069)</f>
        <v>89</v>
      </c>
      <c r="B1070" s="218">
        <f t="shared" si="194"/>
        <v>5</v>
      </c>
      <c r="C1070" s="218">
        <f t="shared" si="195"/>
        <v>1</v>
      </c>
      <c r="D1070" s="208">
        <f>IF(MOD(COUNT($D$10:D1069),6)=0,D1069+1,D1069)</f>
        <v>177</v>
      </c>
      <c r="E1070" s="208">
        <f>IF(MOD(COUNT($E$10:E1069),3)=0,E1069+1,E1069)</f>
        <v>354</v>
      </c>
      <c r="F1070" s="208">
        <f>IF(MOD(COUNT($F$10:F1069),1)=0,F1069+1,F1069)</f>
        <v>1061</v>
      </c>
      <c r="G1070" s="204">
        <f>IFERROR(IF(C1070=1,VLOOKUP(A1070,Output!$A$27:$AB$137,28,FALSE)/AnnuityMode,0),0)</f>
        <v>0</v>
      </c>
      <c r="H1070" s="220">
        <f>IFERROR(IF(AND(MIN(A1070&gt;25,Age+A1070&gt;=85),B1070=12),VLOOKUP(A1070,Output!$A$27:$AE$137,31,FALSE),0),0)</f>
        <v>0</v>
      </c>
      <c r="I1070" s="221">
        <f>IFERROR(IF(AND(MIN(A1070&gt;15,A1070+Age&gt;=70),C1070=1),VLOOKUP(A1070,Output!$A$27:$AF$137,32,FALSE)*VLOOKUP('SV calc_ignore'!A1070,Output!$A$27:$AG$137,33,FALSE)/IF(AnnuityMode=2,2,IF(AnnuityMode=4,4,IF(AnnuityMode=12,12,1))),0),0)</f>
        <v>0</v>
      </c>
      <c r="J1070" s="227">
        <f t="shared" si="196"/>
        <v>0</v>
      </c>
      <c r="K1070" s="213">
        <f t="shared" si="203"/>
        <v>0</v>
      </c>
      <c r="L1070" s="209">
        <f t="shared" si="197"/>
        <v>0</v>
      </c>
      <c r="M1070" s="214">
        <f t="shared" si="198"/>
        <v>0</v>
      </c>
      <c r="N1070" s="211">
        <f t="shared" si="199"/>
        <v>0</v>
      </c>
      <c r="O1070" s="194">
        <f t="shared" si="200"/>
        <v>0</v>
      </c>
      <c r="P1070" s="212">
        <f t="shared" si="201"/>
        <v>0</v>
      </c>
      <c r="Q1070">
        <f t="shared" si="205"/>
        <v>0</v>
      </c>
      <c r="X1070" s="216">
        <f t="shared" si="204"/>
        <v>88</v>
      </c>
      <c r="Y1070">
        <f t="shared" si="202"/>
        <v>0</v>
      </c>
    </row>
    <row r="1071" spans="1:25" ht="13.5" thickBot="1" x14ac:dyDescent="0.25">
      <c r="A1071" s="204">
        <f>IF(MOD(COUNT($A$10:A1070),12)=0,A1070+1,A1070)</f>
        <v>89</v>
      </c>
      <c r="B1071" s="218">
        <f t="shared" si="194"/>
        <v>6</v>
      </c>
      <c r="C1071" s="218">
        <f t="shared" si="195"/>
        <v>1</v>
      </c>
      <c r="D1071" s="208">
        <f>IF(MOD(COUNT($D$10:D1070),6)=0,D1070+1,D1070)</f>
        <v>177</v>
      </c>
      <c r="E1071" s="208">
        <f>IF(MOD(COUNT($E$10:E1070),3)=0,E1070+1,E1070)</f>
        <v>354</v>
      </c>
      <c r="F1071" s="208">
        <f>IF(MOD(COUNT($F$10:F1070),1)=0,F1070+1,F1070)</f>
        <v>1062</v>
      </c>
      <c r="G1071" s="204">
        <f>IFERROR(IF(C1071=1,VLOOKUP(A1071,Output!$A$27:$AB$137,28,FALSE)/AnnuityMode,0),0)</f>
        <v>0</v>
      </c>
      <c r="H1071" s="220">
        <f>IFERROR(IF(AND(MIN(A1071&gt;25,Age+A1071&gt;=85),B1071=12),VLOOKUP(A1071,Output!$A$27:$AE$137,31,FALSE),0),0)</f>
        <v>0</v>
      </c>
      <c r="I1071" s="221">
        <f>IFERROR(IF(AND(MIN(A1071&gt;15,A1071+Age&gt;=70),C1071=1),VLOOKUP(A1071,Output!$A$27:$AF$137,32,FALSE)*VLOOKUP('SV calc_ignore'!A1071,Output!$A$27:$AG$137,33,FALSE)/IF(AnnuityMode=2,2,IF(AnnuityMode=4,4,IF(AnnuityMode=12,12,1))),0),0)</f>
        <v>0</v>
      </c>
      <c r="J1071" s="227">
        <f t="shared" si="196"/>
        <v>0</v>
      </c>
      <c r="K1071" s="213">
        <f t="shared" si="203"/>
        <v>0</v>
      </c>
      <c r="L1071" s="209">
        <f t="shared" si="197"/>
        <v>0</v>
      </c>
      <c r="M1071" s="214">
        <f t="shared" si="198"/>
        <v>0</v>
      </c>
      <c r="N1071" s="211">
        <f t="shared" si="199"/>
        <v>0</v>
      </c>
      <c r="O1071" s="194">
        <f t="shared" si="200"/>
        <v>0</v>
      </c>
      <c r="P1071" s="212">
        <f t="shared" si="201"/>
        <v>0</v>
      </c>
      <c r="Q1071">
        <f t="shared" si="205"/>
        <v>0</v>
      </c>
      <c r="X1071" s="216">
        <f t="shared" si="204"/>
        <v>88</v>
      </c>
      <c r="Y1071">
        <f t="shared" si="202"/>
        <v>0</v>
      </c>
    </row>
    <row r="1072" spans="1:25" ht="13.5" thickBot="1" x14ac:dyDescent="0.25">
      <c r="A1072" s="204">
        <f>IF(MOD(COUNT($A$10:A1071),12)=0,A1071+1,A1071)</f>
        <v>89</v>
      </c>
      <c r="B1072" s="218">
        <f t="shared" si="194"/>
        <v>7</v>
      </c>
      <c r="C1072" s="218">
        <f t="shared" si="195"/>
        <v>1</v>
      </c>
      <c r="D1072" s="208">
        <f>IF(MOD(COUNT($D$10:D1071),6)=0,D1071+1,D1071)</f>
        <v>178</v>
      </c>
      <c r="E1072" s="208">
        <f>IF(MOD(COUNT($E$10:E1071),3)=0,E1071+1,E1071)</f>
        <v>355</v>
      </c>
      <c r="F1072" s="208">
        <f>IF(MOD(COUNT($F$10:F1071),1)=0,F1071+1,F1071)</f>
        <v>1063</v>
      </c>
      <c r="G1072" s="204">
        <f>IFERROR(IF(C1072=1,VLOOKUP(A1072,Output!$A$27:$AB$137,28,FALSE)/AnnuityMode,0),0)</f>
        <v>0</v>
      </c>
      <c r="H1072" s="220">
        <f>IFERROR(IF(AND(MIN(A1072&gt;25,Age+A1072&gt;=85),B1072=12),VLOOKUP(A1072,Output!$A$27:$AE$137,31,FALSE),0),0)</f>
        <v>0</v>
      </c>
      <c r="I1072" s="221">
        <f>IFERROR(IF(AND(MIN(A1072&gt;15,A1072+Age&gt;=70),C1072=1),VLOOKUP(A1072,Output!$A$27:$AF$137,32,FALSE)*VLOOKUP('SV calc_ignore'!A1072,Output!$A$27:$AG$137,33,FALSE)/IF(AnnuityMode=2,2,IF(AnnuityMode=4,4,IF(AnnuityMode=12,12,1))),0),0)</f>
        <v>0</v>
      </c>
      <c r="J1072" s="227">
        <f t="shared" si="196"/>
        <v>0</v>
      </c>
      <c r="K1072" s="213">
        <f t="shared" si="203"/>
        <v>0</v>
      </c>
      <c r="L1072" s="209">
        <f t="shared" si="197"/>
        <v>0</v>
      </c>
      <c r="M1072" s="214">
        <f t="shared" si="198"/>
        <v>0</v>
      </c>
      <c r="N1072" s="211">
        <f t="shared" si="199"/>
        <v>0</v>
      </c>
      <c r="O1072" s="194">
        <f t="shared" si="200"/>
        <v>0</v>
      </c>
      <c r="P1072" s="212">
        <f t="shared" si="201"/>
        <v>0</v>
      </c>
      <c r="Q1072">
        <f t="shared" si="205"/>
        <v>0</v>
      </c>
      <c r="X1072" s="216">
        <f t="shared" si="204"/>
        <v>88</v>
      </c>
      <c r="Y1072">
        <f t="shared" si="202"/>
        <v>0</v>
      </c>
    </row>
    <row r="1073" spans="1:25" ht="13.5" thickBot="1" x14ac:dyDescent="0.25">
      <c r="A1073" s="204">
        <f>IF(MOD(COUNT($A$10:A1072),12)=0,A1072+1,A1072)</f>
        <v>89</v>
      </c>
      <c r="B1073" s="218">
        <f t="shared" si="194"/>
        <v>8</v>
      </c>
      <c r="C1073" s="218">
        <f t="shared" si="195"/>
        <v>1</v>
      </c>
      <c r="D1073" s="208">
        <f>IF(MOD(COUNT($D$10:D1072),6)=0,D1072+1,D1072)</f>
        <v>178</v>
      </c>
      <c r="E1073" s="208">
        <f>IF(MOD(COUNT($E$10:E1072),3)=0,E1072+1,E1072)</f>
        <v>355</v>
      </c>
      <c r="F1073" s="208">
        <f>IF(MOD(COUNT($F$10:F1072),1)=0,F1072+1,F1072)</f>
        <v>1064</v>
      </c>
      <c r="G1073" s="204">
        <f>IFERROR(IF(C1073=1,VLOOKUP(A1073,Output!$A$27:$AB$137,28,FALSE)/AnnuityMode,0),0)</f>
        <v>0</v>
      </c>
      <c r="H1073" s="220">
        <f>IFERROR(IF(AND(MIN(A1073&gt;25,Age+A1073&gt;=85),B1073=12),VLOOKUP(A1073,Output!$A$27:$AE$137,31,FALSE),0),0)</f>
        <v>0</v>
      </c>
      <c r="I1073" s="221">
        <f>IFERROR(IF(AND(MIN(A1073&gt;15,A1073+Age&gt;=70),C1073=1),VLOOKUP(A1073,Output!$A$27:$AF$137,32,FALSE)*VLOOKUP('SV calc_ignore'!A1073,Output!$A$27:$AG$137,33,FALSE)/IF(AnnuityMode=2,2,IF(AnnuityMode=4,4,IF(AnnuityMode=12,12,1))),0),0)</f>
        <v>0</v>
      </c>
      <c r="J1073" s="227">
        <f t="shared" si="196"/>
        <v>0</v>
      </c>
      <c r="K1073" s="213">
        <f t="shared" si="203"/>
        <v>0</v>
      </c>
      <c r="L1073" s="209">
        <f t="shared" si="197"/>
        <v>0</v>
      </c>
      <c r="M1073" s="214">
        <f t="shared" si="198"/>
        <v>0</v>
      </c>
      <c r="N1073" s="211">
        <f t="shared" si="199"/>
        <v>0</v>
      </c>
      <c r="O1073" s="194">
        <f t="shared" si="200"/>
        <v>0</v>
      </c>
      <c r="P1073" s="212">
        <f t="shared" si="201"/>
        <v>0</v>
      </c>
      <c r="Q1073">
        <f t="shared" si="205"/>
        <v>0</v>
      </c>
      <c r="X1073" s="216">
        <f t="shared" si="204"/>
        <v>88</v>
      </c>
      <c r="Y1073">
        <f t="shared" si="202"/>
        <v>0</v>
      </c>
    </row>
    <row r="1074" spans="1:25" ht="13.5" thickBot="1" x14ac:dyDescent="0.25">
      <c r="A1074" s="204">
        <f>IF(MOD(COUNT($A$10:A1073),12)=0,A1073+1,A1073)</f>
        <v>89</v>
      </c>
      <c r="B1074" s="218">
        <f t="shared" si="194"/>
        <v>9</v>
      </c>
      <c r="C1074" s="218">
        <f t="shared" si="195"/>
        <v>1</v>
      </c>
      <c r="D1074" s="208">
        <f>IF(MOD(COUNT($D$10:D1073),6)=0,D1073+1,D1073)</f>
        <v>178</v>
      </c>
      <c r="E1074" s="208">
        <f>IF(MOD(COUNT($E$10:E1073),3)=0,E1073+1,E1073)</f>
        <v>355</v>
      </c>
      <c r="F1074" s="208">
        <f>IF(MOD(COUNT($F$10:F1073),1)=0,F1073+1,F1073)</f>
        <v>1065</v>
      </c>
      <c r="G1074" s="204">
        <f>IFERROR(IF(C1074=1,VLOOKUP(A1074,Output!$A$27:$AB$137,28,FALSE)/AnnuityMode,0),0)</f>
        <v>0</v>
      </c>
      <c r="H1074" s="220">
        <f>IFERROR(IF(AND(MIN(A1074&gt;25,Age+A1074&gt;=85),B1074=12),VLOOKUP(A1074,Output!$A$27:$AE$137,31,FALSE),0),0)</f>
        <v>0</v>
      </c>
      <c r="I1074" s="221">
        <f>IFERROR(IF(AND(MIN(A1074&gt;15,A1074+Age&gt;=70),C1074=1),VLOOKUP(A1074,Output!$A$27:$AF$137,32,FALSE)*VLOOKUP('SV calc_ignore'!A1074,Output!$A$27:$AG$137,33,FALSE)/IF(AnnuityMode=2,2,IF(AnnuityMode=4,4,IF(AnnuityMode=12,12,1))),0),0)</f>
        <v>0</v>
      </c>
      <c r="J1074" s="227">
        <f t="shared" si="196"/>
        <v>0</v>
      </c>
      <c r="K1074" s="213">
        <f t="shared" si="203"/>
        <v>0</v>
      </c>
      <c r="L1074" s="209">
        <f t="shared" si="197"/>
        <v>0</v>
      </c>
      <c r="M1074" s="214">
        <f t="shared" si="198"/>
        <v>0</v>
      </c>
      <c r="N1074" s="211">
        <f t="shared" si="199"/>
        <v>0</v>
      </c>
      <c r="O1074" s="194">
        <f t="shared" si="200"/>
        <v>0</v>
      </c>
      <c r="P1074" s="212">
        <f t="shared" si="201"/>
        <v>0</v>
      </c>
      <c r="Q1074">
        <f t="shared" si="205"/>
        <v>0</v>
      </c>
      <c r="X1074" s="216">
        <f t="shared" si="204"/>
        <v>88</v>
      </c>
      <c r="Y1074">
        <f t="shared" si="202"/>
        <v>0</v>
      </c>
    </row>
    <row r="1075" spans="1:25" ht="13.5" thickBot="1" x14ac:dyDescent="0.25">
      <c r="A1075" s="204">
        <f>IF(MOD(COUNT($A$10:A1074),12)=0,A1074+1,A1074)</f>
        <v>89</v>
      </c>
      <c r="B1075" s="218">
        <f t="shared" si="194"/>
        <v>10</v>
      </c>
      <c r="C1075" s="218">
        <f t="shared" si="195"/>
        <v>1</v>
      </c>
      <c r="D1075" s="208">
        <f>IF(MOD(COUNT($D$10:D1074),6)=0,D1074+1,D1074)</f>
        <v>178</v>
      </c>
      <c r="E1075" s="208">
        <f>IF(MOD(COUNT($E$10:E1074),3)=0,E1074+1,E1074)</f>
        <v>356</v>
      </c>
      <c r="F1075" s="208">
        <f>IF(MOD(COUNT($F$10:F1074),1)=0,F1074+1,F1074)</f>
        <v>1066</v>
      </c>
      <c r="G1075" s="204">
        <f>IFERROR(IF(C1075=1,VLOOKUP(A1075,Output!$A$27:$AB$137,28,FALSE)/AnnuityMode,0),0)</f>
        <v>0</v>
      </c>
      <c r="H1075" s="220">
        <f>IFERROR(IF(AND(MIN(A1075&gt;25,Age+A1075&gt;=85),B1075=12),VLOOKUP(A1075,Output!$A$27:$AE$137,31,FALSE),0),0)</f>
        <v>0</v>
      </c>
      <c r="I1075" s="221">
        <f>IFERROR(IF(AND(MIN(A1075&gt;15,A1075+Age&gt;=70),C1075=1),VLOOKUP(A1075,Output!$A$27:$AF$137,32,FALSE)*VLOOKUP('SV calc_ignore'!A1075,Output!$A$27:$AG$137,33,FALSE)/IF(AnnuityMode=2,2,IF(AnnuityMode=4,4,IF(AnnuityMode=12,12,1))),0),0)</f>
        <v>0</v>
      </c>
      <c r="J1075" s="227">
        <f t="shared" si="196"/>
        <v>0</v>
      </c>
      <c r="K1075" s="213">
        <f t="shared" si="203"/>
        <v>0</v>
      </c>
      <c r="L1075" s="209">
        <f t="shared" si="197"/>
        <v>0</v>
      </c>
      <c r="M1075" s="214">
        <f t="shared" si="198"/>
        <v>0</v>
      </c>
      <c r="N1075" s="211">
        <f t="shared" si="199"/>
        <v>0</v>
      </c>
      <c r="O1075" s="194">
        <f t="shared" si="200"/>
        <v>0</v>
      </c>
      <c r="P1075" s="212">
        <f t="shared" si="201"/>
        <v>0</v>
      </c>
      <c r="Q1075">
        <f t="shared" si="205"/>
        <v>0</v>
      </c>
      <c r="X1075" s="216">
        <f t="shared" si="204"/>
        <v>88</v>
      </c>
      <c r="Y1075">
        <f t="shared" si="202"/>
        <v>0</v>
      </c>
    </row>
    <row r="1076" spans="1:25" ht="13.5" thickBot="1" x14ac:dyDescent="0.25">
      <c r="A1076" s="204">
        <f>IF(MOD(COUNT($A$10:A1075),12)=0,A1075+1,A1075)</f>
        <v>89</v>
      </c>
      <c r="B1076" s="218">
        <f t="shared" si="194"/>
        <v>11</v>
      </c>
      <c r="C1076" s="218">
        <f t="shared" si="195"/>
        <v>1</v>
      </c>
      <c r="D1076" s="208">
        <f>IF(MOD(COUNT($D$10:D1075),6)=0,D1075+1,D1075)</f>
        <v>178</v>
      </c>
      <c r="E1076" s="208">
        <f>IF(MOD(COUNT($E$10:E1075),3)=0,E1075+1,E1075)</f>
        <v>356</v>
      </c>
      <c r="F1076" s="208">
        <f>IF(MOD(COUNT($F$10:F1075),1)=0,F1075+1,F1075)</f>
        <v>1067</v>
      </c>
      <c r="G1076" s="204">
        <f>IFERROR(IF(C1076=1,VLOOKUP(A1076,Output!$A$27:$AB$137,28,FALSE)/AnnuityMode,0),0)</f>
        <v>0</v>
      </c>
      <c r="H1076" s="220">
        <f>IFERROR(IF(AND(MIN(A1076&gt;25,Age+A1076&gt;=85),B1076=12),VLOOKUP(A1076,Output!$A$27:$AE$137,31,FALSE),0),0)</f>
        <v>0</v>
      </c>
      <c r="I1076" s="221">
        <f>IFERROR(IF(AND(MIN(A1076&gt;15,A1076+Age&gt;=70),C1076=1),VLOOKUP(A1076,Output!$A$27:$AF$137,32,FALSE)*VLOOKUP('SV calc_ignore'!A1076,Output!$A$27:$AG$137,33,FALSE)/IF(AnnuityMode=2,2,IF(AnnuityMode=4,4,IF(AnnuityMode=12,12,1))),0),0)</f>
        <v>0</v>
      </c>
      <c r="J1076" s="227">
        <f t="shared" si="196"/>
        <v>0</v>
      </c>
      <c r="K1076" s="213">
        <f t="shared" si="203"/>
        <v>0</v>
      </c>
      <c r="L1076" s="209">
        <f t="shared" si="197"/>
        <v>0</v>
      </c>
      <c r="M1076" s="214">
        <f t="shared" si="198"/>
        <v>0</v>
      </c>
      <c r="N1076" s="211">
        <f t="shared" si="199"/>
        <v>0</v>
      </c>
      <c r="O1076" s="194">
        <f t="shared" si="200"/>
        <v>0</v>
      </c>
      <c r="P1076" s="212">
        <f t="shared" si="201"/>
        <v>0</v>
      </c>
      <c r="Q1076">
        <f t="shared" si="205"/>
        <v>0</v>
      </c>
      <c r="X1076" s="216">
        <f t="shared" si="204"/>
        <v>88</v>
      </c>
      <c r="Y1076">
        <f t="shared" si="202"/>
        <v>0</v>
      </c>
    </row>
    <row r="1077" spans="1:25" ht="13.5" thickBot="1" x14ac:dyDescent="0.25">
      <c r="A1077" s="204">
        <f>IF(MOD(COUNT($A$10:A1076),12)=0,A1076+1,A1076)</f>
        <v>89</v>
      </c>
      <c r="B1077" s="218">
        <f t="shared" si="194"/>
        <v>12</v>
      </c>
      <c r="C1077" s="218">
        <f t="shared" si="195"/>
        <v>1</v>
      </c>
      <c r="D1077" s="208">
        <f>IF(MOD(COUNT($D$10:D1076),6)=0,D1076+1,D1076)</f>
        <v>178</v>
      </c>
      <c r="E1077" s="208">
        <f>IF(MOD(COUNT($E$10:E1076),3)=0,E1076+1,E1076)</f>
        <v>356</v>
      </c>
      <c r="F1077" s="208">
        <f>IF(MOD(COUNT($F$10:F1076),1)=0,F1076+1,F1076)</f>
        <v>1068</v>
      </c>
      <c r="G1077" s="204">
        <f>IFERROR(IF(C1077=1,VLOOKUP(A1077,Output!$A$27:$AB$137,28,FALSE)/AnnuityMode,0),0)</f>
        <v>0</v>
      </c>
      <c r="H1077" s="220">
        <f>IFERROR(IF(AND(MIN(A1077&gt;25,Age+A1077&gt;=85),B1077=12),VLOOKUP(A1077,Output!$A$27:$AE$137,31,FALSE),0),0)</f>
        <v>0</v>
      </c>
      <c r="I1077" s="221">
        <f>IFERROR(IF(AND(MIN(A1077&gt;15,A1077+Age&gt;=70),C1077=1),VLOOKUP(A1077,Output!$A$27:$AF$137,32,FALSE)*VLOOKUP('SV calc_ignore'!A1077,Output!$A$27:$AG$137,33,FALSE)/IF(AnnuityMode=2,2,IF(AnnuityMode=4,4,IF(AnnuityMode=12,12,1))),0),0)</f>
        <v>0</v>
      </c>
      <c r="J1077" s="227">
        <f t="shared" si="196"/>
        <v>0</v>
      </c>
      <c r="K1077" s="213">
        <f t="shared" si="203"/>
        <v>0</v>
      </c>
      <c r="L1077" s="209">
        <f t="shared" si="197"/>
        <v>0</v>
      </c>
      <c r="M1077" s="214">
        <f t="shared" si="198"/>
        <v>0</v>
      </c>
      <c r="N1077" s="211">
        <f t="shared" si="199"/>
        <v>0</v>
      </c>
      <c r="O1077" s="194">
        <f t="shared" si="200"/>
        <v>0</v>
      </c>
      <c r="P1077" s="212">
        <f t="shared" si="201"/>
        <v>0</v>
      </c>
      <c r="Q1077">
        <f t="shared" si="205"/>
        <v>0</v>
      </c>
      <c r="X1077" s="216">
        <f t="shared" si="204"/>
        <v>88</v>
      </c>
      <c r="Y1077">
        <f t="shared" si="202"/>
        <v>0</v>
      </c>
    </row>
    <row r="1078" spans="1:25" ht="13.5" thickBot="1" x14ac:dyDescent="0.25">
      <c r="A1078" s="204">
        <f>IF(MOD(COUNT($A$10:A1077),12)=0,A1077+1,A1077)</f>
        <v>90</v>
      </c>
      <c r="B1078" s="218">
        <f t="shared" si="194"/>
        <v>1</v>
      </c>
      <c r="C1078" s="218">
        <f t="shared" si="195"/>
        <v>1</v>
      </c>
      <c r="D1078" s="208">
        <f>IF(MOD(COUNT($D$10:D1077),6)=0,D1077+1,D1077)</f>
        <v>179</v>
      </c>
      <c r="E1078" s="208">
        <f>IF(MOD(COUNT($E$10:E1077),3)=0,E1077+1,E1077)</f>
        <v>357</v>
      </c>
      <c r="F1078" s="208">
        <f>IF(MOD(COUNT($F$10:F1077),1)=0,F1077+1,F1077)</f>
        <v>1069</v>
      </c>
      <c r="G1078" s="204">
        <f>IFERROR(IF(C1078=1,VLOOKUP(A1078,Output!$A$27:$AB$137,28,FALSE)/AnnuityMode,0),0)</f>
        <v>0</v>
      </c>
      <c r="H1078" s="220">
        <f>IFERROR(IF(AND(MIN(A1078&gt;25,Age+A1078&gt;=85),B1078=12),VLOOKUP(A1078,Output!$A$27:$AE$137,31,FALSE),0),0)</f>
        <v>0</v>
      </c>
      <c r="I1078" s="221">
        <f>IFERROR(IF(AND(MIN(A1078&gt;15,A1078+Age&gt;=70),C1078=1),VLOOKUP(A1078,Output!$A$27:$AF$137,32,FALSE)*VLOOKUP('SV calc_ignore'!A1078,Output!$A$27:$AG$137,33,FALSE)/IF(AnnuityMode=2,2,IF(AnnuityMode=4,4,IF(AnnuityMode=12,12,1))),0),0)</f>
        <v>0</v>
      </c>
      <c r="J1078" s="227">
        <f t="shared" si="196"/>
        <v>0</v>
      </c>
      <c r="K1078" s="213">
        <f t="shared" si="203"/>
        <v>0</v>
      </c>
      <c r="L1078" s="209">
        <f t="shared" si="197"/>
        <v>0</v>
      </c>
      <c r="M1078" s="214">
        <f t="shared" si="198"/>
        <v>0</v>
      </c>
      <c r="N1078" s="211">
        <f t="shared" si="199"/>
        <v>0</v>
      </c>
      <c r="O1078" s="194">
        <f t="shared" si="200"/>
        <v>0</v>
      </c>
      <c r="P1078" s="212">
        <f t="shared" si="201"/>
        <v>0</v>
      </c>
      <c r="Q1078">
        <f t="shared" si="205"/>
        <v>0</v>
      </c>
      <c r="X1078" s="216">
        <f t="shared" si="204"/>
        <v>89</v>
      </c>
      <c r="Y1078">
        <f t="shared" si="202"/>
        <v>0</v>
      </c>
    </row>
    <row r="1079" spans="1:25" ht="13.5" thickBot="1" x14ac:dyDescent="0.25">
      <c r="A1079" s="204">
        <f>IF(MOD(COUNT($A$10:A1078),12)=0,A1078+1,A1078)</f>
        <v>90</v>
      </c>
      <c r="B1079" s="218">
        <f t="shared" si="194"/>
        <v>2</v>
      </c>
      <c r="C1079" s="218">
        <f t="shared" si="195"/>
        <v>1</v>
      </c>
      <c r="D1079" s="208">
        <f>IF(MOD(COUNT($D$10:D1078),6)=0,D1078+1,D1078)</f>
        <v>179</v>
      </c>
      <c r="E1079" s="208">
        <f>IF(MOD(COUNT($E$10:E1078),3)=0,E1078+1,E1078)</f>
        <v>357</v>
      </c>
      <c r="F1079" s="208">
        <f>IF(MOD(COUNT($F$10:F1078),1)=0,F1078+1,F1078)</f>
        <v>1070</v>
      </c>
      <c r="G1079" s="204">
        <f>IFERROR(IF(C1079=1,VLOOKUP(A1079,Output!$A$27:$AB$137,28,FALSE)/AnnuityMode,0),0)</f>
        <v>0</v>
      </c>
      <c r="H1079" s="220">
        <f>IFERROR(IF(AND(MIN(A1079&gt;25,Age+A1079&gt;=85),B1079=12),VLOOKUP(A1079,Output!$A$27:$AE$137,31,FALSE),0),0)</f>
        <v>0</v>
      </c>
      <c r="I1079" s="221">
        <f>IFERROR(IF(AND(MIN(A1079&gt;15,A1079+Age&gt;=70),C1079=1),VLOOKUP(A1079,Output!$A$27:$AF$137,32,FALSE)*VLOOKUP('SV calc_ignore'!A1079,Output!$A$27:$AG$137,33,FALSE)/IF(AnnuityMode=2,2,IF(AnnuityMode=4,4,IF(AnnuityMode=12,12,1))),0),0)</f>
        <v>0</v>
      </c>
      <c r="J1079" s="227">
        <f t="shared" si="196"/>
        <v>0</v>
      </c>
      <c r="K1079" s="213">
        <f t="shared" si="203"/>
        <v>0</v>
      </c>
      <c r="L1079" s="209">
        <f t="shared" si="197"/>
        <v>0</v>
      </c>
      <c r="M1079" s="214">
        <f t="shared" si="198"/>
        <v>0</v>
      </c>
      <c r="N1079" s="211">
        <f t="shared" si="199"/>
        <v>0</v>
      </c>
      <c r="O1079" s="194">
        <f t="shared" si="200"/>
        <v>0</v>
      </c>
      <c r="P1079" s="212">
        <f t="shared" si="201"/>
        <v>0</v>
      </c>
      <c r="Q1079">
        <f t="shared" si="205"/>
        <v>0</v>
      </c>
      <c r="X1079" s="216">
        <f t="shared" si="204"/>
        <v>89</v>
      </c>
      <c r="Y1079">
        <f t="shared" si="202"/>
        <v>0</v>
      </c>
    </row>
    <row r="1080" spans="1:25" ht="13.5" thickBot="1" x14ac:dyDescent="0.25">
      <c r="A1080" s="204">
        <f>IF(MOD(COUNT($A$10:A1079),12)=0,A1079+1,A1079)</f>
        <v>90</v>
      </c>
      <c r="B1080" s="218">
        <f t="shared" si="194"/>
        <v>3</v>
      </c>
      <c r="C1080" s="218">
        <f t="shared" si="195"/>
        <v>1</v>
      </c>
      <c r="D1080" s="208">
        <f>IF(MOD(COUNT($D$10:D1079),6)=0,D1079+1,D1079)</f>
        <v>179</v>
      </c>
      <c r="E1080" s="208">
        <f>IF(MOD(COUNT($E$10:E1079),3)=0,E1079+1,E1079)</f>
        <v>357</v>
      </c>
      <c r="F1080" s="208">
        <f>IF(MOD(COUNT($F$10:F1079),1)=0,F1079+1,F1079)</f>
        <v>1071</v>
      </c>
      <c r="G1080" s="204">
        <f>IFERROR(IF(C1080=1,VLOOKUP(A1080,Output!$A$27:$AB$137,28,FALSE)/AnnuityMode,0),0)</f>
        <v>0</v>
      </c>
      <c r="H1080" s="220">
        <f>IFERROR(IF(AND(MIN(A1080&gt;25,Age+A1080&gt;=85),B1080=12),VLOOKUP(A1080,Output!$A$27:$AE$137,31,FALSE),0),0)</f>
        <v>0</v>
      </c>
      <c r="I1080" s="221">
        <f>IFERROR(IF(AND(MIN(A1080&gt;15,A1080+Age&gt;=70),C1080=1),VLOOKUP(A1080,Output!$A$27:$AF$137,32,FALSE)*VLOOKUP('SV calc_ignore'!A1080,Output!$A$27:$AG$137,33,FALSE)/IF(AnnuityMode=2,2,IF(AnnuityMode=4,4,IF(AnnuityMode=12,12,1))),0),0)</f>
        <v>0</v>
      </c>
      <c r="J1080" s="227">
        <f t="shared" si="196"/>
        <v>0</v>
      </c>
      <c r="K1080" s="213">
        <f t="shared" si="203"/>
        <v>0</v>
      </c>
      <c r="L1080" s="209">
        <f t="shared" si="197"/>
        <v>0</v>
      </c>
      <c r="M1080" s="214">
        <f t="shared" si="198"/>
        <v>0</v>
      </c>
      <c r="N1080" s="211">
        <f t="shared" si="199"/>
        <v>0</v>
      </c>
      <c r="O1080" s="194">
        <f t="shared" si="200"/>
        <v>0</v>
      </c>
      <c r="P1080" s="212">
        <f t="shared" si="201"/>
        <v>0</v>
      </c>
      <c r="Q1080">
        <f t="shared" si="205"/>
        <v>0</v>
      </c>
      <c r="X1080" s="216">
        <f t="shared" si="204"/>
        <v>89</v>
      </c>
      <c r="Y1080">
        <f t="shared" si="202"/>
        <v>0</v>
      </c>
    </row>
    <row r="1081" spans="1:25" ht="13.5" thickBot="1" x14ac:dyDescent="0.25">
      <c r="A1081" s="204">
        <f>IF(MOD(COUNT($A$10:A1080),12)=0,A1080+1,A1080)</f>
        <v>90</v>
      </c>
      <c r="B1081" s="218">
        <f t="shared" si="194"/>
        <v>4</v>
      </c>
      <c r="C1081" s="218">
        <f t="shared" si="195"/>
        <v>1</v>
      </c>
      <c r="D1081" s="208">
        <f>IF(MOD(COUNT($D$10:D1080),6)=0,D1080+1,D1080)</f>
        <v>179</v>
      </c>
      <c r="E1081" s="208">
        <f>IF(MOD(COUNT($E$10:E1080),3)=0,E1080+1,E1080)</f>
        <v>358</v>
      </c>
      <c r="F1081" s="208">
        <f>IF(MOD(COUNT($F$10:F1080),1)=0,F1080+1,F1080)</f>
        <v>1072</v>
      </c>
      <c r="G1081" s="204">
        <f>IFERROR(IF(C1081=1,VLOOKUP(A1081,Output!$A$27:$AB$137,28,FALSE)/AnnuityMode,0),0)</f>
        <v>0</v>
      </c>
      <c r="H1081" s="220">
        <f>IFERROR(IF(AND(MIN(A1081&gt;25,Age+A1081&gt;=85),B1081=12),VLOOKUP(A1081,Output!$A$27:$AE$137,31,FALSE),0),0)</f>
        <v>0</v>
      </c>
      <c r="I1081" s="221">
        <f>IFERROR(IF(AND(MIN(A1081&gt;15,A1081+Age&gt;=70),C1081=1),VLOOKUP(A1081,Output!$A$27:$AF$137,32,FALSE)*VLOOKUP('SV calc_ignore'!A1081,Output!$A$27:$AG$137,33,FALSE)/IF(AnnuityMode=2,2,IF(AnnuityMode=4,4,IF(AnnuityMode=12,12,1))),0),0)</f>
        <v>0</v>
      </c>
      <c r="J1081" s="227">
        <f t="shared" si="196"/>
        <v>0</v>
      </c>
      <c r="K1081" s="213">
        <f t="shared" si="203"/>
        <v>0</v>
      </c>
      <c r="L1081" s="209">
        <f t="shared" si="197"/>
        <v>0</v>
      </c>
      <c r="M1081" s="214">
        <f t="shared" si="198"/>
        <v>0</v>
      </c>
      <c r="N1081" s="211">
        <f t="shared" si="199"/>
        <v>0</v>
      </c>
      <c r="O1081" s="194">
        <f t="shared" si="200"/>
        <v>0</v>
      </c>
      <c r="P1081" s="212">
        <f t="shared" si="201"/>
        <v>0</v>
      </c>
      <c r="Q1081">
        <f t="shared" si="205"/>
        <v>0</v>
      </c>
      <c r="X1081" s="216">
        <f t="shared" si="204"/>
        <v>89</v>
      </c>
      <c r="Y1081">
        <f t="shared" si="202"/>
        <v>0</v>
      </c>
    </row>
    <row r="1082" spans="1:25" ht="13.5" thickBot="1" x14ac:dyDescent="0.25">
      <c r="A1082" s="204">
        <f>IF(MOD(COUNT($A$10:A1081),12)=0,A1081+1,A1081)</f>
        <v>90</v>
      </c>
      <c r="B1082" s="218">
        <f t="shared" si="194"/>
        <v>5</v>
      </c>
      <c r="C1082" s="218">
        <f t="shared" si="195"/>
        <v>1</v>
      </c>
      <c r="D1082" s="208">
        <f>IF(MOD(COUNT($D$10:D1081),6)=0,D1081+1,D1081)</f>
        <v>179</v>
      </c>
      <c r="E1082" s="208">
        <f>IF(MOD(COUNT($E$10:E1081),3)=0,E1081+1,E1081)</f>
        <v>358</v>
      </c>
      <c r="F1082" s="208">
        <f>IF(MOD(COUNT($F$10:F1081),1)=0,F1081+1,F1081)</f>
        <v>1073</v>
      </c>
      <c r="G1082" s="204">
        <f>IFERROR(IF(C1082=1,VLOOKUP(A1082,Output!$A$27:$AB$137,28,FALSE)/AnnuityMode,0),0)</f>
        <v>0</v>
      </c>
      <c r="H1082" s="220">
        <f>IFERROR(IF(AND(MIN(A1082&gt;25,Age+A1082&gt;=85),B1082=12),VLOOKUP(A1082,Output!$A$27:$AE$137,31,FALSE),0),0)</f>
        <v>0</v>
      </c>
      <c r="I1082" s="221">
        <f>IFERROR(IF(AND(MIN(A1082&gt;15,A1082+Age&gt;=70),C1082=1),VLOOKUP(A1082,Output!$A$27:$AF$137,32,FALSE)*VLOOKUP('SV calc_ignore'!A1082,Output!$A$27:$AG$137,33,FALSE)/IF(AnnuityMode=2,2,IF(AnnuityMode=4,4,IF(AnnuityMode=12,12,1))),0),0)</f>
        <v>0</v>
      </c>
      <c r="J1082" s="227">
        <f t="shared" si="196"/>
        <v>0</v>
      </c>
      <c r="K1082" s="213">
        <f t="shared" si="203"/>
        <v>0</v>
      </c>
      <c r="L1082" s="209">
        <f t="shared" si="197"/>
        <v>0</v>
      </c>
      <c r="M1082" s="214">
        <f t="shared" si="198"/>
        <v>0</v>
      </c>
      <c r="N1082" s="211">
        <f t="shared" si="199"/>
        <v>0</v>
      </c>
      <c r="O1082" s="194">
        <f t="shared" si="200"/>
        <v>0</v>
      </c>
      <c r="P1082" s="212">
        <f t="shared" si="201"/>
        <v>0</v>
      </c>
      <c r="Q1082">
        <f t="shared" si="205"/>
        <v>0</v>
      </c>
      <c r="X1082" s="216">
        <f t="shared" si="204"/>
        <v>89</v>
      </c>
      <c r="Y1082">
        <f t="shared" si="202"/>
        <v>0</v>
      </c>
    </row>
    <row r="1083" spans="1:25" ht="13.5" thickBot="1" x14ac:dyDescent="0.25">
      <c r="A1083" s="204">
        <f>IF(MOD(COUNT($A$10:A1082),12)=0,A1082+1,A1082)</f>
        <v>90</v>
      </c>
      <c r="B1083" s="218">
        <f t="shared" si="194"/>
        <v>6</v>
      </c>
      <c r="C1083" s="218">
        <f t="shared" si="195"/>
        <v>1</v>
      </c>
      <c r="D1083" s="208">
        <f>IF(MOD(COUNT($D$10:D1082),6)=0,D1082+1,D1082)</f>
        <v>179</v>
      </c>
      <c r="E1083" s="208">
        <f>IF(MOD(COUNT($E$10:E1082),3)=0,E1082+1,E1082)</f>
        <v>358</v>
      </c>
      <c r="F1083" s="208">
        <f>IF(MOD(COUNT($F$10:F1082),1)=0,F1082+1,F1082)</f>
        <v>1074</v>
      </c>
      <c r="G1083" s="204">
        <f>IFERROR(IF(C1083=1,VLOOKUP(A1083,Output!$A$27:$AB$137,28,FALSE)/AnnuityMode,0),0)</f>
        <v>0</v>
      </c>
      <c r="H1083" s="220">
        <f>IFERROR(IF(AND(MIN(A1083&gt;25,Age+A1083&gt;=85),B1083=12),VLOOKUP(A1083,Output!$A$27:$AE$137,31,FALSE),0),0)</f>
        <v>0</v>
      </c>
      <c r="I1083" s="221">
        <f>IFERROR(IF(AND(MIN(A1083&gt;15,A1083+Age&gt;=70),C1083=1),VLOOKUP(A1083,Output!$A$27:$AF$137,32,FALSE)*VLOOKUP('SV calc_ignore'!A1083,Output!$A$27:$AG$137,33,FALSE)/IF(AnnuityMode=2,2,IF(AnnuityMode=4,4,IF(AnnuityMode=12,12,1))),0),0)</f>
        <v>0</v>
      </c>
      <c r="J1083" s="227">
        <f t="shared" si="196"/>
        <v>0</v>
      </c>
      <c r="K1083" s="213">
        <f t="shared" si="203"/>
        <v>0</v>
      </c>
      <c r="L1083" s="209">
        <f t="shared" si="197"/>
        <v>0</v>
      </c>
      <c r="M1083" s="214">
        <f t="shared" si="198"/>
        <v>0</v>
      </c>
      <c r="N1083" s="211">
        <f t="shared" si="199"/>
        <v>0</v>
      </c>
      <c r="O1083" s="194">
        <f t="shared" si="200"/>
        <v>0</v>
      </c>
      <c r="P1083" s="212">
        <f t="shared" si="201"/>
        <v>0</v>
      </c>
      <c r="Q1083">
        <f t="shared" si="205"/>
        <v>0</v>
      </c>
      <c r="X1083" s="216">
        <f t="shared" si="204"/>
        <v>89</v>
      </c>
      <c r="Y1083">
        <f t="shared" si="202"/>
        <v>0</v>
      </c>
    </row>
    <row r="1084" spans="1:25" ht="13.5" thickBot="1" x14ac:dyDescent="0.25">
      <c r="A1084" s="204">
        <f>IF(MOD(COUNT($A$10:A1083),12)=0,A1083+1,A1083)</f>
        <v>90</v>
      </c>
      <c r="B1084" s="218">
        <f t="shared" si="194"/>
        <v>7</v>
      </c>
      <c r="C1084" s="218">
        <f t="shared" si="195"/>
        <v>1</v>
      </c>
      <c r="D1084" s="208">
        <f>IF(MOD(COUNT($D$10:D1083),6)=0,D1083+1,D1083)</f>
        <v>180</v>
      </c>
      <c r="E1084" s="208">
        <f>IF(MOD(COUNT($E$10:E1083),3)=0,E1083+1,E1083)</f>
        <v>359</v>
      </c>
      <c r="F1084" s="208">
        <f>IF(MOD(COUNT($F$10:F1083),1)=0,F1083+1,F1083)</f>
        <v>1075</v>
      </c>
      <c r="G1084" s="204">
        <f>IFERROR(IF(C1084=1,VLOOKUP(A1084,Output!$A$27:$AB$137,28,FALSE)/AnnuityMode,0),0)</f>
        <v>0</v>
      </c>
      <c r="H1084" s="220">
        <f>IFERROR(IF(AND(MIN(A1084&gt;25,Age+A1084&gt;=85),B1084=12),VLOOKUP(A1084,Output!$A$27:$AE$137,31,FALSE),0),0)</f>
        <v>0</v>
      </c>
      <c r="I1084" s="221">
        <f>IFERROR(IF(AND(MIN(A1084&gt;15,A1084+Age&gt;=70),C1084=1),VLOOKUP(A1084,Output!$A$27:$AF$137,32,FALSE)*VLOOKUP('SV calc_ignore'!A1084,Output!$A$27:$AG$137,33,FALSE)/IF(AnnuityMode=2,2,IF(AnnuityMode=4,4,IF(AnnuityMode=12,12,1))),0),0)</f>
        <v>0</v>
      </c>
      <c r="J1084" s="227">
        <f t="shared" si="196"/>
        <v>0</v>
      </c>
      <c r="K1084" s="213">
        <f t="shared" si="203"/>
        <v>0</v>
      </c>
      <c r="L1084" s="209">
        <f t="shared" si="197"/>
        <v>0</v>
      </c>
      <c r="M1084" s="214">
        <f t="shared" si="198"/>
        <v>0</v>
      </c>
      <c r="N1084" s="211">
        <f t="shared" si="199"/>
        <v>0</v>
      </c>
      <c r="O1084" s="194">
        <f t="shared" si="200"/>
        <v>0</v>
      </c>
      <c r="P1084" s="212">
        <f t="shared" si="201"/>
        <v>0</v>
      </c>
      <c r="Q1084">
        <f t="shared" si="205"/>
        <v>0</v>
      </c>
      <c r="X1084" s="216">
        <f t="shared" si="204"/>
        <v>89</v>
      </c>
      <c r="Y1084">
        <f t="shared" si="202"/>
        <v>0</v>
      </c>
    </row>
    <row r="1085" spans="1:25" ht="13.5" thickBot="1" x14ac:dyDescent="0.25">
      <c r="A1085" s="204">
        <f>IF(MOD(COUNT($A$10:A1084),12)=0,A1084+1,A1084)</f>
        <v>90</v>
      </c>
      <c r="B1085" s="218">
        <f t="shared" si="194"/>
        <v>8</v>
      </c>
      <c r="C1085" s="218">
        <f t="shared" si="195"/>
        <v>1</v>
      </c>
      <c r="D1085" s="208">
        <f>IF(MOD(COUNT($D$10:D1084),6)=0,D1084+1,D1084)</f>
        <v>180</v>
      </c>
      <c r="E1085" s="208">
        <f>IF(MOD(COUNT($E$10:E1084),3)=0,E1084+1,E1084)</f>
        <v>359</v>
      </c>
      <c r="F1085" s="208">
        <f>IF(MOD(COUNT($F$10:F1084),1)=0,F1084+1,F1084)</f>
        <v>1076</v>
      </c>
      <c r="G1085" s="204">
        <f>IFERROR(IF(C1085=1,VLOOKUP(A1085,Output!$A$27:$AB$137,28,FALSE)/AnnuityMode,0),0)</f>
        <v>0</v>
      </c>
      <c r="H1085" s="220">
        <f>IFERROR(IF(AND(MIN(A1085&gt;25,Age+A1085&gt;=85),B1085=12),VLOOKUP(A1085,Output!$A$27:$AE$137,31,FALSE),0),0)</f>
        <v>0</v>
      </c>
      <c r="I1085" s="221">
        <f>IFERROR(IF(AND(MIN(A1085&gt;15,A1085+Age&gt;=70),C1085=1),VLOOKUP(A1085,Output!$A$27:$AF$137,32,FALSE)*VLOOKUP('SV calc_ignore'!A1085,Output!$A$27:$AG$137,33,FALSE)/IF(AnnuityMode=2,2,IF(AnnuityMode=4,4,IF(AnnuityMode=12,12,1))),0),0)</f>
        <v>0</v>
      </c>
      <c r="J1085" s="227">
        <f t="shared" si="196"/>
        <v>0</v>
      </c>
      <c r="K1085" s="213">
        <f t="shared" si="203"/>
        <v>0</v>
      </c>
      <c r="L1085" s="209">
        <f t="shared" si="197"/>
        <v>0</v>
      </c>
      <c r="M1085" s="214">
        <f t="shared" si="198"/>
        <v>0</v>
      </c>
      <c r="N1085" s="211">
        <f t="shared" si="199"/>
        <v>0</v>
      </c>
      <c r="O1085" s="194">
        <f t="shared" si="200"/>
        <v>0</v>
      </c>
      <c r="P1085" s="212">
        <f t="shared" si="201"/>
        <v>0</v>
      </c>
      <c r="Q1085">
        <f t="shared" si="205"/>
        <v>0</v>
      </c>
      <c r="X1085" s="216">
        <f t="shared" si="204"/>
        <v>89</v>
      </c>
      <c r="Y1085">
        <f t="shared" si="202"/>
        <v>0</v>
      </c>
    </row>
    <row r="1086" spans="1:25" ht="13.5" thickBot="1" x14ac:dyDescent="0.25">
      <c r="A1086" s="204">
        <f>IF(MOD(COUNT($A$10:A1085),12)=0,A1085+1,A1085)</f>
        <v>90</v>
      </c>
      <c r="B1086" s="218">
        <f t="shared" si="194"/>
        <v>9</v>
      </c>
      <c r="C1086" s="218">
        <f t="shared" si="195"/>
        <v>1</v>
      </c>
      <c r="D1086" s="208">
        <f>IF(MOD(COUNT($D$10:D1085),6)=0,D1085+1,D1085)</f>
        <v>180</v>
      </c>
      <c r="E1086" s="208">
        <f>IF(MOD(COUNT($E$10:E1085),3)=0,E1085+1,E1085)</f>
        <v>359</v>
      </c>
      <c r="F1086" s="208">
        <f>IF(MOD(COUNT($F$10:F1085),1)=0,F1085+1,F1085)</f>
        <v>1077</v>
      </c>
      <c r="G1086" s="204">
        <f>IFERROR(IF(C1086=1,VLOOKUP(A1086,Output!$A$27:$AB$137,28,FALSE)/AnnuityMode,0),0)</f>
        <v>0</v>
      </c>
      <c r="H1086" s="220">
        <f>IFERROR(IF(AND(MIN(A1086&gt;25,Age+A1086&gt;=85),B1086=12),VLOOKUP(A1086,Output!$A$27:$AE$137,31,FALSE),0),0)</f>
        <v>0</v>
      </c>
      <c r="I1086" s="221">
        <f>IFERROR(IF(AND(MIN(A1086&gt;15,A1086+Age&gt;=70),C1086=1),VLOOKUP(A1086,Output!$A$27:$AF$137,32,FALSE)*VLOOKUP('SV calc_ignore'!A1086,Output!$A$27:$AG$137,33,FALSE)/IF(AnnuityMode=2,2,IF(AnnuityMode=4,4,IF(AnnuityMode=12,12,1))),0),0)</f>
        <v>0</v>
      </c>
      <c r="J1086" s="227">
        <f t="shared" si="196"/>
        <v>0</v>
      </c>
      <c r="K1086" s="213">
        <f t="shared" si="203"/>
        <v>0</v>
      </c>
      <c r="L1086" s="209">
        <f t="shared" si="197"/>
        <v>0</v>
      </c>
      <c r="M1086" s="214">
        <f t="shared" si="198"/>
        <v>0</v>
      </c>
      <c r="N1086" s="211">
        <f t="shared" si="199"/>
        <v>0</v>
      </c>
      <c r="O1086" s="194">
        <f t="shared" si="200"/>
        <v>0</v>
      </c>
      <c r="P1086" s="212">
        <f t="shared" si="201"/>
        <v>0</v>
      </c>
      <c r="Q1086">
        <f t="shared" si="205"/>
        <v>0</v>
      </c>
      <c r="X1086" s="216">
        <f t="shared" si="204"/>
        <v>89</v>
      </c>
      <c r="Y1086">
        <f t="shared" si="202"/>
        <v>0</v>
      </c>
    </row>
    <row r="1087" spans="1:25" ht="13.5" thickBot="1" x14ac:dyDescent="0.25">
      <c r="A1087" s="204">
        <f>IF(MOD(COUNT($A$10:A1086),12)=0,A1086+1,A1086)</f>
        <v>90</v>
      </c>
      <c r="B1087" s="218">
        <f t="shared" si="194"/>
        <v>10</v>
      </c>
      <c r="C1087" s="218">
        <f t="shared" si="195"/>
        <v>1</v>
      </c>
      <c r="D1087" s="208">
        <f>IF(MOD(COUNT($D$10:D1086),6)=0,D1086+1,D1086)</f>
        <v>180</v>
      </c>
      <c r="E1087" s="208">
        <f>IF(MOD(COUNT($E$10:E1086),3)=0,E1086+1,E1086)</f>
        <v>360</v>
      </c>
      <c r="F1087" s="208">
        <f>IF(MOD(COUNT($F$10:F1086),1)=0,F1086+1,F1086)</f>
        <v>1078</v>
      </c>
      <c r="G1087" s="204">
        <f>IFERROR(IF(C1087=1,VLOOKUP(A1087,Output!$A$27:$AB$137,28,FALSE)/AnnuityMode,0),0)</f>
        <v>0</v>
      </c>
      <c r="H1087" s="220">
        <f>IFERROR(IF(AND(MIN(A1087&gt;25,Age+A1087&gt;=85),B1087=12),VLOOKUP(A1087,Output!$A$27:$AE$137,31,FALSE),0),0)</f>
        <v>0</v>
      </c>
      <c r="I1087" s="221">
        <f>IFERROR(IF(AND(MIN(A1087&gt;15,A1087+Age&gt;=70),C1087=1),VLOOKUP(A1087,Output!$A$27:$AF$137,32,FALSE)*VLOOKUP('SV calc_ignore'!A1087,Output!$A$27:$AG$137,33,FALSE)/IF(AnnuityMode=2,2,IF(AnnuityMode=4,4,IF(AnnuityMode=12,12,1))),0),0)</f>
        <v>0</v>
      </c>
      <c r="J1087" s="227">
        <f t="shared" si="196"/>
        <v>0</v>
      </c>
      <c r="K1087" s="213">
        <f t="shared" si="203"/>
        <v>0</v>
      </c>
      <c r="L1087" s="209">
        <f t="shared" si="197"/>
        <v>0</v>
      </c>
      <c r="M1087" s="214">
        <f t="shared" si="198"/>
        <v>0</v>
      </c>
      <c r="N1087" s="211">
        <f t="shared" si="199"/>
        <v>0</v>
      </c>
      <c r="O1087" s="194">
        <f t="shared" si="200"/>
        <v>0</v>
      </c>
      <c r="P1087" s="212">
        <f t="shared" si="201"/>
        <v>0</v>
      </c>
      <c r="Q1087">
        <f t="shared" si="205"/>
        <v>0</v>
      </c>
      <c r="X1087" s="216">
        <f t="shared" si="204"/>
        <v>89</v>
      </c>
      <c r="Y1087">
        <f t="shared" si="202"/>
        <v>0</v>
      </c>
    </row>
    <row r="1088" spans="1:25" ht="13.5" thickBot="1" x14ac:dyDescent="0.25">
      <c r="A1088" s="204">
        <f>IF(MOD(COUNT($A$10:A1087),12)=0,A1087+1,A1087)</f>
        <v>90</v>
      </c>
      <c r="B1088" s="218">
        <f t="shared" si="194"/>
        <v>11</v>
      </c>
      <c r="C1088" s="218">
        <f t="shared" si="195"/>
        <v>1</v>
      </c>
      <c r="D1088" s="208">
        <f>IF(MOD(COUNT($D$10:D1087),6)=0,D1087+1,D1087)</f>
        <v>180</v>
      </c>
      <c r="E1088" s="208">
        <f>IF(MOD(COUNT($E$10:E1087),3)=0,E1087+1,E1087)</f>
        <v>360</v>
      </c>
      <c r="F1088" s="208">
        <f>IF(MOD(COUNT($F$10:F1087),1)=0,F1087+1,F1087)</f>
        <v>1079</v>
      </c>
      <c r="G1088" s="204">
        <f>IFERROR(IF(C1088=1,VLOOKUP(A1088,Output!$A$27:$AB$137,28,FALSE)/AnnuityMode,0),0)</f>
        <v>0</v>
      </c>
      <c r="H1088" s="220">
        <f>IFERROR(IF(AND(MIN(A1088&gt;25,Age+A1088&gt;=85),B1088=12),VLOOKUP(A1088,Output!$A$27:$AE$137,31,FALSE),0),0)</f>
        <v>0</v>
      </c>
      <c r="I1088" s="221">
        <f>IFERROR(IF(AND(MIN(A1088&gt;15,A1088+Age&gt;=70),C1088=1),VLOOKUP(A1088,Output!$A$27:$AF$137,32,FALSE)*VLOOKUP('SV calc_ignore'!A1088,Output!$A$27:$AG$137,33,FALSE)/IF(AnnuityMode=2,2,IF(AnnuityMode=4,4,IF(AnnuityMode=12,12,1))),0),0)</f>
        <v>0</v>
      </c>
      <c r="J1088" s="227">
        <f t="shared" si="196"/>
        <v>0</v>
      </c>
      <c r="K1088" s="213">
        <f t="shared" si="203"/>
        <v>0</v>
      </c>
      <c r="L1088" s="209">
        <f t="shared" si="197"/>
        <v>0</v>
      </c>
      <c r="M1088" s="214">
        <f t="shared" si="198"/>
        <v>0</v>
      </c>
      <c r="N1088" s="211">
        <f t="shared" si="199"/>
        <v>0</v>
      </c>
      <c r="O1088" s="194">
        <f t="shared" si="200"/>
        <v>0</v>
      </c>
      <c r="P1088" s="212">
        <f t="shared" si="201"/>
        <v>0</v>
      </c>
      <c r="Q1088">
        <f t="shared" si="205"/>
        <v>0</v>
      </c>
      <c r="X1088" s="216">
        <f t="shared" si="204"/>
        <v>89</v>
      </c>
      <c r="Y1088">
        <f t="shared" si="202"/>
        <v>0</v>
      </c>
    </row>
    <row r="1089" spans="1:25" ht="13.5" thickBot="1" x14ac:dyDescent="0.25">
      <c r="A1089" s="204">
        <f>IF(MOD(COUNT($A$10:A1088),12)=0,A1088+1,A1088)</f>
        <v>90</v>
      </c>
      <c r="B1089" s="218">
        <f t="shared" si="194"/>
        <v>12</v>
      </c>
      <c r="C1089" s="218">
        <f t="shared" si="195"/>
        <v>1</v>
      </c>
      <c r="D1089" s="208">
        <f>IF(MOD(COUNT($D$10:D1088),6)=0,D1088+1,D1088)</f>
        <v>180</v>
      </c>
      <c r="E1089" s="208">
        <f>IF(MOD(COUNT($E$10:E1088),3)=0,E1088+1,E1088)</f>
        <v>360</v>
      </c>
      <c r="F1089" s="208">
        <f>IF(MOD(COUNT($F$10:F1088),1)=0,F1088+1,F1088)</f>
        <v>1080</v>
      </c>
      <c r="G1089" s="204">
        <f>IFERROR(IF(C1089=1,VLOOKUP(A1089,Output!$A$27:$AB$137,28,FALSE)/AnnuityMode,0),0)</f>
        <v>0</v>
      </c>
      <c r="H1089" s="220">
        <f>IFERROR(IF(AND(MIN(A1089&gt;25,Age+A1089&gt;=85),B1089=12),VLOOKUP(A1089,Output!$A$27:$AE$137,31,FALSE),0),0)</f>
        <v>0</v>
      </c>
      <c r="I1089" s="221">
        <f>IFERROR(IF(AND(MIN(A1089&gt;15,A1089+Age&gt;=70),C1089=1),VLOOKUP(A1089,Output!$A$27:$AF$137,32,FALSE)*VLOOKUP('SV calc_ignore'!A1089,Output!$A$27:$AG$137,33,FALSE)/IF(AnnuityMode=2,2,IF(AnnuityMode=4,4,IF(AnnuityMode=12,12,1))),0),0)</f>
        <v>0</v>
      </c>
      <c r="J1089" s="227">
        <f t="shared" si="196"/>
        <v>0</v>
      </c>
      <c r="K1089" s="213">
        <f t="shared" si="203"/>
        <v>0</v>
      </c>
      <c r="L1089" s="209">
        <f t="shared" si="197"/>
        <v>0</v>
      </c>
      <c r="M1089" s="214">
        <f t="shared" si="198"/>
        <v>0</v>
      </c>
      <c r="N1089" s="211">
        <f t="shared" si="199"/>
        <v>0</v>
      </c>
      <c r="O1089" s="194">
        <f t="shared" si="200"/>
        <v>0</v>
      </c>
      <c r="P1089" s="212">
        <f t="shared" si="201"/>
        <v>0</v>
      </c>
      <c r="Q1089">
        <f t="shared" si="205"/>
        <v>0</v>
      </c>
      <c r="X1089" s="216">
        <f t="shared" si="204"/>
        <v>89</v>
      </c>
      <c r="Y1089">
        <f t="shared" si="202"/>
        <v>0</v>
      </c>
    </row>
    <row r="1090" spans="1:25" ht="13.5" thickBot="1" x14ac:dyDescent="0.25">
      <c r="A1090" s="204">
        <f>IF(MOD(COUNT($A$10:A1089),12)=0,A1089+1,A1089)</f>
        <v>91</v>
      </c>
      <c r="B1090" s="218">
        <f t="shared" ref="B1090:B1153" si="206">IF(A1089&lt;&gt;A1090,1,B1089+1)</f>
        <v>1</v>
      </c>
      <c r="C1090" s="218">
        <f t="shared" ref="C1090:C1153" si="207">IF(AND(AnnuityMode=1,B1090=12),1,IF(AND(OR(B1090=6,B1090=12),AnnuityMode=2),1,IF(AND(OR(B1090=3,B1090=6,B1090=12,B1090=9),AnnuityMode=4),1,IF(AND(OR(B1090=1,B1090=2,B1090=3,B1090=4,B1090=5,B1090=6,B1090=7,B1090=8,B1090=9,B1090=10,B1090=11,B1090=12),AnnuityMode=12),1,0))))</f>
        <v>1</v>
      </c>
      <c r="D1090" s="208">
        <f>IF(MOD(COUNT($D$10:D1089),6)=0,D1089+1,D1089)</f>
        <v>181</v>
      </c>
      <c r="E1090" s="208">
        <f>IF(MOD(COUNT($E$10:E1089),3)=0,E1089+1,E1089)</f>
        <v>361</v>
      </c>
      <c r="F1090" s="208">
        <f>IF(MOD(COUNT($F$10:F1089),1)=0,F1089+1,F1089)</f>
        <v>1081</v>
      </c>
      <c r="G1090" s="204">
        <f>IFERROR(IF(C1090=1,VLOOKUP(A1090,Output!$A$27:$AB$137,28,FALSE)/AnnuityMode,0),0)</f>
        <v>0</v>
      </c>
      <c r="H1090" s="220">
        <f>IFERROR(IF(AND(MIN(A1090&gt;25,Age+A1090&gt;=85),B1090=12),VLOOKUP(A1090,Output!$A$27:$AE$137,31,FALSE),0),0)</f>
        <v>0</v>
      </c>
      <c r="I1090" s="221">
        <f>IFERROR(IF(AND(MIN(A1090&gt;15,A1090+Age&gt;=70),C1090=1),VLOOKUP(A1090,Output!$A$27:$AF$137,32,FALSE)*VLOOKUP('SV calc_ignore'!A1090,Output!$A$27:$AG$137,33,FALSE)/IF(AnnuityMode=2,2,IF(AnnuityMode=4,4,IF(AnnuityMode=12,12,1))),0),0)</f>
        <v>0</v>
      </c>
      <c r="J1090" s="227">
        <f t="shared" ref="J1090:J1153" si="208">G1090+(J1091)*(1+$K$3)^(-1)</f>
        <v>0</v>
      </c>
      <c r="K1090" s="213">
        <f t="shared" si="203"/>
        <v>0</v>
      </c>
      <c r="L1090" s="209">
        <f t="shared" ref="L1090:L1153" si="209">(L1091+G1091)*$K$2</f>
        <v>0</v>
      </c>
      <c r="M1090" s="214">
        <f t="shared" ref="M1090:M1153" si="210">L1089*(1+$K$3)</f>
        <v>0</v>
      </c>
      <c r="N1090" s="211">
        <f t="shared" ref="N1090:N1153" si="211">M1090-L1090-G1090</f>
        <v>0</v>
      </c>
      <c r="O1090" s="194">
        <f t="shared" ref="O1090:O1153" si="212">MAX($H$10:$H$897)/(1+$K$3)^($Q$5*12-F1090)*(A1090&lt;=$Q$5)</f>
        <v>0</v>
      </c>
      <c r="P1090" s="212">
        <f t="shared" si="201"/>
        <v>0</v>
      </c>
      <c r="Q1090">
        <f t="shared" si="205"/>
        <v>0</v>
      </c>
      <c r="X1090" s="216">
        <f t="shared" si="204"/>
        <v>90</v>
      </c>
      <c r="Y1090">
        <f t="shared" si="202"/>
        <v>0</v>
      </c>
    </row>
    <row r="1091" spans="1:25" ht="13.5" thickBot="1" x14ac:dyDescent="0.25">
      <c r="A1091" s="204">
        <f>IF(MOD(COUNT($A$10:A1090),12)=0,A1090+1,A1090)</f>
        <v>91</v>
      </c>
      <c r="B1091" s="218">
        <f t="shared" si="206"/>
        <v>2</v>
      </c>
      <c r="C1091" s="218">
        <f t="shared" si="207"/>
        <v>1</v>
      </c>
      <c r="D1091" s="208">
        <f>IF(MOD(COUNT($D$10:D1090),6)=0,D1090+1,D1090)</f>
        <v>181</v>
      </c>
      <c r="E1091" s="208">
        <f>IF(MOD(COUNT($E$10:E1090),3)=0,E1090+1,E1090)</f>
        <v>361</v>
      </c>
      <c r="F1091" s="208">
        <f>IF(MOD(COUNT($F$10:F1090),1)=0,F1090+1,F1090)</f>
        <v>1082</v>
      </c>
      <c r="G1091" s="204">
        <f>IFERROR(IF(C1091=1,VLOOKUP(A1091,Output!$A$27:$AB$137,28,FALSE)/AnnuityMode,0),0)</f>
        <v>0</v>
      </c>
      <c r="H1091" s="220">
        <f>IFERROR(IF(AND(MIN(A1091&gt;25,Age+A1091&gt;=85),B1091=12),VLOOKUP(A1091,Output!$A$27:$AE$137,31,FALSE),0),0)</f>
        <v>0</v>
      </c>
      <c r="I1091" s="221">
        <f>IFERROR(IF(AND(MIN(A1091&gt;15,A1091+Age&gt;=70),C1091=1),VLOOKUP(A1091,Output!$A$27:$AF$137,32,FALSE)*VLOOKUP('SV calc_ignore'!A1091,Output!$A$27:$AG$137,33,FALSE)/IF(AnnuityMode=2,2,IF(AnnuityMode=4,4,IF(AnnuityMode=12,12,1))),0),0)</f>
        <v>0</v>
      </c>
      <c r="J1091" s="227">
        <f t="shared" si="208"/>
        <v>0</v>
      </c>
      <c r="K1091" s="213">
        <f t="shared" si="203"/>
        <v>0</v>
      </c>
      <c r="L1091" s="209">
        <f t="shared" si="209"/>
        <v>0</v>
      </c>
      <c r="M1091" s="214">
        <f t="shared" si="210"/>
        <v>0</v>
      </c>
      <c r="N1091" s="211">
        <f t="shared" si="211"/>
        <v>0</v>
      </c>
      <c r="O1091" s="194">
        <f t="shared" si="212"/>
        <v>0</v>
      </c>
      <c r="P1091" s="212">
        <f t="shared" si="201"/>
        <v>0</v>
      </c>
      <c r="Q1091">
        <f t="shared" si="205"/>
        <v>0</v>
      </c>
      <c r="X1091" s="216">
        <f t="shared" si="204"/>
        <v>90</v>
      </c>
      <c r="Y1091">
        <f t="shared" si="202"/>
        <v>0</v>
      </c>
    </row>
    <row r="1092" spans="1:25" ht="13.5" thickBot="1" x14ac:dyDescent="0.25">
      <c r="A1092" s="204">
        <f>IF(MOD(COUNT($A$10:A1091),12)=0,A1091+1,A1091)</f>
        <v>91</v>
      </c>
      <c r="B1092" s="218">
        <f t="shared" si="206"/>
        <v>3</v>
      </c>
      <c r="C1092" s="218">
        <f t="shared" si="207"/>
        <v>1</v>
      </c>
      <c r="D1092" s="208">
        <f>IF(MOD(COUNT($D$10:D1091),6)=0,D1091+1,D1091)</f>
        <v>181</v>
      </c>
      <c r="E1092" s="208">
        <f>IF(MOD(COUNT($E$10:E1091),3)=0,E1091+1,E1091)</f>
        <v>361</v>
      </c>
      <c r="F1092" s="208">
        <f>IF(MOD(COUNT($F$10:F1091),1)=0,F1091+1,F1091)</f>
        <v>1083</v>
      </c>
      <c r="G1092" s="204">
        <f>IFERROR(IF(C1092=1,VLOOKUP(A1092,Output!$A$27:$AB$137,28,FALSE)/AnnuityMode,0),0)</f>
        <v>0</v>
      </c>
      <c r="H1092" s="220">
        <f>IFERROR(IF(AND(MIN(A1092&gt;25,Age+A1092&gt;=85),B1092=12),VLOOKUP(A1092,Output!$A$27:$AE$137,31,FALSE),0),0)</f>
        <v>0</v>
      </c>
      <c r="I1092" s="221">
        <f>IFERROR(IF(AND(MIN(A1092&gt;15,A1092+Age&gt;=70),C1092=1),VLOOKUP(A1092,Output!$A$27:$AF$137,32,FALSE)*VLOOKUP('SV calc_ignore'!A1092,Output!$A$27:$AG$137,33,FALSE)/IF(AnnuityMode=2,2,IF(AnnuityMode=4,4,IF(AnnuityMode=12,12,1))),0),0)</f>
        <v>0</v>
      </c>
      <c r="J1092" s="227">
        <f t="shared" si="208"/>
        <v>0</v>
      </c>
      <c r="K1092" s="213">
        <f t="shared" si="203"/>
        <v>0</v>
      </c>
      <c r="L1092" s="209">
        <f t="shared" si="209"/>
        <v>0</v>
      </c>
      <c r="M1092" s="214">
        <f t="shared" si="210"/>
        <v>0</v>
      </c>
      <c r="N1092" s="211">
        <f t="shared" si="211"/>
        <v>0</v>
      </c>
      <c r="O1092" s="194">
        <f t="shared" si="212"/>
        <v>0</v>
      </c>
      <c r="P1092" s="212">
        <f t="shared" si="201"/>
        <v>0</v>
      </c>
      <c r="Q1092">
        <f t="shared" si="205"/>
        <v>0</v>
      </c>
      <c r="X1092" s="216">
        <f t="shared" si="204"/>
        <v>90</v>
      </c>
      <c r="Y1092">
        <f t="shared" si="202"/>
        <v>0</v>
      </c>
    </row>
    <row r="1093" spans="1:25" ht="13.5" thickBot="1" x14ac:dyDescent="0.25">
      <c r="A1093" s="204">
        <f>IF(MOD(COUNT($A$10:A1092),12)=0,A1092+1,A1092)</f>
        <v>91</v>
      </c>
      <c r="B1093" s="218">
        <f t="shared" si="206"/>
        <v>4</v>
      </c>
      <c r="C1093" s="218">
        <f t="shared" si="207"/>
        <v>1</v>
      </c>
      <c r="D1093" s="208">
        <f>IF(MOD(COUNT($D$10:D1092),6)=0,D1092+1,D1092)</f>
        <v>181</v>
      </c>
      <c r="E1093" s="208">
        <f>IF(MOD(COUNT($E$10:E1092),3)=0,E1092+1,E1092)</f>
        <v>362</v>
      </c>
      <c r="F1093" s="208">
        <f>IF(MOD(COUNT($F$10:F1092),1)=0,F1092+1,F1092)</f>
        <v>1084</v>
      </c>
      <c r="G1093" s="204">
        <f>IFERROR(IF(C1093=1,VLOOKUP(A1093,Output!$A$27:$AB$137,28,FALSE)/AnnuityMode,0),0)</f>
        <v>0</v>
      </c>
      <c r="H1093" s="220">
        <f>IFERROR(IF(AND(MIN(A1093&gt;25,Age+A1093&gt;=85),B1093=12),VLOOKUP(A1093,Output!$A$27:$AE$137,31,FALSE),0),0)</f>
        <v>0</v>
      </c>
      <c r="I1093" s="221">
        <f>IFERROR(IF(AND(MIN(A1093&gt;15,A1093+Age&gt;=70),C1093=1),VLOOKUP(A1093,Output!$A$27:$AF$137,32,FALSE)*VLOOKUP('SV calc_ignore'!A1093,Output!$A$27:$AG$137,33,FALSE)/IF(AnnuityMode=2,2,IF(AnnuityMode=4,4,IF(AnnuityMode=12,12,1))),0),0)</f>
        <v>0</v>
      </c>
      <c r="J1093" s="227">
        <f t="shared" si="208"/>
        <v>0</v>
      </c>
      <c r="K1093" s="213">
        <f t="shared" si="203"/>
        <v>0</v>
      </c>
      <c r="L1093" s="209">
        <f t="shared" si="209"/>
        <v>0</v>
      </c>
      <c r="M1093" s="214">
        <f t="shared" si="210"/>
        <v>0</v>
      </c>
      <c r="N1093" s="211">
        <f t="shared" si="211"/>
        <v>0</v>
      </c>
      <c r="O1093" s="194">
        <f t="shared" si="212"/>
        <v>0</v>
      </c>
      <c r="P1093" s="212">
        <f t="shared" si="201"/>
        <v>0</v>
      </c>
      <c r="Q1093">
        <f t="shared" si="205"/>
        <v>0</v>
      </c>
      <c r="X1093" s="216">
        <f t="shared" si="204"/>
        <v>90</v>
      </c>
      <c r="Y1093">
        <f t="shared" si="202"/>
        <v>0</v>
      </c>
    </row>
    <row r="1094" spans="1:25" ht="13.5" thickBot="1" x14ac:dyDescent="0.25">
      <c r="A1094" s="204">
        <f>IF(MOD(COUNT($A$10:A1093),12)=0,A1093+1,A1093)</f>
        <v>91</v>
      </c>
      <c r="B1094" s="218">
        <f t="shared" si="206"/>
        <v>5</v>
      </c>
      <c r="C1094" s="218">
        <f t="shared" si="207"/>
        <v>1</v>
      </c>
      <c r="D1094" s="208">
        <f>IF(MOD(COUNT($D$10:D1093),6)=0,D1093+1,D1093)</f>
        <v>181</v>
      </c>
      <c r="E1094" s="208">
        <f>IF(MOD(COUNT($E$10:E1093),3)=0,E1093+1,E1093)</f>
        <v>362</v>
      </c>
      <c r="F1094" s="208">
        <f>IF(MOD(COUNT($F$10:F1093),1)=0,F1093+1,F1093)</f>
        <v>1085</v>
      </c>
      <c r="G1094" s="204">
        <f>IFERROR(IF(C1094=1,VLOOKUP(A1094,Output!$A$27:$AB$137,28,FALSE)/AnnuityMode,0),0)</f>
        <v>0</v>
      </c>
      <c r="H1094" s="220">
        <f>IFERROR(IF(AND(MIN(A1094&gt;25,Age+A1094&gt;=85),B1094=12),VLOOKUP(A1094,Output!$A$27:$AE$137,31,FALSE),0),0)</f>
        <v>0</v>
      </c>
      <c r="I1094" s="221">
        <f>IFERROR(IF(AND(MIN(A1094&gt;15,A1094+Age&gt;=70),C1094=1),VLOOKUP(A1094,Output!$A$27:$AF$137,32,FALSE)*VLOOKUP('SV calc_ignore'!A1094,Output!$A$27:$AG$137,33,FALSE)/IF(AnnuityMode=2,2,IF(AnnuityMode=4,4,IF(AnnuityMode=12,12,1))),0),0)</f>
        <v>0</v>
      </c>
      <c r="J1094" s="227">
        <f t="shared" si="208"/>
        <v>0</v>
      </c>
      <c r="K1094" s="213">
        <f t="shared" si="203"/>
        <v>0</v>
      </c>
      <c r="L1094" s="209">
        <f t="shared" si="209"/>
        <v>0</v>
      </c>
      <c r="M1094" s="214">
        <f t="shared" si="210"/>
        <v>0</v>
      </c>
      <c r="N1094" s="211">
        <f t="shared" si="211"/>
        <v>0</v>
      </c>
      <c r="O1094" s="194">
        <f t="shared" si="212"/>
        <v>0</v>
      </c>
      <c r="P1094" s="212">
        <f t="shared" si="201"/>
        <v>0</v>
      </c>
      <c r="Q1094">
        <f t="shared" si="205"/>
        <v>0</v>
      </c>
      <c r="X1094" s="216">
        <f t="shared" si="204"/>
        <v>90</v>
      </c>
      <c r="Y1094">
        <f t="shared" si="202"/>
        <v>0</v>
      </c>
    </row>
    <row r="1095" spans="1:25" ht="13.5" thickBot="1" x14ac:dyDescent="0.25">
      <c r="A1095" s="204">
        <f>IF(MOD(COUNT($A$10:A1094),12)=0,A1094+1,A1094)</f>
        <v>91</v>
      </c>
      <c r="B1095" s="218">
        <f t="shared" si="206"/>
        <v>6</v>
      </c>
      <c r="C1095" s="218">
        <f t="shared" si="207"/>
        <v>1</v>
      </c>
      <c r="D1095" s="208">
        <f>IF(MOD(COUNT($D$10:D1094),6)=0,D1094+1,D1094)</f>
        <v>181</v>
      </c>
      <c r="E1095" s="208">
        <f>IF(MOD(COUNT($E$10:E1094),3)=0,E1094+1,E1094)</f>
        <v>362</v>
      </c>
      <c r="F1095" s="208">
        <f>IF(MOD(COUNT($F$10:F1094),1)=0,F1094+1,F1094)</f>
        <v>1086</v>
      </c>
      <c r="G1095" s="204">
        <f>IFERROR(IF(C1095=1,VLOOKUP(A1095,Output!$A$27:$AB$137,28,FALSE)/AnnuityMode,0),0)</f>
        <v>0</v>
      </c>
      <c r="H1095" s="220">
        <f>IFERROR(IF(AND(MIN(A1095&gt;25,Age+A1095&gt;=85),B1095=12),VLOOKUP(A1095,Output!$A$27:$AE$137,31,FALSE),0),0)</f>
        <v>0</v>
      </c>
      <c r="I1095" s="221">
        <f>IFERROR(IF(AND(MIN(A1095&gt;15,A1095+Age&gt;=70),C1095=1),VLOOKUP(A1095,Output!$A$27:$AF$137,32,FALSE)*VLOOKUP('SV calc_ignore'!A1095,Output!$A$27:$AG$137,33,FALSE)/IF(AnnuityMode=2,2,IF(AnnuityMode=4,4,IF(AnnuityMode=12,12,1))),0),0)</f>
        <v>0</v>
      </c>
      <c r="J1095" s="227">
        <f t="shared" si="208"/>
        <v>0</v>
      </c>
      <c r="K1095" s="213">
        <f t="shared" si="203"/>
        <v>0</v>
      </c>
      <c r="L1095" s="209">
        <f t="shared" si="209"/>
        <v>0</v>
      </c>
      <c r="M1095" s="214">
        <f t="shared" si="210"/>
        <v>0</v>
      </c>
      <c r="N1095" s="211">
        <f t="shared" si="211"/>
        <v>0</v>
      </c>
      <c r="O1095" s="194">
        <f t="shared" si="212"/>
        <v>0</v>
      </c>
      <c r="P1095" s="212">
        <f t="shared" si="201"/>
        <v>0</v>
      </c>
      <c r="Q1095">
        <f t="shared" si="205"/>
        <v>0</v>
      </c>
      <c r="X1095" s="216">
        <f t="shared" si="204"/>
        <v>90</v>
      </c>
      <c r="Y1095">
        <f t="shared" si="202"/>
        <v>0</v>
      </c>
    </row>
    <row r="1096" spans="1:25" ht="13.5" thickBot="1" x14ac:dyDescent="0.25">
      <c r="A1096" s="204">
        <f>IF(MOD(COUNT($A$10:A1095),12)=0,A1095+1,A1095)</f>
        <v>91</v>
      </c>
      <c r="B1096" s="218">
        <f t="shared" si="206"/>
        <v>7</v>
      </c>
      <c r="C1096" s="218">
        <f t="shared" si="207"/>
        <v>1</v>
      </c>
      <c r="D1096" s="208">
        <f>IF(MOD(COUNT($D$10:D1095),6)=0,D1095+1,D1095)</f>
        <v>182</v>
      </c>
      <c r="E1096" s="208">
        <f>IF(MOD(COUNT($E$10:E1095),3)=0,E1095+1,E1095)</f>
        <v>363</v>
      </c>
      <c r="F1096" s="208">
        <f>IF(MOD(COUNT($F$10:F1095),1)=0,F1095+1,F1095)</f>
        <v>1087</v>
      </c>
      <c r="G1096" s="204">
        <f>IFERROR(IF(C1096=1,VLOOKUP(A1096,Output!$A$27:$AB$137,28,FALSE)/AnnuityMode,0),0)</f>
        <v>0</v>
      </c>
      <c r="H1096" s="220">
        <f>IFERROR(IF(AND(MIN(A1096&gt;25,Age+A1096&gt;=85),B1096=12),VLOOKUP(A1096,Output!$A$27:$AE$137,31,FALSE),0),0)</f>
        <v>0</v>
      </c>
      <c r="I1096" s="221">
        <f>IFERROR(IF(AND(MIN(A1096&gt;15,A1096+Age&gt;=70),C1096=1),VLOOKUP(A1096,Output!$A$27:$AF$137,32,FALSE)*VLOOKUP('SV calc_ignore'!A1096,Output!$A$27:$AG$137,33,FALSE)/IF(AnnuityMode=2,2,IF(AnnuityMode=4,4,IF(AnnuityMode=12,12,1))),0),0)</f>
        <v>0</v>
      </c>
      <c r="J1096" s="227">
        <f t="shared" si="208"/>
        <v>0</v>
      </c>
      <c r="K1096" s="213">
        <f t="shared" si="203"/>
        <v>0</v>
      </c>
      <c r="L1096" s="209">
        <f t="shared" si="209"/>
        <v>0</v>
      </c>
      <c r="M1096" s="214">
        <f t="shared" si="210"/>
        <v>0</v>
      </c>
      <c r="N1096" s="211">
        <f t="shared" si="211"/>
        <v>0</v>
      </c>
      <c r="O1096" s="194">
        <f t="shared" si="212"/>
        <v>0</v>
      </c>
      <c r="P1096" s="212">
        <f t="shared" si="201"/>
        <v>0</v>
      </c>
      <c r="Q1096">
        <f t="shared" si="205"/>
        <v>0</v>
      </c>
      <c r="X1096" s="216">
        <f t="shared" si="204"/>
        <v>90</v>
      </c>
      <c r="Y1096">
        <f t="shared" si="202"/>
        <v>0</v>
      </c>
    </row>
    <row r="1097" spans="1:25" ht="13.5" thickBot="1" x14ac:dyDescent="0.25">
      <c r="A1097" s="204">
        <f>IF(MOD(COUNT($A$10:A1096),12)=0,A1096+1,A1096)</f>
        <v>91</v>
      </c>
      <c r="B1097" s="218">
        <f t="shared" si="206"/>
        <v>8</v>
      </c>
      <c r="C1097" s="218">
        <f t="shared" si="207"/>
        <v>1</v>
      </c>
      <c r="D1097" s="208">
        <f>IF(MOD(COUNT($D$10:D1096),6)=0,D1096+1,D1096)</f>
        <v>182</v>
      </c>
      <c r="E1097" s="208">
        <f>IF(MOD(COUNT($E$10:E1096),3)=0,E1096+1,E1096)</f>
        <v>363</v>
      </c>
      <c r="F1097" s="208">
        <f>IF(MOD(COUNT($F$10:F1096),1)=0,F1096+1,F1096)</f>
        <v>1088</v>
      </c>
      <c r="G1097" s="204">
        <f>IFERROR(IF(C1097=1,VLOOKUP(A1097,Output!$A$27:$AB$137,28,FALSE)/AnnuityMode,0),0)</f>
        <v>0</v>
      </c>
      <c r="H1097" s="220">
        <f>IFERROR(IF(AND(MIN(A1097&gt;25,Age+A1097&gt;=85),B1097=12),VLOOKUP(A1097,Output!$A$27:$AE$137,31,FALSE),0),0)</f>
        <v>0</v>
      </c>
      <c r="I1097" s="221">
        <f>IFERROR(IF(AND(MIN(A1097&gt;15,A1097+Age&gt;=70),C1097=1),VLOOKUP(A1097,Output!$A$27:$AF$137,32,FALSE)*VLOOKUP('SV calc_ignore'!A1097,Output!$A$27:$AG$137,33,FALSE)/IF(AnnuityMode=2,2,IF(AnnuityMode=4,4,IF(AnnuityMode=12,12,1))),0),0)</f>
        <v>0</v>
      </c>
      <c r="J1097" s="227">
        <f t="shared" si="208"/>
        <v>0</v>
      </c>
      <c r="K1097" s="213">
        <f t="shared" si="203"/>
        <v>0</v>
      </c>
      <c r="L1097" s="209">
        <f t="shared" si="209"/>
        <v>0</v>
      </c>
      <c r="M1097" s="214">
        <f t="shared" si="210"/>
        <v>0</v>
      </c>
      <c r="N1097" s="211">
        <f t="shared" si="211"/>
        <v>0</v>
      </c>
      <c r="O1097" s="194">
        <f t="shared" si="212"/>
        <v>0</v>
      </c>
      <c r="P1097" s="212">
        <f t="shared" si="201"/>
        <v>0</v>
      </c>
      <c r="Q1097">
        <f t="shared" si="205"/>
        <v>0</v>
      </c>
      <c r="X1097" s="216">
        <f t="shared" si="204"/>
        <v>90</v>
      </c>
      <c r="Y1097">
        <f t="shared" si="202"/>
        <v>0</v>
      </c>
    </row>
    <row r="1098" spans="1:25" ht="13.5" thickBot="1" x14ac:dyDescent="0.25">
      <c r="A1098" s="204">
        <f>IF(MOD(COUNT($A$10:A1097),12)=0,A1097+1,A1097)</f>
        <v>91</v>
      </c>
      <c r="B1098" s="218">
        <f t="shared" si="206"/>
        <v>9</v>
      </c>
      <c r="C1098" s="218">
        <f t="shared" si="207"/>
        <v>1</v>
      </c>
      <c r="D1098" s="208">
        <f>IF(MOD(COUNT($D$10:D1097),6)=0,D1097+1,D1097)</f>
        <v>182</v>
      </c>
      <c r="E1098" s="208">
        <f>IF(MOD(COUNT($E$10:E1097),3)=0,E1097+1,E1097)</f>
        <v>363</v>
      </c>
      <c r="F1098" s="208">
        <f>IF(MOD(COUNT($F$10:F1097),1)=0,F1097+1,F1097)</f>
        <v>1089</v>
      </c>
      <c r="G1098" s="204">
        <f>IFERROR(IF(C1098=1,VLOOKUP(A1098,Output!$A$27:$AB$137,28,FALSE)/AnnuityMode,0),0)</f>
        <v>0</v>
      </c>
      <c r="H1098" s="220">
        <f>IFERROR(IF(AND(MIN(A1098&gt;25,Age+A1098&gt;=85),B1098=12),VLOOKUP(A1098,Output!$A$27:$AE$137,31,FALSE),0),0)</f>
        <v>0</v>
      </c>
      <c r="I1098" s="221">
        <f>IFERROR(IF(AND(MIN(A1098&gt;15,A1098+Age&gt;=70),C1098=1),VLOOKUP(A1098,Output!$A$27:$AF$137,32,FALSE)*VLOOKUP('SV calc_ignore'!A1098,Output!$A$27:$AG$137,33,FALSE)/IF(AnnuityMode=2,2,IF(AnnuityMode=4,4,IF(AnnuityMode=12,12,1))),0),0)</f>
        <v>0</v>
      </c>
      <c r="J1098" s="227">
        <f t="shared" si="208"/>
        <v>0</v>
      </c>
      <c r="K1098" s="213">
        <f t="shared" si="203"/>
        <v>0</v>
      </c>
      <c r="L1098" s="209">
        <f t="shared" si="209"/>
        <v>0</v>
      </c>
      <c r="M1098" s="214">
        <f t="shared" si="210"/>
        <v>0</v>
      </c>
      <c r="N1098" s="211">
        <f t="shared" si="211"/>
        <v>0</v>
      </c>
      <c r="O1098" s="194">
        <f t="shared" si="212"/>
        <v>0</v>
      </c>
      <c r="P1098" s="212">
        <f t="shared" ref="P1098:P1161" si="213">(P1099+H1099)*(1+$K$3)^(-1)</f>
        <v>0</v>
      </c>
      <c r="Q1098">
        <f t="shared" si="205"/>
        <v>0</v>
      </c>
      <c r="X1098" s="216">
        <f t="shared" si="204"/>
        <v>90</v>
      </c>
      <c r="Y1098">
        <f t="shared" ref="Y1098:Y1161" si="214">G1098*(1-IF(AnnuityMode=1,$L$2,IF(AnnuityMode=2,$M$2,IF(AnnuityMode=4,$N$2,$K$2)))^(110*AnnuityMode-IF(AnnuityMode=1,X1098,IF(AnnuityMode=2,D1098,IF(AnnuityMode=4,E1098,F1098)))-0))/(IF(AnnuityMode=1,$L$3,IF(AnnuityMode=2,$M$3,IF(AnnuityMode=4,$N$3,$K$3))))</f>
        <v>0</v>
      </c>
    </row>
    <row r="1099" spans="1:25" ht="13.5" thickBot="1" x14ac:dyDescent="0.25">
      <c r="A1099" s="204">
        <f>IF(MOD(COUNT($A$10:A1098),12)=0,A1098+1,A1098)</f>
        <v>91</v>
      </c>
      <c r="B1099" s="218">
        <f t="shared" si="206"/>
        <v>10</v>
      </c>
      <c r="C1099" s="218">
        <f t="shared" si="207"/>
        <v>1</v>
      </c>
      <c r="D1099" s="208">
        <f>IF(MOD(COUNT($D$10:D1098),6)=0,D1098+1,D1098)</f>
        <v>182</v>
      </c>
      <c r="E1099" s="208">
        <f>IF(MOD(COUNT($E$10:E1098),3)=0,E1098+1,E1098)</f>
        <v>364</v>
      </c>
      <c r="F1099" s="208">
        <f>IF(MOD(COUNT($F$10:F1098),1)=0,F1098+1,F1098)</f>
        <v>1090</v>
      </c>
      <c r="G1099" s="204">
        <f>IFERROR(IF(C1099=1,VLOOKUP(A1099,Output!$A$27:$AB$137,28,FALSE)/AnnuityMode,0),0)</f>
        <v>0</v>
      </c>
      <c r="H1099" s="220">
        <f>IFERROR(IF(AND(MIN(A1099&gt;25,Age+A1099&gt;=85),B1099=12),VLOOKUP(A1099,Output!$A$27:$AE$137,31,FALSE),0),0)</f>
        <v>0</v>
      </c>
      <c r="I1099" s="221">
        <f>IFERROR(IF(AND(MIN(A1099&gt;15,A1099+Age&gt;=70),C1099=1),VLOOKUP(A1099,Output!$A$27:$AF$137,32,FALSE)*VLOOKUP('SV calc_ignore'!A1099,Output!$A$27:$AG$137,33,FALSE)/IF(AnnuityMode=2,2,IF(AnnuityMode=4,4,IF(AnnuityMode=12,12,1))),0),0)</f>
        <v>0</v>
      </c>
      <c r="J1099" s="227">
        <f t="shared" si="208"/>
        <v>0</v>
      </c>
      <c r="K1099" s="213">
        <f t="shared" ref="K1099:K1162" si="215">IF(OR(K1098&gt;$K$8,K1098=0),0,K1098+1)</f>
        <v>0</v>
      </c>
      <c r="L1099" s="209">
        <f t="shared" si="209"/>
        <v>0</v>
      </c>
      <c r="M1099" s="214">
        <f t="shared" si="210"/>
        <v>0</v>
      </c>
      <c r="N1099" s="211">
        <f t="shared" si="211"/>
        <v>0</v>
      </c>
      <c r="O1099" s="194">
        <f t="shared" si="212"/>
        <v>0</v>
      </c>
      <c r="P1099" s="212">
        <f t="shared" si="213"/>
        <v>0</v>
      </c>
      <c r="Q1099">
        <f t="shared" si="205"/>
        <v>0</v>
      </c>
      <c r="X1099" s="216">
        <f t="shared" ref="X1099:X1162" si="216">A1099-1</f>
        <v>90</v>
      </c>
      <c r="Y1099">
        <f t="shared" si="214"/>
        <v>0</v>
      </c>
    </row>
    <row r="1100" spans="1:25" ht="13.5" thickBot="1" x14ac:dyDescent="0.25">
      <c r="A1100" s="204">
        <f>IF(MOD(COUNT($A$10:A1099),12)=0,A1099+1,A1099)</f>
        <v>91</v>
      </c>
      <c r="B1100" s="218">
        <f t="shared" si="206"/>
        <v>11</v>
      </c>
      <c r="C1100" s="218">
        <f t="shared" si="207"/>
        <v>1</v>
      </c>
      <c r="D1100" s="208">
        <f>IF(MOD(COUNT($D$10:D1099),6)=0,D1099+1,D1099)</f>
        <v>182</v>
      </c>
      <c r="E1100" s="208">
        <f>IF(MOD(COUNT($E$10:E1099),3)=0,E1099+1,E1099)</f>
        <v>364</v>
      </c>
      <c r="F1100" s="208">
        <f>IF(MOD(COUNT($F$10:F1099),1)=0,F1099+1,F1099)</f>
        <v>1091</v>
      </c>
      <c r="G1100" s="204">
        <f>IFERROR(IF(C1100=1,VLOOKUP(A1100,Output!$A$27:$AB$137,28,FALSE)/AnnuityMode,0),0)</f>
        <v>0</v>
      </c>
      <c r="H1100" s="220">
        <f>IFERROR(IF(AND(MIN(A1100&gt;25,Age+A1100&gt;=85),B1100=12),VLOOKUP(A1100,Output!$A$27:$AE$137,31,FALSE),0),0)</f>
        <v>0</v>
      </c>
      <c r="I1100" s="221">
        <f>IFERROR(IF(AND(MIN(A1100&gt;15,A1100+Age&gt;=70),C1100=1),VLOOKUP(A1100,Output!$A$27:$AF$137,32,FALSE)*VLOOKUP('SV calc_ignore'!A1100,Output!$A$27:$AG$137,33,FALSE)/IF(AnnuityMode=2,2,IF(AnnuityMode=4,4,IF(AnnuityMode=12,12,1))),0),0)</f>
        <v>0</v>
      </c>
      <c r="J1100" s="227">
        <f t="shared" si="208"/>
        <v>0</v>
      </c>
      <c r="K1100" s="213">
        <f t="shared" si="215"/>
        <v>0</v>
      </c>
      <c r="L1100" s="209">
        <f t="shared" si="209"/>
        <v>0</v>
      </c>
      <c r="M1100" s="214">
        <f t="shared" si="210"/>
        <v>0</v>
      </c>
      <c r="N1100" s="211">
        <f t="shared" si="211"/>
        <v>0</v>
      </c>
      <c r="O1100" s="194">
        <f t="shared" si="212"/>
        <v>0</v>
      </c>
      <c r="P1100" s="212">
        <f t="shared" si="213"/>
        <v>0</v>
      </c>
      <c r="Q1100">
        <f t="shared" si="205"/>
        <v>0</v>
      </c>
      <c r="X1100" s="216">
        <f t="shared" si="216"/>
        <v>90</v>
      </c>
      <c r="Y1100">
        <f t="shared" si="214"/>
        <v>0</v>
      </c>
    </row>
    <row r="1101" spans="1:25" ht="13.5" thickBot="1" x14ac:dyDescent="0.25">
      <c r="A1101" s="204">
        <f>IF(MOD(COUNT($A$10:A1100),12)=0,A1100+1,A1100)</f>
        <v>91</v>
      </c>
      <c r="B1101" s="218">
        <f t="shared" si="206"/>
        <v>12</v>
      </c>
      <c r="C1101" s="218">
        <f t="shared" si="207"/>
        <v>1</v>
      </c>
      <c r="D1101" s="208">
        <f>IF(MOD(COUNT($D$10:D1100),6)=0,D1100+1,D1100)</f>
        <v>182</v>
      </c>
      <c r="E1101" s="208">
        <f>IF(MOD(COUNT($E$10:E1100),3)=0,E1100+1,E1100)</f>
        <v>364</v>
      </c>
      <c r="F1101" s="208">
        <f>IF(MOD(COUNT($F$10:F1100),1)=0,F1100+1,F1100)</f>
        <v>1092</v>
      </c>
      <c r="G1101" s="204">
        <f>IFERROR(IF(C1101=1,VLOOKUP(A1101,Output!$A$27:$AB$137,28,FALSE)/AnnuityMode,0),0)</f>
        <v>0</v>
      </c>
      <c r="H1101" s="220">
        <f>IFERROR(IF(AND(MIN(A1101&gt;25,Age+A1101&gt;=85),B1101=12),VLOOKUP(A1101,Output!$A$27:$AE$137,31,FALSE),0),0)</f>
        <v>0</v>
      </c>
      <c r="I1101" s="221">
        <f>IFERROR(IF(AND(MIN(A1101&gt;15,A1101+Age&gt;=70),C1101=1),VLOOKUP(A1101,Output!$A$27:$AF$137,32,FALSE)*VLOOKUP('SV calc_ignore'!A1101,Output!$A$27:$AG$137,33,FALSE)/IF(AnnuityMode=2,2,IF(AnnuityMode=4,4,IF(AnnuityMode=12,12,1))),0),0)</f>
        <v>0</v>
      </c>
      <c r="J1101" s="227">
        <f t="shared" si="208"/>
        <v>0</v>
      </c>
      <c r="K1101" s="213">
        <f t="shared" si="215"/>
        <v>0</v>
      </c>
      <c r="L1101" s="209">
        <f t="shared" si="209"/>
        <v>0</v>
      </c>
      <c r="M1101" s="214">
        <f t="shared" si="210"/>
        <v>0</v>
      </c>
      <c r="N1101" s="211">
        <f t="shared" si="211"/>
        <v>0</v>
      </c>
      <c r="O1101" s="194">
        <f t="shared" si="212"/>
        <v>0</v>
      </c>
      <c r="P1101" s="212">
        <f t="shared" si="213"/>
        <v>0</v>
      </c>
      <c r="Q1101">
        <f t="shared" si="205"/>
        <v>0</v>
      </c>
      <c r="X1101" s="216">
        <f t="shared" si="216"/>
        <v>90</v>
      </c>
      <c r="Y1101">
        <f t="shared" si="214"/>
        <v>0</v>
      </c>
    </row>
    <row r="1102" spans="1:25" ht="13.5" thickBot="1" x14ac:dyDescent="0.25">
      <c r="A1102" s="204">
        <f>IF(MOD(COUNT($A$10:A1101),12)=0,A1101+1,A1101)</f>
        <v>92</v>
      </c>
      <c r="B1102" s="218">
        <f t="shared" si="206"/>
        <v>1</v>
      </c>
      <c r="C1102" s="218">
        <f t="shared" si="207"/>
        <v>1</v>
      </c>
      <c r="D1102" s="208">
        <f>IF(MOD(COUNT($D$10:D1101),6)=0,D1101+1,D1101)</f>
        <v>183</v>
      </c>
      <c r="E1102" s="208">
        <f>IF(MOD(COUNT($E$10:E1101),3)=0,E1101+1,E1101)</f>
        <v>365</v>
      </c>
      <c r="F1102" s="208">
        <f>IF(MOD(COUNT($F$10:F1101),1)=0,F1101+1,F1101)</f>
        <v>1093</v>
      </c>
      <c r="G1102" s="204">
        <f>IFERROR(IF(C1102=1,VLOOKUP(A1102,Output!$A$27:$AB$137,28,FALSE)/AnnuityMode,0),0)</f>
        <v>0</v>
      </c>
      <c r="H1102" s="220">
        <f>IFERROR(IF(AND(MIN(A1102&gt;25,Age+A1102&gt;=85),B1102=12),VLOOKUP(A1102,Output!$A$27:$AE$137,31,FALSE),0),0)</f>
        <v>0</v>
      </c>
      <c r="I1102" s="221">
        <f>IFERROR(IF(AND(MIN(A1102&gt;15,A1102+Age&gt;=70),C1102=1),VLOOKUP(A1102,Output!$A$27:$AF$137,32,FALSE)*VLOOKUP('SV calc_ignore'!A1102,Output!$A$27:$AG$137,33,FALSE)/IF(AnnuityMode=2,2,IF(AnnuityMode=4,4,IF(AnnuityMode=12,12,1))),0),0)</f>
        <v>0</v>
      </c>
      <c r="J1102" s="227">
        <f t="shared" si="208"/>
        <v>0</v>
      </c>
      <c r="K1102" s="213">
        <f t="shared" si="215"/>
        <v>0</v>
      </c>
      <c r="L1102" s="209">
        <f t="shared" si="209"/>
        <v>0</v>
      </c>
      <c r="M1102" s="214">
        <f t="shared" si="210"/>
        <v>0</v>
      </c>
      <c r="N1102" s="211">
        <f t="shared" si="211"/>
        <v>0</v>
      </c>
      <c r="O1102" s="194">
        <f t="shared" si="212"/>
        <v>0</v>
      </c>
      <c r="P1102" s="212">
        <f t="shared" si="213"/>
        <v>0</v>
      </c>
      <c r="Q1102">
        <f t="shared" si="205"/>
        <v>0</v>
      </c>
      <c r="X1102" s="216">
        <f t="shared" si="216"/>
        <v>91</v>
      </c>
      <c r="Y1102">
        <f t="shared" si="214"/>
        <v>0</v>
      </c>
    </row>
    <row r="1103" spans="1:25" ht="13.5" thickBot="1" x14ac:dyDescent="0.25">
      <c r="A1103" s="204">
        <f>IF(MOD(COUNT($A$10:A1102),12)=0,A1102+1,A1102)</f>
        <v>92</v>
      </c>
      <c r="B1103" s="218">
        <f t="shared" si="206"/>
        <v>2</v>
      </c>
      <c r="C1103" s="218">
        <f t="shared" si="207"/>
        <v>1</v>
      </c>
      <c r="D1103" s="208">
        <f>IF(MOD(COUNT($D$10:D1102),6)=0,D1102+1,D1102)</f>
        <v>183</v>
      </c>
      <c r="E1103" s="208">
        <f>IF(MOD(COUNT($E$10:E1102),3)=0,E1102+1,E1102)</f>
        <v>365</v>
      </c>
      <c r="F1103" s="208">
        <f>IF(MOD(COUNT($F$10:F1102),1)=0,F1102+1,F1102)</f>
        <v>1094</v>
      </c>
      <c r="G1103" s="204">
        <f>IFERROR(IF(C1103=1,VLOOKUP(A1103,Output!$A$27:$AB$137,28,FALSE)/AnnuityMode,0),0)</f>
        <v>0</v>
      </c>
      <c r="H1103" s="220">
        <f>IFERROR(IF(AND(MIN(A1103&gt;25,Age+A1103&gt;=85),B1103=12),VLOOKUP(A1103,Output!$A$27:$AE$137,31,FALSE),0),0)</f>
        <v>0</v>
      </c>
      <c r="I1103" s="221">
        <f>IFERROR(IF(AND(MIN(A1103&gt;15,A1103+Age&gt;=70),C1103=1),VLOOKUP(A1103,Output!$A$27:$AF$137,32,FALSE)*VLOOKUP('SV calc_ignore'!A1103,Output!$A$27:$AG$137,33,FALSE)/IF(AnnuityMode=2,2,IF(AnnuityMode=4,4,IF(AnnuityMode=12,12,1))),0),0)</f>
        <v>0</v>
      </c>
      <c r="J1103" s="227">
        <f t="shared" si="208"/>
        <v>0</v>
      </c>
      <c r="K1103" s="213">
        <f t="shared" si="215"/>
        <v>0</v>
      </c>
      <c r="L1103" s="209">
        <f t="shared" si="209"/>
        <v>0</v>
      </c>
      <c r="M1103" s="214">
        <f t="shared" si="210"/>
        <v>0</v>
      </c>
      <c r="N1103" s="211">
        <f t="shared" si="211"/>
        <v>0</v>
      </c>
      <c r="O1103" s="194">
        <f t="shared" si="212"/>
        <v>0</v>
      </c>
      <c r="P1103" s="212">
        <f t="shared" si="213"/>
        <v>0</v>
      </c>
      <c r="Q1103">
        <f t="shared" si="205"/>
        <v>0</v>
      </c>
      <c r="X1103" s="216">
        <f t="shared" si="216"/>
        <v>91</v>
      </c>
      <c r="Y1103">
        <f t="shared" si="214"/>
        <v>0</v>
      </c>
    </row>
    <row r="1104" spans="1:25" ht="13.5" thickBot="1" x14ac:dyDescent="0.25">
      <c r="A1104" s="204">
        <f>IF(MOD(COUNT($A$10:A1103),12)=0,A1103+1,A1103)</f>
        <v>92</v>
      </c>
      <c r="B1104" s="218">
        <f t="shared" si="206"/>
        <v>3</v>
      </c>
      <c r="C1104" s="218">
        <f t="shared" si="207"/>
        <v>1</v>
      </c>
      <c r="D1104" s="208">
        <f>IF(MOD(COUNT($D$10:D1103),6)=0,D1103+1,D1103)</f>
        <v>183</v>
      </c>
      <c r="E1104" s="208">
        <f>IF(MOD(COUNT($E$10:E1103),3)=0,E1103+1,E1103)</f>
        <v>365</v>
      </c>
      <c r="F1104" s="208">
        <f>IF(MOD(COUNT($F$10:F1103),1)=0,F1103+1,F1103)</f>
        <v>1095</v>
      </c>
      <c r="G1104" s="204">
        <f>IFERROR(IF(C1104=1,VLOOKUP(A1104,Output!$A$27:$AB$137,28,FALSE)/AnnuityMode,0),0)</f>
        <v>0</v>
      </c>
      <c r="H1104" s="220">
        <f>IFERROR(IF(AND(MIN(A1104&gt;25,Age+A1104&gt;=85),B1104=12),VLOOKUP(A1104,Output!$A$27:$AE$137,31,FALSE),0),0)</f>
        <v>0</v>
      </c>
      <c r="I1104" s="221">
        <f>IFERROR(IF(AND(MIN(A1104&gt;15,A1104+Age&gt;=70),C1104=1),VLOOKUP(A1104,Output!$A$27:$AF$137,32,FALSE)*VLOOKUP('SV calc_ignore'!A1104,Output!$A$27:$AG$137,33,FALSE)/IF(AnnuityMode=2,2,IF(AnnuityMode=4,4,IF(AnnuityMode=12,12,1))),0),0)</f>
        <v>0</v>
      </c>
      <c r="J1104" s="227">
        <f t="shared" si="208"/>
        <v>0</v>
      </c>
      <c r="K1104" s="213">
        <f t="shared" si="215"/>
        <v>0</v>
      </c>
      <c r="L1104" s="209">
        <f t="shared" si="209"/>
        <v>0</v>
      </c>
      <c r="M1104" s="214">
        <f t="shared" si="210"/>
        <v>0</v>
      </c>
      <c r="N1104" s="211">
        <f t="shared" si="211"/>
        <v>0</v>
      </c>
      <c r="O1104" s="194">
        <f t="shared" si="212"/>
        <v>0</v>
      </c>
      <c r="P1104" s="212">
        <f t="shared" si="213"/>
        <v>0</v>
      </c>
      <c r="Q1104">
        <f t="shared" si="205"/>
        <v>0</v>
      </c>
      <c r="X1104" s="216">
        <f t="shared" si="216"/>
        <v>91</v>
      </c>
      <c r="Y1104">
        <f t="shared" si="214"/>
        <v>0</v>
      </c>
    </row>
    <row r="1105" spans="1:25" ht="13.5" thickBot="1" x14ac:dyDescent="0.25">
      <c r="A1105" s="204">
        <f>IF(MOD(COUNT($A$10:A1104),12)=0,A1104+1,A1104)</f>
        <v>92</v>
      </c>
      <c r="B1105" s="218">
        <f t="shared" si="206"/>
        <v>4</v>
      </c>
      <c r="C1105" s="218">
        <f t="shared" si="207"/>
        <v>1</v>
      </c>
      <c r="D1105" s="208">
        <f>IF(MOD(COUNT($D$10:D1104),6)=0,D1104+1,D1104)</f>
        <v>183</v>
      </c>
      <c r="E1105" s="208">
        <f>IF(MOD(COUNT($E$10:E1104),3)=0,E1104+1,E1104)</f>
        <v>366</v>
      </c>
      <c r="F1105" s="208">
        <f>IF(MOD(COUNT($F$10:F1104),1)=0,F1104+1,F1104)</f>
        <v>1096</v>
      </c>
      <c r="G1105" s="204">
        <f>IFERROR(IF(C1105=1,VLOOKUP(A1105,Output!$A$27:$AB$137,28,FALSE)/AnnuityMode,0),0)</f>
        <v>0</v>
      </c>
      <c r="H1105" s="220">
        <f>IFERROR(IF(AND(MIN(A1105&gt;25,Age+A1105&gt;=85),B1105=12),VLOOKUP(A1105,Output!$A$27:$AE$137,31,FALSE),0),0)</f>
        <v>0</v>
      </c>
      <c r="I1105" s="221">
        <f>IFERROR(IF(AND(MIN(A1105&gt;15,A1105+Age&gt;=70),C1105=1),VLOOKUP(A1105,Output!$A$27:$AF$137,32,FALSE)*VLOOKUP('SV calc_ignore'!A1105,Output!$A$27:$AG$137,33,FALSE)/IF(AnnuityMode=2,2,IF(AnnuityMode=4,4,IF(AnnuityMode=12,12,1))),0),0)</f>
        <v>0</v>
      </c>
      <c r="J1105" s="227">
        <f t="shared" si="208"/>
        <v>0</v>
      </c>
      <c r="K1105" s="213">
        <f t="shared" si="215"/>
        <v>0</v>
      </c>
      <c r="L1105" s="209">
        <f t="shared" si="209"/>
        <v>0</v>
      </c>
      <c r="M1105" s="214">
        <f t="shared" si="210"/>
        <v>0</v>
      </c>
      <c r="N1105" s="211">
        <f t="shared" si="211"/>
        <v>0</v>
      </c>
      <c r="O1105" s="194">
        <f t="shared" si="212"/>
        <v>0</v>
      </c>
      <c r="P1105" s="212">
        <f t="shared" si="213"/>
        <v>0</v>
      </c>
      <c r="Q1105">
        <f t="shared" si="205"/>
        <v>0</v>
      </c>
      <c r="X1105" s="216">
        <f t="shared" si="216"/>
        <v>91</v>
      </c>
      <c r="Y1105">
        <f t="shared" si="214"/>
        <v>0</v>
      </c>
    </row>
    <row r="1106" spans="1:25" ht="13.5" thickBot="1" x14ac:dyDescent="0.25">
      <c r="A1106" s="204">
        <f>IF(MOD(COUNT($A$10:A1105),12)=0,A1105+1,A1105)</f>
        <v>92</v>
      </c>
      <c r="B1106" s="218">
        <f t="shared" si="206"/>
        <v>5</v>
      </c>
      <c r="C1106" s="218">
        <f t="shared" si="207"/>
        <v>1</v>
      </c>
      <c r="D1106" s="208">
        <f>IF(MOD(COUNT($D$10:D1105),6)=0,D1105+1,D1105)</f>
        <v>183</v>
      </c>
      <c r="E1106" s="208">
        <f>IF(MOD(COUNT($E$10:E1105),3)=0,E1105+1,E1105)</f>
        <v>366</v>
      </c>
      <c r="F1106" s="208">
        <f>IF(MOD(COUNT($F$10:F1105),1)=0,F1105+1,F1105)</f>
        <v>1097</v>
      </c>
      <c r="G1106" s="204">
        <f>IFERROR(IF(C1106=1,VLOOKUP(A1106,Output!$A$27:$AB$137,28,FALSE)/AnnuityMode,0),0)</f>
        <v>0</v>
      </c>
      <c r="H1106" s="220">
        <f>IFERROR(IF(AND(MIN(A1106&gt;25,Age+A1106&gt;=85),B1106=12),VLOOKUP(A1106,Output!$A$27:$AE$137,31,FALSE),0),0)</f>
        <v>0</v>
      </c>
      <c r="I1106" s="221">
        <f>IFERROR(IF(AND(MIN(A1106&gt;15,A1106+Age&gt;=70),C1106=1),VLOOKUP(A1106,Output!$A$27:$AF$137,32,FALSE)*VLOOKUP('SV calc_ignore'!A1106,Output!$A$27:$AG$137,33,FALSE)/IF(AnnuityMode=2,2,IF(AnnuityMode=4,4,IF(AnnuityMode=12,12,1))),0),0)</f>
        <v>0</v>
      </c>
      <c r="J1106" s="227">
        <f t="shared" si="208"/>
        <v>0</v>
      </c>
      <c r="K1106" s="213">
        <f t="shared" si="215"/>
        <v>0</v>
      </c>
      <c r="L1106" s="209">
        <f t="shared" si="209"/>
        <v>0</v>
      </c>
      <c r="M1106" s="214">
        <f t="shared" si="210"/>
        <v>0</v>
      </c>
      <c r="N1106" s="211">
        <f t="shared" si="211"/>
        <v>0</v>
      </c>
      <c r="O1106" s="194">
        <f t="shared" si="212"/>
        <v>0</v>
      </c>
      <c r="P1106" s="212">
        <f t="shared" si="213"/>
        <v>0</v>
      </c>
      <c r="Q1106">
        <f t="shared" si="205"/>
        <v>0</v>
      </c>
      <c r="X1106" s="216">
        <f t="shared" si="216"/>
        <v>91</v>
      </c>
      <c r="Y1106">
        <f t="shared" si="214"/>
        <v>0</v>
      </c>
    </row>
    <row r="1107" spans="1:25" ht="13.5" thickBot="1" x14ac:dyDescent="0.25">
      <c r="A1107" s="204">
        <f>IF(MOD(COUNT($A$10:A1106),12)=0,A1106+1,A1106)</f>
        <v>92</v>
      </c>
      <c r="B1107" s="218">
        <f t="shared" si="206"/>
        <v>6</v>
      </c>
      <c r="C1107" s="218">
        <f t="shared" si="207"/>
        <v>1</v>
      </c>
      <c r="D1107" s="208">
        <f>IF(MOD(COUNT($D$10:D1106),6)=0,D1106+1,D1106)</f>
        <v>183</v>
      </c>
      <c r="E1107" s="208">
        <f>IF(MOD(COUNT($E$10:E1106),3)=0,E1106+1,E1106)</f>
        <v>366</v>
      </c>
      <c r="F1107" s="208">
        <f>IF(MOD(COUNT($F$10:F1106),1)=0,F1106+1,F1106)</f>
        <v>1098</v>
      </c>
      <c r="G1107" s="204">
        <f>IFERROR(IF(C1107=1,VLOOKUP(A1107,Output!$A$27:$AB$137,28,FALSE)/AnnuityMode,0),0)</f>
        <v>0</v>
      </c>
      <c r="H1107" s="220">
        <f>IFERROR(IF(AND(MIN(A1107&gt;25,Age+A1107&gt;=85),B1107=12),VLOOKUP(A1107,Output!$A$27:$AE$137,31,FALSE),0),0)</f>
        <v>0</v>
      </c>
      <c r="I1107" s="221">
        <f>IFERROR(IF(AND(MIN(A1107&gt;15,A1107+Age&gt;=70),C1107=1),VLOOKUP(A1107,Output!$A$27:$AF$137,32,FALSE)*VLOOKUP('SV calc_ignore'!A1107,Output!$A$27:$AG$137,33,FALSE)/IF(AnnuityMode=2,2,IF(AnnuityMode=4,4,IF(AnnuityMode=12,12,1))),0),0)</f>
        <v>0</v>
      </c>
      <c r="J1107" s="227">
        <f t="shared" si="208"/>
        <v>0</v>
      </c>
      <c r="K1107" s="213">
        <f t="shared" si="215"/>
        <v>0</v>
      </c>
      <c r="L1107" s="209">
        <f t="shared" si="209"/>
        <v>0</v>
      </c>
      <c r="M1107" s="214">
        <f t="shared" si="210"/>
        <v>0</v>
      </c>
      <c r="N1107" s="211">
        <f t="shared" si="211"/>
        <v>0</v>
      </c>
      <c r="O1107" s="194">
        <f t="shared" si="212"/>
        <v>0</v>
      </c>
      <c r="P1107" s="212">
        <f t="shared" si="213"/>
        <v>0</v>
      </c>
      <c r="Q1107">
        <f t="shared" si="205"/>
        <v>0</v>
      </c>
      <c r="X1107" s="216">
        <f t="shared" si="216"/>
        <v>91</v>
      </c>
      <c r="Y1107">
        <f t="shared" si="214"/>
        <v>0</v>
      </c>
    </row>
    <row r="1108" spans="1:25" ht="13.5" thickBot="1" x14ac:dyDescent="0.25">
      <c r="A1108" s="204">
        <f>IF(MOD(COUNT($A$10:A1107),12)=0,A1107+1,A1107)</f>
        <v>92</v>
      </c>
      <c r="B1108" s="218">
        <f t="shared" si="206"/>
        <v>7</v>
      </c>
      <c r="C1108" s="218">
        <f t="shared" si="207"/>
        <v>1</v>
      </c>
      <c r="D1108" s="208">
        <f>IF(MOD(COUNT($D$10:D1107),6)=0,D1107+1,D1107)</f>
        <v>184</v>
      </c>
      <c r="E1108" s="208">
        <f>IF(MOD(COUNT($E$10:E1107),3)=0,E1107+1,E1107)</f>
        <v>367</v>
      </c>
      <c r="F1108" s="208">
        <f>IF(MOD(COUNT($F$10:F1107),1)=0,F1107+1,F1107)</f>
        <v>1099</v>
      </c>
      <c r="G1108" s="204">
        <f>IFERROR(IF(C1108=1,VLOOKUP(A1108,Output!$A$27:$AB$137,28,FALSE)/AnnuityMode,0),0)</f>
        <v>0</v>
      </c>
      <c r="H1108" s="220">
        <f>IFERROR(IF(AND(MIN(A1108&gt;25,Age+A1108&gt;=85),B1108=12),VLOOKUP(A1108,Output!$A$27:$AE$137,31,FALSE),0),0)</f>
        <v>0</v>
      </c>
      <c r="I1108" s="221">
        <f>IFERROR(IF(AND(MIN(A1108&gt;15,A1108+Age&gt;=70),C1108=1),VLOOKUP(A1108,Output!$A$27:$AF$137,32,FALSE)*VLOOKUP('SV calc_ignore'!A1108,Output!$A$27:$AG$137,33,FALSE)/IF(AnnuityMode=2,2,IF(AnnuityMode=4,4,IF(AnnuityMode=12,12,1))),0),0)</f>
        <v>0</v>
      </c>
      <c r="J1108" s="227">
        <f t="shared" si="208"/>
        <v>0</v>
      </c>
      <c r="K1108" s="213">
        <f t="shared" si="215"/>
        <v>0</v>
      </c>
      <c r="L1108" s="209">
        <f t="shared" si="209"/>
        <v>0</v>
      </c>
      <c r="M1108" s="214">
        <f t="shared" si="210"/>
        <v>0</v>
      </c>
      <c r="N1108" s="211">
        <f t="shared" si="211"/>
        <v>0</v>
      </c>
      <c r="O1108" s="194">
        <f t="shared" si="212"/>
        <v>0</v>
      </c>
      <c r="P1108" s="212">
        <f t="shared" si="213"/>
        <v>0</v>
      </c>
      <c r="Q1108">
        <f t="shared" si="205"/>
        <v>0</v>
      </c>
      <c r="X1108" s="216">
        <f t="shared" si="216"/>
        <v>91</v>
      </c>
      <c r="Y1108">
        <f t="shared" si="214"/>
        <v>0</v>
      </c>
    </row>
    <row r="1109" spans="1:25" ht="13.5" thickBot="1" x14ac:dyDescent="0.25">
      <c r="A1109" s="204">
        <f>IF(MOD(COUNT($A$10:A1108),12)=0,A1108+1,A1108)</f>
        <v>92</v>
      </c>
      <c r="B1109" s="218">
        <f t="shared" si="206"/>
        <v>8</v>
      </c>
      <c r="C1109" s="218">
        <f t="shared" si="207"/>
        <v>1</v>
      </c>
      <c r="D1109" s="208">
        <f>IF(MOD(COUNT($D$10:D1108),6)=0,D1108+1,D1108)</f>
        <v>184</v>
      </c>
      <c r="E1109" s="208">
        <f>IF(MOD(COUNT($E$10:E1108),3)=0,E1108+1,E1108)</f>
        <v>367</v>
      </c>
      <c r="F1109" s="208">
        <f>IF(MOD(COUNT($F$10:F1108),1)=0,F1108+1,F1108)</f>
        <v>1100</v>
      </c>
      <c r="G1109" s="204">
        <f>IFERROR(IF(C1109=1,VLOOKUP(A1109,Output!$A$27:$AB$137,28,FALSE)/AnnuityMode,0),0)</f>
        <v>0</v>
      </c>
      <c r="H1109" s="220">
        <f>IFERROR(IF(AND(MIN(A1109&gt;25,Age+A1109&gt;=85),B1109=12),VLOOKUP(A1109,Output!$A$27:$AE$137,31,FALSE),0),0)</f>
        <v>0</v>
      </c>
      <c r="I1109" s="221">
        <f>IFERROR(IF(AND(MIN(A1109&gt;15,A1109+Age&gt;=70),C1109=1),VLOOKUP(A1109,Output!$A$27:$AF$137,32,FALSE)*VLOOKUP('SV calc_ignore'!A1109,Output!$A$27:$AG$137,33,FALSE)/IF(AnnuityMode=2,2,IF(AnnuityMode=4,4,IF(AnnuityMode=12,12,1))),0),0)</f>
        <v>0</v>
      </c>
      <c r="J1109" s="227">
        <f t="shared" si="208"/>
        <v>0</v>
      </c>
      <c r="K1109" s="213">
        <f t="shared" si="215"/>
        <v>0</v>
      </c>
      <c r="L1109" s="209">
        <f t="shared" si="209"/>
        <v>0</v>
      </c>
      <c r="M1109" s="214">
        <f t="shared" si="210"/>
        <v>0</v>
      </c>
      <c r="N1109" s="211">
        <f t="shared" si="211"/>
        <v>0</v>
      </c>
      <c r="O1109" s="194">
        <f t="shared" si="212"/>
        <v>0</v>
      </c>
      <c r="P1109" s="212">
        <f t="shared" si="213"/>
        <v>0</v>
      </c>
      <c r="Q1109">
        <f t="shared" si="205"/>
        <v>0</v>
      </c>
      <c r="X1109" s="216">
        <f t="shared" si="216"/>
        <v>91</v>
      </c>
      <c r="Y1109">
        <f t="shared" si="214"/>
        <v>0</v>
      </c>
    </row>
    <row r="1110" spans="1:25" ht="13.5" thickBot="1" x14ac:dyDescent="0.25">
      <c r="A1110" s="204">
        <f>IF(MOD(COUNT($A$10:A1109),12)=0,A1109+1,A1109)</f>
        <v>92</v>
      </c>
      <c r="B1110" s="218">
        <f t="shared" si="206"/>
        <v>9</v>
      </c>
      <c r="C1110" s="218">
        <f t="shared" si="207"/>
        <v>1</v>
      </c>
      <c r="D1110" s="208">
        <f>IF(MOD(COUNT($D$10:D1109),6)=0,D1109+1,D1109)</f>
        <v>184</v>
      </c>
      <c r="E1110" s="208">
        <f>IF(MOD(COUNT($E$10:E1109),3)=0,E1109+1,E1109)</f>
        <v>367</v>
      </c>
      <c r="F1110" s="208">
        <f>IF(MOD(COUNT($F$10:F1109),1)=0,F1109+1,F1109)</f>
        <v>1101</v>
      </c>
      <c r="G1110" s="204">
        <f>IFERROR(IF(C1110=1,VLOOKUP(A1110,Output!$A$27:$AB$137,28,FALSE)/AnnuityMode,0),0)</f>
        <v>0</v>
      </c>
      <c r="H1110" s="220">
        <f>IFERROR(IF(AND(MIN(A1110&gt;25,Age+A1110&gt;=85),B1110=12),VLOOKUP(A1110,Output!$A$27:$AE$137,31,FALSE),0),0)</f>
        <v>0</v>
      </c>
      <c r="I1110" s="221">
        <f>IFERROR(IF(AND(MIN(A1110&gt;15,A1110+Age&gt;=70),C1110=1),VLOOKUP(A1110,Output!$A$27:$AF$137,32,FALSE)*VLOOKUP('SV calc_ignore'!A1110,Output!$A$27:$AG$137,33,FALSE)/IF(AnnuityMode=2,2,IF(AnnuityMode=4,4,IF(AnnuityMode=12,12,1))),0),0)</f>
        <v>0</v>
      </c>
      <c r="J1110" s="227">
        <f t="shared" si="208"/>
        <v>0</v>
      </c>
      <c r="K1110" s="213">
        <f t="shared" si="215"/>
        <v>0</v>
      </c>
      <c r="L1110" s="209">
        <f t="shared" si="209"/>
        <v>0</v>
      </c>
      <c r="M1110" s="214">
        <f t="shared" si="210"/>
        <v>0</v>
      </c>
      <c r="N1110" s="211">
        <f t="shared" si="211"/>
        <v>0</v>
      </c>
      <c r="O1110" s="194">
        <f t="shared" si="212"/>
        <v>0</v>
      </c>
      <c r="P1110" s="212">
        <f t="shared" si="213"/>
        <v>0</v>
      </c>
      <c r="Q1110">
        <f t="shared" si="205"/>
        <v>0</v>
      </c>
      <c r="X1110" s="216">
        <f t="shared" si="216"/>
        <v>91</v>
      </c>
      <c r="Y1110">
        <f t="shared" si="214"/>
        <v>0</v>
      </c>
    </row>
    <row r="1111" spans="1:25" ht="13.5" thickBot="1" x14ac:dyDescent="0.25">
      <c r="A1111" s="204">
        <f>IF(MOD(COUNT($A$10:A1110),12)=0,A1110+1,A1110)</f>
        <v>92</v>
      </c>
      <c r="B1111" s="218">
        <f t="shared" si="206"/>
        <v>10</v>
      </c>
      <c r="C1111" s="218">
        <f t="shared" si="207"/>
        <v>1</v>
      </c>
      <c r="D1111" s="208">
        <f>IF(MOD(COUNT($D$10:D1110),6)=0,D1110+1,D1110)</f>
        <v>184</v>
      </c>
      <c r="E1111" s="208">
        <f>IF(MOD(COUNT($E$10:E1110),3)=0,E1110+1,E1110)</f>
        <v>368</v>
      </c>
      <c r="F1111" s="208">
        <f>IF(MOD(COUNT($F$10:F1110),1)=0,F1110+1,F1110)</f>
        <v>1102</v>
      </c>
      <c r="G1111" s="204">
        <f>IFERROR(IF(C1111=1,VLOOKUP(A1111,Output!$A$27:$AB$137,28,FALSE)/AnnuityMode,0),0)</f>
        <v>0</v>
      </c>
      <c r="H1111" s="220">
        <f>IFERROR(IF(AND(MIN(A1111&gt;25,Age+A1111&gt;=85),B1111=12),VLOOKUP(A1111,Output!$A$27:$AE$137,31,FALSE),0),0)</f>
        <v>0</v>
      </c>
      <c r="I1111" s="221">
        <f>IFERROR(IF(AND(MIN(A1111&gt;15,A1111+Age&gt;=70),C1111=1),VLOOKUP(A1111,Output!$A$27:$AF$137,32,FALSE)*VLOOKUP('SV calc_ignore'!A1111,Output!$A$27:$AG$137,33,FALSE)/IF(AnnuityMode=2,2,IF(AnnuityMode=4,4,IF(AnnuityMode=12,12,1))),0),0)</f>
        <v>0</v>
      </c>
      <c r="J1111" s="227">
        <f t="shared" si="208"/>
        <v>0</v>
      </c>
      <c r="K1111" s="213">
        <f t="shared" si="215"/>
        <v>0</v>
      </c>
      <c r="L1111" s="209">
        <f t="shared" si="209"/>
        <v>0</v>
      </c>
      <c r="M1111" s="214">
        <f t="shared" si="210"/>
        <v>0</v>
      </c>
      <c r="N1111" s="211">
        <f t="shared" si="211"/>
        <v>0</v>
      </c>
      <c r="O1111" s="194">
        <f t="shared" si="212"/>
        <v>0</v>
      </c>
      <c r="P1111" s="212">
        <f t="shared" si="213"/>
        <v>0</v>
      </c>
      <c r="Q1111">
        <f t="shared" si="205"/>
        <v>0</v>
      </c>
      <c r="X1111" s="216">
        <f t="shared" si="216"/>
        <v>91</v>
      </c>
      <c r="Y1111">
        <f t="shared" si="214"/>
        <v>0</v>
      </c>
    </row>
    <row r="1112" spans="1:25" ht="13.5" thickBot="1" x14ac:dyDescent="0.25">
      <c r="A1112" s="204">
        <f>IF(MOD(COUNT($A$10:A1111),12)=0,A1111+1,A1111)</f>
        <v>92</v>
      </c>
      <c r="B1112" s="218">
        <f t="shared" si="206"/>
        <v>11</v>
      </c>
      <c r="C1112" s="218">
        <f t="shared" si="207"/>
        <v>1</v>
      </c>
      <c r="D1112" s="208">
        <f>IF(MOD(COUNT($D$10:D1111),6)=0,D1111+1,D1111)</f>
        <v>184</v>
      </c>
      <c r="E1112" s="208">
        <f>IF(MOD(COUNT($E$10:E1111),3)=0,E1111+1,E1111)</f>
        <v>368</v>
      </c>
      <c r="F1112" s="208">
        <f>IF(MOD(COUNT($F$10:F1111),1)=0,F1111+1,F1111)</f>
        <v>1103</v>
      </c>
      <c r="G1112" s="204">
        <f>IFERROR(IF(C1112=1,VLOOKUP(A1112,Output!$A$27:$AB$137,28,FALSE)/AnnuityMode,0),0)</f>
        <v>0</v>
      </c>
      <c r="H1112" s="220">
        <f>IFERROR(IF(AND(MIN(A1112&gt;25,Age+A1112&gt;=85),B1112=12),VLOOKUP(A1112,Output!$A$27:$AE$137,31,FALSE),0),0)</f>
        <v>0</v>
      </c>
      <c r="I1112" s="221">
        <f>IFERROR(IF(AND(MIN(A1112&gt;15,A1112+Age&gt;=70),C1112=1),VLOOKUP(A1112,Output!$A$27:$AF$137,32,FALSE)*VLOOKUP('SV calc_ignore'!A1112,Output!$A$27:$AG$137,33,FALSE)/IF(AnnuityMode=2,2,IF(AnnuityMode=4,4,IF(AnnuityMode=12,12,1))),0),0)</f>
        <v>0</v>
      </c>
      <c r="J1112" s="227">
        <f t="shared" si="208"/>
        <v>0</v>
      </c>
      <c r="K1112" s="213">
        <f t="shared" si="215"/>
        <v>0</v>
      </c>
      <c r="L1112" s="209">
        <f t="shared" si="209"/>
        <v>0</v>
      </c>
      <c r="M1112" s="214">
        <f t="shared" si="210"/>
        <v>0</v>
      </c>
      <c r="N1112" s="211">
        <f t="shared" si="211"/>
        <v>0</v>
      </c>
      <c r="O1112" s="194">
        <f t="shared" si="212"/>
        <v>0</v>
      </c>
      <c r="P1112" s="212">
        <f t="shared" si="213"/>
        <v>0</v>
      </c>
      <c r="Q1112">
        <f t="shared" si="205"/>
        <v>0</v>
      </c>
      <c r="X1112" s="216">
        <f t="shared" si="216"/>
        <v>91</v>
      </c>
      <c r="Y1112">
        <f t="shared" si="214"/>
        <v>0</v>
      </c>
    </row>
    <row r="1113" spans="1:25" ht="13.5" thickBot="1" x14ac:dyDescent="0.25">
      <c r="A1113" s="204">
        <f>IF(MOD(COUNT($A$10:A1112),12)=0,A1112+1,A1112)</f>
        <v>92</v>
      </c>
      <c r="B1113" s="218">
        <f t="shared" si="206"/>
        <v>12</v>
      </c>
      <c r="C1113" s="218">
        <f t="shared" si="207"/>
        <v>1</v>
      </c>
      <c r="D1113" s="208">
        <f>IF(MOD(COUNT($D$10:D1112),6)=0,D1112+1,D1112)</f>
        <v>184</v>
      </c>
      <c r="E1113" s="208">
        <f>IF(MOD(COUNT($E$10:E1112),3)=0,E1112+1,E1112)</f>
        <v>368</v>
      </c>
      <c r="F1113" s="208">
        <f>IF(MOD(COUNT($F$10:F1112),1)=0,F1112+1,F1112)</f>
        <v>1104</v>
      </c>
      <c r="G1113" s="204">
        <f>IFERROR(IF(C1113=1,VLOOKUP(A1113,Output!$A$27:$AB$137,28,FALSE)/AnnuityMode,0),0)</f>
        <v>0</v>
      </c>
      <c r="H1113" s="220">
        <f>IFERROR(IF(AND(MIN(A1113&gt;25,Age+A1113&gt;=85),B1113=12),VLOOKUP(A1113,Output!$A$27:$AE$137,31,FALSE),0),0)</f>
        <v>0</v>
      </c>
      <c r="I1113" s="221">
        <f>IFERROR(IF(AND(MIN(A1113&gt;15,A1113+Age&gt;=70),C1113=1),VLOOKUP(A1113,Output!$A$27:$AF$137,32,FALSE)*VLOOKUP('SV calc_ignore'!A1113,Output!$A$27:$AG$137,33,FALSE)/IF(AnnuityMode=2,2,IF(AnnuityMode=4,4,IF(AnnuityMode=12,12,1))),0),0)</f>
        <v>0</v>
      </c>
      <c r="J1113" s="227">
        <f t="shared" si="208"/>
        <v>0</v>
      </c>
      <c r="K1113" s="213">
        <f t="shared" si="215"/>
        <v>0</v>
      </c>
      <c r="L1113" s="209">
        <f t="shared" si="209"/>
        <v>0</v>
      </c>
      <c r="M1113" s="214">
        <f t="shared" si="210"/>
        <v>0</v>
      </c>
      <c r="N1113" s="211">
        <f t="shared" si="211"/>
        <v>0</v>
      </c>
      <c r="O1113" s="194">
        <f t="shared" si="212"/>
        <v>0</v>
      </c>
      <c r="P1113" s="212">
        <f t="shared" si="213"/>
        <v>0</v>
      </c>
      <c r="Q1113">
        <f t="shared" si="205"/>
        <v>0</v>
      </c>
      <c r="X1113" s="216">
        <f t="shared" si="216"/>
        <v>91</v>
      </c>
      <c r="Y1113">
        <f t="shared" si="214"/>
        <v>0</v>
      </c>
    </row>
    <row r="1114" spans="1:25" ht="13.5" thickBot="1" x14ac:dyDescent="0.25">
      <c r="A1114" s="204">
        <f>IF(MOD(COUNT($A$10:A1113),12)=0,A1113+1,A1113)</f>
        <v>93</v>
      </c>
      <c r="B1114" s="218">
        <f t="shared" si="206"/>
        <v>1</v>
      </c>
      <c r="C1114" s="218">
        <f t="shared" si="207"/>
        <v>1</v>
      </c>
      <c r="D1114" s="208">
        <f>IF(MOD(COUNT($D$10:D1113),6)=0,D1113+1,D1113)</f>
        <v>185</v>
      </c>
      <c r="E1114" s="208">
        <f>IF(MOD(COUNT($E$10:E1113),3)=0,E1113+1,E1113)</f>
        <v>369</v>
      </c>
      <c r="F1114" s="208">
        <f>IF(MOD(COUNT($F$10:F1113),1)=0,F1113+1,F1113)</f>
        <v>1105</v>
      </c>
      <c r="G1114" s="204">
        <f>IFERROR(IF(C1114=1,VLOOKUP(A1114,Output!$A$27:$AB$137,28,FALSE)/AnnuityMode,0),0)</f>
        <v>0</v>
      </c>
      <c r="H1114" s="220">
        <f>IFERROR(IF(AND(MIN(A1114&gt;25,Age+A1114&gt;=85),B1114=12),VLOOKUP(A1114,Output!$A$27:$AE$137,31,FALSE),0),0)</f>
        <v>0</v>
      </c>
      <c r="I1114" s="221">
        <f>IFERROR(IF(AND(MIN(A1114&gt;15,A1114+Age&gt;=70),C1114=1),VLOOKUP(A1114,Output!$A$27:$AF$137,32,FALSE)*VLOOKUP('SV calc_ignore'!A1114,Output!$A$27:$AG$137,33,FALSE)/IF(AnnuityMode=2,2,IF(AnnuityMode=4,4,IF(AnnuityMode=12,12,1))),0),0)</f>
        <v>0</v>
      </c>
      <c r="J1114" s="227">
        <f t="shared" si="208"/>
        <v>0</v>
      </c>
      <c r="K1114" s="213">
        <f t="shared" si="215"/>
        <v>0</v>
      </c>
      <c r="L1114" s="209">
        <f t="shared" si="209"/>
        <v>0</v>
      </c>
      <c r="M1114" s="214">
        <f t="shared" si="210"/>
        <v>0</v>
      </c>
      <c r="N1114" s="211">
        <f t="shared" si="211"/>
        <v>0</v>
      </c>
      <c r="O1114" s="194">
        <f t="shared" si="212"/>
        <v>0</v>
      </c>
      <c r="P1114" s="212">
        <f t="shared" si="213"/>
        <v>0</v>
      </c>
      <c r="Q1114">
        <f t="shared" si="205"/>
        <v>0</v>
      </c>
      <c r="X1114" s="216">
        <f t="shared" si="216"/>
        <v>92</v>
      </c>
      <c r="Y1114">
        <f t="shared" si="214"/>
        <v>0</v>
      </c>
    </row>
    <row r="1115" spans="1:25" ht="13.5" thickBot="1" x14ac:dyDescent="0.25">
      <c r="A1115" s="204">
        <f>IF(MOD(COUNT($A$10:A1114),12)=0,A1114+1,A1114)</f>
        <v>93</v>
      </c>
      <c r="B1115" s="218">
        <f t="shared" si="206"/>
        <v>2</v>
      </c>
      <c r="C1115" s="218">
        <f t="shared" si="207"/>
        <v>1</v>
      </c>
      <c r="D1115" s="208">
        <f>IF(MOD(COUNT($D$10:D1114),6)=0,D1114+1,D1114)</f>
        <v>185</v>
      </c>
      <c r="E1115" s="208">
        <f>IF(MOD(COUNT($E$10:E1114),3)=0,E1114+1,E1114)</f>
        <v>369</v>
      </c>
      <c r="F1115" s="208">
        <f>IF(MOD(COUNT($F$10:F1114),1)=0,F1114+1,F1114)</f>
        <v>1106</v>
      </c>
      <c r="G1115" s="204">
        <f>IFERROR(IF(C1115=1,VLOOKUP(A1115,Output!$A$27:$AB$137,28,FALSE)/AnnuityMode,0),0)</f>
        <v>0</v>
      </c>
      <c r="H1115" s="220">
        <f>IFERROR(IF(AND(MIN(A1115&gt;25,Age+A1115&gt;=85),B1115=12),VLOOKUP(A1115,Output!$A$27:$AE$137,31,FALSE),0),0)</f>
        <v>0</v>
      </c>
      <c r="I1115" s="221">
        <f>IFERROR(IF(AND(MIN(A1115&gt;15,A1115+Age&gt;=70),C1115=1),VLOOKUP(A1115,Output!$A$27:$AF$137,32,FALSE)*VLOOKUP('SV calc_ignore'!A1115,Output!$A$27:$AG$137,33,FALSE)/IF(AnnuityMode=2,2,IF(AnnuityMode=4,4,IF(AnnuityMode=12,12,1))),0),0)</f>
        <v>0</v>
      </c>
      <c r="J1115" s="227">
        <f t="shared" si="208"/>
        <v>0</v>
      </c>
      <c r="K1115" s="213">
        <f t="shared" si="215"/>
        <v>0</v>
      </c>
      <c r="L1115" s="209">
        <f t="shared" si="209"/>
        <v>0</v>
      </c>
      <c r="M1115" s="214">
        <f t="shared" si="210"/>
        <v>0</v>
      </c>
      <c r="N1115" s="211">
        <f t="shared" si="211"/>
        <v>0</v>
      </c>
      <c r="O1115" s="194">
        <f t="shared" si="212"/>
        <v>0</v>
      </c>
      <c r="P1115" s="212">
        <f t="shared" si="213"/>
        <v>0</v>
      </c>
      <c r="Q1115">
        <f t="shared" si="205"/>
        <v>0</v>
      </c>
      <c r="X1115" s="216">
        <f t="shared" si="216"/>
        <v>92</v>
      </c>
      <c r="Y1115">
        <f t="shared" si="214"/>
        <v>0</v>
      </c>
    </row>
    <row r="1116" spans="1:25" ht="13.5" thickBot="1" x14ac:dyDescent="0.25">
      <c r="A1116" s="204">
        <f>IF(MOD(COUNT($A$10:A1115),12)=0,A1115+1,A1115)</f>
        <v>93</v>
      </c>
      <c r="B1116" s="218">
        <f t="shared" si="206"/>
        <v>3</v>
      </c>
      <c r="C1116" s="218">
        <f t="shared" si="207"/>
        <v>1</v>
      </c>
      <c r="D1116" s="208">
        <f>IF(MOD(COUNT($D$10:D1115),6)=0,D1115+1,D1115)</f>
        <v>185</v>
      </c>
      <c r="E1116" s="208">
        <f>IF(MOD(COUNT($E$10:E1115),3)=0,E1115+1,E1115)</f>
        <v>369</v>
      </c>
      <c r="F1116" s="208">
        <f>IF(MOD(COUNT($F$10:F1115),1)=0,F1115+1,F1115)</f>
        <v>1107</v>
      </c>
      <c r="G1116" s="204">
        <f>IFERROR(IF(C1116=1,VLOOKUP(A1116,Output!$A$27:$AB$137,28,FALSE)/AnnuityMode,0),0)</f>
        <v>0</v>
      </c>
      <c r="H1116" s="220">
        <f>IFERROR(IF(AND(MIN(A1116&gt;25,Age+A1116&gt;=85),B1116=12),VLOOKUP(A1116,Output!$A$27:$AE$137,31,FALSE),0),0)</f>
        <v>0</v>
      </c>
      <c r="I1116" s="221">
        <f>IFERROR(IF(AND(MIN(A1116&gt;15,A1116+Age&gt;=70),C1116=1),VLOOKUP(A1116,Output!$A$27:$AF$137,32,FALSE)*VLOOKUP('SV calc_ignore'!A1116,Output!$A$27:$AG$137,33,FALSE)/IF(AnnuityMode=2,2,IF(AnnuityMode=4,4,IF(AnnuityMode=12,12,1))),0),0)</f>
        <v>0</v>
      </c>
      <c r="J1116" s="227">
        <f t="shared" si="208"/>
        <v>0</v>
      </c>
      <c r="K1116" s="213">
        <f t="shared" si="215"/>
        <v>0</v>
      </c>
      <c r="L1116" s="209">
        <f t="shared" si="209"/>
        <v>0</v>
      </c>
      <c r="M1116" s="214">
        <f t="shared" si="210"/>
        <v>0</v>
      </c>
      <c r="N1116" s="211">
        <f t="shared" si="211"/>
        <v>0</v>
      </c>
      <c r="O1116" s="194">
        <f t="shared" si="212"/>
        <v>0</v>
      </c>
      <c r="P1116" s="212">
        <f t="shared" si="213"/>
        <v>0</v>
      </c>
      <c r="Q1116">
        <f t="shared" si="205"/>
        <v>0</v>
      </c>
      <c r="X1116" s="216">
        <f t="shared" si="216"/>
        <v>92</v>
      </c>
      <c r="Y1116">
        <f t="shared" si="214"/>
        <v>0</v>
      </c>
    </row>
    <row r="1117" spans="1:25" ht="13.5" thickBot="1" x14ac:dyDescent="0.25">
      <c r="A1117" s="204">
        <f>IF(MOD(COUNT($A$10:A1116),12)=0,A1116+1,A1116)</f>
        <v>93</v>
      </c>
      <c r="B1117" s="218">
        <f t="shared" si="206"/>
        <v>4</v>
      </c>
      <c r="C1117" s="218">
        <f t="shared" si="207"/>
        <v>1</v>
      </c>
      <c r="D1117" s="208">
        <f>IF(MOD(COUNT($D$10:D1116),6)=0,D1116+1,D1116)</f>
        <v>185</v>
      </c>
      <c r="E1117" s="208">
        <f>IF(MOD(COUNT($E$10:E1116),3)=0,E1116+1,E1116)</f>
        <v>370</v>
      </c>
      <c r="F1117" s="208">
        <f>IF(MOD(COUNT($F$10:F1116),1)=0,F1116+1,F1116)</f>
        <v>1108</v>
      </c>
      <c r="G1117" s="204">
        <f>IFERROR(IF(C1117=1,VLOOKUP(A1117,Output!$A$27:$AB$137,28,FALSE)/AnnuityMode,0),0)</f>
        <v>0</v>
      </c>
      <c r="H1117" s="220">
        <f>IFERROR(IF(AND(MIN(A1117&gt;25,Age+A1117&gt;=85),B1117=12),VLOOKUP(A1117,Output!$A$27:$AE$137,31,FALSE),0),0)</f>
        <v>0</v>
      </c>
      <c r="I1117" s="221">
        <f>IFERROR(IF(AND(MIN(A1117&gt;15,A1117+Age&gt;=70),C1117=1),VLOOKUP(A1117,Output!$A$27:$AF$137,32,FALSE)*VLOOKUP('SV calc_ignore'!A1117,Output!$A$27:$AG$137,33,FALSE)/IF(AnnuityMode=2,2,IF(AnnuityMode=4,4,IF(AnnuityMode=12,12,1))),0),0)</f>
        <v>0</v>
      </c>
      <c r="J1117" s="227">
        <f t="shared" si="208"/>
        <v>0</v>
      </c>
      <c r="K1117" s="213">
        <f t="shared" si="215"/>
        <v>0</v>
      </c>
      <c r="L1117" s="209">
        <f t="shared" si="209"/>
        <v>0</v>
      </c>
      <c r="M1117" s="214">
        <f t="shared" si="210"/>
        <v>0</v>
      </c>
      <c r="N1117" s="211">
        <f t="shared" si="211"/>
        <v>0</v>
      </c>
      <c r="O1117" s="194">
        <f t="shared" si="212"/>
        <v>0</v>
      </c>
      <c r="P1117" s="212">
        <f t="shared" si="213"/>
        <v>0</v>
      </c>
      <c r="Q1117">
        <f t="shared" si="205"/>
        <v>0</v>
      </c>
      <c r="X1117" s="216">
        <f t="shared" si="216"/>
        <v>92</v>
      </c>
      <c r="Y1117">
        <f t="shared" si="214"/>
        <v>0</v>
      </c>
    </row>
    <row r="1118" spans="1:25" ht="13.5" thickBot="1" x14ac:dyDescent="0.25">
      <c r="A1118" s="204">
        <f>IF(MOD(COUNT($A$10:A1117),12)=0,A1117+1,A1117)</f>
        <v>93</v>
      </c>
      <c r="B1118" s="218">
        <f t="shared" si="206"/>
        <v>5</v>
      </c>
      <c r="C1118" s="218">
        <f t="shared" si="207"/>
        <v>1</v>
      </c>
      <c r="D1118" s="208">
        <f>IF(MOD(COUNT($D$10:D1117),6)=0,D1117+1,D1117)</f>
        <v>185</v>
      </c>
      <c r="E1118" s="208">
        <f>IF(MOD(COUNT($E$10:E1117),3)=0,E1117+1,E1117)</f>
        <v>370</v>
      </c>
      <c r="F1118" s="208">
        <f>IF(MOD(COUNT($F$10:F1117),1)=0,F1117+1,F1117)</f>
        <v>1109</v>
      </c>
      <c r="G1118" s="204">
        <f>IFERROR(IF(C1118=1,VLOOKUP(A1118,Output!$A$27:$AB$137,28,FALSE)/AnnuityMode,0),0)</f>
        <v>0</v>
      </c>
      <c r="H1118" s="220">
        <f>IFERROR(IF(AND(MIN(A1118&gt;25,Age+A1118&gt;=85),B1118=12),VLOOKUP(A1118,Output!$A$27:$AE$137,31,FALSE),0),0)</f>
        <v>0</v>
      </c>
      <c r="I1118" s="221">
        <f>IFERROR(IF(AND(MIN(A1118&gt;15,A1118+Age&gt;=70),C1118=1),VLOOKUP(A1118,Output!$A$27:$AF$137,32,FALSE)*VLOOKUP('SV calc_ignore'!A1118,Output!$A$27:$AG$137,33,FALSE)/IF(AnnuityMode=2,2,IF(AnnuityMode=4,4,IF(AnnuityMode=12,12,1))),0),0)</f>
        <v>0</v>
      </c>
      <c r="J1118" s="227">
        <f t="shared" si="208"/>
        <v>0</v>
      </c>
      <c r="K1118" s="213">
        <f t="shared" si="215"/>
        <v>0</v>
      </c>
      <c r="L1118" s="209">
        <f t="shared" si="209"/>
        <v>0</v>
      </c>
      <c r="M1118" s="214">
        <f t="shared" si="210"/>
        <v>0</v>
      </c>
      <c r="N1118" s="211">
        <f t="shared" si="211"/>
        <v>0</v>
      </c>
      <c r="O1118" s="194">
        <f t="shared" si="212"/>
        <v>0</v>
      </c>
      <c r="P1118" s="212">
        <f t="shared" si="213"/>
        <v>0</v>
      </c>
      <c r="Q1118">
        <f t="shared" si="205"/>
        <v>0</v>
      </c>
      <c r="X1118" s="216">
        <f t="shared" si="216"/>
        <v>92</v>
      </c>
      <c r="Y1118">
        <f t="shared" si="214"/>
        <v>0</v>
      </c>
    </row>
    <row r="1119" spans="1:25" ht="13.5" thickBot="1" x14ac:dyDescent="0.25">
      <c r="A1119" s="204">
        <f>IF(MOD(COUNT($A$10:A1118),12)=0,A1118+1,A1118)</f>
        <v>93</v>
      </c>
      <c r="B1119" s="218">
        <f t="shared" si="206"/>
        <v>6</v>
      </c>
      <c r="C1119" s="218">
        <f t="shared" si="207"/>
        <v>1</v>
      </c>
      <c r="D1119" s="208">
        <f>IF(MOD(COUNT($D$10:D1118),6)=0,D1118+1,D1118)</f>
        <v>185</v>
      </c>
      <c r="E1119" s="208">
        <f>IF(MOD(COUNT($E$10:E1118),3)=0,E1118+1,E1118)</f>
        <v>370</v>
      </c>
      <c r="F1119" s="208">
        <f>IF(MOD(COUNT($F$10:F1118),1)=0,F1118+1,F1118)</f>
        <v>1110</v>
      </c>
      <c r="G1119" s="204">
        <f>IFERROR(IF(C1119=1,VLOOKUP(A1119,Output!$A$27:$AB$137,28,FALSE)/AnnuityMode,0),0)</f>
        <v>0</v>
      </c>
      <c r="H1119" s="220">
        <f>IFERROR(IF(AND(MIN(A1119&gt;25,Age+A1119&gt;=85),B1119=12),VLOOKUP(A1119,Output!$A$27:$AE$137,31,FALSE),0),0)</f>
        <v>0</v>
      </c>
      <c r="I1119" s="221">
        <f>IFERROR(IF(AND(MIN(A1119&gt;15,A1119+Age&gt;=70),C1119=1),VLOOKUP(A1119,Output!$A$27:$AF$137,32,FALSE)*VLOOKUP('SV calc_ignore'!A1119,Output!$A$27:$AG$137,33,FALSE)/IF(AnnuityMode=2,2,IF(AnnuityMode=4,4,IF(AnnuityMode=12,12,1))),0),0)</f>
        <v>0</v>
      </c>
      <c r="J1119" s="227">
        <f t="shared" si="208"/>
        <v>0</v>
      </c>
      <c r="K1119" s="213">
        <f t="shared" si="215"/>
        <v>0</v>
      </c>
      <c r="L1119" s="209">
        <f t="shared" si="209"/>
        <v>0</v>
      </c>
      <c r="M1119" s="214">
        <f t="shared" si="210"/>
        <v>0</v>
      </c>
      <c r="N1119" s="211">
        <f t="shared" si="211"/>
        <v>0</v>
      </c>
      <c r="O1119" s="194">
        <f t="shared" si="212"/>
        <v>0</v>
      </c>
      <c r="P1119" s="212">
        <f t="shared" si="213"/>
        <v>0</v>
      </c>
      <c r="Q1119">
        <f t="shared" si="205"/>
        <v>0</v>
      </c>
      <c r="X1119" s="216">
        <f t="shared" si="216"/>
        <v>92</v>
      </c>
      <c r="Y1119">
        <f t="shared" si="214"/>
        <v>0</v>
      </c>
    </row>
    <row r="1120" spans="1:25" ht="13.5" thickBot="1" x14ac:dyDescent="0.25">
      <c r="A1120" s="204">
        <f>IF(MOD(COUNT($A$10:A1119),12)=0,A1119+1,A1119)</f>
        <v>93</v>
      </c>
      <c r="B1120" s="218">
        <f t="shared" si="206"/>
        <v>7</v>
      </c>
      <c r="C1120" s="218">
        <f t="shared" si="207"/>
        <v>1</v>
      </c>
      <c r="D1120" s="208">
        <f>IF(MOD(COUNT($D$10:D1119),6)=0,D1119+1,D1119)</f>
        <v>186</v>
      </c>
      <c r="E1120" s="208">
        <f>IF(MOD(COUNT($E$10:E1119),3)=0,E1119+1,E1119)</f>
        <v>371</v>
      </c>
      <c r="F1120" s="208">
        <f>IF(MOD(COUNT($F$10:F1119),1)=0,F1119+1,F1119)</f>
        <v>1111</v>
      </c>
      <c r="G1120" s="204">
        <f>IFERROR(IF(C1120=1,VLOOKUP(A1120,Output!$A$27:$AB$137,28,FALSE)/AnnuityMode,0),0)</f>
        <v>0</v>
      </c>
      <c r="H1120" s="220">
        <f>IFERROR(IF(AND(MIN(A1120&gt;25,Age+A1120&gt;=85),B1120=12),VLOOKUP(A1120,Output!$A$27:$AE$137,31,FALSE),0),0)</f>
        <v>0</v>
      </c>
      <c r="I1120" s="221">
        <f>IFERROR(IF(AND(MIN(A1120&gt;15,A1120+Age&gt;=70),C1120=1),VLOOKUP(A1120,Output!$A$27:$AF$137,32,FALSE)*VLOOKUP('SV calc_ignore'!A1120,Output!$A$27:$AG$137,33,FALSE)/IF(AnnuityMode=2,2,IF(AnnuityMode=4,4,IF(AnnuityMode=12,12,1))),0),0)</f>
        <v>0</v>
      </c>
      <c r="J1120" s="227">
        <f t="shared" si="208"/>
        <v>0</v>
      </c>
      <c r="K1120" s="213">
        <f t="shared" si="215"/>
        <v>0</v>
      </c>
      <c r="L1120" s="209">
        <f t="shared" si="209"/>
        <v>0</v>
      </c>
      <c r="M1120" s="214">
        <f t="shared" si="210"/>
        <v>0</v>
      </c>
      <c r="N1120" s="211">
        <f t="shared" si="211"/>
        <v>0</v>
      </c>
      <c r="O1120" s="194">
        <f t="shared" si="212"/>
        <v>0</v>
      </c>
      <c r="P1120" s="212">
        <f t="shared" si="213"/>
        <v>0</v>
      </c>
      <c r="Q1120">
        <f t="shared" si="205"/>
        <v>0</v>
      </c>
      <c r="X1120" s="216">
        <f t="shared" si="216"/>
        <v>92</v>
      </c>
      <c r="Y1120">
        <f t="shared" si="214"/>
        <v>0</v>
      </c>
    </row>
    <row r="1121" spans="1:25" ht="13.5" thickBot="1" x14ac:dyDescent="0.25">
      <c r="A1121" s="204">
        <f>IF(MOD(COUNT($A$10:A1120),12)=0,A1120+1,A1120)</f>
        <v>93</v>
      </c>
      <c r="B1121" s="218">
        <f t="shared" si="206"/>
        <v>8</v>
      </c>
      <c r="C1121" s="218">
        <f t="shared" si="207"/>
        <v>1</v>
      </c>
      <c r="D1121" s="208">
        <f>IF(MOD(COUNT($D$10:D1120),6)=0,D1120+1,D1120)</f>
        <v>186</v>
      </c>
      <c r="E1121" s="208">
        <f>IF(MOD(COUNT($E$10:E1120),3)=0,E1120+1,E1120)</f>
        <v>371</v>
      </c>
      <c r="F1121" s="208">
        <f>IF(MOD(COUNT($F$10:F1120),1)=0,F1120+1,F1120)</f>
        <v>1112</v>
      </c>
      <c r="G1121" s="204">
        <f>IFERROR(IF(C1121=1,VLOOKUP(A1121,Output!$A$27:$AB$137,28,FALSE)/AnnuityMode,0),0)</f>
        <v>0</v>
      </c>
      <c r="H1121" s="220">
        <f>IFERROR(IF(AND(MIN(A1121&gt;25,Age+A1121&gt;=85),B1121=12),VLOOKUP(A1121,Output!$A$27:$AE$137,31,FALSE),0),0)</f>
        <v>0</v>
      </c>
      <c r="I1121" s="221">
        <f>IFERROR(IF(AND(MIN(A1121&gt;15,A1121+Age&gt;=70),C1121=1),VLOOKUP(A1121,Output!$A$27:$AF$137,32,FALSE)*VLOOKUP('SV calc_ignore'!A1121,Output!$A$27:$AG$137,33,FALSE)/IF(AnnuityMode=2,2,IF(AnnuityMode=4,4,IF(AnnuityMode=12,12,1))),0),0)</f>
        <v>0</v>
      </c>
      <c r="J1121" s="227">
        <f t="shared" si="208"/>
        <v>0</v>
      </c>
      <c r="K1121" s="213">
        <f t="shared" si="215"/>
        <v>0</v>
      </c>
      <c r="L1121" s="209">
        <f t="shared" si="209"/>
        <v>0</v>
      </c>
      <c r="M1121" s="214">
        <f t="shared" si="210"/>
        <v>0</v>
      </c>
      <c r="N1121" s="211">
        <f t="shared" si="211"/>
        <v>0</v>
      </c>
      <c r="O1121" s="194">
        <f t="shared" si="212"/>
        <v>0</v>
      </c>
      <c r="P1121" s="212">
        <f t="shared" si="213"/>
        <v>0</v>
      </c>
      <c r="Q1121">
        <f t="shared" si="205"/>
        <v>0</v>
      </c>
      <c r="X1121" s="216">
        <f t="shared" si="216"/>
        <v>92</v>
      </c>
      <c r="Y1121">
        <f t="shared" si="214"/>
        <v>0</v>
      </c>
    </row>
    <row r="1122" spans="1:25" ht="13.5" thickBot="1" x14ac:dyDescent="0.25">
      <c r="A1122" s="204">
        <f>IF(MOD(COUNT($A$10:A1121),12)=0,A1121+1,A1121)</f>
        <v>93</v>
      </c>
      <c r="B1122" s="218">
        <f t="shared" si="206"/>
        <v>9</v>
      </c>
      <c r="C1122" s="218">
        <f t="shared" si="207"/>
        <v>1</v>
      </c>
      <c r="D1122" s="208">
        <f>IF(MOD(COUNT($D$10:D1121),6)=0,D1121+1,D1121)</f>
        <v>186</v>
      </c>
      <c r="E1122" s="208">
        <f>IF(MOD(COUNT($E$10:E1121),3)=0,E1121+1,E1121)</f>
        <v>371</v>
      </c>
      <c r="F1122" s="208">
        <f>IF(MOD(COUNT($F$10:F1121),1)=0,F1121+1,F1121)</f>
        <v>1113</v>
      </c>
      <c r="G1122" s="204">
        <f>IFERROR(IF(C1122=1,VLOOKUP(A1122,Output!$A$27:$AB$137,28,FALSE)/AnnuityMode,0),0)</f>
        <v>0</v>
      </c>
      <c r="H1122" s="220">
        <f>IFERROR(IF(AND(MIN(A1122&gt;25,Age+A1122&gt;=85),B1122=12),VLOOKUP(A1122,Output!$A$27:$AE$137,31,FALSE),0),0)</f>
        <v>0</v>
      </c>
      <c r="I1122" s="221">
        <f>IFERROR(IF(AND(MIN(A1122&gt;15,A1122+Age&gt;=70),C1122=1),VLOOKUP(A1122,Output!$A$27:$AF$137,32,FALSE)*VLOOKUP('SV calc_ignore'!A1122,Output!$A$27:$AG$137,33,FALSE)/IF(AnnuityMode=2,2,IF(AnnuityMode=4,4,IF(AnnuityMode=12,12,1))),0),0)</f>
        <v>0</v>
      </c>
      <c r="J1122" s="227">
        <f t="shared" si="208"/>
        <v>0</v>
      </c>
      <c r="K1122" s="213">
        <f t="shared" si="215"/>
        <v>0</v>
      </c>
      <c r="L1122" s="209">
        <f t="shared" si="209"/>
        <v>0</v>
      </c>
      <c r="M1122" s="214">
        <f t="shared" si="210"/>
        <v>0</v>
      </c>
      <c r="N1122" s="211">
        <f t="shared" si="211"/>
        <v>0</v>
      </c>
      <c r="O1122" s="194">
        <f t="shared" si="212"/>
        <v>0</v>
      </c>
      <c r="P1122" s="212">
        <f t="shared" si="213"/>
        <v>0</v>
      </c>
      <c r="Q1122">
        <f t="shared" si="205"/>
        <v>0</v>
      </c>
      <c r="X1122" s="216">
        <f t="shared" si="216"/>
        <v>92</v>
      </c>
      <c r="Y1122">
        <f t="shared" si="214"/>
        <v>0</v>
      </c>
    </row>
    <row r="1123" spans="1:25" ht="13.5" thickBot="1" x14ac:dyDescent="0.25">
      <c r="A1123" s="204">
        <f>IF(MOD(COUNT($A$10:A1122),12)=0,A1122+1,A1122)</f>
        <v>93</v>
      </c>
      <c r="B1123" s="218">
        <f t="shared" si="206"/>
        <v>10</v>
      </c>
      <c r="C1123" s="218">
        <f t="shared" si="207"/>
        <v>1</v>
      </c>
      <c r="D1123" s="208">
        <f>IF(MOD(COUNT($D$10:D1122),6)=0,D1122+1,D1122)</f>
        <v>186</v>
      </c>
      <c r="E1123" s="208">
        <f>IF(MOD(COUNT($E$10:E1122),3)=0,E1122+1,E1122)</f>
        <v>372</v>
      </c>
      <c r="F1123" s="208">
        <f>IF(MOD(COUNT($F$10:F1122),1)=0,F1122+1,F1122)</f>
        <v>1114</v>
      </c>
      <c r="G1123" s="204">
        <f>IFERROR(IF(C1123=1,VLOOKUP(A1123,Output!$A$27:$AB$137,28,FALSE)/AnnuityMode,0),0)</f>
        <v>0</v>
      </c>
      <c r="H1123" s="220">
        <f>IFERROR(IF(AND(MIN(A1123&gt;25,Age+A1123&gt;=85),B1123=12),VLOOKUP(A1123,Output!$A$27:$AE$137,31,FALSE),0),0)</f>
        <v>0</v>
      </c>
      <c r="I1123" s="221">
        <f>IFERROR(IF(AND(MIN(A1123&gt;15,A1123+Age&gt;=70),C1123=1),VLOOKUP(A1123,Output!$A$27:$AF$137,32,FALSE)*VLOOKUP('SV calc_ignore'!A1123,Output!$A$27:$AG$137,33,FALSE)/IF(AnnuityMode=2,2,IF(AnnuityMode=4,4,IF(AnnuityMode=12,12,1))),0),0)</f>
        <v>0</v>
      </c>
      <c r="J1123" s="227">
        <f t="shared" si="208"/>
        <v>0</v>
      </c>
      <c r="K1123" s="213">
        <f t="shared" si="215"/>
        <v>0</v>
      </c>
      <c r="L1123" s="209">
        <f t="shared" si="209"/>
        <v>0</v>
      </c>
      <c r="M1123" s="214">
        <f t="shared" si="210"/>
        <v>0</v>
      </c>
      <c r="N1123" s="211">
        <f t="shared" si="211"/>
        <v>0</v>
      </c>
      <c r="O1123" s="194">
        <f t="shared" si="212"/>
        <v>0</v>
      </c>
      <c r="P1123" s="212">
        <f t="shared" si="213"/>
        <v>0</v>
      </c>
      <c r="Q1123">
        <f t="shared" si="205"/>
        <v>0</v>
      </c>
      <c r="X1123" s="216">
        <f t="shared" si="216"/>
        <v>92</v>
      </c>
      <c r="Y1123">
        <f t="shared" si="214"/>
        <v>0</v>
      </c>
    </row>
    <row r="1124" spans="1:25" ht="13.5" thickBot="1" x14ac:dyDescent="0.25">
      <c r="A1124" s="204">
        <f>IF(MOD(COUNT($A$10:A1123),12)=0,A1123+1,A1123)</f>
        <v>93</v>
      </c>
      <c r="B1124" s="218">
        <f t="shared" si="206"/>
        <v>11</v>
      </c>
      <c r="C1124" s="218">
        <f t="shared" si="207"/>
        <v>1</v>
      </c>
      <c r="D1124" s="208">
        <f>IF(MOD(COUNT($D$10:D1123),6)=0,D1123+1,D1123)</f>
        <v>186</v>
      </c>
      <c r="E1124" s="208">
        <f>IF(MOD(COUNT($E$10:E1123),3)=0,E1123+1,E1123)</f>
        <v>372</v>
      </c>
      <c r="F1124" s="208">
        <f>IF(MOD(COUNT($F$10:F1123),1)=0,F1123+1,F1123)</f>
        <v>1115</v>
      </c>
      <c r="G1124" s="204">
        <f>IFERROR(IF(C1124=1,VLOOKUP(A1124,Output!$A$27:$AB$137,28,FALSE)/AnnuityMode,0),0)</f>
        <v>0</v>
      </c>
      <c r="H1124" s="220">
        <f>IFERROR(IF(AND(MIN(A1124&gt;25,Age+A1124&gt;=85),B1124=12),VLOOKUP(A1124,Output!$A$27:$AE$137,31,FALSE),0),0)</f>
        <v>0</v>
      </c>
      <c r="I1124" s="221">
        <f>IFERROR(IF(AND(MIN(A1124&gt;15,A1124+Age&gt;=70),C1124=1),VLOOKUP(A1124,Output!$A$27:$AF$137,32,FALSE)*VLOOKUP('SV calc_ignore'!A1124,Output!$A$27:$AG$137,33,FALSE)/IF(AnnuityMode=2,2,IF(AnnuityMode=4,4,IF(AnnuityMode=12,12,1))),0),0)</f>
        <v>0</v>
      </c>
      <c r="J1124" s="227">
        <f t="shared" si="208"/>
        <v>0</v>
      </c>
      <c r="K1124" s="213">
        <f t="shared" si="215"/>
        <v>0</v>
      </c>
      <c r="L1124" s="209">
        <f t="shared" si="209"/>
        <v>0</v>
      </c>
      <c r="M1124" s="214">
        <f t="shared" si="210"/>
        <v>0</v>
      </c>
      <c r="N1124" s="211">
        <f t="shared" si="211"/>
        <v>0</v>
      </c>
      <c r="O1124" s="194">
        <f t="shared" si="212"/>
        <v>0</v>
      </c>
      <c r="P1124" s="212">
        <f t="shared" si="213"/>
        <v>0</v>
      </c>
      <c r="Q1124">
        <f t="shared" si="205"/>
        <v>0</v>
      </c>
      <c r="X1124" s="216">
        <f t="shared" si="216"/>
        <v>92</v>
      </c>
      <c r="Y1124">
        <f t="shared" si="214"/>
        <v>0</v>
      </c>
    </row>
    <row r="1125" spans="1:25" ht="13.5" thickBot="1" x14ac:dyDescent="0.25">
      <c r="A1125" s="204">
        <f>IF(MOD(COUNT($A$10:A1124),12)=0,A1124+1,A1124)</f>
        <v>93</v>
      </c>
      <c r="B1125" s="218">
        <f t="shared" si="206"/>
        <v>12</v>
      </c>
      <c r="C1125" s="218">
        <f t="shared" si="207"/>
        <v>1</v>
      </c>
      <c r="D1125" s="208">
        <f>IF(MOD(COUNT($D$10:D1124),6)=0,D1124+1,D1124)</f>
        <v>186</v>
      </c>
      <c r="E1125" s="208">
        <f>IF(MOD(COUNT($E$10:E1124),3)=0,E1124+1,E1124)</f>
        <v>372</v>
      </c>
      <c r="F1125" s="208">
        <f>IF(MOD(COUNT($F$10:F1124),1)=0,F1124+1,F1124)</f>
        <v>1116</v>
      </c>
      <c r="G1125" s="204">
        <f>IFERROR(IF(C1125=1,VLOOKUP(A1125,Output!$A$27:$AB$137,28,FALSE)/AnnuityMode,0),0)</f>
        <v>0</v>
      </c>
      <c r="H1125" s="220">
        <f>IFERROR(IF(AND(MIN(A1125&gt;25,Age+A1125&gt;=85),B1125=12),VLOOKUP(A1125,Output!$A$27:$AE$137,31,FALSE),0),0)</f>
        <v>0</v>
      </c>
      <c r="I1125" s="221">
        <f>IFERROR(IF(AND(MIN(A1125&gt;15,A1125+Age&gt;=70),C1125=1),VLOOKUP(A1125,Output!$A$27:$AF$137,32,FALSE)*VLOOKUP('SV calc_ignore'!A1125,Output!$A$27:$AG$137,33,FALSE)/IF(AnnuityMode=2,2,IF(AnnuityMode=4,4,IF(AnnuityMode=12,12,1))),0),0)</f>
        <v>0</v>
      </c>
      <c r="J1125" s="227">
        <f t="shared" si="208"/>
        <v>0</v>
      </c>
      <c r="K1125" s="213">
        <f t="shared" si="215"/>
        <v>0</v>
      </c>
      <c r="L1125" s="209">
        <f t="shared" si="209"/>
        <v>0</v>
      </c>
      <c r="M1125" s="214">
        <f t="shared" si="210"/>
        <v>0</v>
      </c>
      <c r="N1125" s="211">
        <f t="shared" si="211"/>
        <v>0</v>
      </c>
      <c r="O1125" s="194">
        <f t="shared" si="212"/>
        <v>0</v>
      </c>
      <c r="P1125" s="212">
        <f t="shared" si="213"/>
        <v>0</v>
      </c>
      <c r="Q1125">
        <f t="shared" si="205"/>
        <v>0</v>
      </c>
      <c r="X1125" s="216">
        <f t="shared" si="216"/>
        <v>92</v>
      </c>
      <c r="Y1125">
        <f t="shared" si="214"/>
        <v>0</v>
      </c>
    </row>
    <row r="1126" spans="1:25" ht="13.5" thickBot="1" x14ac:dyDescent="0.25">
      <c r="A1126" s="204">
        <f>IF(MOD(COUNT($A$10:A1125),12)=0,A1125+1,A1125)</f>
        <v>94</v>
      </c>
      <c r="B1126" s="218">
        <f t="shared" si="206"/>
        <v>1</v>
      </c>
      <c r="C1126" s="218">
        <f t="shared" si="207"/>
        <v>1</v>
      </c>
      <c r="D1126" s="208">
        <f>IF(MOD(COUNT($D$10:D1125),6)=0,D1125+1,D1125)</f>
        <v>187</v>
      </c>
      <c r="E1126" s="208">
        <f>IF(MOD(COUNT($E$10:E1125),3)=0,E1125+1,E1125)</f>
        <v>373</v>
      </c>
      <c r="F1126" s="208">
        <f>IF(MOD(COUNT($F$10:F1125),1)=0,F1125+1,F1125)</f>
        <v>1117</v>
      </c>
      <c r="G1126" s="204">
        <f>IFERROR(IF(C1126=1,VLOOKUP(A1126,Output!$A$27:$AB$137,28,FALSE)/AnnuityMode,0),0)</f>
        <v>0</v>
      </c>
      <c r="H1126" s="220">
        <f>IFERROR(IF(AND(MIN(A1126&gt;25,Age+A1126&gt;=85),B1126=12),VLOOKUP(A1126,Output!$A$27:$AE$137,31,FALSE),0),0)</f>
        <v>0</v>
      </c>
      <c r="I1126" s="221">
        <f>IFERROR(IF(AND(MIN(A1126&gt;15,A1126+Age&gt;=70),C1126=1),VLOOKUP(A1126,Output!$A$27:$AF$137,32,FALSE)*VLOOKUP('SV calc_ignore'!A1126,Output!$A$27:$AG$137,33,FALSE)/IF(AnnuityMode=2,2,IF(AnnuityMode=4,4,IF(AnnuityMode=12,12,1))),0),0)</f>
        <v>0</v>
      </c>
      <c r="J1126" s="227">
        <f t="shared" si="208"/>
        <v>0</v>
      </c>
      <c r="K1126" s="213">
        <f t="shared" si="215"/>
        <v>0</v>
      </c>
      <c r="L1126" s="209">
        <f t="shared" si="209"/>
        <v>0</v>
      </c>
      <c r="M1126" s="214">
        <f t="shared" si="210"/>
        <v>0</v>
      </c>
      <c r="N1126" s="211">
        <f t="shared" si="211"/>
        <v>0</v>
      </c>
      <c r="O1126" s="194">
        <f t="shared" si="212"/>
        <v>0</v>
      </c>
      <c r="P1126" s="212">
        <f t="shared" si="213"/>
        <v>0</v>
      </c>
      <c r="Q1126">
        <f t="shared" si="205"/>
        <v>0</v>
      </c>
      <c r="X1126" s="216">
        <f t="shared" si="216"/>
        <v>93</v>
      </c>
      <c r="Y1126">
        <f t="shared" si="214"/>
        <v>0</v>
      </c>
    </row>
    <row r="1127" spans="1:25" ht="13.5" thickBot="1" x14ac:dyDescent="0.25">
      <c r="A1127" s="204">
        <f>IF(MOD(COUNT($A$10:A1126),12)=0,A1126+1,A1126)</f>
        <v>94</v>
      </c>
      <c r="B1127" s="218">
        <f t="shared" si="206"/>
        <v>2</v>
      </c>
      <c r="C1127" s="218">
        <f t="shared" si="207"/>
        <v>1</v>
      </c>
      <c r="D1127" s="208">
        <f>IF(MOD(COUNT($D$10:D1126),6)=0,D1126+1,D1126)</f>
        <v>187</v>
      </c>
      <c r="E1127" s="208">
        <f>IF(MOD(COUNT($E$10:E1126),3)=0,E1126+1,E1126)</f>
        <v>373</v>
      </c>
      <c r="F1127" s="208">
        <f>IF(MOD(COUNT($F$10:F1126),1)=0,F1126+1,F1126)</f>
        <v>1118</v>
      </c>
      <c r="G1127" s="204">
        <f>IFERROR(IF(C1127=1,VLOOKUP(A1127,Output!$A$27:$AB$137,28,FALSE)/AnnuityMode,0),0)</f>
        <v>0</v>
      </c>
      <c r="H1127" s="220">
        <f>IFERROR(IF(AND(MIN(A1127&gt;25,Age+A1127&gt;=85),B1127=12),VLOOKUP(A1127,Output!$A$27:$AE$137,31,FALSE),0),0)</f>
        <v>0</v>
      </c>
      <c r="I1127" s="221">
        <f>IFERROR(IF(AND(MIN(A1127&gt;15,A1127+Age&gt;=70),C1127=1),VLOOKUP(A1127,Output!$A$27:$AF$137,32,FALSE)*VLOOKUP('SV calc_ignore'!A1127,Output!$A$27:$AG$137,33,FALSE)/IF(AnnuityMode=2,2,IF(AnnuityMode=4,4,IF(AnnuityMode=12,12,1))),0),0)</f>
        <v>0</v>
      </c>
      <c r="J1127" s="227">
        <f t="shared" si="208"/>
        <v>0</v>
      </c>
      <c r="K1127" s="213">
        <f t="shared" si="215"/>
        <v>0</v>
      </c>
      <c r="L1127" s="209">
        <f t="shared" si="209"/>
        <v>0</v>
      </c>
      <c r="M1127" s="214">
        <f t="shared" si="210"/>
        <v>0</v>
      </c>
      <c r="N1127" s="211">
        <f t="shared" si="211"/>
        <v>0</v>
      </c>
      <c r="O1127" s="194">
        <f t="shared" si="212"/>
        <v>0</v>
      </c>
      <c r="P1127" s="212">
        <f t="shared" si="213"/>
        <v>0</v>
      </c>
      <c r="Q1127">
        <f t="shared" si="205"/>
        <v>0</v>
      </c>
      <c r="X1127" s="216">
        <f t="shared" si="216"/>
        <v>93</v>
      </c>
      <c r="Y1127">
        <f t="shared" si="214"/>
        <v>0</v>
      </c>
    </row>
    <row r="1128" spans="1:25" ht="13.5" thickBot="1" x14ac:dyDescent="0.25">
      <c r="A1128" s="204">
        <f>IF(MOD(COUNT($A$10:A1127),12)=0,A1127+1,A1127)</f>
        <v>94</v>
      </c>
      <c r="B1128" s="218">
        <f t="shared" si="206"/>
        <v>3</v>
      </c>
      <c r="C1128" s="218">
        <f t="shared" si="207"/>
        <v>1</v>
      </c>
      <c r="D1128" s="208">
        <f>IF(MOD(COUNT($D$10:D1127),6)=0,D1127+1,D1127)</f>
        <v>187</v>
      </c>
      <c r="E1128" s="208">
        <f>IF(MOD(COUNT($E$10:E1127),3)=0,E1127+1,E1127)</f>
        <v>373</v>
      </c>
      <c r="F1128" s="208">
        <f>IF(MOD(COUNT($F$10:F1127),1)=0,F1127+1,F1127)</f>
        <v>1119</v>
      </c>
      <c r="G1128" s="204">
        <f>IFERROR(IF(C1128=1,VLOOKUP(A1128,Output!$A$27:$AB$137,28,FALSE)/AnnuityMode,0),0)</f>
        <v>0</v>
      </c>
      <c r="H1128" s="220">
        <f>IFERROR(IF(AND(MIN(A1128&gt;25,Age+A1128&gt;=85),B1128=12),VLOOKUP(A1128,Output!$A$27:$AE$137,31,FALSE),0),0)</f>
        <v>0</v>
      </c>
      <c r="I1128" s="221">
        <f>IFERROR(IF(AND(MIN(A1128&gt;15,A1128+Age&gt;=70),C1128=1),VLOOKUP(A1128,Output!$A$27:$AF$137,32,FALSE)*VLOOKUP('SV calc_ignore'!A1128,Output!$A$27:$AG$137,33,FALSE)/IF(AnnuityMode=2,2,IF(AnnuityMode=4,4,IF(AnnuityMode=12,12,1))),0),0)</f>
        <v>0</v>
      </c>
      <c r="J1128" s="227">
        <f t="shared" si="208"/>
        <v>0</v>
      </c>
      <c r="K1128" s="213">
        <f t="shared" si="215"/>
        <v>0</v>
      </c>
      <c r="L1128" s="209">
        <f t="shared" si="209"/>
        <v>0</v>
      </c>
      <c r="M1128" s="214">
        <f t="shared" si="210"/>
        <v>0</v>
      </c>
      <c r="N1128" s="211">
        <f t="shared" si="211"/>
        <v>0</v>
      </c>
      <c r="O1128" s="194">
        <f t="shared" si="212"/>
        <v>0</v>
      </c>
      <c r="P1128" s="212">
        <f t="shared" si="213"/>
        <v>0</v>
      </c>
      <c r="Q1128">
        <f t="shared" si="205"/>
        <v>0</v>
      </c>
      <c r="X1128" s="216">
        <f t="shared" si="216"/>
        <v>93</v>
      </c>
      <c r="Y1128">
        <f t="shared" si="214"/>
        <v>0</v>
      </c>
    </row>
    <row r="1129" spans="1:25" ht="13.5" thickBot="1" x14ac:dyDescent="0.25">
      <c r="A1129" s="204">
        <f>IF(MOD(COUNT($A$10:A1128),12)=0,A1128+1,A1128)</f>
        <v>94</v>
      </c>
      <c r="B1129" s="218">
        <f t="shared" si="206"/>
        <v>4</v>
      </c>
      <c r="C1129" s="218">
        <f t="shared" si="207"/>
        <v>1</v>
      </c>
      <c r="D1129" s="208">
        <f>IF(MOD(COUNT($D$10:D1128),6)=0,D1128+1,D1128)</f>
        <v>187</v>
      </c>
      <c r="E1129" s="208">
        <f>IF(MOD(COUNT($E$10:E1128),3)=0,E1128+1,E1128)</f>
        <v>374</v>
      </c>
      <c r="F1129" s="208">
        <f>IF(MOD(COUNT($F$10:F1128),1)=0,F1128+1,F1128)</f>
        <v>1120</v>
      </c>
      <c r="G1129" s="204">
        <f>IFERROR(IF(C1129=1,VLOOKUP(A1129,Output!$A$27:$AB$137,28,FALSE)/AnnuityMode,0),0)</f>
        <v>0</v>
      </c>
      <c r="H1129" s="220">
        <f>IFERROR(IF(AND(MIN(A1129&gt;25,Age+A1129&gt;=85),B1129=12),VLOOKUP(A1129,Output!$A$27:$AE$137,31,FALSE),0),0)</f>
        <v>0</v>
      </c>
      <c r="I1129" s="221">
        <f>IFERROR(IF(AND(MIN(A1129&gt;15,A1129+Age&gt;=70),C1129=1),VLOOKUP(A1129,Output!$A$27:$AF$137,32,FALSE)*VLOOKUP('SV calc_ignore'!A1129,Output!$A$27:$AG$137,33,FALSE)/IF(AnnuityMode=2,2,IF(AnnuityMode=4,4,IF(AnnuityMode=12,12,1))),0),0)</f>
        <v>0</v>
      </c>
      <c r="J1129" s="227">
        <f t="shared" si="208"/>
        <v>0</v>
      </c>
      <c r="K1129" s="213">
        <f t="shared" si="215"/>
        <v>0</v>
      </c>
      <c r="L1129" s="209">
        <f t="shared" si="209"/>
        <v>0</v>
      </c>
      <c r="M1129" s="214">
        <f t="shared" si="210"/>
        <v>0</v>
      </c>
      <c r="N1129" s="211">
        <f t="shared" si="211"/>
        <v>0</v>
      </c>
      <c r="O1129" s="194">
        <f t="shared" si="212"/>
        <v>0</v>
      </c>
      <c r="P1129" s="212">
        <f t="shared" si="213"/>
        <v>0</v>
      </c>
      <c r="Q1129">
        <f t="shared" si="205"/>
        <v>0</v>
      </c>
      <c r="X1129" s="216">
        <f t="shared" si="216"/>
        <v>93</v>
      </c>
      <c r="Y1129">
        <f t="shared" si="214"/>
        <v>0</v>
      </c>
    </row>
    <row r="1130" spans="1:25" ht="13.5" thickBot="1" x14ac:dyDescent="0.25">
      <c r="A1130" s="204">
        <f>IF(MOD(COUNT($A$10:A1129),12)=0,A1129+1,A1129)</f>
        <v>94</v>
      </c>
      <c r="B1130" s="218">
        <f t="shared" si="206"/>
        <v>5</v>
      </c>
      <c r="C1130" s="218">
        <f t="shared" si="207"/>
        <v>1</v>
      </c>
      <c r="D1130" s="208">
        <f>IF(MOD(COUNT($D$10:D1129),6)=0,D1129+1,D1129)</f>
        <v>187</v>
      </c>
      <c r="E1130" s="208">
        <f>IF(MOD(COUNT($E$10:E1129),3)=0,E1129+1,E1129)</f>
        <v>374</v>
      </c>
      <c r="F1130" s="208">
        <f>IF(MOD(COUNT($F$10:F1129),1)=0,F1129+1,F1129)</f>
        <v>1121</v>
      </c>
      <c r="G1130" s="204">
        <f>IFERROR(IF(C1130=1,VLOOKUP(A1130,Output!$A$27:$AB$137,28,FALSE)/AnnuityMode,0),0)</f>
        <v>0</v>
      </c>
      <c r="H1130" s="220">
        <f>IFERROR(IF(AND(MIN(A1130&gt;25,Age+A1130&gt;=85),B1130=12),VLOOKUP(A1130,Output!$A$27:$AE$137,31,FALSE),0),0)</f>
        <v>0</v>
      </c>
      <c r="I1130" s="221">
        <f>IFERROR(IF(AND(MIN(A1130&gt;15,A1130+Age&gt;=70),C1130=1),VLOOKUP(A1130,Output!$A$27:$AF$137,32,FALSE)*VLOOKUP('SV calc_ignore'!A1130,Output!$A$27:$AG$137,33,FALSE)/IF(AnnuityMode=2,2,IF(AnnuityMode=4,4,IF(AnnuityMode=12,12,1))),0),0)</f>
        <v>0</v>
      </c>
      <c r="J1130" s="227">
        <f t="shared" si="208"/>
        <v>0</v>
      </c>
      <c r="K1130" s="213">
        <f t="shared" si="215"/>
        <v>0</v>
      </c>
      <c r="L1130" s="209">
        <f t="shared" si="209"/>
        <v>0</v>
      </c>
      <c r="M1130" s="214">
        <f t="shared" si="210"/>
        <v>0</v>
      </c>
      <c r="N1130" s="211">
        <f t="shared" si="211"/>
        <v>0</v>
      </c>
      <c r="O1130" s="194">
        <f t="shared" si="212"/>
        <v>0</v>
      </c>
      <c r="P1130" s="212">
        <f t="shared" si="213"/>
        <v>0</v>
      </c>
      <c r="Q1130">
        <f t="shared" ref="Q1130:Q1193" si="217">(I1130+(Q1131)*(1+$K$3)^(-1))*(A1130&lt;=$W$5)</f>
        <v>0</v>
      </c>
      <c r="X1130" s="216">
        <f t="shared" si="216"/>
        <v>93</v>
      </c>
      <c r="Y1130">
        <f t="shared" si="214"/>
        <v>0</v>
      </c>
    </row>
    <row r="1131" spans="1:25" ht="13.5" thickBot="1" x14ac:dyDescent="0.25">
      <c r="A1131" s="204">
        <f>IF(MOD(COUNT($A$10:A1130),12)=0,A1130+1,A1130)</f>
        <v>94</v>
      </c>
      <c r="B1131" s="218">
        <f t="shared" si="206"/>
        <v>6</v>
      </c>
      <c r="C1131" s="218">
        <f t="shared" si="207"/>
        <v>1</v>
      </c>
      <c r="D1131" s="208">
        <f>IF(MOD(COUNT($D$10:D1130),6)=0,D1130+1,D1130)</f>
        <v>187</v>
      </c>
      <c r="E1131" s="208">
        <f>IF(MOD(COUNT($E$10:E1130),3)=0,E1130+1,E1130)</f>
        <v>374</v>
      </c>
      <c r="F1131" s="208">
        <f>IF(MOD(COUNT($F$10:F1130),1)=0,F1130+1,F1130)</f>
        <v>1122</v>
      </c>
      <c r="G1131" s="204">
        <f>IFERROR(IF(C1131=1,VLOOKUP(A1131,Output!$A$27:$AB$137,28,FALSE)/AnnuityMode,0),0)</f>
        <v>0</v>
      </c>
      <c r="H1131" s="220">
        <f>IFERROR(IF(AND(MIN(A1131&gt;25,Age+A1131&gt;=85),B1131=12),VLOOKUP(A1131,Output!$A$27:$AE$137,31,FALSE),0),0)</f>
        <v>0</v>
      </c>
      <c r="I1131" s="221">
        <f>IFERROR(IF(AND(MIN(A1131&gt;15,A1131+Age&gt;=70),C1131=1),VLOOKUP(A1131,Output!$A$27:$AF$137,32,FALSE)*VLOOKUP('SV calc_ignore'!A1131,Output!$A$27:$AG$137,33,FALSE)/IF(AnnuityMode=2,2,IF(AnnuityMode=4,4,IF(AnnuityMode=12,12,1))),0),0)</f>
        <v>0</v>
      </c>
      <c r="J1131" s="227">
        <f t="shared" si="208"/>
        <v>0</v>
      </c>
      <c r="K1131" s="213">
        <f t="shared" si="215"/>
        <v>0</v>
      </c>
      <c r="L1131" s="209">
        <f t="shared" si="209"/>
        <v>0</v>
      </c>
      <c r="M1131" s="214">
        <f t="shared" si="210"/>
        <v>0</v>
      </c>
      <c r="N1131" s="211">
        <f t="shared" si="211"/>
        <v>0</v>
      </c>
      <c r="O1131" s="194">
        <f t="shared" si="212"/>
        <v>0</v>
      </c>
      <c r="P1131" s="212">
        <f t="shared" si="213"/>
        <v>0</v>
      </c>
      <c r="Q1131">
        <f t="shared" si="217"/>
        <v>0</v>
      </c>
      <c r="X1131" s="216">
        <f t="shared" si="216"/>
        <v>93</v>
      </c>
      <c r="Y1131">
        <f t="shared" si="214"/>
        <v>0</v>
      </c>
    </row>
    <row r="1132" spans="1:25" ht="13.5" thickBot="1" x14ac:dyDescent="0.25">
      <c r="A1132" s="204">
        <f>IF(MOD(COUNT($A$10:A1131),12)=0,A1131+1,A1131)</f>
        <v>94</v>
      </c>
      <c r="B1132" s="218">
        <f t="shared" si="206"/>
        <v>7</v>
      </c>
      <c r="C1132" s="218">
        <f t="shared" si="207"/>
        <v>1</v>
      </c>
      <c r="D1132" s="208">
        <f>IF(MOD(COUNT($D$10:D1131),6)=0,D1131+1,D1131)</f>
        <v>188</v>
      </c>
      <c r="E1132" s="208">
        <f>IF(MOD(COUNT($E$10:E1131),3)=0,E1131+1,E1131)</f>
        <v>375</v>
      </c>
      <c r="F1132" s="208">
        <f>IF(MOD(COUNT($F$10:F1131),1)=0,F1131+1,F1131)</f>
        <v>1123</v>
      </c>
      <c r="G1132" s="204">
        <f>IFERROR(IF(C1132=1,VLOOKUP(A1132,Output!$A$27:$AB$137,28,FALSE)/AnnuityMode,0),0)</f>
        <v>0</v>
      </c>
      <c r="H1132" s="220">
        <f>IFERROR(IF(AND(MIN(A1132&gt;25,Age+A1132&gt;=85),B1132=12),VLOOKUP(A1132,Output!$A$27:$AE$137,31,FALSE),0),0)</f>
        <v>0</v>
      </c>
      <c r="I1132" s="221">
        <f>IFERROR(IF(AND(MIN(A1132&gt;15,A1132+Age&gt;=70),C1132=1),VLOOKUP(A1132,Output!$A$27:$AF$137,32,FALSE)*VLOOKUP('SV calc_ignore'!A1132,Output!$A$27:$AG$137,33,FALSE)/IF(AnnuityMode=2,2,IF(AnnuityMode=4,4,IF(AnnuityMode=12,12,1))),0),0)</f>
        <v>0</v>
      </c>
      <c r="J1132" s="227">
        <f t="shared" si="208"/>
        <v>0</v>
      </c>
      <c r="K1132" s="213">
        <f t="shared" si="215"/>
        <v>0</v>
      </c>
      <c r="L1132" s="209">
        <f t="shared" si="209"/>
        <v>0</v>
      </c>
      <c r="M1132" s="214">
        <f t="shared" si="210"/>
        <v>0</v>
      </c>
      <c r="N1132" s="211">
        <f t="shared" si="211"/>
        <v>0</v>
      </c>
      <c r="O1132" s="194">
        <f t="shared" si="212"/>
        <v>0</v>
      </c>
      <c r="P1132" s="212">
        <f t="shared" si="213"/>
        <v>0</v>
      </c>
      <c r="Q1132">
        <f t="shared" si="217"/>
        <v>0</v>
      </c>
      <c r="X1132" s="216">
        <f t="shared" si="216"/>
        <v>93</v>
      </c>
      <c r="Y1132">
        <f t="shared" si="214"/>
        <v>0</v>
      </c>
    </row>
    <row r="1133" spans="1:25" ht="13.5" thickBot="1" x14ac:dyDescent="0.25">
      <c r="A1133" s="204">
        <f>IF(MOD(COUNT($A$10:A1132),12)=0,A1132+1,A1132)</f>
        <v>94</v>
      </c>
      <c r="B1133" s="218">
        <f t="shared" si="206"/>
        <v>8</v>
      </c>
      <c r="C1133" s="218">
        <f t="shared" si="207"/>
        <v>1</v>
      </c>
      <c r="D1133" s="208">
        <f>IF(MOD(COUNT($D$10:D1132),6)=0,D1132+1,D1132)</f>
        <v>188</v>
      </c>
      <c r="E1133" s="208">
        <f>IF(MOD(COUNT($E$10:E1132),3)=0,E1132+1,E1132)</f>
        <v>375</v>
      </c>
      <c r="F1133" s="208">
        <f>IF(MOD(COUNT($F$10:F1132),1)=0,F1132+1,F1132)</f>
        <v>1124</v>
      </c>
      <c r="G1133" s="204">
        <f>IFERROR(IF(C1133=1,VLOOKUP(A1133,Output!$A$27:$AB$137,28,FALSE)/AnnuityMode,0),0)</f>
        <v>0</v>
      </c>
      <c r="H1133" s="220">
        <f>IFERROR(IF(AND(MIN(A1133&gt;25,Age+A1133&gt;=85),B1133=12),VLOOKUP(A1133,Output!$A$27:$AE$137,31,FALSE),0),0)</f>
        <v>0</v>
      </c>
      <c r="I1133" s="221">
        <f>IFERROR(IF(AND(MIN(A1133&gt;15,A1133+Age&gt;=70),C1133=1),VLOOKUP(A1133,Output!$A$27:$AF$137,32,FALSE)*VLOOKUP('SV calc_ignore'!A1133,Output!$A$27:$AG$137,33,FALSE)/IF(AnnuityMode=2,2,IF(AnnuityMode=4,4,IF(AnnuityMode=12,12,1))),0),0)</f>
        <v>0</v>
      </c>
      <c r="J1133" s="227">
        <f t="shared" si="208"/>
        <v>0</v>
      </c>
      <c r="K1133" s="213">
        <f t="shared" si="215"/>
        <v>0</v>
      </c>
      <c r="L1133" s="209">
        <f t="shared" si="209"/>
        <v>0</v>
      </c>
      <c r="M1133" s="214">
        <f t="shared" si="210"/>
        <v>0</v>
      </c>
      <c r="N1133" s="211">
        <f t="shared" si="211"/>
        <v>0</v>
      </c>
      <c r="O1133" s="194">
        <f t="shared" si="212"/>
        <v>0</v>
      </c>
      <c r="P1133" s="212">
        <f t="shared" si="213"/>
        <v>0</v>
      </c>
      <c r="Q1133">
        <f t="shared" si="217"/>
        <v>0</v>
      </c>
      <c r="X1133" s="216">
        <f t="shared" si="216"/>
        <v>93</v>
      </c>
      <c r="Y1133">
        <f t="shared" si="214"/>
        <v>0</v>
      </c>
    </row>
    <row r="1134" spans="1:25" ht="13.5" thickBot="1" x14ac:dyDescent="0.25">
      <c r="A1134" s="204">
        <f>IF(MOD(COUNT($A$10:A1133),12)=0,A1133+1,A1133)</f>
        <v>94</v>
      </c>
      <c r="B1134" s="218">
        <f t="shared" si="206"/>
        <v>9</v>
      </c>
      <c r="C1134" s="218">
        <f t="shared" si="207"/>
        <v>1</v>
      </c>
      <c r="D1134" s="208">
        <f>IF(MOD(COUNT($D$10:D1133),6)=0,D1133+1,D1133)</f>
        <v>188</v>
      </c>
      <c r="E1134" s="208">
        <f>IF(MOD(COUNT($E$10:E1133),3)=0,E1133+1,E1133)</f>
        <v>375</v>
      </c>
      <c r="F1134" s="208">
        <f>IF(MOD(COUNT($F$10:F1133),1)=0,F1133+1,F1133)</f>
        <v>1125</v>
      </c>
      <c r="G1134" s="204">
        <f>IFERROR(IF(C1134=1,VLOOKUP(A1134,Output!$A$27:$AB$137,28,FALSE)/AnnuityMode,0),0)</f>
        <v>0</v>
      </c>
      <c r="H1134" s="220">
        <f>IFERROR(IF(AND(MIN(A1134&gt;25,Age+A1134&gt;=85),B1134=12),VLOOKUP(A1134,Output!$A$27:$AE$137,31,FALSE),0),0)</f>
        <v>0</v>
      </c>
      <c r="I1134" s="221">
        <f>IFERROR(IF(AND(MIN(A1134&gt;15,A1134+Age&gt;=70),C1134=1),VLOOKUP(A1134,Output!$A$27:$AF$137,32,FALSE)*VLOOKUP('SV calc_ignore'!A1134,Output!$A$27:$AG$137,33,FALSE)/IF(AnnuityMode=2,2,IF(AnnuityMode=4,4,IF(AnnuityMode=12,12,1))),0),0)</f>
        <v>0</v>
      </c>
      <c r="J1134" s="227">
        <f t="shared" si="208"/>
        <v>0</v>
      </c>
      <c r="K1134" s="213">
        <f t="shared" si="215"/>
        <v>0</v>
      </c>
      <c r="L1134" s="209">
        <f t="shared" si="209"/>
        <v>0</v>
      </c>
      <c r="M1134" s="214">
        <f t="shared" si="210"/>
        <v>0</v>
      </c>
      <c r="N1134" s="211">
        <f t="shared" si="211"/>
        <v>0</v>
      </c>
      <c r="O1134" s="194">
        <f t="shared" si="212"/>
        <v>0</v>
      </c>
      <c r="P1134" s="212">
        <f t="shared" si="213"/>
        <v>0</v>
      </c>
      <c r="Q1134">
        <f t="shared" si="217"/>
        <v>0</v>
      </c>
      <c r="X1134" s="216">
        <f t="shared" si="216"/>
        <v>93</v>
      </c>
      <c r="Y1134">
        <f t="shared" si="214"/>
        <v>0</v>
      </c>
    </row>
    <row r="1135" spans="1:25" ht="13.5" thickBot="1" x14ac:dyDescent="0.25">
      <c r="A1135" s="204">
        <f>IF(MOD(COUNT($A$10:A1134),12)=0,A1134+1,A1134)</f>
        <v>94</v>
      </c>
      <c r="B1135" s="218">
        <f t="shared" si="206"/>
        <v>10</v>
      </c>
      <c r="C1135" s="218">
        <f t="shared" si="207"/>
        <v>1</v>
      </c>
      <c r="D1135" s="208">
        <f>IF(MOD(COUNT($D$10:D1134),6)=0,D1134+1,D1134)</f>
        <v>188</v>
      </c>
      <c r="E1135" s="208">
        <f>IF(MOD(COUNT($E$10:E1134),3)=0,E1134+1,E1134)</f>
        <v>376</v>
      </c>
      <c r="F1135" s="208">
        <f>IF(MOD(COUNT($F$10:F1134),1)=0,F1134+1,F1134)</f>
        <v>1126</v>
      </c>
      <c r="G1135" s="204">
        <f>IFERROR(IF(C1135=1,VLOOKUP(A1135,Output!$A$27:$AB$137,28,FALSE)/AnnuityMode,0),0)</f>
        <v>0</v>
      </c>
      <c r="H1135" s="220">
        <f>IFERROR(IF(AND(MIN(A1135&gt;25,Age+A1135&gt;=85),B1135=12),VLOOKUP(A1135,Output!$A$27:$AE$137,31,FALSE),0),0)</f>
        <v>0</v>
      </c>
      <c r="I1135" s="221">
        <f>IFERROR(IF(AND(MIN(A1135&gt;15,A1135+Age&gt;=70),C1135=1),VLOOKUP(A1135,Output!$A$27:$AF$137,32,FALSE)*VLOOKUP('SV calc_ignore'!A1135,Output!$A$27:$AG$137,33,FALSE)/IF(AnnuityMode=2,2,IF(AnnuityMode=4,4,IF(AnnuityMode=12,12,1))),0),0)</f>
        <v>0</v>
      </c>
      <c r="J1135" s="227">
        <f t="shared" si="208"/>
        <v>0</v>
      </c>
      <c r="K1135" s="213">
        <f t="shared" si="215"/>
        <v>0</v>
      </c>
      <c r="L1135" s="209">
        <f t="shared" si="209"/>
        <v>0</v>
      </c>
      <c r="M1135" s="214">
        <f t="shared" si="210"/>
        <v>0</v>
      </c>
      <c r="N1135" s="211">
        <f t="shared" si="211"/>
        <v>0</v>
      </c>
      <c r="O1135" s="194">
        <f t="shared" si="212"/>
        <v>0</v>
      </c>
      <c r="P1135" s="212">
        <f t="shared" si="213"/>
        <v>0</v>
      </c>
      <c r="Q1135">
        <f t="shared" si="217"/>
        <v>0</v>
      </c>
      <c r="X1135" s="216">
        <f t="shared" si="216"/>
        <v>93</v>
      </c>
      <c r="Y1135">
        <f t="shared" si="214"/>
        <v>0</v>
      </c>
    </row>
    <row r="1136" spans="1:25" ht="13.5" thickBot="1" x14ac:dyDescent="0.25">
      <c r="A1136" s="204">
        <f>IF(MOD(COUNT($A$10:A1135),12)=0,A1135+1,A1135)</f>
        <v>94</v>
      </c>
      <c r="B1136" s="218">
        <f t="shared" si="206"/>
        <v>11</v>
      </c>
      <c r="C1136" s="218">
        <f t="shared" si="207"/>
        <v>1</v>
      </c>
      <c r="D1136" s="208">
        <f>IF(MOD(COUNT($D$10:D1135),6)=0,D1135+1,D1135)</f>
        <v>188</v>
      </c>
      <c r="E1136" s="208">
        <f>IF(MOD(COUNT($E$10:E1135),3)=0,E1135+1,E1135)</f>
        <v>376</v>
      </c>
      <c r="F1136" s="208">
        <f>IF(MOD(COUNT($F$10:F1135),1)=0,F1135+1,F1135)</f>
        <v>1127</v>
      </c>
      <c r="G1136" s="204">
        <f>IFERROR(IF(C1136=1,VLOOKUP(A1136,Output!$A$27:$AB$137,28,FALSE)/AnnuityMode,0),0)</f>
        <v>0</v>
      </c>
      <c r="H1136" s="220">
        <f>IFERROR(IF(AND(MIN(A1136&gt;25,Age+A1136&gt;=85),B1136=12),VLOOKUP(A1136,Output!$A$27:$AE$137,31,FALSE),0),0)</f>
        <v>0</v>
      </c>
      <c r="I1136" s="221">
        <f>IFERROR(IF(AND(MIN(A1136&gt;15,A1136+Age&gt;=70),C1136=1),VLOOKUP(A1136,Output!$A$27:$AF$137,32,FALSE)*VLOOKUP('SV calc_ignore'!A1136,Output!$A$27:$AG$137,33,FALSE)/IF(AnnuityMode=2,2,IF(AnnuityMode=4,4,IF(AnnuityMode=12,12,1))),0),0)</f>
        <v>0</v>
      </c>
      <c r="J1136" s="227">
        <f t="shared" si="208"/>
        <v>0</v>
      </c>
      <c r="K1136" s="213">
        <f t="shared" si="215"/>
        <v>0</v>
      </c>
      <c r="L1136" s="209">
        <f t="shared" si="209"/>
        <v>0</v>
      </c>
      <c r="M1136" s="214">
        <f t="shared" si="210"/>
        <v>0</v>
      </c>
      <c r="N1136" s="211">
        <f t="shared" si="211"/>
        <v>0</v>
      </c>
      <c r="O1136" s="194">
        <f t="shared" si="212"/>
        <v>0</v>
      </c>
      <c r="P1136" s="212">
        <f t="shared" si="213"/>
        <v>0</v>
      </c>
      <c r="Q1136">
        <f t="shared" si="217"/>
        <v>0</v>
      </c>
      <c r="X1136" s="216">
        <f t="shared" si="216"/>
        <v>93</v>
      </c>
      <c r="Y1136">
        <f t="shared" si="214"/>
        <v>0</v>
      </c>
    </row>
    <row r="1137" spans="1:25" ht="13.5" thickBot="1" x14ac:dyDescent="0.25">
      <c r="A1137" s="204">
        <f>IF(MOD(COUNT($A$10:A1136),12)=0,A1136+1,A1136)</f>
        <v>94</v>
      </c>
      <c r="B1137" s="218">
        <f t="shared" si="206"/>
        <v>12</v>
      </c>
      <c r="C1137" s="218">
        <f t="shared" si="207"/>
        <v>1</v>
      </c>
      <c r="D1137" s="208">
        <f>IF(MOD(COUNT($D$10:D1136),6)=0,D1136+1,D1136)</f>
        <v>188</v>
      </c>
      <c r="E1137" s="208">
        <f>IF(MOD(COUNT($E$10:E1136),3)=0,E1136+1,E1136)</f>
        <v>376</v>
      </c>
      <c r="F1137" s="208">
        <f>IF(MOD(COUNT($F$10:F1136),1)=0,F1136+1,F1136)</f>
        <v>1128</v>
      </c>
      <c r="G1137" s="204">
        <f>IFERROR(IF(C1137=1,VLOOKUP(A1137,Output!$A$27:$AB$137,28,FALSE)/AnnuityMode,0),0)</f>
        <v>0</v>
      </c>
      <c r="H1137" s="220">
        <f>IFERROR(IF(AND(MIN(A1137&gt;25,Age+A1137&gt;=85),B1137=12),VLOOKUP(A1137,Output!$A$27:$AE$137,31,FALSE),0),0)</f>
        <v>0</v>
      </c>
      <c r="I1137" s="221">
        <f>IFERROR(IF(AND(MIN(A1137&gt;15,A1137+Age&gt;=70),C1137=1),VLOOKUP(A1137,Output!$A$27:$AF$137,32,FALSE)*VLOOKUP('SV calc_ignore'!A1137,Output!$A$27:$AG$137,33,FALSE)/IF(AnnuityMode=2,2,IF(AnnuityMode=4,4,IF(AnnuityMode=12,12,1))),0),0)</f>
        <v>0</v>
      </c>
      <c r="J1137" s="227">
        <f t="shared" si="208"/>
        <v>0</v>
      </c>
      <c r="K1137" s="213">
        <f t="shared" si="215"/>
        <v>0</v>
      </c>
      <c r="L1137" s="209">
        <f t="shared" si="209"/>
        <v>0</v>
      </c>
      <c r="M1137" s="214">
        <f t="shared" si="210"/>
        <v>0</v>
      </c>
      <c r="N1137" s="211">
        <f t="shared" si="211"/>
        <v>0</v>
      </c>
      <c r="O1137" s="194">
        <f t="shared" si="212"/>
        <v>0</v>
      </c>
      <c r="P1137" s="212">
        <f t="shared" si="213"/>
        <v>0</v>
      </c>
      <c r="Q1137">
        <f t="shared" si="217"/>
        <v>0</v>
      </c>
      <c r="X1137" s="216">
        <f t="shared" si="216"/>
        <v>93</v>
      </c>
      <c r="Y1137">
        <f t="shared" si="214"/>
        <v>0</v>
      </c>
    </row>
    <row r="1138" spans="1:25" ht="13.5" thickBot="1" x14ac:dyDescent="0.25">
      <c r="A1138" s="204">
        <f>IF(MOD(COUNT($A$10:A1137),12)=0,A1137+1,A1137)</f>
        <v>95</v>
      </c>
      <c r="B1138" s="218">
        <f t="shared" si="206"/>
        <v>1</v>
      </c>
      <c r="C1138" s="218">
        <f t="shared" si="207"/>
        <v>1</v>
      </c>
      <c r="D1138" s="208">
        <f>IF(MOD(COUNT($D$10:D1137),6)=0,D1137+1,D1137)</f>
        <v>189</v>
      </c>
      <c r="E1138" s="208">
        <f>IF(MOD(COUNT($E$10:E1137),3)=0,E1137+1,E1137)</f>
        <v>377</v>
      </c>
      <c r="F1138" s="208">
        <f>IF(MOD(COUNT($F$10:F1137),1)=0,F1137+1,F1137)</f>
        <v>1129</v>
      </c>
      <c r="G1138" s="204">
        <f>IFERROR(IF(C1138=1,VLOOKUP(A1138,Output!$A$27:$AB$137,28,FALSE)/AnnuityMode,0),0)</f>
        <v>0</v>
      </c>
      <c r="H1138" s="220">
        <f>IFERROR(IF(AND(MIN(A1138&gt;25,Age+A1138&gt;=85),B1138=12),VLOOKUP(A1138,Output!$A$27:$AE$137,31,FALSE),0),0)</f>
        <v>0</v>
      </c>
      <c r="I1138" s="221">
        <f>IFERROR(IF(AND(MIN(A1138&gt;15,A1138+Age&gt;=70),C1138=1),VLOOKUP(A1138,Output!$A$27:$AF$137,32,FALSE)*VLOOKUP('SV calc_ignore'!A1138,Output!$A$27:$AG$137,33,FALSE)/IF(AnnuityMode=2,2,IF(AnnuityMode=4,4,IF(AnnuityMode=12,12,1))),0),0)</f>
        <v>0</v>
      </c>
      <c r="J1138" s="227">
        <f t="shared" si="208"/>
        <v>0</v>
      </c>
      <c r="K1138" s="213">
        <f t="shared" si="215"/>
        <v>0</v>
      </c>
      <c r="L1138" s="209">
        <f t="shared" si="209"/>
        <v>0</v>
      </c>
      <c r="M1138" s="214">
        <f t="shared" si="210"/>
        <v>0</v>
      </c>
      <c r="N1138" s="211">
        <f t="shared" si="211"/>
        <v>0</v>
      </c>
      <c r="O1138" s="194">
        <f t="shared" si="212"/>
        <v>0</v>
      </c>
      <c r="P1138" s="212">
        <f t="shared" si="213"/>
        <v>0</v>
      </c>
      <c r="Q1138">
        <f t="shared" si="217"/>
        <v>0</v>
      </c>
      <c r="X1138" s="216">
        <f t="shared" si="216"/>
        <v>94</v>
      </c>
      <c r="Y1138">
        <f t="shared" si="214"/>
        <v>0</v>
      </c>
    </row>
    <row r="1139" spans="1:25" ht="13.5" thickBot="1" x14ac:dyDescent="0.25">
      <c r="A1139" s="204">
        <f>IF(MOD(COUNT($A$10:A1138),12)=0,A1138+1,A1138)</f>
        <v>95</v>
      </c>
      <c r="B1139" s="218">
        <f t="shared" si="206"/>
        <v>2</v>
      </c>
      <c r="C1139" s="218">
        <f t="shared" si="207"/>
        <v>1</v>
      </c>
      <c r="D1139" s="208">
        <f>IF(MOD(COUNT($D$10:D1138),6)=0,D1138+1,D1138)</f>
        <v>189</v>
      </c>
      <c r="E1139" s="208">
        <f>IF(MOD(COUNT($E$10:E1138),3)=0,E1138+1,E1138)</f>
        <v>377</v>
      </c>
      <c r="F1139" s="208">
        <f>IF(MOD(COUNT($F$10:F1138),1)=0,F1138+1,F1138)</f>
        <v>1130</v>
      </c>
      <c r="G1139" s="204">
        <f>IFERROR(IF(C1139=1,VLOOKUP(A1139,Output!$A$27:$AB$137,28,FALSE)/AnnuityMode,0),0)</f>
        <v>0</v>
      </c>
      <c r="H1139" s="220">
        <f>IFERROR(IF(AND(MIN(A1139&gt;25,Age+A1139&gt;=85),B1139=12),VLOOKUP(A1139,Output!$A$27:$AE$137,31,FALSE),0),0)</f>
        <v>0</v>
      </c>
      <c r="I1139" s="221">
        <f>IFERROR(IF(AND(MIN(A1139&gt;15,A1139+Age&gt;=70),C1139=1),VLOOKUP(A1139,Output!$A$27:$AF$137,32,FALSE)*VLOOKUP('SV calc_ignore'!A1139,Output!$A$27:$AG$137,33,FALSE)/IF(AnnuityMode=2,2,IF(AnnuityMode=4,4,IF(AnnuityMode=12,12,1))),0),0)</f>
        <v>0</v>
      </c>
      <c r="J1139" s="227">
        <f t="shared" si="208"/>
        <v>0</v>
      </c>
      <c r="K1139" s="213">
        <f t="shared" si="215"/>
        <v>0</v>
      </c>
      <c r="L1139" s="209">
        <f t="shared" si="209"/>
        <v>0</v>
      </c>
      <c r="M1139" s="214">
        <f t="shared" si="210"/>
        <v>0</v>
      </c>
      <c r="N1139" s="211">
        <f t="shared" si="211"/>
        <v>0</v>
      </c>
      <c r="O1139" s="194">
        <f t="shared" si="212"/>
        <v>0</v>
      </c>
      <c r="P1139" s="212">
        <f t="shared" si="213"/>
        <v>0</v>
      </c>
      <c r="Q1139">
        <f t="shared" si="217"/>
        <v>0</v>
      </c>
      <c r="X1139" s="216">
        <f t="shared" si="216"/>
        <v>94</v>
      </c>
      <c r="Y1139">
        <f t="shared" si="214"/>
        <v>0</v>
      </c>
    </row>
    <row r="1140" spans="1:25" ht="13.5" thickBot="1" x14ac:dyDescent="0.25">
      <c r="A1140" s="204">
        <f>IF(MOD(COUNT($A$10:A1139),12)=0,A1139+1,A1139)</f>
        <v>95</v>
      </c>
      <c r="B1140" s="218">
        <f t="shared" si="206"/>
        <v>3</v>
      </c>
      <c r="C1140" s="218">
        <f t="shared" si="207"/>
        <v>1</v>
      </c>
      <c r="D1140" s="208">
        <f>IF(MOD(COUNT($D$10:D1139),6)=0,D1139+1,D1139)</f>
        <v>189</v>
      </c>
      <c r="E1140" s="208">
        <f>IF(MOD(COUNT($E$10:E1139),3)=0,E1139+1,E1139)</f>
        <v>377</v>
      </c>
      <c r="F1140" s="208">
        <f>IF(MOD(COUNT($F$10:F1139),1)=0,F1139+1,F1139)</f>
        <v>1131</v>
      </c>
      <c r="G1140" s="204">
        <f>IFERROR(IF(C1140=1,VLOOKUP(A1140,Output!$A$27:$AB$137,28,FALSE)/AnnuityMode,0),0)</f>
        <v>0</v>
      </c>
      <c r="H1140" s="220">
        <f>IFERROR(IF(AND(MIN(A1140&gt;25,Age+A1140&gt;=85),B1140=12),VLOOKUP(A1140,Output!$A$27:$AE$137,31,FALSE),0),0)</f>
        <v>0</v>
      </c>
      <c r="I1140" s="221">
        <f>IFERROR(IF(AND(MIN(A1140&gt;15,A1140+Age&gt;=70),C1140=1),VLOOKUP(A1140,Output!$A$27:$AF$137,32,FALSE)*VLOOKUP('SV calc_ignore'!A1140,Output!$A$27:$AG$137,33,FALSE)/IF(AnnuityMode=2,2,IF(AnnuityMode=4,4,IF(AnnuityMode=12,12,1))),0),0)</f>
        <v>0</v>
      </c>
      <c r="J1140" s="227">
        <f t="shared" si="208"/>
        <v>0</v>
      </c>
      <c r="K1140" s="213">
        <f t="shared" si="215"/>
        <v>0</v>
      </c>
      <c r="L1140" s="209">
        <f t="shared" si="209"/>
        <v>0</v>
      </c>
      <c r="M1140" s="214">
        <f t="shared" si="210"/>
        <v>0</v>
      </c>
      <c r="N1140" s="211">
        <f t="shared" si="211"/>
        <v>0</v>
      </c>
      <c r="O1140" s="194">
        <f t="shared" si="212"/>
        <v>0</v>
      </c>
      <c r="P1140" s="212">
        <f t="shared" si="213"/>
        <v>0</v>
      </c>
      <c r="Q1140">
        <f t="shared" si="217"/>
        <v>0</v>
      </c>
      <c r="X1140" s="216">
        <f t="shared" si="216"/>
        <v>94</v>
      </c>
      <c r="Y1140">
        <f t="shared" si="214"/>
        <v>0</v>
      </c>
    </row>
    <row r="1141" spans="1:25" ht="13.5" thickBot="1" x14ac:dyDescent="0.25">
      <c r="A1141" s="204">
        <f>IF(MOD(COUNT($A$10:A1140),12)=0,A1140+1,A1140)</f>
        <v>95</v>
      </c>
      <c r="B1141" s="218">
        <f t="shared" si="206"/>
        <v>4</v>
      </c>
      <c r="C1141" s="218">
        <f t="shared" si="207"/>
        <v>1</v>
      </c>
      <c r="D1141" s="208">
        <f>IF(MOD(COUNT($D$10:D1140),6)=0,D1140+1,D1140)</f>
        <v>189</v>
      </c>
      <c r="E1141" s="208">
        <f>IF(MOD(COUNT($E$10:E1140),3)=0,E1140+1,E1140)</f>
        <v>378</v>
      </c>
      <c r="F1141" s="208">
        <f>IF(MOD(COUNT($F$10:F1140),1)=0,F1140+1,F1140)</f>
        <v>1132</v>
      </c>
      <c r="G1141" s="204">
        <f>IFERROR(IF(C1141=1,VLOOKUP(A1141,Output!$A$27:$AB$137,28,FALSE)/AnnuityMode,0),0)</f>
        <v>0</v>
      </c>
      <c r="H1141" s="220">
        <f>IFERROR(IF(AND(MIN(A1141&gt;25,Age+A1141&gt;=85),B1141=12),VLOOKUP(A1141,Output!$A$27:$AE$137,31,FALSE),0),0)</f>
        <v>0</v>
      </c>
      <c r="I1141" s="221">
        <f>IFERROR(IF(AND(MIN(A1141&gt;15,A1141+Age&gt;=70),C1141=1),VLOOKUP(A1141,Output!$A$27:$AF$137,32,FALSE)*VLOOKUP('SV calc_ignore'!A1141,Output!$A$27:$AG$137,33,FALSE)/IF(AnnuityMode=2,2,IF(AnnuityMode=4,4,IF(AnnuityMode=12,12,1))),0),0)</f>
        <v>0</v>
      </c>
      <c r="J1141" s="227">
        <f t="shared" si="208"/>
        <v>0</v>
      </c>
      <c r="K1141" s="213">
        <f t="shared" si="215"/>
        <v>0</v>
      </c>
      <c r="L1141" s="209">
        <f t="shared" si="209"/>
        <v>0</v>
      </c>
      <c r="M1141" s="214">
        <f t="shared" si="210"/>
        <v>0</v>
      </c>
      <c r="N1141" s="211">
        <f t="shared" si="211"/>
        <v>0</v>
      </c>
      <c r="O1141" s="194">
        <f t="shared" si="212"/>
        <v>0</v>
      </c>
      <c r="P1141" s="212">
        <f t="shared" si="213"/>
        <v>0</v>
      </c>
      <c r="Q1141">
        <f t="shared" si="217"/>
        <v>0</v>
      </c>
      <c r="X1141" s="216">
        <f t="shared" si="216"/>
        <v>94</v>
      </c>
      <c r="Y1141">
        <f t="shared" si="214"/>
        <v>0</v>
      </c>
    </row>
    <row r="1142" spans="1:25" ht="13.5" thickBot="1" x14ac:dyDescent="0.25">
      <c r="A1142" s="204">
        <f>IF(MOD(COUNT($A$10:A1141),12)=0,A1141+1,A1141)</f>
        <v>95</v>
      </c>
      <c r="B1142" s="218">
        <f t="shared" si="206"/>
        <v>5</v>
      </c>
      <c r="C1142" s="218">
        <f t="shared" si="207"/>
        <v>1</v>
      </c>
      <c r="D1142" s="208">
        <f>IF(MOD(COUNT($D$10:D1141),6)=0,D1141+1,D1141)</f>
        <v>189</v>
      </c>
      <c r="E1142" s="208">
        <f>IF(MOD(COUNT($E$10:E1141),3)=0,E1141+1,E1141)</f>
        <v>378</v>
      </c>
      <c r="F1142" s="208">
        <f>IF(MOD(COUNT($F$10:F1141),1)=0,F1141+1,F1141)</f>
        <v>1133</v>
      </c>
      <c r="G1142" s="204">
        <f>IFERROR(IF(C1142=1,VLOOKUP(A1142,Output!$A$27:$AB$137,28,FALSE)/AnnuityMode,0),0)</f>
        <v>0</v>
      </c>
      <c r="H1142" s="220">
        <f>IFERROR(IF(AND(MIN(A1142&gt;25,Age+A1142&gt;=85),B1142=12),VLOOKUP(A1142,Output!$A$27:$AE$137,31,FALSE),0),0)</f>
        <v>0</v>
      </c>
      <c r="I1142" s="221">
        <f>IFERROR(IF(AND(MIN(A1142&gt;15,A1142+Age&gt;=70),C1142=1),VLOOKUP(A1142,Output!$A$27:$AF$137,32,FALSE)*VLOOKUP('SV calc_ignore'!A1142,Output!$A$27:$AG$137,33,FALSE)/IF(AnnuityMode=2,2,IF(AnnuityMode=4,4,IF(AnnuityMode=12,12,1))),0),0)</f>
        <v>0</v>
      </c>
      <c r="J1142" s="227">
        <f t="shared" si="208"/>
        <v>0</v>
      </c>
      <c r="K1142" s="213">
        <f t="shared" si="215"/>
        <v>0</v>
      </c>
      <c r="L1142" s="209">
        <f t="shared" si="209"/>
        <v>0</v>
      </c>
      <c r="M1142" s="214">
        <f t="shared" si="210"/>
        <v>0</v>
      </c>
      <c r="N1142" s="211">
        <f t="shared" si="211"/>
        <v>0</v>
      </c>
      <c r="O1142" s="194">
        <f t="shared" si="212"/>
        <v>0</v>
      </c>
      <c r="P1142" s="212">
        <f t="shared" si="213"/>
        <v>0</v>
      </c>
      <c r="Q1142">
        <f t="shared" si="217"/>
        <v>0</v>
      </c>
      <c r="X1142" s="216">
        <f t="shared" si="216"/>
        <v>94</v>
      </c>
      <c r="Y1142">
        <f t="shared" si="214"/>
        <v>0</v>
      </c>
    </row>
    <row r="1143" spans="1:25" ht="13.5" thickBot="1" x14ac:dyDescent="0.25">
      <c r="A1143" s="204">
        <f>IF(MOD(COUNT($A$10:A1142),12)=0,A1142+1,A1142)</f>
        <v>95</v>
      </c>
      <c r="B1143" s="218">
        <f t="shared" si="206"/>
        <v>6</v>
      </c>
      <c r="C1143" s="218">
        <f t="shared" si="207"/>
        <v>1</v>
      </c>
      <c r="D1143" s="208">
        <f>IF(MOD(COUNT($D$10:D1142),6)=0,D1142+1,D1142)</f>
        <v>189</v>
      </c>
      <c r="E1143" s="208">
        <f>IF(MOD(COUNT($E$10:E1142),3)=0,E1142+1,E1142)</f>
        <v>378</v>
      </c>
      <c r="F1143" s="208">
        <f>IF(MOD(COUNT($F$10:F1142),1)=0,F1142+1,F1142)</f>
        <v>1134</v>
      </c>
      <c r="G1143" s="204">
        <f>IFERROR(IF(C1143=1,VLOOKUP(A1143,Output!$A$27:$AB$137,28,FALSE)/AnnuityMode,0),0)</f>
        <v>0</v>
      </c>
      <c r="H1143" s="220">
        <f>IFERROR(IF(AND(MIN(A1143&gt;25,Age+A1143&gt;=85),B1143=12),VLOOKUP(A1143,Output!$A$27:$AE$137,31,FALSE),0),0)</f>
        <v>0</v>
      </c>
      <c r="I1143" s="221">
        <f>IFERROR(IF(AND(MIN(A1143&gt;15,A1143+Age&gt;=70),C1143=1),VLOOKUP(A1143,Output!$A$27:$AF$137,32,FALSE)*VLOOKUP('SV calc_ignore'!A1143,Output!$A$27:$AG$137,33,FALSE)/IF(AnnuityMode=2,2,IF(AnnuityMode=4,4,IF(AnnuityMode=12,12,1))),0),0)</f>
        <v>0</v>
      </c>
      <c r="J1143" s="227">
        <f t="shared" si="208"/>
        <v>0</v>
      </c>
      <c r="K1143" s="213">
        <f t="shared" si="215"/>
        <v>0</v>
      </c>
      <c r="L1143" s="209">
        <f t="shared" si="209"/>
        <v>0</v>
      </c>
      <c r="M1143" s="214">
        <f t="shared" si="210"/>
        <v>0</v>
      </c>
      <c r="N1143" s="211">
        <f t="shared" si="211"/>
        <v>0</v>
      </c>
      <c r="O1143" s="194">
        <f t="shared" si="212"/>
        <v>0</v>
      </c>
      <c r="P1143" s="212">
        <f t="shared" si="213"/>
        <v>0</v>
      </c>
      <c r="Q1143">
        <f t="shared" si="217"/>
        <v>0</v>
      </c>
      <c r="X1143" s="216">
        <f t="shared" si="216"/>
        <v>94</v>
      </c>
      <c r="Y1143">
        <f t="shared" si="214"/>
        <v>0</v>
      </c>
    </row>
    <row r="1144" spans="1:25" ht="13.5" thickBot="1" x14ac:dyDescent="0.25">
      <c r="A1144" s="204">
        <f>IF(MOD(COUNT($A$10:A1143),12)=0,A1143+1,A1143)</f>
        <v>95</v>
      </c>
      <c r="B1144" s="218">
        <f t="shared" si="206"/>
        <v>7</v>
      </c>
      <c r="C1144" s="218">
        <f t="shared" si="207"/>
        <v>1</v>
      </c>
      <c r="D1144" s="208">
        <f>IF(MOD(COUNT($D$10:D1143),6)=0,D1143+1,D1143)</f>
        <v>190</v>
      </c>
      <c r="E1144" s="208">
        <f>IF(MOD(COUNT($E$10:E1143),3)=0,E1143+1,E1143)</f>
        <v>379</v>
      </c>
      <c r="F1144" s="208">
        <f>IF(MOD(COUNT($F$10:F1143),1)=0,F1143+1,F1143)</f>
        <v>1135</v>
      </c>
      <c r="G1144" s="204">
        <f>IFERROR(IF(C1144=1,VLOOKUP(A1144,Output!$A$27:$AB$137,28,FALSE)/AnnuityMode,0),0)</f>
        <v>0</v>
      </c>
      <c r="H1144" s="220">
        <f>IFERROR(IF(AND(MIN(A1144&gt;25,Age+A1144&gt;=85),B1144=12),VLOOKUP(A1144,Output!$A$27:$AE$137,31,FALSE),0),0)</f>
        <v>0</v>
      </c>
      <c r="I1144" s="221">
        <f>IFERROR(IF(AND(MIN(A1144&gt;15,A1144+Age&gt;=70),C1144=1),VLOOKUP(A1144,Output!$A$27:$AF$137,32,FALSE)*VLOOKUP('SV calc_ignore'!A1144,Output!$A$27:$AG$137,33,FALSE)/IF(AnnuityMode=2,2,IF(AnnuityMode=4,4,IF(AnnuityMode=12,12,1))),0),0)</f>
        <v>0</v>
      </c>
      <c r="J1144" s="227">
        <f t="shared" si="208"/>
        <v>0</v>
      </c>
      <c r="K1144" s="213">
        <f t="shared" si="215"/>
        <v>0</v>
      </c>
      <c r="L1144" s="209">
        <f t="shared" si="209"/>
        <v>0</v>
      </c>
      <c r="M1144" s="214">
        <f t="shared" si="210"/>
        <v>0</v>
      </c>
      <c r="N1144" s="211">
        <f t="shared" si="211"/>
        <v>0</v>
      </c>
      <c r="O1144" s="194">
        <f t="shared" si="212"/>
        <v>0</v>
      </c>
      <c r="P1144" s="212">
        <f t="shared" si="213"/>
        <v>0</v>
      </c>
      <c r="Q1144">
        <f t="shared" si="217"/>
        <v>0</v>
      </c>
      <c r="X1144" s="216">
        <f t="shared" si="216"/>
        <v>94</v>
      </c>
      <c r="Y1144">
        <f t="shared" si="214"/>
        <v>0</v>
      </c>
    </row>
    <row r="1145" spans="1:25" ht="13.5" thickBot="1" x14ac:dyDescent="0.25">
      <c r="A1145" s="204">
        <f>IF(MOD(COUNT($A$10:A1144),12)=0,A1144+1,A1144)</f>
        <v>95</v>
      </c>
      <c r="B1145" s="218">
        <f t="shared" si="206"/>
        <v>8</v>
      </c>
      <c r="C1145" s="218">
        <f t="shared" si="207"/>
        <v>1</v>
      </c>
      <c r="D1145" s="208">
        <f>IF(MOD(COUNT($D$10:D1144),6)=0,D1144+1,D1144)</f>
        <v>190</v>
      </c>
      <c r="E1145" s="208">
        <f>IF(MOD(COUNT($E$10:E1144),3)=0,E1144+1,E1144)</f>
        <v>379</v>
      </c>
      <c r="F1145" s="208">
        <f>IF(MOD(COUNT($F$10:F1144),1)=0,F1144+1,F1144)</f>
        <v>1136</v>
      </c>
      <c r="G1145" s="204">
        <f>IFERROR(IF(C1145=1,VLOOKUP(A1145,Output!$A$27:$AB$137,28,FALSE)/AnnuityMode,0),0)</f>
        <v>0</v>
      </c>
      <c r="H1145" s="220">
        <f>IFERROR(IF(AND(MIN(A1145&gt;25,Age+A1145&gt;=85),B1145=12),VLOOKUP(A1145,Output!$A$27:$AE$137,31,FALSE),0),0)</f>
        <v>0</v>
      </c>
      <c r="I1145" s="221">
        <f>IFERROR(IF(AND(MIN(A1145&gt;15,A1145+Age&gt;=70),C1145=1),VLOOKUP(A1145,Output!$A$27:$AF$137,32,FALSE)*VLOOKUP('SV calc_ignore'!A1145,Output!$A$27:$AG$137,33,FALSE)/IF(AnnuityMode=2,2,IF(AnnuityMode=4,4,IF(AnnuityMode=12,12,1))),0),0)</f>
        <v>0</v>
      </c>
      <c r="J1145" s="227">
        <f t="shared" si="208"/>
        <v>0</v>
      </c>
      <c r="K1145" s="213">
        <f t="shared" si="215"/>
        <v>0</v>
      </c>
      <c r="L1145" s="209">
        <f t="shared" si="209"/>
        <v>0</v>
      </c>
      <c r="M1145" s="214">
        <f t="shared" si="210"/>
        <v>0</v>
      </c>
      <c r="N1145" s="211">
        <f t="shared" si="211"/>
        <v>0</v>
      </c>
      <c r="O1145" s="194">
        <f t="shared" si="212"/>
        <v>0</v>
      </c>
      <c r="P1145" s="212">
        <f t="shared" si="213"/>
        <v>0</v>
      </c>
      <c r="Q1145">
        <f t="shared" si="217"/>
        <v>0</v>
      </c>
      <c r="X1145" s="216">
        <f t="shared" si="216"/>
        <v>94</v>
      </c>
      <c r="Y1145">
        <f t="shared" si="214"/>
        <v>0</v>
      </c>
    </row>
    <row r="1146" spans="1:25" ht="13.5" thickBot="1" x14ac:dyDescent="0.25">
      <c r="A1146" s="204">
        <f>IF(MOD(COUNT($A$10:A1145),12)=0,A1145+1,A1145)</f>
        <v>95</v>
      </c>
      <c r="B1146" s="218">
        <f t="shared" si="206"/>
        <v>9</v>
      </c>
      <c r="C1146" s="218">
        <f t="shared" si="207"/>
        <v>1</v>
      </c>
      <c r="D1146" s="208">
        <f>IF(MOD(COUNT($D$10:D1145),6)=0,D1145+1,D1145)</f>
        <v>190</v>
      </c>
      <c r="E1146" s="208">
        <f>IF(MOD(COUNT($E$10:E1145),3)=0,E1145+1,E1145)</f>
        <v>379</v>
      </c>
      <c r="F1146" s="208">
        <f>IF(MOD(COUNT($F$10:F1145),1)=0,F1145+1,F1145)</f>
        <v>1137</v>
      </c>
      <c r="G1146" s="204">
        <f>IFERROR(IF(C1146=1,VLOOKUP(A1146,Output!$A$27:$AB$137,28,FALSE)/AnnuityMode,0),0)</f>
        <v>0</v>
      </c>
      <c r="H1146" s="220">
        <f>IFERROR(IF(AND(MIN(A1146&gt;25,Age+A1146&gt;=85),B1146=12),VLOOKUP(A1146,Output!$A$27:$AE$137,31,FALSE),0),0)</f>
        <v>0</v>
      </c>
      <c r="I1146" s="221">
        <f>IFERROR(IF(AND(MIN(A1146&gt;15,A1146+Age&gt;=70),C1146=1),VLOOKUP(A1146,Output!$A$27:$AF$137,32,FALSE)*VLOOKUP('SV calc_ignore'!A1146,Output!$A$27:$AG$137,33,FALSE)/IF(AnnuityMode=2,2,IF(AnnuityMode=4,4,IF(AnnuityMode=12,12,1))),0),0)</f>
        <v>0</v>
      </c>
      <c r="J1146" s="227">
        <f t="shared" si="208"/>
        <v>0</v>
      </c>
      <c r="K1146" s="213">
        <f t="shared" si="215"/>
        <v>0</v>
      </c>
      <c r="L1146" s="209">
        <f t="shared" si="209"/>
        <v>0</v>
      </c>
      <c r="M1146" s="214">
        <f t="shared" si="210"/>
        <v>0</v>
      </c>
      <c r="N1146" s="211">
        <f t="shared" si="211"/>
        <v>0</v>
      </c>
      <c r="O1146" s="194">
        <f t="shared" si="212"/>
        <v>0</v>
      </c>
      <c r="P1146" s="212">
        <f t="shared" si="213"/>
        <v>0</v>
      </c>
      <c r="Q1146">
        <f t="shared" si="217"/>
        <v>0</v>
      </c>
      <c r="X1146" s="216">
        <f t="shared" si="216"/>
        <v>94</v>
      </c>
      <c r="Y1146">
        <f t="shared" si="214"/>
        <v>0</v>
      </c>
    </row>
    <row r="1147" spans="1:25" ht="13.5" thickBot="1" x14ac:dyDescent="0.25">
      <c r="A1147" s="204">
        <f>IF(MOD(COUNT($A$10:A1146),12)=0,A1146+1,A1146)</f>
        <v>95</v>
      </c>
      <c r="B1147" s="218">
        <f t="shared" si="206"/>
        <v>10</v>
      </c>
      <c r="C1147" s="218">
        <f t="shared" si="207"/>
        <v>1</v>
      </c>
      <c r="D1147" s="208">
        <f>IF(MOD(COUNT($D$10:D1146),6)=0,D1146+1,D1146)</f>
        <v>190</v>
      </c>
      <c r="E1147" s="208">
        <f>IF(MOD(COUNT($E$10:E1146),3)=0,E1146+1,E1146)</f>
        <v>380</v>
      </c>
      <c r="F1147" s="208">
        <f>IF(MOD(COUNT($F$10:F1146),1)=0,F1146+1,F1146)</f>
        <v>1138</v>
      </c>
      <c r="G1147" s="204">
        <f>IFERROR(IF(C1147=1,VLOOKUP(A1147,Output!$A$27:$AB$137,28,FALSE)/AnnuityMode,0),0)</f>
        <v>0</v>
      </c>
      <c r="H1147" s="220">
        <f>IFERROR(IF(AND(MIN(A1147&gt;25,Age+A1147&gt;=85),B1147=12),VLOOKUP(A1147,Output!$A$27:$AE$137,31,FALSE),0),0)</f>
        <v>0</v>
      </c>
      <c r="I1147" s="221">
        <f>IFERROR(IF(AND(MIN(A1147&gt;15,A1147+Age&gt;=70),C1147=1),VLOOKUP(A1147,Output!$A$27:$AF$137,32,FALSE)*VLOOKUP('SV calc_ignore'!A1147,Output!$A$27:$AG$137,33,FALSE)/IF(AnnuityMode=2,2,IF(AnnuityMode=4,4,IF(AnnuityMode=12,12,1))),0),0)</f>
        <v>0</v>
      </c>
      <c r="J1147" s="227">
        <f t="shared" si="208"/>
        <v>0</v>
      </c>
      <c r="K1147" s="213">
        <f t="shared" si="215"/>
        <v>0</v>
      </c>
      <c r="L1147" s="209">
        <f t="shared" si="209"/>
        <v>0</v>
      </c>
      <c r="M1147" s="214">
        <f t="shared" si="210"/>
        <v>0</v>
      </c>
      <c r="N1147" s="211">
        <f t="shared" si="211"/>
        <v>0</v>
      </c>
      <c r="O1147" s="194">
        <f t="shared" si="212"/>
        <v>0</v>
      </c>
      <c r="P1147" s="212">
        <f t="shared" si="213"/>
        <v>0</v>
      </c>
      <c r="Q1147">
        <f t="shared" si="217"/>
        <v>0</v>
      </c>
      <c r="X1147" s="216">
        <f t="shared" si="216"/>
        <v>94</v>
      </c>
      <c r="Y1147">
        <f t="shared" si="214"/>
        <v>0</v>
      </c>
    </row>
    <row r="1148" spans="1:25" ht="13.5" thickBot="1" x14ac:dyDescent="0.25">
      <c r="A1148" s="204">
        <f>IF(MOD(COUNT($A$10:A1147),12)=0,A1147+1,A1147)</f>
        <v>95</v>
      </c>
      <c r="B1148" s="218">
        <f t="shared" si="206"/>
        <v>11</v>
      </c>
      <c r="C1148" s="218">
        <f t="shared" si="207"/>
        <v>1</v>
      </c>
      <c r="D1148" s="208">
        <f>IF(MOD(COUNT($D$10:D1147),6)=0,D1147+1,D1147)</f>
        <v>190</v>
      </c>
      <c r="E1148" s="208">
        <f>IF(MOD(COUNT($E$10:E1147),3)=0,E1147+1,E1147)</f>
        <v>380</v>
      </c>
      <c r="F1148" s="208">
        <f>IF(MOD(COUNT($F$10:F1147),1)=0,F1147+1,F1147)</f>
        <v>1139</v>
      </c>
      <c r="G1148" s="204">
        <f>IFERROR(IF(C1148=1,VLOOKUP(A1148,Output!$A$27:$AB$137,28,FALSE)/AnnuityMode,0),0)</f>
        <v>0</v>
      </c>
      <c r="H1148" s="220">
        <f>IFERROR(IF(AND(MIN(A1148&gt;25,Age+A1148&gt;=85),B1148=12),VLOOKUP(A1148,Output!$A$27:$AE$137,31,FALSE),0),0)</f>
        <v>0</v>
      </c>
      <c r="I1148" s="221">
        <f>IFERROR(IF(AND(MIN(A1148&gt;15,A1148+Age&gt;=70),C1148=1),VLOOKUP(A1148,Output!$A$27:$AF$137,32,FALSE)*VLOOKUP('SV calc_ignore'!A1148,Output!$A$27:$AG$137,33,FALSE)/IF(AnnuityMode=2,2,IF(AnnuityMode=4,4,IF(AnnuityMode=12,12,1))),0),0)</f>
        <v>0</v>
      </c>
      <c r="J1148" s="227">
        <f t="shared" si="208"/>
        <v>0</v>
      </c>
      <c r="K1148" s="213">
        <f t="shared" si="215"/>
        <v>0</v>
      </c>
      <c r="L1148" s="209">
        <f t="shared" si="209"/>
        <v>0</v>
      </c>
      <c r="M1148" s="214">
        <f t="shared" si="210"/>
        <v>0</v>
      </c>
      <c r="N1148" s="211">
        <f t="shared" si="211"/>
        <v>0</v>
      </c>
      <c r="O1148" s="194">
        <f t="shared" si="212"/>
        <v>0</v>
      </c>
      <c r="P1148" s="212">
        <f t="shared" si="213"/>
        <v>0</v>
      </c>
      <c r="Q1148">
        <f t="shared" si="217"/>
        <v>0</v>
      </c>
      <c r="X1148" s="216">
        <f t="shared" si="216"/>
        <v>94</v>
      </c>
      <c r="Y1148">
        <f t="shared" si="214"/>
        <v>0</v>
      </c>
    </row>
    <row r="1149" spans="1:25" ht="13.5" thickBot="1" x14ac:dyDescent="0.25">
      <c r="A1149" s="204">
        <f>IF(MOD(COUNT($A$10:A1148),12)=0,A1148+1,A1148)</f>
        <v>95</v>
      </c>
      <c r="B1149" s="218">
        <f t="shared" si="206"/>
        <v>12</v>
      </c>
      <c r="C1149" s="218">
        <f t="shared" si="207"/>
        <v>1</v>
      </c>
      <c r="D1149" s="208">
        <f>IF(MOD(COUNT($D$10:D1148),6)=0,D1148+1,D1148)</f>
        <v>190</v>
      </c>
      <c r="E1149" s="208">
        <f>IF(MOD(COUNT($E$10:E1148),3)=0,E1148+1,E1148)</f>
        <v>380</v>
      </c>
      <c r="F1149" s="208">
        <f>IF(MOD(COUNT($F$10:F1148),1)=0,F1148+1,F1148)</f>
        <v>1140</v>
      </c>
      <c r="G1149" s="204">
        <f>IFERROR(IF(C1149=1,VLOOKUP(A1149,Output!$A$27:$AB$137,28,FALSE)/AnnuityMode,0),0)</f>
        <v>0</v>
      </c>
      <c r="H1149" s="220">
        <f>IFERROR(IF(AND(MIN(A1149&gt;25,Age+A1149&gt;=85),B1149=12),VLOOKUP(A1149,Output!$A$27:$AE$137,31,FALSE),0),0)</f>
        <v>0</v>
      </c>
      <c r="I1149" s="221">
        <f>IFERROR(IF(AND(MIN(A1149&gt;15,A1149+Age&gt;=70),C1149=1),VLOOKUP(A1149,Output!$A$27:$AF$137,32,FALSE)*VLOOKUP('SV calc_ignore'!A1149,Output!$A$27:$AG$137,33,FALSE)/IF(AnnuityMode=2,2,IF(AnnuityMode=4,4,IF(AnnuityMode=12,12,1))),0),0)</f>
        <v>0</v>
      </c>
      <c r="J1149" s="227">
        <f t="shared" si="208"/>
        <v>0</v>
      </c>
      <c r="K1149" s="213">
        <f t="shared" si="215"/>
        <v>0</v>
      </c>
      <c r="L1149" s="209">
        <f t="shared" si="209"/>
        <v>0</v>
      </c>
      <c r="M1149" s="214">
        <f t="shared" si="210"/>
        <v>0</v>
      </c>
      <c r="N1149" s="211">
        <f t="shared" si="211"/>
        <v>0</v>
      </c>
      <c r="O1149" s="194">
        <f t="shared" si="212"/>
        <v>0</v>
      </c>
      <c r="P1149" s="212">
        <f t="shared" si="213"/>
        <v>0</v>
      </c>
      <c r="Q1149">
        <f t="shared" si="217"/>
        <v>0</v>
      </c>
      <c r="X1149" s="216">
        <f t="shared" si="216"/>
        <v>94</v>
      </c>
      <c r="Y1149">
        <f t="shared" si="214"/>
        <v>0</v>
      </c>
    </row>
    <row r="1150" spans="1:25" ht="13.5" thickBot="1" x14ac:dyDescent="0.25">
      <c r="A1150" s="204">
        <f>IF(MOD(COUNT($A$10:A1149),12)=0,A1149+1,A1149)</f>
        <v>96</v>
      </c>
      <c r="B1150" s="218">
        <f t="shared" si="206"/>
        <v>1</v>
      </c>
      <c r="C1150" s="218">
        <f t="shared" si="207"/>
        <v>1</v>
      </c>
      <c r="D1150" s="208">
        <f>IF(MOD(COUNT($D$10:D1149),6)=0,D1149+1,D1149)</f>
        <v>191</v>
      </c>
      <c r="E1150" s="208">
        <f>IF(MOD(COUNT($E$10:E1149),3)=0,E1149+1,E1149)</f>
        <v>381</v>
      </c>
      <c r="F1150" s="208">
        <f>IF(MOD(COUNT($F$10:F1149),1)=0,F1149+1,F1149)</f>
        <v>1141</v>
      </c>
      <c r="G1150" s="204">
        <f>IFERROR(IF(C1150=1,VLOOKUP(A1150,Output!$A$27:$AB$137,28,FALSE)/AnnuityMode,0),0)</f>
        <v>0</v>
      </c>
      <c r="H1150" s="220">
        <f>IFERROR(IF(AND(MIN(A1150&gt;25,Age+A1150&gt;=85),B1150=12),VLOOKUP(A1150,Output!$A$27:$AE$137,31,FALSE),0),0)</f>
        <v>0</v>
      </c>
      <c r="I1150" s="221">
        <f>IFERROR(IF(AND(MIN(A1150&gt;15,A1150+Age&gt;=70),C1150=1),VLOOKUP(A1150,Output!$A$27:$AF$137,32,FALSE)*VLOOKUP('SV calc_ignore'!A1150,Output!$A$27:$AG$137,33,FALSE)/IF(AnnuityMode=2,2,IF(AnnuityMode=4,4,IF(AnnuityMode=12,12,1))),0),0)</f>
        <v>0</v>
      </c>
      <c r="J1150" s="227">
        <f t="shared" si="208"/>
        <v>0</v>
      </c>
      <c r="K1150" s="213">
        <f t="shared" si="215"/>
        <v>0</v>
      </c>
      <c r="L1150" s="209">
        <f t="shared" si="209"/>
        <v>0</v>
      </c>
      <c r="M1150" s="214">
        <f t="shared" si="210"/>
        <v>0</v>
      </c>
      <c r="N1150" s="211">
        <f t="shared" si="211"/>
        <v>0</v>
      </c>
      <c r="O1150" s="194">
        <f t="shared" si="212"/>
        <v>0</v>
      </c>
      <c r="P1150" s="212">
        <f t="shared" si="213"/>
        <v>0</v>
      </c>
      <c r="Q1150">
        <f t="shared" si="217"/>
        <v>0</v>
      </c>
      <c r="X1150" s="216">
        <f t="shared" si="216"/>
        <v>95</v>
      </c>
      <c r="Y1150">
        <f t="shared" si="214"/>
        <v>0</v>
      </c>
    </row>
    <row r="1151" spans="1:25" ht="13.5" thickBot="1" x14ac:dyDescent="0.25">
      <c r="A1151" s="204">
        <f>IF(MOD(COUNT($A$10:A1150),12)=0,A1150+1,A1150)</f>
        <v>96</v>
      </c>
      <c r="B1151" s="218">
        <f t="shared" si="206"/>
        <v>2</v>
      </c>
      <c r="C1151" s="218">
        <f t="shared" si="207"/>
        <v>1</v>
      </c>
      <c r="D1151" s="208">
        <f>IF(MOD(COUNT($D$10:D1150),6)=0,D1150+1,D1150)</f>
        <v>191</v>
      </c>
      <c r="E1151" s="208">
        <f>IF(MOD(COUNT($E$10:E1150),3)=0,E1150+1,E1150)</f>
        <v>381</v>
      </c>
      <c r="F1151" s="208">
        <f>IF(MOD(COUNT($F$10:F1150),1)=0,F1150+1,F1150)</f>
        <v>1142</v>
      </c>
      <c r="G1151" s="204">
        <f>IFERROR(IF(C1151=1,VLOOKUP(A1151,Output!$A$27:$AB$137,28,FALSE)/AnnuityMode,0),0)</f>
        <v>0</v>
      </c>
      <c r="H1151" s="220">
        <f>IFERROR(IF(AND(MIN(A1151&gt;25,Age+A1151&gt;=85),B1151=12),VLOOKUP(A1151,Output!$A$27:$AE$137,31,FALSE),0),0)</f>
        <v>0</v>
      </c>
      <c r="I1151" s="221">
        <f>IFERROR(IF(AND(MIN(A1151&gt;15,A1151+Age&gt;=70),C1151=1),VLOOKUP(A1151,Output!$A$27:$AF$137,32,FALSE)*VLOOKUP('SV calc_ignore'!A1151,Output!$A$27:$AG$137,33,FALSE)/IF(AnnuityMode=2,2,IF(AnnuityMode=4,4,IF(AnnuityMode=12,12,1))),0),0)</f>
        <v>0</v>
      </c>
      <c r="J1151" s="227">
        <f t="shared" si="208"/>
        <v>0</v>
      </c>
      <c r="K1151" s="213">
        <f t="shared" si="215"/>
        <v>0</v>
      </c>
      <c r="L1151" s="209">
        <f t="shared" si="209"/>
        <v>0</v>
      </c>
      <c r="M1151" s="214">
        <f t="shared" si="210"/>
        <v>0</v>
      </c>
      <c r="N1151" s="211">
        <f t="shared" si="211"/>
        <v>0</v>
      </c>
      <c r="O1151" s="194">
        <f t="shared" si="212"/>
        <v>0</v>
      </c>
      <c r="P1151" s="212">
        <f t="shared" si="213"/>
        <v>0</v>
      </c>
      <c r="Q1151">
        <f t="shared" si="217"/>
        <v>0</v>
      </c>
      <c r="X1151" s="216">
        <f t="shared" si="216"/>
        <v>95</v>
      </c>
      <c r="Y1151">
        <f t="shared" si="214"/>
        <v>0</v>
      </c>
    </row>
    <row r="1152" spans="1:25" ht="13.5" thickBot="1" x14ac:dyDescent="0.25">
      <c r="A1152" s="204">
        <f>IF(MOD(COUNT($A$10:A1151),12)=0,A1151+1,A1151)</f>
        <v>96</v>
      </c>
      <c r="B1152" s="218">
        <f t="shared" si="206"/>
        <v>3</v>
      </c>
      <c r="C1152" s="218">
        <f t="shared" si="207"/>
        <v>1</v>
      </c>
      <c r="D1152" s="208">
        <f>IF(MOD(COUNT($D$10:D1151),6)=0,D1151+1,D1151)</f>
        <v>191</v>
      </c>
      <c r="E1152" s="208">
        <f>IF(MOD(COUNT($E$10:E1151),3)=0,E1151+1,E1151)</f>
        <v>381</v>
      </c>
      <c r="F1152" s="208">
        <f>IF(MOD(COUNT($F$10:F1151),1)=0,F1151+1,F1151)</f>
        <v>1143</v>
      </c>
      <c r="G1152" s="204">
        <f>IFERROR(IF(C1152=1,VLOOKUP(A1152,Output!$A$27:$AB$137,28,FALSE)/AnnuityMode,0),0)</f>
        <v>0</v>
      </c>
      <c r="H1152" s="220">
        <f>IFERROR(IF(AND(MIN(A1152&gt;25,Age+A1152&gt;=85),B1152=12),VLOOKUP(A1152,Output!$A$27:$AE$137,31,FALSE),0),0)</f>
        <v>0</v>
      </c>
      <c r="I1152" s="221">
        <f>IFERROR(IF(AND(MIN(A1152&gt;15,A1152+Age&gt;=70),C1152=1),VLOOKUP(A1152,Output!$A$27:$AF$137,32,FALSE)*VLOOKUP('SV calc_ignore'!A1152,Output!$A$27:$AG$137,33,FALSE)/IF(AnnuityMode=2,2,IF(AnnuityMode=4,4,IF(AnnuityMode=12,12,1))),0),0)</f>
        <v>0</v>
      </c>
      <c r="J1152" s="227">
        <f t="shared" si="208"/>
        <v>0</v>
      </c>
      <c r="K1152" s="213">
        <f t="shared" si="215"/>
        <v>0</v>
      </c>
      <c r="L1152" s="209">
        <f t="shared" si="209"/>
        <v>0</v>
      </c>
      <c r="M1152" s="214">
        <f t="shared" si="210"/>
        <v>0</v>
      </c>
      <c r="N1152" s="211">
        <f t="shared" si="211"/>
        <v>0</v>
      </c>
      <c r="O1152" s="194">
        <f t="shared" si="212"/>
        <v>0</v>
      </c>
      <c r="P1152" s="212">
        <f t="shared" si="213"/>
        <v>0</v>
      </c>
      <c r="Q1152">
        <f t="shared" si="217"/>
        <v>0</v>
      </c>
      <c r="X1152" s="216">
        <f t="shared" si="216"/>
        <v>95</v>
      </c>
      <c r="Y1152">
        <f t="shared" si="214"/>
        <v>0</v>
      </c>
    </row>
    <row r="1153" spans="1:25" ht="13.5" thickBot="1" x14ac:dyDescent="0.25">
      <c r="A1153" s="204">
        <f>IF(MOD(COUNT($A$10:A1152),12)=0,A1152+1,A1152)</f>
        <v>96</v>
      </c>
      <c r="B1153" s="218">
        <f t="shared" si="206"/>
        <v>4</v>
      </c>
      <c r="C1153" s="218">
        <f t="shared" si="207"/>
        <v>1</v>
      </c>
      <c r="D1153" s="208">
        <f>IF(MOD(COUNT($D$10:D1152),6)=0,D1152+1,D1152)</f>
        <v>191</v>
      </c>
      <c r="E1153" s="208">
        <f>IF(MOD(COUNT($E$10:E1152),3)=0,E1152+1,E1152)</f>
        <v>382</v>
      </c>
      <c r="F1153" s="208">
        <f>IF(MOD(COUNT($F$10:F1152),1)=0,F1152+1,F1152)</f>
        <v>1144</v>
      </c>
      <c r="G1153" s="204">
        <f>IFERROR(IF(C1153=1,VLOOKUP(A1153,Output!$A$27:$AB$137,28,FALSE)/AnnuityMode,0),0)</f>
        <v>0</v>
      </c>
      <c r="H1153" s="220">
        <f>IFERROR(IF(AND(MIN(A1153&gt;25,Age+A1153&gt;=85),B1153=12),VLOOKUP(A1153,Output!$A$27:$AE$137,31,FALSE),0),0)</f>
        <v>0</v>
      </c>
      <c r="I1153" s="221">
        <f>IFERROR(IF(AND(MIN(A1153&gt;15,A1153+Age&gt;=70),C1153=1),VLOOKUP(A1153,Output!$A$27:$AF$137,32,FALSE)*VLOOKUP('SV calc_ignore'!A1153,Output!$A$27:$AG$137,33,FALSE)/IF(AnnuityMode=2,2,IF(AnnuityMode=4,4,IF(AnnuityMode=12,12,1))),0),0)</f>
        <v>0</v>
      </c>
      <c r="J1153" s="227">
        <f t="shared" si="208"/>
        <v>0</v>
      </c>
      <c r="K1153" s="213">
        <f t="shared" si="215"/>
        <v>0</v>
      </c>
      <c r="L1153" s="209">
        <f t="shared" si="209"/>
        <v>0</v>
      </c>
      <c r="M1153" s="214">
        <f t="shared" si="210"/>
        <v>0</v>
      </c>
      <c r="N1153" s="211">
        <f t="shared" si="211"/>
        <v>0</v>
      </c>
      <c r="O1153" s="194">
        <f t="shared" si="212"/>
        <v>0</v>
      </c>
      <c r="P1153" s="212">
        <f t="shared" si="213"/>
        <v>0</v>
      </c>
      <c r="Q1153">
        <f t="shared" si="217"/>
        <v>0</v>
      </c>
      <c r="X1153" s="216">
        <f t="shared" si="216"/>
        <v>95</v>
      </c>
      <c r="Y1153">
        <f t="shared" si="214"/>
        <v>0</v>
      </c>
    </row>
    <row r="1154" spans="1:25" ht="13.5" thickBot="1" x14ac:dyDescent="0.25">
      <c r="A1154" s="204">
        <f>IF(MOD(COUNT($A$10:A1153),12)=0,A1153+1,A1153)</f>
        <v>96</v>
      </c>
      <c r="B1154" s="218">
        <f t="shared" ref="B1154:B1217" si="218">IF(A1153&lt;&gt;A1154,1,B1153+1)</f>
        <v>5</v>
      </c>
      <c r="C1154" s="218">
        <f t="shared" ref="C1154:C1217" si="219">IF(AND(AnnuityMode=1,B1154=12),1,IF(AND(OR(B1154=6,B1154=12),AnnuityMode=2),1,IF(AND(OR(B1154=3,B1154=6,B1154=12,B1154=9),AnnuityMode=4),1,IF(AND(OR(B1154=1,B1154=2,B1154=3,B1154=4,B1154=5,B1154=6,B1154=7,B1154=8,B1154=9,B1154=10,B1154=11,B1154=12),AnnuityMode=12),1,0))))</f>
        <v>1</v>
      </c>
      <c r="D1154" s="208">
        <f>IF(MOD(COUNT($D$10:D1153),6)=0,D1153+1,D1153)</f>
        <v>191</v>
      </c>
      <c r="E1154" s="208">
        <f>IF(MOD(COUNT($E$10:E1153),3)=0,E1153+1,E1153)</f>
        <v>382</v>
      </c>
      <c r="F1154" s="208">
        <f>IF(MOD(COUNT($F$10:F1153),1)=0,F1153+1,F1153)</f>
        <v>1145</v>
      </c>
      <c r="G1154" s="204">
        <f>IFERROR(IF(C1154=1,VLOOKUP(A1154,Output!$A$27:$AB$137,28,FALSE)/AnnuityMode,0),0)</f>
        <v>0</v>
      </c>
      <c r="H1154" s="220">
        <f>IFERROR(IF(AND(MIN(A1154&gt;25,Age+A1154&gt;=85),B1154=12),VLOOKUP(A1154,Output!$A$27:$AE$137,31,FALSE),0),0)</f>
        <v>0</v>
      </c>
      <c r="I1154" s="221">
        <f>IFERROR(IF(AND(MIN(A1154&gt;15,A1154+Age&gt;=70),C1154=1),VLOOKUP(A1154,Output!$A$27:$AF$137,32,FALSE)*VLOOKUP('SV calc_ignore'!A1154,Output!$A$27:$AG$137,33,FALSE)/IF(AnnuityMode=2,2,IF(AnnuityMode=4,4,IF(AnnuityMode=12,12,1))),0),0)</f>
        <v>0</v>
      </c>
      <c r="J1154" s="227">
        <f t="shared" ref="J1154:J1217" si="220">G1154+(J1155)*(1+$K$3)^(-1)</f>
        <v>0</v>
      </c>
      <c r="K1154" s="213">
        <f t="shared" si="215"/>
        <v>0</v>
      </c>
      <c r="L1154" s="209">
        <f t="shared" ref="L1154:L1217" si="221">(L1155+G1155)*$K$2</f>
        <v>0</v>
      </c>
      <c r="M1154" s="214">
        <f t="shared" ref="M1154:M1217" si="222">L1153*(1+$K$3)</f>
        <v>0</v>
      </c>
      <c r="N1154" s="211">
        <f t="shared" ref="N1154:N1217" si="223">M1154-L1154-G1154</f>
        <v>0</v>
      </c>
      <c r="O1154" s="194">
        <f t="shared" ref="O1154:O1217" si="224">MAX($H$10:$H$897)/(1+$K$3)^($Q$5*12-F1154)*(A1154&lt;=$Q$5)</f>
        <v>0</v>
      </c>
      <c r="P1154" s="212">
        <f t="shared" si="213"/>
        <v>0</v>
      </c>
      <c r="Q1154">
        <f t="shared" si="217"/>
        <v>0</v>
      </c>
      <c r="X1154" s="216">
        <f t="shared" si="216"/>
        <v>95</v>
      </c>
      <c r="Y1154">
        <f t="shared" si="214"/>
        <v>0</v>
      </c>
    </row>
    <row r="1155" spans="1:25" ht="13.5" thickBot="1" x14ac:dyDescent="0.25">
      <c r="A1155" s="204">
        <f>IF(MOD(COUNT($A$10:A1154),12)=0,A1154+1,A1154)</f>
        <v>96</v>
      </c>
      <c r="B1155" s="218">
        <f t="shared" si="218"/>
        <v>6</v>
      </c>
      <c r="C1155" s="218">
        <f t="shared" si="219"/>
        <v>1</v>
      </c>
      <c r="D1155" s="208">
        <f>IF(MOD(COUNT($D$10:D1154),6)=0,D1154+1,D1154)</f>
        <v>191</v>
      </c>
      <c r="E1155" s="208">
        <f>IF(MOD(COUNT($E$10:E1154),3)=0,E1154+1,E1154)</f>
        <v>382</v>
      </c>
      <c r="F1155" s="208">
        <f>IF(MOD(COUNT($F$10:F1154),1)=0,F1154+1,F1154)</f>
        <v>1146</v>
      </c>
      <c r="G1155" s="204">
        <f>IFERROR(IF(C1155=1,VLOOKUP(A1155,Output!$A$27:$AB$137,28,FALSE)/AnnuityMode,0),0)</f>
        <v>0</v>
      </c>
      <c r="H1155" s="220">
        <f>IFERROR(IF(AND(MIN(A1155&gt;25,Age+A1155&gt;=85),B1155=12),VLOOKUP(A1155,Output!$A$27:$AE$137,31,FALSE),0),0)</f>
        <v>0</v>
      </c>
      <c r="I1155" s="221">
        <f>IFERROR(IF(AND(MIN(A1155&gt;15,A1155+Age&gt;=70),C1155=1),VLOOKUP(A1155,Output!$A$27:$AF$137,32,FALSE)*VLOOKUP('SV calc_ignore'!A1155,Output!$A$27:$AG$137,33,FALSE)/IF(AnnuityMode=2,2,IF(AnnuityMode=4,4,IF(AnnuityMode=12,12,1))),0),0)</f>
        <v>0</v>
      </c>
      <c r="J1155" s="227">
        <f t="shared" si="220"/>
        <v>0</v>
      </c>
      <c r="K1155" s="213">
        <f t="shared" si="215"/>
        <v>0</v>
      </c>
      <c r="L1155" s="209">
        <f t="shared" si="221"/>
        <v>0</v>
      </c>
      <c r="M1155" s="214">
        <f t="shared" si="222"/>
        <v>0</v>
      </c>
      <c r="N1155" s="211">
        <f t="shared" si="223"/>
        <v>0</v>
      </c>
      <c r="O1155" s="194">
        <f t="shared" si="224"/>
        <v>0</v>
      </c>
      <c r="P1155" s="212">
        <f t="shared" si="213"/>
        <v>0</v>
      </c>
      <c r="Q1155">
        <f t="shared" si="217"/>
        <v>0</v>
      </c>
      <c r="X1155" s="216">
        <f t="shared" si="216"/>
        <v>95</v>
      </c>
      <c r="Y1155">
        <f t="shared" si="214"/>
        <v>0</v>
      </c>
    </row>
    <row r="1156" spans="1:25" ht="13.5" thickBot="1" x14ac:dyDescent="0.25">
      <c r="A1156" s="204">
        <f>IF(MOD(COUNT($A$10:A1155),12)=0,A1155+1,A1155)</f>
        <v>96</v>
      </c>
      <c r="B1156" s="218">
        <f t="shared" si="218"/>
        <v>7</v>
      </c>
      <c r="C1156" s="218">
        <f t="shared" si="219"/>
        <v>1</v>
      </c>
      <c r="D1156" s="208">
        <f>IF(MOD(COUNT($D$10:D1155),6)=0,D1155+1,D1155)</f>
        <v>192</v>
      </c>
      <c r="E1156" s="208">
        <f>IF(MOD(COUNT($E$10:E1155),3)=0,E1155+1,E1155)</f>
        <v>383</v>
      </c>
      <c r="F1156" s="208">
        <f>IF(MOD(COUNT($F$10:F1155),1)=0,F1155+1,F1155)</f>
        <v>1147</v>
      </c>
      <c r="G1156" s="204">
        <f>IFERROR(IF(C1156=1,VLOOKUP(A1156,Output!$A$27:$AB$137,28,FALSE)/AnnuityMode,0),0)</f>
        <v>0</v>
      </c>
      <c r="H1156" s="220">
        <f>IFERROR(IF(AND(MIN(A1156&gt;25,Age+A1156&gt;=85),B1156=12),VLOOKUP(A1156,Output!$A$27:$AE$137,31,FALSE),0),0)</f>
        <v>0</v>
      </c>
      <c r="I1156" s="221">
        <f>IFERROR(IF(AND(MIN(A1156&gt;15,A1156+Age&gt;=70),C1156=1),VLOOKUP(A1156,Output!$A$27:$AF$137,32,FALSE)*VLOOKUP('SV calc_ignore'!A1156,Output!$A$27:$AG$137,33,FALSE)/IF(AnnuityMode=2,2,IF(AnnuityMode=4,4,IF(AnnuityMode=12,12,1))),0),0)</f>
        <v>0</v>
      </c>
      <c r="J1156" s="227">
        <f t="shared" si="220"/>
        <v>0</v>
      </c>
      <c r="K1156" s="213">
        <f t="shared" si="215"/>
        <v>0</v>
      </c>
      <c r="L1156" s="209">
        <f t="shared" si="221"/>
        <v>0</v>
      </c>
      <c r="M1156" s="214">
        <f t="shared" si="222"/>
        <v>0</v>
      </c>
      <c r="N1156" s="211">
        <f t="shared" si="223"/>
        <v>0</v>
      </c>
      <c r="O1156" s="194">
        <f t="shared" si="224"/>
        <v>0</v>
      </c>
      <c r="P1156" s="212">
        <f t="shared" si="213"/>
        <v>0</v>
      </c>
      <c r="Q1156">
        <f t="shared" si="217"/>
        <v>0</v>
      </c>
      <c r="X1156" s="216">
        <f t="shared" si="216"/>
        <v>95</v>
      </c>
      <c r="Y1156">
        <f t="shared" si="214"/>
        <v>0</v>
      </c>
    </row>
    <row r="1157" spans="1:25" ht="13.5" thickBot="1" x14ac:dyDescent="0.25">
      <c r="A1157" s="204">
        <f>IF(MOD(COUNT($A$10:A1156),12)=0,A1156+1,A1156)</f>
        <v>96</v>
      </c>
      <c r="B1157" s="218">
        <f t="shared" si="218"/>
        <v>8</v>
      </c>
      <c r="C1157" s="218">
        <f t="shared" si="219"/>
        <v>1</v>
      </c>
      <c r="D1157" s="208">
        <f>IF(MOD(COUNT($D$10:D1156),6)=0,D1156+1,D1156)</f>
        <v>192</v>
      </c>
      <c r="E1157" s="208">
        <f>IF(MOD(COUNT($E$10:E1156),3)=0,E1156+1,E1156)</f>
        <v>383</v>
      </c>
      <c r="F1157" s="208">
        <f>IF(MOD(COUNT($F$10:F1156),1)=0,F1156+1,F1156)</f>
        <v>1148</v>
      </c>
      <c r="G1157" s="204">
        <f>IFERROR(IF(C1157=1,VLOOKUP(A1157,Output!$A$27:$AB$137,28,FALSE)/AnnuityMode,0),0)</f>
        <v>0</v>
      </c>
      <c r="H1157" s="220">
        <f>IFERROR(IF(AND(MIN(A1157&gt;25,Age+A1157&gt;=85),B1157=12),VLOOKUP(A1157,Output!$A$27:$AE$137,31,FALSE),0),0)</f>
        <v>0</v>
      </c>
      <c r="I1157" s="221">
        <f>IFERROR(IF(AND(MIN(A1157&gt;15,A1157+Age&gt;=70),C1157=1),VLOOKUP(A1157,Output!$A$27:$AF$137,32,FALSE)*VLOOKUP('SV calc_ignore'!A1157,Output!$A$27:$AG$137,33,FALSE)/IF(AnnuityMode=2,2,IF(AnnuityMode=4,4,IF(AnnuityMode=12,12,1))),0),0)</f>
        <v>0</v>
      </c>
      <c r="J1157" s="227">
        <f t="shared" si="220"/>
        <v>0</v>
      </c>
      <c r="K1157" s="213">
        <f t="shared" si="215"/>
        <v>0</v>
      </c>
      <c r="L1157" s="209">
        <f t="shared" si="221"/>
        <v>0</v>
      </c>
      <c r="M1157" s="214">
        <f t="shared" si="222"/>
        <v>0</v>
      </c>
      <c r="N1157" s="211">
        <f t="shared" si="223"/>
        <v>0</v>
      </c>
      <c r="O1157" s="194">
        <f t="shared" si="224"/>
        <v>0</v>
      </c>
      <c r="P1157" s="212">
        <f t="shared" si="213"/>
        <v>0</v>
      </c>
      <c r="Q1157">
        <f t="shared" si="217"/>
        <v>0</v>
      </c>
      <c r="X1157" s="216">
        <f t="shared" si="216"/>
        <v>95</v>
      </c>
      <c r="Y1157">
        <f t="shared" si="214"/>
        <v>0</v>
      </c>
    </row>
    <row r="1158" spans="1:25" ht="13.5" thickBot="1" x14ac:dyDescent="0.25">
      <c r="A1158" s="204">
        <f>IF(MOD(COUNT($A$10:A1157),12)=0,A1157+1,A1157)</f>
        <v>96</v>
      </c>
      <c r="B1158" s="218">
        <f t="shared" si="218"/>
        <v>9</v>
      </c>
      <c r="C1158" s="218">
        <f t="shared" si="219"/>
        <v>1</v>
      </c>
      <c r="D1158" s="208">
        <f>IF(MOD(COUNT($D$10:D1157),6)=0,D1157+1,D1157)</f>
        <v>192</v>
      </c>
      <c r="E1158" s="208">
        <f>IF(MOD(COUNT($E$10:E1157),3)=0,E1157+1,E1157)</f>
        <v>383</v>
      </c>
      <c r="F1158" s="208">
        <f>IF(MOD(COUNT($F$10:F1157),1)=0,F1157+1,F1157)</f>
        <v>1149</v>
      </c>
      <c r="G1158" s="204">
        <f>IFERROR(IF(C1158=1,VLOOKUP(A1158,Output!$A$27:$AB$137,28,FALSE)/AnnuityMode,0),0)</f>
        <v>0</v>
      </c>
      <c r="H1158" s="220">
        <f>IFERROR(IF(AND(MIN(A1158&gt;25,Age+A1158&gt;=85),B1158=12),VLOOKUP(A1158,Output!$A$27:$AE$137,31,FALSE),0),0)</f>
        <v>0</v>
      </c>
      <c r="I1158" s="221">
        <f>IFERROR(IF(AND(MIN(A1158&gt;15,A1158+Age&gt;=70),C1158=1),VLOOKUP(A1158,Output!$A$27:$AF$137,32,FALSE)*VLOOKUP('SV calc_ignore'!A1158,Output!$A$27:$AG$137,33,FALSE)/IF(AnnuityMode=2,2,IF(AnnuityMode=4,4,IF(AnnuityMode=12,12,1))),0),0)</f>
        <v>0</v>
      </c>
      <c r="J1158" s="227">
        <f t="shared" si="220"/>
        <v>0</v>
      </c>
      <c r="K1158" s="213">
        <f t="shared" si="215"/>
        <v>0</v>
      </c>
      <c r="L1158" s="209">
        <f t="shared" si="221"/>
        <v>0</v>
      </c>
      <c r="M1158" s="214">
        <f t="shared" si="222"/>
        <v>0</v>
      </c>
      <c r="N1158" s="211">
        <f t="shared" si="223"/>
        <v>0</v>
      </c>
      <c r="O1158" s="194">
        <f t="shared" si="224"/>
        <v>0</v>
      </c>
      <c r="P1158" s="212">
        <f t="shared" si="213"/>
        <v>0</v>
      </c>
      <c r="Q1158">
        <f t="shared" si="217"/>
        <v>0</v>
      </c>
      <c r="X1158" s="216">
        <f t="shared" si="216"/>
        <v>95</v>
      </c>
      <c r="Y1158">
        <f t="shared" si="214"/>
        <v>0</v>
      </c>
    </row>
    <row r="1159" spans="1:25" ht="13.5" thickBot="1" x14ac:dyDescent="0.25">
      <c r="A1159" s="204">
        <f>IF(MOD(COUNT($A$10:A1158),12)=0,A1158+1,A1158)</f>
        <v>96</v>
      </c>
      <c r="B1159" s="218">
        <f t="shared" si="218"/>
        <v>10</v>
      </c>
      <c r="C1159" s="218">
        <f t="shared" si="219"/>
        <v>1</v>
      </c>
      <c r="D1159" s="208">
        <f>IF(MOD(COUNT($D$10:D1158),6)=0,D1158+1,D1158)</f>
        <v>192</v>
      </c>
      <c r="E1159" s="208">
        <f>IF(MOD(COUNT($E$10:E1158),3)=0,E1158+1,E1158)</f>
        <v>384</v>
      </c>
      <c r="F1159" s="208">
        <f>IF(MOD(COUNT($F$10:F1158),1)=0,F1158+1,F1158)</f>
        <v>1150</v>
      </c>
      <c r="G1159" s="204">
        <f>IFERROR(IF(C1159=1,VLOOKUP(A1159,Output!$A$27:$AB$137,28,FALSE)/AnnuityMode,0),0)</f>
        <v>0</v>
      </c>
      <c r="H1159" s="220">
        <f>IFERROR(IF(AND(MIN(A1159&gt;25,Age+A1159&gt;=85),B1159=12),VLOOKUP(A1159,Output!$A$27:$AE$137,31,FALSE),0),0)</f>
        <v>0</v>
      </c>
      <c r="I1159" s="221">
        <f>IFERROR(IF(AND(MIN(A1159&gt;15,A1159+Age&gt;=70),C1159=1),VLOOKUP(A1159,Output!$A$27:$AF$137,32,FALSE)*VLOOKUP('SV calc_ignore'!A1159,Output!$A$27:$AG$137,33,FALSE)/IF(AnnuityMode=2,2,IF(AnnuityMode=4,4,IF(AnnuityMode=12,12,1))),0),0)</f>
        <v>0</v>
      </c>
      <c r="J1159" s="227">
        <f t="shared" si="220"/>
        <v>0</v>
      </c>
      <c r="K1159" s="213">
        <f t="shared" si="215"/>
        <v>0</v>
      </c>
      <c r="L1159" s="209">
        <f t="shared" si="221"/>
        <v>0</v>
      </c>
      <c r="M1159" s="214">
        <f t="shared" si="222"/>
        <v>0</v>
      </c>
      <c r="N1159" s="211">
        <f t="shared" si="223"/>
        <v>0</v>
      </c>
      <c r="O1159" s="194">
        <f t="shared" si="224"/>
        <v>0</v>
      </c>
      <c r="P1159" s="212">
        <f t="shared" si="213"/>
        <v>0</v>
      </c>
      <c r="Q1159">
        <f t="shared" si="217"/>
        <v>0</v>
      </c>
      <c r="X1159" s="216">
        <f t="shared" si="216"/>
        <v>95</v>
      </c>
      <c r="Y1159">
        <f t="shared" si="214"/>
        <v>0</v>
      </c>
    </row>
    <row r="1160" spans="1:25" ht="13.5" thickBot="1" x14ac:dyDescent="0.25">
      <c r="A1160" s="204">
        <f>IF(MOD(COUNT($A$10:A1159),12)=0,A1159+1,A1159)</f>
        <v>96</v>
      </c>
      <c r="B1160" s="218">
        <f t="shared" si="218"/>
        <v>11</v>
      </c>
      <c r="C1160" s="218">
        <f t="shared" si="219"/>
        <v>1</v>
      </c>
      <c r="D1160" s="208">
        <f>IF(MOD(COUNT($D$10:D1159),6)=0,D1159+1,D1159)</f>
        <v>192</v>
      </c>
      <c r="E1160" s="208">
        <f>IF(MOD(COUNT($E$10:E1159),3)=0,E1159+1,E1159)</f>
        <v>384</v>
      </c>
      <c r="F1160" s="208">
        <f>IF(MOD(COUNT($F$10:F1159),1)=0,F1159+1,F1159)</f>
        <v>1151</v>
      </c>
      <c r="G1160" s="204">
        <f>IFERROR(IF(C1160=1,VLOOKUP(A1160,Output!$A$27:$AB$137,28,FALSE)/AnnuityMode,0),0)</f>
        <v>0</v>
      </c>
      <c r="H1160" s="220">
        <f>IFERROR(IF(AND(MIN(A1160&gt;25,Age+A1160&gt;=85),B1160=12),VLOOKUP(A1160,Output!$A$27:$AE$137,31,FALSE),0),0)</f>
        <v>0</v>
      </c>
      <c r="I1160" s="221">
        <f>IFERROR(IF(AND(MIN(A1160&gt;15,A1160+Age&gt;=70),C1160=1),VLOOKUP(A1160,Output!$A$27:$AF$137,32,FALSE)*VLOOKUP('SV calc_ignore'!A1160,Output!$A$27:$AG$137,33,FALSE)/IF(AnnuityMode=2,2,IF(AnnuityMode=4,4,IF(AnnuityMode=12,12,1))),0),0)</f>
        <v>0</v>
      </c>
      <c r="J1160" s="227">
        <f t="shared" si="220"/>
        <v>0</v>
      </c>
      <c r="K1160" s="213">
        <f t="shared" si="215"/>
        <v>0</v>
      </c>
      <c r="L1160" s="209">
        <f t="shared" si="221"/>
        <v>0</v>
      </c>
      <c r="M1160" s="214">
        <f t="shared" si="222"/>
        <v>0</v>
      </c>
      <c r="N1160" s="211">
        <f t="shared" si="223"/>
        <v>0</v>
      </c>
      <c r="O1160" s="194">
        <f t="shared" si="224"/>
        <v>0</v>
      </c>
      <c r="P1160" s="212">
        <f t="shared" si="213"/>
        <v>0</v>
      </c>
      <c r="Q1160">
        <f t="shared" si="217"/>
        <v>0</v>
      </c>
      <c r="X1160" s="216">
        <f t="shared" si="216"/>
        <v>95</v>
      </c>
      <c r="Y1160">
        <f t="shared" si="214"/>
        <v>0</v>
      </c>
    </row>
    <row r="1161" spans="1:25" ht="13.5" thickBot="1" x14ac:dyDescent="0.25">
      <c r="A1161" s="204">
        <f>IF(MOD(COUNT($A$10:A1160),12)=0,A1160+1,A1160)</f>
        <v>96</v>
      </c>
      <c r="B1161" s="218">
        <f t="shared" si="218"/>
        <v>12</v>
      </c>
      <c r="C1161" s="218">
        <f t="shared" si="219"/>
        <v>1</v>
      </c>
      <c r="D1161" s="208">
        <f>IF(MOD(COUNT($D$10:D1160),6)=0,D1160+1,D1160)</f>
        <v>192</v>
      </c>
      <c r="E1161" s="208">
        <f>IF(MOD(COUNT($E$10:E1160),3)=0,E1160+1,E1160)</f>
        <v>384</v>
      </c>
      <c r="F1161" s="208">
        <f>IF(MOD(COUNT($F$10:F1160),1)=0,F1160+1,F1160)</f>
        <v>1152</v>
      </c>
      <c r="G1161" s="204">
        <f>IFERROR(IF(C1161=1,VLOOKUP(A1161,Output!$A$27:$AB$137,28,FALSE)/AnnuityMode,0),0)</f>
        <v>0</v>
      </c>
      <c r="H1161" s="220">
        <f>IFERROR(IF(AND(MIN(A1161&gt;25,Age+A1161&gt;=85),B1161=12),VLOOKUP(A1161,Output!$A$27:$AE$137,31,FALSE),0),0)</f>
        <v>0</v>
      </c>
      <c r="I1161" s="221">
        <f>IFERROR(IF(AND(MIN(A1161&gt;15,A1161+Age&gt;=70),C1161=1),VLOOKUP(A1161,Output!$A$27:$AF$137,32,FALSE)*VLOOKUP('SV calc_ignore'!A1161,Output!$A$27:$AG$137,33,FALSE)/IF(AnnuityMode=2,2,IF(AnnuityMode=4,4,IF(AnnuityMode=12,12,1))),0),0)</f>
        <v>0</v>
      </c>
      <c r="J1161" s="227">
        <f t="shared" si="220"/>
        <v>0</v>
      </c>
      <c r="K1161" s="213">
        <f t="shared" si="215"/>
        <v>0</v>
      </c>
      <c r="L1161" s="209">
        <f t="shared" si="221"/>
        <v>0</v>
      </c>
      <c r="M1161" s="214">
        <f t="shared" si="222"/>
        <v>0</v>
      </c>
      <c r="N1161" s="211">
        <f t="shared" si="223"/>
        <v>0</v>
      </c>
      <c r="O1161" s="194">
        <f t="shared" si="224"/>
        <v>0</v>
      </c>
      <c r="P1161" s="212">
        <f t="shared" si="213"/>
        <v>0</v>
      </c>
      <c r="Q1161">
        <f t="shared" si="217"/>
        <v>0</v>
      </c>
      <c r="X1161" s="216">
        <f t="shared" si="216"/>
        <v>95</v>
      </c>
      <c r="Y1161">
        <f t="shared" si="214"/>
        <v>0</v>
      </c>
    </row>
    <row r="1162" spans="1:25" ht="13.5" thickBot="1" x14ac:dyDescent="0.25">
      <c r="A1162" s="204">
        <f>IF(MOD(COUNT($A$10:A1161),12)=0,A1161+1,A1161)</f>
        <v>97</v>
      </c>
      <c r="B1162" s="218">
        <f t="shared" si="218"/>
        <v>1</v>
      </c>
      <c r="C1162" s="218">
        <f t="shared" si="219"/>
        <v>1</v>
      </c>
      <c r="D1162" s="208">
        <f>IF(MOD(COUNT($D$10:D1161),6)=0,D1161+1,D1161)</f>
        <v>193</v>
      </c>
      <c r="E1162" s="208">
        <f>IF(MOD(COUNT($E$10:E1161),3)=0,E1161+1,E1161)</f>
        <v>385</v>
      </c>
      <c r="F1162" s="208">
        <f>IF(MOD(COUNT($F$10:F1161),1)=0,F1161+1,F1161)</f>
        <v>1153</v>
      </c>
      <c r="G1162" s="204">
        <f>IFERROR(IF(C1162=1,VLOOKUP(A1162,Output!$A$27:$AB$137,28,FALSE)/AnnuityMode,0),0)</f>
        <v>0</v>
      </c>
      <c r="H1162" s="220">
        <f>IFERROR(IF(AND(MIN(A1162&gt;25,Age+A1162&gt;=85),B1162=12),VLOOKUP(A1162,Output!$A$27:$AE$137,31,FALSE),0),0)</f>
        <v>0</v>
      </c>
      <c r="I1162" s="221">
        <f>IFERROR(IF(AND(MIN(A1162&gt;15,A1162+Age&gt;=70),C1162=1),VLOOKUP(A1162,Output!$A$27:$AF$137,32,FALSE)*VLOOKUP('SV calc_ignore'!A1162,Output!$A$27:$AG$137,33,FALSE)/IF(AnnuityMode=2,2,IF(AnnuityMode=4,4,IF(AnnuityMode=12,12,1))),0),0)</f>
        <v>0</v>
      </c>
      <c r="J1162" s="227">
        <f t="shared" si="220"/>
        <v>0</v>
      </c>
      <c r="K1162" s="213">
        <f t="shared" si="215"/>
        <v>0</v>
      </c>
      <c r="L1162" s="209">
        <f t="shared" si="221"/>
        <v>0</v>
      </c>
      <c r="M1162" s="214">
        <f t="shared" si="222"/>
        <v>0</v>
      </c>
      <c r="N1162" s="211">
        <f t="shared" si="223"/>
        <v>0</v>
      </c>
      <c r="O1162" s="194">
        <f t="shared" si="224"/>
        <v>0</v>
      </c>
      <c r="P1162" s="212">
        <f t="shared" ref="P1162:P1225" si="225">(P1163+H1163)*(1+$K$3)^(-1)</f>
        <v>0</v>
      </c>
      <c r="Q1162">
        <f t="shared" si="217"/>
        <v>0</v>
      </c>
      <c r="X1162" s="216">
        <f t="shared" si="216"/>
        <v>96</v>
      </c>
      <c r="Y1162">
        <f t="shared" ref="Y1162:Y1225" si="226">G1162*(1-IF(AnnuityMode=1,$L$2,IF(AnnuityMode=2,$M$2,IF(AnnuityMode=4,$N$2,$K$2)))^(110*AnnuityMode-IF(AnnuityMode=1,X1162,IF(AnnuityMode=2,D1162,IF(AnnuityMode=4,E1162,F1162)))-0))/(IF(AnnuityMode=1,$L$3,IF(AnnuityMode=2,$M$3,IF(AnnuityMode=4,$N$3,$K$3))))</f>
        <v>0</v>
      </c>
    </row>
    <row r="1163" spans="1:25" ht="13.5" thickBot="1" x14ac:dyDescent="0.25">
      <c r="A1163" s="204">
        <f>IF(MOD(COUNT($A$10:A1162),12)=0,A1162+1,A1162)</f>
        <v>97</v>
      </c>
      <c r="B1163" s="218">
        <f t="shared" si="218"/>
        <v>2</v>
      </c>
      <c r="C1163" s="218">
        <f t="shared" si="219"/>
        <v>1</v>
      </c>
      <c r="D1163" s="208">
        <f>IF(MOD(COUNT($D$10:D1162),6)=0,D1162+1,D1162)</f>
        <v>193</v>
      </c>
      <c r="E1163" s="208">
        <f>IF(MOD(COUNT($E$10:E1162),3)=0,E1162+1,E1162)</f>
        <v>385</v>
      </c>
      <c r="F1163" s="208">
        <f>IF(MOD(COUNT($F$10:F1162),1)=0,F1162+1,F1162)</f>
        <v>1154</v>
      </c>
      <c r="G1163" s="204">
        <f>IFERROR(IF(C1163=1,VLOOKUP(A1163,Output!$A$27:$AB$137,28,FALSE)/AnnuityMode,0),0)</f>
        <v>0</v>
      </c>
      <c r="H1163" s="220">
        <f>IFERROR(IF(AND(MIN(A1163&gt;25,Age+A1163&gt;=85),B1163=12),VLOOKUP(A1163,Output!$A$27:$AE$137,31,FALSE),0),0)</f>
        <v>0</v>
      </c>
      <c r="I1163" s="221">
        <f>IFERROR(IF(AND(MIN(A1163&gt;15,A1163+Age&gt;=70),C1163=1),VLOOKUP(A1163,Output!$A$27:$AF$137,32,FALSE)*VLOOKUP('SV calc_ignore'!A1163,Output!$A$27:$AG$137,33,FALSE)/IF(AnnuityMode=2,2,IF(AnnuityMode=4,4,IF(AnnuityMode=12,12,1))),0),0)</f>
        <v>0</v>
      </c>
      <c r="J1163" s="227">
        <f t="shared" si="220"/>
        <v>0</v>
      </c>
      <c r="K1163" s="213">
        <f t="shared" ref="K1163:K1226" si="227">IF(OR(K1162&gt;$K$8,K1162=0),0,K1162+1)</f>
        <v>0</v>
      </c>
      <c r="L1163" s="209">
        <f t="shared" si="221"/>
        <v>0</v>
      </c>
      <c r="M1163" s="214">
        <f t="shared" si="222"/>
        <v>0</v>
      </c>
      <c r="N1163" s="211">
        <f t="shared" si="223"/>
        <v>0</v>
      </c>
      <c r="O1163" s="194">
        <f t="shared" si="224"/>
        <v>0</v>
      </c>
      <c r="P1163" s="212">
        <f t="shared" si="225"/>
        <v>0</v>
      </c>
      <c r="Q1163">
        <f t="shared" si="217"/>
        <v>0</v>
      </c>
      <c r="X1163" s="216">
        <f t="shared" ref="X1163:X1226" si="228">A1163-1</f>
        <v>96</v>
      </c>
      <c r="Y1163">
        <f t="shared" si="226"/>
        <v>0</v>
      </c>
    </row>
    <row r="1164" spans="1:25" ht="13.5" thickBot="1" x14ac:dyDescent="0.25">
      <c r="A1164" s="204">
        <f>IF(MOD(COUNT($A$10:A1163),12)=0,A1163+1,A1163)</f>
        <v>97</v>
      </c>
      <c r="B1164" s="218">
        <f t="shared" si="218"/>
        <v>3</v>
      </c>
      <c r="C1164" s="218">
        <f t="shared" si="219"/>
        <v>1</v>
      </c>
      <c r="D1164" s="208">
        <f>IF(MOD(COUNT($D$10:D1163),6)=0,D1163+1,D1163)</f>
        <v>193</v>
      </c>
      <c r="E1164" s="208">
        <f>IF(MOD(COUNT($E$10:E1163),3)=0,E1163+1,E1163)</f>
        <v>385</v>
      </c>
      <c r="F1164" s="208">
        <f>IF(MOD(COUNT($F$10:F1163),1)=0,F1163+1,F1163)</f>
        <v>1155</v>
      </c>
      <c r="G1164" s="204">
        <f>IFERROR(IF(C1164=1,VLOOKUP(A1164,Output!$A$27:$AB$137,28,FALSE)/AnnuityMode,0),0)</f>
        <v>0</v>
      </c>
      <c r="H1164" s="220">
        <f>IFERROR(IF(AND(MIN(A1164&gt;25,Age+A1164&gt;=85),B1164=12),VLOOKUP(A1164,Output!$A$27:$AE$137,31,FALSE),0),0)</f>
        <v>0</v>
      </c>
      <c r="I1164" s="221">
        <f>IFERROR(IF(AND(MIN(A1164&gt;15,A1164+Age&gt;=70),C1164=1),VLOOKUP(A1164,Output!$A$27:$AF$137,32,FALSE)*VLOOKUP('SV calc_ignore'!A1164,Output!$A$27:$AG$137,33,FALSE)/IF(AnnuityMode=2,2,IF(AnnuityMode=4,4,IF(AnnuityMode=12,12,1))),0),0)</f>
        <v>0</v>
      </c>
      <c r="J1164" s="227">
        <f t="shared" si="220"/>
        <v>0</v>
      </c>
      <c r="K1164" s="213">
        <f t="shared" si="227"/>
        <v>0</v>
      </c>
      <c r="L1164" s="209">
        <f t="shared" si="221"/>
        <v>0</v>
      </c>
      <c r="M1164" s="214">
        <f t="shared" si="222"/>
        <v>0</v>
      </c>
      <c r="N1164" s="211">
        <f t="shared" si="223"/>
        <v>0</v>
      </c>
      <c r="O1164" s="194">
        <f t="shared" si="224"/>
        <v>0</v>
      </c>
      <c r="P1164" s="212">
        <f t="shared" si="225"/>
        <v>0</v>
      </c>
      <c r="Q1164">
        <f t="shared" si="217"/>
        <v>0</v>
      </c>
      <c r="X1164" s="216">
        <f t="shared" si="228"/>
        <v>96</v>
      </c>
      <c r="Y1164">
        <f t="shared" si="226"/>
        <v>0</v>
      </c>
    </row>
    <row r="1165" spans="1:25" ht="13.5" thickBot="1" x14ac:dyDescent="0.25">
      <c r="A1165" s="204">
        <f>IF(MOD(COUNT($A$10:A1164),12)=0,A1164+1,A1164)</f>
        <v>97</v>
      </c>
      <c r="B1165" s="218">
        <f t="shared" si="218"/>
        <v>4</v>
      </c>
      <c r="C1165" s="218">
        <f t="shared" si="219"/>
        <v>1</v>
      </c>
      <c r="D1165" s="208">
        <f>IF(MOD(COUNT($D$10:D1164),6)=0,D1164+1,D1164)</f>
        <v>193</v>
      </c>
      <c r="E1165" s="208">
        <f>IF(MOD(COUNT($E$10:E1164),3)=0,E1164+1,E1164)</f>
        <v>386</v>
      </c>
      <c r="F1165" s="208">
        <f>IF(MOD(COUNT($F$10:F1164),1)=0,F1164+1,F1164)</f>
        <v>1156</v>
      </c>
      <c r="G1165" s="204">
        <f>IFERROR(IF(C1165=1,VLOOKUP(A1165,Output!$A$27:$AB$137,28,FALSE)/AnnuityMode,0),0)</f>
        <v>0</v>
      </c>
      <c r="H1165" s="220">
        <f>IFERROR(IF(AND(MIN(A1165&gt;25,Age+A1165&gt;=85),B1165=12),VLOOKUP(A1165,Output!$A$27:$AE$137,31,FALSE),0),0)</f>
        <v>0</v>
      </c>
      <c r="I1165" s="221">
        <f>IFERROR(IF(AND(MIN(A1165&gt;15,A1165+Age&gt;=70),C1165=1),VLOOKUP(A1165,Output!$A$27:$AF$137,32,FALSE)*VLOOKUP('SV calc_ignore'!A1165,Output!$A$27:$AG$137,33,FALSE)/IF(AnnuityMode=2,2,IF(AnnuityMode=4,4,IF(AnnuityMode=12,12,1))),0),0)</f>
        <v>0</v>
      </c>
      <c r="J1165" s="227">
        <f t="shared" si="220"/>
        <v>0</v>
      </c>
      <c r="K1165" s="213">
        <f t="shared" si="227"/>
        <v>0</v>
      </c>
      <c r="L1165" s="209">
        <f t="shared" si="221"/>
        <v>0</v>
      </c>
      <c r="M1165" s="214">
        <f t="shared" si="222"/>
        <v>0</v>
      </c>
      <c r="N1165" s="211">
        <f t="shared" si="223"/>
        <v>0</v>
      </c>
      <c r="O1165" s="194">
        <f t="shared" si="224"/>
        <v>0</v>
      </c>
      <c r="P1165" s="212">
        <f t="shared" si="225"/>
        <v>0</v>
      </c>
      <c r="Q1165">
        <f t="shared" si="217"/>
        <v>0</v>
      </c>
      <c r="X1165" s="216">
        <f t="shared" si="228"/>
        <v>96</v>
      </c>
      <c r="Y1165">
        <f t="shared" si="226"/>
        <v>0</v>
      </c>
    </row>
    <row r="1166" spans="1:25" ht="13.5" thickBot="1" x14ac:dyDescent="0.25">
      <c r="A1166" s="204">
        <f>IF(MOD(COUNT($A$10:A1165),12)=0,A1165+1,A1165)</f>
        <v>97</v>
      </c>
      <c r="B1166" s="218">
        <f t="shared" si="218"/>
        <v>5</v>
      </c>
      <c r="C1166" s="218">
        <f t="shared" si="219"/>
        <v>1</v>
      </c>
      <c r="D1166" s="208">
        <f>IF(MOD(COUNT($D$10:D1165),6)=0,D1165+1,D1165)</f>
        <v>193</v>
      </c>
      <c r="E1166" s="208">
        <f>IF(MOD(COUNT($E$10:E1165),3)=0,E1165+1,E1165)</f>
        <v>386</v>
      </c>
      <c r="F1166" s="208">
        <f>IF(MOD(COUNT($F$10:F1165),1)=0,F1165+1,F1165)</f>
        <v>1157</v>
      </c>
      <c r="G1166" s="204">
        <f>IFERROR(IF(C1166=1,VLOOKUP(A1166,Output!$A$27:$AB$137,28,FALSE)/AnnuityMode,0),0)</f>
        <v>0</v>
      </c>
      <c r="H1166" s="220">
        <f>IFERROR(IF(AND(MIN(A1166&gt;25,Age+A1166&gt;=85),B1166=12),VLOOKUP(A1166,Output!$A$27:$AE$137,31,FALSE),0),0)</f>
        <v>0</v>
      </c>
      <c r="I1166" s="221">
        <f>IFERROR(IF(AND(MIN(A1166&gt;15,A1166+Age&gt;=70),C1166=1),VLOOKUP(A1166,Output!$A$27:$AF$137,32,FALSE)*VLOOKUP('SV calc_ignore'!A1166,Output!$A$27:$AG$137,33,FALSE)/IF(AnnuityMode=2,2,IF(AnnuityMode=4,4,IF(AnnuityMode=12,12,1))),0),0)</f>
        <v>0</v>
      </c>
      <c r="J1166" s="227">
        <f t="shared" si="220"/>
        <v>0</v>
      </c>
      <c r="K1166" s="213">
        <f t="shared" si="227"/>
        <v>0</v>
      </c>
      <c r="L1166" s="209">
        <f t="shared" si="221"/>
        <v>0</v>
      </c>
      <c r="M1166" s="214">
        <f t="shared" si="222"/>
        <v>0</v>
      </c>
      <c r="N1166" s="211">
        <f t="shared" si="223"/>
        <v>0</v>
      </c>
      <c r="O1166" s="194">
        <f t="shared" si="224"/>
        <v>0</v>
      </c>
      <c r="P1166" s="212">
        <f t="shared" si="225"/>
        <v>0</v>
      </c>
      <c r="Q1166">
        <f t="shared" si="217"/>
        <v>0</v>
      </c>
      <c r="X1166" s="216">
        <f t="shared" si="228"/>
        <v>96</v>
      </c>
      <c r="Y1166">
        <f t="shared" si="226"/>
        <v>0</v>
      </c>
    </row>
    <row r="1167" spans="1:25" ht="13.5" thickBot="1" x14ac:dyDescent="0.25">
      <c r="A1167" s="204">
        <f>IF(MOD(COUNT($A$10:A1166),12)=0,A1166+1,A1166)</f>
        <v>97</v>
      </c>
      <c r="B1167" s="218">
        <f t="shared" si="218"/>
        <v>6</v>
      </c>
      <c r="C1167" s="218">
        <f t="shared" si="219"/>
        <v>1</v>
      </c>
      <c r="D1167" s="208">
        <f>IF(MOD(COUNT($D$10:D1166),6)=0,D1166+1,D1166)</f>
        <v>193</v>
      </c>
      <c r="E1167" s="208">
        <f>IF(MOD(COUNT($E$10:E1166),3)=0,E1166+1,E1166)</f>
        <v>386</v>
      </c>
      <c r="F1167" s="208">
        <f>IF(MOD(COUNT($F$10:F1166),1)=0,F1166+1,F1166)</f>
        <v>1158</v>
      </c>
      <c r="G1167" s="204">
        <f>IFERROR(IF(C1167=1,VLOOKUP(A1167,Output!$A$27:$AB$137,28,FALSE)/AnnuityMode,0),0)</f>
        <v>0</v>
      </c>
      <c r="H1167" s="220">
        <f>IFERROR(IF(AND(MIN(A1167&gt;25,Age+A1167&gt;=85),B1167=12),VLOOKUP(A1167,Output!$A$27:$AE$137,31,FALSE),0),0)</f>
        <v>0</v>
      </c>
      <c r="I1167" s="221">
        <f>IFERROR(IF(AND(MIN(A1167&gt;15,A1167+Age&gt;=70),C1167=1),VLOOKUP(A1167,Output!$A$27:$AF$137,32,FALSE)*VLOOKUP('SV calc_ignore'!A1167,Output!$A$27:$AG$137,33,FALSE)/IF(AnnuityMode=2,2,IF(AnnuityMode=4,4,IF(AnnuityMode=12,12,1))),0),0)</f>
        <v>0</v>
      </c>
      <c r="J1167" s="227">
        <f t="shared" si="220"/>
        <v>0</v>
      </c>
      <c r="K1167" s="213">
        <f t="shared" si="227"/>
        <v>0</v>
      </c>
      <c r="L1167" s="209">
        <f t="shared" si="221"/>
        <v>0</v>
      </c>
      <c r="M1167" s="214">
        <f t="shared" si="222"/>
        <v>0</v>
      </c>
      <c r="N1167" s="211">
        <f t="shared" si="223"/>
        <v>0</v>
      </c>
      <c r="O1167" s="194">
        <f t="shared" si="224"/>
        <v>0</v>
      </c>
      <c r="P1167" s="212">
        <f t="shared" si="225"/>
        <v>0</v>
      </c>
      <c r="Q1167">
        <f t="shared" si="217"/>
        <v>0</v>
      </c>
      <c r="X1167" s="216">
        <f t="shared" si="228"/>
        <v>96</v>
      </c>
      <c r="Y1167">
        <f t="shared" si="226"/>
        <v>0</v>
      </c>
    </row>
    <row r="1168" spans="1:25" ht="13.5" thickBot="1" x14ac:dyDescent="0.25">
      <c r="A1168" s="204">
        <f>IF(MOD(COUNT($A$10:A1167),12)=0,A1167+1,A1167)</f>
        <v>97</v>
      </c>
      <c r="B1168" s="218">
        <f t="shared" si="218"/>
        <v>7</v>
      </c>
      <c r="C1168" s="218">
        <f t="shared" si="219"/>
        <v>1</v>
      </c>
      <c r="D1168" s="208">
        <f>IF(MOD(COUNT($D$10:D1167),6)=0,D1167+1,D1167)</f>
        <v>194</v>
      </c>
      <c r="E1168" s="208">
        <f>IF(MOD(COUNT($E$10:E1167),3)=0,E1167+1,E1167)</f>
        <v>387</v>
      </c>
      <c r="F1168" s="208">
        <f>IF(MOD(COUNT($F$10:F1167),1)=0,F1167+1,F1167)</f>
        <v>1159</v>
      </c>
      <c r="G1168" s="204">
        <f>IFERROR(IF(C1168=1,VLOOKUP(A1168,Output!$A$27:$AB$137,28,FALSE)/AnnuityMode,0),0)</f>
        <v>0</v>
      </c>
      <c r="H1168" s="220">
        <f>IFERROR(IF(AND(MIN(A1168&gt;25,Age+A1168&gt;=85),B1168=12),VLOOKUP(A1168,Output!$A$27:$AE$137,31,FALSE),0),0)</f>
        <v>0</v>
      </c>
      <c r="I1168" s="221">
        <f>IFERROR(IF(AND(MIN(A1168&gt;15,A1168+Age&gt;=70),C1168=1),VLOOKUP(A1168,Output!$A$27:$AF$137,32,FALSE)*VLOOKUP('SV calc_ignore'!A1168,Output!$A$27:$AG$137,33,FALSE)/IF(AnnuityMode=2,2,IF(AnnuityMode=4,4,IF(AnnuityMode=12,12,1))),0),0)</f>
        <v>0</v>
      </c>
      <c r="J1168" s="227">
        <f t="shared" si="220"/>
        <v>0</v>
      </c>
      <c r="K1168" s="213">
        <f t="shared" si="227"/>
        <v>0</v>
      </c>
      <c r="L1168" s="209">
        <f t="shared" si="221"/>
        <v>0</v>
      </c>
      <c r="M1168" s="214">
        <f t="shared" si="222"/>
        <v>0</v>
      </c>
      <c r="N1168" s="211">
        <f t="shared" si="223"/>
        <v>0</v>
      </c>
      <c r="O1168" s="194">
        <f t="shared" si="224"/>
        <v>0</v>
      </c>
      <c r="P1168" s="212">
        <f t="shared" si="225"/>
        <v>0</v>
      </c>
      <c r="Q1168">
        <f t="shared" si="217"/>
        <v>0</v>
      </c>
      <c r="X1168" s="216">
        <f t="shared" si="228"/>
        <v>96</v>
      </c>
      <c r="Y1168">
        <f t="shared" si="226"/>
        <v>0</v>
      </c>
    </row>
    <row r="1169" spans="1:25" ht="13.5" thickBot="1" x14ac:dyDescent="0.25">
      <c r="A1169" s="204">
        <f>IF(MOD(COUNT($A$10:A1168),12)=0,A1168+1,A1168)</f>
        <v>97</v>
      </c>
      <c r="B1169" s="218">
        <f t="shared" si="218"/>
        <v>8</v>
      </c>
      <c r="C1169" s="218">
        <f t="shared" si="219"/>
        <v>1</v>
      </c>
      <c r="D1169" s="208">
        <f>IF(MOD(COUNT($D$10:D1168),6)=0,D1168+1,D1168)</f>
        <v>194</v>
      </c>
      <c r="E1169" s="208">
        <f>IF(MOD(COUNT($E$10:E1168),3)=0,E1168+1,E1168)</f>
        <v>387</v>
      </c>
      <c r="F1169" s="208">
        <f>IF(MOD(COUNT($F$10:F1168),1)=0,F1168+1,F1168)</f>
        <v>1160</v>
      </c>
      <c r="G1169" s="204">
        <f>IFERROR(IF(C1169=1,VLOOKUP(A1169,Output!$A$27:$AB$137,28,FALSE)/AnnuityMode,0),0)</f>
        <v>0</v>
      </c>
      <c r="H1169" s="220">
        <f>IFERROR(IF(AND(MIN(A1169&gt;25,Age+A1169&gt;=85),B1169=12),VLOOKUP(A1169,Output!$A$27:$AE$137,31,FALSE),0),0)</f>
        <v>0</v>
      </c>
      <c r="I1169" s="221">
        <f>IFERROR(IF(AND(MIN(A1169&gt;15,A1169+Age&gt;=70),C1169=1),VLOOKUP(A1169,Output!$A$27:$AF$137,32,FALSE)*VLOOKUP('SV calc_ignore'!A1169,Output!$A$27:$AG$137,33,FALSE)/IF(AnnuityMode=2,2,IF(AnnuityMode=4,4,IF(AnnuityMode=12,12,1))),0),0)</f>
        <v>0</v>
      </c>
      <c r="J1169" s="227">
        <f t="shared" si="220"/>
        <v>0</v>
      </c>
      <c r="K1169" s="213">
        <f t="shared" si="227"/>
        <v>0</v>
      </c>
      <c r="L1169" s="209">
        <f t="shared" si="221"/>
        <v>0</v>
      </c>
      <c r="M1169" s="214">
        <f t="shared" si="222"/>
        <v>0</v>
      </c>
      <c r="N1169" s="211">
        <f t="shared" si="223"/>
        <v>0</v>
      </c>
      <c r="O1169" s="194">
        <f t="shared" si="224"/>
        <v>0</v>
      </c>
      <c r="P1169" s="212">
        <f t="shared" si="225"/>
        <v>0</v>
      </c>
      <c r="Q1169">
        <f t="shared" si="217"/>
        <v>0</v>
      </c>
      <c r="X1169" s="216">
        <f t="shared" si="228"/>
        <v>96</v>
      </c>
      <c r="Y1169">
        <f t="shared" si="226"/>
        <v>0</v>
      </c>
    </row>
    <row r="1170" spans="1:25" ht="13.5" thickBot="1" x14ac:dyDescent="0.25">
      <c r="A1170" s="204">
        <f>IF(MOD(COUNT($A$10:A1169),12)=0,A1169+1,A1169)</f>
        <v>97</v>
      </c>
      <c r="B1170" s="218">
        <f t="shared" si="218"/>
        <v>9</v>
      </c>
      <c r="C1170" s="218">
        <f t="shared" si="219"/>
        <v>1</v>
      </c>
      <c r="D1170" s="208">
        <f>IF(MOD(COUNT($D$10:D1169),6)=0,D1169+1,D1169)</f>
        <v>194</v>
      </c>
      <c r="E1170" s="208">
        <f>IF(MOD(COUNT($E$10:E1169),3)=0,E1169+1,E1169)</f>
        <v>387</v>
      </c>
      <c r="F1170" s="208">
        <f>IF(MOD(COUNT($F$10:F1169),1)=0,F1169+1,F1169)</f>
        <v>1161</v>
      </c>
      <c r="G1170" s="204">
        <f>IFERROR(IF(C1170=1,VLOOKUP(A1170,Output!$A$27:$AB$137,28,FALSE)/AnnuityMode,0),0)</f>
        <v>0</v>
      </c>
      <c r="H1170" s="220">
        <f>IFERROR(IF(AND(MIN(A1170&gt;25,Age+A1170&gt;=85),B1170=12),VLOOKUP(A1170,Output!$A$27:$AE$137,31,FALSE),0),0)</f>
        <v>0</v>
      </c>
      <c r="I1170" s="221">
        <f>IFERROR(IF(AND(MIN(A1170&gt;15,A1170+Age&gt;=70),C1170=1),VLOOKUP(A1170,Output!$A$27:$AF$137,32,FALSE)*VLOOKUP('SV calc_ignore'!A1170,Output!$A$27:$AG$137,33,FALSE)/IF(AnnuityMode=2,2,IF(AnnuityMode=4,4,IF(AnnuityMode=12,12,1))),0),0)</f>
        <v>0</v>
      </c>
      <c r="J1170" s="227">
        <f t="shared" si="220"/>
        <v>0</v>
      </c>
      <c r="K1170" s="213">
        <f t="shared" si="227"/>
        <v>0</v>
      </c>
      <c r="L1170" s="209">
        <f t="shared" si="221"/>
        <v>0</v>
      </c>
      <c r="M1170" s="214">
        <f t="shared" si="222"/>
        <v>0</v>
      </c>
      <c r="N1170" s="211">
        <f t="shared" si="223"/>
        <v>0</v>
      </c>
      <c r="O1170" s="194">
        <f t="shared" si="224"/>
        <v>0</v>
      </c>
      <c r="P1170" s="212">
        <f t="shared" si="225"/>
        <v>0</v>
      </c>
      <c r="Q1170">
        <f t="shared" si="217"/>
        <v>0</v>
      </c>
      <c r="X1170" s="216">
        <f t="shared" si="228"/>
        <v>96</v>
      </c>
      <c r="Y1170">
        <f t="shared" si="226"/>
        <v>0</v>
      </c>
    </row>
    <row r="1171" spans="1:25" ht="13.5" thickBot="1" x14ac:dyDescent="0.25">
      <c r="A1171" s="204">
        <f>IF(MOD(COUNT($A$10:A1170),12)=0,A1170+1,A1170)</f>
        <v>97</v>
      </c>
      <c r="B1171" s="218">
        <f t="shared" si="218"/>
        <v>10</v>
      </c>
      <c r="C1171" s="218">
        <f t="shared" si="219"/>
        <v>1</v>
      </c>
      <c r="D1171" s="208">
        <f>IF(MOD(COUNT($D$10:D1170),6)=0,D1170+1,D1170)</f>
        <v>194</v>
      </c>
      <c r="E1171" s="208">
        <f>IF(MOD(COUNT($E$10:E1170),3)=0,E1170+1,E1170)</f>
        <v>388</v>
      </c>
      <c r="F1171" s="208">
        <f>IF(MOD(COUNT($F$10:F1170),1)=0,F1170+1,F1170)</f>
        <v>1162</v>
      </c>
      <c r="G1171" s="204">
        <f>IFERROR(IF(C1171=1,VLOOKUP(A1171,Output!$A$27:$AB$137,28,FALSE)/AnnuityMode,0),0)</f>
        <v>0</v>
      </c>
      <c r="H1171" s="220">
        <f>IFERROR(IF(AND(MIN(A1171&gt;25,Age+A1171&gt;=85),B1171=12),VLOOKUP(A1171,Output!$A$27:$AE$137,31,FALSE),0),0)</f>
        <v>0</v>
      </c>
      <c r="I1171" s="221">
        <f>IFERROR(IF(AND(MIN(A1171&gt;15,A1171+Age&gt;=70),C1171=1),VLOOKUP(A1171,Output!$A$27:$AF$137,32,FALSE)*VLOOKUP('SV calc_ignore'!A1171,Output!$A$27:$AG$137,33,FALSE)/IF(AnnuityMode=2,2,IF(AnnuityMode=4,4,IF(AnnuityMode=12,12,1))),0),0)</f>
        <v>0</v>
      </c>
      <c r="J1171" s="227">
        <f t="shared" si="220"/>
        <v>0</v>
      </c>
      <c r="K1171" s="213">
        <f t="shared" si="227"/>
        <v>0</v>
      </c>
      <c r="L1171" s="209">
        <f t="shared" si="221"/>
        <v>0</v>
      </c>
      <c r="M1171" s="214">
        <f t="shared" si="222"/>
        <v>0</v>
      </c>
      <c r="N1171" s="211">
        <f t="shared" si="223"/>
        <v>0</v>
      </c>
      <c r="O1171" s="194">
        <f t="shared" si="224"/>
        <v>0</v>
      </c>
      <c r="P1171" s="212">
        <f t="shared" si="225"/>
        <v>0</v>
      </c>
      <c r="Q1171">
        <f t="shared" si="217"/>
        <v>0</v>
      </c>
      <c r="X1171" s="216">
        <f t="shared" si="228"/>
        <v>96</v>
      </c>
      <c r="Y1171">
        <f t="shared" si="226"/>
        <v>0</v>
      </c>
    </row>
    <row r="1172" spans="1:25" ht="13.5" thickBot="1" x14ac:dyDescent="0.25">
      <c r="A1172" s="204">
        <f>IF(MOD(COUNT($A$10:A1171),12)=0,A1171+1,A1171)</f>
        <v>97</v>
      </c>
      <c r="B1172" s="218">
        <f t="shared" si="218"/>
        <v>11</v>
      </c>
      <c r="C1172" s="218">
        <f t="shared" si="219"/>
        <v>1</v>
      </c>
      <c r="D1172" s="208">
        <f>IF(MOD(COUNT($D$10:D1171),6)=0,D1171+1,D1171)</f>
        <v>194</v>
      </c>
      <c r="E1172" s="208">
        <f>IF(MOD(COUNT($E$10:E1171),3)=0,E1171+1,E1171)</f>
        <v>388</v>
      </c>
      <c r="F1172" s="208">
        <f>IF(MOD(COUNT($F$10:F1171),1)=0,F1171+1,F1171)</f>
        <v>1163</v>
      </c>
      <c r="G1172" s="204">
        <f>IFERROR(IF(C1172=1,VLOOKUP(A1172,Output!$A$27:$AB$137,28,FALSE)/AnnuityMode,0),0)</f>
        <v>0</v>
      </c>
      <c r="H1172" s="220">
        <f>IFERROR(IF(AND(MIN(A1172&gt;25,Age+A1172&gt;=85),B1172=12),VLOOKUP(A1172,Output!$A$27:$AE$137,31,FALSE),0),0)</f>
        <v>0</v>
      </c>
      <c r="I1172" s="221">
        <f>IFERROR(IF(AND(MIN(A1172&gt;15,A1172+Age&gt;=70),C1172=1),VLOOKUP(A1172,Output!$A$27:$AF$137,32,FALSE)*VLOOKUP('SV calc_ignore'!A1172,Output!$A$27:$AG$137,33,FALSE)/IF(AnnuityMode=2,2,IF(AnnuityMode=4,4,IF(AnnuityMode=12,12,1))),0),0)</f>
        <v>0</v>
      </c>
      <c r="J1172" s="227">
        <f t="shared" si="220"/>
        <v>0</v>
      </c>
      <c r="K1172" s="213">
        <f t="shared" si="227"/>
        <v>0</v>
      </c>
      <c r="L1172" s="209">
        <f t="shared" si="221"/>
        <v>0</v>
      </c>
      <c r="M1172" s="214">
        <f t="shared" si="222"/>
        <v>0</v>
      </c>
      <c r="N1172" s="211">
        <f t="shared" si="223"/>
        <v>0</v>
      </c>
      <c r="O1172" s="194">
        <f t="shared" si="224"/>
        <v>0</v>
      </c>
      <c r="P1172" s="212">
        <f t="shared" si="225"/>
        <v>0</v>
      </c>
      <c r="Q1172">
        <f t="shared" si="217"/>
        <v>0</v>
      </c>
      <c r="X1172" s="216">
        <f t="shared" si="228"/>
        <v>96</v>
      </c>
      <c r="Y1172">
        <f t="shared" si="226"/>
        <v>0</v>
      </c>
    </row>
    <row r="1173" spans="1:25" ht="13.5" thickBot="1" x14ac:dyDescent="0.25">
      <c r="A1173" s="204">
        <f>IF(MOD(COUNT($A$10:A1172),12)=0,A1172+1,A1172)</f>
        <v>97</v>
      </c>
      <c r="B1173" s="218">
        <f t="shared" si="218"/>
        <v>12</v>
      </c>
      <c r="C1173" s="218">
        <f t="shared" si="219"/>
        <v>1</v>
      </c>
      <c r="D1173" s="208">
        <f>IF(MOD(COUNT($D$10:D1172),6)=0,D1172+1,D1172)</f>
        <v>194</v>
      </c>
      <c r="E1173" s="208">
        <f>IF(MOD(COUNT($E$10:E1172),3)=0,E1172+1,E1172)</f>
        <v>388</v>
      </c>
      <c r="F1173" s="208">
        <f>IF(MOD(COUNT($F$10:F1172),1)=0,F1172+1,F1172)</f>
        <v>1164</v>
      </c>
      <c r="G1173" s="204">
        <f>IFERROR(IF(C1173=1,VLOOKUP(A1173,Output!$A$27:$AB$137,28,FALSE)/AnnuityMode,0),0)</f>
        <v>0</v>
      </c>
      <c r="H1173" s="220">
        <f>IFERROR(IF(AND(MIN(A1173&gt;25,Age+A1173&gt;=85),B1173=12),VLOOKUP(A1173,Output!$A$27:$AE$137,31,FALSE),0),0)</f>
        <v>0</v>
      </c>
      <c r="I1173" s="221">
        <f>IFERROR(IF(AND(MIN(A1173&gt;15,A1173+Age&gt;=70),C1173=1),VLOOKUP(A1173,Output!$A$27:$AF$137,32,FALSE)*VLOOKUP('SV calc_ignore'!A1173,Output!$A$27:$AG$137,33,FALSE)/IF(AnnuityMode=2,2,IF(AnnuityMode=4,4,IF(AnnuityMode=12,12,1))),0),0)</f>
        <v>0</v>
      </c>
      <c r="J1173" s="227">
        <f t="shared" si="220"/>
        <v>0</v>
      </c>
      <c r="K1173" s="213">
        <f t="shared" si="227"/>
        <v>0</v>
      </c>
      <c r="L1173" s="209">
        <f t="shared" si="221"/>
        <v>0</v>
      </c>
      <c r="M1173" s="214">
        <f t="shared" si="222"/>
        <v>0</v>
      </c>
      <c r="N1173" s="211">
        <f t="shared" si="223"/>
        <v>0</v>
      </c>
      <c r="O1173" s="194">
        <f t="shared" si="224"/>
        <v>0</v>
      </c>
      <c r="P1173" s="212">
        <f t="shared" si="225"/>
        <v>0</v>
      </c>
      <c r="Q1173">
        <f t="shared" si="217"/>
        <v>0</v>
      </c>
      <c r="X1173" s="216">
        <f t="shared" si="228"/>
        <v>96</v>
      </c>
      <c r="Y1173">
        <f t="shared" si="226"/>
        <v>0</v>
      </c>
    </row>
    <row r="1174" spans="1:25" ht="13.5" thickBot="1" x14ac:dyDescent="0.25">
      <c r="A1174" s="204">
        <f>IF(MOD(COUNT($A$10:A1173),12)=0,A1173+1,A1173)</f>
        <v>98</v>
      </c>
      <c r="B1174" s="218">
        <f t="shared" si="218"/>
        <v>1</v>
      </c>
      <c r="C1174" s="218">
        <f t="shared" si="219"/>
        <v>1</v>
      </c>
      <c r="D1174" s="208">
        <f>IF(MOD(COUNT($D$10:D1173),6)=0,D1173+1,D1173)</f>
        <v>195</v>
      </c>
      <c r="E1174" s="208">
        <f>IF(MOD(COUNT($E$10:E1173),3)=0,E1173+1,E1173)</f>
        <v>389</v>
      </c>
      <c r="F1174" s="208">
        <f>IF(MOD(COUNT($F$10:F1173),1)=0,F1173+1,F1173)</f>
        <v>1165</v>
      </c>
      <c r="G1174" s="204">
        <f>IFERROR(IF(C1174=1,VLOOKUP(A1174,Output!$A$27:$AB$137,28,FALSE)/AnnuityMode,0),0)</f>
        <v>0</v>
      </c>
      <c r="H1174" s="220">
        <f>IFERROR(IF(AND(MIN(A1174&gt;25,Age+A1174&gt;=85),B1174=12),VLOOKUP(A1174,Output!$A$27:$AE$137,31,FALSE),0),0)</f>
        <v>0</v>
      </c>
      <c r="I1174" s="221">
        <f>IFERROR(IF(AND(MIN(A1174&gt;15,A1174+Age&gt;=70),C1174=1),VLOOKUP(A1174,Output!$A$27:$AF$137,32,FALSE)*VLOOKUP('SV calc_ignore'!A1174,Output!$A$27:$AG$137,33,FALSE)/IF(AnnuityMode=2,2,IF(AnnuityMode=4,4,IF(AnnuityMode=12,12,1))),0),0)</f>
        <v>0</v>
      </c>
      <c r="J1174" s="227">
        <f t="shared" si="220"/>
        <v>0</v>
      </c>
      <c r="K1174" s="213">
        <f t="shared" si="227"/>
        <v>0</v>
      </c>
      <c r="L1174" s="209">
        <f t="shared" si="221"/>
        <v>0</v>
      </c>
      <c r="M1174" s="214">
        <f t="shared" si="222"/>
        <v>0</v>
      </c>
      <c r="N1174" s="211">
        <f t="shared" si="223"/>
        <v>0</v>
      </c>
      <c r="O1174" s="194">
        <f t="shared" si="224"/>
        <v>0</v>
      </c>
      <c r="P1174" s="212">
        <f t="shared" si="225"/>
        <v>0</v>
      </c>
      <c r="Q1174">
        <f t="shared" si="217"/>
        <v>0</v>
      </c>
      <c r="X1174" s="216">
        <f t="shared" si="228"/>
        <v>97</v>
      </c>
      <c r="Y1174">
        <f t="shared" si="226"/>
        <v>0</v>
      </c>
    </row>
    <row r="1175" spans="1:25" ht="13.5" thickBot="1" x14ac:dyDescent="0.25">
      <c r="A1175" s="204">
        <f>IF(MOD(COUNT($A$10:A1174),12)=0,A1174+1,A1174)</f>
        <v>98</v>
      </c>
      <c r="B1175" s="218">
        <f t="shared" si="218"/>
        <v>2</v>
      </c>
      <c r="C1175" s="218">
        <f t="shared" si="219"/>
        <v>1</v>
      </c>
      <c r="D1175" s="208">
        <f>IF(MOD(COUNT($D$10:D1174),6)=0,D1174+1,D1174)</f>
        <v>195</v>
      </c>
      <c r="E1175" s="208">
        <f>IF(MOD(COUNT($E$10:E1174),3)=0,E1174+1,E1174)</f>
        <v>389</v>
      </c>
      <c r="F1175" s="208">
        <f>IF(MOD(COUNT($F$10:F1174),1)=0,F1174+1,F1174)</f>
        <v>1166</v>
      </c>
      <c r="G1175" s="204">
        <f>IFERROR(IF(C1175=1,VLOOKUP(A1175,Output!$A$27:$AB$137,28,FALSE)/AnnuityMode,0),0)</f>
        <v>0</v>
      </c>
      <c r="H1175" s="220">
        <f>IFERROR(IF(AND(MIN(A1175&gt;25,Age+A1175&gt;=85),B1175=12),VLOOKUP(A1175,Output!$A$27:$AE$137,31,FALSE),0),0)</f>
        <v>0</v>
      </c>
      <c r="I1175" s="221">
        <f>IFERROR(IF(AND(MIN(A1175&gt;15,A1175+Age&gt;=70),C1175=1),VLOOKUP(A1175,Output!$A$27:$AF$137,32,FALSE)*VLOOKUP('SV calc_ignore'!A1175,Output!$A$27:$AG$137,33,FALSE)/IF(AnnuityMode=2,2,IF(AnnuityMode=4,4,IF(AnnuityMode=12,12,1))),0),0)</f>
        <v>0</v>
      </c>
      <c r="J1175" s="227">
        <f t="shared" si="220"/>
        <v>0</v>
      </c>
      <c r="K1175" s="213">
        <f t="shared" si="227"/>
        <v>0</v>
      </c>
      <c r="L1175" s="209">
        <f t="shared" si="221"/>
        <v>0</v>
      </c>
      <c r="M1175" s="214">
        <f t="shared" si="222"/>
        <v>0</v>
      </c>
      <c r="N1175" s="211">
        <f t="shared" si="223"/>
        <v>0</v>
      </c>
      <c r="O1175" s="194">
        <f t="shared" si="224"/>
        <v>0</v>
      </c>
      <c r="P1175" s="212">
        <f t="shared" si="225"/>
        <v>0</v>
      </c>
      <c r="Q1175">
        <f t="shared" si="217"/>
        <v>0</v>
      </c>
      <c r="X1175" s="216">
        <f t="shared" si="228"/>
        <v>97</v>
      </c>
      <c r="Y1175">
        <f t="shared" si="226"/>
        <v>0</v>
      </c>
    </row>
    <row r="1176" spans="1:25" ht="13.5" thickBot="1" x14ac:dyDescent="0.25">
      <c r="A1176" s="204">
        <f>IF(MOD(COUNT($A$10:A1175),12)=0,A1175+1,A1175)</f>
        <v>98</v>
      </c>
      <c r="B1176" s="218">
        <f t="shared" si="218"/>
        <v>3</v>
      </c>
      <c r="C1176" s="218">
        <f t="shared" si="219"/>
        <v>1</v>
      </c>
      <c r="D1176" s="208">
        <f>IF(MOD(COUNT($D$10:D1175),6)=0,D1175+1,D1175)</f>
        <v>195</v>
      </c>
      <c r="E1176" s="208">
        <f>IF(MOD(COUNT($E$10:E1175),3)=0,E1175+1,E1175)</f>
        <v>389</v>
      </c>
      <c r="F1176" s="208">
        <f>IF(MOD(COUNT($F$10:F1175),1)=0,F1175+1,F1175)</f>
        <v>1167</v>
      </c>
      <c r="G1176" s="204">
        <f>IFERROR(IF(C1176=1,VLOOKUP(A1176,Output!$A$27:$AB$137,28,FALSE)/AnnuityMode,0),0)</f>
        <v>0</v>
      </c>
      <c r="H1176" s="220">
        <f>IFERROR(IF(AND(MIN(A1176&gt;25,Age+A1176&gt;=85),B1176=12),VLOOKUP(A1176,Output!$A$27:$AE$137,31,FALSE),0),0)</f>
        <v>0</v>
      </c>
      <c r="I1176" s="221">
        <f>IFERROR(IF(AND(MIN(A1176&gt;15,A1176+Age&gt;=70),C1176=1),VLOOKUP(A1176,Output!$A$27:$AF$137,32,FALSE)*VLOOKUP('SV calc_ignore'!A1176,Output!$A$27:$AG$137,33,FALSE)/IF(AnnuityMode=2,2,IF(AnnuityMode=4,4,IF(AnnuityMode=12,12,1))),0),0)</f>
        <v>0</v>
      </c>
      <c r="J1176" s="227">
        <f t="shared" si="220"/>
        <v>0</v>
      </c>
      <c r="K1176" s="213">
        <f t="shared" si="227"/>
        <v>0</v>
      </c>
      <c r="L1176" s="209">
        <f t="shared" si="221"/>
        <v>0</v>
      </c>
      <c r="M1176" s="214">
        <f t="shared" si="222"/>
        <v>0</v>
      </c>
      <c r="N1176" s="211">
        <f t="shared" si="223"/>
        <v>0</v>
      </c>
      <c r="O1176" s="194">
        <f t="shared" si="224"/>
        <v>0</v>
      </c>
      <c r="P1176" s="212">
        <f t="shared" si="225"/>
        <v>0</v>
      </c>
      <c r="Q1176">
        <f t="shared" si="217"/>
        <v>0</v>
      </c>
      <c r="X1176" s="216">
        <f t="shared" si="228"/>
        <v>97</v>
      </c>
      <c r="Y1176">
        <f t="shared" si="226"/>
        <v>0</v>
      </c>
    </row>
    <row r="1177" spans="1:25" ht="13.5" thickBot="1" x14ac:dyDescent="0.25">
      <c r="A1177" s="204">
        <f>IF(MOD(COUNT($A$10:A1176),12)=0,A1176+1,A1176)</f>
        <v>98</v>
      </c>
      <c r="B1177" s="218">
        <f t="shared" si="218"/>
        <v>4</v>
      </c>
      <c r="C1177" s="218">
        <f t="shared" si="219"/>
        <v>1</v>
      </c>
      <c r="D1177" s="208">
        <f>IF(MOD(COUNT($D$10:D1176),6)=0,D1176+1,D1176)</f>
        <v>195</v>
      </c>
      <c r="E1177" s="208">
        <f>IF(MOD(COUNT($E$10:E1176),3)=0,E1176+1,E1176)</f>
        <v>390</v>
      </c>
      <c r="F1177" s="208">
        <f>IF(MOD(COUNT($F$10:F1176),1)=0,F1176+1,F1176)</f>
        <v>1168</v>
      </c>
      <c r="G1177" s="204">
        <f>IFERROR(IF(C1177=1,VLOOKUP(A1177,Output!$A$27:$AB$137,28,FALSE)/AnnuityMode,0),0)</f>
        <v>0</v>
      </c>
      <c r="H1177" s="220">
        <f>IFERROR(IF(AND(MIN(A1177&gt;25,Age+A1177&gt;=85),B1177=12),VLOOKUP(A1177,Output!$A$27:$AE$137,31,FALSE),0),0)</f>
        <v>0</v>
      </c>
      <c r="I1177" s="221">
        <f>IFERROR(IF(AND(MIN(A1177&gt;15,A1177+Age&gt;=70),C1177=1),VLOOKUP(A1177,Output!$A$27:$AF$137,32,FALSE)*VLOOKUP('SV calc_ignore'!A1177,Output!$A$27:$AG$137,33,FALSE)/IF(AnnuityMode=2,2,IF(AnnuityMode=4,4,IF(AnnuityMode=12,12,1))),0),0)</f>
        <v>0</v>
      </c>
      <c r="J1177" s="227">
        <f t="shared" si="220"/>
        <v>0</v>
      </c>
      <c r="K1177" s="213">
        <f t="shared" si="227"/>
        <v>0</v>
      </c>
      <c r="L1177" s="209">
        <f t="shared" si="221"/>
        <v>0</v>
      </c>
      <c r="M1177" s="214">
        <f t="shared" si="222"/>
        <v>0</v>
      </c>
      <c r="N1177" s="211">
        <f t="shared" si="223"/>
        <v>0</v>
      </c>
      <c r="O1177" s="194">
        <f t="shared" si="224"/>
        <v>0</v>
      </c>
      <c r="P1177" s="212">
        <f t="shared" si="225"/>
        <v>0</v>
      </c>
      <c r="Q1177">
        <f t="shared" si="217"/>
        <v>0</v>
      </c>
      <c r="X1177" s="216">
        <f t="shared" si="228"/>
        <v>97</v>
      </c>
      <c r="Y1177">
        <f t="shared" si="226"/>
        <v>0</v>
      </c>
    </row>
    <row r="1178" spans="1:25" ht="13.5" thickBot="1" x14ac:dyDescent="0.25">
      <c r="A1178" s="204">
        <f>IF(MOD(COUNT($A$10:A1177),12)=0,A1177+1,A1177)</f>
        <v>98</v>
      </c>
      <c r="B1178" s="218">
        <f t="shared" si="218"/>
        <v>5</v>
      </c>
      <c r="C1178" s="218">
        <f t="shared" si="219"/>
        <v>1</v>
      </c>
      <c r="D1178" s="208">
        <f>IF(MOD(COUNT($D$10:D1177),6)=0,D1177+1,D1177)</f>
        <v>195</v>
      </c>
      <c r="E1178" s="208">
        <f>IF(MOD(COUNT($E$10:E1177),3)=0,E1177+1,E1177)</f>
        <v>390</v>
      </c>
      <c r="F1178" s="208">
        <f>IF(MOD(COUNT($F$10:F1177),1)=0,F1177+1,F1177)</f>
        <v>1169</v>
      </c>
      <c r="G1178" s="204">
        <f>IFERROR(IF(C1178=1,VLOOKUP(A1178,Output!$A$27:$AB$137,28,FALSE)/AnnuityMode,0),0)</f>
        <v>0</v>
      </c>
      <c r="H1178" s="220">
        <f>IFERROR(IF(AND(MIN(A1178&gt;25,Age+A1178&gt;=85),B1178=12),VLOOKUP(A1178,Output!$A$27:$AE$137,31,FALSE),0),0)</f>
        <v>0</v>
      </c>
      <c r="I1178" s="221">
        <f>IFERROR(IF(AND(MIN(A1178&gt;15,A1178+Age&gt;=70),C1178=1),VLOOKUP(A1178,Output!$A$27:$AF$137,32,FALSE)*VLOOKUP('SV calc_ignore'!A1178,Output!$A$27:$AG$137,33,FALSE)/IF(AnnuityMode=2,2,IF(AnnuityMode=4,4,IF(AnnuityMode=12,12,1))),0),0)</f>
        <v>0</v>
      </c>
      <c r="J1178" s="227">
        <f t="shared" si="220"/>
        <v>0</v>
      </c>
      <c r="K1178" s="213">
        <f t="shared" si="227"/>
        <v>0</v>
      </c>
      <c r="L1178" s="209">
        <f t="shared" si="221"/>
        <v>0</v>
      </c>
      <c r="M1178" s="214">
        <f t="shared" si="222"/>
        <v>0</v>
      </c>
      <c r="N1178" s="211">
        <f t="shared" si="223"/>
        <v>0</v>
      </c>
      <c r="O1178" s="194">
        <f t="shared" si="224"/>
        <v>0</v>
      </c>
      <c r="P1178" s="212">
        <f t="shared" si="225"/>
        <v>0</v>
      </c>
      <c r="Q1178">
        <f t="shared" si="217"/>
        <v>0</v>
      </c>
      <c r="X1178" s="216">
        <f t="shared" si="228"/>
        <v>97</v>
      </c>
      <c r="Y1178">
        <f t="shared" si="226"/>
        <v>0</v>
      </c>
    </row>
    <row r="1179" spans="1:25" ht="13.5" thickBot="1" x14ac:dyDescent="0.25">
      <c r="A1179" s="204">
        <f>IF(MOD(COUNT($A$10:A1178),12)=0,A1178+1,A1178)</f>
        <v>98</v>
      </c>
      <c r="B1179" s="218">
        <f t="shared" si="218"/>
        <v>6</v>
      </c>
      <c r="C1179" s="218">
        <f t="shared" si="219"/>
        <v>1</v>
      </c>
      <c r="D1179" s="208">
        <f>IF(MOD(COUNT($D$10:D1178),6)=0,D1178+1,D1178)</f>
        <v>195</v>
      </c>
      <c r="E1179" s="208">
        <f>IF(MOD(COUNT($E$10:E1178),3)=0,E1178+1,E1178)</f>
        <v>390</v>
      </c>
      <c r="F1179" s="208">
        <f>IF(MOD(COUNT($F$10:F1178),1)=0,F1178+1,F1178)</f>
        <v>1170</v>
      </c>
      <c r="G1179" s="204">
        <f>IFERROR(IF(C1179=1,VLOOKUP(A1179,Output!$A$27:$AB$137,28,FALSE)/AnnuityMode,0),0)</f>
        <v>0</v>
      </c>
      <c r="H1179" s="220">
        <f>IFERROR(IF(AND(MIN(A1179&gt;25,Age+A1179&gt;=85),B1179=12),VLOOKUP(A1179,Output!$A$27:$AE$137,31,FALSE),0),0)</f>
        <v>0</v>
      </c>
      <c r="I1179" s="221">
        <f>IFERROR(IF(AND(MIN(A1179&gt;15,A1179+Age&gt;=70),C1179=1),VLOOKUP(A1179,Output!$A$27:$AF$137,32,FALSE)*VLOOKUP('SV calc_ignore'!A1179,Output!$A$27:$AG$137,33,FALSE)/IF(AnnuityMode=2,2,IF(AnnuityMode=4,4,IF(AnnuityMode=12,12,1))),0),0)</f>
        <v>0</v>
      </c>
      <c r="J1179" s="227">
        <f t="shared" si="220"/>
        <v>0</v>
      </c>
      <c r="K1179" s="213">
        <f t="shared" si="227"/>
        <v>0</v>
      </c>
      <c r="L1179" s="209">
        <f t="shared" si="221"/>
        <v>0</v>
      </c>
      <c r="M1179" s="214">
        <f t="shared" si="222"/>
        <v>0</v>
      </c>
      <c r="N1179" s="211">
        <f t="shared" si="223"/>
        <v>0</v>
      </c>
      <c r="O1179" s="194">
        <f t="shared" si="224"/>
        <v>0</v>
      </c>
      <c r="P1179" s="212">
        <f t="shared" si="225"/>
        <v>0</v>
      </c>
      <c r="Q1179">
        <f t="shared" si="217"/>
        <v>0</v>
      </c>
      <c r="X1179" s="216">
        <f t="shared" si="228"/>
        <v>97</v>
      </c>
      <c r="Y1179">
        <f t="shared" si="226"/>
        <v>0</v>
      </c>
    </row>
    <row r="1180" spans="1:25" ht="13.5" thickBot="1" x14ac:dyDescent="0.25">
      <c r="A1180" s="204">
        <f>IF(MOD(COUNT($A$10:A1179),12)=0,A1179+1,A1179)</f>
        <v>98</v>
      </c>
      <c r="B1180" s="218">
        <f t="shared" si="218"/>
        <v>7</v>
      </c>
      <c r="C1180" s="218">
        <f t="shared" si="219"/>
        <v>1</v>
      </c>
      <c r="D1180" s="208">
        <f>IF(MOD(COUNT($D$10:D1179),6)=0,D1179+1,D1179)</f>
        <v>196</v>
      </c>
      <c r="E1180" s="208">
        <f>IF(MOD(COUNT($E$10:E1179),3)=0,E1179+1,E1179)</f>
        <v>391</v>
      </c>
      <c r="F1180" s="208">
        <f>IF(MOD(COUNT($F$10:F1179),1)=0,F1179+1,F1179)</f>
        <v>1171</v>
      </c>
      <c r="G1180" s="204">
        <f>IFERROR(IF(C1180=1,VLOOKUP(A1180,Output!$A$27:$AB$137,28,FALSE)/AnnuityMode,0),0)</f>
        <v>0</v>
      </c>
      <c r="H1180" s="220">
        <f>IFERROR(IF(AND(MIN(A1180&gt;25,Age+A1180&gt;=85),B1180=12),VLOOKUP(A1180,Output!$A$27:$AE$137,31,FALSE),0),0)</f>
        <v>0</v>
      </c>
      <c r="I1180" s="221">
        <f>IFERROR(IF(AND(MIN(A1180&gt;15,A1180+Age&gt;=70),C1180=1),VLOOKUP(A1180,Output!$A$27:$AF$137,32,FALSE)*VLOOKUP('SV calc_ignore'!A1180,Output!$A$27:$AG$137,33,FALSE)/IF(AnnuityMode=2,2,IF(AnnuityMode=4,4,IF(AnnuityMode=12,12,1))),0),0)</f>
        <v>0</v>
      </c>
      <c r="J1180" s="227">
        <f t="shared" si="220"/>
        <v>0</v>
      </c>
      <c r="K1180" s="213">
        <f t="shared" si="227"/>
        <v>0</v>
      </c>
      <c r="L1180" s="209">
        <f t="shared" si="221"/>
        <v>0</v>
      </c>
      <c r="M1180" s="214">
        <f t="shared" si="222"/>
        <v>0</v>
      </c>
      <c r="N1180" s="211">
        <f t="shared" si="223"/>
        <v>0</v>
      </c>
      <c r="O1180" s="194">
        <f t="shared" si="224"/>
        <v>0</v>
      </c>
      <c r="P1180" s="212">
        <f t="shared" si="225"/>
        <v>0</v>
      </c>
      <c r="Q1180">
        <f t="shared" si="217"/>
        <v>0</v>
      </c>
      <c r="X1180" s="216">
        <f t="shared" si="228"/>
        <v>97</v>
      </c>
      <c r="Y1180">
        <f t="shared" si="226"/>
        <v>0</v>
      </c>
    </row>
    <row r="1181" spans="1:25" ht="13.5" thickBot="1" x14ac:dyDescent="0.25">
      <c r="A1181" s="204">
        <f>IF(MOD(COUNT($A$10:A1180),12)=0,A1180+1,A1180)</f>
        <v>98</v>
      </c>
      <c r="B1181" s="218">
        <f t="shared" si="218"/>
        <v>8</v>
      </c>
      <c r="C1181" s="218">
        <f t="shared" si="219"/>
        <v>1</v>
      </c>
      <c r="D1181" s="208">
        <f>IF(MOD(COUNT($D$10:D1180),6)=0,D1180+1,D1180)</f>
        <v>196</v>
      </c>
      <c r="E1181" s="208">
        <f>IF(MOD(COUNT($E$10:E1180),3)=0,E1180+1,E1180)</f>
        <v>391</v>
      </c>
      <c r="F1181" s="208">
        <f>IF(MOD(COUNT($F$10:F1180),1)=0,F1180+1,F1180)</f>
        <v>1172</v>
      </c>
      <c r="G1181" s="204">
        <f>IFERROR(IF(C1181=1,VLOOKUP(A1181,Output!$A$27:$AB$137,28,FALSE)/AnnuityMode,0),0)</f>
        <v>0</v>
      </c>
      <c r="H1181" s="220">
        <f>IFERROR(IF(AND(MIN(A1181&gt;25,Age+A1181&gt;=85),B1181=12),VLOOKUP(A1181,Output!$A$27:$AE$137,31,FALSE),0),0)</f>
        <v>0</v>
      </c>
      <c r="I1181" s="221">
        <f>IFERROR(IF(AND(MIN(A1181&gt;15,A1181+Age&gt;=70),C1181=1),VLOOKUP(A1181,Output!$A$27:$AF$137,32,FALSE)*VLOOKUP('SV calc_ignore'!A1181,Output!$A$27:$AG$137,33,FALSE)/IF(AnnuityMode=2,2,IF(AnnuityMode=4,4,IF(AnnuityMode=12,12,1))),0),0)</f>
        <v>0</v>
      </c>
      <c r="J1181" s="227">
        <f t="shared" si="220"/>
        <v>0</v>
      </c>
      <c r="K1181" s="213">
        <f t="shared" si="227"/>
        <v>0</v>
      </c>
      <c r="L1181" s="209">
        <f t="shared" si="221"/>
        <v>0</v>
      </c>
      <c r="M1181" s="214">
        <f t="shared" si="222"/>
        <v>0</v>
      </c>
      <c r="N1181" s="211">
        <f t="shared" si="223"/>
        <v>0</v>
      </c>
      <c r="O1181" s="194">
        <f t="shared" si="224"/>
        <v>0</v>
      </c>
      <c r="P1181" s="212">
        <f t="shared" si="225"/>
        <v>0</v>
      </c>
      <c r="Q1181">
        <f t="shared" si="217"/>
        <v>0</v>
      </c>
      <c r="X1181" s="216">
        <f t="shared" si="228"/>
        <v>97</v>
      </c>
      <c r="Y1181">
        <f t="shared" si="226"/>
        <v>0</v>
      </c>
    </row>
    <row r="1182" spans="1:25" ht="13.5" thickBot="1" x14ac:dyDescent="0.25">
      <c r="A1182" s="204">
        <f>IF(MOD(COUNT($A$10:A1181),12)=0,A1181+1,A1181)</f>
        <v>98</v>
      </c>
      <c r="B1182" s="218">
        <f t="shared" si="218"/>
        <v>9</v>
      </c>
      <c r="C1182" s="218">
        <f t="shared" si="219"/>
        <v>1</v>
      </c>
      <c r="D1182" s="208">
        <f>IF(MOD(COUNT($D$10:D1181),6)=0,D1181+1,D1181)</f>
        <v>196</v>
      </c>
      <c r="E1182" s="208">
        <f>IF(MOD(COUNT($E$10:E1181),3)=0,E1181+1,E1181)</f>
        <v>391</v>
      </c>
      <c r="F1182" s="208">
        <f>IF(MOD(COUNT($F$10:F1181),1)=0,F1181+1,F1181)</f>
        <v>1173</v>
      </c>
      <c r="G1182" s="204">
        <f>IFERROR(IF(C1182=1,VLOOKUP(A1182,Output!$A$27:$AB$137,28,FALSE)/AnnuityMode,0),0)</f>
        <v>0</v>
      </c>
      <c r="H1182" s="220">
        <f>IFERROR(IF(AND(MIN(A1182&gt;25,Age+A1182&gt;=85),B1182=12),VLOOKUP(A1182,Output!$A$27:$AE$137,31,FALSE),0),0)</f>
        <v>0</v>
      </c>
      <c r="I1182" s="221">
        <f>IFERROR(IF(AND(MIN(A1182&gt;15,A1182+Age&gt;=70),C1182=1),VLOOKUP(A1182,Output!$A$27:$AF$137,32,FALSE)*VLOOKUP('SV calc_ignore'!A1182,Output!$A$27:$AG$137,33,FALSE)/IF(AnnuityMode=2,2,IF(AnnuityMode=4,4,IF(AnnuityMode=12,12,1))),0),0)</f>
        <v>0</v>
      </c>
      <c r="J1182" s="227">
        <f t="shared" si="220"/>
        <v>0</v>
      </c>
      <c r="K1182" s="213">
        <f t="shared" si="227"/>
        <v>0</v>
      </c>
      <c r="L1182" s="209">
        <f t="shared" si="221"/>
        <v>0</v>
      </c>
      <c r="M1182" s="214">
        <f t="shared" si="222"/>
        <v>0</v>
      </c>
      <c r="N1182" s="211">
        <f t="shared" si="223"/>
        <v>0</v>
      </c>
      <c r="O1182" s="194">
        <f t="shared" si="224"/>
        <v>0</v>
      </c>
      <c r="P1182" s="212">
        <f t="shared" si="225"/>
        <v>0</v>
      </c>
      <c r="Q1182">
        <f t="shared" si="217"/>
        <v>0</v>
      </c>
      <c r="X1182" s="216">
        <f t="shared" si="228"/>
        <v>97</v>
      </c>
      <c r="Y1182">
        <f t="shared" si="226"/>
        <v>0</v>
      </c>
    </row>
    <row r="1183" spans="1:25" ht="13.5" thickBot="1" x14ac:dyDescent="0.25">
      <c r="A1183" s="204">
        <f>IF(MOD(COUNT($A$10:A1182),12)=0,A1182+1,A1182)</f>
        <v>98</v>
      </c>
      <c r="B1183" s="218">
        <f t="shared" si="218"/>
        <v>10</v>
      </c>
      <c r="C1183" s="218">
        <f t="shared" si="219"/>
        <v>1</v>
      </c>
      <c r="D1183" s="208">
        <f>IF(MOD(COUNT($D$10:D1182),6)=0,D1182+1,D1182)</f>
        <v>196</v>
      </c>
      <c r="E1183" s="208">
        <f>IF(MOD(COUNT($E$10:E1182),3)=0,E1182+1,E1182)</f>
        <v>392</v>
      </c>
      <c r="F1183" s="208">
        <f>IF(MOD(COUNT($F$10:F1182),1)=0,F1182+1,F1182)</f>
        <v>1174</v>
      </c>
      <c r="G1183" s="204">
        <f>IFERROR(IF(C1183=1,VLOOKUP(A1183,Output!$A$27:$AB$137,28,FALSE)/AnnuityMode,0),0)</f>
        <v>0</v>
      </c>
      <c r="H1183" s="220">
        <f>IFERROR(IF(AND(MIN(A1183&gt;25,Age+A1183&gt;=85),B1183=12),VLOOKUP(A1183,Output!$A$27:$AE$137,31,FALSE),0),0)</f>
        <v>0</v>
      </c>
      <c r="I1183" s="221">
        <f>IFERROR(IF(AND(MIN(A1183&gt;15,A1183+Age&gt;=70),C1183=1),VLOOKUP(A1183,Output!$A$27:$AF$137,32,FALSE)*VLOOKUP('SV calc_ignore'!A1183,Output!$A$27:$AG$137,33,FALSE)/IF(AnnuityMode=2,2,IF(AnnuityMode=4,4,IF(AnnuityMode=12,12,1))),0),0)</f>
        <v>0</v>
      </c>
      <c r="J1183" s="227">
        <f t="shared" si="220"/>
        <v>0</v>
      </c>
      <c r="K1183" s="213">
        <f t="shared" si="227"/>
        <v>0</v>
      </c>
      <c r="L1183" s="209">
        <f t="shared" si="221"/>
        <v>0</v>
      </c>
      <c r="M1183" s="214">
        <f t="shared" si="222"/>
        <v>0</v>
      </c>
      <c r="N1183" s="211">
        <f t="shared" si="223"/>
        <v>0</v>
      </c>
      <c r="O1183" s="194">
        <f t="shared" si="224"/>
        <v>0</v>
      </c>
      <c r="P1183" s="212">
        <f t="shared" si="225"/>
        <v>0</v>
      </c>
      <c r="Q1183">
        <f t="shared" si="217"/>
        <v>0</v>
      </c>
      <c r="X1183" s="216">
        <f t="shared" si="228"/>
        <v>97</v>
      </c>
      <c r="Y1183">
        <f t="shared" si="226"/>
        <v>0</v>
      </c>
    </row>
    <row r="1184" spans="1:25" ht="13.5" thickBot="1" x14ac:dyDescent="0.25">
      <c r="A1184" s="204">
        <f>IF(MOD(COUNT($A$10:A1183),12)=0,A1183+1,A1183)</f>
        <v>98</v>
      </c>
      <c r="B1184" s="218">
        <f t="shared" si="218"/>
        <v>11</v>
      </c>
      <c r="C1184" s="218">
        <f t="shared" si="219"/>
        <v>1</v>
      </c>
      <c r="D1184" s="208">
        <f>IF(MOD(COUNT($D$10:D1183),6)=0,D1183+1,D1183)</f>
        <v>196</v>
      </c>
      <c r="E1184" s="208">
        <f>IF(MOD(COUNT($E$10:E1183),3)=0,E1183+1,E1183)</f>
        <v>392</v>
      </c>
      <c r="F1184" s="208">
        <f>IF(MOD(COUNT($F$10:F1183),1)=0,F1183+1,F1183)</f>
        <v>1175</v>
      </c>
      <c r="G1184" s="204">
        <f>IFERROR(IF(C1184=1,VLOOKUP(A1184,Output!$A$27:$AB$137,28,FALSE)/AnnuityMode,0),0)</f>
        <v>0</v>
      </c>
      <c r="H1184" s="220">
        <f>IFERROR(IF(AND(MIN(A1184&gt;25,Age+A1184&gt;=85),B1184=12),VLOOKUP(A1184,Output!$A$27:$AE$137,31,FALSE),0),0)</f>
        <v>0</v>
      </c>
      <c r="I1184" s="221">
        <f>IFERROR(IF(AND(MIN(A1184&gt;15,A1184+Age&gt;=70),C1184=1),VLOOKUP(A1184,Output!$A$27:$AF$137,32,FALSE)*VLOOKUP('SV calc_ignore'!A1184,Output!$A$27:$AG$137,33,FALSE)/IF(AnnuityMode=2,2,IF(AnnuityMode=4,4,IF(AnnuityMode=12,12,1))),0),0)</f>
        <v>0</v>
      </c>
      <c r="J1184" s="227">
        <f t="shared" si="220"/>
        <v>0</v>
      </c>
      <c r="K1184" s="213">
        <f t="shared" si="227"/>
        <v>0</v>
      </c>
      <c r="L1184" s="209">
        <f t="shared" si="221"/>
        <v>0</v>
      </c>
      <c r="M1184" s="214">
        <f t="shared" si="222"/>
        <v>0</v>
      </c>
      <c r="N1184" s="211">
        <f t="shared" si="223"/>
        <v>0</v>
      </c>
      <c r="O1184" s="194">
        <f t="shared" si="224"/>
        <v>0</v>
      </c>
      <c r="P1184" s="212">
        <f t="shared" si="225"/>
        <v>0</v>
      </c>
      <c r="Q1184">
        <f t="shared" si="217"/>
        <v>0</v>
      </c>
      <c r="X1184" s="216">
        <f t="shared" si="228"/>
        <v>97</v>
      </c>
      <c r="Y1184">
        <f t="shared" si="226"/>
        <v>0</v>
      </c>
    </row>
    <row r="1185" spans="1:25" ht="13.5" thickBot="1" x14ac:dyDescent="0.25">
      <c r="A1185" s="204">
        <f>IF(MOD(COUNT($A$10:A1184),12)=0,A1184+1,A1184)</f>
        <v>98</v>
      </c>
      <c r="B1185" s="218">
        <f t="shared" si="218"/>
        <v>12</v>
      </c>
      <c r="C1185" s="218">
        <f t="shared" si="219"/>
        <v>1</v>
      </c>
      <c r="D1185" s="208">
        <f>IF(MOD(COUNT($D$10:D1184),6)=0,D1184+1,D1184)</f>
        <v>196</v>
      </c>
      <c r="E1185" s="208">
        <f>IF(MOD(COUNT($E$10:E1184),3)=0,E1184+1,E1184)</f>
        <v>392</v>
      </c>
      <c r="F1185" s="208">
        <f>IF(MOD(COUNT($F$10:F1184),1)=0,F1184+1,F1184)</f>
        <v>1176</v>
      </c>
      <c r="G1185" s="204">
        <f>IFERROR(IF(C1185=1,VLOOKUP(A1185,Output!$A$27:$AB$137,28,FALSE)/AnnuityMode,0),0)</f>
        <v>0</v>
      </c>
      <c r="H1185" s="220">
        <f>IFERROR(IF(AND(MIN(A1185&gt;25,Age+A1185&gt;=85),B1185=12),VLOOKUP(A1185,Output!$A$27:$AE$137,31,FALSE),0),0)</f>
        <v>0</v>
      </c>
      <c r="I1185" s="221">
        <f>IFERROR(IF(AND(MIN(A1185&gt;15,A1185+Age&gt;=70),C1185=1),VLOOKUP(A1185,Output!$A$27:$AF$137,32,FALSE)*VLOOKUP('SV calc_ignore'!A1185,Output!$A$27:$AG$137,33,FALSE)/IF(AnnuityMode=2,2,IF(AnnuityMode=4,4,IF(AnnuityMode=12,12,1))),0),0)</f>
        <v>0</v>
      </c>
      <c r="J1185" s="227">
        <f t="shared" si="220"/>
        <v>0</v>
      </c>
      <c r="K1185" s="213">
        <f t="shared" si="227"/>
        <v>0</v>
      </c>
      <c r="L1185" s="209">
        <f t="shared" si="221"/>
        <v>0</v>
      </c>
      <c r="M1185" s="214">
        <f t="shared" si="222"/>
        <v>0</v>
      </c>
      <c r="N1185" s="211">
        <f t="shared" si="223"/>
        <v>0</v>
      </c>
      <c r="O1185" s="194">
        <f t="shared" si="224"/>
        <v>0</v>
      </c>
      <c r="P1185" s="212">
        <f t="shared" si="225"/>
        <v>0</v>
      </c>
      <c r="Q1185">
        <f t="shared" si="217"/>
        <v>0</v>
      </c>
      <c r="X1185" s="216">
        <f t="shared" si="228"/>
        <v>97</v>
      </c>
      <c r="Y1185">
        <f t="shared" si="226"/>
        <v>0</v>
      </c>
    </row>
    <row r="1186" spans="1:25" ht="13.5" thickBot="1" x14ac:dyDescent="0.25">
      <c r="A1186" s="204">
        <f>IF(MOD(COUNT($A$10:A1185),12)=0,A1185+1,A1185)</f>
        <v>99</v>
      </c>
      <c r="B1186" s="218">
        <f t="shared" si="218"/>
        <v>1</v>
      </c>
      <c r="C1186" s="218">
        <f t="shared" si="219"/>
        <v>1</v>
      </c>
      <c r="D1186" s="208">
        <f>IF(MOD(COUNT($D$10:D1185),6)=0,D1185+1,D1185)</f>
        <v>197</v>
      </c>
      <c r="E1186" s="208">
        <f>IF(MOD(COUNT($E$10:E1185),3)=0,E1185+1,E1185)</f>
        <v>393</v>
      </c>
      <c r="F1186" s="208">
        <f>IF(MOD(COUNT($F$10:F1185),1)=0,F1185+1,F1185)</f>
        <v>1177</v>
      </c>
      <c r="G1186" s="204">
        <f>IFERROR(IF(C1186=1,VLOOKUP(A1186,Output!$A$27:$AB$137,28,FALSE)/AnnuityMode,0),0)</f>
        <v>0</v>
      </c>
      <c r="H1186" s="220">
        <f>IFERROR(IF(AND(MIN(A1186&gt;25,Age+A1186&gt;=85),B1186=12),VLOOKUP(A1186,Output!$A$27:$AE$137,31,FALSE),0),0)</f>
        <v>0</v>
      </c>
      <c r="I1186" s="221">
        <f>IFERROR(IF(AND(MIN(A1186&gt;15,A1186+Age&gt;=70),C1186=1),VLOOKUP(A1186,Output!$A$27:$AF$137,32,FALSE)*VLOOKUP('SV calc_ignore'!A1186,Output!$A$27:$AG$137,33,FALSE)/IF(AnnuityMode=2,2,IF(AnnuityMode=4,4,IF(AnnuityMode=12,12,1))),0),0)</f>
        <v>0</v>
      </c>
      <c r="J1186" s="227">
        <f t="shared" si="220"/>
        <v>0</v>
      </c>
      <c r="K1186" s="213">
        <f t="shared" si="227"/>
        <v>0</v>
      </c>
      <c r="L1186" s="209">
        <f t="shared" si="221"/>
        <v>0</v>
      </c>
      <c r="M1186" s="214">
        <f t="shared" si="222"/>
        <v>0</v>
      </c>
      <c r="N1186" s="211">
        <f t="shared" si="223"/>
        <v>0</v>
      </c>
      <c r="O1186" s="194">
        <f t="shared" si="224"/>
        <v>0</v>
      </c>
      <c r="P1186" s="212">
        <f t="shared" si="225"/>
        <v>0</v>
      </c>
      <c r="Q1186">
        <f t="shared" si="217"/>
        <v>0</v>
      </c>
      <c r="X1186" s="216">
        <f t="shared" si="228"/>
        <v>98</v>
      </c>
      <c r="Y1186">
        <f t="shared" si="226"/>
        <v>0</v>
      </c>
    </row>
    <row r="1187" spans="1:25" ht="13.5" thickBot="1" x14ac:dyDescent="0.25">
      <c r="A1187" s="204">
        <f>IF(MOD(COUNT($A$10:A1186),12)=0,A1186+1,A1186)</f>
        <v>99</v>
      </c>
      <c r="B1187" s="218">
        <f t="shared" si="218"/>
        <v>2</v>
      </c>
      <c r="C1187" s="218">
        <f t="shared" si="219"/>
        <v>1</v>
      </c>
      <c r="D1187" s="208">
        <f>IF(MOD(COUNT($D$10:D1186),6)=0,D1186+1,D1186)</f>
        <v>197</v>
      </c>
      <c r="E1187" s="208">
        <f>IF(MOD(COUNT($E$10:E1186),3)=0,E1186+1,E1186)</f>
        <v>393</v>
      </c>
      <c r="F1187" s="208">
        <f>IF(MOD(COUNT($F$10:F1186),1)=0,F1186+1,F1186)</f>
        <v>1178</v>
      </c>
      <c r="G1187" s="204">
        <f>IFERROR(IF(C1187=1,VLOOKUP(A1187,Output!$A$27:$AB$137,28,FALSE)/AnnuityMode,0),0)</f>
        <v>0</v>
      </c>
      <c r="H1187" s="220">
        <f>IFERROR(IF(AND(MIN(A1187&gt;25,Age+A1187&gt;=85),B1187=12),VLOOKUP(A1187,Output!$A$27:$AE$137,31,FALSE),0),0)</f>
        <v>0</v>
      </c>
      <c r="I1187" s="221">
        <f>IFERROR(IF(AND(MIN(A1187&gt;15,A1187+Age&gt;=70),C1187=1),VLOOKUP(A1187,Output!$A$27:$AF$137,32,FALSE)*VLOOKUP('SV calc_ignore'!A1187,Output!$A$27:$AG$137,33,FALSE)/IF(AnnuityMode=2,2,IF(AnnuityMode=4,4,IF(AnnuityMode=12,12,1))),0),0)</f>
        <v>0</v>
      </c>
      <c r="J1187" s="227">
        <f t="shared" si="220"/>
        <v>0</v>
      </c>
      <c r="K1187" s="213">
        <f t="shared" si="227"/>
        <v>0</v>
      </c>
      <c r="L1187" s="209">
        <f t="shared" si="221"/>
        <v>0</v>
      </c>
      <c r="M1187" s="214">
        <f t="shared" si="222"/>
        <v>0</v>
      </c>
      <c r="N1187" s="211">
        <f t="shared" si="223"/>
        <v>0</v>
      </c>
      <c r="O1187" s="194">
        <f t="shared" si="224"/>
        <v>0</v>
      </c>
      <c r="P1187" s="212">
        <f t="shared" si="225"/>
        <v>0</v>
      </c>
      <c r="Q1187">
        <f t="shared" si="217"/>
        <v>0</v>
      </c>
      <c r="X1187" s="216">
        <f t="shared" si="228"/>
        <v>98</v>
      </c>
      <c r="Y1187">
        <f t="shared" si="226"/>
        <v>0</v>
      </c>
    </row>
    <row r="1188" spans="1:25" ht="13.5" thickBot="1" x14ac:dyDescent="0.25">
      <c r="A1188" s="204">
        <f>IF(MOD(COUNT($A$10:A1187),12)=0,A1187+1,A1187)</f>
        <v>99</v>
      </c>
      <c r="B1188" s="218">
        <f t="shared" si="218"/>
        <v>3</v>
      </c>
      <c r="C1188" s="218">
        <f t="shared" si="219"/>
        <v>1</v>
      </c>
      <c r="D1188" s="208">
        <f>IF(MOD(COUNT($D$10:D1187),6)=0,D1187+1,D1187)</f>
        <v>197</v>
      </c>
      <c r="E1188" s="208">
        <f>IF(MOD(COUNT($E$10:E1187),3)=0,E1187+1,E1187)</f>
        <v>393</v>
      </c>
      <c r="F1188" s="208">
        <f>IF(MOD(COUNT($F$10:F1187),1)=0,F1187+1,F1187)</f>
        <v>1179</v>
      </c>
      <c r="G1188" s="204">
        <f>IFERROR(IF(C1188=1,VLOOKUP(A1188,Output!$A$27:$AB$137,28,FALSE)/AnnuityMode,0),0)</f>
        <v>0</v>
      </c>
      <c r="H1188" s="220">
        <f>IFERROR(IF(AND(MIN(A1188&gt;25,Age+A1188&gt;=85),B1188=12),VLOOKUP(A1188,Output!$A$27:$AE$137,31,FALSE),0),0)</f>
        <v>0</v>
      </c>
      <c r="I1188" s="221">
        <f>IFERROR(IF(AND(MIN(A1188&gt;15,A1188+Age&gt;=70),C1188=1),VLOOKUP(A1188,Output!$A$27:$AF$137,32,FALSE)*VLOOKUP('SV calc_ignore'!A1188,Output!$A$27:$AG$137,33,FALSE)/IF(AnnuityMode=2,2,IF(AnnuityMode=4,4,IF(AnnuityMode=12,12,1))),0),0)</f>
        <v>0</v>
      </c>
      <c r="J1188" s="227">
        <f t="shared" si="220"/>
        <v>0</v>
      </c>
      <c r="K1188" s="213">
        <f t="shared" si="227"/>
        <v>0</v>
      </c>
      <c r="L1188" s="209">
        <f t="shared" si="221"/>
        <v>0</v>
      </c>
      <c r="M1188" s="214">
        <f t="shared" si="222"/>
        <v>0</v>
      </c>
      <c r="N1188" s="211">
        <f t="shared" si="223"/>
        <v>0</v>
      </c>
      <c r="O1188" s="194">
        <f t="shared" si="224"/>
        <v>0</v>
      </c>
      <c r="P1188" s="212">
        <f t="shared" si="225"/>
        <v>0</v>
      </c>
      <c r="Q1188">
        <f t="shared" si="217"/>
        <v>0</v>
      </c>
      <c r="X1188" s="216">
        <f t="shared" si="228"/>
        <v>98</v>
      </c>
      <c r="Y1188">
        <f t="shared" si="226"/>
        <v>0</v>
      </c>
    </row>
    <row r="1189" spans="1:25" ht="13.5" thickBot="1" x14ac:dyDescent="0.25">
      <c r="A1189" s="204">
        <f>IF(MOD(COUNT($A$10:A1188),12)=0,A1188+1,A1188)</f>
        <v>99</v>
      </c>
      <c r="B1189" s="218">
        <f t="shared" si="218"/>
        <v>4</v>
      </c>
      <c r="C1189" s="218">
        <f t="shared" si="219"/>
        <v>1</v>
      </c>
      <c r="D1189" s="208">
        <f>IF(MOD(COUNT($D$10:D1188),6)=0,D1188+1,D1188)</f>
        <v>197</v>
      </c>
      <c r="E1189" s="208">
        <f>IF(MOD(COUNT($E$10:E1188),3)=0,E1188+1,E1188)</f>
        <v>394</v>
      </c>
      <c r="F1189" s="208">
        <f>IF(MOD(COUNT($F$10:F1188),1)=0,F1188+1,F1188)</f>
        <v>1180</v>
      </c>
      <c r="G1189" s="204">
        <f>IFERROR(IF(C1189=1,VLOOKUP(A1189,Output!$A$27:$AB$137,28,FALSE)/AnnuityMode,0),0)</f>
        <v>0</v>
      </c>
      <c r="H1189" s="220">
        <f>IFERROR(IF(AND(MIN(A1189&gt;25,Age+A1189&gt;=85),B1189=12),VLOOKUP(A1189,Output!$A$27:$AE$137,31,FALSE),0),0)</f>
        <v>0</v>
      </c>
      <c r="I1189" s="221">
        <f>IFERROR(IF(AND(MIN(A1189&gt;15,A1189+Age&gt;=70),C1189=1),VLOOKUP(A1189,Output!$A$27:$AF$137,32,FALSE)*VLOOKUP('SV calc_ignore'!A1189,Output!$A$27:$AG$137,33,FALSE)/IF(AnnuityMode=2,2,IF(AnnuityMode=4,4,IF(AnnuityMode=12,12,1))),0),0)</f>
        <v>0</v>
      </c>
      <c r="J1189" s="227">
        <f t="shared" si="220"/>
        <v>0</v>
      </c>
      <c r="K1189" s="213">
        <f t="shared" si="227"/>
        <v>0</v>
      </c>
      <c r="L1189" s="209">
        <f t="shared" si="221"/>
        <v>0</v>
      </c>
      <c r="M1189" s="214">
        <f t="shared" si="222"/>
        <v>0</v>
      </c>
      <c r="N1189" s="211">
        <f t="shared" si="223"/>
        <v>0</v>
      </c>
      <c r="O1189" s="194">
        <f t="shared" si="224"/>
        <v>0</v>
      </c>
      <c r="P1189" s="212">
        <f t="shared" si="225"/>
        <v>0</v>
      </c>
      <c r="Q1189">
        <f t="shared" si="217"/>
        <v>0</v>
      </c>
      <c r="X1189" s="216">
        <f t="shared" si="228"/>
        <v>98</v>
      </c>
      <c r="Y1189">
        <f t="shared" si="226"/>
        <v>0</v>
      </c>
    </row>
    <row r="1190" spans="1:25" ht="13.5" thickBot="1" x14ac:dyDescent="0.25">
      <c r="A1190" s="204">
        <f>IF(MOD(COUNT($A$10:A1189),12)=0,A1189+1,A1189)</f>
        <v>99</v>
      </c>
      <c r="B1190" s="218">
        <f t="shared" si="218"/>
        <v>5</v>
      </c>
      <c r="C1190" s="218">
        <f t="shared" si="219"/>
        <v>1</v>
      </c>
      <c r="D1190" s="208">
        <f>IF(MOD(COUNT($D$10:D1189),6)=0,D1189+1,D1189)</f>
        <v>197</v>
      </c>
      <c r="E1190" s="208">
        <f>IF(MOD(COUNT($E$10:E1189),3)=0,E1189+1,E1189)</f>
        <v>394</v>
      </c>
      <c r="F1190" s="208">
        <f>IF(MOD(COUNT($F$10:F1189),1)=0,F1189+1,F1189)</f>
        <v>1181</v>
      </c>
      <c r="G1190" s="204">
        <f>IFERROR(IF(C1190=1,VLOOKUP(A1190,Output!$A$27:$AB$137,28,FALSE)/AnnuityMode,0),0)</f>
        <v>0</v>
      </c>
      <c r="H1190" s="220">
        <f>IFERROR(IF(AND(MIN(A1190&gt;25,Age+A1190&gt;=85),B1190=12),VLOOKUP(A1190,Output!$A$27:$AE$137,31,FALSE),0),0)</f>
        <v>0</v>
      </c>
      <c r="I1190" s="221">
        <f>IFERROR(IF(AND(MIN(A1190&gt;15,A1190+Age&gt;=70),C1190=1),VLOOKUP(A1190,Output!$A$27:$AF$137,32,FALSE)*VLOOKUP('SV calc_ignore'!A1190,Output!$A$27:$AG$137,33,FALSE)/IF(AnnuityMode=2,2,IF(AnnuityMode=4,4,IF(AnnuityMode=12,12,1))),0),0)</f>
        <v>0</v>
      </c>
      <c r="J1190" s="227">
        <f t="shared" si="220"/>
        <v>0</v>
      </c>
      <c r="K1190" s="213">
        <f t="shared" si="227"/>
        <v>0</v>
      </c>
      <c r="L1190" s="209">
        <f t="shared" si="221"/>
        <v>0</v>
      </c>
      <c r="M1190" s="214">
        <f t="shared" si="222"/>
        <v>0</v>
      </c>
      <c r="N1190" s="211">
        <f t="shared" si="223"/>
        <v>0</v>
      </c>
      <c r="O1190" s="194">
        <f t="shared" si="224"/>
        <v>0</v>
      </c>
      <c r="P1190" s="212">
        <f t="shared" si="225"/>
        <v>0</v>
      </c>
      <c r="Q1190">
        <f t="shared" si="217"/>
        <v>0</v>
      </c>
      <c r="X1190" s="216">
        <f t="shared" si="228"/>
        <v>98</v>
      </c>
      <c r="Y1190">
        <f t="shared" si="226"/>
        <v>0</v>
      </c>
    </row>
    <row r="1191" spans="1:25" ht="13.5" thickBot="1" x14ac:dyDescent="0.25">
      <c r="A1191" s="204">
        <f>IF(MOD(COUNT($A$10:A1190),12)=0,A1190+1,A1190)</f>
        <v>99</v>
      </c>
      <c r="B1191" s="218">
        <f t="shared" si="218"/>
        <v>6</v>
      </c>
      <c r="C1191" s="218">
        <f t="shared" si="219"/>
        <v>1</v>
      </c>
      <c r="D1191" s="208">
        <f>IF(MOD(COUNT($D$10:D1190),6)=0,D1190+1,D1190)</f>
        <v>197</v>
      </c>
      <c r="E1191" s="208">
        <f>IF(MOD(COUNT($E$10:E1190),3)=0,E1190+1,E1190)</f>
        <v>394</v>
      </c>
      <c r="F1191" s="208">
        <f>IF(MOD(COUNT($F$10:F1190),1)=0,F1190+1,F1190)</f>
        <v>1182</v>
      </c>
      <c r="G1191" s="204">
        <f>IFERROR(IF(C1191=1,VLOOKUP(A1191,Output!$A$27:$AB$137,28,FALSE)/AnnuityMode,0),0)</f>
        <v>0</v>
      </c>
      <c r="H1191" s="220">
        <f>IFERROR(IF(AND(MIN(A1191&gt;25,Age+A1191&gt;=85),B1191=12),VLOOKUP(A1191,Output!$A$27:$AE$137,31,FALSE),0),0)</f>
        <v>0</v>
      </c>
      <c r="I1191" s="221">
        <f>IFERROR(IF(AND(MIN(A1191&gt;15,A1191+Age&gt;=70),C1191=1),VLOOKUP(A1191,Output!$A$27:$AF$137,32,FALSE)*VLOOKUP('SV calc_ignore'!A1191,Output!$A$27:$AG$137,33,FALSE)/IF(AnnuityMode=2,2,IF(AnnuityMode=4,4,IF(AnnuityMode=12,12,1))),0),0)</f>
        <v>0</v>
      </c>
      <c r="J1191" s="227">
        <f t="shared" si="220"/>
        <v>0</v>
      </c>
      <c r="K1191" s="213">
        <f t="shared" si="227"/>
        <v>0</v>
      </c>
      <c r="L1191" s="209">
        <f t="shared" si="221"/>
        <v>0</v>
      </c>
      <c r="M1191" s="214">
        <f t="shared" si="222"/>
        <v>0</v>
      </c>
      <c r="N1191" s="211">
        <f t="shared" si="223"/>
        <v>0</v>
      </c>
      <c r="O1191" s="194">
        <f t="shared" si="224"/>
        <v>0</v>
      </c>
      <c r="P1191" s="212">
        <f t="shared" si="225"/>
        <v>0</v>
      </c>
      <c r="Q1191">
        <f t="shared" si="217"/>
        <v>0</v>
      </c>
      <c r="X1191" s="216">
        <f t="shared" si="228"/>
        <v>98</v>
      </c>
      <c r="Y1191">
        <f t="shared" si="226"/>
        <v>0</v>
      </c>
    </row>
    <row r="1192" spans="1:25" ht="13.5" thickBot="1" x14ac:dyDescent="0.25">
      <c r="A1192" s="204">
        <f>IF(MOD(COUNT($A$10:A1191),12)=0,A1191+1,A1191)</f>
        <v>99</v>
      </c>
      <c r="B1192" s="218">
        <f t="shared" si="218"/>
        <v>7</v>
      </c>
      <c r="C1192" s="218">
        <f t="shared" si="219"/>
        <v>1</v>
      </c>
      <c r="D1192" s="208">
        <f>IF(MOD(COUNT($D$10:D1191),6)=0,D1191+1,D1191)</f>
        <v>198</v>
      </c>
      <c r="E1192" s="208">
        <f>IF(MOD(COUNT($E$10:E1191),3)=0,E1191+1,E1191)</f>
        <v>395</v>
      </c>
      <c r="F1192" s="208">
        <f>IF(MOD(COUNT($F$10:F1191),1)=0,F1191+1,F1191)</f>
        <v>1183</v>
      </c>
      <c r="G1192" s="204">
        <f>IFERROR(IF(C1192=1,VLOOKUP(A1192,Output!$A$27:$AB$137,28,FALSE)/AnnuityMode,0),0)</f>
        <v>0</v>
      </c>
      <c r="H1192" s="220">
        <f>IFERROR(IF(AND(MIN(A1192&gt;25,Age+A1192&gt;=85),B1192=12),VLOOKUP(A1192,Output!$A$27:$AE$137,31,FALSE),0),0)</f>
        <v>0</v>
      </c>
      <c r="I1192" s="221">
        <f>IFERROR(IF(AND(MIN(A1192&gt;15,A1192+Age&gt;=70),C1192=1),VLOOKUP(A1192,Output!$A$27:$AF$137,32,FALSE)*VLOOKUP('SV calc_ignore'!A1192,Output!$A$27:$AG$137,33,FALSE)/IF(AnnuityMode=2,2,IF(AnnuityMode=4,4,IF(AnnuityMode=12,12,1))),0),0)</f>
        <v>0</v>
      </c>
      <c r="J1192" s="227">
        <f t="shared" si="220"/>
        <v>0</v>
      </c>
      <c r="K1192" s="213">
        <f t="shared" si="227"/>
        <v>0</v>
      </c>
      <c r="L1192" s="209">
        <f t="shared" si="221"/>
        <v>0</v>
      </c>
      <c r="M1192" s="214">
        <f t="shared" si="222"/>
        <v>0</v>
      </c>
      <c r="N1192" s="211">
        <f t="shared" si="223"/>
        <v>0</v>
      </c>
      <c r="O1192" s="194">
        <f t="shared" si="224"/>
        <v>0</v>
      </c>
      <c r="P1192" s="212">
        <f t="shared" si="225"/>
        <v>0</v>
      </c>
      <c r="Q1192">
        <f t="shared" si="217"/>
        <v>0</v>
      </c>
      <c r="X1192" s="216">
        <f t="shared" si="228"/>
        <v>98</v>
      </c>
      <c r="Y1192">
        <f t="shared" si="226"/>
        <v>0</v>
      </c>
    </row>
    <row r="1193" spans="1:25" ht="13.5" thickBot="1" x14ac:dyDescent="0.25">
      <c r="A1193" s="204">
        <f>IF(MOD(COUNT($A$10:A1192),12)=0,A1192+1,A1192)</f>
        <v>99</v>
      </c>
      <c r="B1193" s="218">
        <f t="shared" si="218"/>
        <v>8</v>
      </c>
      <c r="C1193" s="218">
        <f t="shared" si="219"/>
        <v>1</v>
      </c>
      <c r="D1193" s="208">
        <f>IF(MOD(COUNT($D$10:D1192),6)=0,D1192+1,D1192)</f>
        <v>198</v>
      </c>
      <c r="E1193" s="208">
        <f>IF(MOD(COUNT($E$10:E1192),3)=0,E1192+1,E1192)</f>
        <v>395</v>
      </c>
      <c r="F1193" s="208">
        <f>IF(MOD(COUNT($F$10:F1192),1)=0,F1192+1,F1192)</f>
        <v>1184</v>
      </c>
      <c r="G1193" s="204">
        <f>IFERROR(IF(C1193=1,VLOOKUP(A1193,Output!$A$27:$AB$137,28,FALSE)/AnnuityMode,0),0)</f>
        <v>0</v>
      </c>
      <c r="H1193" s="220">
        <f>IFERROR(IF(AND(MIN(A1193&gt;25,Age+A1193&gt;=85),B1193=12),VLOOKUP(A1193,Output!$A$27:$AE$137,31,FALSE),0),0)</f>
        <v>0</v>
      </c>
      <c r="I1193" s="221">
        <f>IFERROR(IF(AND(MIN(A1193&gt;15,A1193+Age&gt;=70),C1193=1),VLOOKUP(A1193,Output!$A$27:$AF$137,32,FALSE)*VLOOKUP('SV calc_ignore'!A1193,Output!$A$27:$AG$137,33,FALSE)/IF(AnnuityMode=2,2,IF(AnnuityMode=4,4,IF(AnnuityMode=12,12,1))),0),0)</f>
        <v>0</v>
      </c>
      <c r="J1193" s="227">
        <f t="shared" si="220"/>
        <v>0</v>
      </c>
      <c r="K1193" s="213">
        <f t="shared" si="227"/>
        <v>0</v>
      </c>
      <c r="L1193" s="209">
        <f t="shared" si="221"/>
        <v>0</v>
      </c>
      <c r="M1193" s="214">
        <f t="shared" si="222"/>
        <v>0</v>
      </c>
      <c r="N1193" s="211">
        <f t="shared" si="223"/>
        <v>0</v>
      </c>
      <c r="O1193" s="194">
        <f t="shared" si="224"/>
        <v>0</v>
      </c>
      <c r="P1193" s="212">
        <f t="shared" si="225"/>
        <v>0</v>
      </c>
      <c r="Q1193">
        <f t="shared" si="217"/>
        <v>0</v>
      </c>
      <c r="X1193" s="216">
        <f t="shared" si="228"/>
        <v>98</v>
      </c>
      <c r="Y1193">
        <f t="shared" si="226"/>
        <v>0</v>
      </c>
    </row>
    <row r="1194" spans="1:25" ht="13.5" thickBot="1" x14ac:dyDescent="0.25">
      <c r="A1194" s="204">
        <f>IF(MOD(COUNT($A$10:A1193),12)=0,A1193+1,A1193)</f>
        <v>99</v>
      </c>
      <c r="B1194" s="218">
        <f t="shared" si="218"/>
        <v>9</v>
      </c>
      <c r="C1194" s="218">
        <f t="shared" si="219"/>
        <v>1</v>
      </c>
      <c r="D1194" s="208">
        <f>IF(MOD(COUNT($D$10:D1193),6)=0,D1193+1,D1193)</f>
        <v>198</v>
      </c>
      <c r="E1194" s="208">
        <f>IF(MOD(COUNT($E$10:E1193),3)=0,E1193+1,E1193)</f>
        <v>395</v>
      </c>
      <c r="F1194" s="208">
        <f>IF(MOD(COUNT($F$10:F1193),1)=0,F1193+1,F1193)</f>
        <v>1185</v>
      </c>
      <c r="G1194" s="204">
        <f>IFERROR(IF(C1194=1,VLOOKUP(A1194,Output!$A$27:$AB$137,28,FALSE)/AnnuityMode,0),0)</f>
        <v>0</v>
      </c>
      <c r="H1194" s="220">
        <f>IFERROR(IF(AND(MIN(A1194&gt;25,Age+A1194&gt;=85),B1194=12),VLOOKUP(A1194,Output!$A$27:$AE$137,31,FALSE),0),0)</f>
        <v>0</v>
      </c>
      <c r="I1194" s="221">
        <f>IFERROR(IF(AND(MIN(A1194&gt;15,A1194+Age&gt;=70),C1194=1),VLOOKUP(A1194,Output!$A$27:$AF$137,32,FALSE)*VLOOKUP('SV calc_ignore'!A1194,Output!$A$27:$AG$137,33,FALSE)/IF(AnnuityMode=2,2,IF(AnnuityMode=4,4,IF(AnnuityMode=12,12,1))),0),0)</f>
        <v>0</v>
      </c>
      <c r="J1194" s="227">
        <f t="shared" si="220"/>
        <v>0</v>
      </c>
      <c r="K1194" s="213">
        <f t="shared" si="227"/>
        <v>0</v>
      </c>
      <c r="L1194" s="209">
        <f t="shared" si="221"/>
        <v>0</v>
      </c>
      <c r="M1194" s="214">
        <f t="shared" si="222"/>
        <v>0</v>
      </c>
      <c r="N1194" s="211">
        <f t="shared" si="223"/>
        <v>0</v>
      </c>
      <c r="O1194" s="194">
        <f t="shared" si="224"/>
        <v>0</v>
      </c>
      <c r="P1194" s="212">
        <f t="shared" si="225"/>
        <v>0</v>
      </c>
      <c r="Q1194">
        <f t="shared" ref="Q1194:Q1257" si="229">(I1194+(Q1195)*(1+$K$3)^(-1))*(A1194&lt;=$W$5)</f>
        <v>0</v>
      </c>
      <c r="X1194" s="216">
        <f t="shared" si="228"/>
        <v>98</v>
      </c>
      <c r="Y1194">
        <f t="shared" si="226"/>
        <v>0</v>
      </c>
    </row>
    <row r="1195" spans="1:25" ht="13.5" thickBot="1" x14ac:dyDescent="0.25">
      <c r="A1195" s="204">
        <f>IF(MOD(COUNT($A$10:A1194),12)=0,A1194+1,A1194)</f>
        <v>99</v>
      </c>
      <c r="B1195" s="218">
        <f t="shared" si="218"/>
        <v>10</v>
      </c>
      <c r="C1195" s="218">
        <f t="shared" si="219"/>
        <v>1</v>
      </c>
      <c r="D1195" s="208">
        <f>IF(MOD(COUNT($D$10:D1194),6)=0,D1194+1,D1194)</f>
        <v>198</v>
      </c>
      <c r="E1195" s="208">
        <f>IF(MOD(COUNT($E$10:E1194),3)=0,E1194+1,E1194)</f>
        <v>396</v>
      </c>
      <c r="F1195" s="208">
        <f>IF(MOD(COUNT($F$10:F1194),1)=0,F1194+1,F1194)</f>
        <v>1186</v>
      </c>
      <c r="G1195" s="204">
        <f>IFERROR(IF(C1195=1,VLOOKUP(A1195,Output!$A$27:$AB$137,28,FALSE)/AnnuityMode,0),0)</f>
        <v>0</v>
      </c>
      <c r="H1195" s="220">
        <f>IFERROR(IF(AND(MIN(A1195&gt;25,Age+A1195&gt;=85),B1195=12),VLOOKUP(A1195,Output!$A$27:$AE$137,31,FALSE),0),0)</f>
        <v>0</v>
      </c>
      <c r="I1195" s="221">
        <f>IFERROR(IF(AND(MIN(A1195&gt;15,A1195+Age&gt;=70),C1195=1),VLOOKUP(A1195,Output!$A$27:$AF$137,32,FALSE)*VLOOKUP('SV calc_ignore'!A1195,Output!$A$27:$AG$137,33,FALSE)/IF(AnnuityMode=2,2,IF(AnnuityMode=4,4,IF(AnnuityMode=12,12,1))),0),0)</f>
        <v>0</v>
      </c>
      <c r="J1195" s="227">
        <f t="shared" si="220"/>
        <v>0</v>
      </c>
      <c r="K1195" s="213">
        <f t="shared" si="227"/>
        <v>0</v>
      </c>
      <c r="L1195" s="209">
        <f t="shared" si="221"/>
        <v>0</v>
      </c>
      <c r="M1195" s="214">
        <f t="shared" si="222"/>
        <v>0</v>
      </c>
      <c r="N1195" s="211">
        <f t="shared" si="223"/>
        <v>0</v>
      </c>
      <c r="O1195" s="194">
        <f t="shared" si="224"/>
        <v>0</v>
      </c>
      <c r="P1195" s="212">
        <f t="shared" si="225"/>
        <v>0</v>
      </c>
      <c r="Q1195">
        <f t="shared" si="229"/>
        <v>0</v>
      </c>
      <c r="X1195" s="216">
        <f t="shared" si="228"/>
        <v>98</v>
      </c>
      <c r="Y1195">
        <f t="shared" si="226"/>
        <v>0</v>
      </c>
    </row>
    <row r="1196" spans="1:25" ht="13.5" thickBot="1" x14ac:dyDescent="0.25">
      <c r="A1196" s="204">
        <f>IF(MOD(COUNT($A$10:A1195),12)=0,A1195+1,A1195)</f>
        <v>99</v>
      </c>
      <c r="B1196" s="218">
        <f t="shared" si="218"/>
        <v>11</v>
      </c>
      <c r="C1196" s="218">
        <f t="shared" si="219"/>
        <v>1</v>
      </c>
      <c r="D1196" s="208">
        <f>IF(MOD(COUNT($D$10:D1195),6)=0,D1195+1,D1195)</f>
        <v>198</v>
      </c>
      <c r="E1196" s="208">
        <f>IF(MOD(COUNT($E$10:E1195),3)=0,E1195+1,E1195)</f>
        <v>396</v>
      </c>
      <c r="F1196" s="208">
        <f>IF(MOD(COUNT($F$10:F1195),1)=0,F1195+1,F1195)</f>
        <v>1187</v>
      </c>
      <c r="G1196" s="204">
        <f>IFERROR(IF(C1196=1,VLOOKUP(A1196,Output!$A$27:$AB$137,28,FALSE)/AnnuityMode,0),0)</f>
        <v>0</v>
      </c>
      <c r="H1196" s="220">
        <f>IFERROR(IF(AND(MIN(A1196&gt;25,Age+A1196&gt;=85),B1196=12),VLOOKUP(A1196,Output!$A$27:$AE$137,31,FALSE),0),0)</f>
        <v>0</v>
      </c>
      <c r="I1196" s="221">
        <f>IFERROR(IF(AND(MIN(A1196&gt;15,A1196+Age&gt;=70),C1196=1),VLOOKUP(A1196,Output!$A$27:$AF$137,32,FALSE)*VLOOKUP('SV calc_ignore'!A1196,Output!$A$27:$AG$137,33,FALSE)/IF(AnnuityMode=2,2,IF(AnnuityMode=4,4,IF(AnnuityMode=12,12,1))),0),0)</f>
        <v>0</v>
      </c>
      <c r="J1196" s="227">
        <f t="shared" si="220"/>
        <v>0</v>
      </c>
      <c r="K1196" s="213">
        <f t="shared" si="227"/>
        <v>0</v>
      </c>
      <c r="L1196" s="209">
        <f t="shared" si="221"/>
        <v>0</v>
      </c>
      <c r="M1196" s="214">
        <f t="shared" si="222"/>
        <v>0</v>
      </c>
      <c r="N1196" s="211">
        <f t="shared" si="223"/>
        <v>0</v>
      </c>
      <c r="O1196" s="194">
        <f t="shared" si="224"/>
        <v>0</v>
      </c>
      <c r="P1196" s="212">
        <f t="shared" si="225"/>
        <v>0</v>
      </c>
      <c r="Q1196">
        <f t="shared" si="229"/>
        <v>0</v>
      </c>
      <c r="X1196" s="216">
        <f t="shared" si="228"/>
        <v>98</v>
      </c>
      <c r="Y1196">
        <f t="shared" si="226"/>
        <v>0</v>
      </c>
    </row>
    <row r="1197" spans="1:25" ht="13.5" thickBot="1" x14ac:dyDescent="0.25">
      <c r="A1197" s="204">
        <f>IF(MOD(COUNT($A$10:A1196),12)=0,A1196+1,A1196)</f>
        <v>99</v>
      </c>
      <c r="B1197" s="218">
        <f t="shared" si="218"/>
        <v>12</v>
      </c>
      <c r="C1197" s="218">
        <f t="shared" si="219"/>
        <v>1</v>
      </c>
      <c r="D1197" s="208">
        <f>IF(MOD(COUNT($D$10:D1196),6)=0,D1196+1,D1196)</f>
        <v>198</v>
      </c>
      <c r="E1197" s="208">
        <f>IF(MOD(COUNT($E$10:E1196),3)=0,E1196+1,E1196)</f>
        <v>396</v>
      </c>
      <c r="F1197" s="208">
        <f>IF(MOD(COUNT($F$10:F1196),1)=0,F1196+1,F1196)</f>
        <v>1188</v>
      </c>
      <c r="G1197" s="204">
        <f>IFERROR(IF(C1197=1,VLOOKUP(A1197,Output!$A$27:$AB$137,28,FALSE)/AnnuityMode,0),0)</f>
        <v>0</v>
      </c>
      <c r="H1197" s="220">
        <f>IFERROR(IF(AND(MIN(A1197&gt;25,Age+A1197&gt;=85),B1197=12),VLOOKUP(A1197,Output!$A$27:$AE$137,31,FALSE),0),0)</f>
        <v>0</v>
      </c>
      <c r="I1197" s="221">
        <f>IFERROR(IF(AND(MIN(A1197&gt;15,A1197+Age&gt;=70),C1197=1),VLOOKUP(A1197,Output!$A$27:$AF$137,32,FALSE)*VLOOKUP('SV calc_ignore'!A1197,Output!$A$27:$AG$137,33,FALSE)/IF(AnnuityMode=2,2,IF(AnnuityMode=4,4,IF(AnnuityMode=12,12,1))),0),0)</f>
        <v>0</v>
      </c>
      <c r="J1197" s="227">
        <f t="shared" si="220"/>
        <v>0</v>
      </c>
      <c r="K1197" s="213">
        <f t="shared" si="227"/>
        <v>0</v>
      </c>
      <c r="L1197" s="209">
        <f t="shared" si="221"/>
        <v>0</v>
      </c>
      <c r="M1197" s="214">
        <f t="shared" si="222"/>
        <v>0</v>
      </c>
      <c r="N1197" s="211">
        <f t="shared" si="223"/>
        <v>0</v>
      </c>
      <c r="O1197" s="194">
        <f t="shared" si="224"/>
        <v>0</v>
      </c>
      <c r="P1197" s="212">
        <f t="shared" si="225"/>
        <v>0</v>
      </c>
      <c r="Q1197">
        <f t="shared" si="229"/>
        <v>0</v>
      </c>
      <c r="X1197" s="216">
        <f t="shared" si="228"/>
        <v>98</v>
      </c>
      <c r="Y1197">
        <f t="shared" si="226"/>
        <v>0</v>
      </c>
    </row>
    <row r="1198" spans="1:25" ht="13.5" thickBot="1" x14ac:dyDescent="0.25">
      <c r="A1198" s="204">
        <f>IF(MOD(COUNT($A$10:A1197),12)=0,A1197+1,A1197)</f>
        <v>100</v>
      </c>
      <c r="B1198" s="218">
        <f t="shared" si="218"/>
        <v>1</v>
      </c>
      <c r="C1198" s="218">
        <f t="shared" si="219"/>
        <v>1</v>
      </c>
      <c r="D1198" s="208">
        <f>IF(MOD(COUNT($D$10:D1197),6)=0,D1197+1,D1197)</f>
        <v>199</v>
      </c>
      <c r="E1198" s="208">
        <f>IF(MOD(COUNT($E$10:E1197),3)=0,E1197+1,E1197)</f>
        <v>397</v>
      </c>
      <c r="F1198" s="208">
        <f>IF(MOD(COUNT($F$10:F1197),1)=0,F1197+1,F1197)</f>
        <v>1189</v>
      </c>
      <c r="G1198" s="204">
        <f>IFERROR(IF(C1198=1,VLOOKUP(A1198,Output!$A$27:$AB$137,28,FALSE)/AnnuityMode,0),0)</f>
        <v>0</v>
      </c>
      <c r="H1198" s="220">
        <f>IFERROR(IF(AND(MIN(A1198&gt;25,Age+A1198&gt;=85),B1198=12),VLOOKUP(A1198,Output!$A$27:$AE$137,31,FALSE),0),0)</f>
        <v>0</v>
      </c>
      <c r="I1198" s="221">
        <f>IFERROR(IF(AND(MIN(A1198&gt;15,A1198+Age&gt;=70),C1198=1),VLOOKUP(A1198,Output!$A$27:$AF$137,32,FALSE)*VLOOKUP('SV calc_ignore'!A1198,Output!$A$27:$AG$137,33,FALSE)/IF(AnnuityMode=2,2,IF(AnnuityMode=4,4,IF(AnnuityMode=12,12,1))),0),0)</f>
        <v>0</v>
      </c>
      <c r="J1198" s="227">
        <f t="shared" si="220"/>
        <v>0</v>
      </c>
      <c r="K1198" s="213">
        <f t="shared" si="227"/>
        <v>0</v>
      </c>
      <c r="L1198" s="209">
        <f t="shared" si="221"/>
        <v>0</v>
      </c>
      <c r="M1198" s="214">
        <f t="shared" si="222"/>
        <v>0</v>
      </c>
      <c r="N1198" s="211">
        <f t="shared" si="223"/>
        <v>0</v>
      </c>
      <c r="O1198" s="194">
        <f t="shared" si="224"/>
        <v>0</v>
      </c>
      <c r="P1198" s="212">
        <f t="shared" si="225"/>
        <v>0</v>
      </c>
      <c r="Q1198">
        <f t="shared" si="229"/>
        <v>0</v>
      </c>
      <c r="X1198" s="216">
        <f t="shared" si="228"/>
        <v>99</v>
      </c>
      <c r="Y1198">
        <f t="shared" si="226"/>
        <v>0</v>
      </c>
    </row>
    <row r="1199" spans="1:25" ht="13.5" thickBot="1" x14ac:dyDescent="0.25">
      <c r="A1199" s="204">
        <f>IF(MOD(COUNT($A$10:A1198),12)=0,A1198+1,A1198)</f>
        <v>100</v>
      </c>
      <c r="B1199" s="218">
        <f t="shared" si="218"/>
        <v>2</v>
      </c>
      <c r="C1199" s="218">
        <f t="shared" si="219"/>
        <v>1</v>
      </c>
      <c r="D1199" s="208">
        <f>IF(MOD(COUNT($D$10:D1198),6)=0,D1198+1,D1198)</f>
        <v>199</v>
      </c>
      <c r="E1199" s="208">
        <f>IF(MOD(COUNT($E$10:E1198),3)=0,E1198+1,E1198)</f>
        <v>397</v>
      </c>
      <c r="F1199" s="208">
        <f>IF(MOD(COUNT($F$10:F1198),1)=0,F1198+1,F1198)</f>
        <v>1190</v>
      </c>
      <c r="G1199" s="204">
        <f>IFERROR(IF(C1199=1,VLOOKUP(A1199,Output!$A$27:$AB$137,28,FALSE)/AnnuityMode,0),0)</f>
        <v>0</v>
      </c>
      <c r="H1199" s="220">
        <f>IFERROR(IF(AND(MIN(A1199&gt;25,Age+A1199&gt;=85),B1199=12),VLOOKUP(A1199,Output!$A$27:$AE$137,31,FALSE),0),0)</f>
        <v>0</v>
      </c>
      <c r="I1199" s="221">
        <f>IFERROR(IF(AND(MIN(A1199&gt;15,A1199+Age&gt;=70),C1199=1),VLOOKUP(A1199,Output!$A$27:$AF$137,32,FALSE)*VLOOKUP('SV calc_ignore'!A1199,Output!$A$27:$AG$137,33,FALSE)/IF(AnnuityMode=2,2,IF(AnnuityMode=4,4,IF(AnnuityMode=12,12,1))),0),0)</f>
        <v>0</v>
      </c>
      <c r="J1199" s="227">
        <f t="shared" si="220"/>
        <v>0</v>
      </c>
      <c r="K1199" s="213">
        <f t="shared" si="227"/>
        <v>0</v>
      </c>
      <c r="L1199" s="209">
        <f t="shared" si="221"/>
        <v>0</v>
      </c>
      <c r="M1199" s="214">
        <f t="shared" si="222"/>
        <v>0</v>
      </c>
      <c r="N1199" s="211">
        <f t="shared" si="223"/>
        <v>0</v>
      </c>
      <c r="O1199" s="194">
        <f t="shared" si="224"/>
        <v>0</v>
      </c>
      <c r="P1199" s="212">
        <f t="shared" si="225"/>
        <v>0</v>
      </c>
      <c r="Q1199">
        <f t="shared" si="229"/>
        <v>0</v>
      </c>
      <c r="X1199" s="216">
        <f t="shared" si="228"/>
        <v>99</v>
      </c>
      <c r="Y1199">
        <f t="shared" si="226"/>
        <v>0</v>
      </c>
    </row>
    <row r="1200" spans="1:25" ht="13.5" thickBot="1" x14ac:dyDescent="0.25">
      <c r="A1200" s="204">
        <f>IF(MOD(COUNT($A$10:A1199),12)=0,A1199+1,A1199)</f>
        <v>100</v>
      </c>
      <c r="B1200" s="218">
        <f t="shared" si="218"/>
        <v>3</v>
      </c>
      <c r="C1200" s="218">
        <f t="shared" si="219"/>
        <v>1</v>
      </c>
      <c r="D1200" s="208">
        <f>IF(MOD(COUNT($D$10:D1199),6)=0,D1199+1,D1199)</f>
        <v>199</v>
      </c>
      <c r="E1200" s="208">
        <f>IF(MOD(COUNT($E$10:E1199),3)=0,E1199+1,E1199)</f>
        <v>397</v>
      </c>
      <c r="F1200" s="208">
        <f>IF(MOD(COUNT($F$10:F1199),1)=0,F1199+1,F1199)</f>
        <v>1191</v>
      </c>
      <c r="G1200" s="204">
        <f>IFERROR(IF(C1200=1,VLOOKUP(A1200,Output!$A$27:$AB$137,28,FALSE)/AnnuityMode,0),0)</f>
        <v>0</v>
      </c>
      <c r="H1200" s="220">
        <f>IFERROR(IF(AND(MIN(A1200&gt;25,Age+A1200&gt;=85),B1200=12),VLOOKUP(A1200,Output!$A$27:$AE$137,31,FALSE),0),0)</f>
        <v>0</v>
      </c>
      <c r="I1200" s="221">
        <f>IFERROR(IF(AND(MIN(A1200&gt;15,A1200+Age&gt;=70),C1200=1),VLOOKUP(A1200,Output!$A$27:$AF$137,32,FALSE)*VLOOKUP('SV calc_ignore'!A1200,Output!$A$27:$AG$137,33,FALSE)/IF(AnnuityMode=2,2,IF(AnnuityMode=4,4,IF(AnnuityMode=12,12,1))),0),0)</f>
        <v>0</v>
      </c>
      <c r="J1200" s="227">
        <f t="shared" si="220"/>
        <v>0</v>
      </c>
      <c r="K1200" s="213">
        <f t="shared" si="227"/>
        <v>0</v>
      </c>
      <c r="L1200" s="209">
        <f t="shared" si="221"/>
        <v>0</v>
      </c>
      <c r="M1200" s="214">
        <f t="shared" si="222"/>
        <v>0</v>
      </c>
      <c r="N1200" s="211">
        <f t="shared" si="223"/>
        <v>0</v>
      </c>
      <c r="O1200" s="194">
        <f t="shared" si="224"/>
        <v>0</v>
      </c>
      <c r="P1200" s="212">
        <f t="shared" si="225"/>
        <v>0</v>
      </c>
      <c r="Q1200">
        <f t="shared" si="229"/>
        <v>0</v>
      </c>
      <c r="X1200" s="216">
        <f t="shared" si="228"/>
        <v>99</v>
      </c>
      <c r="Y1200">
        <f t="shared" si="226"/>
        <v>0</v>
      </c>
    </row>
    <row r="1201" spans="1:25" ht="13.5" thickBot="1" x14ac:dyDescent="0.25">
      <c r="A1201" s="204">
        <f>IF(MOD(COUNT($A$10:A1200),12)=0,A1200+1,A1200)</f>
        <v>100</v>
      </c>
      <c r="B1201" s="218">
        <f t="shared" si="218"/>
        <v>4</v>
      </c>
      <c r="C1201" s="218">
        <f t="shared" si="219"/>
        <v>1</v>
      </c>
      <c r="D1201" s="208">
        <f>IF(MOD(COUNT($D$10:D1200),6)=0,D1200+1,D1200)</f>
        <v>199</v>
      </c>
      <c r="E1201" s="208">
        <f>IF(MOD(COUNT($E$10:E1200),3)=0,E1200+1,E1200)</f>
        <v>398</v>
      </c>
      <c r="F1201" s="208">
        <f>IF(MOD(COUNT($F$10:F1200),1)=0,F1200+1,F1200)</f>
        <v>1192</v>
      </c>
      <c r="G1201" s="204">
        <f>IFERROR(IF(C1201=1,VLOOKUP(A1201,Output!$A$27:$AB$137,28,FALSE)/AnnuityMode,0),0)</f>
        <v>0</v>
      </c>
      <c r="H1201" s="220">
        <f>IFERROR(IF(AND(MIN(A1201&gt;25,Age+A1201&gt;=85),B1201=12),VLOOKUP(A1201,Output!$A$27:$AE$137,31,FALSE),0),0)</f>
        <v>0</v>
      </c>
      <c r="I1201" s="221">
        <f>IFERROR(IF(AND(MIN(A1201&gt;15,A1201+Age&gt;=70),C1201=1),VLOOKUP(A1201,Output!$A$27:$AF$137,32,FALSE)*VLOOKUP('SV calc_ignore'!A1201,Output!$A$27:$AG$137,33,FALSE)/IF(AnnuityMode=2,2,IF(AnnuityMode=4,4,IF(AnnuityMode=12,12,1))),0),0)</f>
        <v>0</v>
      </c>
      <c r="J1201" s="227">
        <f t="shared" si="220"/>
        <v>0</v>
      </c>
      <c r="K1201" s="213">
        <f t="shared" si="227"/>
        <v>0</v>
      </c>
      <c r="L1201" s="209">
        <f t="shared" si="221"/>
        <v>0</v>
      </c>
      <c r="M1201" s="214">
        <f t="shared" si="222"/>
        <v>0</v>
      </c>
      <c r="N1201" s="211">
        <f t="shared" si="223"/>
        <v>0</v>
      </c>
      <c r="O1201" s="194">
        <f t="shared" si="224"/>
        <v>0</v>
      </c>
      <c r="P1201" s="212">
        <f t="shared" si="225"/>
        <v>0</v>
      </c>
      <c r="Q1201">
        <f t="shared" si="229"/>
        <v>0</v>
      </c>
      <c r="X1201" s="216">
        <f t="shared" si="228"/>
        <v>99</v>
      </c>
      <c r="Y1201">
        <f t="shared" si="226"/>
        <v>0</v>
      </c>
    </row>
    <row r="1202" spans="1:25" ht="13.5" thickBot="1" x14ac:dyDescent="0.25">
      <c r="A1202" s="204">
        <f>IF(MOD(COUNT($A$10:A1201),12)=0,A1201+1,A1201)</f>
        <v>100</v>
      </c>
      <c r="B1202" s="218">
        <f t="shared" si="218"/>
        <v>5</v>
      </c>
      <c r="C1202" s="218">
        <f t="shared" si="219"/>
        <v>1</v>
      </c>
      <c r="D1202" s="208">
        <f>IF(MOD(COUNT($D$10:D1201),6)=0,D1201+1,D1201)</f>
        <v>199</v>
      </c>
      <c r="E1202" s="208">
        <f>IF(MOD(COUNT($E$10:E1201),3)=0,E1201+1,E1201)</f>
        <v>398</v>
      </c>
      <c r="F1202" s="208">
        <f>IF(MOD(COUNT($F$10:F1201),1)=0,F1201+1,F1201)</f>
        <v>1193</v>
      </c>
      <c r="G1202" s="204">
        <f>IFERROR(IF(C1202=1,VLOOKUP(A1202,Output!$A$27:$AB$137,28,FALSE)/AnnuityMode,0),0)</f>
        <v>0</v>
      </c>
      <c r="H1202" s="220">
        <f>IFERROR(IF(AND(MIN(A1202&gt;25,Age+A1202&gt;=85),B1202=12),VLOOKUP(A1202,Output!$A$27:$AE$137,31,FALSE),0),0)</f>
        <v>0</v>
      </c>
      <c r="I1202" s="221">
        <f>IFERROR(IF(AND(MIN(A1202&gt;15,A1202+Age&gt;=70),C1202=1),VLOOKUP(A1202,Output!$A$27:$AF$137,32,FALSE)*VLOOKUP('SV calc_ignore'!A1202,Output!$A$27:$AG$137,33,FALSE)/IF(AnnuityMode=2,2,IF(AnnuityMode=4,4,IF(AnnuityMode=12,12,1))),0),0)</f>
        <v>0</v>
      </c>
      <c r="J1202" s="227">
        <f t="shared" si="220"/>
        <v>0</v>
      </c>
      <c r="K1202" s="213">
        <f t="shared" si="227"/>
        <v>0</v>
      </c>
      <c r="L1202" s="209">
        <f t="shared" si="221"/>
        <v>0</v>
      </c>
      <c r="M1202" s="214">
        <f t="shared" si="222"/>
        <v>0</v>
      </c>
      <c r="N1202" s="211">
        <f t="shared" si="223"/>
        <v>0</v>
      </c>
      <c r="O1202" s="194">
        <f t="shared" si="224"/>
        <v>0</v>
      </c>
      <c r="P1202" s="212">
        <f t="shared" si="225"/>
        <v>0</v>
      </c>
      <c r="Q1202">
        <f t="shared" si="229"/>
        <v>0</v>
      </c>
      <c r="X1202" s="216">
        <f t="shared" si="228"/>
        <v>99</v>
      </c>
      <c r="Y1202">
        <f t="shared" si="226"/>
        <v>0</v>
      </c>
    </row>
    <row r="1203" spans="1:25" ht="13.5" thickBot="1" x14ac:dyDescent="0.25">
      <c r="A1203" s="204">
        <f>IF(MOD(COUNT($A$10:A1202),12)=0,A1202+1,A1202)</f>
        <v>100</v>
      </c>
      <c r="B1203" s="218">
        <f t="shared" si="218"/>
        <v>6</v>
      </c>
      <c r="C1203" s="218">
        <f t="shared" si="219"/>
        <v>1</v>
      </c>
      <c r="D1203" s="208">
        <f>IF(MOD(COUNT($D$10:D1202),6)=0,D1202+1,D1202)</f>
        <v>199</v>
      </c>
      <c r="E1203" s="208">
        <f>IF(MOD(COUNT($E$10:E1202),3)=0,E1202+1,E1202)</f>
        <v>398</v>
      </c>
      <c r="F1203" s="208">
        <f>IF(MOD(COUNT($F$10:F1202),1)=0,F1202+1,F1202)</f>
        <v>1194</v>
      </c>
      <c r="G1203" s="204">
        <f>IFERROR(IF(C1203=1,VLOOKUP(A1203,Output!$A$27:$AB$137,28,FALSE)/AnnuityMode,0),0)</f>
        <v>0</v>
      </c>
      <c r="H1203" s="220">
        <f>IFERROR(IF(AND(MIN(A1203&gt;25,Age+A1203&gt;=85),B1203=12),VLOOKUP(A1203,Output!$A$27:$AE$137,31,FALSE),0),0)</f>
        <v>0</v>
      </c>
      <c r="I1203" s="221">
        <f>IFERROR(IF(AND(MIN(A1203&gt;15,A1203+Age&gt;=70),C1203=1),VLOOKUP(A1203,Output!$A$27:$AF$137,32,FALSE)*VLOOKUP('SV calc_ignore'!A1203,Output!$A$27:$AG$137,33,FALSE)/IF(AnnuityMode=2,2,IF(AnnuityMode=4,4,IF(AnnuityMode=12,12,1))),0),0)</f>
        <v>0</v>
      </c>
      <c r="J1203" s="227">
        <f t="shared" si="220"/>
        <v>0</v>
      </c>
      <c r="K1203" s="213">
        <f t="shared" si="227"/>
        <v>0</v>
      </c>
      <c r="L1203" s="209">
        <f t="shared" si="221"/>
        <v>0</v>
      </c>
      <c r="M1203" s="214">
        <f t="shared" si="222"/>
        <v>0</v>
      </c>
      <c r="N1203" s="211">
        <f t="shared" si="223"/>
        <v>0</v>
      </c>
      <c r="O1203" s="194">
        <f t="shared" si="224"/>
        <v>0</v>
      </c>
      <c r="P1203" s="212">
        <f t="shared" si="225"/>
        <v>0</v>
      </c>
      <c r="Q1203">
        <f t="shared" si="229"/>
        <v>0</v>
      </c>
      <c r="X1203" s="216">
        <f t="shared" si="228"/>
        <v>99</v>
      </c>
      <c r="Y1203">
        <f t="shared" si="226"/>
        <v>0</v>
      </c>
    </row>
    <row r="1204" spans="1:25" ht="13.5" thickBot="1" x14ac:dyDescent="0.25">
      <c r="A1204" s="204">
        <f>IF(MOD(COUNT($A$10:A1203),12)=0,A1203+1,A1203)</f>
        <v>100</v>
      </c>
      <c r="B1204" s="218">
        <f t="shared" si="218"/>
        <v>7</v>
      </c>
      <c r="C1204" s="218">
        <f t="shared" si="219"/>
        <v>1</v>
      </c>
      <c r="D1204" s="208">
        <f>IF(MOD(COUNT($D$10:D1203),6)=0,D1203+1,D1203)</f>
        <v>200</v>
      </c>
      <c r="E1204" s="208">
        <f>IF(MOD(COUNT($E$10:E1203),3)=0,E1203+1,E1203)</f>
        <v>399</v>
      </c>
      <c r="F1204" s="208">
        <f>IF(MOD(COUNT($F$10:F1203),1)=0,F1203+1,F1203)</f>
        <v>1195</v>
      </c>
      <c r="G1204" s="204">
        <f>IFERROR(IF(C1204=1,VLOOKUP(A1204,Output!$A$27:$AB$137,28,FALSE)/AnnuityMode,0),0)</f>
        <v>0</v>
      </c>
      <c r="H1204" s="220">
        <f>IFERROR(IF(AND(MIN(A1204&gt;25,Age+A1204&gt;=85),B1204=12),VLOOKUP(A1204,Output!$A$27:$AE$137,31,FALSE),0),0)</f>
        <v>0</v>
      </c>
      <c r="I1204" s="221">
        <f>IFERROR(IF(AND(MIN(A1204&gt;15,A1204+Age&gt;=70),C1204=1),VLOOKUP(A1204,Output!$A$27:$AF$137,32,FALSE)*VLOOKUP('SV calc_ignore'!A1204,Output!$A$27:$AG$137,33,FALSE)/IF(AnnuityMode=2,2,IF(AnnuityMode=4,4,IF(AnnuityMode=12,12,1))),0),0)</f>
        <v>0</v>
      </c>
      <c r="J1204" s="227">
        <f t="shared" si="220"/>
        <v>0</v>
      </c>
      <c r="K1204" s="213">
        <f t="shared" si="227"/>
        <v>0</v>
      </c>
      <c r="L1204" s="209">
        <f t="shared" si="221"/>
        <v>0</v>
      </c>
      <c r="M1204" s="214">
        <f t="shared" si="222"/>
        <v>0</v>
      </c>
      <c r="N1204" s="211">
        <f t="shared" si="223"/>
        <v>0</v>
      </c>
      <c r="O1204" s="194">
        <f t="shared" si="224"/>
        <v>0</v>
      </c>
      <c r="P1204" s="212">
        <f t="shared" si="225"/>
        <v>0</v>
      </c>
      <c r="Q1204">
        <f t="shared" si="229"/>
        <v>0</v>
      </c>
      <c r="X1204" s="216">
        <f t="shared" si="228"/>
        <v>99</v>
      </c>
      <c r="Y1204">
        <f t="shared" si="226"/>
        <v>0</v>
      </c>
    </row>
    <row r="1205" spans="1:25" ht="13.5" thickBot="1" x14ac:dyDescent="0.25">
      <c r="A1205" s="204">
        <f>IF(MOD(COUNT($A$10:A1204),12)=0,A1204+1,A1204)</f>
        <v>100</v>
      </c>
      <c r="B1205" s="218">
        <f t="shared" si="218"/>
        <v>8</v>
      </c>
      <c r="C1205" s="218">
        <f t="shared" si="219"/>
        <v>1</v>
      </c>
      <c r="D1205" s="208">
        <f>IF(MOD(COUNT($D$10:D1204),6)=0,D1204+1,D1204)</f>
        <v>200</v>
      </c>
      <c r="E1205" s="208">
        <f>IF(MOD(COUNT($E$10:E1204),3)=0,E1204+1,E1204)</f>
        <v>399</v>
      </c>
      <c r="F1205" s="208">
        <f>IF(MOD(COUNT($F$10:F1204),1)=0,F1204+1,F1204)</f>
        <v>1196</v>
      </c>
      <c r="G1205" s="204">
        <f>IFERROR(IF(C1205=1,VLOOKUP(A1205,Output!$A$27:$AB$137,28,FALSE)/AnnuityMode,0),0)</f>
        <v>0</v>
      </c>
      <c r="H1205" s="220">
        <f>IFERROR(IF(AND(MIN(A1205&gt;25,Age+A1205&gt;=85),B1205=12),VLOOKUP(A1205,Output!$A$27:$AE$137,31,FALSE),0),0)</f>
        <v>0</v>
      </c>
      <c r="I1205" s="221">
        <f>IFERROR(IF(AND(MIN(A1205&gt;15,A1205+Age&gt;=70),C1205=1),VLOOKUP(A1205,Output!$A$27:$AF$137,32,FALSE)*VLOOKUP('SV calc_ignore'!A1205,Output!$A$27:$AG$137,33,FALSE)/IF(AnnuityMode=2,2,IF(AnnuityMode=4,4,IF(AnnuityMode=12,12,1))),0),0)</f>
        <v>0</v>
      </c>
      <c r="J1205" s="227">
        <f t="shared" si="220"/>
        <v>0</v>
      </c>
      <c r="K1205" s="213">
        <f t="shared" si="227"/>
        <v>0</v>
      </c>
      <c r="L1205" s="209">
        <f t="shared" si="221"/>
        <v>0</v>
      </c>
      <c r="M1205" s="214">
        <f t="shared" si="222"/>
        <v>0</v>
      </c>
      <c r="N1205" s="211">
        <f t="shared" si="223"/>
        <v>0</v>
      </c>
      <c r="O1205" s="194">
        <f t="shared" si="224"/>
        <v>0</v>
      </c>
      <c r="P1205" s="212">
        <f t="shared" si="225"/>
        <v>0</v>
      </c>
      <c r="Q1205">
        <f t="shared" si="229"/>
        <v>0</v>
      </c>
      <c r="X1205" s="216">
        <f t="shared" si="228"/>
        <v>99</v>
      </c>
      <c r="Y1205">
        <f t="shared" si="226"/>
        <v>0</v>
      </c>
    </row>
    <row r="1206" spans="1:25" ht="13.5" thickBot="1" x14ac:dyDescent="0.25">
      <c r="A1206" s="204">
        <f>IF(MOD(COUNT($A$10:A1205),12)=0,A1205+1,A1205)</f>
        <v>100</v>
      </c>
      <c r="B1206" s="218">
        <f t="shared" si="218"/>
        <v>9</v>
      </c>
      <c r="C1206" s="218">
        <f t="shared" si="219"/>
        <v>1</v>
      </c>
      <c r="D1206" s="208">
        <f>IF(MOD(COUNT($D$10:D1205),6)=0,D1205+1,D1205)</f>
        <v>200</v>
      </c>
      <c r="E1206" s="208">
        <f>IF(MOD(COUNT($E$10:E1205),3)=0,E1205+1,E1205)</f>
        <v>399</v>
      </c>
      <c r="F1206" s="208">
        <f>IF(MOD(COUNT($F$10:F1205),1)=0,F1205+1,F1205)</f>
        <v>1197</v>
      </c>
      <c r="G1206" s="204">
        <f>IFERROR(IF(C1206=1,VLOOKUP(A1206,Output!$A$27:$AB$137,28,FALSE)/AnnuityMode,0),0)</f>
        <v>0</v>
      </c>
      <c r="H1206" s="220">
        <f>IFERROR(IF(AND(MIN(A1206&gt;25,Age+A1206&gt;=85),B1206=12),VLOOKUP(A1206,Output!$A$27:$AE$137,31,FALSE),0),0)</f>
        <v>0</v>
      </c>
      <c r="I1206" s="221">
        <f>IFERROR(IF(AND(MIN(A1206&gt;15,A1206+Age&gt;=70),C1206=1),VLOOKUP(A1206,Output!$A$27:$AF$137,32,FALSE)*VLOOKUP('SV calc_ignore'!A1206,Output!$A$27:$AG$137,33,FALSE)/IF(AnnuityMode=2,2,IF(AnnuityMode=4,4,IF(AnnuityMode=12,12,1))),0),0)</f>
        <v>0</v>
      </c>
      <c r="J1206" s="227">
        <f t="shared" si="220"/>
        <v>0</v>
      </c>
      <c r="K1206" s="213">
        <f t="shared" si="227"/>
        <v>0</v>
      </c>
      <c r="L1206" s="209">
        <f t="shared" si="221"/>
        <v>0</v>
      </c>
      <c r="M1206" s="214">
        <f t="shared" si="222"/>
        <v>0</v>
      </c>
      <c r="N1206" s="211">
        <f t="shared" si="223"/>
        <v>0</v>
      </c>
      <c r="O1206" s="194">
        <f t="shared" si="224"/>
        <v>0</v>
      </c>
      <c r="P1206" s="212">
        <f t="shared" si="225"/>
        <v>0</v>
      </c>
      <c r="Q1206">
        <f t="shared" si="229"/>
        <v>0</v>
      </c>
      <c r="X1206" s="216">
        <f t="shared" si="228"/>
        <v>99</v>
      </c>
      <c r="Y1206">
        <f t="shared" si="226"/>
        <v>0</v>
      </c>
    </row>
    <row r="1207" spans="1:25" ht="13.5" thickBot="1" x14ac:dyDescent="0.25">
      <c r="A1207" s="204">
        <f>IF(MOD(COUNT($A$10:A1206),12)=0,A1206+1,A1206)</f>
        <v>100</v>
      </c>
      <c r="B1207" s="218">
        <f t="shared" si="218"/>
        <v>10</v>
      </c>
      <c r="C1207" s="218">
        <f t="shared" si="219"/>
        <v>1</v>
      </c>
      <c r="D1207" s="208">
        <f>IF(MOD(COUNT($D$10:D1206),6)=0,D1206+1,D1206)</f>
        <v>200</v>
      </c>
      <c r="E1207" s="208">
        <f>IF(MOD(COUNT($E$10:E1206),3)=0,E1206+1,E1206)</f>
        <v>400</v>
      </c>
      <c r="F1207" s="208">
        <f>IF(MOD(COUNT($F$10:F1206),1)=0,F1206+1,F1206)</f>
        <v>1198</v>
      </c>
      <c r="G1207" s="204">
        <f>IFERROR(IF(C1207=1,VLOOKUP(A1207,Output!$A$27:$AB$137,28,FALSE)/AnnuityMode,0),0)</f>
        <v>0</v>
      </c>
      <c r="H1207" s="220">
        <f>IFERROR(IF(AND(MIN(A1207&gt;25,Age+A1207&gt;=85),B1207=12),VLOOKUP(A1207,Output!$A$27:$AE$137,31,FALSE),0),0)</f>
        <v>0</v>
      </c>
      <c r="I1207" s="221">
        <f>IFERROR(IF(AND(MIN(A1207&gt;15,A1207+Age&gt;=70),C1207=1),VLOOKUP(A1207,Output!$A$27:$AF$137,32,FALSE)*VLOOKUP('SV calc_ignore'!A1207,Output!$A$27:$AG$137,33,FALSE)/IF(AnnuityMode=2,2,IF(AnnuityMode=4,4,IF(AnnuityMode=12,12,1))),0),0)</f>
        <v>0</v>
      </c>
      <c r="J1207" s="227">
        <f t="shared" si="220"/>
        <v>0</v>
      </c>
      <c r="K1207" s="213">
        <f t="shared" si="227"/>
        <v>0</v>
      </c>
      <c r="L1207" s="209">
        <f t="shared" si="221"/>
        <v>0</v>
      </c>
      <c r="M1207" s="214">
        <f t="shared" si="222"/>
        <v>0</v>
      </c>
      <c r="N1207" s="211">
        <f t="shared" si="223"/>
        <v>0</v>
      </c>
      <c r="O1207" s="194">
        <f t="shared" si="224"/>
        <v>0</v>
      </c>
      <c r="P1207" s="212">
        <f t="shared" si="225"/>
        <v>0</v>
      </c>
      <c r="Q1207">
        <f t="shared" si="229"/>
        <v>0</v>
      </c>
      <c r="X1207" s="216">
        <f t="shared" si="228"/>
        <v>99</v>
      </c>
      <c r="Y1207">
        <f t="shared" si="226"/>
        <v>0</v>
      </c>
    </row>
    <row r="1208" spans="1:25" ht="13.5" thickBot="1" x14ac:dyDescent="0.25">
      <c r="A1208" s="204">
        <f>IF(MOD(COUNT($A$10:A1207),12)=0,A1207+1,A1207)</f>
        <v>100</v>
      </c>
      <c r="B1208" s="218">
        <f t="shared" si="218"/>
        <v>11</v>
      </c>
      <c r="C1208" s="218">
        <f t="shared" si="219"/>
        <v>1</v>
      </c>
      <c r="D1208" s="208">
        <f>IF(MOD(COUNT($D$10:D1207),6)=0,D1207+1,D1207)</f>
        <v>200</v>
      </c>
      <c r="E1208" s="208">
        <f>IF(MOD(COUNT($E$10:E1207),3)=0,E1207+1,E1207)</f>
        <v>400</v>
      </c>
      <c r="F1208" s="208">
        <f>IF(MOD(COUNT($F$10:F1207),1)=0,F1207+1,F1207)</f>
        <v>1199</v>
      </c>
      <c r="G1208" s="204">
        <f>IFERROR(IF(C1208=1,VLOOKUP(A1208,Output!$A$27:$AB$137,28,FALSE)/AnnuityMode,0),0)</f>
        <v>0</v>
      </c>
      <c r="H1208" s="220">
        <f>IFERROR(IF(AND(MIN(A1208&gt;25,Age+A1208&gt;=85),B1208=12),VLOOKUP(A1208,Output!$A$27:$AE$137,31,FALSE),0),0)</f>
        <v>0</v>
      </c>
      <c r="I1208" s="221">
        <f>IFERROR(IF(AND(MIN(A1208&gt;15,A1208+Age&gt;=70),C1208=1),VLOOKUP(A1208,Output!$A$27:$AF$137,32,FALSE)*VLOOKUP('SV calc_ignore'!A1208,Output!$A$27:$AG$137,33,FALSE)/IF(AnnuityMode=2,2,IF(AnnuityMode=4,4,IF(AnnuityMode=12,12,1))),0),0)</f>
        <v>0</v>
      </c>
      <c r="J1208" s="227">
        <f t="shared" si="220"/>
        <v>0</v>
      </c>
      <c r="K1208" s="213">
        <f t="shared" si="227"/>
        <v>0</v>
      </c>
      <c r="L1208" s="209">
        <f t="shared" si="221"/>
        <v>0</v>
      </c>
      <c r="M1208" s="214">
        <f t="shared" si="222"/>
        <v>0</v>
      </c>
      <c r="N1208" s="211">
        <f t="shared" si="223"/>
        <v>0</v>
      </c>
      <c r="O1208" s="194">
        <f t="shared" si="224"/>
        <v>0</v>
      </c>
      <c r="P1208" s="212">
        <f t="shared" si="225"/>
        <v>0</v>
      </c>
      <c r="Q1208">
        <f t="shared" si="229"/>
        <v>0</v>
      </c>
      <c r="X1208" s="216">
        <f t="shared" si="228"/>
        <v>99</v>
      </c>
      <c r="Y1208">
        <f t="shared" si="226"/>
        <v>0</v>
      </c>
    </row>
    <row r="1209" spans="1:25" ht="13.5" thickBot="1" x14ac:dyDescent="0.25">
      <c r="A1209" s="204">
        <f>IF(MOD(COUNT($A$10:A1208),12)=0,A1208+1,A1208)</f>
        <v>100</v>
      </c>
      <c r="B1209" s="218">
        <f t="shared" si="218"/>
        <v>12</v>
      </c>
      <c r="C1209" s="218">
        <f t="shared" si="219"/>
        <v>1</v>
      </c>
      <c r="D1209" s="208">
        <f>IF(MOD(COUNT($D$10:D1208),6)=0,D1208+1,D1208)</f>
        <v>200</v>
      </c>
      <c r="E1209" s="208">
        <f>IF(MOD(COUNT($E$10:E1208),3)=0,E1208+1,E1208)</f>
        <v>400</v>
      </c>
      <c r="F1209" s="208">
        <f>IF(MOD(COUNT($F$10:F1208),1)=0,F1208+1,F1208)</f>
        <v>1200</v>
      </c>
      <c r="G1209" s="204">
        <f>IFERROR(IF(C1209=1,VLOOKUP(A1209,Output!$A$27:$AB$137,28,FALSE)/AnnuityMode,0),0)</f>
        <v>0</v>
      </c>
      <c r="H1209" s="220">
        <f>IFERROR(IF(AND(MIN(A1209&gt;25,Age+A1209&gt;=85),B1209=12),VLOOKUP(A1209,Output!$A$27:$AE$137,31,FALSE),0),0)</f>
        <v>0</v>
      </c>
      <c r="I1209" s="221">
        <f>IFERROR(IF(AND(MIN(A1209&gt;15,A1209+Age&gt;=70),C1209=1),VLOOKUP(A1209,Output!$A$27:$AF$137,32,FALSE)*VLOOKUP('SV calc_ignore'!A1209,Output!$A$27:$AG$137,33,FALSE)/IF(AnnuityMode=2,2,IF(AnnuityMode=4,4,IF(AnnuityMode=12,12,1))),0),0)</f>
        <v>0</v>
      </c>
      <c r="J1209" s="227">
        <f t="shared" si="220"/>
        <v>0</v>
      </c>
      <c r="K1209" s="213">
        <f t="shared" si="227"/>
        <v>0</v>
      </c>
      <c r="L1209" s="209">
        <f t="shared" si="221"/>
        <v>0</v>
      </c>
      <c r="M1209" s="214">
        <f t="shared" si="222"/>
        <v>0</v>
      </c>
      <c r="N1209" s="211">
        <f t="shared" si="223"/>
        <v>0</v>
      </c>
      <c r="O1209" s="194">
        <f t="shared" si="224"/>
        <v>0</v>
      </c>
      <c r="P1209" s="212">
        <f t="shared" si="225"/>
        <v>0</v>
      </c>
      <c r="Q1209">
        <f t="shared" si="229"/>
        <v>0</v>
      </c>
      <c r="X1209" s="216">
        <f t="shared" si="228"/>
        <v>99</v>
      </c>
      <c r="Y1209">
        <f t="shared" si="226"/>
        <v>0</v>
      </c>
    </row>
    <row r="1210" spans="1:25" ht="13.5" thickBot="1" x14ac:dyDescent="0.25">
      <c r="A1210" s="204">
        <f>IF(MOD(COUNT($A$10:A1209),12)=0,A1209+1,A1209)</f>
        <v>101</v>
      </c>
      <c r="B1210" s="218">
        <f t="shared" si="218"/>
        <v>1</v>
      </c>
      <c r="C1210" s="218">
        <f t="shared" si="219"/>
        <v>1</v>
      </c>
      <c r="D1210" s="208">
        <f>IF(MOD(COUNT($D$10:D1209),6)=0,D1209+1,D1209)</f>
        <v>201</v>
      </c>
      <c r="E1210" s="208">
        <f>IF(MOD(COUNT($E$10:E1209),3)=0,E1209+1,E1209)</f>
        <v>401</v>
      </c>
      <c r="F1210" s="208">
        <f>IF(MOD(COUNT($F$10:F1209),1)=0,F1209+1,F1209)</f>
        <v>1201</v>
      </c>
      <c r="G1210" s="204">
        <f>IFERROR(IF(C1210=1,VLOOKUP(A1210,Output!$A$27:$AB$137,28,FALSE)/AnnuityMode,0),0)</f>
        <v>0</v>
      </c>
      <c r="H1210" s="220">
        <f>IFERROR(IF(AND(MIN(A1210&gt;25,Age+A1210&gt;=85),B1210=12),VLOOKUP(A1210,Output!$A$27:$AE$137,31,FALSE),0),0)</f>
        <v>0</v>
      </c>
      <c r="I1210" s="221">
        <f>IFERROR(IF(AND(MIN(A1210&gt;15,A1210+Age&gt;=70),C1210=1),VLOOKUP(A1210,Output!$A$27:$AF$137,32,FALSE)*VLOOKUP('SV calc_ignore'!A1210,Output!$A$27:$AG$137,33,FALSE)/IF(AnnuityMode=2,2,IF(AnnuityMode=4,4,IF(AnnuityMode=12,12,1))),0),0)</f>
        <v>0</v>
      </c>
      <c r="J1210" s="227">
        <f t="shared" si="220"/>
        <v>0</v>
      </c>
      <c r="K1210" s="213">
        <f t="shared" si="227"/>
        <v>0</v>
      </c>
      <c r="L1210" s="209">
        <f t="shared" si="221"/>
        <v>0</v>
      </c>
      <c r="M1210" s="214">
        <f t="shared" si="222"/>
        <v>0</v>
      </c>
      <c r="N1210" s="211">
        <f t="shared" si="223"/>
        <v>0</v>
      </c>
      <c r="O1210" s="194">
        <f t="shared" si="224"/>
        <v>0</v>
      </c>
      <c r="P1210" s="212">
        <f t="shared" si="225"/>
        <v>0</v>
      </c>
      <c r="Q1210">
        <f t="shared" si="229"/>
        <v>0</v>
      </c>
      <c r="X1210" s="216">
        <f t="shared" si="228"/>
        <v>100</v>
      </c>
      <c r="Y1210">
        <f t="shared" si="226"/>
        <v>0</v>
      </c>
    </row>
    <row r="1211" spans="1:25" ht="13.5" thickBot="1" x14ac:dyDescent="0.25">
      <c r="A1211" s="204">
        <f>IF(MOD(COUNT($A$10:A1210),12)=0,A1210+1,A1210)</f>
        <v>101</v>
      </c>
      <c r="B1211" s="218">
        <f t="shared" si="218"/>
        <v>2</v>
      </c>
      <c r="C1211" s="218">
        <f t="shared" si="219"/>
        <v>1</v>
      </c>
      <c r="D1211" s="208">
        <f>IF(MOD(COUNT($D$10:D1210),6)=0,D1210+1,D1210)</f>
        <v>201</v>
      </c>
      <c r="E1211" s="208">
        <f>IF(MOD(COUNT($E$10:E1210),3)=0,E1210+1,E1210)</f>
        <v>401</v>
      </c>
      <c r="F1211" s="208">
        <f>IF(MOD(COUNT($F$10:F1210),1)=0,F1210+1,F1210)</f>
        <v>1202</v>
      </c>
      <c r="G1211" s="204">
        <f>IFERROR(IF(C1211=1,VLOOKUP(A1211,Output!$A$27:$AB$137,28,FALSE)/AnnuityMode,0),0)</f>
        <v>0</v>
      </c>
      <c r="H1211" s="220">
        <f>IFERROR(IF(AND(MIN(A1211&gt;25,Age+A1211&gt;=85),B1211=12),VLOOKUP(A1211,Output!$A$27:$AE$137,31,FALSE),0),0)</f>
        <v>0</v>
      </c>
      <c r="I1211" s="221">
        <f>IFERROR(IF(AND(MIN(A1211&gt;15,A1211+Age&gt;=70),C1211=1),VLOOKUP(A1211,Output!$A$27:$AF$137,32,FALSE)*VLOOKUP('SV calc_ignore'!A1211,Output!$A$27:$AG$137,33,FALSE)/IF(AnnuityMode=2,2,IF(AnnuityMode=4,4,IF(AnnuityMode=12,12,1))),0),0)</f>
        <v>0</v>
      </c>
      <c r="J1211" s="227">
        <f t="shared" si="220"/>
        <v>0</v>
      </c>
      <c r="K1211" s="213">
        <f t="shared" si="227"/>
        <v>0</v>
      </c>
      <c r="L1211" s="209">
        <f t="shared" si="221"/>
        <v>0</v>
      </c>
      <c r="M1211" s="214">
        <f t="shared" si="222"/>
        <v>0</v>
      </c>
      <c r="N1211" s="211">
        <f t="shared" si="223"/>
        <v>0</v>
      </c>
      <c r="O1211" s="194">
        <f t="shared" si="224"/>
        <v>0</v>
      </c>
      <c r="P1211" s="212">
        <f t="shared" si="225"/>
        <v>0</v>
      </c>
      <c r="Q1211">
        <f t="shared" si="229"/>
        <v>0</v>
      </c>
      <c r="X1211" s="216">
        <f t="shared" si="228"/>
        <v>100</v>
      </c>
      <c r="Y1211">
        <f t="shared" si="226"/>
        <v>0</v>
      </c>
    </row>
    <row r="1212" spans="1:25" ht="13.5" thickBot="1" x14ac:dyDescent="0.25">
      <c r="A1212" s="204">
        <f>IF(MOD(COUNT($A$10:A1211),12)=0,A1211+1,A1211)</f>
        <v>101</v>
      </c>
      <c r="B1212" s="218">
        <f t="shared" si="218"/>
        <v>3</v>
      </c>
      <c r="C1212" s="218">
        <f t="shared" si="219"/>
        <v>1</v>
      </c>
      <c r="D1212" s="208">
        <f>IF(MOD(COUNT($D$10:D1211),6)=0,D1211+1,D1211)</f>
        <v>201</v>
      </c>
      <c r="E1212" s="208">
        <f>IF(MOD(COUNT($E$10:E1211),3)=0,E1211+1,E1211)</f>
        <v>401</v>
      </c>
      <c r="F1212" s="208">
        <f>IF(MOD(COUNT($F$10:F1211),1)=0,F1211+1,F1211)</f>
        <v>1203</v>
      </c>
      <c r="G1212" s="204">
        <f>IFERROR(IF(C1212=1,VLOOKUP(A1212,Output!$A$27:$AB$137,28,FALSE)/AnnuityMode,0),0)</f>
        <v>0</v>
      </c>
      <c r="H1212" s="220">
        <f>IFERROR(IF(AND(MIN(A1212&gt;25,Age+A1212&gt;=85),B1212=12),VLOOKUP(A1212,Output!$A$27:$AE$137,31,FALSE),0),0)</f>
        <v>0</v>
      </c>
      <c r="I1212" s="221">
        <f>IFERROR(IF(AND(MIN(A1212&gt;15,A1212+Age&gt;=70),C1212=1),VLOOKUP(A1212,Output!$A$27:$AF$137,32,FALSE)*VLOOKUP('SV calc_ignore'!A1212,Output!$A$27:$AG$137,33,FALSE)/IF(AnnuityMode=2,2,IF(AnnuityMode=4,4,IF(AnnuityMode=12,12,1))),0),0)</f>
        <v>0</v>
      </c>
      <c r="J1212" s="227">
        <f t="shared" si="220"/>
        <v>0</v>
      </c>
      <c r="K1212" s="213">
        <f t="shared" si="227"/>
        <v>0</v>
      </c>
      <c r="L1212" s="209">
        <f t="shared" si="221"/>
        <v>0</v>
      </c>
      <c r="M1212" s="214">
        <f t="shared" si="222"/>
        <v>0</v>
      </c>
      <c r="N1212" s="211">
        <f t="shared" si="223"/>
        <v>0</v>
      </c>
      <c r="O1212" s="194">
        <f t="shared" si="224"/>
        <v>0</v>
      </c>
      <c r="P1212" s="212">
        <f t="shared" si="225"/>
        <v>0</v>
      </c>
      <c r="Q1212">
        <f t="shared" si="229"/>
        <v>0</v>
      </c>
      <c r="X1212" s="216">
        <f t="shared" si="228"/>
        <v>100</v>
      </c>
      <c r="Y1212">
        <f t="shared" si="226"/>
        <v>0</v>
      </c>
    </row>
    <row r="1213" spans="1:25" ht="13.5" thickBot="1" x14ac:dyDescent="0.25">
      <c r="A1213" s="204">
        <f>IF(MOD(COUNT($A$10:A1212),12)=0,A1212+1,A1212)</f>
        <v>101</v>
      </c>
      <c r="B1213" s="218">
        <f t="shared" si="218"/>
        <v>4</v>
      </c>
      <c r="C1213" s="218">
        <f t="shared" si="219"/>
        <v>1</v>
      </c>
      <c r="D1213" s="208">
        <f>IF(MOD(COUNT($D$10:D1212),6)=0,D1212+1,D1212)</f>
        <v>201</v>
      </c>
      <c r="E1213" s="208">
        <f>IF(MOD(COUNT($E$10:E1212),3)=0,E1212+1,E1212)</f>
        <v>402</v>
      </c>
      <c r="F1213" s="208">
        <f>IF(MOD(COUNT($F$10:F1212),1)=0,F1212+1,F1212)</f>
        <v>1204</v>
      </c>
      <c r="G1213" s="204">
        <f>IFERROR(IF(C1213=1,VLOOKUP(A1213,Output!$A$27:$AB$137,28,FALSE)/AnnuityMode,0),0)</f>
        <v>0</v>
      </c>
      <c r="H1213" s="220">
        <f>IFERROR(IF(AND(MIN(A1213&gt;25,Age+A1213&gt;=85),B1213=12),VLOOKUP(A1213,Output!$A$27:$AE$137,31,FALSE),0),0)</f>
        <v>0</v>
      </c>
      <c r="I1213" s="221">
        <f>IFERROR(IF(AND(MIN(A1213&gt;15,A1213+Age&gt;=70),C1213=1),VLOOKUP(A1213,Output!$A$27:$AF$137,32,FALSE)*VLOOKUP('SV calc_ignore'!A1213,Output!$A$27:$AG$137,33,FALSE)/IF(AnnuityMode=2,2,IF(AnnuityMode=4,4,IF(AnnuityMode=12,12,1))),0),0)</f>
        <v>0</v>
      </c>
      <c r="J1213" s="227">
        <f t="shared" si="220"/>
        <v>0</v>
      </c>
      <c r="K1213" s="213">
        <f t="shared" si="227"/>
        <v>0</v>
      </c>
      <c r="L1213" s="209">
        <f t="shared" si="221"/>
        <v>0</v>
      </c>
      <c r="M1213" s="214">
        <f t="shared" si="222"/>
        <v>0</v>
      </c>
      <c r="N1213" s="211">
        <f t="shared" si="223"/>
        <v>0</v>
      </c>
      <c r="O1213" s="194">
        <f t="shared" si="224"/>
        <v>0</v>
      </c>
      <c r="P1213" s="212">
        <f t="shared" si="225"/>
        <v>0</v>
      </c>
      <c r="Q1213">
        <f t="shared" si="229"/>
        <v>0</v>
      </c>
      <c r="X1213" s="216">
        <f t="shared" si="228"/>
        <v>100</v>
      </c>
      <c r="Y1213">
        <f t="shared" si="226"/>
        <v>0</v>
      </c>
    </row>
    <row r="1214" spans="1:25" ht="13.5" thickBot="1" x14ac:dyDescent="0.25">
      <c r="A1214" s="204">
        <f>IF(MOD(COUNT($A$10:A1213),12)=0,A1213+1,A1213)</f>
        <v>101</v>
      </c>
      <c r="B1214" s="218">
        <f t="shared" si="218"/>
        <v>5</v>
      </c>
      <c r="C1214" s="218">
        <f t="shared" si="219"/>
        <v>1</v>
      </c>
      <c r="D1214" s="208">
        <f>IF(MOD(COUNT($D$10:D1213),6)=0,D1213+1,D1213)</f>
        <v>201</v>
      </c>
      <c r="E1214" s="208">
        <f>IF(MOD(COUNT($E$10:E1213),3)=0,E1213+1,E1213)</f>
        <v>402</v>
      </c>
      <c r="F1214" s="208">
        <f>IF(MOD(COUNT($F$10:F1213),1)=0,F1213+1,F1213)</f>
        <v>1205</v>
      </c>
      <c r="G1214" s="204">
        <f>IFERROR(IF(C1214=1,VLOOKUP(A1214,Output!$A$27:$AB$137,28,FALSE)/AnnuityMode,0),0)</f>
        <v>0</v>
      </c>
      <c r="H1214" s="220">
        <f>IFERROR(IF(AND(MIN(A1214&gt;25,Age+A1214&gt;=85),B1214=12),VLOOKUP(A1214,Output!$A$27:$AE$137,31,FALSE),0),0)</f>
        <v>0</v>
      </c>
      <c r="I1214" s="221">
        <f>IFERROR(IF(AND(MIN(A1214&gt;15,A1214+Age&gt;=70),C1214=1),VLOOKUP(A1214,Output!$A$27:$AF$137,32,FALSE)*VLOOKUP('SV calc_ignore'!A1214,Output!$A$27:$AG$137,33,FALSE)/IF(AnnuityMode=2,2,IF(AnnuityMode=4,4,IF(AnnuityMode=12,12,1))),0),0)</f>
        <v>0</v>
      </c>
      <c r="J1214" s="227">
        <f t="shared" si="220"/>
        <v>0</v>
      </c>
      <c r="K1214" s="213">
        <f t="shared" si="227"/>
        <v>0</v>
      </c>
      <c r="L1214" s="209">
        <f t="shared" si="221"/>
        <v>0</v>
      </c>
      <c r="M1214" s="214">
        <f t="shared" si="222"/>
        <v>0</v>
      </c>
      <c r="N1214" s="211">
        <f t="shared" si="223"/>
        <v>0</v>
      </c>
      <c r="O1214" s="194">
        <f t="shared" si="224"/>
        <v>0</v>
      </c>
      <c r="P1214" s="212">
        <f t="shared" si="225"/>
        <v>0</v>
      </c>
      <c r="Q1214">
        <f t="shared" si="229"/>
        <v>0</v>
      </c>
      <c r="X1214" s="216">
        <f t="shared" si="228"/>
        <v>100</v>
      </c>
      <c r="Y1214">
        <f t="shared" si="226"/>
        <v>0</v>
      </c>
    </row>
    <row r="1215" spans="1:25" ht="13.5" thickBot="1" x14ac:dyDescent="0.25">
      <c r="A1215" s="204">
        <f>IF(MOD(COUNT($A$10:A1214),12)=0,A1214+1,A1214)</f>
        <v>101</v>
      </c>
      <c r="B1215" s="218">
        <f t="shared" si="218"/>
        <v>6</v>
      </c>
      <c r="C1215" s="218">
        <f t="shared" si="219"/>
        <v>1</v>
      </c>
      <c r="D1215" s="208">
        <f>IF(MOD(COUNT($D$10:D1214),6)=0,D1214+1,D1214)</f>
        <v>201</v>
      </c>
      <c r="E1215" s="208">
        <f>IF(MOD(COUNT($E$10:E1214),3)=0,E1214+1,E1214)</f>
        <v>402</v>
      </c>
      <c r="F1215" s="208">
        <f>IF(MOD(COUNT($F$10:F1214),1)=0,F1214+1,F1214)</f>
        <v>1206</v>
      </c>
      <c r="G1215" s="204">
        <f>IFERROR(IF(C1215=1,VLOOKUP(A1215,Output!$A$27:$AB$137,28,FALSE)/AnnuityMode,0),0)</f>
        <v>0</v>
      </c>
      <c r="H1215" s="220">
        <f>IFERROR(IF(AND(MIN(A1215&gt;25,Age+A1215&gt;=85),B1215=12),VLOOKUP(A1215,Output!$A$27:$AE$137,31,FALSE),0),0)</f>
        <v>0</v>
      </c>
      <c r="I1215" s="221">
        <f>IFERROR(IF(AND(MIN(A1215&gt;15,A1215+Age&gt;=70),C1215=1),VLOOKUP(A1215,Output!$A$27:$AF$137,32,FALSE)*VLOOKUP('SV calc_ignore'!A1215,Output!$A$27:$AG$137,33,FALSE)/IF(AnnuityMode=2,2,IF(AnnuityMode=4,4,IF(AnnuityMode=12,12,1))),0),0)</f>
        <v>0</v>
      </c>
      <c r="J1215" s="227">
        <f t="shared" si="220"/>
        <v>0</v>
      </c>
      <c r="K1215" s="213">
        <f t="shared" si="227"/>
        <v>0</v>
      </c>
      <c r="L1215" s="209">
        <f t="shared" si="221"/>
        <v>0</v>
      </c>
      <c r="M1215" s="214">
        <f t="shared" si="222"/>
        <v>0</v>
      </c>
      <c r="N1215" s="211">
        <f t="shared" si="223"/>
        <v>0</v>
      </c>
      <c r="O1215" s="194">
        <f t="shared" si="224"/>
        <v>0</v>
      </c>
      <c r="P1215" s="212">
        <f t="shared" si="225"/>
        <v>0</v>
      </c>
      <c r="Q1215">
        <f t="shared" si="229"/>
        <v>0</v>
      </c>
      <c r="X1215" s="216">
        <f t="shared" si="228"/>
        <v>100</v>
      </c>
      <c r="Y1215">
        <f t="shared" si="226"/>
        <v>0</v>
      </c>
    </row>
    <row r="1216" spans="1:25" ht="13.5" thickBot="1" x14ac:dyDescent="0.25">
      <c r="A1216" s="204">
        <f>IF(MOD(COUNT($A$10:A1215),12)=0,A1215+1,A1215)</f>
        <v>101</v>
      </c>
      <c r="B1216" s="218">
        <f t="shared" si="218"/>
        <v>7</v>
      </c>
      <c r="C1216" s="218">
        <f t="shared" si="219"/>
        <v>1</v>
      </c>
      <c r="D1216" s="208">
        <f>IF(MOD(COUNT($D$10:D1215),6)=0,D1215+1,D1215)</f>
        <v>202</v>
      </c>
      <c r="E1216" s="208">
        <f>IF(MOD(COUNT($E$10:E1215),3)=0,E1215+1,E1215)</f>
        <v>403</v>
      </c>
      <c r="F1216" s="208">
        <f>IF(MOD(COUNT($F$10:F1215),1)=0,F1215+1,F1215)</f>
        <v>1207</v>
      </c>
      <c r="G1216" s="204">
        <f>IFERROR(IF(C1216=1,VLOOKUP(A1216,Output!$A$27:$AB$137,28,FALSE)/AnnuityMode,0),0)</f>
        <v>0</v>
      </c>
      <c r="H1216" s="220">
        <f>IFERROR(IF(AND(MIN(A1216&gt;25,Age+A1216&gt;=85),B1216=12),VLOOKUP(A1216,Output!$A$27:$AE$137,31,FALSE),0),0)</f>
        <v>0</v>
      </c>
      <c r="I1216" s="221">
        <f>IFERROR(IF(AND(MIN(A1216&gt;15,A1216+Age&gt;=70),C1216=1),VLOOKUP(A1216,Output!$A$27:$AF$137,32,FALSE)*VLOOKUP('SV calc_ignore'!A1216,Output!$A$27:$AG$137,33,FALSE)/IF(AnnuityMode=2,2,IF(AnnuityMode=4,4,IF(AnnuityMode=12,12,1))),0),0)</f>
        <v>0</v>
      </c>
      <c r="J1216" s="227">
        <f t="shared" si="220"/>
        <v>0</v>
      </c>
      <c r="K1216" s="213">
        <f t="shared" si="227"/>
        <v>0</v>
      </c>
      <c r="L1216" s="209">
        <f t="shared" si="221"/>
        <v>0</v>
      </c>
      <c r="M1216" s="214">
        <f t="shared" si="222"/>
        <v>0</v>
      </c>
      <c r="N1216" s="211">
        <f t="shared" si="223"/>
        <v>0</v>
      </c>
      <c r="O1216" s="194">
        <f t="shared" si="224"/>
        <v>0</v>
      </c>
      <c r="P1216" s="212">
        <f t="shared" si="225"/>
        <v>0</v>
      </c>
      <c r="Q1216">
        <f t="shared" si="229"/>
        <v>0</v>
      </c>
      <c r="X1216" s="216">
        <f t="shared" si="228"/>
        <v>100</v>
      </c>
      <c r="Y1216">
        <f t="shared" si="226"/>
        <v>0</v>
      </c>
    </row>
    <row r="1217" spans="1:25" ht="13.5" thickBot="1" x14ac:dyDescent="0.25">
      <c r="A1217" s="204">
        <f>IF(MOD(COUNT($A$10:A1216),12)=0,A1216+1,A1216)</f>
        <v>101</v>
      </c>
      <c r="B1217" s="218">
        <f t="shared" si="218"/>
        <v>8</v>
      </c>
      <c r="C1217" s="218">
        <f t="shared" si="219"/>
        <v>1</v>
      </c>
      <c r="D1217" s="208">
        <f>IF(MOD(COUNT($D$10:D1216),6)=0,D1216+1,D1216)</f>
        <v>202</v>
      </c>
      <c r="E1217" s="208">
        <f>IF(MOD(COUNT($E$10:E1216),3)=0,E1216+1,E1216)</f>
        <v>403</v>
      </c>
      <c r="F1217" s="208">
        <f>IF(MOD(COUNT($F$10:F1216),1)=0,F1216+1,F1216)</f>
        <v>1208</v>
      </c>
      <c r="G1217" s="204">
        <f>IFERROR(IF(C1217=1,VLOOKUP(A1217,Output!$A$27:$AB$137,28,FALSE)/AnnuityMode,0),0)</f>
        <v>0</v>
      </c>
      <c r="H1217" s="220">
        <f>IFERROR(IF(AND(MIN(A1217&gt;25,Age+A1217&gt;=85),B1217=12),VLOOKUP(A1217,Output!$A$27:$AE$137,31,FALSE),0),0)</f>
        <v>0</v>
      </c>
      <c r="I1217" s="221">
        <f>IFERROR(IF(AND(MIN(A1217&gt;15,A1217+Age&gt;=70),C1217=1),VLOOKUP(A1217,Output!$A$27:$AF$137,32,FALSE)*VLOOKUP('SV calc_ignore'!A1217,Output!$A$27:$AG$137,33,FALSE)/IF(AnnuityMode=2,2,IF(AnnuityMode=4,4,IF(AnnuityMode=12,12,1))),0),0)</f>
        <v>0</v>
      </c>
      <c r="J1217" s="227">
        <f t="shared" si="220"/>
        <v>0</v>
      </c>
      <c r="K1217" s="213">
        <f t="shared" si="227"/>
        <v>0</v>
      </c>
      <c r="L1217" s="209">
        <f t="shared" si="221"/>
        <v>0</v>
      </c>
      <c r="M1217" s="214">
        <f t="shared" si="222"/>
        <v>0</v>
      </c>
      <c r="N1217" s="211">
        <f t="shared" si="223"/>
        <v>0</v>
      </c>
      <c r="O1217" s="194">
        <f t="shared" si="224"/>
        <v>0</v>
      </c>
      <c r="P1217" s="212">
        <f t="shared" si="225"/>
        <v>0</v>
      </c>
      <c r="Q1217">
        <f t="shared" si="229"/>
        <v>0</v>
      </c>
      <c r="X1217" s="216">
        <f t="shared" si="228"/>
        <v>100</v>
      </c>
      <c r="Y1217">
        <f t="shared" si="226"/>
        <v>0</v>
      </c>
    </row>
    <row r="1218" spans="1:25" ht="13.5" thickBot="1" x14ac:dyDescent="0.25">
      <c r="A1218" s="204">
        <f>IF(MOD(COUNT($A$10:A1217),12)=0,A1217+1,A1217)</f>
        <v>101</v>
      </c>
      <c r="B1218" s="218">
        <f t="shared" ref="B1218:B1281" si="230">IF(A1217&lt;&gt;A1218,1,B1217+1)</f>
        <v>9</v>
      </c>
      <c r="C1218" s="218">
        <f t="shared" ref="C1218:C1281" si="231">IF(AND(AnnuityMode=1,B1218=12),1,IF(AND(OR(B1218=6,B1218=12),AnnuityMode=2),1,IF(AND(OR(B1218=3,B1218=6,B1218=12,B1218=9),AnnuityMode=4),1,IF(AND(OR(B1218=1,B1218=2,B1218=3,B1218=4,B1218=5,B1218=6,B1218=7,B1218=8,B1218=9,B1218=10,B1218=11,B1218=12),AnnuityMode=12),1,0))))</f>
        <v>1</v>
      </c>
      <c r="D1218" s="208">
        <f>IF(MOD(COUNT($D$10:D1217),6)=0,D1217+1,D1217)</f>
        <v>202</v>
      </c>
      <c r="E1218" s="208">
        <f>IF(MOD(COUNT($E$10:E1217),3)=0,E1217+1,E1217)</f>
        <v>403</v>
      </c>
      <c r="F1218" s="208">
        <f>IF(MOD(COUNT($F$10:F1217),1)=0,F1217+1,F1217)</f>
        <v>1209</v>
      </c>
      <c r="G1218" s="204">
        <f>IFERROR(IF(C1218=1,VLOOKUP(A1218,Output!$A$27:$AB$137,28,FALSE)/AnnuityMode,0),0)</f>
        <v>0</v>
      </c>
      <c r="H1218" s="220">
        <f>IFERROR(IF(AND(MIN(A1218&gt;25,Age+A1218&gt;=85),B1218=12),VLOOKUP(A1218,Output!$A$27:$AE$137,31,FALSE),0),0)</f>
        <v>0</v>
      </c>
      <c r="I1218" s="221">
        <f>IFERROR(IF(AND(MIN(A1218&gt;15,A1218+Age&gt;=70),C1218=1),VLOOKUP(A1218,Output!$A$27:$AF$137,32,FALSE)*VLOOKUP('SV calc_ignore'!A1218,Output!$A$27:$AG$137,33,FALSE)/IF(AnnuityMode=2,2,IF(AnnuityMode=4,4,IF(AnnuityMode=12,12,1))),0),0)</f>
        <v>0</v>
      </c>
      <c r="J1218" s="227">
        <f t="shared" ref="J1218:J1281" si="232">G1218+(J1219)*(1+$K$3)^(-1)</f>
        <v>0</v>
      </c>
      <c r="K1218" s="213">
        <f t="shared" si="227"/>
        <v>0</v>
      </c>
      <c r="L1218" s="209">
        <f t="shared" ref="L1218:L1281" si="233">(L1219+G1219)*$K$2</f>
        <v>0</v>
      </c>
      <c r="M1218" s="214">
        <f t="shared" ref="M1218:M1281" si="234">L1217*(1+$K$3)</f>
        <v>0</v>
      </c>
      <c r="N1218" s="211">
        <f t="shared" ref="N1218:N1281" si="235">M1218-L1218-G1218</f>
        <v>0</v>
      </c>
      <c r="O1218" s="194">
        <f t="shared" ref="O1218:O1281" si="236">MAX($H$10:$H$897)/(1+$K$3)^($Q$5*12-F1218)*(A1218&lt;=$Q$5)</f>
        <v>0</v>
      </c>
      <c r="P1218" s="212">
        <f t="shared" si="225"/>
        <v>0</v>
      </c>
      <c r="Q1218">
        <f t="shared" si="229"/>
        <v>0</v>
      </c>
      <c r="X1218" s="216">
        <f t="shared" si="228"/>
        <v>100</v>
      </c>
      <c r="Y1218">
        <f t="shared" si="226"/>
        <v>0</v>
      </c>
    </row>
    <row r="1219" spans="1:25" ht="13.5" thickBot="1" x14ac:dyDescent="0.25">
      <c r="A1219" s="204">
        <f>IF(MOD(COUNT($A$10:A1218),12)=0,A1218+1,A1218)</f>
        <v>101</v>
      </c>
      <c r="B1219" s="218">
        <f t="shared" si="230"/>
        <v>10</v>
      </c>
      <c r="C1219" s="218">
        <f t="shared" si="231"/>
        <v>1</v>
      </c>
      <c r="D1219" s="208">
        <f>IF(MOD(COUNT($D$10:D1218),6)=0,D1218+1,D1218)</f>
        <v>202</v>
      </c>
      <c r="E1219" s="208">
        <f>IF(MOD(COUNT($E$10:E1218),3)=0,E1218+1,E1218)</f>
        <v>404</v>
      </c>
      <c r="F1219" s="208">
        <f>IF(MOD(COUNT($F$10:F1218),1)=0,F1218+1,F1218)</f>
        <v>1210</v>
      </c>
      <c r="G1219" s="204">
        <f>IFERROR(IF(C1219=1,VLOOKUP(A1219,Output!$A$27:$AB$137,28,FALSE)/AnnuityMode,0),0)</f>
        <v>0</v>
      </c>
      <c r="H1219" s="220">
        <f>IFERROR(IF(AND(MIN(A1219&gt;25,Age+A1219&gt;=85),B1219=12),VLOOKUP(A1219,Output!$A$27:$AE$137,31,FALSE),0),0)</f>
        <v>0</v>
      </c>
      <c r="I1219" s="221">
        <f>IFERROR(IF(AND(MIN(A1219&gt;15,A1219+Age&gt;=70),C1219=1),VLOOKUP(A1219,Output!$A$27:$AF$137,32,FALSE)*VLOOKUP('SV calc_ignore'!A1219,Output!$A$27:$AG$137,33,FALSE)/IF(AnnuityMode=2,2,IF(AnnuityMode=4,4,IF(AnnuityMode=12,12,1))),0),0)</f>
        <v>0</v>
      </c>
      <c r="J1219" s="227">
        <f t="shared" si="232"/>
        <v>0</v>
      </c>
      <c r="K1219" s="213">
        <f t="shared" si="227"/>
        <v>0</v>
      </c>
      <c r="L1219" s="209">
        <f t="shared" si="233"/>
        <v>0</v>
      </c>
      <c r="M1219" s="214">
        <f t="shared" si="234"/>
        <v>0</v>
      </c>
      <c r="N1219" s="211">
        <f t="shared" si="235"/>
        <v>0</v>
      </c>
      <c r="O1219" s="194">
        <f t="shared" si="236"/>
        <v>0</v>
      </c>
      <c r="P1219" s="212">
        <f t="shared" si="225"/>
        <v>0</v>
      </c>
      <c r="Q1219">
        <f t="shared" si="229"/>
        <v>0</v>
      </c>
      <c r="X1219" s="216">
        <f t="shared" si="228"/>
        <v>100</v>
      </c>
      <c r="Y1219">
        <f t="shared" si="226"/>
        <v>0</v>
      </c>
    </row>
    <row r="1220" spans="1:25" ht="13.5" thickBot="1" x14ac:dyDescent="0.25">
      <c r="A1220" s="204">
        <f>IF(MOD(COUNT($A$10:A1219),12)=0,A1219+1,A1219)</f>
        <v>101</v>
      </c>
      <c r="B1220" s="218">
        <f t="shared" si="230"/>
        <v>11</v>
      </c>
      <c r="C1220" s="218">
        <f t="shared" si="231"/>
        <v>1</v>
      </c>
      <c r="D1220" s="208">
        <f>IF(MOD(COUNT($D$10:D1219),6)=0,D1219+1,D1219)</f>
        <v>202</v>
      </c>
      <c r="E1220" s="208">
        <f>IF(MOD(COUNT($E$10:E1219),3)=0,E1219+1,E1219)</f>
        <v>404</v>
      </c>
      <c r="F1220" s="208">
        <f>IF(MOD(COUNT($F$10:F1219),1)=0,F1219+1,F1219)</f>
        <v>1211</v>
      </c>
      <c r="G1220" s="204">
        <f>IFERROR(IF(C1220=1,VLOOKUP(A1220,Output!$A$27:$AB$137,28,FALSE)/AnnuityMode,0),0)</f>
        <v>0</v>
      </c>
      <c r="H1220" s="220">
        <f>IFERROR(IF(AND(MIN(A1220&gt;25,Age+A1220&gt;=85),B1220=12),VLOOKUP(A1220,Output!$A$27:$AE$137,31,FALSE),0),0)</f>
        <v>0</v>
      </c>
      <c r="I1220" s="221">
        <f>IFERROR(IF(AND(MIN(A1220&gt;15,A1220+Age&gt;=70),C1220=1),VLOOKUP(A1220,Output!$A$27:$AF$137,32,FALSE)*VLOOKUP('SV calc_ignore'!A1220,Output!$A$27:$AG$137,33,FALSE)/IF(AnnuityMode=2,2,IF(AnnuityMode=4,4,IF(AnnuityMode=12,12,1))),0),0)</f>
        <v>0</v>
      </c>
      <c r="J1220" s="227">
        <f t="shared" si="232"/>
        <v>0</v>
      </c>
      <c r="K1220" s="213">
        <f t="shared" si="227"/>
        <v>0</v>
      </c>
      <c r="L1220" s="209">
        <f t="shared" si="233"/>
        <v>0</v>
      </c>
      <c r="M1220" s="214">
        <f t="shared" si="234"/>
        <v>0</v>
      </c>
      <c r="N1220" s="211">
        <f t="shared" si="235"/>
        <v>0</v>
      </c>
      <c r="O1220" s="194">
        <f t="shared" si="236"/>
        <v>0</v>
      </c>
      <c r="P1220" s="212">
        <f t="shared" si="225"/>
        <v>0</v>
      </c>
      <c r="Q1220">
        <f t="shared" si="229"/>
        <v>0</v>
      </c>
      <c r="X1220" s="216">
        <f t="shared" si="228"/>
        <v>100</v>
      </c>
      <c r="Y1220">
        <f t="shared" si="226"/>
        <v>0</v>
      </c>
    </row>
    <row r="1221" spans="1:25" ht="13.5" thickBot="1" x14ac:dyDescent="0.25">
      <c r="A1221" s="204">
        <f>IF(MOD(COUNT($A$10:A1220),12)=0,A1220+1,A1220)</f>
        <v>101</v>
      </c>
      <c r="B1221" s="218">
        <f t="shared" si="230"/>
        <v>12</v>
      </c>
      <c r="C1221" s="218">
        <f t="shared" si="231"/>
        <v>1</v>
      </c>
      <c r="D1221" s="208">
        <f>IF(MOD(COUNT($D$10:D1220),6)=0,D1220+1,D1220)</f>
        <v>202</v>
      </c>
      <c r="E1221" s="208">
        <f>IF(MOD(COUNT($E$10:E1220),3)=0,E1220+1,E1220)</f>
        <v>404</v>
      </c>
      <c r="F1221" s="208">
        <f>IF(MOD(COUNT($F$10:F1220),1)=0,F1220+1,F1220)</f>
        <v>1212</v>
      </c>
      <c r="G1221" s="204">
        <f>IFERROR(IF(C1221=1,VLOOKUP(A1221,Output!$A$27:$AB$137,28,FALSE)/AnnuityMode,0),0)</f>
        <v>0</v>
      </c>
      <c r="H1221" s="220">
        <f>IFERROR(IF(AND(MIN(A1221&gt;25,Age+A1221&gt;=85),B1221=12),VLOOKUP(A1221,Output!$A$27:$AE$137,31,FALSE),0),0)</f>
        <v>0</v>
      </c>
      <c r="I1221" s="221">
        <f>IFERROR(IF(AND(MIN(A1221&gt;15,A1221+Age&gt;=70),C1221=1),VLOOKUP(A1221,Output!$A$27:$AF$137,32,FALSE)*VLOOKUP('SV calc_ignore'!A1221,Output!$A$27:$AG$137,33,FALSE)/IF(AnnuityMode=2,2,IF(AnnuityMode=4,4,IF(AnnuityMode=12,12,1))),0),0)</f>
        <v>0</v>
      </c>
      <c r="J1221" s="227">
        <f t="shared" si="232"/>
        <v>0</v>
      </c>
      <c r="K1221" s="213">
        <f t="shared" si="227"/>
        <v>0</v>
      </c>
      <c r="L1221" s="209">
        <f t="shared" si="233"/>
        <v>0</v>
      </c>
      <c r="M1221" s="214">
        <f t="shared" si="234"/>
        <v>0</v>
      </c>
      <c r="N1221" s="211">
        <f t="shared" si="235"/>
        <v>0</v>
      </c>
      <c r="O1221" s="194">
        <f t="shared" si="236"/>
        <v>0</v>
      </c>
      <c r="P1221" s="212">
        <f t="shared" si="225"/>
        <v>0</v>
      </c>
      <c r="Q1221">
        <f t="shared" si="229"/>
        <v>0</v>
      </c>
      <c r="X1221" s="216">
        <f t="shared" si="228"/>
        <v>100</v>
      </c>
      <c r="Y1221">
        <f t="shared" si="226"/>
        <v>0</v>
      </c>
    </row>
    <row r="1222" spans="1:25" ht="13.5" thickBot="1" x14ac:dyDescent="0.25">
      <c r="A1222" s="204">
        <f>IF(MOD(COUNT($A$10:A1221),12)=0,A1221+1,A1221)</f>
        <v>102</v>
      </c>
      <c r="B1222" s="218">
        <f t="shared" si="230"/>
        <v>1</v>
      </c>
      <c r="C1222" s="218">
        <f t="shared" si="231"/>
        <v>1</v>
      </c>
      <c r="D1222" s="208">
        <f>IF(MOD(COUNT($D$10:D1221),6)=0,D1221+1,D1221)</f>
        <v>203</v>
      </c>
      <c r="E1222" s="208">
        <f>IF(MOD(COUNT($E$10:E1221),3)=0,E1221+1,E1221)</f>
        <v>405</v>
      </c>
      <c r="F1222" s="208">
        <f>IF(MOD(COUNT($F$10:F1221),1)=0,F1221+1,F1221)</f>
        <v>1213</v>
      </c>
      <c r="G1222" s="204">
        <f>IFERROR(IF(C1222=1,VLOOKUP(A1222,Output!$A$27:$AB$137,28,FALSE)/AnnuityMode,0),0)</f>
        <v>0</v>
      </c>
      <c r="H1222" s="220">
        <f>IFERROR(IF(AND(MIN(A1222&gt;25,Age+A1222&gt;=85),B1222=12),VLOOKUP(A1222,Output!$A$27:$AE$137,31,FALSE),0),0)</f>
        <v>0</v>
      </c>
      <c r="I1222" s="221">
        <f>IFERROR(IF(AND(MIN(A1222&gt;15,A1222+Age&gt;=70),C1222=1),VLOOKUP(A1222,Output!$A$27:$AF$137,32,FALSE)*VLOOKUP('SV calc_ignore'!A1222,Output!$A$27:$AG$137,33,FALSE)/IF(AnnuityMode=2,2,IF(AnnuityMode=4,4,IF(AnnuityMode=12,12,1))),0),0)</f>
        <v>0</v>
      </c>
      <c r="J1222" s="227">
        <f t="shared" si="232"/>
        <v>0</v>
      </c>
      <c r="K1222" s="213">
        <f t="shared" si="227"/>
        <v>0</v>
      </c>
      <c r="L1222" s="209">
        <f t="shared" si="233"/>
        <v>0</v>
      </c>
      <c r="M1222" s="214">
        <f t="shared" si="234"/>
        <v>0</v>
      </c>
      <c r="N1222" s="211">
        <f t="shared" si="235"/>
        <v>0</v>
      </c>
      <c r="O1222" s="194">
        <f t="shared" si="236"/>
        <v>0</v>
      </c>
      <c r="P1222" s="212">
        <f t="shared" si="225"/>
        <v>0</v>
      </c>
      <c r="Q1222">
        <f t="shared" si="229"/>
        <v>0</v>
      </c>
      <c r="X1222" s="216">
        <f t="shared" si="228"/>
        <v>101</v>
      </c>
      <c r="Y1222">
        <f t="shared" si="226"/>
        <v>0</v>
      </c>
    </row>
    <row r="1223" spans="1:25" ht="13.5" thickBot="1" x14ac:dyDescent="0.25">
      <c r="A1223" s="204">
        <f>IF(MOD(COUNT($A$10:A1222),12)=0,A1222+1,A1222)</f>
        <v>102</v>
      </c>
      <c r="B1223" s="218">
        <f t="shared" si="230"/>
        <v>2</v>
      </c>
      <c r="C1223" s="218">
        <f t="shared" si="231"/>
        <v>1</v>
      </c>
      <c r="D1223" s="208">
        <f>IF(MOD(COUNT($D$10:D1222),6)=0,D1222+1,D1222)</f>
        <v>203</v>
      </c>
      <c r="E1223" s="208">
        <f>IF(MOD(COUNT($E$10:E1222),3)=0,E1222+1,E1222)</f>
        <v>405</v>
      </c>
      <c r="F1223" s="208">
        <f>IF(MOD(COUNT($F$10:F1222),1)=0,F1222+1,F1222)</f>
        <v>1214</v>
      </c>
      <c r="G1223" s="204">
        <f>IFERROR(IF(C1223=1,VLOOKUP(A1223,Output!$A$27:$AB$137,28,FALSE)/AnnuityMode,0),0)</f>
        <v>0</v>
      </c>
      <c r="H1223" s="220">
        <f>IFERROR(IF(AND(MIN(A1223&gt;25,Age+A1223&gt;=85),B1223=12),VLOOKUP(A1223,Output!$A$27:$AE$137,31,FALSE),0),0)</f>
        <v>0</v>
      </c>
      <c r="I1223" s="221">
        <f>IFERROR(IF(AND(MIN(A1223&gt;15,A1223+Age&gt;=70),C1223=1),VLOOKUP(A1223,Output!$A$27:$AF$137,32,FALSE)*VLOOKUP('SV calc_ignore'!A1223,Output!$A$27:$AG$137,33,FALSE)/IF(AnnuityMode=2,2,IF(AnnuityMode=4,4,IF(AnnuityMode=12,12,1))),0),0)</f>
        <v>0</v>
      </c>
      <c r="J1223" s="227">
        <f t="shared" si="232"/>
        <v>0</v>
      </c>
      <c r="K1223" s="213">
        <f t="shared" si="227"/>
        <v>0</v>
      </c>
      <c r="L1223" s="209">
        <f t="shared" si="233"/>
        <v>0</v>
      </c>
      <c r="M1223" s="214">
        <f t="shared" si="234"/>
        <v>0</v>
      </c>
      <c r="N1223" s="211">
        <f t="shared" si="235"/>
        <v>0</v>
      </c>
      <c r="O1223" s="194">
        <f t="shared" si="236"/>
        <v>0</v>
      </c>
      <c r="P1223" s="212">
        <f t="shared" si="225"/>
        <v>0</v>
      </c>
      <c r="Q1223">
        <f t="shared" si="229"/>
        <v>0</v>
      </c>
      <c r="X1223" s="216">
        <f t="shared" si="228"/>
        <v>101</v>
      </c>
      <c r="Y1223">
        <f t="shared" si="226"/>
        <v>0</v>
      </c>
    </row>
    <row r="1224" spans="1:25" ht="13.5" thickBot="1" x14ac:dyDescent="0.25">
      <c r="A1224" s="204">
        <f>IF(MOD(COUNT($A$10:A1223),12)=0,A1223+1,A1223)</f>
        <v>102</v>
      </c>
      <c r="B1224" s="218">
        <f t="shared" si="230"/>
        <v>3</v>
      </c>
      <c r="C1224" s="218">
        <f t="shared" si="231"/>
        <v>1</v>
      </c>
      <c r="D1224" s="208">
        <f>IF(MOD(COUNT($D$10:D1223),6)=0,D1223+1,D1223)</f>
        <v>203</v>
      </c>
      <c r="E1224" s="208">
        <f>IF(MOD(COUNT($E$10:E1223),3)=0,E1223+1,E1223)</f>
        <v>405</v>
      </c>
      <c r="F1224" s="208">
        <f>IF(MOD(COUNT($F$10:F1223),1)=0,F1223+1,F1223)</f>
        <v>1215</v>
      </c>
      <c r="G1224" s="204">
        <f>IFERROR(IF(C1224=1,VLOOKUP(A1224,Output!$A$27:$AB$137,28,FALSE)/AnnuityMode,0),0)</f>
        <v>0</v>
      </c>
      <c r="H1224" s="220">
        <f>IFERROR(IF(AND(MIN(A1224&gt;25,Age+A1224&gt;=85),B1224=12),VLOOKUP(A1224,Output!$A$27:$AE$137,31,FALSE),0),0)</f>
        <v>0</v>
      </c>
      <c r="I1224" s="221">
        <f>IFERROR(IF(AND(MIN(A1224&gt;15,A1224+Age&gt;=70),C1224=1),VLOOKUP(A1224,Output!$A$27:$AF$137,32,FALSE)*VLOOKUP('SV calc_ignore'!A1224,Output!$A$27:$AG$137,33,FALSE)/IF(AnnuityMode=2,2,IF(AnnuityMode=4,4,IF(AnnuityMode=12,12,1))),0),0)</f>
        <v>0</v>
      </c>
      <c r="J1224" s="227">
        <f t="shared" si="232"/>
        <v>0</v>
      </c>
      <c r="K1224" s="213">
        <f t="shared" si="227"/>
        <v>0</v>
      </c>
      <c r="L1224" s="209">
        <f t="shared" si="233"/>
        <v>0</v>
      </c>
      <c r="M1224" s="214">
        <f t="shared" si="234"/>
        <v>0</v>
      </c>
      <c r="N1224" s="211">
        <f t="shared" si="235"/>
        <v>0</v>
      </c>
      <c r="O1224" s="194">
        <f t="shared" si="236"/>
        <v>0</v>
      </c>
      <c r="P1224" s="212">
        <f t="shared" si="225"/>
        <v>0</v>
      </c>
      <c r="Q1224">
        <f t="shared" si="229"/>
        <v>0</v>
      </c>
      <c r="X1224" s="216">
        <f t="shared" si="228"/>
        <v>101</v>
      </c>
      <c r="Y1224">
        <f t="shared" si="226"/>
        <v>0</v>
      </c>
    </row>
    <row r="1225" spans="1:25" ht="13.5" thickBot="1" x14ac:dyDescent="0.25">
      <c r="A1225" s="204">
        <f>IF(MOD(COUNT($A$10:A1224),12)=0,A1224+1,A1224)</f>
        <v>102</v>
      </c>
      <c r="B1225" s="218">
        <f t="shared" si="230"/>
        <v>4</v>
      </c>
      <c r="C1225" s="218">
        <f t="shared" si="231"/>
        <v>1</v>
      </c>
      <c r="D1225" s="208">
        <f>IF(MOD(COUNT($D$10:D1224),6)=0,D1224+1,D1224)</f>
        <v>203</v>
      </c>
      <c r="E1225" s="208">
        <f>IF(MOD(COUNT($E$10:E1224),3)=0,E1224+1,E1224)</f>
        <v>406</v>
      </c>
      <c r="F1225" s="208">
        <f>IF(MOD(COUNT($F$10:F1224),1)=0,F1224+1,F1224)</f>
        <v>1216</v>
      </c>
      <c r="G1225" s="204">
        <f>IFERROR(IF(C1225=1,VLOOKUP(A1225,Output!$A$27:$AB$137,28,FALSE)/AnnuityMode,0),0)</f>
        <v>0</v>
      </c>
      <c r="H1225" s="220">
        <f>IFERROR(IF(AND(MIN(A1225&gt;25,Age+A1225&gt;=85),B1225=12),VLOOKUP(A1225,Output!$A$27:$AE$137,31,FALSE),0),0)</f>
        <v>0</v>
      </c>
      <c r="I1225" s="221">
        <f>IFERROR(IF(AND(MIN(A1225&gt;15,A1225+Age&gt;=70),C1225=1),VLOOKUP(A1225,Output!$A$27:$AF$137,32,FALSE)*VLOOKUP('SV calc_ignore'!A1225,Output!$A$27:$AG$137,33,FALSE)/IF(AnnuityMode=2,2,IF(AnnuityMode=4,4,IF(AnnuityMode=12,12,1))),0),0)</f>
        <v>0</v>
      </c>
      <c r="J1225" s="227">
        <f t="shared" si="232"/>
        <v>0</v>
      </c>
      <c r="K1225" s="213">
        <f t="shared" si="227"/>
        <v>0</v>
      </c>
      <c r="L1225" s="209">
        <f t="shared" si="233"/>
        <v>0</v>
      </c>
      <c r="M1225" s="214">
        <f t="shared" si="234"/>
        <v>0</v>
      </c>
      <c r="N1225" s="211">
        <f t="shared" si="235"/>
        <v>0</v>
      </c>
      <c r="O1225" s="194">
        <f t="shared" si="236"/>
        <v>0</v>
      </c>
      <c r="P1225" s="212">
        <f t="shared" si="225"/>
        <v>0</v>
      </c>
      <c r="Q1225">
        <f t="shared" si="229"/>
        <v>0</v>
      </c>
      <c r="X1225" s="216">
        <f t="shared" si="228"/>
        <v>101</v>
      </c>
      <c r="Y1225">
        <f t="shared" si="226"/>
        <v>0</v>
      </c>
    </row>
    <row r="1226" spans="1:25" ht="13.5" thickBot="1" x14ac:dyDescent="0.25">
      <c r="A1226" s="204">
        <f>IF(MOD(COUNT($A$10:A1225),12)=0,A1225+1,A1225)</f>
        <v>102</v>
      </c>
      <c r="B1226" s="218">
        <f t="shared" si="230"/>
        <v>5</v>
      </c>
      <c r="C1226" s="218">
        <f t="shared" si="231"/>
        <v>1</v>
      </c>
      <c r="D1226" s="208">
        <f>IF(MOD(COUNT($D$10:D1225),6)=0,D1225+1,D1225)</f>
        <v>203</v>
      </c>
      <c r="E1226" s="208">
        <f>IF(MOD(COUNT($E$10:E1225),3)=0,E1225+1,E1225)</f>
        <v>406</v>
      </c>
      <c r="F1226" s="208">
        <f>IF(MOD(COUNT($F$10:F1225),1)=0,F1225+1,F1225)</f>
        <v>1217</v>
      </c>
      <c r="G1226" s="204">
        <f>IFERROR(IF(C1226=1,VLOOKUP(A1226,Output!$A$27:$AB$137,28,FALSE)/AnnuityMode,0),0)</f>
        <v>0</v>
      </c>
      <c r="H1226" s="220">
        <f>IFERROR(IF(AND(MIN(A1226&gt;25,Age+A1226&gt;=85),B1226=12),VLOOKUP(A1226,Output!$A$27:$AE$137,31,FALSE),0),0)</f>
        <v>0</v>
      </c>
      <c r="I1226" s="221">
        <f>IFERROR(IF(AND(MIN(A1226&gt;15,A1226+Age&gt;=70),C1226=1),VLOOKUP(A1226,Output!$A$27:$AF$137,32,FALSE)*VLOOKUP('SV calc_ignore'!A1226,Output!$A$27:$AG$137,33,FALSE)/IF(AnnuityMode=2,2,IF(AnnuityMode=4,4,IF(AnnuityMode=12,12,1))),0),0)</f>
        <v>0</v>
      </c>
      <c r="J1226" s="227">
        <f t="shared" si="232"/>
        <v>0</v>
      </c>
      <c r="K1226" s="213">
        <f t="shared" si="227"/>
        <v>0</v>
      </c>
      <c r="L1226" s="209">
        <f t="shared" si="233"/>
        <v>0</v>
      </c>
      <c r="M1226" s="214">
        <f t="shared" si="234"/>
        <v>0</v>
      </c>
      <c r="N1226" s="211">
        <f t="shared" si="235"/>
        <v>0</v>
      </c>
      <c r="O1226" s="194">
        <f t="shared" si="236"/>
        <v>0</v>
      </c>
      <c r="P1226" s="212">
        <f t="shared" ref="P1226:P1289" si="237">(P1227+H1227)*(1+$K$3)^(-1)</f>
        <v>0</v>
      </c>
      <c r="Q1226">
        <f t="shared" si="229"/>
        <v>0</v>
      </c>
      <c r="X1226" s="216">
        <f t="shared" si="228"/>
        <v>101</v>
      </c>
      <c r="Y1226">
        <f t="shared" ref="Y1226:Y1289" si="238">G1226*(1-IF(AnnuityMode=1,$L$2,IF(AnnuityMode=2,$M$2,IF(AnnuityMode=4,$N$2,$K$2)))^(110*AnnuityMode-IF(AnnuityMode=1,X1226,IF(AnnuityMode=2,D1226,IF(AnnuityMode=4,E1226,F1226)))-0))/(IF(AnnuityMode=1,$L$3,IF(AnnuityMode=2,$M$3,IF(AnnuityMode=4,$N$3,$K$3))))</f>
        <v>0</v>
      </c>
    </row>
    <row r="1227" spans="1:25" ht="13.5" thickBot="1" x14ac:dyDescent="0.25">
      <c r="A1227" s="204">
        <f>IF(MOD(COUNT($A$10:A1226),12)=0,A1226+1,A1226)</f>
        <v>102</v>
      </c>
      <c r="B1227" s="218">
        <f t="shared" si="230"/>
        <v>6</v>
      </c>
      <c r="C1227" s="218">
        <f t="shared" si="231"/>
        <v>1</v>
      </c>
      <c r="D1227" s="208">
        <f>IF(MOD(COUNT($D$10:D1226),6)=0,D1226+1,D1226)</f>
        <v>203</v>
      </c>
      <c r="E1227" s="208">
        <f>IF(MOD(COUNT($E$10:E1226),3)=0,E1226+1,E1226)</f>
        <v>406</v>
      </c>
      <c r="F1227" s="208">
        <f>IF(MOD(COUNT($F$10:F1226),1)=0,F1226+1,F1226)</f>
        <v>1218</v>
      </c>
      <c r="G1227" s="204">
        <f>IFERROR(IF(C1227=1,VLOOKUP(A1227,Output!$A$27:$AB$137,28,FALSE)/AnnuityMode,0),0)</f>
        <v>0</v>
      </c>
      <c r="H1227" s="220">
        <f>IFERROR(IF(AND(MIN(A1227&gt;25,Age+A1227&gt;=85),B1227=12),VLOOKUP(A1227,Output!$A$27:$AE$137,31,FALSE),0),0)</f>
        <v>0</v>
      </c>
      <c r="I1227" s="221">
        <f>IFERROR(IF(AND(MIN(A1227&gt;15,A1227+Age&gt;=70),C1227=1),VLOOKUP(A1227,Output!$A$27:$AF$137,32,FALSE)*VLOOKUP('SV calc_ignore'!A1227,Output!$A$27:$AG$137,33,FALSE)/IF(AnnuityMode=2,2,IF(AnnuityMode=4,4,IF(AnnuityMode=12,12,1))),0),0)</f>
        <v>0</v>
      </c>
      <c r="J1227" s="227">
        <f t="shared" si="232"/>
        <v>0</v>
      </c>
      <c r="K1227" s="213">
        <f t="shared" ref="K1227:K1290" si="239">IF(OR(K1226&gt;$K$8,K1226=0),0,K1226+1)</f>
        <v>0</v>
      </c>
      <c r="L1227" s="209">
        <f t="shared" si="233"/>
        <v>0</v>
      </c>
      <c r="M1227" s="214">
        <f t="shared" si="234"/>
        <v>0</v>
      </c>
      <c r="N1227" s="211">
        <f t="shared" si="235"/>
        <v>0</v>
      </c>
      <c r="O1227" s="194">
        <f t="shared" si="236"/>
        <v>0</v>
      </c>
      <c r="P1227" s="212">
        <f t="shared" si="237"/>
        <v>0</v>
      </c>
      <c r="Q1227">
        <f t="shared" si="229"/>
        <v>0</v>
      </c>
      <c r="X1227" s="216">
        <f t="shared" ref="X1227:X1290" si="240">A1227-1</f>
        <v>101</v>
      </c>
      <c r="Y1227">
        <f t="shared" si="238"/>
        <v>0</v>
      </c>
    </row>
    <row r="1228" spans="1:25" ht="13.5" thickBot="1" x14ac:dyDescent="0.25">
      <c r="A1228" s="204">
        <f>IF(MOD(COUNT($A$10:A1227),12)=0,A1227+1,A1227)</f>
        <v>102</v>
      </c>
      <c r="B1228" s="218">
        <f t="shared" si="230"/>
        <v>7</v>
      </c>
      <c r="C1228" s="218">
        <f t="shared" si="231"/>
        <v>1</v>
      </c>
      <c r="D1228" s="208">
        <f>IF(MOD(COUNT($D$10:D1227),6)=0,D1227+1,D1227)</f>
        <v>204</v>
      </c>
      <c r="E1228" s="208">
        <f>IF(MOD(COUNT($E$10:E1227),3)=0,E1227+1,E1227)</f>
        <v>407</v>
      </c>
      <c r="F1228" s="208">
        <f>IF(MOD(COUNT($F$10:F1227),1)=0,F1227+1,F1227)</f>
        <v>1219</v>
      </c>
      <c r="G1228" s="204">
        <f>IFERROR(IF(C1228=1,VLOOKUP(A1228,Output!$A$27:$AB$137,28,FALSE)/AnnuityMode,0),0)</f>
        <v>0</v>
      </c>
      <c r="H1228" s="220">
        <f>IFERROR(IF(AND(MIN(A1228&gt;25,Age+A1228&gt;=85),B1228=12),VLOOKUP(A1228,Output!$A$27:$AE$137,31,FALSE),0),0)</f>
        <v>0</v>
      </c>
      <c r="I1228" s="221">
        <f>IFERROR(IF(AND(MIN(A1228&gt;15,A1228+Age&gt;=70),C1228=1),VLOOKUP(A1228,Output!$A$27:$AF$137,32,FALSE)*VLOOKUP('SV calc_ignore'!A1228,Output!$A$27:$AG$137,33,FALSE)/IF(AnnuityMode=2,2,IF(AnnuityMode=4,4,IF(AnnuityMode=12,12,1))),0),0)</f>
        <v>0</v>
      </c>
      <c r="J1228" s="227">
        <f t="shared" si="232"/>
        <v>0</v>
      </c>
      <c r="K1228" s="213">
        <f t="shared" si="239"/>
        <v>0</v>
      </c>
      <c r="L1228" s="209">
        <f t="shared" si="233"/>
        <v>0</v>
      </c>
      <c r="M1228" s="214">
        <f t="shared" si="234"/>
        <v>0</v>
      </c>
      <c r="N1228" s="211">
        <f t="shared" si="235"/>
        <v>0</v>
      </c>
      <c r="O1228" s="194">
        <f t="shared" si="236"/>
        <v>0</v>
      </c>
      <c r="P1228" s="212">
        <f t="shared" si="237"/>
        <v>0</v>
      </c>
      <c r="Q1228">
        <f t="shared" si="229"/>
        <v>0</v>
      </c>
      <c r="X1228" s="216">
        <f t="shared" si="240"/>
        <v>101</v>
      </c>
      <c r="Y1228">
        <f t="shared" si="238"/>
        <v>0</v>
      </c>
    </row>
    <row r="1229" spans="1:25" ht="13.5" thickBot="1" x14ac:dyDescent="0.25">
      <c r="A1229" s="204">
        <f>IF(MOD(COUNT($A$10:A1228),12)=0,A1228+1,A1228)</f>
        <v>102</v>
      </c>
      <c r="B1229" s="218">
        <f t="shared" si="230"/>
        <v>8</v>
      </c>
      <c r="C1229" s="218">
        <f t="shared" si="231"/>
        <v>1</v>
      </c>
      <c r="D1229" s="208">
        <f>IF(MOD(COUNT($D$10:D1228),6)=0,D1228+1,D1228)</f>
        <v>204</v>
      </c>
      <c r="E1229" s="208">
        <f>IF(MOD(COUNT($E$10:E1228),3)=0,E1228+1,E1228)</f>
        <v>407</v>
      </c>
      <c r="F1229" s="208">
        <f>IF(MOD(COUNT($F$10:F1228),1)=0,F1228+1,F1228)</f>
        <v>1220</v>
      </c>
      <c r="G1229" s="204">
        <f>IFERROR(IF(C1229=1,VLOOKUP(A1229,Output!$A$27:$AB$137,28,FALSE)/AnnuityMode,0),0)</f>
        <v>0</v>
      </c>
      <c r="H1229" s="220">
        <f>IFERROR(IF(AND(MIN(A1229&gt;25,Age+A1229&gt;=85),B1229=12),VLOOKUP(A1229,Output!$A$27:$AE$137,31,FALSE),0),0)</f>
        <v>0</v>
      </c>
      <c r="I1229" s="221">
        <f>IFERROR(IF(AND(MIN(A1229&gt;15,A1229+Age&gt;=70),C1229=1),VLOOKUP(A1229,Output!$A$27:$AF$137,32,FALSE)*VLOOKUP('SV calc_ignore'!A1229,Output!$A$27:$AG$137,33,FALSE)/IF(AnnuityMode=2,2,IF(AnnuityMode=4,4,IF(AnnuityMode=12,12,1))),0),0)</f>
        <v>0</v>
      </c>
      <c r="J1229" s="227">
        <f t="shared" si="232"/>
        <v>0</v>
      </c>
      <c r="K1229" s="213">
        <f t="shared" si="239"/>
        <v>0</v>
      </c>
      <c r="L1229" s="209">
        <f t="shared" si="233"/>
        <v>0</v>
      </c>
      <c r="M1229" s="214">
        <f t="shared" si="234"/>
        <v>0</v>
      </c>
      <c r="N1229" s="211">
        <f t="shared" si="235"/>
        <v>0</v>
      </c>
      <c r="O1229" s="194">
        <f t="shared" si="236"/>
        <v>0</v>
      </c>
      <c r="P1229" s="212">
        <f t="shared" si="237"/>
        <v>0</v>
      </c>
      <c r="Q1229">
        <f t="shared" si="229"/>
        <v>0</v>
      </c>
      <c r="X1229" s="216">
        <f t="shared" si="240"/>
        <v>101</v>
      </c>
      <c r="Y1229">
        <f t="shared" si="238"/>
        <v>0</v>
      </c>
    </row>
    <row r="1230" spans="1:25" ht="13.5" thickBot="1" x14ac:dyDescent="0.25">
      <c r="A1230" s="204">
        <f>IF(MOD(COUNT($A$10:A1229),12)=0,A1229+1,A1229)</f>
        <v>102</v>
      </c>
      <c r="B1230" s="218">
        <f t="shared" si="230"/>
        <v>9</v>
      </c>
      <c r="C1230" s="218">
        <f t="shared" si="231"/>
        <v>1</v>
      </c>
      <c r="D1230" s="208">
        <f>IF(MOD(COUNT($D$10:D1229),6)=0,D1229+1,D1229)</f>
        <v>204</v>
      </c>
      <c r="E1230" s="208">
        <f>IF(MOD(COUNT($E$10:E1229),3)=0,E1229+1,E1229)</f>
        <v>407</v>
      </c>
      <c r="F1230" s="208">
        <f>IF(MOD(COUNT($F$10:F1229),1)=0,F1229+1,F1229)</f>
        <v>1221</v>
      </c>
      <c r="G1230" s="204">
        <f>IFERROR(IF(C1230=1,VLOOKUP(A1230,Output!$A$27:$AB$137,28,FALSE)/AnnuityMode,0),0)</f>
        <v>0</v>
      </c>
      <c r="H1230" s="220">
        <f>IFERROR(IF(AND(MIN(A1230&gt;25,Age+A1230&gt;=85),B1230=12),VLOOKUP(A1230,Output!$A$27:$AE$137,31,FALSE),0),0)</f>
        <v>0</v>
      </c>
      <c r="I1230" s="221">
        <f>IFERROR(IF(AND(MIN(A1230&gt;15,A1230+Age&gt;=70),C1230=1),VLOOKUP(A1230,Output!$A$27:$AF$137,32,FALSE)*VLOOKUP('SV calc_ignore'!A1230,Output!$A$27:$AG$137,33,FALSE)/IF(AnnuityMode=2,2,IF(AnnuityMode=4,4,IF(AnnuityMode=12,12,1))),0),0)</f>
        <v>0</v>
      </c>
      <c r="J1230" s="227">
        <f t="shared" si="232"/>
        <v>0</v>
      </c>
      <c r="K1230" s="213">
        <f t="shared" si="239"/>
        <v>0</v>
      </c>
      <c r="L1230" s="209">
        <f t="shared" si="233"/>
        <v>0</v>
      </c>
      <c r="M1230" s="214">
        <f t="shared" si="234"/>
        <v>0</v>
      </c>
      <c r="N1230" s="211">
        <f t="shared" si="235"/>
        <v>0</v>
      </c>
      <c r="O1230" s="194">
        <f t="shared" si="236"/>
        <v>0</v>
      </c>
      <c r="P1230" s="212">
        <f t="shared" si="237"/>
        <v>0</v>
      </c>
      <c r="Q1230">
        <f t="shared" si="229"/>
        <v>0</v>
      </c>
      <c r="X1230" s="216">
        <f t="shared" si="240"/>
        <v>101</v>
      </c>
      <c r="Y1230">
        <f t="shared" si="238"/>
        <v>0</v>
      </c>
    </row>
    <row r="1231" spans="1:25" ht="13.5" thickBot="1" x14ac:dyDescent="0.25">
      <c r="A1231" s="204">
        <f>IF(MOD(COUNT($A$10:A1230),12)=0,A1230+1,A1230)</f>
        <v>102</v>
      </c>
      <c r="B1231" s="218">
        <f t="shared" si="230"/>
        <v>10</v>
      </c>
      <c r="C1231" s="218">
        <f t="shared" si="231"/>
        <v>1</v>
      </c>
      <c r="D1231" s="208">
        <f>IF(MOD(COUNT($D$10:D1230),6)=0,D1230+1,D1230)</f>
        <v>204</v>
      </c>
      <c r="E1231" s="208">
        <f>IF(MOD(COUNT($E$10:E1230),3)=0,E1230+1,E1230)</f>
        <v>408</v>
      </c>
      <c r="F1231" s="208">
        <f>IF(MOD(COUNT($F$10:F1230),1)=0,F1230+1,F1230)</f>
        <v>1222</v>
      </c>
      <c r="G1231" s="204">
        <f>IFERROR(IF(C1231=1,VLOOKUP(A1231,Output!$A$27:$AB$137,28,FALSE)/AnnuityMode,0),0)</f>
        <v>0</v>
      </c>
      <c r="H1231" s="220">
        <f>IFERROR(IF(AND(MIN(A1231&gt;25,Age+A1231&gt;=85),B1231=12),VLOOKUP(A1231,Output!$A$27:$AE$137,31,FALSE),0),0)</f>
        <v>0</v>
      </c>
      <c r="I1231" s="221">
        <f>IFERROR(IF(AND(MIN(A1231&gt;15,A1231+Age&gt;=70),C1231=1),VLOOKUP(A1231,Output!$A$27:$AF$137,32,FALSE)*VLOOKUP('SV calc_ignore'!A1231,Output!$A$27:$AG$137,33,FALSE)/IF(AnnuityMode=2,2,IF(AnnuityMode=4,4,IF(AnnuityMode=12,12,1))),0),0)</f>
        <v>0</v>
      </c>
      <c r="J1231" s="227">
        <f t="shared" si="232"/>
        <v>0</v>
      </c>
      <c r="K1231" s="213">
        <f t="shared" si="239"/>
        <v>0</v>
      </c>
      <c r="L1231" s="209">
        <f t="shared" si="233"/>
        <v>0</v>
      </c>
      <c r="M1231" s="214">
        <f t="shared" si="234"/>
        <v>0</v>
      </c>
      <c r="N1231" s="211">
        <f t="shared" si="235"/>
        <v>0</v>
      </c>
      <c r="O1231" s="194">
        <f t="shared" si="236"/>
        <v>0</v>
      </c>
      <c r="P1231" s="212">
        <f t="shared" si="237"/>
        <v>0</v>
      </c>
      <c r="Q1231">
        <f t="shared" si="229"/>
        <v>0</v>
      </c>
      <c r="X1231" s="216">
        <f t="shared" si="240"/>
        <v>101</v>
      </c>
      <c r="Y1231">
        <f t="shared" si="238"/>
        <v>0</v>
      </c>
    </row>
    <row r="1232" spans="1:25" ht="13.5" thickBot="1" x14ac:dyDescent="0.25">
      <c r="A1232" s="204">
        <f>IF(MOD(COUNT($A$10:A1231),12)=0,A1231+1,A1231)</f>
        <v>102</v>
      </c>
      <c r="B1232" s="218">
        <f t="shared" si="230"/>
        <v>11</v>
      </c>
      <c r="C1232" s="218">
        <f t="shared" si="231"/>
        <v>1</v>
      </c>
      <c r="D1232" s="208">
        <f>IF(MOD(COUNT($D$10:D1231),6)=0,D1231+1,D1231)</f>
        <v>204</v>
      </c>
      <c r="E1232" s="208">
        <f>IF(MOD(COUNT($E$10:E1231),3)=0,E1231+1,E1231)</f>
        <v>408</v>
      </c>
      <c r="F1232" s="208">
        <f>IF(MOD(COUNT($F$10:F1231),1)=0,F1231+1,F1231)</f>
        <v>1223</v>
      </c>
      <c r="G1232" s="204">
        <f>IFERROR(IF(C1232=1,VLOOKUP(A1232,Output!$A$27:$AB$137,28,FALSE)/AnnuityMode,0),0)</f>
        <v>0</v>
      </c>
      <c r="H1232" s="220">
        <f>IFERROR(IF(AND(MIN(A1232&gt;25,Age+A1232&gt;=85),B1232=12),VLOOKUP(A1232,Output!$A$27:$AE$137,31,FALSE),0),0)</f>
        <v>0</v>
      </c>
      <c r="I1232" s="221">
        <f>IFERROR(IF(AND(MIN(A1232&gt;15,A1232+Age&gt;=70),C1232=1),VLOOKUP(A1232,Output!$A$27:$AF$137,32,FALSE)*VLOOKUP('SV calc_ignore'!A1232,Output!$A$27:$AG$137,33,FALSE)/IF(AnnuityMode=2,2,IF(AnnuityMode=4,4,IF(AnnuityMode=12,12,1))),0),0)</f>
        <v>0</v>
      </c>
      <c r="J1232" s="227">
        <f t="shared" si="232"/>
        <v>0</v>
      </c>
      <c r="K1232" s="213">
        <f t="shared" si="239"/>
        <v>0</v>
      </c>
      <c r="L1232" s="209">
        <f t="shared" si="233"/>
        <v>0</v>
      </c>
      <c r="M1232" s="214">
        <f t="shared" si="234"/>
        <v>0</v>
      </c>
      <c r="N1232" s="211">
        <f t="shared" si="235"/>
        <v>0</v>
      </c>
      <c r="O1232" s="194">
        <f t="shared" si="236"/>
        <v>0</v>
      </c>
      <c r="P1232" s="212">
        <f t="shared" si="237"/>
        <v>0</v>
      </c>
      <c r="Q1232">
        <f t="shared" si="229"/>
        <v>0</v>
      </c>
      <c r="X1232" s="216">
        <f t="shared" si="240"/>
        <v>101</v>
      </c>
      <c r="Y1232">
        <f t="shared" si="238"/>
        <v>0</v>
      </c>
    </row>
    <row r="1233" spans="1:25" ht="13.5" thickBot="1" x14ac:dyDescent="0.25">
      <c r="A1233" s="204">
        <f>IF(MOD(COUNT($A$10:A1232),12)=0,A1232+1,A1232)</f>
        <v>102</v>
      </c>
      <c r="B1233" s="218">
        <f t="shared" si="230"/>
        <v>12</v>
      </c>
      <c r="C1233" s="218">
        <f t="shared" si="231"/>
        <v>1</v>
      </c>
      <c r="D1233" s="208">
        <f>IF(MOD(COUNT($D$10:D1232),6)=0,D1232+1,D1232)</f>
        <v>204</v>
      </c>
      <c r="E1233" s="208">
        <f>IF(MOD(COUNT($E$10:E1232),3)=0,E1232+1,E1232)</f>
        <v>408</v>
      </c>
      <c r="F1233" s="208">
        <f>IF(MOD(COUNT($F$10:F1232),1)=0,F1232+1,F1232)</f>
        <v>1224</v>
      </c>
      <c r="G1233" s="204">
        <f>IFERROR(IF(C1233=1,VLOOKUP(A1233,Output!$A$27:$AB$137,28,FALSE)/AnnuityMode,0),0)</f>
        <v>0</v>
      </c>
      <c r="H1233" s="220">
        <f>IFERROR(IF(AND(MIN(A1233&gt;25,Age+A1233&gt;=85),B1233=12),VLOOKUP(A1233,Output!$A$27:$AE$137,31,FALSE),0),0)</f>
        <v>0</v>
      </c>
      <c r="I1233" s="221">
        <f>IFERROR(IF(AND(MIN(A1233&gt;15,A1233+Age&gt;=70),C1233=1),VLOOKUP(A1233,Output!$A$27:$AF$137,32,FALSE)*VLOOKUP('SV calc_ignore'!A1233,Output!$A$27:$AG$137,33,FALSE)/IF(AnnuityMode=2,2,IF(AnnuityMode=4,4,IF(AnnuityMode=12,12,1))),0),0)</f>
        <v>0</v>
      </c>
      <c r="J1233" s="227">
        <f t="shared" si="232"/>
        <v>0</v>
      </c>
      <c r="K1233" s="213">
        <f t="shared" si="239"/>
        <v>0</v>
      </c>
      <c r="L1233" s="209">
        <f t="shared" si="233"/>
        <v>0</v>
      </c>
      <c r="M1233" s="214">
        <f t="shared" si="234"/>
        <v>0</v>
      </c>
      <c r="N1233" s="211">
        <f t="shared" si="235"/>
        <v>0</v>
      </c>
      <c r="O1233" s="194">
        <f t="shared" si="236"/>
        <v>0</v>
      </c>
      <c r="P1233" s="212">
        <f t="shared" si="237"/>
        <v>0</v>
      </c>
      <c r="Q1233">
        <f t="shared" si="229"/>
        <v>0</v>
      </c>
      <c r="X1233" s="216">
        <f t="shared" si="240"/>
        <v>101</v>
      </c>
      <c r="Y1233">
        <f t="shared" si="238"/>
        <v>0</v>
      </c>
    </row>
    <row r="1234" spans="1:25" ht="13.5" thickBot="1" x14ac:dyDescent="0.25">
      <c r="A1234" s="204">
        <f>IF(MOD(COUNT($A$10:A1233),12)=0,A1233+1,A1233)</f>
        <v>103</v>
      </c>
      <c r="B1234" s="218">
        <f t="shared" si="230"/>
        <v>1</v>
      </c>
      <c r="C1234" s="218">
        <f t="shared" si="231"/>
        <v>1</v>
      </c>
      <c r="D1234" s="208">
        <f>IF(MOD(COUNT($D$10:D1233),6)=0,D1233+1,D1233)</f>
        <v>205</v>
      </c>
      <c r="E1234" s="208">
        <f>IF(MOD(COUNT($E$10:E1233),3)=0,E1233+1,E1233)</f>
        <v>409</v>
      </c>
      <c r="F1234" s="208">
        <f>IF(MOD(COUNT($F$10:F1233),1)=0,F1233+1,F1233)</f>
        <v>1225</v>
      </c>
      <c r="G1234" s="204">
        <f>IFERROR(IF(C1234=1,VLOOKUP(A1234,Output!$A$27:$AB$137,28,FALSE)/AnnuityMode,0),0)</f>
        <v>0</v>
      </c>
      <c r="H1234" s="220">
        <f>IFERROR(IF(AND(MIN(A1234&gt;25,Age+A1234&gt;=85),B1234=12),VLOOKUP(A1234,Output!$A$27:$AE$137,31,FALSE),0),0)</f>
        <v>0</v>
      </c>
      <c r="I1234" s="221">
        <f>IFERROR(IF(AND(MIN(A1234&gt;15,A1234+Age&gt;=70),C1234=1),VLOOKUP(A1234,Output!$A$27:$AF$137,32,FALSE)*VLOOKUP('SV calc_ignore'!A1234,Output!$A$27:$AG$137,33,FALSE)/IF(AnnuityMode=2,2,IF(AnnuityMode=4,4,IF(AnnuityMode=12,12,1))),0),0)</f>
        <v>0</v>
      </c>
      <c r="J1234" s="227">
        <f t="shared" si="232"/>
        <v>0</v>
      </c>
      <c r="K1234" s="213">
        <f t="shared" si="239"/>
        <v>0</v>
      </c>
      <c r="L1234" s="209">
        <f t="shared" si="233"/>
        <v>0</v>
      </c>
      <c r="M1234" s="214">
        <f t="shared" si="234"/>
        <v>0</v>
      </c>
      <c r="N1234" s="211">
        <f t="shared" si="235"/>
        <v>0</v>
      </c>
      <c r="O1234" s="194">
        <f t="shared" si="236"/>
        <v>0</v>
      </c>
      <c r="P1234" s="212">
        <f t="shared" si="237"/>
        <v>0</v>
      </c>
      <c r="Q1234">
        <f t="shared" si="229"/>
        <v>0</v>
      </c>
      <c r="X1234" s="216">
        <f t="shared" si="240"/>
        <v>102</v>
      </c>
      <c r="Y1234">
        <f t="shared" si="238"/>
        <v>0</v>
      </c>
    </row>
    <row r="1235" spans="1:25" ht="13.5" thickBot="1" x14ac:dyDescent="0.25">
      <c r="A1235" s="204">
        <f>IF(MOD(COUNT($A$10:A1234),12)=0,A1234+1,A1234)</f>
        <v>103</v>
      </c>
      <c r="B1235" s="218">
        <f t="shared" si="230"/>
        <v>2</v>
      </c>
      <c r="C1235" s="218">
        <f t="shared" si="231"/>
        <v>1</v>
      </c>
      <c r="D1235" s="208">
        <f>IF(MOD(COUNT($D$10:D1234),6)=0,D1234+1,D1234)</f>
        <v>205</v>
      </c>
      <c r="E1235" s="208">
        <f>IF(MOD(COUNT($E$10:E1234),3)=0,E1234+1,E1234)</f>
        <v>409</v>
      </c>
      <c r="F1235" s="208">
        <f>IF(MOD(COUNT($F$10:F1234),1)=0,F1234+1,F1234)</f>
        <v>1226</v>
      </c>
      <c r="G1235" s="204">
        <f>IFERROR(IF(C1235=1,VLOOKUP(A1235,Output!$A$27:$AB$137,28,FALSE)/AnnuityMode,0),0)</f>
        <v>0</v>
      </c>
      <c r="H1235" s="220">
        <f>IFERROR(IF(AND(MIN(A1235&gt;25,Age+A1235&gt;=85),B1235=12),VLOOKUP(A1235,Output!$A$27:$AE$137,31,FALSE),0),0)</f>
        <v>0</v>
      </c>
      <c r="I1235" s="221">
        <f>IFERROR(IF(AND(MIN(A1235&gt;15,A1235+Age&gt;=70),C1235=1),VLOOKUP(A1235,Output!$A$27:$AF$137,32,FALSE)*VLOOKUP('SV calc_ignore'!A1235,Output!$A$27:$AG$137,33,FALSE)/IF(AnnuityMode=2,2,IF(AnnuityMode=4,4,IF(AnnuityMode=12,12,1))),0),0)</f>
        <v>0</v>
      </c>
      <c r="J1235" s="227">
        <f t="shared" si="232"/>
        <v>0</v>
      </c>
      <c r="K1235" s="213">
        <f t="shared" si="239"/>
        <v>0</v>
      </c>
      <c r="L1235" s="209">
        <f t="shared" si="233"/>
        <v>0</v>
      </c>
      <c r="M1235" s="214">
        <f t="shared" si="234"/>
        <v>0</v>
      </c>
      <c r="N1235" s="211">
        <f t="shared" si="235"/>
        <v>0</v>
      </c>
      <c r="O1235" s="194">
        <f t="shared" si="236"/>
        <v>0</v>
      </c>
      <c r="P1235" s="212">
        <f t="shared" si="237"/>
        <v>0</v>
      </c>
      <c r="Q1235">
        <f t="shared" si="229"/>
        <v>0</v>
      </c>
      <c r="X1235" s="216">
        <f t="shared" si="240"/>
        <v>102</v>
      </c>
      <c r="Y1235">
        <f t="shared" si="238"/>
        <v>0</v>
      </c>
    </row>
    <row r="1236" spans="1:25" ht="13.5" thickBot="1" x14ac:dyDescent="0.25">
      <c r="A1236" s="204">
        <f>IF(MOD(COUNT($A$10:A1235),12)=0,A1235+1,A1235)</f>
        <v>103</v>
      </c>
      <c r="B1236" s="218">
        <f t="shared" si="230"/>
        <v>3</v>
      </c>
      <c r="C1236" s="218">
        <f t="shared" si="231"/>
        <v>1</v>
      </c>
      <c r="D1236" s="208">
        <f>IF(MOD(COUNT($D$10:D1235),6)=0,D1235+1,D1235)</f>
        <v>205</v>
      </c>
      <c r="E1236" s="208">
        <f>IF(MOD(COUNT($E$10:E1235),3)=0,E1235+1,E1235)</f>
        <v>409</v>
      </c>
      <c r="F1236" s="208">
        <f>IF(MOD(COUNT($F$10:F1235),1)=0,F1235+1,F1235)</f>
        <v>1227</v>
      </c>
      <c r="G1236" s="204">
        <f>IFERROR(IF(C1236=1,VLOOKUP(A1236,Output!$A$27:$AB$137,28,FALSE)/AnnuityMode,0),0)</f>
        <v>0</v>
      </c>
      <c r="H1236" s="220">
        <f>IFERROR(IF(AND(MIN(A1236&gt;25,Age+A1236&gt;=85),B1236=12),VLOOKUP(A1236,Output!$A$27:$AE$137,31,FALSE),0),0)</f>
        <v>0</v>
      </c>
      <c r="I1236" s="221">
        <f>IFERROR(IF(AND(MIN(A1236&gt;15,A1236+Age&gt;=70),C1236=1),VLOOKUP(A1236,Output!$A$27:$AF$137,32,FALSE)*VLOOKUP('SV calc_ignore'!A1236,Output!$A$27:$AG$137,33,FALSE)/IF(AnnuityMode=2,2,IF(AnnuityMode=4,4,IF(AnnuityMode=12,12,1))),0),0)</f>
        <v>0</v>
      </c>
      <c r="J1236" s="227">
        <f t="shared" si="232"/>
        <v>0</v>
      </c>
      <c r="K1236" s="213">
        <f t="shared" si="239"/>
        <v>0</v>
      </c>
      <c r="L1236" s="209">
        <f t="shared" si="233"/>
        <v>0</v>
      </c>
      <c r="M1236" s="214">
        <f t="shared" si="234"/>
        <v>0</v>
      </c>
      <c r="N1236" s="211">
        <f t="shared" si="235"/>
        <v>0</v>
      </c>
      <c r="O1236" s="194">
        <f t="shared" si="236"/>
        <v>0</v>
      </c>
      <c r="P1236" s="212">
        <f t="shared" si="237"/>
        <v>0</v>
      </c>
      <c r="Q1236">
        <f t="shared" si="229"/>
        <v>0</v>
      </c>
      <c r="X1236" s="216">
        <f t="shared" si="240"/>
        <v>102</v>
      </c>
      <c r="Y1236">
        <f t="shared" si="238"/>
        <v>0</v>
      </c>
    </row>
    <row r="1237" spans="1:25" ht="13.5" thickBot="1" x14ac:dyDescent="0.25">
      <c r="A1237" s="204">
        <f>IF(MOD(COUNT($A$10:A1236),12)=0,A1236+1,A1236)</f>
        <v>103</v>
      </c>
      <c r="B1237" s="218">
        <f t="shared" si="230"/>
        <v>4</v>
      </c>
      <c r="C1237" s="218">
        <f t="shared" si="231"/>
        <v>1</v>
      </c>
      <c r="D1237" s="208">
        <f>IF(MOD(COUNT($D$10:D1236),6)=0,D1236+1,D1236)</f>
        <v>205</v>
      </c>
      <c r="E1237" s="208">
        <f>IF(MOD(COUNT($E$10:E1236),3)=0,E1236+1,E1236)</f>
        <v>410</v>
      </c>
      <c r="F1237" s="208">
        <f>IF(MOD(COUNT($F$10:F1236),1)=0,F1236+1,F1236)</f>
        <v>1228</v>
      </c>
      <c r="G1237" s="204">
        <f>IFERROR(IF(C1237=1,VLOOKUP(A1237,Output!$A$27:$AB$137,28,FALSE)/AnnuityMode,0),0)</f>
        <v>0</v>
      </c>
      <c r="H1237" s="220">
        <f>IFERROR(IF(AND(MIN(A1237&gt;25,Age+A1237&gt;=85),B1237=12),VLOOKUP(A1237,Output!$A$27:$AE$137,31,FALSE),0),0)</f>
        <v>0</v>
      </c>
      <c r="I1237" s="221">
        <f>IFERROR(IF(AND(MIN(A1237&gt;15,A1237+Age&gt;=70),C1237=1),VLOOKUP(A1237,Output!$A$27:$AF$137,32,FALSE)*VLOOKUP('SV calc_ignore'!A1237,Output!$A$27:$AG$137,33,FALSE)/IF(AnnuityMode=2,2,IF(AnnuityMode=4,4,IF(AnnuityMode=12,12,1))),0),0)</f>
        <v>0</v>
      </c>
      <c r="J1237" s="227">
        <f t="shared" si="232"/>
        <v>0</v>
      </c>
      <c r="K1237" s="213">
        <f t="shared" si="239"/>
        <v>0</v>
      </c>
      <c r="L1237" s="209">
        <f t="shared" si="233"/>
        <v>0</v>
      </c>
      <c r="M1237" s="214">
        <f t="shared" si="234"/>
        <v>0</v>
      </c>
      <c r="N1237" s="211">
        <f t="shared" si="235"/>
        <v>0</v>
      </c>
      <c r="O1237" s="194">
        <f t="shared" si="236"/>
        <v>0</v>
      </c>
      <c r="P1237" s="212">
        <f t="shared" si="237"/>
        <v>0</v>
      </c>
      <c r="Q1237">
        <f t="shared" si="229"/>
        <v>0</v>
      </c>
      <c r="X1237" s="216">
        <f t="shared" si="240"/>
        <v>102</v>
      </c>
      <c r="Y1237">
        <f t="shared" si="238"/>
        <v>0</v>
      </c>
    </row>
    <row r="1238" spans="1:25" ht="13.5" thickBot="1" x14ac:dyDescent="0.25">
      <c r="A1238" s="204">
        <f>IF(MOD(COUNT($A$10:A1237),12)=0,A1237+1,A1237)</f>
        <v>103</v>
      </c>
      <c r="B1238" s="218">
        <f t="shared" si="230"/>
        <v>5</v>
      </c>
      <c r="C1238" s="218">
        <f t="shared" si="231"/>
        <v>1</v>
      </c>
      <c r="D1238" s="208">
        <f>IF(MOD(COUNT($D$10:D1237),6)=0,D1237+1,D1237)</f>
        <v>205</v>
      </c>
      <c r="E1238" s="208">
        <f>IF(MOD(COUNT($E$10:E1237),3)=0,E1237+1,E1237)</f>
        <v>410</v>
      </c>
      <c r="F1238" s="208">
        <f>IF(MOD(COUNT($F$10:F1237),1)=0,F1237+1,F1237)</f>
        <v>1229</v>
      </c>
      <c r="G1238" s="204">
        <f>IFERROR(IF(C1238=1,VLOOKUP(A1238,Output!$A$27:$AB$137,28,FALSE)/AnnuityMode,0),0)</f>
        <v>0</v>
      </c>
      <c r="H1238" s="220">
        <f>IFERROR(IF(AND(MIN(A1238&gt;25,Age+A1238&gt;=85),B1238=12),VLOOKUP(A1238,Output!$A$27:$AE$137,31,FALSE),0),0)</f>
        <v>0</v>
      </c>
      <c r="I1238" s="221">
        <f>IFERROR(IF(AND(MIN(A1238&gt;15,A1238+Age&gt;=70),C1238=1),VLOOKUP(A1238,Output!$A$27:$AF$137,32,FALSE)*VLOOKUP('SV calc_ignore'!A1238,Output!$A$27:$AG$137,33,FALSE)/IF(AnnuityMode=2,2,IF(AnnuityMode=4,4,IF(AnnuityMode=12,12,1))),0),0)</f>
        <v>0</v>
      </c>
      <c r="J1238" s="227">
        <f t="shared" si="232"/>
        <v>0</v>
      </c>
      <c r="K1238" s="213">
        <f t="shared" si="239"/>
        <v>0</v>
      </c>
      <c r="L1238" s="209">
        <f t="shared" si="233"/>
        <v>0</v>
      </c>
      <c r="M1238" s="214">
        <f t="shared" si="234"/>
        <v>0</v>
      </c>
      <c r="N1238" s="211">
        <f t="shared" si="235"/>
        <v>0</v>
      </c>
      <c r="O1238" s="194">
        <f t="shared" si="236"/>
        <v>0</v>
      </c>
      <c r="P1238" s="212">
        <f t="shared" si="237"/>
        <v>0</v>
      </c>
      <c r="Q1238">
        <f t="shared" si="229"/>
        <v>0</v>
      </c>
      <c r="X1238" s="216">
        <f t="shared" si="240"/>
        <v>102</v>
      </c>
      <c r="Y1238">
        <f t="shared" si="238"/>
        <v>0</v>
      </c>
    </row>
    <row r="1239" spans="1:25" ht="13.5" thickBot="1" x14ac:dyDescent="0.25">
      <c r="A1239" s="204">
        <f>IF(MOD(COUNT($A$10:A1238),12)=0,A1238+1,A1238)</f>
        <v>103</v>
      </c>
      <c r="B1239" s="218">
        <f t="shared" si="230"/>
        <v>6</v>
      </c>
      <c r="C1239" s="218">
        <f t="shared" si="231"/>
        <v>1</v>
      </c>
      <c r="D1239" s="208">
        <f>IF(MOD(COUNT($D$10:D1238),6)=0,D1238+1,D1238)</f>
        <v>205</v>
      </c>
      <c r="E1239" s="208">
        <f>IF(MOD(COUNT($E$10:E1238),3)=0,E1238+1,E1238)</f>
        <v>410</v>
      </c>
      <c r="F1239" s="208">
        <f>IF(MOD(COUNT($F$10:F1238),1)=0,F1238+1,F1238)</f>
        <v>1230</v>
      </c>
      <c r="G1239" s="204">
        <f>IFERROR(IF(C1239=1,VLOOKUP(A1239,Output!$A$27:$AB$137,28,FALSE)/AnnuityMode,0),0)</f>
        <v>0</v>
      </c>
      <c r="H1239" s="220">
        <f>IFERROR(IF(AND(MIN(A1239&gt;25,Age+A1239&gt;=85),B1239=12),VLOOKUP(A1239,Output!$A$27:$AE$137,31,FALSE),0),0)</f>
        <v>0</v>
      </c>
      <c r="I1239" s="221">
        <f>IFERROR(IF(AND(MIN(A1239&gt;15,A1239+Age&gt;=70),C1239=1),VLOOKUP(A1239,Output!$A$27:$AF$137,32,FALSE)*VLOOKUP('SV calc_ignore'!A1239,Output!$A$27:$AG$137,33,FALSE)/IF(AnnuityMode=2,2,IF(AnnuityMode=4,4,IF(AnnuityMode=12,12,1))),0),0)</f>
        <v>0</v>
      </c>
      <c r="J1239" s="227">
        <f t="shared" si="232"/>
        <v>0</v>
      </c>
      <c r="K1239" s="213">
        <f t="shared" si="239"/>
        <v>0</v>
      </c>
      <c r="L1239" s="209">
        <f t="shared" si="233"/>
        <v>0</v>
      </c>
      <c r="M1239" s="214">
        <f t="shared" si="234"/>
        <v>0</v>
      </c>
      <c r="N1239" s="211">
        <f t="shared" si="235"/>
        <v>0</v>
      </c>
      <c r="O1239" s="194">
        <f t="shared" si="236"/>
        <v>0</v>
      </c>
      <c r="P1239" s="212">
        <f t="shared" si="237"/>
        <v>0</v>
      </c>
      <c r="Q1239">
        <f t="shared" si="229"/>
        <v>0</v>
      </c>
      <c r="X1239" s="216">
        <f t="shared" si="240"/>
        <v>102</v>
      </c>
      <c r="Y1239">
        <f t="shared" si="238"/>
        <v>0</v>
      </c>
    </row>
    <row r="1240" spans="1:25" ht="13.5" thickBot="1" x14ac:dyDescent="0.25">
      <c r="A1240" s="204">
        <f>IF(MOD(COUNT($A$10:A1239),12)=0,A1239+1,A1239)</f>
        <v>103</v>
      </c>
      <c r="B1240" s="218">
        <f t="shared" si="230"/>
        <v>7</v>
      </c>
      <c r="C1240" s="218">
        <f t="shared" si="231"/>
        <v>1</v>
      </c>
      <c r="D1240" s="208">
        <f>IF(MOD(COUNT($D$10:D1239),6)=0,D1239+1,D1239)</f>
        <v>206</v>
      </c>
      <c r="E1240" s="208">
        <f>IF(MOD(COUNT($E$10:E1239),3)=0,E1239+1,E1239)</f>
        <v>411</v>
      </c>
      <c r="F1240" s="208">
        <f>IF(MOD(COUNT($F$10:F1239),1)=0,F1239+1,F1239)</f>
        <v>1231</v>
      </c>
      <c r="G1240" s="204">
        <f>IFERROR(IF(C1240=1,VLOOKUP(A1240,Output!$A$27:$AB$137,28,FALSE)/AnnuityMode,0),0)</f>
        <v>0</v>
      </c>
      <c r="H1240" s="220">
        <f>IFERROR(IF(AND(MIN(A1240&gt;25,Age+A1240&gt;=85),B1240=12),VLOOKUP(A1240,Output!$A$27:$AE$137,31,FALSE),0),0)</f>
        <v>0</v>
      </c>
      <c r="I1240" s="221">
        <f>IFERROR(IF(AND(MIN(A1240&gt;15,A1240+Age&gt;=70),C1240=1),VLOOKUP(A1240,Output!$A$27:$AF$137,32,FALSE)*VLOOKUP('SV calc_ignore'!A1240,Output!$A$27:$AG$137,33,FALSE)/IF(AnnuityMode=2,2,IF(AnnuityMode=4,4,IF(AnnuityMode=12,12,1))),0),0)</f>
        <v>0</v>
      </c>
      <c r="J1240" s="227">
        <f t="shared" si="232"/>
        <v>0</v>
      </c>
      <c r="K1240" s="213">
        <f t="shared" si="239"/>
        <v>0</v>
      </c>
      <c r="L1240" s="209">
        <f t="shared" si="233"/>
        <v>0</v>
      </c>
      <c r="M1240" s="214">
        <f t="shared" si="234"/>
        <v>0</v>
      </c>
      <c r="N1240" s="211">
        <f t="shared" si="235"/>
        <v>0</v>
      </c>
      <c r="O1240" s="194">
        <f t="shared" si="236"/>
        <v>0</v>
      </c>
      <c r="P1240" s="212">
        <f t="shared" si="237"/>
        <v>0</v>
      </c>
      <c r="Q1240">
        <f t="shared" si="229"/>
        <v>0</v>
      </c>
      <c r="X1240" s="216">
        <f t="shared" si="240"/>
        <v>102</v>
      </c>
      <c r="Y1240">
        <f t="shared" si="238"/>
        <v>0</v>
      </c>
    </row>
    <row r="1241" spans="1:25" ht="13.5" thickBot="1" x14ac:dyDescent="0.25">
      <c r="A1241" s="204">
        <f>IF(MOD(COUNT($A$10:A1240),12)=0,A1240+1,A1240)</f>
        <v>103</v>
      </c>
      <c r="B1241" s="218">
        <f t="shared" si="230"/>
        <v>8</v>
      </c>
      <c r="C1241" s="218">
        <f t="shared" si="231"/>
        <v>1</v>
      </c>
      <c r="D1241" s="208">
        <f>IF(MOD(COUNT($D$10:D1240),6)=0,D1240+1,D1240)</f>
        <v>206</v>
      </c>
      <c r="E1241" s="208">
        <f>IF(MOD(COUNT($E$10:E1240),3)=0,E1240+1,E1240)</f>
        <v>411</v>
      </c>
      <c r="F1241" s="208">
        <f>IF(MOD(COUNT($F$10:F1240),1)=0,F1240+1,F1240)</f>
        <v>1232</v>
      </c>
      <c r="G1241" s="204">
        <f>IFERROR(IF(C1241=1,VLOOKUP(A1241,Output!$A$27:$AB$137,28,FALSE)/AnnuityMode,0),0)</f>
        <v>0</v>
      </c>
      <c r="H1241" s="220">
        <f>IFERROR(IF(AND(MIN(A1241&gt;25,Age+A1241&gt;=85),B1241=12),VLOOKUP(A1241,Output!$A$27:$AE$137,31,FALSE),0),0)</f>
        <v>0</v>
      </c>
      <c r="I1241" s="221">
        <f>IFERROR(IF(AND(MIN(A1241&gt;15,A1241+Age&gt;=70),C1241=1),VLOOKUP(A1241,Output!$A$27:$AF$137,32,FALSE)*VLOOKUP('SV calc_ignore'!A1241,Output!$A$27:$AG$137,33,FALSE)/IF(AnnuityMode=2,2,IF(AnnuityMode=4,4,IF(AnnuityMode=12,12,1))),0),0)</f>
        <v>0</v>
      </c>
      <c r="J1241" s="227">
        <f t="shared" si="232"/>
        <v>0</v>
      </c>
      <c r="K1241" s="213">
        <f t="shared" si="239"/>
        <v>0</v>
      </c>
      <c r="L1241" s="209">
        <f t="shared" si="233"/>
        <v>0</v>
      </c>
      <c r="M1241" s="214">
        <f t="shared" si="234"/>
        <v>0</v>
      </c>
      <c r="N1241" s="211">
        <f t="shared" si="235"/>
        <v>0</v>
      </c>
      <c r="O1241" s="194">
        <f t="shared" si="236"/>
        <v>0</v>
      </c>
      <c r="P1241" s="212">
        <f t="shared" si="237"/>
        <v>0</v>
      </c>
      <c r="Q1241">
        <f t="shared" si="229"/>
        <v>0</v>
      </c>
      <c r="X1241" s="216">
        <f t="shared" si="240"/>
        <v>102</v>
      </c>
      <c r="Y1241">
        <f t="shared" si="238"/>
        <v>0</v>
      </c>
    </row>
    <row r="1242" spans="1:25" ht="13.5" thickBot="1" x14ac:dyDescent="0.25">
      <c r="A1242" s="204">
        <f>IF(MOD(COUNT($A$10:A1241),12)=0,A1241+1,A1241)</f>
        <v>103</v>
      </c>
      <c r="B1242" s="218">
        <f t="shared" si="230"/>
        <v>9</v>
      </c>
      <c r="C1242" s="218">
        <f t="shared" si="231"/>
        <v>1</v>
      </c>
      <c r="D1242" s="208">
        <f>IF(MOD(COUNT($D$10:D1241),6)=0,D1241+1,D1241)</f>
        <v>206</v>
      </c>
      <c r="E1242" s="208">
        <f>IF(MOD(COUNT($E$10:E1241),3)=0,E1241+1,E1241)</f>
        <v>411</v>
      </c>
      <c r="F1242" s="208">
        <f>IF(MOD(COUNT($F$10:F1241),1)=0,F1241+1,F1241)</f>
        <v>1233</v>
      </c>
      <c r="G1242" s="204">
        <f>IFERROR(IF(C1242=1,VLOOKUP(A1242,Output!$A$27:$AB$137,28,FALSE)/AnnuityMode,0),0)</f>
        <v>0</v>
      </c>
      <c r="H1242" s="220">
        <f>IFERROR(IF(AND(MIN(A1242&gt;25,Age+A1242&gt;=85),B1242=12),VLOOKUP(A1242,Output!$A$27:$AE$137,31,FALSE),0),0)</f>
        <v>0</v>
      </c>
      <c r="I1242" s="221">
        <f>IFERROR(IF(AND(MIN(A1242&gt;15,A1242+Age&gt;=70),C1242=1),VLOOKUP(A1242,Output!$A$27:$AF$137,32,FALSE)*VLOOKUP('SV calc_ignore'!A1242,Output!$A$27:$AG$137,33,FALSE)/IF(AnnuityMode=2,2,IF(AnnuityMode=4,4,IF(AnnuityMode=12,12,1))),0),0)</f>
        <v>0</v>
      </c>
      <c r="J1242" s="227">
        <f t="shared" si="232"/>
        <v>0</v>
      </c>
      <c r="K1242" s="213">
        <f t="shared" si="239"/>
        <v>0</v>
      </c>
      <c r="L1242" s="209">
        <f t="shared" si="233"/>
        <v>0</v>
      </c>
      <c r="M1242" s="214">
        <f t="shared" si="234"/>
        <v>0</v>
      </c>
      <c r="N1242" s="211">
        <f t="shared" si="235"/>
        <v>0</v>
      </c>
      <c r="O1242" s="194">
        <f t="shared" si="236"/>
        <v>0</v>
      </c>
      <c r="P1242" s="212">
        <f t="shared" si="237"/>
        <v>0</v>
      </c>
      <c r="Q1242">
        <f t="shared" si="229"/>
        <v>0</v>
      </c>
      <c r="X1242" s="216">
        <f t="shared" si="240"/>
        <v>102</v>
      </c>
      <c r="Y1242">
        <f t="shared" si="238"/>
        <v>0</v>
      </c>
    </row>
    <row r="1243" spans="1:25" ht="13.5" thickBot="1" x14ac:dyDescent="0.25">
      <c r="A1243" s="204">
        <f>IF(MOD(COUNT($A$10:A1242),12)=0,A1242+1,A1242)</f>
        <v>103</v>
      </c>
      <c r="B1243" s="218">
        <f t="shared" si="230"/>
        <v>10</v>
      </c>
      <c r="C1243" s="218">
        <f t="shared" si="231"/>
        <v>1</v>
      </c>
      <c r="D1243" s="208">
        <f>IF(MOD(COUNT($D$10:D1242),6)=0,D1242+1,D1242)</f>
        <v>206</v>
      </c>
      <c r="E1243" s="208">
        <f>IF(MOD(COUNT($E$10:E1242),3)=0,E1242+1,E1242)</f>
        <v>412</v>
      </c>
      <c r="F1243" s="208">
        <f>IF(MOD(COUNT($F$10:F1242),1)=0,F1242+1,F1242)</f>
        <v>1234</v>
      </c>
      <c r="G1243" s="204">
        <f>IFERROR(IF(C1243=1,VLOOKUP(A1243,Output!$A$27:$AB$137,28,FALSE)/AnnuityMode,0),0)</f>
        <v>0</v>
      </c>
      <c r="H1243" s="220">
        <f>IFERROR(IF(AND(MIN(A1243&gt;25,Age+A1243&gt;=85),B1243=12),VLOOKUP(A1243,Output!$A$27:$AE$137,31,FALSE),0),0)</f>
        <v>0</v>
      </c>
      <c r="I1243" s="221">
        <f>IFERROR(IF(AND(MIN(A1243&gt;15,A1243+Age&gt;=70),C1243=1),VLOOKUP(A1243,Output!$A$27:$AF$137,32,FALSE)*VLOOKUP('SV calc_ignore'!A1243,Output!$A$27:$AG$137,33,FALSE)/IF(AnnuityMode=2,2,IF(AnnuityMode=4,4,IF(AnnuityMode=12,12,1))),0),0)</f>
        <v>0</v>
      </c>
      <c r="J1243" s="227">
        <f t="shared" si="232"/>
        <v>0</v>
      </c>
      <c r="K1243" s="213">
        <f t="shared" si="239"/>
        <v>0</v>
      </c>
      <c r="L1243" s="209">
        <f t="shared" si="233"/>
        <v>0</v>
      </c>
      <c r="M1243" s="214">
        <f t="shared" si="234"/>
        <v>0</v>
      </c>
      <c r="N1243" s="211">
        <f t="shared" si="235"/>
        <v>0</v>
      </c>
      <c r="O1243" s="194">
        <f t="shared" si="236"/>
        <v>0</v>
      </c>
      <c r="P1243" s="212">
        <f t="shared" si="237"/>
        <v>0</v>
      </c>
      <c r="Q1243">
        <f t="shared" si="229"/>
        <v>0</v>
      </c>
      <c r="X1243" s="216">
        <f t="shared" si="240"/>
        <v>102</v>
      </c>
      <c r="Y1243">
        <f t="shared" si="238"/>
        <v>0</v>
      </c>
    </row>
    <row r="1244" spans="1:25" ht="13.5" thickBot="1" x14ac:dyDescent="0.25">
      <c r="A1244" s="204">
        <f>IF(MOD(COUNT($A$10:A1243),12)=0,A1243+1,A1243)</f>
        <v>103</v>
      </c>
      <c r="B1244" s="218">
        <f t="shared" si="230"/>
        <v>11</v>
      </c>
      <c r="C1244" s="218">
        <f t="shared" si="231"/>
        <v>1</v>
      </c>
      <c r="D1244" s="208">
        <f>IF(MOD(COUNT($D$10:D1243),6)=0,D1243+1,D1243)</f>
        <v>206</v>
      </c>
      <c r="E1244" s="208">
        <f>IF(MOD(COUNT($E$10:E1243),3)=0,E1243+1,E1243)</f>
        <v>412</v>
      </c>
      <c r="F1244" s="208">
        <f>IF(MOD(COUNT($F$10:F1243),1)=0,F1243+1,F1243)</f>
        <v>1235</v>
      </c>
      <c r="G1244" s="204">
        <f>IFERROR(IF(C1244=1,VLOOKUP(A1244,Output!$A$27:$AB$137,28,FALSE)/AnnuityMode,0),0)</f>
        <v>0</v>
      </c>
      <c r="H1244" s="220">
        <f>IFERROR(IF(AND(MIN(A1244&gt;25,Age+A1244&gt;=85),B1244=12),VLOOKUP(A1244,Output!$A$27:$AE$137,31,FALSE),0),0)</f>
        <v>0</v>
      </c>
      <c r="I1244" s="221">
        <f>IFERROR(IF(AND(MIN(A1244&gt;15,A1244+Age&gt;=70),C1244=1),VLOOKUP(A1244,Output!$A$27:$AF$137,32,FALSE)*VLOOKUP('SV calc_ignore'!A1244,Output!$A$27:$AG$137,33,FALSE)/IF(AnnuityMode=2,2,IF(AnnuityMode=4,4,IF(AnnuityMode=12,12,1))),0),0)</f>
        <v>0</v>
      </c>
      <c r="J1244" s="227">
        <f t="shared" si="232"/>
        <v>0</v>
      </c>
      <c r="K1244" s="213">
        <f t="shared" si="239"/>
        <v>0</v>
      </c>
      <c r="L1244" s="209">
        <f t="shared" si="233"/>
        <v>0</v>
      </c>
      <c r="M1244" s="214">
        <f t="shared" si="234"/>
        <v>0</v>
      </c>
      <c r="N1244" s="211">
        <f t="shared" si="235"/>
        <v>0</v>
      </c>
      <c r="O1244" s="194">
        <f t="shared" si="236"/>
        <v>0</v>
      </c>
      <c r="P1244" s="212">
        <f t="shared" si="237"/>
        <v>0</v>
      </c>
      <c r="Q1244">
        <f t="shared" si="229"/>
        <v>0</v>
      </c>
      <c r="X1244" s="216">
        <f t="shared" si="240"/>
        <v>102</v>
      </c>
      <c r="Y1244">
        <f t="shared" si="238"/>
        <v>0</v>
      </c>
    </row>
    <row r="1245" spans="1:25" ht="13.5" thickBot="1" x14ac:dyDescent="0.25">
      <c r="A1245" s="204">
        <f>IF(MOD(COUNT($A$10:A1244),12)=0,A1244+1,A1244)</f>
        <v>103</v>
      </c>
      <c r="B1245" s="218">
        <f t="shared" si="230"/>
        <v>12</v>
      </c>
      <c r="C1245" s="218">
        <f t="shared" si="231"/>
        <v>1</v>
      </c>
      <c r="D1245" s="208">
        <f>IF(MOD(COUNT($D$10:D1244),6)=0,D1244+1,D1244)</f>
        <v>206</v>
      </c>
      <c r="E1245" s="208">
        <f>IF(MOD(COUNT($E$10:E1244),3)=0,E1244+1,E1244)</f>
        <v>412</v>
      </c>
      <c r="F1245" s="208">
        <f>IF(MOD(COUNT($F$10:F1244),1)=0,F1244+1,F1244)</f>
        <v>1236</v>
      </c>
      <c r="G1245" s="204">
        <f>IFERROR(IF(C1245=1,VLOOKUP(A1245,Output!$A$27:$AB$137,28,FALSE)/AnnuityMode,0),0)</f>
        <v>0</v>
      </c>
      <c r="H1245" s="220">
        <f>IFERROR(IF(AND(MIN(A1245&gt;25,Age+A1245&gt;=85),B1245=12),VLOOKUP(A1245,Output!$A$27:$AE$137,31,FALSE),0),0)</f>
        <v>0</v>
      </c>
      <c r="I1245" s="221">
        <f>IFERROR(IF(AND(MIN(A1245&gt;15,A1245+Age&gt;=70),C1245=1),VLOOKUP(A1245,Output!$A$27:$AF$137,32,FALSE)*VLOOKUP('SV calc_ignore'!A1245,Output!$A$27:$AG$137,33,FALSE)/IF(AnnuityMode=2,2,IF(AnnuityMode=4,4,IF(AnnuityMode=12,12,1))),0),0)</f>
        <v>0</v>
      </c>
      <c r="J1245" s="227">
        <f t="shared" si="232"/>
        <v>0</v>
      </c>
      <c r="K1245" s="213">
        <f t="shared" si="239"/>
        <v>0</v>
      </c>
      <c r="L1245" s="209">
        <f t="shared" si="233"/>
        <v>0</v>
      </c>
      <c r="M1245" s="214">
        <f t="shared" si="234"/>
        <v>0</v>
      </c>
      <c r="N1245" s="211">
        <f t="shared" si="235"/>
        <v>0</v>
      </c>
      <c r="O1245" s="194">
        <f t="shared" si="236"/>
        <v>0</v>
      </c>
      <c r="P1245" s="212">
        <f t="shared" si="237"/>
        <v>0</v>
      </c>
      <c r="Q1245">
        <f t="shared" si="229"/>
        <v>0</v>
      </c>
      <c r="X1245" s="216">
        <f t="shared" si="240"/>
        <v>102</v>
      </c>
      <c r="Y1245">
        <f t="shared" si="238"/>
        <v>0</v>
      </c>
    </row>
    <row r="1246" spans="1:25" ht="13.5" thickBot="1" x14ac:dyDescent="0.25">
      <c r="A1246" s="204">
        <f>IF(MOD(COUNT($A$10:A1245),12)=0,A1245+1,A1245)</f>
        <v>104</v>
      </c>
      <c r="B1246" s="218">
        <f t="shared" si="230"/>
        <v>1</v>
      </c>
      <c r="C1246" s="218">
        <f t="shared" si="231"/>
        <v>1</v>
      </c>
      <c r="D1246" s="208">
        <f>IF(MOD(COUNT($D$10:D1245),6)=0,D1245+1,D1245)</f>
        <v>207</v>
      </c>
      <c r="E1246" s="208">
        <f>IF(MOD(COUNT($E$10:E1245),3)=0,E1245+1,E1245)</f>
        <v>413</v>
      </c>
      <c r="F1246" s="208">
        <f>IF(MOD(COUNT($F$10:F1245),1)=0,F1245+1,F1245)</f>
        <v>1237</v>
      </c>
      <c r="G1246" s="204">
        <f>IFERROR(IF(C1246=1,VLOOKUP(A1246,Output!$A$27:$AB$137,28,FALSE)/AnnuityMode,0),0)</f>
        <v>0</v>
      </c>
      <c r="H1246" s="220">
        <f>IFERROR(IF(AND(MIN(A1246&gt;25,Age+A1246&gt;=85),B1246=12),VLOOKUP(A1246,Output!$A$27:$AE$137,31,FALSE),0),0)</f>
        <v>0</v>
      </c>
      <c r="I1246" s="221">
        <f>IFERROR(IF(AND(MIN(A1246&gt;15,A1246+Age&gt;=70),C1246=1),VLOOKUP(A1246,Output!$A$27:$AF$137,32,FALSE)*VLOOKUP('SV calc_ignore'!A1246,Output!$A$27:$AG$137,33,FALSE)/IF(AnnuityMode=2,2,IF(AnnuityMode=4,4,IF(AnnuityMode=12,12,1))),0),0)</f>
        <v>0</v>
      </c>
      <c r="J1246" s="227">
        <f t="shared" si="232"/>
        <v>0</v>
      </c>
      <c r="K1246" s="213">
        <f t="shared" si="239"/>
        <v>0</v>
      </c>
      <c r="L1246" s="209">
        <f t="shared" si="233"/>
        <v>0</v>
      </c>
      <c r="M1246" s="214">
        <f t="shared" si="234"/>
        <v>0</v>
      </c>
      <c r="N1246" s="211">
        <f t="shared" si="235"/>
        <v>0</v>
      </c>
      <c r="O1246" s="194">
        <f t="shared" si="236"/>
        <v>0</v>
      </c>
      <c r="P1246" s="212">
        <f t="shared" si="237"/>
        <v>0</v>
      </c>
      <c r="Q1246">
        <f t="shared" si="229"/>
        <v>0</v>
      </c>
      <c r="X1246" s="216">
        <f t="shared" si="240"/>
        <v>103</v>
      </c>
      <c r="Y1246">
        <f t="shared" si="238"/>
        <v>0</v>
      </c>
    </row>
    <row r="1247" spans="1:25" ht="13.5" thickBot="1" x14ac:dyDescent="0.25">
      <c r="A1247" s="204">
        <f>IF(MOD(COUNT($A$10:A1246),12)=0,A1246+1,A1246)</f>
        <v>104</v>
      </c>
      <c r="B1247" s="218">
        <f t="shared" si="230"/>
        <v>2</v>
      </c>
      <c r="C1247" s="218">
        <f t="shared" si="231"/>
        <v>1</v>
      </c>
      <c r="D1247" s="208">
        <f>IF(MOD(COUNT($D$10:D1246),6)=0,D1246+1,D1246)</f>
        <v>207</v>
      </c>
      <c r="E1247" s="208">
        <f>IF(MOD(COUNT($E$10:E1246),3)=0,E1246+1,E1246)</f>
        <v>413</v>
      </c>
      <c r="F1247" s="208">
        <f>IF(MOD(COUNT($F$10:F1246),1)=0,F1246+1,F1246)</f>
        <v>1238</v>
      </c>
      <c r="G1247" s="204">
        <f>IFERROR(IF(C1247=1,VLOOKUP(A1247,Output!$A$27:$AB$137,28,FALSE)/AnnuityMode,0),0)</f>
        <v>0</v>
      </c>
      <c r="H1247" s="220">
        <f>IFERROR(IF(AND(MIN(A1247&gt;25,Age+A1247&gt;=85),B1247=12),VLOOKUP(A1247,Output!$A$27:$AE$137,31,FALSE),0),0)</f>
        <v>0</v>
      </c>
      <c r="I1247" s="221">
        <f>IFERROR(IF(AND(MIN(A1247&gt;15,A1247+Age&gt;=70),C1247=1),VLOOKUP(A1247,Output!$A$27:$AF$137,32,FALSE)*VLOOKUP('SV calc_ignore'!A1247,Output!$A$27:$AG$137,33,FALSE)/IF(AnnuityMode=2,2,IF(AnnuityMode=4,4,IF(AnnuityMode=12,12,1))),0),0)</f>
        <v>0</v>
      </c>
      <c r="J1247" s="227">
        <f t="shared" si="232"/>
        <v>0</v>
      </c>
      <c r="K1247" s="213">
        <f t="shared" si="239"/>
        <v>0</v>
      </c>
      <c r="L1247" s="209">
        <f t="shared" si="233"/>
        <v>0</v>
      </c>
      <c r="M1247" s="214">
        <f t="shared" si="234"/>
        <v>0</v>
      </c>
      <c r="N1247" s="211">
        <f t="shared" si="235"/>
        <v>0</v>
      </c>
      <c r="O1247" s="194">
        <f t="shared" si="236"/>
        <v>0</v>
      </c>
      <c r="P1247" s="212">
        <f t="shared" si="237"/>
        <v>0</v>
      </c>
      <c r="Q1247">
        <f t="shared" si="229"/>
        <v>0</v>
      </c>
      <c r="X1247" s="216">
        <f t="shared" si="240"/>
        <v>103</v>
      </c>
      <c r="Y1247">
        <f t="shared" si="238"/>
        <v>0</v>
      </c>
    </row>
    <row r="1248" spans="1:25" ht="13.5" thickBot="1" x14ac:dyDescent="0.25">
      <c r="A1248" s="204">
        <f>IF(MOD(COUNT($A$10:A1247),12)=0,A1247+1,A1247)</f>
        <v>104</v>
      </c>
      <c r="B1248" s="218">
        <f t="shared" si="230"/>
        <v>3</v>
      </c>
      <c r="C1248" s="218">
        <f t="shared" si="231"/>
        <v>1</v>
      </c>
      <c r="D1248" s="208">
        <f>IF(MOD(COUNT($D$10:D1247),6)=0,D1247+1,D1247)</f>
        <v>207</v>
      </c>
      <c r="E1248" s="208">
        <f>IF(MOD(COUNT($E$10:E1247),3)=0,E1247+1,E1247)</f>
        <v>413</v>
      </c>
      <c r="F1248" s="208">
        <f>IF(MOD(COUNT($F$10:F1247),1)=0,F1247+1,F1247)</f>
        <v>1239</v>
      </c>
      <c r="G1248" s="204">
        <f>IFERROR(IF(C1248=1,VLOOKUP(A1248,Output!$A$27:$AB$137,28,FALSE)/AnnuityMode,0),0)</f>
        <v>0</v>
      </c>
      <c r="H1248" s="220">
        <f>IFERROR(IF(AND(MIN(A1248&gt;25,Age+A1248&gt;=85),B1248=12),VLOOKUP(A1248,Output!$A$27:$AE$137,31,FALSE),0),0)</f>
        <v>0</v>
      </c>
      <c r="I1248" s="221">
        <f>IFERROR(IF(AND(MIN(A1248&gt;15,A1248+Age&gt;=70),C1248=1),VLOOKUP(A1248,Output!$A$27:$AF$137,32,FALSE)*VLOOKUP('SV calc_ignore'!A1248,Output!$A$27:$AG$137,33,FALSE)/IF(AnnuityMode=2,2,IF(AnnuityMode=4,4,IF(AnnuityMode=12,12,1))),0),0)</f>
        <v>0</v>
      </c>
      <c r="J1248" s="227">
        <f t="shared" si="232"/>
        <v>0</v>
      </c>
      <c r="K1248" s="213">
        <f t="shared" si="239"/>
        <v>0</v>
      </c>
      <c r="L1248" s="209">
        <f t="shared" si="233"/>
        <v>0</v>
      </c>
      <c r="M1248" s="214">
        <f t="shared" si="234"/>
        <v>0</v>
      </c>
      <c r="N1248" s="211">
        <f t="shared" si="235"/>
        <v>0</v>
      </c>
      <c r="O1248" s="194">
        <f t="shared" si="236"/>
        <v>0</v>
      </c>
      <c r="P1248" s="212">
        <f t="shared" si="237"/>
        <v>0</v>
      </c>
      <c r="Q1248">
        <f t="shared" si="229"/>
        <v>0</v>
      </c>
      <c r="X1248" s="216">
        <f t="shared" si="240"/>
        <v>103</v>
      </c>
      <c r="Y1248">
        <f t="shared" si="238"/>
        <v>0</v>
      </c>
    </row>
    <row r="1249" spans="1:25" ht="13.5" thickBot="1" x14ac:dyDescent="0.25">
      <c r="A1249" s="204">
        <f>IF(MOD(COUNT($A$10:A1248),12)=0,A1248+1,A1248)</f>
        <v>104</v>
      </c>
      <c r="B1249" s="218">
        <f t="shared" si="230"/>
        <v>4</v>
      </c>
      <c r="C1249" s="218">
        <f t="shared" si="231"/>
        <v>1</v>
      </c>
      <c r="D1249" s="208">
        <f>IF(MOD(COUNT($D$10:D1248),6)=0,D1248+1,D1248)</f>
        <v>207</v>
      </c>
      <c r="E1249" s="208">
        <f>IF(MOD(COUNT($E$10:E1248),3)=0,E1248+1,E1248)</f>
        <v>414</v>
      </c>
      <c r="F1249" s="208">
        <f>IF(MOD(COUNT($F$10:F1248),1)=0,F1248+1,F1248)</f>
        <v>1240</v>
      </c>
      <c r="G1249" s="204">
        <f>IFERROR(IF(C1249=1,VLOOKUP(A1249,Output!$A$27:$AB$137,28,FALSE)/AnnuityMode,0),0)</f>
        <v>0</v>
      </c>
      <c r="H1249" s="220">
        <f>IFERROR(IF(AND(MIN(A1249&gt;25,Age+A1249&gt;=85),B1249=12),VLOOKUP(A1249,Output!$A$27:$AE$137,31,FALSE),0),0)</f>
        <v>0</v>
      </c>
      <c r="I1249" s="221">
        <f>IFERROR(IF(AND(MIN(A1249&gt;15,A1249+Age&gt;=70),C1249=1),VLOOKUP(A1249,Output!$A$27:$AF$137,32,FALSE)*VLOOKUP('SV calc_ignore'!A1249,Output!$A$27:$AG$137,33,FALSE)/IF(AnnuityMode=2,2,IF(AnnuityMode=4,4,IF(AnnuityMode=12,12,1))),0),0)</f>
        <v>0</v>
      </c>
      <c r="J1249" s="227">
        <f t="shared" si="232"/>
        <v>0</v>
      </c>
      <c r="K1249" s="213">
        <f t="shared" si="239"/>
        <v>0</v>
      </c>
      <c r="L1249" s="209">
        <f t="shared" si="233"/>
        <v>0</v>
      </c>
      <c r="M1249" s="214">
        <f t="shared" si="234"/>
        <v>0</v>
      </c>
      <c r="N1249" s="211">
        <f t="shared" si="235"/>
        <v>0</v>
      </c>
      <c r="O1249" s="194">
        <f t="shared" si="236"/>
        <v>0</v>
      </c>
      <c r="P1249" s="212">
        <f t="shared" si="237"/>
        <v>0</v>
      </c>
      <c r="Q1249">
        <f t="shared" si="229"/>
        <v>0</v>
      </c>
      <c r="X1249" s="216">
        <f t="shared" si="240"/>
        <v>103</v>
      </c>
      <c r="Y1249">
        <f t="shared" si="238"/>
        <v>0</v>
      </c>
    </row>
    <row r="1250" spans="1:25" ht="13.5" thickBot="1" x14ac:dyDescent="0.25">
      <c r="A1250" s="204">
        <f>IF(MOD(COUNT($A$10:A1249),12)=0,A1249+1,A1249)</f>
        <v>104</v>
      </c>
      <c r="B1250" s="218">
        <f t="shared" si="230"/>
        <v>5</v>
      </c>
      <c r="C1250" s="218">
        <f t="shared" si="231"/>
        <v>1</v>
      </c>
      <c r="D1250" s="208">
        <f>IF(MOD(COUNT($D$10:D1249),6)=0,D1249+1,D1249)</f>
        <v>207</v>
      </c>
      <c r="E1250" s="208">
        <f>IF(MOD(COUNT($E$10:E1249),3)=0,E1249+1,E1249)</f>
        <v>414</v>
      </c>
      <c r="F1250" s="208">
        <f>IF(MOD(COUNT($F$10:F1249),1)=0,F1249+1,F1249)</f>
        <v>1241</v>
      </c>
      <c r="G1250" s="204">
        <f>IFERROR(IF(C1250=1,VLOOKUP(A1250,Output!$A$27:$AB$137,28,FALSE)/AnnuityMode,0),0)</f>
        <v>0</v>
      </c>
      <c r="H1250" s="220">
        <f>IFERROR(IF(AND(MIN(A1250&gt;25,Age+A1250&gt;=85),B1250=12),VLOOKUP(A1250,Output!$A$27:$AE$137,31,FALSE),0),0)</f>
        <v>0</v>
      </c>
      <c r="I1250" s="221">
        <f>IFERROR(IF(AND(MIN(A1250&gt;15,A1250+Age&gt;=70),C1250=1),VLOOKUP(A1250,Output!$A$27:$AF$137,32,FALSE)*VLOOKUP('SV calc_ignore'!A1250,Output!$A$27:$AG$137,33,FALSE)/IF(AnnuityMode=2,2,IF(AnnuityMode=4,4,IF(AnnuityMode=12,12,1))),0),0)</f>
        <v>0</v>
      </c>
      <c r="J1250" s="227">
        <f t="shared" si="232"/>
        <v>0</v>
      </c>
      <c r="K1250" s="213">
        <f t="shared" si="239"/>
        <v>0</v>
      </c>
      <c r="L1250" s="209">
        <f t="shared" si="233"/>
        <v>0</v>
      </c>
      <c r="M1250" s="214">
        <f t="shared" si="234"/>
        <v>0</v>
      </c>
      <c r="N1250" s="211">
        <f t="shared" si="235"/>
        <v>0</v>
      </c>
      <c r="O1250" s="194">
        <f t="shared" si="236"/>
        <v>0</v>
      </c>
      <c r="P1250" s="212">
        <f t="shared" si="237"/>
        <v>0</v>
      </c>
      <c r="Q1250">
        <f t="shared" si="229"/>
        <v>0</v>
      </c>
      <c r="X1250" s="216">
        <f t="shared" si="240"/>
        <v>103</v>
      </c>
      <c r="Y1250">
        <f t="shared" si="238"/>
        <v>0</v>
      </c>
    </row>
    <row r="1251" spans="1:25" ht="13.5" thickBot="1" x14ac:dyDescent="0.25">
      <c r="A1251" s="204">
        <f>IF(MOD(COUNT($A$10:A1250),12)=0,A1250+1,A1250)</f>
        <v>104</v>
      </c>
      <c r="B1251" s="218">
        <f t="shared" si="230"/>
        <v>6</v>
      </c>
      <c r="C1251" s="218">
        <f t="shared" si="231"/>
        <v>1</v>
      </c>
      <c r="D1251" s="208">
        <f>IF(MOD(COUNT($D$10:D1250),6)=0,D1250+1,D1250)</f>
        <v>207</v>
      </c>
      <c r="E1251" s="208">
        <f>IF(MOD(COUNT($E$10:E1250),3)=0,E1250+1,E1250)</f>
        <v>414</v>
      </c>
      <c r="F1251" s="208">
        <f>IF(MOD(COUNT($F$10:F1250),1)=0,F1250+1,F1250)</f>
        <v>1242</v>
      </c>
      <c r="G1251" s="204">
        <f>IFERROR(IF(C1251=1,VLOOKUP(A1251,Output!$A$27:$AB$137,28,FALSE)/AnnuityMode,0),0)</f>
        <v>0</v>
      </c>
      <c r="H1251" s="220">
        <f>IFERROR(IF(AND(MIN(A1251&gt;25,Age+A1251&gt;=85),B1251=12),VLOOKUP(A1251,Output!$A$27:$AE$137,31,FALSE),0),0)</f>
        <v>0</v>
      </c>
      <c r="I1251" s="221">
        <f>IFERROR(IF(AND(MIN(A1251&gt;15,A1251+Age&gt;=70),C1251=1),VLOOKUP(A1251,Output!$A$27:$AF$137,32,FALSE)*VLOOKUP('SV calc_ignore'!A1251,Output!$A$27:$AG$137,33,FALSE)/IF(AnnuityMode=2,2,IF(AnnuityMode=4,4,IF(AnnuityMode=12,12,1))),0),0)</f>
        <v>0</v>
      </c>
      <c r="J1251" s="227">
        <f t="shared" si="232"/>
        <v>0</v>
      </c>
      <c r="K1251" s="213">
        <f t="shared" si="239"/>
        <v>0</v>
      </c>
      <c r="L1251" s="209">
        <f t="shared" si="233"/>
        <v>0</v>
      </c>
      <c r="M1251" s="214">
        <f t="shared" si="234"/>
        <v>0</v>
      </c>
      <c r="N1251" s="211">
        <f t="shared" si="235"/>
        <v>0</v>
      </c>
      <c r="O1251" s="194">
        <f t="shared" si="236"/>
        <v>0</v>
      </c>
      <c r="P1251" s="212">
        <f t="shared" si="237"/>
        <v>0</v>
      </c>
      <c r="Q1251">
        <f t="shared" si="229"/>
        <v>0</v>
      </c>
      <c r="X1251" s="216">
        <f t="shared" si="240"/>
        <v>103</v>
      </c>
      <c r="Y1251">
        <f t="shared" si="238"/>
        <v>0</v>
      </c>
    </row>
    <row r="1252" spans="1:25" ht="13.5" thickBot="1" x14ac:dyDescent="0.25">
      <c r="A1252" s="204">
        <f>IF(MOD(COUNT($A$10:A1251),12)=0,A1251+1,A1251)</f>
        <v>104</v>
      </c>
      <c r="B1252" s="218">
        <f t="shared" si="230"/>
        <v>7</v>
      </c>
      <c r="C1252" s="218">
        <f t="shared" si="231"/>
        <v>1</v>
      </c>
      <c r="D1252" s="208">
        <f>IF(MOD(COUNT($D$10:D1251),6)=0,D1251+1,D1251)</f>
        <v>208</v>
      </c>
      <c r="E1252" s="208">
        <f>IF(MOD(COUNT($E$10:E1251),3)=0,E1251+1,E1251)</f>
        <v>415</v>
      </c>
      <c r="F1252" s="208">
        <f>IF(MOD(COUNT($F$10:F1251),1)=0,F1251+1,F1251)</f>
        <v>1243</v>
      </c>
      <c r="G1252" s="204">
        <f>IFERROR(IF(C1252=1,VLOOKUP(A1252,Output!$A$27:$AB$137,28,FALSE)/AnnuityMode,0),0)</f>
        <v>0</v>
      </c>
      <c r="H1252" s="220">
        <f>IFERROR(IF(AND(MIN(A1252&gt;25,Age+A1252&gt;=85),B1252=12),VLOOKUP(A1252,Output!$A$27:$AE$137,31,FALSE),0),0)</f>
        <v>0</v>
      </c>
      <c r="I1252" s="221">
        <f>IFERROR(IF(AND(MIN(A1252&gt;15,A1252+Age&gt;=70),C1252=1),VLOOKUP(A1252,Output!$A$27:$AF$137,32,FALSE)*VLOOKUP('SV calc_ignore'!A1252,Output!$A$27:$AG$137,33,FALSE)/IF(AnnuityMode=2,2,IF(AnnuityMode=4,4,IF(AnnuityMode=12,12,1))),0),0)</f>
        <v>0</v>
      </c>
      <c r="J1252" s="227">
        <f t="shared" si="232"/>
        <v>0</v>
      </c>
      <c r="K1252" s="213">
        <f t="shared" si="239"/>
        <v>0</v>
      </c>
      <c r="L1252" s="209">
        <f t="shared" si="233"/>
        <v>0</v>
      </c>
      <c r="M1252" s="214">
        <f t="shared" si="234"/>
        <v>0</v>
      </c>
      <c r="N1252" s="211">
        <f t="shared" si="235"/>
        <v>0</v>
      </c>
      <c r="O1252" s="194">
        <f t="shared" si="236"/>
        <v>0</v>
      </c>
      <c r="P1252" s="212">
        <f t="shared" si="237"/>
        <v>0</v>
      </c>
      <c r="Q1252">
        <f t="shared" si="229"/>
        <v>0</v>
      </c>
      <c r="X1252" s="216">
        <f t="shared" si="240"/>
        <v>103</v>
      </c>
      <c r="Y1252">
        <f t="shared" si="238"/>
        <v>0</v>
      </c>
    </row>
    <row r="1253" spans="1:25" ht="13.5" thickBot="1" x14ac:dyDescent="0.25">
      <c r="A1253" s="204">
        <f>IF(MOD(COUNT($A$10:A1252),12)=0,A1252+1,A1252)</f>
        <v>104</v>
      </c>
      <c r="B1253" s="218">
        <f t="shared" si="230"/>
        <v>8</v>
      </c>
      <c r="C1253" s="218">
        <f t="shared" si="231"/>
        <v>1</v>
      </c>
      <c r="D1253" s="208">
        <f>IF(MOD(COUNT($D$10:D1252),6)=0,D1252+1,D1252)</f>
        <v>208</v>
      </c>
      <c r="E1253" s="208">
        <f>IF(MOD(COUNT($E$10:E1252),3)=0,E1252+1,E1252)</f>
        <v>415</v>
      </c>
      <c r="F1253" s="208">
        <f>IF(MOD(COUNT($F$10:F1252),1)=0,F1252+1,F1252)</f>
        <v>1244</v>
      </c>
      <c r="G1253" s="204">
        <f>IFERROR(IF(C1253=1,VLOOKUP(A1253,Output!$A$27:$AB$137,28,FALSE)/AnnuityMode,0),0)</f>
        <v>0</v>
      </c>
      <c r="H1253" s="220">
        <f>IFERROR(IF(AND(MIN(A1253&gt;25,Age+A1253&gt;=85),B1253=12),VLOOKUP(A1253,Output!$A$27:$AE$137,31,FALSE),0),0)</f>
        <v>0</v>
      </c>
      <c r="I1253" s="221">
        <f>IFERROR(IF(AND(MIN(A1253&gt;15,A1253+Age&gt;=70),C1253=1),VLOOKUP(A1253,Output!$A$27:$AF$137,32,FALSE)*VLOOKUP('SV calc_ignore'!A1253,Output!$A$27:$AG$137,33,FALSE)/IF(AnnuityMode=2,2,IF(AnnuityMode=4,4,IF(AnnuityMode=12,12,1))),0),0)</f>
        <v>0</v>
      </c>
      <c r="J1253" s="227">
        <f t="shared" si="232"/>
        <v>0</v>
      </c>
      <c r="K1253" s="213">
        <f t="shared" si="239"/>
        <v>0</v>
      </c>
      <c r="L1253" s="209">
        <f t="shared" si="233"/>
        <v>0</v>
      </c>
      <c r="M1253" s="214">
        <f t="shared" si="234"/>
        <v>0</v>
      </c>
      <c r="N1253" s="211">
        <f t="shared" si="235"/>
        <v>0</v>
      </c>
      <c r="O1253" s="194">
        <f t="shared" si="236"/>
        <v>0</v>
      </c>
      <c r="P1253" s="212">
        <f t="shared" si="237"/>
        <v>0</v>
      </c>
      <c r="Q1253">
        <f t="shared" si="229"/>
        <v>0</v>
      </c>
      <c r="X1253" s="216">
        <f t="shared" si="240"/>
        <v>103</v>
      </c>
      <c r="Y1253">
        <f t="shared" si="238"/>
        <v>0</v>
      </c>
    </row>
    <row r="1254" spans="1:25" ht="13.5" thickBot="1" x14ac:dyDescent="0.25">
      <c r="A1254" s="204">
        <f>IF(MOD(COUNT($A$10:A1253),12)=0,A1253+1,A1253)</f>
        <v>104</v>
      </c>
      <c r="B1254" s="218">
        <f t="shared" si="230"/>
        <v>9</v>
      </c>
      <c r="C1254" s="218">
        <f t="shared" si="231"/>
        <v>1</v>
      </c>
      <c r="D1254" s="208">
        <f>IF(MOD(COUNT($D$10:D1253),6)=0,D1253+1,D1253)</f>
        <v>208</v>
      </c>
      <c r="E1254" s="208">
        <f>IF(MOD(COUNT($E$10:E1253),3)=0,E1253+1,E1253)</f>
        <v>415</v>
      </c>
      <c r="F1254" s="208">
        <f>IF(MOD(COUNT($F$10:F1253),1)=0,F1253+1,F1253)</f>
        <v>1245</v>
      </c>
      <c r="G1254" s="204">
        <f>IFERROR(IF(C1254=1,VLOOKUP(A1254,Output!$A$27:$AB$137,28,FALSE)/AnnuityMode,0),0)</f>
        <v>0</v>
      </c>
      <c r="H1254" s="220">
        <f>IFERROR(IF(AND(MIN(A1254&gt;25,Age+A1254&gt;=85),B1254=12),VLOOKUP(A1254,Output!$A$27:$AE$137,31,FALSE),0),0)</f>
        <v>0</v>
      </c>
      <c r="I1254" s="221">
        <f>IFERROR(IF(AND(MIN(A1254&gt;15,A1254+Age&gt;=70),C1254=1),VLOOKUP(A1254,Output!$A$27:$AF$137,32,FALSE)*VLOOKUP('SV calc_ignore'!A1254,Output!$A$27:$AG$137,33,FALSE)/IF(AnnuityMode=2,2,IF(AnnuityMode=4,4,IF(AnnuityMode=12,12,1))),0),0)</f>
        <v>0</v>
      </c>
      <c r="J1254" s="227">
        <f t="shared" si="232"/>
        <v>0</v>
      </c>
      <c r="K1254" s="213">
        <f t="shared" si="239"/>
        <v>0</v>
      </c>
      <c r="L1254" s="209">
        <f t="shared" si="233"/>
        <v>0</v>
      </c>
      <c r="M1254" s="214">
        <f t="shared" si="234"/>
        <v>0</v>
      </c>
      <c r="N1254" s="211">
        <f t="shared" si="235"/>
        <v>0</v>
      </c>
      <c r="O1254" s="194">
        <f t="shared" si="236"/>
        <v>0</v>
      </c>
      <c r="P1254" s="212">
        <f t="shared" si="237"/>
        <v>0</v>
      </c>
      <c r="Q1254">
        <f t="shared" si="229"/>
        <v>0</v>
      </c>
      <c r="X1254" s="216">
        <f t="shared" si="240"/>
        <v>103</v>
      </c>
      <c r="Y1254">
        <f t="shared" si="238"/>
        <v>0</v>
      </c>
    </row>
    <row r="1255" spans="1:25" ht="13.5" thickBot="1" x14ac:dyDescent="0.25">
      <c r="A1255" s="204">
        <f>IF(MOD(COUNT($A$10:A1254),12)=0,A1254+1,A1254)</f>
        <v>104</v>
      </c>
      <c r="B1255" s="218">
        <f t="shared" si="230"/>
        <v>10</v>
      </c>
      <c r="C1255" s="218">
        <f t="shared" si="231"/>
        <v>1</v>
      </c>
      <c r="D1255" s="208">
        <f>IF(MOD(COUNT($D$10:D1254),6)=0,D1254+1,D1254)</f>
        <v>208</v>
      </c>
      <c r="E1255" s="208">
        <f>IF(MOD(COUNT($E$10:E1254),3)=0,E1254+1,E1254)</f>
        <v>416</v>
      </c>
      <c r="F1255" s="208">
        <f>IF(MOD(COUNT($F$10:F1254),1)=0,F1254+1,F1254)</f>
        <v>1246</v>
      </c>
      <c r="G1255" s="204">
        <f>IFERROR(IF(C1255=1,VLOOKUP(A1255,Output!$A$27:$AB$137,28,FALSE)/AnnuityMode,0),0)</f>
        <v>0</v>
      </c>
      <c r="H1255" s="220">
        <f>IFERROR(IF(AND(MIN(A1255&gt;25,Age+A1255&gt;=85),B1255=12),VLOOKUP(A1255,Output!$A$27:$AE$137,31,FALSE),0),0)</f>
        <v>0</v>
      </c>
      <c r="I1255" s="221">
        <f>IFERROR(IF(AND(MIN(A1255&gt;15,A1255+Age&gt;=70),C1255=1),VLOOKUP(A1255,Output!$A$27:$AF$137,32,FALSE)*VLOOKUP('SV calc_ignore'!A1255,Output!$A$27:$AG$137,33,FALSE)/IF(AnnuityMode=2,2,IF(AnnuityMode=4,4,IF(AnnuityMode=12,12,1))),0),0)</f>
        <v>0</v>
      </c>
      <c r="J1255" s="227">
        <f t="shared" si="232"/>
        <v>0</v>
      </c>
      <c r="K1255" s="213">
        <f t="shared" si="239"/>
        <v>0</v>
      </c>
      <c r="L1255" s="209">
        <f t="shared" si="233"/>
        <v>0</v>
      </c>
      <c r="M1255" s="214">
        <f t="shared" si="234"/>
        <v>0</v>
      </c>
      <c r="N1255" s="211">
        <f t="shared" si="235"/>
        <v>0</v>
      </c>
      <c r="O1255" s="194">
        <f t="shared" si="236"/>
        <v>0</v>
      </c>
      <c r="P1255" s="212">
        <f t="shared" si="237"/>
        <v>0</v>
      </c>
      <c r="Q1255">
        <f t="shared" si="229"/>
        <v>0</v>
      </c>
      <c r="X1255" s="216">
        <f t="shared" si="240"/>
        <v>103</v>
      </c>
      <c r="Y1255">
        <f t="shared" si="238"/>
        <v>0</v>
      </c>
    </row>
    <row r="1256" spans="1:25" ht="13.5" thickBot="1" x14ac:dyDescent="0.25">
      <c r="A1256" s="204">
        <f>IF(MOD(COUNT($A$10:A1255),12)=0,A1255+1,A1255)</f>
        <v>104</v>
      </c>
      <c r="B1256" s="218">
        <f t="shared" si="230"/>
        <v>11</v>
      </c>
      <c r="C1256" s="218">
        <f t="shared" si="231"/>
        <v>1</v>
      </c>
      <c r="D1256" s="208">
        <f>IF(MOD(COUNT($D$10:D1255),6)=0,D1255+1,D1255)</f>
        <v>208</v>
      </c>
      <c r="E1256" s="208">
        <f>IF(MOD(COUNT($E$10:E1255),3)=0,E1255+1,E1255)</f>
        <v>416</v>
      </c>
      <c r="F1256" s="208">
        <f>IF(MOD(COUNT($F$10:F1255),1)=0,F1255+1,F1255)</f>
        <v>1247</v>
      </c>
      <c r="G1256" s="204">
        <f>IFERROR(IF(C1256=1,VLOOKUP(A1256,Output!$A$27:$AB$137,28,FALSE)/AnnuityMode,0),0)</f>
        <v>0</v>
      </c>
      <c r="H1256" s="220">
        <f>IFERROR(IF(AND(MIN(A1256&gt;25,Age+A1256&gt;=85),B1256=12),VLOOKUP(A1256,Output!$A$27:$AE$137,31,FALSE),0),0)</f>
        <v>0</v>
      </c>
      <c r="I1256" s="221">
        <f>IFERROR(IF(AND(MIN(A1256&gt;15,A1256+Age&gt;=70),C1256=1),VLOOKUP(A1256,Output!$A$27:$AF$137,32,FALSE)*VLOOKUP('SV calc_ignore'!A1256,Output!$A$27:$AG$137,33,FALSE)/IF(AnnuityMode=2,2,IF(AnnuityMode=4,4,IF(AnnuityMode=12,12,1))),0),0)</f>
        <v>0</v>
      </c>
      <c r="J1256" s="227">
        <f t="shared" si="232"/>
        <v>0</v>
      </c>
      <c r="K1256" s="213">
        <f t="shared" si="239"/>
        <v>0</v>
      </c>
      <c r="L1256" s="209">
        <f t="shared" si="233"/>
        <v>0</v>
      </c>
      <c r="M1256" s="214">
        <f t="shared" si="234"/>
        <v>0</v>
      </c>
      <c r="N1256" s="211">
        <f t="shared" si="235"/>
        <v>0</v>
      </c>
      <c r="O1256" s="194">
        <f t="shared" si="236"/>
        <v>0</v>
      </c>
      <c r="P1256" s="212">
        <f t="shared" si="237"/>
        <v>0</v>
      </c>
      <c r="Q1256">
        <f t="shared" si="229"/>
        <v>0</v>
      </c>
      <c r="X1256" s="216">
        <f t="shared" si="240"/>
        <v>103</v>
      </c>
      <c r="Y1256">
        <f t="shared" si="238"/>
        <v>0</v>
      </c>
    </row>
    <row r="1257" spans="1:25" ht="13.5" thickBot="1" x14ac:dyDescent="0.25">
      <c r="A1257" s="204">
        <f>IF(MOD(COUNT($A$10:A1256),12)=0,A1256+1,A1256)</f>
        <v>104</v>
      </c>
      <c r="B1257" s="218">
        <f t="shared" si="230"/>
        <v>12</v>
      </c>
      <c r="C1257" s="218">
        <f t="shared" si="231"/>
        <v>1</v>
      </c>
      <c r="D1257" s="208">
        <f>IF(MOD(COUNT($D$10:D1256),6)=0,D1256+1,D1256)</f>
        <v>208</v>
      </c>
      <c r="E1257" s="208">
        <f>IF(MOD(COUNT($E$10:E1256),3)=0,E1256+1,E1256)</f>
        <v>416</v>
      </c>
      <c r="F1257" s="208">
        <f>IF(MOD(COUNT($F$10:F1256),1)=0,F1256+1,F1256)</f>
        <v>1248</v>
      </c>
      <c r="G1257" s="204">
        <f>IFERROR(IF(C1257=1,VLOOKUP(A1257,Output!$A$27:$AB$137,28,FALSE)/AnnuityMode,0),0)</f>
        <v>0</v>
      </c>
      <c r="H1257" s="220">
        <f>IFERROR(IF(AND(MIN(A1257&gt;25,Age+A1257&gt;=85),B1257=12),VLOOKUP(A1257,Output!$A$27:$AE$137,31,FALSE),0),0)</f>
        <v>0</v>
      </c>
      <c r="I1257" s="221">
        <f>IFERROR(IF(AND(MIN(A1257&gt;15,A1257+Age&gt;=70),C1257=1),VLOOKUP(A1257,Output!$A$27:$AF$137,32,FALSE)*VLOOKUP('SV calc_ignore'!A1257,Output!$A$27:$AG$137,33,FALSE)/IF(AnnuityMode=2,2,IF(AnnuityMode=4,4,IF(AnnuityMode=12,12,1))),0),0)</f>
        <v>0</v>
      </c>
      <c r="J1257" s="227">
        <f t="shared" si="232"/>
        <v>0</v>
      </c>
      <c r="K1257" s="213">
        <f t="shared" si="239"/>
        <v>0</v>
      </c>
      <c r="L1257" s="209">
        <f t="shared" si="233"/>
        <v>0</v>
      </c>
      <c r="M1257" s="214">
        <f t="shared" si="234"/>
        <v>0</v>
      </c>
      <c r="N1257" s="211">
        <f t="shared" si="235"/>
        <v>0</v>
      </c>
      <c r="O1257" s="194">
        <f t="shared" si="236"/>
        <v>0</v>
      </c>
      <c r="P1257" s="212">
        <f t="shared" si="237"/>
        <v>0</v>
      </c>
      <c r="Q1257">
        <f t="shared" si="229"/>
        <v>0</v>
      </c>
      <c r="X1257" s="216">
        <f t="shared" si="240"/>
        <v>103</v>
      </c>
      <c r="Y1257">
        <f t="shared" si="238"/>
        <v>0</v>
      </c>
    </row>
    <row r="1258" spans="1:25" ht="13.5" thickBot="1" x14ac:dyDescent="0.25">
      <c r="A1258" s="204">
        <f>IF(MOD(COUNT($A$10:A1257),12)=0,A1257+1,A1257)</f>
        <v>105</v>
      </c>
      <c r="B1258" s="218">
        <f t="shared" si="230"/>
        <v>1</v>
      </c>
      <c r="C1258" s="218">
        <f t="shared" si="231"/>
        <v>1</v>
      </c>
      <c r="D1258" s="208">
        <f>IF(MOD(COUNT($D$10:D1257),6)=0,D1257+1,D1257)</f>
        <v>209</v>
      </c>
      <c r="E1258" s="208">
        <f>IF(MOD(COUNT($E$10:E1257),3)=0,E1257+1,E1257)</f>
        <v>417</v>
      </c>
      <c r="F1258" s="208">
        <f>IF(MOD(COUNT($F$10:F1257),1)=0,F1257+1,F1257)</f>
        <v>1249</v>
      </c>
      <c r="G1258" s="204">
        <f>IFERROR(IF(C1258=1,VLOOKUP(A1258,Output!$A$27:$AB$137,28,FALSE)/AnnuityMode,0),0)</f>
        <v>0</v>
      </c>
      <c r="H1258" s="220">
        <f>IFERROR(IF(AND(MIN(A1258&gt;25,Age+A1258&gt;=85),B1258=12),VLOOKUP(A1258,Output!$A$27:$AE$137,31,FALSE),0),0)</f>
        <v>0</v>
      </c>
      <c r="I1258" s="221">
        <f>IFERROR(IF(AND(MIN(A1258&gt;15,A1258+Age&gt;=70),C1258=1),VLOOKUP(A1258,Output!$A$27:$AF$137,32,FALSE)*VLOOKUP('SV calc_ignore'!A1258,Output!$A$27:$AG$137,33,FALSE)/IF(AnnuityMode=2,2,IF(AnnuityMode=4,4,IF(AnnuityMode=12,12,1))),0),0)</f>
        <v>0</v>
      </c>
      <c r="J1258" s="227">
        <f t="shared" si="232"/>
        <v>0</v>
      </c>
      <c r="K1258" s="213">
        <f t="shared" si="239"/>
        <v>0</v>
      </c>
      <c r="L1258" s="209">
        <f t="shared" si="233"/>
        <v>0</v>
      </c>
      <c r="M1258" s="214">
        <f t="shared" si="234"/>
        <v>0</v>
      </c>
      <c r="N1258" s="211">
        <f t="shared" si="235"/>
        <v>0</v>
      </c>
      <c r="O1258" s="194">
        <f t="shared" si="236"/>
        <v>0</v>
      </c>
      <c r="P1258" s="212">
        <f t="shared" si="237"/>
        <v>0</v>
      </c>
      <c r="Q1258">
        <f t="shared" ref="Q1258:Q1321" si="241">(I1258+(Q1259)*(1+$K$3)^(-1))*(A1258&lt;=$W$5)</f>
        <v>0</v>
      </c>
      <c r="X1258" s="216">
        <f t="shared" si="240"/>
        <v>104</v>
      </c>
      <c r="Y1258">
        <f t="shared" si="238"/>
        <v>0</v>
      </c>
    </row>
    <row r="1259" spans="1:25" ht="13.5" thickBot="1" x14ac:dyDescent="0.25">
      <c r="A1259" s="204">
        <f>IF(MOD(COUNT($A$10:A1258),12)=0,A1258+1,A1258)</f>
        <v>105</v>
      </c>
      <c r="B1259" s="218">
        <f t="shared" si="230"/>
        <v>2</v>
      </c>
      <c r="C1259" s="218">
        <f t="shared" si="231"/>
        <v>1</v>
      </c>
      <c r="D1259" s="208">
        <f>IF(MOD(COUNT($D$10:D1258),6)=0,D1258+1,D1258)</f>
        <v>209</v>
      </c>
      <c r="E1259" s="208">
        <f>IF(MOD(COUNT($E$10:E1258),3)=0,E1258+1,E1258)</f>
        <v>417</v>
      </c>
      <c r="F1259" s="208">
        <f>IF(MOD(COUNT($F$10:F1258),1)=0,F1258+1,F1258)</f>
        <v>1250</v>
      </c>
      <c r="G1259" s="204">
        <f>IFERROR(IF(C1259=1,VLOOKUP(A1259,Output!$A$27:$AB$137,28,FALSE)/AnnuityMode,0),0)</f>
        <v>0</v>
      </c>
      <c r="H1259" s="220">
        <f>IFERROR(IF(AND(MIN(A1259&gt;25,Age+A1259&gt;=85),B1259=12),VLOOKUP(A1259,Output!$A$27:$AE$137,31,FALSE),0),0)</f>
        <v>0</v>
      </c>
      <c r="I1259" s="221">
        <f>IFERROR(IF(AND(MIN(A1259&gt;15,A1259+Age&gt;=70),C1259=1),VLOOKUP(A1259,Output!$A$27:$AF$137,32,FALSE)*VLOOKUP('SV calc_ignore'!A1259,Output!$A$27:$AG$137,33,FALSE)/IF(AnnuityMode=2,2,IF(AnnuityMode=4,4,IF(AnnuityMode=12,12,1))),0),0)</f>
        <v>0</v>
      </c>
      <c r="J1259" s="227">
        <f t="shared" si="232"/>
        <v>0</v>
      </c>
      <c r="K1259" s="213">
        <f t="shared" si="239"/>
        <v>0</v>
      </c>
      <c r="L1259" s="209">
        <f t="shared" si="233"/>
        <v>0</v>
      </c>
      <c r="M1259" s="214">
        <f t="shared" si="234"/>
        <v>0</v>
      </c>
      <c r="N1259" s="211">
        <f t="shared" si="235"/>
        <v>0</v>
      </c>
      <c r="O1259" s="194">
        <f t="shared" si="236"/>
        <v>0</v>
      </c>
      <c r="P1259" s="212">
        <f t="shared" si="237"/>
        <v>0</v>
      </c>
      <c r="Q1259">
        <f t="shared" si="241"/>
        <v>0</v>
      </c>
      <c r="X1259" s="216">
        <f t="shared" si="240"/>
        <v>104</v>
      </c>
      <c r="Y1259">
        <f t="shared" si="238"/>
        <v>0</v>
      </c>
    </row>
    <row r="1260" spans="1:25" ht="13.5" thickBot="1" x14ac:dyDescent="0.25">
      <c r="A1260" s="204">
        <f>IF(MOD(COUNT($A$10:A1259),12)=0,A1259+1,A1259)</f>
        <v>105</v>
      </c>
      <c r="B1260" s="218">
        <f t="shared" si="230"/>
        <v>3</v>
      </c>
      <c r="C1260" s="218">
        <f t="shared" si="231"/>
        <v>1</v>
      </c>
      <c r="D1260" s="208">
        <f>IF(MOD(COUNT($D$10:D1259),6)=0,D1259+1,D1259)</f>
        <v>209</v>
      </c>
      <c r="E1260" s="208">
        <f>IF(MOD(COUNT($E$10:E1259),3)=0,E1259+1,E1259)</f>
        <v>417</v>
      </c>
      <c r="F1260" s="208">
        <f>IF(MOD(COUNT($F$10:F1259),1)=0,F1259+1,F1259)</f>
        <v>1251</v>
      </c>
      <c r="G1260" s="204">
        <f>IFERROR(IF(C1260=1,VLOOKUP(A1260,Output!$A$27:$AB$137,28,FALSE)/AnnuityMode,0),0)</f>
        <v>0</v>
      </c>
      <c r="H1260" s="220">
        <f>IFERROR(IF(AND(MIN(A1260&gt;25,Age+A1260&gt;=85),B1260=12),VLOOKUP(A1260,Output!$A$27:$AE$137,31,FALSE),0),0)</f>
        <v>0</v>
      </c>
      <c r="I1260" s="221">
        <f>IFERROR(IF(AND(MIN(A1260&gt;15,A1260+Age&gt;=70),C1260=1),VLOOKUP(A1260,Output!$A$27:$AF$137,32,FALSE)*VLOOKUP('SV calc_ignore'!A1260,Output!$A$27:$AG$137,33,FALSE)/IF(AnnuityMode=2,2,IF(AnnuityMode=4,4,IF(AnnuityMode=12,12,1))),0),0)</f>
        <v>0</v>
      </c>
      <c r="J1260" s="227">
        <f t="shared" si="232"/>
        <v>0</v>
      </c>
      <c r="K1260" s="213">
        <f t="shared" si="239"/>
        <v>0</v>
      </c>
      <c r="L1260" s="209">
        <f t="shared" si="233"/>
        <v>0</v>
      </c>
      <c r="M1260" s="214">
        <f t="shared" si="234"/>
        <v>0</v>
      </c>
      <c r="N1260" s="211">
        <f t="shared" si="235"/>
        <v>0</v>
      </c>
      <c r="O1260" s="194">
        <f t="shared" si="236"/>
        <v>0</v>
      </c>
      <c r="P1260" s="212">
        <f t="shared" si="237"/>
        <v>0</v>
      </c>
      <c r="Q1260">
        <f t="shared" si="241"/>
        <v>0</v>
      </c>
      <c r="X1260" s="216">
        <f t="shared" si="240"/>
        <v>104</v>
      </c>
      <c r="Y1260">
        <f t="shared" si="238"/>
        <v>0</v>
      </c>
    </row>
    <row r="1261" spans="1:25" ht="13.5" thickBot="1" x14ac:dyDescent="0.25">
      <c r="A1261" s="204">
        <f>IF(MOD(COUNT($A$10:A1260),12)=0,A1260+1,A1260)</f>
        <v>105</v>
      </c>
      <c r="B1261" s="218">
        <f t="shared" si="230"/>
        <v>4</v>
      </c>
      <c r="C1261" s="218">
        <f t="shared" si="231"/>
        <v>1</v>
      </c>
      <c r="D1261" s="208">
        <f>IF(MOD(COUNT($D$10:D1260),6)=0,D1260+1,D1260)</f>
        <v>209</v>
      </c>
      <c r="E1261" s="208">
        <f>IF(MOD(COUNT($E$10:E1260),3)=0,E1260+1,E1260)</f>
        <v>418</v>
      </c>
      <c r="F1261" s="208">
        <f>IF(MOD(COUNT($F$10:F1260),1)=0,F1260+1,F1260)</f>
        <v>1252</v>
      </c>
      <c r="G1261" s="204">
        <f>IFERROR(IF(C1261=1,VLOOKUP(A1261,Output!$A$27:$AB$137,28,FALSE)/AnnuityMode,0),0)</f>
        <v>0</v>
      </c>
      <c r="H1261" s="220">
        <f>IFERROR(IF(AND(MIN(A1261&gt;25,Age+A1261&gt;=85),B1261=12),VLOOKUP(A1261,Output!$A$27:$AE$137,31,FALSE),0),0)</f>
        <v>0</v>
      </c>
      <c r="I1261" s="221">
        <f>IFERROR(IF(AND(MIN(A1261&gt;15,A1261+Age&gt;=70),C1261=1),VLOOKUP(A1261,Output!$A$27:$AF$137,32,FALSE)*VLOOKUP('SV calc_ignore'!A1261,Output!$A$27:$AG$137,33,FALSE)/IF(AnnuityMode=2,2,IF(AnnuityMode=4,4,IF(AnnuityMode=12,12,1))),0),0)</f>
        <v>0</v>
      </c>
      <c r="J1261" s="227">
        <f t="shared" si="232"/>
        <v>0</v>
      </c>
      <c r="K1261" s="213">
        <f t="shared" si="239"/>
        <v>0</v>
      </c>
      <c r="L1261" s="209">
        <f t="shared" si="233"/>
        <v>0</v>
      </c>
      <c r="M1261" s="214">
        <f t="shared" si="234"/>
        <v>0</v>
      </c>
      <c r="N1261" s="211">
        <f t="shared" si="235"/>
        <v>0</v>
      </c>
      <c r="O1261" s="194">
        <f t="shared" si="236"/>
        <v>0</v>
      </c>
      <c r="P1261" s="212">
        <f t="shared" si="237"/>
        <v>0</v>
      </c>
      <c r="Q1261">
        <f t="shared" si="241"/>
        <v>0</v>
      </c>
      <c r="X1261" s="216">
        <f t="shared" si="240"/>
        <v>104</v>
      </c>
      <c r="Y1261">
        <f t="shared" si="238"/>
        <v>0</v>
      </c>
    </row>
    <row r="1262" spans="1:25" ht="13.5" thickBot="1" x14ac:dyDescent="0.25">
      <c r="A1262" s="204">
        <f>IF(MOD(COUNT($A$10:A1261),12)=0,A1261+1,A1261)</f>
        <v>105</v>
      </c>
      <c r="B1262" s="218">
        <f t="shared" si="230"/>
        <v>5</v>
      </c>
      <c r="C1262" s="218">
        <f t="shared" si="231"/>
        <v>1</v>
      </c>
      <c r="D1262" s="208">
        <f>IF(MOD(COUNT($D$10:D1261),6)=0,D1261+1,D1261)</f>
        <v>209</v>
      </c>
      <c r="E1262" s="208">
        <f>IF(MOD(COUNT($E$10:E1261),3)=0,E1261+1,E1261)</f>
        <v>418</v>
      </c>
      <c r="F1262" s="208">
        <f>IF(MOD(COUNT($F$10:F1261),1)=0,F1261+1,F1261)</f>
        <v>1253</v>
      </c>
      <c r="G1262" s="204">
        <f>IFERROR(IF(C1262=1,VLOOKUP(A1262,Output!$A$27:$AB$137,28,FALSE)/AnnuityMode,0),0)</f>
        <v>0</v>
      </c>
      <c r="H1262" s="220">
        <f>IFERROR(IF(AND(MIN(A1262&gt;25,Age+A1262&gt;=85),B1262=12),VLOOKUP(A1262,Output!$A$27:$AE$137,31,FALSE),0),0)</f>
        <v>0</v>
      </c>
      <c r="I1262" s="221">
        <f>IFERROR(IF(AND(MIN(A1262&gt;15,A1262+Age&gt;=70),C1262=1),VLOOKUP(A1262,Output!$A$27:$AF$137,32,FALSE)*VLOOKUP('SV calc_ignore'!A1262,Output!$A$27:$AG$137,33,FALSE)/IF(AnnuityMode=2,2,IF(AnnuityMode=4,4,IF(AnnuityMode=12,12,1))),0),0)</f>
        <v>0</v>
      </c>
      <c r="J1262" s="227">
        <f t="shared" si="232"/>
        <v>0</v>
      </c>
      <c r="K1262" s="213">
        <f t="shared" si="239"/>
        <v>0</v>
      </c>
      <c r="L1262" s="209">
        <f t="shared" si="233"/>
        <v>0</v>
      </c>
      <c r="M1262" s="214">
        <f t="shared" si="234"/>
        <v>0</v>
      </c>
      <c r="N1262" s="211">
        <f t="shared" si="235"/>
        <v>0</v>
      </c>
      <c r="O1262" s="194">
        <f t="shared" si="236"/>
        <v>0</v>
      </c>
      <c r="P1262" s="212">
        <f t="shared" si="237"/>
        <v>0</v>
      </c>
      <c r="Q1262">
        <f t="shared" si="241"/>
        <v>0</v>
      </c>
      <c r="X1262" s="216">
        <f t="shared" si="240"/>
        <v>104</v>
      </c>
      <c r="Y1262">
        <f t="shared" si="238"/>
        <v>0</v>
      </c>
    </row>
    <row r="1263" spans="1:25" ht="13.5" thickBot="1" x14ac:dyDescent="0.25">
      <c r="A1263" s="204">
        <f>IF(MOD(COUNT($A$10:A1262),12)=0,A1262+1,A1262)</f>
        <v>105</v>
      </c>
      <c r="B1263" s="218">
        <f t="shared" si="230"/>
        <v>6</v>
      </c>
      <c r="C1263" s="218">
        <f t="shared" si="231"/>
        <v>1</v>
      </c>
      <c r="D1263" s="208">
        <f>IF(MOD(COUNT($D$10:D1262),6)=0,D1262+1,D1262)</f>
        <v>209</v>
      </c>
      <c r="E1263" s="208">
        <f>IF(MOD(COUNT($E$10:E1262),3)=0,E1262+1,E1262)</f>
        <v>418</v>
      </c>
      <c r="F1263" s="208">
        <f>IF(MOD(COUNT($F$10:F1262),1)=0,F1262+1,F1262)</f>
        <v>1254</v>
      </c>
      <c r="G1263" s="204">
        <f>IFERROR(IF(C1263=1,VLOOKUP(A1263,Output!$A$27:$AB$137,28,FALSE)/AnnuityMode,0),0)</f>
        <v>0</v>
      </c>
      <c r="H1263" s="220">
        <f>IFERROR(IF(AND(MIN(A1263&gt;25,Age+A1263&gt;=85),B1263=12),VLOOKUP(A1263,Output!$A$27:$AE$137,31,FALSE),0),0)</f>
        <v>0</v>
      </c>
      <c r="I1263" s="221">
        <f>IFERROR(IF(AND(MIN(A1263&gt;15,A1263+Age&gt;=70),C1263=1),VLOOKUP(A1263,Output!$A$27:$AF$137,32,FALSE)*VLOOKUP('SV calc_ignore'!A1263,Output!$A$27:$AG$137,33,FALSE)/IF(AnnuityMode=2,2,IF(AnnuityMode=4,4,IF(AnnuityMode=12,12,1))),0),0)</f>
        <v>0</v>
      </c>
      <c r="J1263" s="227">
        <f t="shared" si="232"/>
        <v>0</v>
      </c>
      <c r="K1263" s="213">
        <f t="shared" si="239"/>
        <v>0</v>
      </c>
      <c r="L1263" s="209">
        <f t="shared" si="233"/>
        <v>0</v>
      </c>
      <c r="M1263" s="214">
        <f t="shared" si="234"/>
        <v>0</v>
      </c>
      <c r="N1263" s="211">
        <f t="shared" si="235"/>
        <v>0</v>
      </c>
      <c r="O1263" s="194">
        <f t="shared" si="236"/>
        <v>0</v>
      </c>
      <c r="P1263" s="212">
        <f t="shared" si="237"/>
        <v>0</v>
      </c>
      <c r="Q1263">
        <f t="shared" si="241"/>
        <v>0</v>
      </c>
      <c r="X1263" s="216">
        <f t="shared" si="240"/>
        <v>104</v>
      </c>
      <c r="Y1263">
        <f t="shared" si="238"/>
        <v>0</v>
      </c>
    </row>
    <row r="1264" spans="1:25" ht="13.5" thickBot="1" x14ac:dyDescent="0.25">
      <c r="A1264" s="204">
        <f>IF(MOD(COUNT($A$10:A1263),12)=0,A1263+1,A1263)</f>
        <v>105</v>
      </c>
      <c r="B1264" s="218">
        <f t="shared" si="230"/>
        <v>7</v>
      </c>
      <c r="C1264" s="218">
        <f t="shared" si="231"/>
        <v>1</v>
      </c>
      <c r="D1264" s="208">
        <f>IF(MOD(COUNT($D$10:D1263),6)=0,D1263+1,D1263)</f>
        <v>210</v>
      </c>
      <c r="E1264" s="208">
        <f>IF(MOD(COUNT($E$10:E1263),3)=0,E1263+1,E1263)</f>
        <v>419</v>
      </c>
      <c r="F1264" s="208">
        <f>IF(MOD(COUNT($F$10:F1263),1)=0,F1263+1,F1263)</f>
        <v>1255</v>
      </c>
      <c r="G1264" s="204">
        <f>IFERROR(IF(C1264=1,VLOOKUP(A1264,Output!$A$27:$AB$137,28,FALSE)/AnnuityMode,0),0)</f>
        <v>0</v>
      </c>
      <c r="H1264" s="220">
        <f>IFERROR(IF(AND(MIN(A1264&gt;25,Age+A1264&gt;=85),B1264=12),VLOOKUP(A1264,Output!$A$27:$AE$137,31,FALSE),0),0)</f>
        <v>0</v>
      </c>
      <c r="I1264" s="221">
        <f>IFERROR(IF(AND(MIN(A1264&gt;15,A1264+Age&gt;=70),C1264=1),VLOOKUP(A1264,Output!$A$27:$AF$137,32,FALSE)*VLOOKUP('SV calc_ignore'!A1264,Output!$A$27:$AG$137,33,FALSE)/IF(AnnuityMode=2,2,IF(AnnuityMode=4,4,IF(AnnuityMode=12,12,1))),0),0)</f>
        <v>0</v>
      </c>
      <c r="J1264" s="227">
        <f t="shared" si="232"/>
        <v>0</v>
      </c>
      <c r="K1264" s="213">
        <f t="shared" si="239"/>
        <v>0</v>
      </c>
      <c r="L1264" s="209">
        <f t="shared" si="233"/>
        <v>0</v>
      </c>
      <c r="M1264" s="214">
        <f t="shared" si="234"/>
        <v>0</v>
      </c>
      <c r="N1264" s="211">
        <f t="shared" si="235"/>
        <v>0</v>
      </c>
      <c r="O1264" s="194">
        <f t="shared" si="236"/>
        <v>0</v>
      </c>
      <c r="P1264" s="212">
        <f t="shared" si="237"/>
        <v>0</v>
      </c>
      <c r="Q1264">
        <f t="shared" si="241"/>
        <v>0</v>
      </c>
      <c r="X1264" s="216">
        <f t="shared" si="240"/>
        <v>104</v>
      </c>
      <c r="Y1264">
        <f t="shared" si="238"/>
        <v>0</v>
      </c>
    </row>
    <row r="1265" spans="1:25" ht="13.5" thickBot="1" x14ac:dyDescent="0.25">
      <c r="A1265" s="204">
        <f>IF(MOD(COUNT($A$10:A1264),12)=0,A1264+1,A1264)</f>
        <v>105</v>
      </c>
      <c r="B1265" s="218">
        <f t="shared" si="230"/>
        <v>8</v>
      </c>
      <c r="C1265" s="218">
        <f t="shared" si="231"/>
        <v>1</v>
      </c>
      <c r="D1265" s="208">
        <f>IF(MOD(COUNT($D$10:D1264),6)=0,D1264+1,D1264)</f>
        <v>210</v>
      </c>
      <c r="E1265" s="208">
        <f>IF(MOD(COUNT($E$10:E1264),3)=0,E1264+1,E1264)</f>
        <v>419</v>
      </c>
      <c r="F1265" s="208">
        <f>IF(MOD(COUNT($F$10:F1264),1)=0,F1264+1,F1264)</f>
        <v>1256</v>
      </c>
      <c r="G1265" s="204">
        <f>IFERROR(IF(C1265=1,VLOOKUP(A1265,Output!$A$27:$AB$137,28,FALSE)/AnnuityMode,0),0)</f>
        <v>0</v>
      </c>
      <c r="H1265" s="220">
        <f>IFERROR(IF(AND(MIN(A1265&gt;25,Age+A1265&gt;=85),B1265=12),VLOOKUP(A1265,Output!$A$27:$AE$137,31,FALSE),0),0)</f>
        <v>0</v>
      </c>
      <c r="I1265" s="221">
        <f>IFERROR(IF(AND(MIN(A1265&gt;15,A1265+Age&gt;=70),C1265=1),VLOOKUP(A1265,Output!$A$27:$AF$137,32,FALSE)*VLOOKUP('SV calc_ignore'!A1265,Output!$A$27:$AG$137,33,FALSE)/IF(AnnuityMode=2,2,IF(AnnuityMode=4,4,IF(AnnuityMode=12,12,1))),0),0)</f>
        <v>0</v>
      </c>
      <c r="J1265" s="227">
        <f t="shared" si="232"/>
        <v>0</v>
      </c>
      <c r="K1265" s="213">
        <f t="shared" si="239"/>
        <v>0</v>
      </c>
      <c r="L1265" s="209">
        <f t="shared" si="233"/>
        <v>0</v>
      </c>
      <c r="M1265" s="214">
        <f t="shared" si="234"/>
        <v>0</v>
      </c>
      <c r="N1265" s="211">
        <f t="shared" si="235"/>
        <v>0</v>
      </c>
      <c r="O1265" s="194">
        <f t="shared" si="236"/>
        <v>0</v>
      </c>
      <c r="P1265" s="212">
        <f t="shared" si="237"/>
        <v>0</v>
      </c>
      <c r="Q1265">
        <f t="shared" si="241"/>
        <v>0</v>
      </c>
      <c r="X1265" s="216">
        <f t="shared" si="240"/>
        <v>104</v>
      </c>
      <c r="Y1265">
        <f t="shared" si="238"/>
        <v>0</v>
      </c>
    </row>
    <row r="1266" spans="1:25" ht="13.5" thickBot="1" x14ac:dyDescent="0.25">
      <c r="A1266" s="204">
        <f>IF(MOD(COUNT($A$10:A1265),12)=0,A1265+1,A1265)</f>
        <v>105</v>
      </c>
      <c r="B1266" s="218">
        <f t="shared" si="230"/>
        <v>9</v>
      </c>
      <c r="C1266" s="218">
        <f t="shared" si="231"/>
        <v>1</v>
      </c>
      <c r="D1266" s="208">
        <f>IF(MOD(COUNT($D$10:D1265),6)=0,D1265+1,D1265)</f>
        <v>210</v>
      </c>
      <c r="E1266" s="208">
        <f>IF(MOD(COUNT($E$10:E1265),3)=0,E1265+1,E1265)</f>
        <v>419</v>
      </c>
      <c r="F1266" s="208">
        <f>IF(MOD(COUNT($F$10:F1265),1)=0,F1265+1,F1265)</f>
        <v>1257</v>
      </c>
      <c r="G1266" s="204">
        <f>IFERROR(IF(C1266=1,VLOOKUP(A1266,Output!$A$27:$AB$137,28,FALSE)/AnnuityMode,0),0)</f>
        <v>0</v>
      </c>
      <c r="H1266" s="220">
        <f>IFERROR(IF(AND(MIN(A1266&gt;25,Age+A1266&gt;=85),B1266=12),VLOOKUP(A1266,Output!$A$27:$AE$137,31,FALSE),0),0)</f>
        <v>0</v>
      </c>
      <c r="I1266" s="221">
        <f>IFERROR(IF(AND(MIN(A1266&gt;15,A1266+Age&gt;=70),C1266=1),VLOOKUP(A1266,Output!$A$27:$AF$137,32,FALSE)*VLOOKUP('SV calc_ignore'!A1266,Output!$A$27:$AG$137,33,FALSE)/IF(AnnuityMode=2,2,IF(AnnuityMode=4,4,IF(AnnuityMode=12,12,1))),0),0)</f>
        <v>0</v>
      </c>
      <c r="J1266" s="227">
        <f t="shared" si="232"/>
        <v>0</v>
      </c>
      <c r="K1266" s="213">
        <f t="shared" si="239"/>
        <v>0</v>
      </c>
      <c r="L1266" s="209">
        <f t="shared" si="233"/>
        <v>0</v>
      </c>
      <c r="M1266" s="214">
        <f t="shared" si="234"/>
        <v>0</v>
      </c>
      <c r="N1266" s="211">
        <f t="shared" si="235"/>
        <v>0</v>
      </c>
      <c r="O1266" s="194">
        <f t="shared" si="236"/>
        <v>0</v>
      </c>
      <c r="P1266" s="212">
        <f t="shared" si="237"/>
        <v>0</v>
      </c>
      <c r="Q1266">
        <f t="shared" si="241"/>
        <v>0</v>
      </c>
      <c r="X1266" s="216">
        <f t="shared" si="240"/>
        <v>104</v>
      </c>
      <c r="Y1266">
        <f t="shared" si="238"/>
        <v>0</v>
      </c>
    </row>
    <row r="1267" spans="1:25" ht="13.5" thickBot="1" x14ac:dyDescent="0.25">
      <c r="A1267" s="204">
        <f>IF(MOD(COUNT($A$10:A1266),12)=0,A1266+1,A1266)</f>
        <v>105</v>
      </c>
      <c r="B1267" s="218">
        <f t="shared" si="230"/>
        <v>10</v>
      </c>
      <c r="C1267" s="218">
        <f t="shared" si="231"/>
        <v>1</v>
      </c>
      <c r="D1267" s="208">
        <f>IF(MOD(COUNT($D$10:D1266),6)=0,D1266+1,D1266)</f>
        <v>210</v>
      </c>
      <c r="E1267" s="208">
        <f>IF(MOD(COUNT($E$10:E1266),3)=0,E1266+1,E1266)</f>
        <v>420</v>
      </c>
      <c r="F1267" s="208">
        <f>IF(MOD(COUNT($F$10:F1266),1)=0,F1266+1,F1266)</f>
        <v>1258</v>
      </c>
      <c r="G1267" s="204">
        <f>IFERROR(IF(C1267=1,VLOOKUP(A1267,Output!$A$27:$AB$137,28,FALSE)/AnnuityMode,0),0)</f>
        <v>0</v>
      </c>
      <c r="H1267" s="220">
        <f>IFERROR(IF(AND(MIN(A1267&gt;25,Age+A1267&gt;=85),B1267=12),VLOOKUP(A1267,Output!$A$27:$AE$137,31,FALSE),0),0)</f>
        <v>0</v>
      </c>
      <c r="I1267" s="221">
        <f>IFERROR(IF(AND(MIN(A1267&gt;15,A1267+Age&gt;=70),C1267=1),VLOOKUP(A1267,Output!$A$27:$AF$137,32,FALSE)*VLOOKUP('SV calc_ignore'!A1267,Output!$A$27:$AG$137,33,FALSE)/IF(AnnuityMode=2,2,IF(AnnuityMode=4,4,IF(AnnuityMode=12,12,1))),0),0)</f>
        <v>0</v>
      </c>
      <c r="J1267" s="227">
        <f t="shared" si="232"/>
        <v>0</v>
      </c>
      <c r="K1267" s="213">
        <f t="shared" si="239"/>
        <v>0</v>
      </c>
      <c r="L1267" s="209">
        <f t="shared" si="233"/>
        <v>0</v>
      </c>
      <c r="M1267" s="214">
        <f t="shared" si="234"/>
        <v>0</v>
      </c>
      <c r="N1267" s="211">
        <f t="shared" si="235"/>
        <v>0</v>
      </c>
      <c r="O1267" s="194">
        <f t="shared" si="236"/>
        <v>0</v>
      </c>
      <c r="P1267" s="212">
        <f t="shared" si="237"/>
        <v>0</v>
      </c>
      <c r="Q1267">
        <f t="shared" si="241"/>
        <v>0</v>
      </c>
      <c r="X1267" s="216">
        <f t="shared" si="240"/>
        <v>104</v>
      </c>
      <c r="Y1267">
        <f t="shared" si="238"/>
        <v>0</v>
      </c>
    </row>
    <row r="1268" spans="1:25" ht="13.5" thickBot="1" x14ac:dyDescent="0.25">
      <c r="A1268" s="204">
        <f>IF(MOD(COUNT($A$10:A1267),12)=0,A1267+1,A1267)</f>
        <v>105</v>
      </c>
      <c r="B1268" s="218">
        <f t="shared" si="230"/>
        <v>11</v>
      </c>
      <c r="C1268" s="218">
        <f t="shared" si="231"/>
        <v>1</v>
      </c>
      <c r="D1268" s="208">
        <f>IF(MOD(COUNT($D$10:D1267),6)=0,D1267+1,D1267)</f>
        <v>210</v>
      </c>
      <c r="E1268" s="208">
        <f>IF(MOD(COUNT($E$10:E1267),3)=0,E1267+1,E1267)</f>
        <v>420</v>
      </c>
      <c r="F1268" s="208">
        <f>IF(MOD(COUNT($F$10:F1267),1)=0,F1267+1,F1267)</f>
        <v>1259</v>
      </c>
      <c r="G1268" s="204">
        <f>IFERROR(IF(C1268=1,VLOOKUP(A1268,Output!$A$27:$AB$137,28,FALSE)/AnnuityMode,0),0)</f>
        <v>0</v>
      </c>
      <c r="H1268" s="220">
        <f>IFERROR(IF(AND(MIN(A1268&gt;25,Age+A1268&gt;=85),B1268=12),VLOOKUP(A1268,Output!$A$27:$AE$137,31,FALSE),0),0)</f>
        <v>0</v>
      </c>
      <c r="I1268" s="221">
        <f>IFERROR(IF(AND(MIN(A1268&gt;15,A1268+Age&gt;=70),C1268=1),VLOOKUP(A1268,Output!$A$27:$AF$137,32,FALSE)*VLOOKUP('SV calc_ignore'!A1268,Output!$A$27:$AG$137,33,FALSE)/IF(AnnuityMode=2,2,IF(AnnuityMode=4,4,IF(AnnuityMode=12,12,1))),0),0)</f>
        <v>0</v>
      </c>
      <c r="J1268" s="227">
        <f t="shared" si="232"/>
        <v>0</v>
      </c>
      <c r="K1268" s="213">
        <f t="shared" si="239"/>
        <v>0</v>
      </c>
      <c r="L1268" s="209">
        <f t="shared" si="233"/>
        <v>0</v>
      </c>
      <c r="M1268" s="214">
        <f t="shared" si="234"/>
        <v>0</v>
      </c>
      <c r="N1268" s="211">
        <f t="shared" si="235"/>
        <v>0</v>
      </c>
      <c r="O1268" s="194">
        <f t="shared" si="236"/>
        <v>0</v>
      </c>
      <c r="P1268" s="212">
        <f t="shared" si="237"/>
        <v>0</v>
      </c>
      <c r="Q1268">
        <f t="shared" si="241"/>
        <v>0</v>
      </c>
      <c r="X1268" s="216">
        <f t="shared" si="240"/>
        <v>104</v>
      </c>
      <c r="Y1268">
        <f t="shared" si="238"/>
        <v>0</v>
      </c>
    </row>
    <row r="1269" spans="1:25" ht="13.5" thickBot="1" x14ac:dyDescent="0.25">
      <c r="A1269" s="204">
        <f>IF(MOD(COUNT($A$10:A1268),12)=0,A1268+1,A1268)</f>
        <v>105</v>
      </c>
      <c r="B1269" s="218">
        <f t="shared" si="230"/>
        <v>12</v>
      </c>
      <c r="C1269" s="218">
        <f t="shared" si="231"/>
        <v>1</v>
      </c>
      <c r="D1269" s="208">
        <f>IF(MOD(COUNT($D$10:D1268),6)=0,D1268+1,D1268)</f>
        <v>210</v>
      </c>
      <c r="E1269" s="208">
        <f>IF(MOD(COUNT($E$10:E1268),3)=0,E1268+1,E1268)</f>
        <v>420</v>
      </c>
      <c r="F1269" s="208">
        <f>IF(MOD(COUNT($F$10:F1268),1)=0,F1268+1,F1268)</f>
        <v>1260</v>
      </c>
      <c r="G1269" s="204">
        <f>IFERROR(IF(C1269=1,VLOOKUP(A1269,Output!$A$27:$AB$137,28,FALSE)/AnnuityMode,0),0)</f>
        <v>0</v>
      </c>
      <c r="H1269" s="220">
        <f>IFERROR(IF(AND(MIN(A1269&gt;25,Age+A1269&gt;=85),B1269=12),VLOOKUP(A1269,Output!$A$27:$AE$137,31,FALSE),0),0)</f>
        <v>0</v>
      </c>
      <c r="I1269" s="221">
        <f>IFERROR(IF(AND(MIN(A1269&gt;15,A1269+Age&gt;=70),C1269=1),VLOOKUP(A1269,Output!$A$27:$AF$137,32,FALSE)*VLOOKUP('SV calc_ignore'!A1269,Output!$A$27:$AG$137,33,FALSE)/IF(AnnuityMode=2,2,IF(AnnuityMode=4,4,IF(AnnuityMode=12,12,1))),0),0)</f>
        <v>0</v>
      </c>
      <c r="J1269" s="227">
        <f t="shared" si="232"/>
        <v>0</v>
      </c>
      <c r="K1269" s="213">
        <f t="shared" si="239"/>
        <v>0</v>
      </c>
      <c r="L1269" s="209">
        <f t="shared" si="233"/>
        <v>0</v>
      </c>
      <c r="M1269" s="214">
        <f t="shared" si="234"/>
        <v>0</v>
      </c>
      <c r="N1269" s="211">
        <f t="shared" si="235"/>
        <v>0</v>
      </c>
      <c r="O1269" s="194">
        <f t="shared" si="236"/>
        <v>0</v>
      </c>
      <c r="P1269" s="212">
        <f t="shared" si="237"/>
        <v>0</v>
      </c>
      <c r="Q1269">
        <f t="shared" si="241"/>
        <v>0</v>
      </c>
      <c r="X1269" s="216">
        <f t="shared" si="240"/>
        <v>104</v>
      </c>
      <c r="Y1269">
        <f t="shared" si="238"/>
        <v>0</v>
      </c>
    </row>
    <row r="1270" spans="1:25" ht="13.5" thickBot="1" x14ac:dyDescent="0.25">
      <c r="A1270" s="204">
        <f>IF(MOD(COUNT($A$10:A1269),12)=0,A1269+1,A1269)</f>
        <v>106</v>
      </c>
      <c r="B1270" s="218">
        <f t="shared" si="230"/>
        <v>1</v>
      </c>
      <c r="C1270" s="218">
        <f t="shared" si="231"/>
        <v>1</v>
      </c>
      <c r="D1270" s="208">
        <f>IF(MOD(COUNT($D$10:D1269),6)=0,D1269+1,D1269)</f>
        <v>211</v>
      </c>
      <c r="E1270" s="208">
        <f>IF(MOD(COUNT($E$10:E1269),3)=0,E1269+1,E1269)</f>
        <v>421</v>
      </c>
      <c r="F1270" s="208">
        <f>IF(MOD(COUNT($F$10:F1269),1)=0,F1269+1,F1269)</f>
        <v>1261</v>
      </c>
      <c r="G1270" s="204">
        <f>IFERROR(IF(C1270=1,VLOOKUP(A1270,Output!$A$27:$AB$137,28,FALSE)/AnnuityMode,0),0)</f>
        <v>0</v>
      </c>
      <c r="H1270" s="220">
        <f>IFERROR(IF(AND(MIN(A1270&gt;25,Age+A1270&gt;=85),B1270=12),VLOOKUP(A1270,Output!$A$27:$AE$137,31,FALSE),0),0)</f>
        <v>0</v>
      </c>
      <c r="I1270" s="221">
        <f>IFERROR(IF(AND(MIN(A1270&gt;15,A1270+Age&gt;=70),C1270=1),VLOOKUP(A1270,Output!$A$27:$AF$137,32,FALSE)*VLOOKUP('SV calc_ignore'!A1270,Output!$A$27:$AG$137,33,FALSE)/IF(AnnuityMode=2,2,IF(AnnuityMode=4,4,IF(AnnuityMode=12,12,1))),0),0)</f>
        <v>0</v>
      </c>
      <c r="J1270" s="227">
        <f t="shared" si="232"/>
        <v>0</v>
      </c>
      <c r="K1270" s="213">
        <f t="shared" si="239"/>
        <v>0</v>
      </c>
      <c r="L1270" s="209">
        <f t="shared" si="233"/>
        <v>0</v>
      </c>
      <c r="M1270" s="214">
        <f t="shared" si="234"/>
        <v>0</v>
      </c>
      <c r="N1270" s="211">
        <f t="shared" si="235"/>
        <v>0</v>
      </c>
      <c r="O1270" s="194">
        <f t="shared" si="236"/>
        <v>0</v>
      </c>
      <c r="P1270" s="212">
        <f t="shared" si="237"/>
        <v>0</v>
      </c>
      <c r="Q1270">
        <f t="shared" si="241"/>
        <v>0</v>
      </c>
      <c r="X1270" s="216">
        <f t="shared" si="240"/>
        <v>105</v>
      </c>
      <c r="Y1270">
        <f t="shared" si="238"/>
        <v>0</v>
      </c>
    </row>
    <row r="1271" spans="1:25" ht="13.5" thickBot="1" x14ac:dyDescent="0.25">
      <c r="A1271" s="204">
        <f>IF(MOD(COUNT($A$10:A1270),12)=0,A1270+1,A1270)</f>
        <v>106</v>
      </c>
      <c r="B1271" s="218">
        <f t="shared" si="230"/>
        <v>2</v>
      </c>
      <c r="C1271" s="218">
        <f t="shared" si="231"/>
        <v>1</v>
      </c>
      <c r="D1271" s="208">
        <f>IF(MOD(COUNT($D$10:D1270),6)=0,D1270+1,D1270)</f>
        <v>211</v>
      </c>
      <c r="E1271" s="208">
        <f>IF(MOD(COUNT($E$10:E1270),3)=0,E1270+1,E1270)</f>
        <v>421</v>
      </c>
      <c r="F1271" s="208">
        <f>IF(MOD(COUNT($F$10:F1270),1)=0,F1270+1,F1270)</f>
        <v>1262</v>
      </c>
      <c r="G1271" s="204">
        <f>IFERROR(IF(C1271=1,VLOOKUP(A1271,Output!$A$27:$AB$137,28,FALSE)/AnnuityMode,0),0)</f>
        <v>0</v>
      </c>
      <c r="H1271" s="220">
        <f>IFERROR(IF(AND(MIN(A1271&gt;25,Age+A1271&gt;=85),B1271=12),VLOOKUP(A1271,Output!$A$27:$AE$137,31,FALSE),0),0)</f>
        <v>0</v>
      </c>
      <c r="I1271" s="221">
        <f>IFERROR(IF(AND(MIN(A1271&gt;15,A1271+Age&gt;=70),C1271=1),VLOOKUP(A1271,Output!$A$27:$AF$137,32,FALSE)*VLOOKUP('SV calc_ignore'!A1271,Output!$A$27:$AG$137,33,FALSE)/IF(AnnuityMode=2,2,IF(AnnuityMode=4,4,IF(AnnuityMode=12,12,1))),0),0)</f>
        <v>0</v>
      </c>
      <c r="J1271" s="227">
        <f t="shared" si="232"/>
        <v>0</v>
      </c>
      <c r="K1271" s="213">
        <f t="shared" si="239"/>
        <v>0</v>
      </c>
      <c r="L1271" s="209">
        <f t="shared" si="233"/>
        <v>0</v>
      </c>
      <c r="M1271" s="214">
        <f t="shared" si="234"/>
        <v>0</v>
      </c>
      <c r="N1271" s="211">
        <f t="shared" si="235"/>
        <v>0</v>
      </c>
      <c r="O1271" s="194">
        <f t="shared" si="236"/>
        <v>0</v>
      </c>
      <c r="P1271" s="212">
        <f t="shared" si="237"/>
        <v>0</v>
      </c>
      <c r="Q1271">
        <f t="shared" si="241"/>
        <v>0</v>
      </c>
      <c r="X1271" s="216">
        <f t="shared" si="240"/>
        <v>105</v>
      </c>
      <c r="Y1271">
        <f t="shared" si="238"/>
        <v>0</v>
      </c>
    </row>
    <row r="1272" spans="1:25" ht="13.5" thickBot="1" x14ac:dyDescent="0.25">
      <c r="A1272" s="204">
        <f>IF(MOD(COUNT($A$10:A1271),12)=0,A1271+1,A1271)</f>
        <v>106</v>
      </c>
      <c r="B1272" s="218">
        <f t="shared" si="230"/>
        <v>3</v>
      </c>
      <c r="C1272" s="218">
        <f t="shared" si="231"/>
        <v>1</v>
      </c>
      <c r="D1272" s="208">
        <f>IF(MOD(COUNT($D$10:D1271),6)=0,D1271+1,D1271)</f>
        <v>211</v>
      </c>
      <c r="E1272" s="208">
        <f>IF(MOD(COUNT($E$10:E1271),3)=0,E1271+1,E1271)</f>
        <v>421</v>
      </c>
      <c r="F1272" s="208">
        <f>IF(MOD(COUNT($F$10:F1271),1)=0,F1271+1,F1271)</f>
        <v>1263</v>
      </c>
      <c r="G1272" s="204">
        <f>IFERROR(IF(C1272=1,VLOOKUP(A1272,Output!$A$27:$AB$137,28,FALSE)/AnnuityMode,0),0)</f>
        <v>0</v>
      </c>
      <c r="H1272" s="220">
        <f>IFERROR(IF(AND(MIN(A1272&gt;25,Age+A1272&gt;=85),B1272=12),VLOOKUP(A1272,Output!$A$27:$AE$137,31,FALSE),0),0)</f>
        <v>0</v>
      </c>
      <c r="I1272" s="221">
        <f>IFERROR(IF(AND(MIN(A1272&gt;15,A1272+Age&gt;=70),C1272=1),VLOOKUP(A1272,Output!$A$27:$AF$137,32,FALSE)*VLOOKUP('SV calc_ignore'!A1272,Output!$A$27:$AG$137,33,FALSE)/IF(AnnuityMode=2,2,IF(AnnuityMode=4,4,IF(AnnuityMode=12,12,1))),0),0)</f>
        <v>0</v>
      </c>
      <c r="J1272" s="227">
        <f t="shared" si="232"/>
        <v>0</v>
      </c>
      <c r="K1272" s="213">
        <f t="shared" si="239"/>
        <v>0</v>
      </c>
      <c r="L1272" s="209">
        <f t="shared" si="233"/>
        <v>0</v>
      </c>
      <c r="M1272" s="214">
        <f t="shared" si="234"/>
        <v>0</v>
      </c>
      <c r="N1272" s="211">
        <f t="shared" si="235"/>
        <v>0</v>
      </c>
      <c r="O1272" s="194">
        <f t="shared" si="236"/>
        <v>0</v>
      </c>
      <c r="P1272" s="212">
        <f t="shared" si="237"/>
        <v>0</v>
      </c>
      <c r="Q1272">
        <f t="shared" si="241"/>
        <v>0</v>
      </c>
      <c r="X1272" s="216">
        <f t="shared" si="240"/>
        <v>105</v>
      </c>
      <c r="Y1272">
        <f t="shared" si="238"/>
        <v>0</v>
      </c>
    </row>
    <row r="1273" spans="1:25" ht="13.5" thickBot="1" x14ac:dyDescent="0.25">
      <c r="A1273" s="204">
        <f>IF(MOD(COUNT($A$10:A1272),12)=0,A1272+1,A1272)</f>
        <v>106</v>
      </c>
      <c r="B1273" s="218">
        <f t="shared" si="230"/>
        <v>4</v>
      </c>
      <c r="C1273" s="218">
        <f t="shared" si="231"/>
        <v>1</v>
      </c>
      <c r="D1273" s="208">
        <f>IF(MOD(COUNT($D$10:D1272),6)=0,D1272+1,D1272)</f>
        <v>211</v>
      </c>
      <c r="E1273" s="208">
        <f>IF(MOD(COUNT($E$10:E1272),3)=0,E1272+1,E1272)</f>
        <v>422</v>
      </c>
      <c r="F1273" s="208">
        <f>IF(MOD(COUNT($F$10:F1272),1)=0,F1272+1,F1272)</f>
        <v>1264</v>
      </c>
      <c r="G1273" s="204">
        <f>IFERROR(IF(C1273=1,VLOOKUP(A1273,Output!$A$27:$AB$137,28,FALSE)/AnnuityMode,0),0)</f>
        <v>0</v>
      </c>
      <c r="H1273" s="220">
        <f>IFERROR(IF(AND(MIN(A1273&gt;25,Age+A1273&gt;=85),B1273=12),VLOOKUP(A1273,Output!$A$27:$AE$137,31,FALSE),0),0)</f>
        <v>0</v>
      </c>
      <c r="I1273" s="221">
        <f>IFERROR(IF(AND(MIN(A1273&gt;15,A1273+Age&gt;=70),C1273=1),VLOOKUP(A1273,Output!$A$27:$AF$137,32,FALSE)*VLOOKUP('SV calc_ignore'!A1273,Output!$A$27:$AG$137,33,FALSE)/IF(AnnuityMode=2,2,IF(AnnuityMode=4,4,IF(AnnuityMode=12,12,1))),0),0)</f>
        <v>0</v>
      </c>
      <c r="J1273" s="227">
        <f t="shared" si="232"/>
        <v>0</v>
      </c>
      <c r="K1273" s="213">
        <f t="shared" si="239"/>
        <v>0</v>
      </c>
      <c r="L1273" s="209">
        <f t="shared" si="233"/>
        <v>0</v>
      </c>
      <c r="M1273" s="214">
        <f t="shared" si="234"/>
        <v>0</v>
      </c>
      <c r="N1273" s="211">
        <f t="shared" si="235"/>
        <v>0</v>
      </c>
      <c r="O1273" s="194">
        <f t="shared" si="236"/>
        <v>0</v>
      </c>
      <c r="P1273" s="212">
        <f t="shared" si="237"/>
        <v>0</v>
      </c>
      <c r="Q1273">
        <f t="shared" si="241"/>
        <v>0</v>
      </c>
      <c r="X1273" s="216">
        <f t="shared" si="240"/>
        <v>105</v>
      </c>
      <c r="Y1273">
        <f t="shared" si="238"/>
        <v>0</v>
      </c>
    </row>
    <row r="1274" spans="1:25" ht="13.5" thickBot="1" x14ac:dyDescent="0.25">
      <c r="A1274" s="204">
        <f>IF(MOD(COUNT($A$10:A1273),12)=0,A1273+1,A1273)</f>
        <v>106</v>
      </c>
      <c r="B1274" s="218">
        <f t="shared" si="230"/>
        <v>5</v>
      </c>
      <c r="C1274" s="218">
        <f t="shared" si="231"/>
        <v>1</v>
      </c>
      <c r="D1274" s="208">
        <f>IF(MOD(COUNT($D$10:D1273),6)=0,D1273+1,D1273)</f>
        <v>211</v>
      </c>
      <c r="E1274" s="208">
        <f>IF(MOD(COUNT($E$10:E1273),3)=0,E1273+1,E1273)</f>
        <v>422</v>
      </c>
      <c r="F1274" s="208">
        <f>IF(MOD(COUNT($F$10:F1273),1)=0,F1273+1,F1273)</f>
        <v>1265</v>
      </c>
      <c r="G1274" s="204">
        <f>IFERROR(IF(C1274=1,VLOOKUP(A1274,Output!$A$27:$AB$137,28,FALSE)/AnnuityMode,0),0)</f>
        <v>0</v>
      </c>
      <c r="H1274" s="220">
        <f>IFERROR(IF(AND(MIN(A1274&gt;25,Age+A1274&gt;=85),B1274=12),VLOOKUP(A1274,Output!$A$27:$AE$137,31,FALSE),0),0)</f>
        <v>0</v>
      </c>
      <c r="I1274" s="221">
        <f>IFERROR(IF(AND(MIN(A1274&gt;15,A1274+Age&gt;=70),C1274=1),VLOOKUP(A1274,Output!$A$27:$AF$137,32,FALSE)*VLOOKUP('SV calc_ignore'!A1274,Output!$A$27:$AG$137,33,FALSE)/IF(AnnuityMode=2,2,IF(AnnuityMode=4,4,IF(AnnuityMode=12,12,1))),0),0)</f>
        <v>0</v>
      </c>
      <c r="J1274" s="227">
        <f t="shared" si="232"/>
        <v>0</v>
      </c>
      <c r="K1274" s="213">
        <f t="shared" si="239"/>
        <v>0</v>
      </c>
      <c r="L1274" s="209">
        <f t="shared" si="233"/>
        <v>0</v>
      </c>
      <c r="M1274" s="214">
        <f t="shared" si="234"/>
        <v>0</v>
      </c>
      <c r="N1274" s="211">
        <f t="shared" si="235"/>
        <v>0</v>
      </c>
      <c r="O1274" s="194">
        <f t="shared" si="236"/>
        <v>0</v>
      </c>
      <c r="P1274" s="212">
        <f t="shared" si="237"/>
        <v>0</v>
      </c>
      <c r="Q1274">
        <f t="shared" si="241"/>
        <v>0</v>
      </c>
      <c r="X1274" s="216">
        <f t="shared" si="240"/>
        <v>105</v>
      </c>
      <c r="Y1274">
        <f t="shared" si="238"/>
        <v>0</v>
      </c>
    </row>
    <row r="1275" spans="1:25" ht="13.5" thickBot="1" x14ac:dyDescent="0.25">
      <c r="A1275" s="204">
        <f>IF(MOD(COUNT($A$10:A1274),12)=0,A1274+1,A1274)</f>
        <v>106</v>
      </c>
      <c r="B1275" s="218">
        <f t="shared" si="230"/>
        <v>6</v>
      </c>
      <c r="C1275" s="218">
        <f t="shared" si="231"/>
        <v>1</v>
      </c>
      <c r="D1275" s="208">
        <f>IF(MOD(COUNT($D$10:D1274),6)=0,D1274+1,D1274)</f>
        <v>211</v>
      </c>
      <c r="E1275" s="208">
        <f>IF(MOD(COUNT($E$10:E1274),3)=0,E1274+1,E1274)</f>
        <v>422</v>
      </c>
      <c r="F1275" s="208">
        <f>IF(MOD(COUNT($F$10:F1274),1)=0,F1274+1,F1274)</f>
        <v>1266</v>
      </c>
      <c r="G1275" s="204">
        <f>IFERROR(IF(C1275=1,VLOOKUP(A1275,Output!$A$27:$AB$137,28,FALSE)/AnnuityMode,0),0)</f>
        <v>0</v>
      </c>
      <c r="H1275" s="220">
        <f>IFERROR(IF(AND(MIN(A1275&gt;25,Age+A1275&gt;=85),B1275=12),VLOOKUP(A1275,Output!$A$27:$AE$137,31,FALSE),0),0)</f>
        <v>0</v>
      </c>
      <c r="I1275" s="221">
        <f>IFERROR(IF(AND(MIN(A1275&gt;15,A1275+Age&gt;=70),C1275=1),VLOOKUP(A1275,Output!$A$27:$AF$137,32,FALSE)*VLOOKUP('SV calc_ignore'!A1275,Output!$A$27:$AG$137,33,FALSE)/IF(AnnuityMode=2,2,IF(AnnuityMode=4,4,IF(AnnuityMode=12,12,1))),0),0)</f>
        <v>0</v>
      </c>
      <c r="J1275" s="227">
        <f t="shared" si="232"/>
        <v>0</v>
      </c>
      <c r="K1275" s="213">
        <f t="shared" si="239"/>
        <v>0</v>
      </c>
      <c r="L1275" s="209">
        <f t="shared" si="233"/>
        <v>0</v>
      </c>
      <c r="M1275" s="214">
        <f t="shared" si="234"/>
        <v>0</v>
      </c>
      <c r="N1275" s="211">
        <f t="shared" si="235"/>
        <v>0</v>
      </c>
      <c r="O1275" s="194">
        <f t="shared" si="236"/>
        <v>0</v>
      </c>
      <c r="P1275" s="212">
        <f t="shared" si="237"/>
        <v>0</v>
      </c>
      <c r="Q1275">
        <f t="shared" si="241"/>
        <v>0</v>
      </c>
      <c r="X1275" s="216">
        <f t="shared" si="240"/>
        <v>105</v>
      </c>
      <c r="Y1275">
        <f t="shared" si="238"/>
        <v>0</v>
      </c>
    </row>
    <row r="1276" spans="1:25" ht="13.5" thickBot="1" x14ac:dyDescent="0.25">
      <c r="A1276" s="204">
        <f>IF(MOD(COUNT($A$10:A1275),12)=0,A1275+1,A1275)</f>
        <v>106</v>
      </c>
      <c r="B1276" s="218">
        <f t="shared" si="230"/>
        <v>7</v>
      </c>
      <c r="C1276" s="218">
        <f t="shared" si="231"/>
        <v>1</v>
      </c>
      <c r="D1276" s="208">
        <f>IF(MOD(COUNT($D$10:D1275),6)=0,D1275+1,D1275)</f>
        <v>212</v>
      </c>
      <c r="E1276" s="208">
        <f>IF(MOD(COUNT($E$10:E1275),3)=0,E1275+1,E1275)</f>
        <v>423</v>
      </c>
      <c r="F1276" s="208">
        <f>IF(MOD(COUNT($F$10:F1275),1)=0,F1275+1,F1275)</f>
        <v>1267</v>
      </c>
      <c r="G1276" s="204">
        <f>IFERROR(IF(C1276=1,VLOOKUP(A1276,Output!$A$27:$AB$137,28,FALSE)/AnnuityMode,0),0)</f>
        <v>0</v>
      </c>
      <c r="H1276" s="220">
        <f>IFERROR(IF(AND(MIN(A1276&gt;25,Age+A1276&gt;=85),B1276=12),VLOOKUP(A1276,Output!$A$27:$AE$137,31,FALSE),0),0)</f>
        <v>0</v>
      </c>
      <c r="I1276" s="221">
        <f>IFERROR(IF(AND(MIN(A1276&gt;15,A1276+Age&gt;=70),C1276=1),VLOOKUP(A1276,Output!$A$27:$AF$137,32,FALSE)*VLOOKUP('SV calc_ignore'!A1276,Output!$A$27:$AG$137,33,FALSE)/IF(AnnuityMode=2,2,IF(AnnuityMode=4,4,IF(AnnuityMode=12,12,1))),0),0)</f>
        <v>0</v>
      </c>
      <c r="J1276" s="227">
        <f t="shared" si="232"/>
        <v>0</v>
      </c>
      <c r="K1276" s="213">
        <f t="shared" si="239"/>
        <v>0</v>
      </c>
      <c r="L1276" s="209">
        <f t="shared" si="233"/>
        <v>0</v>
      </c>
      <c r="M1276" s="214">
        <f t="shared" si="234"/>
        <v>0</v>
      </c>
      <c r="N1276" s="211">
        <f t="shared" si="235"/>
        <v>0</v>
      </c>
      <c r="O1276" s="194">
        <f t="shared" si="236"/>
        <v>0</v>
      </c>
      <c r="P1276" s="212">
        <f t="shared" si="237"/>
        <v>0</v>
      </c>
      <c r="Q1276">
        <f t="shared" si="241"/>
        <v>0</v>
      </c>
      <c r="X1276" s="216">
        <f t="shared" si="240"/>
        <v>105</v>
      </c>
      <c r="Y1276">
        <f t="shared" si="238"/>
        <v>0</v>
      </c>
    </row>
    <row r="1277" spans="1:25" ht="13.5" thickBot="1" x14ac:dyDescent="0.25">
      <c r="A1277" s="204">
        <f>IF(MOD(COUNT($A$10:A1276),12)=0,A1276+1,A1276)</f>
        <v>106</v>
      </c>
      <c r="B1277" s="218">
        <f t="shared" si="230"/>
        <v>8</v>
      </c>
      <c r="C1277" s="218">
        <f t="shared" si="231"/>
        <v>1</v>
      </c>
      <c r="D1277" s="208">
        <f>IF(MOD(COUNT($D$10:D1276),6)=0,D1276+1,D1276)</f>
        <v>212</v>
      </c>
      <c r="E1277" s="208">
        <f>IF(MOD(COUNT($E$10:E1276),3)=0,E1276+1,E1276)</f>
        <v>423</v>
      </c>
      <c r="F1277" s="208">
        <f>IF(MOD(COUNT($F$10:F1276),1)=0,F1276+1,F1276)</f>
        <v>1268</v>
      </c>
      <c r="G1277" s="204">
        <f>IFERROR(IF(C1277=1,VLOOKUP(A1277,Output!$A$27:$AB$137,28,FALSE)/AnnuityMode,0),0)</f>
        <v>0</v>
      </c>
      <c r="H1277" s="220">
        <f>IFERROR(IF(AND(MIN(A1277&gt;25,Age+A1277&gt;=85),B1277=12),VLOOKUP(A1277,Output!$A$27:$AE$137,31,FALSE),0),0)</f>
        <v>0</v>
      </c>
      <c r="I1277" s="221">
        <f>IFERROR(IF(AND(MIN(A1277&gt;15,A1277+Age&gt;=70),C1277=1),VLOOKUP(A1277,Output!$A$27:$AF$137,32,FALSE)*VLOOKUP('SV calc_ignore'!A1277,Output!$A$27:$AG$137,33,FALSE)/IF(AnnuityMode=2,2,IF(AnnuityMode=4,4,IF(AnnuityMode=12,12,1))),0),0)</f>
        <v>0</v>
      </c>
      <c r="J1277" s="227">
        <f t="shared" si="232"/>
        <v>0</v>
      </c>
      <c r="K1277" s="213">
        <f t="shared" si="239"/>
        <v>0</v>
      </c>
      <c r="L1277" s="209">
        <f t="shared" si="233"/>
        <v>0</v>
      </c>
      <c r="M1277" s="214">
        <f t="shared" si="234"/>
        <v>0</v>
      </c>
      <c r="N1277" s="211">
        <f t="shared" si="235"/>
        <v>0</v>
      </c>
      <c r="O1277" s="194">
        <f t="shared" si="236"/>
        <v>0</v>
      </c>
      <c r="P1277" s="212">
        <f t="shared" si="237"/>
        <v>0</v>
      </c>
      <c r="Q1277">
        <f t="shared" si="241"/>
        <v>0</v>
      </c>
      <c r="X1277" s="216">
        <f t="shared" si="240"/>
        <v>105</v>
      </c>
      <c r="Y1277">
        <f t="shared" si="238"/>
        <v>0</v>
      </c>
    </row>
    <row r="1278" spans="1:25" ht="13.5" thickBot="1" x14ac:dyDescent="0.25">
      <c r="A1278" s="204">
        <f>IF(MOD(COUNT($A$10:A1277),12)=0,A1277+1,A1277)</f>
        <v>106</v>
      </c>
      <c r="B1278" s="218">
        <f t="shared" si="230"/>
        <v>9</v>
      </c>
      <c r="C1278" s="218">
        <f t="shared" si="231"/>
        <v>1</v>
      </c>
      <c r="D1278" s="208">
        <f>IF(MOD(COUNT($D$10:D1277),6)=0,D1277+1,D1277)</f>
        <v>212</v>
      </c>
      <c r="E1278" s="208">
        <f>IF(MOD(COUNT($E$10:E1277),3)=0,E1277+1,E1277)</f>
        <v>423</v>
      </c>
      <c r="F1278" s="208">
        <f>IF(MOD(COUNT($F$10:F1277),1)=0,F1277+1,F1277)</f>
        <v>1269</v>
      </c>
      <c r="G1278" s="204">
        <f>IFERROR(IF(C1278=1,VLOOKUP(A1278,Output!$A$27:$AB$137,28,FALSE)/AnnuityMode,0),0)</f>
        <v>0</v>
      </c>
      <c r="H1278" s="220">
        <f>IFERROR(IF(AND(MIN(A1278&gt;25,Age+A1278&gt;=85),B1278=12),VLOOKUP(A1278,Output!$A$27:$AE$137,31,FALSE),0),0)</f>
        <v>0</v>
      </c>
      <c r="I1278" s="221">
        <f>IFERROR(IF(AND(MIN(A1278&gt;15,A1278+Age&gt;=70),C1278=1),VLOOKUP(A1278,Output!$A$27:$AF$137,32,FALSE)*VLOOKUP('SV calc_ignore'!A1278,Output!$A$27:$AG$137,33,FALSE)/IF(AnnuityMode=2,2,IF(AnnuityMode=4,4,IF(AnnuityMode=12,12,1))),0),0)</f>
        <v>0</v>
      </c>
      <c r="J1278" s="227">
        <f t="shared" si="232"/>
        <v>0</v>
      </c>
      <c r="K1278" s="213">
        <f t="shared" si="239"/>
        <v>0</v>
      </c>
      <c r="L1278" s="209">
        <f t="shared" si="233"/>
        <v>0</v>
      </c>
      <c r="M1278" s="214">
        <f t="shared" si="234"/>
        <v>0</v>
      </c>
      <c r="N1278" s="211">
        <f t="shared" si="235"/>
        <v>0</v>
      </c>
      <c r="O1278" s="194">
        <f t="shared" si="236"/>
        <v>0</v>
      </c>
      <c r="P1278" s="212">
        <f t="shared" si="237"/>
        <v>0</v>
      </c>
      <c r="Q1278">
        <f t="shared" si="241"/>
        <v>0</v>
      </c>
      <c r="X1278" s="216">
        <f t="shared" si="240"/>
        <v>105</v>
      </c>
      <c r="Y1278">
        <f t="shared" si="238"/>
        <v>0</v>
      </c>
    </row>
    <row r="1279" spans="1:25" ht="13.5" thickBot="1" x14ac:dyDescent="0.25">
      <c r="A1279" s="204">
        <f>IF(MOD(COUNT($A$10:A1278),12)=0,A1278+1,A1278)</f>
        <v>106</v>
      </c>
      <c r="B1279" s="218">
        <f t="shared" si="230"/>
        <v>10</v>
      </c>
      <c r="C1279" s="218">
        <f t="shared" si="231"/>
        <v>1</v>
      </c>
      <c r="D1279" s="208">
        <f>IF(MOD(COUNT($D$10:D1278),6)=0,D1278+1,D1278)</f>
        <v>212</v>
      </c>
      <c r="E1279" s="208">
        <f>IF(MOD(COUNT($E$10:E1278),3)=0,E1278+1,E1278)</f>
        <v>424</v>
      </c>
      <c r="F1279" s="208">
        <f>IF(MOD(COUNT($F$10:F1278),1)=0,F1278+1,F1278)</f>
        <v>1270</v>
      </c>
      <c r="G1279" s="204">
        <f>IFERROR(IF(C1279=1,VLOOKUP(A1279,Output!$A$27:$AB$137,28,FALSE)/AnnuityMode,0),0)</f>
        <v>0</v>
      </c>
      <c r="H1279" s="220">
        <f>IFERROR(IF(AND(MIN(A1279&gt;25,Age+A1279&gt;=85),B1279=12),VLOOKUP(A1279,Output!$A$27:$AE$137,31,FALSE),0),0)</f>
        <v>0</v>
      </c>
      <c r="I1279" s="221">
        <f>IFERROR(IF(AND(MIN(A1279&gt;15,A1279+Age&gt;=70),C1279=1),VLOOKUP(A1279,Output!$A$27:$AF$137,32,FALSE)*VLOOKUP('SV calc_ignore'!A1279,Output!$A$27:$AG$137,33,FALSE)/IF(AnnuityMode=2,2,IF(AnnuityMode=4,4,IF(AnnuityMode=12,12,1))),0),0)</f>
        <v>0</v>
      </c>
      <c r="J1279" s="227">
        <f t="shared" si="232"/>
        <v>0</v>
      </c>
      <c r="K1279" s="213">
        <f t="shared" si="239"/>
        <v>0</v>
      </c>
      <c r="L1279" s="209">
        <f t="shared" si="233"/>
        <v>0</v>
      </c>
      <c r="M1279" s="214">
        <f t="shared" si="234"/>
        <v>0</v>
      </c>
      <c r="N1279" s="211">
        <f t="shared" si="235"/>
        <v>0</v>
      </c>
      <c r="O1279" s="194">
        <f t="shared" si="236"/>
        <v>0</v>
      </c>
      <c r="P1279" s="212">
        <f t="shared" si="237"/>
        <v>0</v>
      </c>
      <c r="Q1279">
        <f t="shared" si="241"/>
        <v>0</v>
      </c>
      <c r="X1279" s="216">
        <f t="shared" si="240"/>
        <v>105</v>
      </c>
      <c r="Y1279">
        <f t="shared" si="238"/>
        <v>0</v>
      </c>
    </row>
    <row r="1280" spans="1:25" ht="13.5" thickBot="1" x14ac:dyDescent="0.25">
      <c r="A1280" s="204">
        <f>IF(MOD(COUNT($A$10:A1279),12)=0,A1279+1,A1279)</f>
        <v>106</v>
      </c>
      <c r="B1280" s="218">
        <f t="shared" si="230"/>
        <v>11</v>
      </c>
      <c r="C1280" s="218">
        <f t="shared" si="231"/>
        <v>1</v>
      </c>
      <c r="D1280" s="208">
        <f>IF(MOD(COUNT($D$10:D1279),6)=0,D1279+1,D1279)</f>
        <v>212</v>
      </c>
      <c r="E1280" s="208">
        <f>IF(MOD(COUNT($E$10:E1279),3)=0,E1279+1,E1279)</f>
        <v>424</v>
      </c>
      <c r="F1280" s="208">
        <f>IF(MOD(COUNT($F$10:F1279),1)=0,F1279+1,F1279)</f>
        <v>1271</v>
      </c>
      <c r="G1280" s="204">
        <f>IFERROR(IF(C1280=1,VLOOKUP(A1280,Output!$A$27:$AB$137,28,FALSE)/AnnuityMode,0),0)</f>
        <v>0</v>
      </c>
      <c r="H1280" s="220">
        <f>IFERROR(IF(AND(MIN(A1280&gt;25,Age+A1280&gt;=85),B1280=12),VLOOKUP(A1280,Output!$A$27:$AE$137,31,FALSE),0),0)</f>
        <v>0</v>
      </c>
      <c r="I1280" s="221">
        <f>IFERROR(IF(AND(MIN(A1280&gt;15,A1280+Age&gt;=70),C1280=1),VLOOKUP(A1280,Output!$A$27:$AF$137,32,FALSE)*VLOOKUP('SV calc_ignore'!A1280,Output!$A$27:$AG$137,33,FALSE)/IF(AnnuityMode=2,2,IF(AnnuityMode=4,4,IF(AnnuityMode=12,12,1))),0),0)</f>
        <v>0</v>
      </c>
      <c r="J1280" s="227">
        <f t="shared" si="232"/>
        <v>0</v>
      </c>
      <c r="K1280" s="213">
        <f t="shared" si="239"/>
        <v>0</v>
      </c>
      <c r="L1280" s="209">
        <f t="shared" si="233"/>
        <v>0</v>
      </c>
      <c r="M1280" s="214">
        <f t="shared" si="234"/>
        <v>0</v>
      </c>
      <c r="N1280" s="211">
        <f t="shared" si="235"/>
        <v>0</v>
      </c>
      <c r="O1280" s="194">
        <f t="shared" si="236"/>
        <v>0</v>
      </c>
      <c r="P1280" s="212">
        <f t="shared" si="237"/>
        <v>0</v>
      </c>
      <c r="Q1280">
        <f t="shared" si="241"/>
        <v>0</v>
      </c>
      <c r="X1280" s="216">
        <f t="shared" si="240"/>
        <v>105</v>
      </c>
      <c r="Y1280">
        <f t="shared" si="238"/>
        <v>0</v>
      </c>
    </row>
    <row r="1281" spans="1:25" ht="13.5" thickBot="1" x14ac:dyDescent="0.25">
      <c r="A1281" s="204">
        <f>IF(MOD(COUNT($A$10:A1280),12)=0,A1280+1,A1280)</f>
        <v>106</v>
      </c>
      <c r="B1281" s="218">
        <f t="shared" si="230"/>
        <v>12</v>
      </c>
      <c r="C1281" s="218">
        <f t="shared" si="231"/>
        <v>1</v>
      </c>
      <c r="D1281" s="208">
        <f>IF(MOD(COUNT($D$10:D1280),6)=0,D1280+1,D1280)</f>
        <v>212</v>
      </c>
      <c r="E1281" s="208">
        <f>IF(MOD(COUNT($E$10:E1280),3)=0,E1280+1,E1280)</f>
        <v>424</v>
      </c>
      <c r="F1281" s="208">
        <f>IF(MOD(COUNT($F$10:F1280),1)=0,F1280+1,F1280)</f>
        <v>1272</v>
      </c>
      <c r="G1281" s="204">
        <f>IFERROR(IF(C1281=1,VLOOKUP(A1281,Output!$A$27:$AB$137,28,FALSE)/AnnuityMode,0),0)</f>
        <v>0</v>
      </c>
      <c r="H1281" s="220">
        <f>IFERROR(IF(AND(MIN(A1281&gt;25,Age+A1281&gt;=85),B1281=12),VLOOKUP(A1281,Output!$A$27:$AE$137,31,FALSE),0),0)</f>
        <v>0</v>
      </c>
      <c r="I1281" s="221">
        <f>IFERROR(IF(AND(MIN(A1281&gt;15,A1281+Age&gt;=70),C1281=1),VLOOKUP(A1281,Output!$A$27:$AF$137,32,FALSE)*VLOOKUP('SV calc_ignore'!A1281,Output!$A$27:$AG$137,33,FALSE)/IF(AnnuityMode=2,2,IF(AnnuityMode=4,4,IF(AnnuityMode=12,12,1))),0),0)</f>
        <v>0</v>
      </c>
      <c r="J1281" s="227">
        <f t="shared" si="232"/>
        <v>0</v>
      </c>
      <c r="K1281" s="213">
        <f t="shared" si="239"/>
        <v>0</v>
      </c>
      <c r="L1281" s="209">
        <f t="shared" si="233"/>
        <v>0</v>
      </c>
      <c r="M1281" s="214">
        <f t="shared" si="234"/>
        <v>0</v>
      </c>
      <c r="N1281" s="211">
        <f t="shared" si="235"/>
        <v>0</v>
      </c>
      <c r="O1281" s="194">
        <f t="shared" si="236"/>
        <v>0</v>
      </c>
      <c r="P1281" s="212">
        <f t="shared" si="237"/>
        <v>0</v>
      </c>
      <c r="Q1281">
        <f t="shared" si="241"/>
        <v>0</v>
      </c>
      <c r="X1281" s="216">
        <f t="shared" si="240"/>
        <v>105</v>
      </c>
      <c r="Y1281">
        <f t="shared" si="238"/>
        <v>0</v>
      </c>
    </row>
    <row r="1282" spans="1:25" ht="13.5" thickBot="1" x14ac:dyDescent="0.25">
      <c r="A1282" s="204">
        <f>IF(MOD(COUNT($A$10:A1281),12)=0,A1281+1,A1281)</f>
        <v>107</v>
      </c>
      <c r="B1282" s="218">
        <f t="shared" ref="B1282:B1341" si="242">IF(A1281&lt;&gt;A1282,1,B1281+1)</f>
        <v>1</v>
      </c>
      <c r="C1282" s="218">
        <f t="shared" ref="C1282:C1341" si="243">IF(AND(AnnuityMode=1,B1282=12),1,IF(AND(OR(B1282=6,B1282=12),AnnuityMode=2),1,IF(AND(OR(B1282=3,B1282=6,B1282=12,B1282=9),AnnuityMode=4),1,IF(AND(OR(B1282=1,B1282=2,B1282=3,B1282=4,B1282=5,B1282=6,B1282=7,B1282=8,B1282=9,B1282=10,B1282=11,B1282=12),AnnuityMode=12),1,0))))</f>
        <v>1</v>
      </c>
      <c r="D1282" s="208">
        <f>IF(MOD(COUNT($D$10:D1281),6)=0,D1281+1,D1281)</f>
        <v>213</v>
      </c>
      <c r="E1282" s="208">
        <f>IF(MOD(COUNT($E$10:E1281),3)=0,E1281+1,E1281)</f>
        <v>425</v>
      </c>
      <c r="F1282" s="208">
        <f>IF(MOD(COUNT($F$10:F1281),1)=0,F1281+1,F1281)</f>
        <v>1273</v>
      </c>
      <c r="G1282" s="204">
        <f>IFERROR(IF(C1282=1,VLOOKUP(A1282,Output!$A$27:$AB$137,28,FALSE)/AnnuityMode,0),0)</f>
        <v>0</v>
      </c>
      <c r="H1282" s="220">
        <f>IFERROR(IF(AND(MIN(A1282&gt;25,Age+A1282&gt;=85),B1282=12),VLOOKUP(A1282,Output!$A$27:$AE$137,31,FALSE),0),0)</f>
        <v>0</v>
      </c>
      <c r="I1282" s="221">
        <f>IFERROR(IF(AND(MIN(A1282&gt;15,A1282+Age&gt;=70),C1282=1),VLOOKUP(A1282,Output!$A$27:$AF$137,32,FALSE)*VLOOKUP('SV calc_ignore'!A1282,Output!$A$27:$AG$137,33,FALSE)/IF(AnnuityMode=2,2,IF(AnnuityMode=4,4,IF(AnnuityMode=12,12,1))),0),0)</f>
        <v>0</v>
      </c>
      <c r="J1282" s="227">
        <f t="shared" ref="J1282:J1341" si="244">G1282+(J1283)*(1+$K$3)^(-1)</f>
        <v>0</v>
      </c>
      <c r="K1282" s="213">
        <f t="shared" si="239"/>
        <v>0</v>
      </c>
      <c r="L1282" s="209">
        <f t="shared" ref="L1282:L1341" si="245">(L1283+G1283)*$K$2</f>
        <v>0</v>
      </c>
      <c r="M1282" s="214">
        <f t="shared" ref="M1282:M1341" si="246">L1281*(1+$K$3)</f>
        <v>0</v>
      </c>
      <c r="N1282" s="211">
        <f t="shared" ref="N1282:N1341" si="247">M1282-L1282-G1282</f>
        <v>0</v>
      </c>
      <c r="O1282" s="194">
        <f t="shared" ref="O1282:O1341" si="248">MAX($H$10:$H$897)/(1+$K$3)^($Q$5*12-F1282)*(A1282&lt;=$Q$5)</f>
        <v>0</v>
      </c>
      <c r="P1282" s="212">
        <f t="shared" si="237"/>
        <v>0</v>
      </c>
      <c r="Q1282">
        <f t="shared" si="241"/>
        <v>0</v>
      </c>
      <c r="X1282" s="216">
        <f t="shared" si="240"/>
        <v>106</v>
      </c>
      <c r="Y1282">
        <f t="shared" si="238"/>
        <v>0</v>
      </c>
    </row>
    <row r="1283" spans="1:25" ht="13.5" thickBot="1" x14ac:dyDescent="0.25">
      <c r="A1283" s="204">
        <f>IF(MOD(COUNT($A$10:A1282),12)=0,A1282+1,A1282)</f>
        <v>107</v>
      </c>
      <c r="B1283" s="218">
        <f t="shared" si="242"/>
        <v>2</v>
      </c>
      <c r="C1283" s="218">
        <f t="shared" si="243"/>
        <v>1</v>
      </c>
      <c r="D1283" s="208">
        <f>IF(MOD(COUNT($D$10:D1282),6)=0,D1282+1,D1282)</f>
        <v>213</v>
      </c>
      <c r="E1283" s="208">
        <f>IF(MOD(COUNT($E$10:E1282),3)=0,E1282+1,E1282)</f>
        <v>425</v>
      </c>
      <c r="F1283" s="208">
        <f>IF(MOD(COUNT($F$10:F1282),1)=0,F1282+1,F1282)</f>
        <v>1274</v>
      </c>
      <c r="G1283" s="204">
        <f>IFERROR(IF(C1283=1,VLOOKUP(A1283,Output!$A$27:$AB$137,28,FALSE)/AnnuityMode,0),0)</f>
        <v>0</v>
      </c>
      <c r="H1283" s="220">
        <f>IFERROR(IF(AND(MIN(A1283&gt;25,Age+A1283&gt;=85),B1283=12),VLOOKUP(A1283,Output!$A$27:$AE$137,31,FALSE),0),0)</f>
        <v>0</v>
      </c>
      <c r="I1283" s="221">
        <f>IFERROR(IF(AND(MIN(A1283&gt;15,A1283+Age&gt;=70),C1283=1),VLOOKUP(A1283,Output!$A$27:$AF$137,32,FALSE)*VLOOKUP('SV calc_ignore'!A1283,Output!$A$27:$AG$137,33,FALSE)/IF(AnnuityMode=2,2,IF(AnnuityMode=4,4,IF(AnnuityMode=12,12,1))),0),0)</f>
        <v>0</v>
      </c>
      <c r="J1283" s="227">
        <f t="shared" si="244"/>
        <v>0</v>
      </c>
      <c r="K1283" s="213">
        <f t="shared" si="239"/>
        <v>0</v>
      </c>
      <c r="L1283" s="209">
        <f t="shared" si="245"/>
        <v>0</v>
      </c>
      <c r="M1283" s="214">
        <f t="shared" si="246"/>
        <v>0</v>
      </c>
      <c r="N1283" s="211">
        <f t="shared" si="247"/>
        <v>0</v>
      </c>
      <c r="O1283" s="194">
        <f t="shared" si="248"/>
        <v>0</v>
      </c>
      <c r="P1283" s="212">
        <f t="shared" si="237"/>
        <v>0</v>
      </c>
      <c r="Q1283">
        <f t="shared" si="241"/>
        <v>0</v>
      </c>
      <c r="X1283" s="216">
        <f t="shared" si="240"/>
        <v>106</v>
      </c>
      <c r="Y1283">
        <f t="shared" si="238"/>
        <v>0</v>
      </c>
    </row>
    <row r="1284" spans="1:25" ht="13.5" thickBot="1" x14ac:dyDescent="0.25">
      <c r="A1284" s="204">
        <f>IF(MOD(COUNT($A$10:A1283),12)=0,A1283+1,A1283)</f>
        <v>107</v>
      </c>
      <c r="B1284" s="218">
        <f t="shared" si="242"/>
        <v>3</v>
      </c>
      <c r="C1284" s="218">
        <f t="shared" si="243"/>
        <v>1</v>
      </c>
      <c r="D1284" s="208">
        <f>IF(MOD(COUNT($D$10:D1283),6)=0,D1283+1,D1283)</f>
        <v>213</v>
      </c>
      <c r="E1284" s="208">
        <f>IF(MOD(COUNT($E$10:E1283),3)=0,E1283+1,E1283)</f>
        <v>425</v>
      </c>
      <c r="F1284" s="208">
        <f>IF(MOD(COUNT($F$10:F1283),1)=0,F1283+1,F1283)</f>
        <v>1275</v>
      </c>
      <c r="G1284" s="204">
        <f>IFERROR(IF(C1284=1,VLOOKUP(A1284,Output!$A$27:$AB$137,28,FALSE)/AnnuityMode,0),0)</f>
        <v>0</v>
      </c>
      <c r="H1284" s="220">
        <f>IFERROR(IF(AND(MIN(A1284&gt;25,Age+A1284&gt;=85),B1284=12),VLOOKUP(A1284,Output!$A$27:$AE$137,31,FALSE),0),0)</f>
        <v>0</v>
      </c>
      <c r="I1284" s="221">
        <f>IFERROR(IF(AND(MIN(A1284&gt;15,A1284+Age&gt;=70),C1284=1),VLOOKUP(A1284,Output!$A$27:$AF$137,32,FALSE)*VLOOKUP('SV calc_ignore'!A1284,Output!$A$27:$AG$137,33,FALSE)/IF(AnnuityMode=2,2,IF(AnnuityMode=4,4,IF(AnnuityMode=12,12,1))),0),0)</f>
        <v>0</v>
      </c>
      <c r="J1284" s="227">
        <f t="shared" si="244"/>
        <v>0</v>
      </c>
      <c r="K1284" s="213">
        <f t="shared" si="239"/>
        <v>0</v>
      </c>
      <c r="L1284" s="209">
        <f t="shared" si="245"/>
        <v>0</v>
      </c>
      <c r="M1284" s="214">
        <f t="shared" si="246"/>
        <v>0</v>
      </c>
      <c r="N1284" s="211">
        <f t="shared" si="247"/>
        <v>0</v>
      </c>
      <c r="O1284" s="194">
        <f t="shared" si="248"/>
        <v>0</v>
      </c>
      <c r="P1284" s="212">
        <f t="shared" si="237"/>
        <v>0</v>
      </c>
      <c r="Q1284">
        <f t="shared" si="241"/>
        <v>0</v>
      </c>
      <c r="X1284" s="216">
        <f t="shared" si="240"/>
        <v>106</v>
      </c>
      <c r="Y1284">
        <f t="shared" si="238"/>
        <v>0</v>
      </c>
    </row>
    <row r="1285" spans="1:25" ht="13.5" thickBot="1" x14ac:dyDescent="0.25">
      <c r="A1285" s="204">
        <f>IF(MOD(COUNT($A$10:A1284),12)=0,A1284+1,A1284)</f>
        <v>107</v>
      </c>
      <c r="B1285" s="218">
        <f t="shared" si="242"/>
        <v>4</v>
      </c>
      <c r="C1285" s="218">
        <f t="shared" si="243"/>
        <v>1</v>
      </c>
      <c r="D1285" s="208">
        <f>IF(MOD(COUNT($D$10:D1284),6)=0,D1284+1,D1284)</f>
        <v>213</v>
      </c>
      <c r="E1285" s="208">
        <f>IF(MOD(COUNT($E$10:E1284),3)=0,E1284+1,E1284)</f>
        <v>426</v>
      </c>
      <c r="F1285" s="208">
        <f>IF(MOD(COUNT($F$10:F1284),1)=0,F1284+1,F1284)</f>
        <v>1276</v>
      </c>
      <c r="G1285" s="204">
        <f>IFERROR(IF(C1285=1,VLOOKUP(A1285,Output!$A$27:$AB$137,28,FALSE)/AnnuityMode,0),0)</f>
        <v>0</v>
      </c>
      <c r="H1285" s="220">
        <f>IFERROR(IF(AND(MIN(A1285&gt;25,Age+A1285&gt;=85),B1285=12),VLOOKUP(A1285,Output!$A$27:$AE$137,31,FALSE),0),0)</f>
        <v>0</v>
      </c>
      <c r="I1285" s="221">
        <f>IFERROR(IF(AND(MIN(A1285&gt;15,A1285+Age&gt;=70),C1285=1),VLOOKUP(A1285,Output!$A$27:$AF$137,32,FALSE)*VLOOKUP('SV calc_ignore'!A1285,Output!$A$27:$AG$137,33,FALSE)/IF(AnnuityMode=2,2,IF(AnnuityMode=4,4,IF(AnnuityMode=12,12,1))),0),0)</f>
        <v>0</v>
      </c>
      <c r="J1285" s="227">
        <f t="shared" si="244"/>
        <v>0</v>
      </c>
      <c r="K1285" s="213">
        <f t="shared" si="239"/>
        <v>0</v>
      </c>
      <c r="L1285" s="209">
        <f t="shared" si="245"/>
        <v>0</v>
      </c>
      <c r="M1285" s="214">
        <f t="shared" si="246"/>
        <v>0</v>
      </c>
      <c r="N1285" s="211">
        <f t="shared" si="247"/>
        <v>0</v>
      </c>
      <c r="O1285" s="194">
        <f t="shared" si="248"/>
        <v>0</v>
      </c>
      <c r="P1285" s="212">
        <f t="shared" si="237"/>
        <v>0</v>
      </c>
      <c r="Q1285">
        <f t="shared" si="241"/>
        <v>0</v>
      </c>
      <c r="X1285" s="216">
        <f t="shared" si="240"/>
        <v>106</v>
      </c>
      <c r="Y1285">
        <f t="shared" si="238"/>
        <v>0</v>
      </c>
    </row>
    <row r="1286" spans="1:25" ht="13.5" thickBot="1" x14ac:dyDescent="0.25">
      <c r="A1286" s="204">
        <f>IF(MOD(COUNT($A$10:A1285),12)=0,A1285+1,A1285)</f>
        <v>107</v>
      </c>
      <c r="B1286" s="218">
        <f t="shared" si="242"/>
        <v>5</v>
      </c>
      <c r="C1286" s="218">
        <f t="shared" si="243"/>
        <v>1</v>
      </c>
      <c r="D1286" s="208">
        <f>IF(MOD(COUNT($D$10:D1285),6)=0,D1285+1,D1285)</f>
        <v>213</v>
      </c>
      <c r="E1286" s="208">
        <f>IF(MOD(COUNT($E$10:E1285),3)=0,E1285+1,E1285)</f>
        <v>426</v>
      </c>
      <c r="F1286" s="208">
        <f>IF(MOD(COUNT($F$10:F1285),1)=0,F1285+1,F1285)</f>
        <v>1277</v>
      </c>
      <c r="G1286" s="204">
        <f>IFERROR(IF(C1286=1,VLOOKUP(A1286,Output!$A$27:$AB$137,28,FALSE)/AnnuityMode,0),0)</f>
        <v>0</v>
      </c>
      <c r="H1286" s="220">
        <f>IFERROR(IF(AND(MIN(A1286&gt;25,Age+A1286&gt;=85),B1286=12),VLOOKUP(A1286,Output!$A$27:$AE$137,31,FALSE),0),0)</f>
        <v>0</v>
      </c>
      <c r="I1286" s="221">
        <f>IFERROR(IF(AND(MIN(A1286&gt;15,A1286+Age&gt;=70),C1286=1),VLOOKUP(A1286,Output!$A$27:$AF$137,32,FALSE)*VLOOKUP('SV calc_ignore'!A1286,Output!$A$27:$AG$137,33,FALSE)/IF(AnnuityMode=2,2,IF(AnnuityMode=4,4,IF(AnnuityMode=12,12,1))),0),0)</f>
        <v>0</v>
      </c>
      <c r="J1286" s="227">
        <f t="shared" si="244"/>
        <v>0</v>
      </c>
      <c r="K1286" s="213">
        <f t="shared" si="239"/>
        <v>0</v>
      </c>
      <c r="L1286" s="209">
        <f t="shared" si="245"/>
        <v>0</v>
      </c>
      <c r="M1286" s="214">
        <f t="shared" si="246"/>
        <v>0</v>
      </c>
      <c r="N1286" s="211">
        <f t="shared" si="247"/>
        <v>0</v>
      </c>
      <c r="O1286" s="194">
        <f t="shared" si="248"/>
        <v>0</v>
      </c>
      <c r="P1286" s="212">
        <f t="shared" si="237"/>
        <v>0</v>
      </c>
      <c r="Q1286">
        <f t="shared" si="241"/>
        <v>0</v>
      </c>
      <c r="X1286" s="216">
        <f t="shared" si="240"/>
        <v>106</v>
      </c>
      <c r="Y1286">
        <f t="shared" si="238"/>
        <v>0</v>
      </c>
    </row>
    <row r="1287" spans="1:25" ht="13.5" thickBot="1" x14ac:dyDescent="0.25">
      <c r="A1287" s="204">
        <f>IF(MOD(COUNT($A$10:A1286),12)=0,A1286+1,A1286)</f>
        <v>107</v>
      </c>
      <c r="B1287" s="218">
        <f t="shared" si="242"/>
        <v>6</v>
      </c>
      <c r="C1287" s="218">
        <f t="shared" si="243"/>
        <v>1</v>
      </c>
      <c r="D1287" s="208">
        <f>IF(MOD(COUNT($D$10:D1286),6)=0,D1286+1,D1286)</f>
        <v>213</v>
      </c>
      <c r="E1287" s="208">
        <f>IF(MOD(COUNT($E$10:E1286),3)=0,E1286+1,E1286)</f>
        <v>426</v>
      </c>
      <c r="F1287" s="208">
        <f>IF(MOD(COUNT($F$10:F1286),1)=0,F1286+1,F1286)</f>
        <v>1278</v>
      </c>
      <c r="G1287" s="204">
        <f>IFERROR(IF(C1287=1,VLOOKUP(A1287,Output!$A$27:$AB$137,28,FALSE)/AnnuityMode,0),0)</f>
        <v>0</v>
      </c>
      <c r="H1287" s="220">
        <f>IFERROR(IF(AND(MIN(A1287&gt;25,Age+A1287&gt;=85),B1287=12),VLOOKUP(A1287,Output!$A$27:$AE$137,31,FALSE),0),0)</f>
        <v>0</v>
      </c>
      <c r="I1287" s="221">
        <f>IFERROR(IF(AND(MIN(A1287&gt;15,A1287+Age&gt;=70),C1287=1),VLOOKUP(A1287,Output!$A$27:$AF$137,32,FALSE)*VLOOKUP('SV calc_ignore'!A1287,Output!$A$27:$AG$137,33,FALSE)/IF(AnnuityMode=2,2,IF(AnnuityMode=4,4,IF(AnnuityMode=12,12,1))),0),0)</f>
        <v>0</v>
      </c>
      <c r="J1287" s="227">
        <f t="shared" si="244"/>
        <v>0</v>
      </c>
      <c r="K1287" s="213">
        <f t="shared" si="239"/>
        <v>0</v>
      </c>
      <c r="L1287" s="209">
        <f t="shared" si="245"/>
        <v>0</v>
      </c>
      <c r="M1287" s="214">
        <f t="shared" si="246"/>
        <v>0</v>
      </c>
      <c r="N1287" s="211">
        <f t="shared" si="247"/>
        <v>0</v>
      </c>
      <c r="O1287" s="194">
        <f t="shared" si="248"/>
        <v>0</v>
      </c>
      <c r="P1287" s="212">
        <f t="shared" si="237"/>
        <v>0</v>
      </c>
      <c r="Q1287">
        <f t="shared" si="241"/>
        <v>0</v>
      </c>
      <c r="X1287" s="216">
        <f t="shared" si="240"/>
        <v>106</v>
      </c>
      <c r="Y1287">
        <f t="shared" si="238"/>
        <v>0</v>
      </c>
    </row>
    <row r="1288" spans="1:25" ht="13.5" thickBot="1" x14ac:dyDescent="0.25">
      <c r="A1288" s="204">
        <f>IF(MOD(COUNT($A$10:A1287),12)=0,A1287+1,A1287)</f>
        <v>107</v>
      </c>
      <c r="B1288" s="218">
        <f t="shared" si="242"/>
        <v>7</v>
      </c>
      <c r="C1288" s="218">
        <f t="shared" si="243"/>
        <v>1</v>
      </c>
      <c r="D1288" s="208">
        <f>IF(MOD(COUNT($D$10:D1287),6)=0,D1287+1,D1287)</f>
        <v>214</v>
      </c>
      <c r="E1288" s="208">
        <f>IF(MOD(COUNT($E$10:E1287),3)=0,E1287+1,E1287)</f>
        <v>427</v>
      </c>
      <c r="F1288" s="208">
        <f>IF(MOD(COUNT($F$10:F1287),1)=0,F1287+1,F1287)</f>
        <v>1279</v>
      </c>
      <c r="G1288" s="204">
        <f>IFERROR(IF(C1288=1,VLOOKUP(A1288,Output!$A$27:$AB$137,28,FALSE)/AnnuityMode,0),0)</f>
        <v>0</v>
      </c>
      <c r="H1288" s="220">
        <f>IFERROR(IF(AND(MIN(A1288&gt;25,Age+A1288&gt;=85),B1288=12),VLOOKUP(A1288,Output!$A$27:$AE$137,31,FALSE),0),0)</f>
        <v>0</v>
      </c>
      <c r="I1288" s="221">
        <f>IFERROR(IF(AND(MIN(A1288&gt;15,A1288+Age&gt;=70),C1288=1),VLOOKUP(A1288,Output!$A$27:$AF$137,32,FALSE)*VLOOKUP('SV calc_ignore'!A1288,Output!$A$27:$AG$137,33,FALSE)/IF(AnnuityMode=2,2,IF(AnnuityMode=4,4,IF(AnnuityMode=12,12,1))),0),0)</f>
        <v>0</v>
      </c>
      <c r="J1288" s="227">
        <f t="shared" si="244"/>
        <v>0</v>
      </c>
      <c r="K1288" s="213">
        <f t="shared" si="239"/>
        <v>0</v>
      </c>
      <c r="L1288" s="209">
        <f t="shared" si="245"/>
        <v>0</v>
      </c>
      <c r="M1288" s="214">
        <f t="shared" si="246"/>
        <v>0</v>
      </c>
      <c r="N1288" s="211">
        <f t="shared" si="247"/>
        <v>0</v>
      </c>
      <c r="O1288" s="194">
        <f t="shared" si="248"/>
        <v>0</v>
      </c>
      <c r="P1288" s="212">
        <f t="shared" si="237"/>
        <v>0</v>
      </c>
      <c r="Q1288">
        <f t="shared" si="241"/>
        <v>0</v>
      </c>
      <c r="X1288" s="216">
        <f t="shared" si="240"/>
        <v>106</v>
      </c>
      <c r="Y1288">
        <f t="shared" si="238"/>
        <v>0</v>
      </c>
    </row>
    <row r="1289" spans="1:25" ht="13.5" thickBot="1" x14ac:dyDescent="0.25">
      <c r="A1289" s="204">
        <f>IF(MOD(COUNT($A$10:A1288),12)=0,A1288+1,A1288)</f>
        <v>107</v>
      </c>
      <c r="B1289" s="218">
        <f t="shared" si="242"/>
        <v>8</v>
      </c>
      <c r="C1289" s="218">
        <f t="shared" si="243"/>
        <v>1</v>
      </c>
      <c r="D1289" s="208">
        <f>IF(MOD(COUNT($D$10:D1288),6)=0,D1288+1,D1288)</f>
        <v>214</v>
      </c>
      <c r="E1289" s="208">
        <f>IF(MOD(COUNT($E$10:E1288),3)=0,E1288+1,E1288)</f>
        <v>427</v>
      </c>
      <c r="F1289" s="208">
        <f>IF(MOD(COUNT($F$10:F1288),1)=0,F1288+1,F1288)</f>
        <v>1280</v>
      </c>
      <c r="G1289" s="204">
        <f>IFERROR(IF(C1289=1,VLOOKUP(A1289,Output!$A$27:$AB$137,28,FALSE)/AnnuityMode,0),0)</f>
        <v>0</v>
      </c>
      <c r="H1289" s="220">
        <f>IFERROR(IF(AND(MIN(A1289&gt;25,Age+A1289&gt;=85),B1289=12),VLOOKUP(A1289,Output!$A$27:$AE$137,31,FALSE),0),0)</f>
        <v>0</v>
      </c>
      <c r="I1289" s="221">
        <f>IFERROR(IF(AND(MIN(A1289&gt;15,A1289+Age&gt;=70),C1289=1),VLOOKUP(A1289,Output!$A$27:$AF$137,32,FALSE)*VLOOKUP('SV calc_ignore'!A1289,Output!$A$27:$AG$137,33,FALSE)/IF(AnnuityMode=2,2,IF(AnnuityMode=4,4,IF(AnnuityMode=12,12,1))),0),0)</f>
        <v>0</v>
      </c>
      <c r="J1289" s="227">
        <f t="shared" si="244"/>
        <v>0</v>
      </c>
      <c r="K1289" s="213">
        <f t="shared" si="239"/>
        <v>0</v>
      </c>
      <c r="L1289" s="209">
        <f t="shared" si="245"/>
        <v>0</v>
      </c>
      <c r="M1289" s="214">
        <f t="shared" si="246"/>
        <v>0</v>
      </c>
      <c r="N1289" s="211">
        <f t="shared" si="247"/>
        <v>0</v>
      </c>
      <c r="O1289" s="194">
        <f t="shared" si="248"/>
        <v>0</v>
      </c>
      <c r="P1289" s="212">
        <f t="shared" si="237"/>
        <v>0</v>
      </c>
      <c r="Q1289">
        <f t="shared" si="241"/>
        <v>0</v>
      </c>
      <c r="X1289" s="216">
        <f t="shared" si="240"/>
        <v>106</v>
      </c>
      <c r="Y1289">
        <f t="shared" si="238"/>
        <v>0</v>
      </c>
    </row>
    <row r="1290" spans="1:25" ht="13.5" thickBot="1" x14ac:dyDescent="0.25">
      <c r="A1290" s="204">
        <f>IF(MOD(COUNT($A$10:A1289),12)=0,A1289+1,A1289)</f>
        <v>107</v>
      </c>
      <c r="B1290" s="218">
        <f t="shared" si="242"/>
        <v>9</v>
      </c>
      <c r="C1290" s="218">
        <f t="shared" si="243"/>
        <v>1</v>
      </c>
      <c r="D1290" s="208">
        <f>IF(MOD(COUNT($D$10:D1289),6)=0,D1289+1,D1289)</f>
        <v>214</v>
      </c>
      <c r="E1290" s="208">
        <f>IF(MOD(COUNT($E$10:E1289),3)=0,E1289+1,E1289)</f>
        <v>427</v>
      </c>
      <c r="F1290" s="208">
        <f>IF(MOD(COUNT($F$10:F1289),1)=0,F1289+1,F1289)</f>
        <v>1281</v>
      </c>
      <c r="G1290" s="204">
        <f>IFERROR(IF(C1290=1,VLOOKUP(A1290,Output!$A$27:$AB$137,28,FALSE)/AnnuityMode,0),0)</f>
        <v>0</v>
      </c>
      <c r="H1290" s="220">
        <f>IFERROR(IF(AND(MIN(A1290&gt;25,Age+A1290&gt;=85),B1290=12),VLOOKUP(A1290,Output!$A$27:$AE$137,31,FALSE),0),0)</f>
        <v>0</v>
      </c>
      <c r="I1290" s="221">
        <f>IFERROR(IF(AND(MIN(A1290&gt;15,A1290+Age&gt;=70),C1290=1),VLOOKUP(A1290,Output!$A$27:$AF$137,32,FALSE)*VLOOKUP('SV calc_ignore'!A1290,Output!$A$27:$AG$137,33,FALSE)/IF(AnnuityMode=2,2,IF(AnnuityMode=4,4,IF(AnnuityMode=12,12,1))),0),0)</f>
        <v>0</v>
      </c>
      <c r="J1290" s="227">
        <f t="shared" si="244"/>
        <v>0</v>
      </c>
      <c r="K1290" s="213">
        <f t="shared" si="239"/>
        <v>0</v>
      </c>
      <c r="L1290" s="209">
        <f t="shared" si="245"/>
        <v>0</v>
      </c>
      <c r="M1290" s="214">
        <f t="shared" si="246"/>
        <v>0</v>
      </c>
      <c r="N1290" s="211">
        <f t="shared" si="247"/>
        <v>0</v>
      </c>
      <c r="O1290" s="194">
        <f t="shared" si="248"/>
        <v>0</v>
      </c>
      <c r="P1290" s="212">
        <f t="shared" ref="P1290:P1341" si="249">(P1291+H1291)*(1+$K$3)^(-1)</f>
        <v>0</v>
      </c>
      <c r="Q1290">
        <f t="shared" si="241"/>
        <v>0</v>
      </c>
      <c r="X1290" s="216">
        <f t="shared" si="240"/>
        <v>106</v>
      </c>
      <c r="Y1290">
        <f t="shared" ref="Y1290:Y1342" si="250">G1290*(1-IF(AnnuityMode=1,$L$2,IF(AnnuityMode=2,$M$2,IF(AnnuityMode=4,$N$2,$K$2)))^(110*AnnuityMode-IF(AnnuityMode=1,X1290,IF(AnnuityMode=2,D1290,IF(AnnuityMode=4,E1290,F1290)))-0))/(IF(AnnuityMode=1,$L$3,IF(AnnuityMode=2,$M$3,IF(AnnuityMode=4,$N$3,$K$3))))</f>
        <v>0</v>
      </c>
    </row>
    <row r="1291" spans="1:25" ht="13.5" thickBot="1" x14ac:dyDescent="0.25">
      <c r="A1291" s="204">
        <f>IF(MOD(COUNT($A$10:A1290),12)=0,A1290+1,A1290)</f>
        <v>107</v>
      </c>
      <c r="B1291" s="218">
        <f t="shared" si="242"/>
        <v>10</v>
      </c>
      <c r="C1291" s="218">
        <f t="shared" si="243"/>
        <v>1</v>
      </c>
      <c r="D1291" s="208">
        <f>IF(MOD(COUNT($D$10:D1290),6)=0,D1290+1,D1290)</f>
        <v>214</v>
      </c>
      <c r="E1291" s="208">
        <f>IF(MOD(COUNT($E$10:E1290),3)=0,E1290+1,E1290)</f>
        <v>428</v>
      </c>
      <c r="F1291" s="208">
        <f>IF(MOD(COUNT($F$10:F1290),1)=0,F1290+1,F1290)</f>
        <v>1282</v>
      </c>
      <c r="G1291" s="204">
        <f>IFERROR(IF(C1291=1,VLOOKUP(A1291,Output!$A$27:$AB$137,28,FALSE)/AnnuityMode,0),0)</f>
        <v>0</v>
      </c>
      <c r="H1291" s="220">
        <f>IFERROR(IF(AND(MIN(A1291&gt;25,Age+A1291&gt;=85),B1291=12),VLOOKUP(A1291,Output!$A$27:$AE$137,31,FALSE),0),0)</f>
        <v>0</v>
      </c>
      <c r="I1291" s="221">
        <f>IFERROR(IF(AND(MIN(A1291&gt;15,A1291+Age&gt;=70),C1291=1),VLOOKUP(A1291,Output!$A$27:$AF$137,32,FALSE)*VLOOKUP('SV calc_ignore'!A1291,Output!$A$27:$AG$137,33,FALSE)/IF(AnnuityMode=2,2,IF(AnnuityMode=4,4,IF(AnnuityMode=12,12,1))),0),0)</f>
        <v>0</v>
      </c>
      <c r="J1291" s="227">
        <f t="shared" si="244"/>
        <v>0</v>
      </c>
      <c r="K1291" s="213">
        <f t="shared" ref="K1291:K1341" si="251">IF(OR(K1290&gt;$K$8,K1290=0),0,K1290+1)</f>
        <v>0</v>
      </c>
      <c r="L1291" s="209">
        <f t="shared" si="245"/>
        <v>0</v>
      </c>
      <c r="M1291" s="214">
        <f t="shared" si="246"/>
        <v>0</v>
      </c>
      <c r="N1291" s="211">
        <f t="shared" si="247"/>
        <v>0</v>
      </c>
      <c r="O1291" s="194">
        <f t="shared" si="248"/>
        <v>0</v>
      </c>
      <c r="P1291" s="212">
        <f t="shared" si="249"/>
        <v>0</v>
      </c>
      <c r="Q1291">
        <f t="shared" si="241"/>
        <v>0</v>
      </c>
      <c r="X1291" s="216">
        <f t="shared" ref="X1291:X1341" si="252">A1291-1</f>
        <v>106</v>
      </c>
      <c r="Y1291">
        <f t="shared" si="250"/>
        <v>0</v>
      </c>
    </row>
    <row r="1292" spans="1:25" ht="13.5" thickBot="1" x14ac:dyDescent="0.25">
      <c r="A1292" s="204">
        <f>IF(MOD(COUNT($A$10:A1291),12)=0,A1291+1,A1291)</f>
        <v>107</v>
      </c>
      <c r="B1292" s="218">
        <f t="shared" si="242"/>
        <v>11</v>
      </c>
      <c r="C1292" s="218">
        <f t="shared" si="243"/>
        <v>1</v>
      </c>
      <c r="D1292" s="208">
        <f>IF(MOD(COUNT($D$10:D1291),6)=0,D1291+1,D1291)</f>
        <v>214</v>
      </c>
      <c r="E1292" s="208">
        <f>IF(MOD(COUNT($E$10:E1291),3)=0,E1291+1,E1291)</f>
        <v>428</v>
      </c>
      <c r="F1292" s="208">
        <f>IF(MOD(COUNT($F$10:F1291),1)=0,F1291+1,F1291)</f>
        <v>1283</v>
      </c>
      <c r="G1292" s="204">
        <f>IFERROR(IF(C1292=1,VLOOKUP(A1292,Output!$A$27:$AB$137,28,FALSE)/AnnuityMode,0),0)</f>
        <v>0</v>
      </c>
      <c r="H1292" s="220">
        <f>IFERROR(IF(AND(MIN(A1292&gt;25,Age+A1292&gt;=85),B1292=12),VLOOKUP(A1292,Output!$A$27:$AE$137,31,FALSE),0),0)</f>
        <v>0</v>
      </c>
      <c r="I1292" s="221">
        <f>IFERROR(IF(AND(MIN(A1292&gt;15,A1292+Age&gt;=70),C1292=1),VLOOKUP(A1292,Output!$A$27:$AF$137,32,FALSE)*VLOOKUP('SV calc_ignore'!A1292,Output!$A$27:$AG$137,33,FALSE)/IF(AnnuityMode=2,2,IF(AnnuityMode=4,4,IF(AnnuityMode=12,12,1))),0),0)</f>
        <v>0</v>
      </c>
      <c r="J1292" s="227">
        <f t="shared" si="244"/>
        <v>0</v>
      </c>
      <c r="K1292" s="213">
        <f t="shared" si="251"/>
        <v>0</v>
      </c>
      <c r="L1292" s="209">
        <f t="shared" si="245"/>
        <v>0</v>
      </c>
      <c r="M1292" s="214">
        <f t="shared" si="246"/>
        <v>0</v>
      </c>
      <c r="N1292" s="211">
        <f t="shared" si="247"/>
        <v>0</v>
      </c>
      <c r="O1292" s="194">
        <f t="shared" si="248"/>
        <v>0</v>
      </c>
      <c r="P1292" s="212">
        <f t="shared" si="249"/>
        <v>0</v>
      </c>
      <c r="Q1292">
        <f t="shared" si="241"/>
        <v>0</v>
      </c>
      <c r="X1292" s="216">
        <f t="shared" si="252"/>
        <v>106</v>
      </c>
      <c r="Y1292">
        <f t="shared" si="250"/>
        <v>0</v>
      </c>
    </row>
    <row r="1293" spans="1:25" ht="13.5" thickBot="1" x14ac:dyDescent="0.25">
      <c r="A1293" s="204">
        <f>IF(MOD(COUNT($A$10:A1292),12)=0,A1292+1,A1292)</f>
        <v>107</v>
      </c>
      <c r="B1293" s="218">
        <f t="shared" si="242"/>
        <v>12</v>
      </c>
      <c r="C1293" s="218">
        <f t="shared" si="243"/>
        <v>1</v>
      </c>
      <c r="D1293" s="208">
        <f>IF(MOD(COUNT($D$10:D1292),6)=0,D1292+1,D1292)</f>
        <v>214</v>
      </c>
      <c r="E1293" s="208">
        <f>IF(MOD(COUNT($E$10:E1292),3)=0,E1292+1,E1292)</f>
        <v>428</v>
      </c>
      <c r="F1293" s="208">
        <f>IF(MOD(COUNT($F$10:F1292),1)=0,F1292+1,F1292)</f>
        <v>1284</v>
      </c>
      <c r="G1293" s="204">
        <f>IFERROR(IF(C1293=1,VLOOKUP(A1293,Output!$A$27:$AB$137,28,FALSE)/AnnuityMode,0),0)</f>
        <v>0</v>
      </c>
      <c r="H1293" s="220">
        <f>IFERROR(IF(AND(MIN(A1293&gt;25,Age+A1293&gt;=85),B1293=12),VLOOKUP(A1293,Output!$A$27:$AE$137,31,FALSE),0),0)</f>
        <v>0</v>
      </c>
      <c r="I1293" s="221">
        <f>IFERROR(IF(AND(MIN(A1293&gt;15,A1293+Age&gt;=70),C1293=1),VLOOKUP(A1293,Output!$A$27:$AF$137,32,FALSE)*VLOOKUP('SV calc_ignore'!A1293,Output!$A$27:$AG$137,33,FALSE)/IF(AnnuityMode=2,2,IF(AnnuityMode=4,4,IF(AnnuityMode=12,12,1))),0),0)</f>
        <v>0</v>
      </c>
      <c r="J1293" s="227">
        <f t="shared" si="244"/>
        <v>0</v>
      </c>
      <c r="K1293" s="213">
        <f t="shared" si="251"/>
        <v>0</v>
      </c>
      <c r="L1293" s="209">
        <f t="shared" si="245"/>
        <v>0</v>
      </c>
      <c r="M1293" s="214">
        <f t="shared" si="246"/>
        <v>0</v>
      </c>
      <c r="N1293" s="211">
        <f t="shared" si="247"/>
        <v>0</v>
      </c>
      <c r="O1293" s="194">
        <f t="shared" si="248"/>
        <v>0</v>
      </c>
      <c r="P1293" s="212">
        <f t="shared" si="249"/>
        <v>0</v>
      </c>
      <c r="Q1293">
        <f t="shared" si="241"/>
        <v>0</v>
      </c>
      <c r="X1293" s="216">
        <f t="shared" si="252"/>
        <v>106</v>
      </c>
      <c r="Y1293">
        <f t="shared" si="250"/>
        <v>0</v>
      </c>
    </row>
    <row r="1294" spans="1:25" ht="13.5" thickBot="1" x14ac:dyDescent="0.25">
      <c r="A1294" s="204">
        <f>IF(MOD(COUNT($A$10:A1293),12)=0,A1293+1,A1293)</f>
        <v>108</v>
      </c>
      <c r="B1294" s="218">
        <f t="shared" si="242"/>
        <v>1</v>
      </c>
      <c r="C1294" s="218">
        <f t="shared" si="243"/>
        <v>1</v>
      </c>
      <c r="D1294" s="208">
        <f>IF(MOD(COUNT($D$10:D1293),6)=0,D1293+1,D1293)</f>
        <v>215</v>
      </c>
      <c r="E1294" s="208">
        <f>IF(MOD(COUNT($E$10:E1293),3)=0,E1293+1,E1293)</f>
        <v>429</v>
      </c>
      <c r="F1294" s="208">
        <f>IF(MOD(COUNT($F$10:F1293),1)=0,F1293+1,F1293)</f>
        <v>1285</v>
      </c>
      <c r="G1294" s="204">
        <f>IFERROR(IF(C1294=1,VLOOKUP(A1294,Output!$A$27:$AB$137,28,FALSE)/AnnuityMode,0),0)</f>
        <v>0</v>
      </c>
      <c r="H1294" s="220">
        <f>IFERROR(IF(AND(MIN(A1294&gt;25,Age+A1294&gt;=85),B1294=12),VLOOKUP(A1294,Output!$A$27:$AE$137,31,FALSE),0),0)</f>
        <v>0</v>
      </c>
      <c r="I1294" s="221">
        <f>IFERROR(IF(AND(MIN(A1294&gt;15,A1294+Age&gt;=70),C1294=1),VLOOKUP(A1294,Output!$A$27:$AF$137,32,FALSE)*VLOOKUP('SV calc_ignore'!A1294,Output!$A$27:$AG$137,33,FALSE)/IF(AnnuityMode=2,2,IF(AnnuityMode=4,4,IF(AnnuityMode=12,12,1))),0),0)</f>
        <v>0</v>
      </c>
      <c r="J1294" s="227">
        <f t="shared" si="244"/>
        <v>0</v>
      </c>
      <c r="K1294" s="213">
        <f t="shared" si="251"/>
        <v>0</v>
      </c>
      <c r="L1294" s="209">
        <f t="shared" si="245"/>
        <v>0</v>
      </c>
      <c r="M1294" s="214">
        <f t="shared" si="246"/>
        <v>0</v>
      </c>
      <c r="N1294" s="211">
        <f t="shared" si="247"/>
        <v>0</v>
      </c>
      <c r="O1294" s="194">
        <f t="shared" si="248"/>
        <v>0</v>
      </c>
      <c r="P1294" s="212">
        <f t="shared" si="249"/>
        <v>0</v>
      </c>
      <c r="Q1294">
        <f t="shared" si="241"/>
        <v>0</v>
      </c>
      <c r="X1294" s="216">
        <f t="shared" si="252"/>
        <v>107</v>
      </c>
      <c r="Y1294">
        <f t="shared" si="250"/>
        <v>0</v>
      </c>
    </row>
    <row r="1295" spans="1:25" ht="13.5" thickBot="1" x14ac:dyDescent="0.25">
      <c r="A1295" s="204">
        <f>IF(MOD(COUNT($A$10:A1294),12)=0,A1294+1,A1294)</f>
        <v>108</v>
      </c>
      <c r="B1295" s="218">
        <f t="shared" si="242"/>
        <v>2</v>
      </c>
      <c r="C1295" s="218">
        <f t="shared" si="243"/>
        <v>1</v>
      </c>
      <c r="D1295" s="208">
        <f>IF(MOD(COUNT($D$10:D1294),6)=0,D1294+1,D1294)</f>
        <v>215</v>
      </c>
      <c r="E1295" s="208">
        <f>IF(MOD(COUNT($E$10:E1294),3)=0,E1294+1,E1294)</f>
        <v>429</v>
      </c>
      <c r="F1295" s="208">
        <f>IF(MOD(COUNT($F$10:F1294),1)=0,F1294+1,F1294)</f>
        <v>1286</v>
      </c>
      <c r="G1295" s="204">
        <f>IFERROR(IF(C1295=1,VLOOKUP(A1295,Output!$A$27:$AB$137,28,FALSE)/AnnuityMode,0),0)</f>
        <v>0</v>
      </c>
      <c r="H1295" s="220">
        <f>IFERROR(IF(AND(MIN(A1295&gt;25,Age+A1295&gt;=85),B1295=12),VLOOKUP(A1295,Output!$A$27:$AE$137,31,FALSE),0),0)</f>
        <v>0</v>
      </c>
      <c r="I1295" s="221">
        <f>IFERROR(IF(AND(MIN(A1295&gt;15,A1295+Age&gt;=70),C1295=1),VLOOKUP(A1295,Output!$A$27:$AF$137,32,FALSE)*VLOOKUP('SV calc_ignore'!A1295,Output!$A$27:$AG$137,33,FALSE)/IF(AnnuityMode=2,2,IF(AnnuityMode=4,4,IF(AnnuityMode=12,12,1))),0),0)</f>
        <v>0</v>
      </c>
      <c r="J1295" s="227">
        <f t="shared" si="244"/>
        <v>0</v>
      </c>
      <c r="K1295" s="213">
        <f t="shared" si="251"/>
        <v>0</v>
      </c>
      <c r="L1295" s="209">
        <f t="shared" si="245"/>
        <v>0</v>
      </c>
      <c r="M1295" s="214">
        <f t="shared" si="246"/>
        <v>0</v>
      </c>
      <c r="N1295" s="211">
        <f t="shared" si="247"/>
        <v>0</v>
      </c>
      <c r="O1295" s="194">
        <f t="shared" si="248"/>
        <v>0</v>
      </c>
      <c r="P1295" s="212">
        <f t="shared" si="249"/>
        <v>0</v>
      </c>
      <c r="Q1295">
        <f t="shared" si="241"/>
        <v>0</v>
      </c>
      <c r="X1295" s="216">
        <f t="shared" si="252"/>
        <v>107</v>
      </c>
      <c r="Y1295">
        <f t="shared" si="250"/>
        <v>0</v>
      </c>
    </row>
    <row r="1296" spans="1:25" ht="13.5" thickBot="1" x14ac:dyDescent="0.25">
      <c r="A1296" s="204">
        <f>IF(MOD(COUNT($A$10:A1295),12)=0,A1295+1,A1295)</f>
        <v>108</v>
      </c>
      <c r="B1296" s="218">
        <f t="shared" si="242"/>
        <v>3</v>
      </c>
      <c r="C1296" s="218">
        <f t="shared" si="243"/>
        <v>1</v>
      </c>
      <c r="D1296" s="208">
        <f>IF(MOD(COUNT($D$10:D1295),6)=0,D1295+1,D1295)</f>
        <v>215</v>
      </c>
      <c r="E1296" s="208">
        <f>IF(MOD(COUNT($E$10:E1295),3)=0,E1295+1,E1295)</f>
        <v>429</v>
      </c>
      <c r="F1296" s="208">
        <f>IF(MOD(COUNT($F$10:F1295),1)=0,F1295+1,F1295)</f>
        <v>1287</v>
      </c>
      <c r="G1296" s="204">
        <f>IFERROR(IF(C1296=1,VLOOKUP(A1296,Output!$A$27:$AB$137,28,FALSE)/AnnuityMode,0),0)</f>
        <v>0</v>
      </c>
      <c r="H1296" s="220">
        <f>IFERROR(IF(AND(MIN(A1296&gt;25,Age+A1296&gt;=85),B1296=12),VLOOKUP(A1296,Output!$A$27:$AE$137,31,FALSE),0),0)</f>
        <v>0</v>
      </c>
      <c r="I1296" s="221">
        <f>IFERROR(IF(AND(MIN(A1296&gt;15,A1296+Age&gt;=70),C1296=1),VLOOKUP(A1296,Output!$A$27:$AF$137,32,FALSE)*VLOOKUP('SV calc_ignore'!A1296,Output!$A$27:$AG$137,33,FALSE)/IF(AnnuityMode=2,2,IF(AnnuityMode=4,4,IF(AnnuityMode=12,12,1))),0),0)</f>
        <v>0</v>
      </c>
      <c r="J1296" s="227">
        <f t="shared" si="244"/>
        <v>0</v>
      </c>
      <c r="K1296" s="213">
        <f t="shared" si="251"/>
        <v>0</v>
      </c>
      <c r="L1296" s="209">
        <f t="shared" si="245"/>
        <v>0</v>
      </c>
      <c r="M1296" s="214">
        <f t="shared" si="246"/>
        <v>0</v>
      </c>
      <c r="N1296" s="211">
        <f t="shared" si="247"/>
        <v>0</v>
      </c>
      <c r="O1296" s="194">
        <f t="shared" si="248"/>
        <v>0</v>
      </c>
      <c r="P1296" s="212">
        <f t="shared" si="249"/>
        <v>0</v>
      </c>
      <c r="Q1296">
        <f t="shared" si="241"/>
        <v>0</v>
      </c>
      <c r="X1296" s="216">
        <f t="shared" si="252"/>
        <v>107</v>
      </c>
      <c r="Y1296">
        <f t="shared" si="250"/>
        <v>0</v>
      </c>
    </row>
    <row r="1297" spans="1:25" ht="13.5" thickBot="1" x14ac:dyDescent="0.25">
      <c r="A1297" s="204">
        <f>IF(MOD(COUNT($A$10:A1296),12)=0,A1296+1,A1296)</f>
        <v>108</v>
      </c>
      <c r="B1297" s="218">
        <f t="shared" si="242"/>
        <v>4</v>
      </c>
      <c r="C1297" s="218">
        <f t="shared" si="243"/>
        <v>1</v>
      </c>
      <c r="D1297" s="208">
        <f>IF(MOD(COUNT($D$10:D1296),6)=0,D1296+1,D1296)</f>
        <v>215</v>
      </c>
      <c r="E1297" s="208">
        <f>IF(MOD(COUNT($E$10:E1296),3)=0,E1296+1,E1296)</f>
        <v>430</v>
      </c>
      <c r="F1297" s="208">
        <f>IF(MOD(COUNT($F$10:F1296),1)=0,F1296+1,F1296)</f>
        <v>1288</v>
      </c>
      <c r="G1297" s="204">
        <f>IFERROR(IF(C1297=1,VLOOKUP(A1297,Output!$A$27:$AB$137,28,FALSE)/AnnuityMode,0),0)</f>
        <v>0</v>
      </c>
      <c r="H1297" s="220">
        <f>IFERROR(IF(AND(MIN(A1297&gt;25,Age+A1297&gt;=85),B1297=12),VLOOKUP(A1297,Output!$A$27:$AE$137,31,FALSE),0),0)</f>
        <v>0</v>
      </c>
      <c r="I1297" s="221">
        <f>IFERROR(IF(AND(MIN(A1297&gt;15,A1297+Age&gt;=70),C1297=1),VLOOKUP(A1297,Output!$A$27:$AF$137,32,FALSE)*VLOOKUP('SV calc_ignore'!A1297,Output!$A$27:$AG$137,33,FALSE)/IF(AnnuityMode=2,2,IF(AnnuityMode=4,4,IF(AnnuityMode=12,12,1))),0),0)</f>
        <v>0</v>
      </c>
      <c r="J1297" s="227">
        <f t="shared" si="244"/>
        <v>0</v>
      </c>
      <c r="K1297" s="213">
        <f t="shared" si="251"/>
        <v>0</v>
      </c>
      <c r="L1297" s="209">
        <f t="shared" si="245"/>
        <v>0</v>
      </c>
      <c r="M1297" s="214">
        <f t="shared" si="246"/>
        <v>0</v>
      </c>
      <c r="N1297" s="211">
        <f t="shared" si="247"/>
        <v>0</v>
      </c>
      <c r="O1297" s="194">
        <f t="shared" si="248"/>
        <v>0</v>
      </c>
      <c r="P1297" s="212">
        <f t="shared" si="249"/>
        <v>0</v>
      </c>
      <c r="Q1297">
        <f t="shared" si="241"/>
        <v>0</v>
      </c>
      <c r="X1297" s="216">
        <f t="shared" si="252"/>
        <v>107</v>
      </c>
      <c r="Y1297">
        <f t="shared" si="250"/>
        <v>0</v>
      </c>
    </row>
    <row r="1298" spans="1:25" ht="13.5" thickBot="1" x14ac:dyDescent="0.25">
      <c r="A1298" s="204">
        <f>IF(MOD(COUNT($A$10:A1297),12)=0,A1297+1,A1297)</f>
        <v>108</v>
      </c>
      <c r="B1298" s="218">
        <f t="shared" si="242"/>
        <v>5</v>
      </c>
      <c r="C1298" s="218">
        <f t="shared" si="243"/>
        <v>1</v>
      </c>
      <c r="D1298" s="208">
        <f>IF(MOD(COUNT($D$10:D1297),6)=0,D1297+1,D1297)</f>
        <v>215</v>
      </c>
      <c r="E1298" s="208">
        <f>IF(MOD(COUNT($E$10:E1297),3)=0,E1297+1,E1297)</f>
        <v>430</v>
      </c>
      <c r="F1298" s="208">
        <f>IF(MOD(COUNT($F$10:F1297),1)=0,F1297+1,F1297)</f>
        <v>1289</v>
      </c>
      <c r="G1298" s="204">
        <f>IFERROR(IF(C1298=1,VLOOKUP(A1298,Output!$A$27:$AB$137,28,FALSE)/AnnuityMode,0),0)</f>
        <v>0</v>
      </c>
      <c r="H1298" s="220">
        <f>IFERROR(IF(AND(MIN(A1298&gt;25,Age+A1298&gt;=85),B1298=12),VLOOKUP(A1298,Output!$A$27:$AE$137,31,FALSE),0),0)</f>
        <v>0</v>
      </c>
      <c r="I1298" s="221">
        <f>IFERROR(IF(AND(MIN(A1298&gt;15,A1298+Age&gt;=70),C1298=1),VLOOKUP(A1298,Output!$A$27:$AF$137,32,FALSE)*VLOOKUP('SV calc_ignore'!A1298,Output!$A$27:$AG$137,33,FALSE)/IF(AnnuityMode=2,2,IF(AnnuityMode=4,4,IF(AnnuityMode=12,12,1))),0),0)</f>
        <v>0</v>
      </c>
      <c r="J1298" s="227">
        <f t="shared" si="244"/>
        <v>0</v>
      </c>
      <c r="K1298" s="213">
        <f t="shared" si="251"/>
        <v>0</v>
      </c>
      <c r="L1298" s="209">
        <f t="shared" si="245"/>
        <v>0</v>
      </c>
      <c r="M1298" s="214">
        <f t="shared" si="246"/>
        <v>0</v>
      </c>
      <c r="N1298" s="211">
        <f t="shared" si="247"/>
        <v>0</v>
      </c>
      <c r="O1298" s="194">
        <f t="shared" si="248"/>
        <v>0</v>
      </c>
      <c r="P1298" s="212">
        <f t="shared" si="249"/>
        <v>0</v>
      </c>
      <c r="Q1298">
        <f t="shared" si="241"/>
        <v>0</v>
      </c>
      <c r="X1298" s="216">
        <f t="shared" si="252"/>
        <v>107</v>
      </c>
      <c r="Y1298">
        <f t="shared" si="250"/>
        <v>0</v>
      </c>
    </row>
    <row r="1299" spans="1:25" ht="13.5" thickBot="1" x14ac:dyDescent="0.25">
      <c r="A1299" s="204">
        <f>IF(MOD(COUNT($A$10:A1298),12)=0,A1298+1,A1298)</f>
        <v>108</v>
      </c>
      <c r="B1299" s="218">
        <f t="shared" si="242"/>
        <v>6</v>
      </c>
      <c r="C1299" s="218">
        <f t="shared" si="243"/>
        <v>1</v>
      </c>
      <c r="D1299" s="208">
        <f>IF(MOD(COUNT($D$10:D1298),6)=0,D1298+1,D1298)</f>
        <v>215</v>
      </c>
      <c r="E1299" s="208">
        <f>IF(MOD(COUNT($E$10:E1298),3)=0,E1298+1,E1298)</f>
        <v>430</v>
      </c>
      <c r="F1299" s="208">
        <f>IF(MOD(COUNT($F$10:F1298),1)=0,F1298+1,F1298)</f>
        <v>1290</v>
      </c>
      <c r="G1299" s="204">
        <f>IFERROR(IF(C1299=1,VLOOKUP(A1299,Output!$A$27:$AB$137,28,FALSE)/AnnuityMode,0),0)</f>
        <v>0</v>
      </c>
      <c r="H1299" s="220">
        <f>IFERROR(IF(AND(MIN(A1299&gt;25,Age+A1299&gt;=85),B1299=12),VLOOKUP(A1299,Output!$A$27:$AE$137,31,FALSE),0),0)</f>
        <v>0</v>
      </c>
      <c r="I1299" s="221">
        <f>IFERROR(IF(AND(MIN(A1299&gt;15,A1299+Age&gt;=70),C1299=1),VLOOKUP(A1299,Output!$A$27:$AF$137,32,FALSE)*VLOOKUP('SV calc_ignore'!A1299,Output!$A$27:$AG$137,33,FALSE)/IF(AnnuityMode=2,2,IF(AnnuityMode=4,4,IF(AnnuityMode=12,12,1))),0),0)</f>
        <v>0</v>
      </c>
      <c r="J1299" s="227">
        <f t="shared" si="244"/>
        <v>0</v>
      </c>
      <c r="K1299" s="213">
        <f t="shared" si="251"/>
        <v>0</v>
      </c>
      <c r="L1299" s="209">
        <f t="shared" si="245"/>
        <v>0</v>
      </c>
      <c r="M1299" s="214">
        <f t="shared" si="246"/>
        <v>0</v>
      </c>
      <c r="N1299" s="211">
        <f t="shared" si="247"/>
        <v>0</v>
      </c>
      <c r="O1299" s="194">
        <f t="shared" si="248"/>
        <v>0</v>
      </c>
      <c r="P1299" s="212">
        <f t="shared" si="249"/>
        <v>0</v>
      </c>
      <c r="Q1299">
        <f t="shared" si="241"/>
        <v>0</v>
      </c>
      <c r="X1299" s="216">
        <f t="shared" si="252"/>
        <v>107</v>
      </c>
      <c r="Y1299">
        <f t="shared" si="250"/>
        <v>0</v>
      </c>
    </row>
    <row r="1300" spans="1:25" ht="13.5" thickBot="1" x14ac:dyDescent="0.25">
      <c r="A1300" s="204">
        <f>IF(MOD(COUNT($A$10:A1299),12)=0,A1299+1,A1299)</f>
        <v>108</v>
      </c>
      <c r="B1300" s="218">
        <f t="shared" si="242"/>
        <v>7</v>
      </c>
      <c r="C1300" s="218">
        <f t="shared" si="243"/>
        <v>1</v>
      </c>
      <c r="D1300" s="208">
        <f>IF(MOD(COUNT($D$10:D1299),6)=0,D1299+1,D1299)</f>
        <v>216</v>
      </c>
      <c r="E1300" s="208">
        <f>IF(MOD(COUNT($E$10:E1299),3)=0,E1299+1,E1299)</f>
        <v>431</v>
      </c>
      <c r="F1300" s="208">
        <f>IF(MOD(COUNT($F$10:F1299),1)=0,F1299+1,F1299)</f>
        <v>1291</v>
      </c>
      <c r="G1300" s="204">
        <f>IFERROR(IF(C1300=1,VLOOKUP(A1300,Output!$A$27:$AB$137,28,FALSE)/AnnuityMode,0),0)</f>
        <v>0</v>
      </c>
      <c r="H1300" s="220">
        <f>IFERROR(IF(AND(MIN(A1300&gt;25,Age+A1300&gt;=85),B1300=12),VLOOKUP(A1300,Output!$A$27:$AE$137,31,FALSE),0),0)</f>
        <v>0</v>
      </c>
      <c r="I1300" s="221">
        <f>IFERROR(IF(AND(MIN(A1300&gt;15,A1300+Age&gt;=70),C1300=1),VLOOKUP(A1300,Output!$A$27:$AF$137,32,FALSE)*VLOOKUP('SV calc_ignore'!A1300,Output!$A$27:$AG$137,33,FALSE)/IF(AnnuityMode=2,2,IF(AnnuityMode=4,4,IF(AnnuityMode=12,12,1))),0),0)</f>
        <v>0</v>
      </c>
      <c r="J1300" s="227">
        <f t="shared" si="244"/>
        <v>0</v>
      </c>
      <c r="K1300" s="213">
        <f t="shared" si="251"/>
        <v>0</v>
      </c>
      <c r="L1300" s="209">
        <f t="shared" si="245"/>
        <v>0</v>
      </c>
      <c r="M1300" s="214">
        <f t="shared" si="246"/>
        <v>0</v>
      </c>
      <c r="N1300" s="211">
        <f t="shared" si="247"/>
        <v>0</v>
      </c>
      <c r="O1300" s="194">
        <f t="shared" si="248"/>
        <v>0</v>
      </c>
      <c r="P1300" s="212">
        <f t="shared" si="249"/>
        <v>0</v>
      </c>
      <c r="Q1300">
        <f t="shared" si="241"/>
        <v>0</v>
      </c>
      <c r="X1300" s="216">
        <f t="shared" si="252"/>
        <v>107</v>
      </c>
      <c r="Y1300">
        <f t="shared" si="250"/>
        <v>0</v>
      </c>
    </row>
    <row r="1301" spans="1:25" ht="13.5" thickBot="1" x14ac:dyDescent="0.25">
      <c r="A1301" s="204">
        <f>IF(MOD(COUNT($A$10:A1300),12)=0,A1300+1,A1300)</f>
        <v>108</v>
      </c>
      <c r="B1301" s="218">
        <f t="shared" si="242"/>
        <v>8</v>
      </c>
      <c r="C1301" s="218">
        <f t="shared" si="243"/>
        <v>1</v>
      </c>
      <c r="D1301" s="208">
        <f>IF(MOD(COUNT($D$10:D1300),6)=0,D1300+1,D1300)</f>
        <v>216</v>
      </c>
      <c r="E1301" s="208">
        <f>IF(MOD(COUNT($E$10:E1300),3)=0,E1300+1,E1300)</f>
        <v>431</v>
      </c>
      <c r="F1301" s="208">
        <f>IF(MOD(COUNT($F$10:F1300),1)=0,F1300+1,F1300)</f>
        <v>1292</v>
      </c>
      <c r="G1301" s="204">
        <f>IFERROR(IF(C1301=1,VLOOKUP(A1301,Output!$A$27:$AB$137,28,FALSE)/AnnuityMode,0),0)</f>
        <v>0</v>
      </c>
      <c r="H1301" s="220">
        <f>IFERROR(IF(AND(MIN(A1301&gt;25,Age+A1301&gt;=85),B1301=12),VLOOKUP(A1301,Output!$A$27:$AE$137,31,FALSE),0),0)</f>
        <v>0</v>
      </c>
      <c r="I1301" s="221">
        <f>IFERROR(IF(AND(MIN(A1301&gt;15,A1301+Age&gt;=70),C1301=1),VLOOKUP(A1301,Output!$A$27:$AF$137,32,FALSE)*VLOOKUP('SV calc_ignore'!A1301,Output!$A$27:$AG$137,33,FALSE)/IF(AnnuityMode=2,2,IF(AnnuityMode=4,4,IF(AnnuityMode=12,12,1))),0),0)</f>
        <v>0</v>
      </c>
      <c r="J1301" s="227">
        <f t="shared" si="244"/>
        <v>0</v>
      </c>
      <c r="K1301" s="213">
        <f t="shared" si="251"/>
        <v>0</v>
      </c>
      <c r="L1301" s="209">
        <f t="shared" si="245"/>
        <v>0</v>
      </c>
      <c r="M1301" s="214">
        <f t="shared" si="246"/>
        <v>0</v>
      </c>
      <c r="N1301" s="211">
        <f t="shared" si="247"/>
        <v>0</v>
      </c>
      <c r="O1301" s="194">
        <f t="shared" si="248"/>
        <v>0</v>
      </c>
      <c r="P1301" s="212">
        <f t="shared" si="249"/>
        <v>0</v>
      </c>
      <c r="Q1301">
        <f t="shared" si="241"/>
        <v>0</v>
      </c>
      <c r="X1301" s="216">
        <f t="shared" si="252"/>
        <v>107</v>
      </c>
      <c r="Y1301">
        <f t="shared" si="250"/>
        <v>0</v>
      </c>
    </row>
    <row r="1302" spans="1:25" ht="13.5" thickBot="1" x14ac:dyDescent="0.25">
      <c r="A1302" s="204">
        <f>IF(MOD(COUNT($A$10:A1301),12)=0,A1301+1,A1301)</f>
        <v>108</v>
      </c>
      <c r="B1302" s="218">
        <f t="shared" si="242"/>
        <v>9</v>
      </c>
      <c r="C1302" s="218">
        <f t="shared" si="243"/>
        <v>1</v>
      </c>
      <c r="D1302" s="208">
        <f>IF(MOD(COUNT($D$10:D1301),6)=0,D1301+1,D1301)</f>
        <v>216</v>
      </c>
      <c r="E1302" s="208">
        <f>IF(MOD(COUNT($E$10:E1301),3)=0,E1301+1,E1301)</f>
        <v>431</v>
      </c>
      <c r="F1302" s="208">
        <f>IF(MOD(COUNT($F$10:F1301),1)=0,F1301+1,F1301)</f>
        <v>1293</v>
      </c>
      <c r="G1302" s="204">
        <f>IFERROR(IF(C1302=1,VLOOKUP(A1302,Output!$A$27:$AB$137,28,FALSE)/AnnuityMode,0),0)</f>
        <v>0</v>
      </c>
      <c r="H1302" s="220">
        <f>IFERROR(IF(AND(MIN(A1302&gt;25,Age+A1302&gt;=85),B1302=12),VLOOKUP(A1302,Output!$A$27:$AE$137,31,FALSE),0),0)</f>
        <v>0</v>
      </c>
      <c r="I1302" s="221">
        <f>IFERROR(IF(AND(MIN(A1302&gt;15,A1302+Age&gt;=70),C1302=1),VLOOKUP(A1302,Output!$A$27:$AF$137,32,FALSE)*VLOOKUP('SV calc_ignore'!A1302,Output!$A$27:$AG$137,33,FALSE)/IF(AnnuityMode=2,2,IF(AnnuityMode=4,4,IF(AnnuityMode=12,12,1))),0),0)</f>
        <v>0</v>
      </c>
      <c r="J1302" s="227">
        <f t="shared" si="244"/>
        <v>0</v>
      </c>
      <c r="K1302" s="213">
        <f t="shared" si="251"/>
        <v>0</v>
      </c>
      <c r="L1302" s="209">
        <f t="shared" si="245"/>
        <v>0</v>
      </c>
      <c r="M1302" s="214">
        <f t="shared" si="246"/>
        <v>0</v>
      </c>
      <c r="N1302" s="211">
        <f t="shared" si="247"/>
        <v>0</v>
      </c>
      <c r="O1302" s="194">
        <f t="shared" si="248"/>
        <v>0</v>
      </c>
      <c r="P1302" s="212">
        <f t="shared" si="249"/>
        <v>0</v>
      </c>
      <c r="Q1302">
        <f t="shared" si="241"/>
        <v>0</v>
      </c>
      <c r="X1302" s="216">
        <f t="shared" si="252"/>
        <v>107</v>
      </c>
      <c r="Y1302">
        <f t="shared" si="250"/>
        <v>0</v>
      </c>
    </row>
    <row r="1303" spans="1:25" ht="13.5" thickBot="1" x14ac:dyDescent="0.25">
      <c r="A1303" s="204">
        <f>IF(MOD(COUNT($A$10:A1302),12)=0,A1302+1,A1302)</f>
        <v>108</v>
      </c>
      <c r="B1303" s="218">
        <f t="shared" si="242"/>
        <v>10</v>
      </c>
      <c r="C1303" s="218">
        <f t="shared" si="243"/>
        <v>1</v>
      </c>
      <c r="D1303" s="208">
        <f>IF(MOD(COUNT($D$10:D1302),6)=0,D1302+1,D1302)</f>
        <v>216</v>
      </c>
      <c r="E1303" s="208">
        <f>IF(MOD(COUNT($E$10:E1302),3)=0,E1302+1,E1302)</f>
        <v>432</v>
      </c>
      <c r="F1303" s="208">
        <f>IF(MOD(COUNT($F$10:F1302),1)=0,F1302+1,F1302)</f>
        <v>1294</v>
      </c>
      <c r="G1303" s="204">
        <f>IFERROR(IF(C1303=1,VLOOKUP(A1303,Output!$A$27:$AB$137,28,FALSE)/AnnuityMode,0),0)</f>
        <v>0</v>
      </c>
      <c r="H1303" s="220">
        <f>IFERROR(IF(AND(MIN(A1303&gt;25,Age+A1303&gt;=85),B1303=12),VLOOKUP(A1303,Output!$A$27:$AE$137,31,FALSE),0),0)</f>
        <v>0</v>
      </c>
      <c r="I1303" s="221">
        <f>IFERROR(IF(AND(MIN(A1303&gt;15,A1303+Age&gt;=70),C1303=1),VLOOKUP(A1303,Output!$A$27:$AF$137,32,FALSE)*VLOOKUP('SV calc_ignore'!A1303,Output!$A$27:$AG$137,33,FALSE)/IF(AnnuityMode=2,2,IF(AnnuityMode=4,4,IF(AnnuityMode=12,12,1))),0),0)</f>
        <v>0</v>
      </c>
      <c r="J1303" s="227">
        <f t="shared" si="244"/>
        <v>0</v>
      </c>
      <c r="K1303" s="213">
        <f t="shared" si="251"/>
        <v>0</v>
      </c>
      <c r="L1303" s="209">
        <f t="shared" si="245"/>
        <v>0</v>
      </c>
      <c r="M1303" s="214">
        <f t="shared" si="246"/>
        <v>0</v>
      </c>
      <c r="N1303" s="211">
        <f t="shared" si="247"/>
        <v>0</v>
      </c>
      <c r="O1303" s="194">
        <f t="shared" si="248"/>
        <v>0</v>
      </c>
      <c r="P1303" s="212">
        <f t="shared" si="249"/>
        <v>0</v>
      </c>
      <c r="Q1303">
        <f t="shared" si="241"/>
        <v>0</v>
      </c>
      <c r="X1303" s="216">
        <f t="shared" si="252"/>
        <v>107</v>
      </c>
      <c r="Y1303">
        <f t="shared" si="250"/>
        <v>0</v>
      </c>
    </row>
    <row r="1304" spans="1:25" ht="13.5" thickBot="1" x14ac:dyDescent="0.25">
      <c r="A1304" s="204">
        <f>IF(MOD(COUNT($A$10:A1303),12)=0,A1303+1,A1303)</f>
        <v>108</v>
      </c>
      <c r="B1304" s="218">
        <f t="shared" si="242"/>
        <v>11</v>
      </c>
      <c r="C1304" s="218">
        <f t="shared" si="243"/>
        <v>1</v>
      </c>
      <c r="D1304" s="208">
        <f>IF(MOD(COUNT($D$10:D1303),6)=0,D1303+1,D1303)</f>
        <v>216</v>
      </c>
      <c r="E1304" s="208">
        <f>IF(MOD(COUNT($E$10:E1303),3)=0,E1303+1,E1303)</f>
        <v>432</v>
      </c>
      <c r="F1304" s="208">
        <f>IF(MOD(COUNT($F$10:F1303),1)=0,F1303+1,F1303)</f>
        <v>1295</v>
      </c>
      <c r="G1304" s="204">
        <f>IFERROR(IF(C1304=1,VLOOKUP(A1304,Output!$A$27:$AB$137,28,FALSE)/AnnuityMode,0),0)</f>
        <v>0</v>
      </c>
      <c r="H1304" s="220">
        <f>IFERROR(IF(AND(MIN(A1304&gt;25,Age+A1304&gt;=85),B1304=12),VLOOKUP(A1304,Output!$A$27:$AE$137,31,FALSE),0),0)</f>
        <v>0</v>
      </c>
      <c r="I1304" s="221">
        <f>IFERROR(IF(AND(MIN(A1304&gt;15,A1304+Age&gt;=70),C1304=1),VLOOKUP(A1304,Output!$A$27:$AF$137,32,FALSE)*VLOOKUP('SV calc_ignore'!A1304,Output!$A$27:$AG$137,33,FALSE)/IF(AnnuityMode=2,2,IF(AnnuityMode=4,4,IF(AnnuityMode=12,12,1))),0),0)</f>
        <v>0</v>
      </c>
      <c r="J1304" s="227">
        <f t="shared" si="244"/>
        <v>0</v>
      </c>
      <c r="K1304" s="213">
        <f t="shared" si="251"/>
        <v>0</v>
      </c>
      <c r="L1304" s="209">
        <f t="shared" si="245"/>
        <v>0</v>
      </c>
      <c r="M1304" s="214">
        <f t="shared" si="246"/>
        <v>0</v>
      </c>
      <c r="N1304" s="211">
        <f t="shared" si="247"/>
        <v>0</v>
      </c>
      <c r="O1304" s="194">
        <f t="shared" si="248"/>
        <v>0</v>
      </c>
      <c r="P1304" s="212">
        <f t="shared" si="249"/>
        <v>0</v>
      </c>
      <c r="Q1304">
        <f t="shared" si="241"/>
        <v>0</v>
      </c>
      <c r="X1304" s="216">
        <f t="shared" si="252"/>
        <v>107</v>
      </c>
      <c r="Y1304">
        <f t="shared" si="250"/>
        <v>0</v>
      </c>
    </row>
    <row r="1305" spans="1:25" ht="13.5" thickBot="1" x14ac:dyDescent="0.25">
      <c r="A1305" s="204">
        <f>IF(MOD(COUNT($A$10:A1304),12)=0,A1304+1,A1304)</f>
        <v>108</v>
      </c>
      <c r="B1305" s="218">
        <f t="shared" si="242"/>
        <v>12</v>
      </c>
      <c r="C1305" s="218">
        <f t="shared" si="243"/>
        <v>1</v>
      </c>
      <c r="D1305" s="208">
        <f>IF(MOD(COUNT($D$10:D1304),6)=0,D1304+1,D1304)</f>
        <v>216</v>
      </c>
      <c r="E1305" s="208">
        <f>IF(MOD(COUNT($E$10:E1304),3)=0,E1304+1,E1304)</f>
        <v>432</v>
      </c>
      <c r="F1305" s="208">
        <f>IF(MOD(COUNT($F$10:F1304),1)=0,F1304+1,F1304)</f>
        <v>1296</v>
      </c>
      <c r="G1305" s="204">
        <f>IFERROR(IF(C1305=1,VLOOKUP(A1305,Output!$A$27:$AB$137,28,FALSE)/AnnuityMode,0),0)</f>
        <v>0</v>
      </c>
      <c r="H1305" s="220">
        <f>IFERROR(IF(AND(MIN(A1305&gt;25,Age+A1305&gt;=85),B1305=12),VLOOKUP(A1305,Output!$A$27:$AE$137,31,FALSE),0),0)</f>
        <v>0</v>
      </c>
      <c r="I1305" s="221">
        <f>IFERROR(IF(AND(MIN(A1305&gt;15,A1305+Age&gt;=70),C1305=1),VLOOKUP(A1305,Output!$A$27:$AF$137,32,FALSE)*VLOOKUP('SV calc_ignore'!A1305,Output!$A$27:$AG$137,33,FALSE)/IF(AnnuityMode=2,2,IF(AnnuityMode=4,4,IF(AnnuityMode=12,12,1))),0),0)</f>
        <v>0</v>
      </c>
      <c r="J1305" s="227">
        <f t="shared" si="244"/>
        <v>0</v>
      </c>
      <c r="K1305" s="213">
        <f t="shared" si="251"/>
        <v>0</v>
      </c>
      <c r="L1305" s="209">
        <f t="shared" si="245"/>
        <v>0</v>
      </c>
      <c r="M1305" s="214">
        <f t="shared" si="246"/>
        <v>0</v>
      </c>
      <c r="N1305" s="211">
        <f t="shared" si="247"/>
        <v>0</v>
      </c>
      <c r="O1305" s="194">
        <f t="shared" si="248"/>
        <v>0</v>
      </c>
      <c r="P1305" s="212">
        <f t="shared" si="249"/>
        <v>0</v>
      </c>
      <c r="Q1305">
        <f t="shared" si="241"/>
        <v>0</v>
      </c>
      <c r="X1305" s="216">
        <f t="shared" si="252"/>
        <v>107</v>
      </c>
      <c r="Y1305">
        <f t="shared" si="250"/>
        <v>0</v>
      </c>
    </row>
    <row r="1306" spans="1:25" ht="13.5" thickBot="1" x14ac:dyDescent="0.25">
      <c r="A1306" s="204">
        <f>IF(MOD(COUNT($A$10:A1305),12)=0,A1305+1,A1305)</f>
        <v>109</v>
      </c>
      <c r="B1306" s="218">
        <f t="shared" si="242"/>
        <v>1</v>
      </c>
      <c r="C1306" s="218">
        <f t="shared" si="243"/>
        <v>1</v>
      </c>
      <c r="D1306" s="208">
        <f>IF(MOD(COUNT($D$10:D1305),6)=0,D1305+1,D1305)</f>
        <v>217</v>
      </c>
      <c r="E1306" s="208">
        <f>IF(MOD(COUNT($E$10:E1305),3)=0,E1305+1,E1305)</f>
        <v>433</v>
      </c>
      <c r="F1306" s="208">
        <f>IF(MOD(COUNT($F$10:F1305),1)=0,F1305+1,F1305)</f>
        <v>1297</v>
      </c>
      <c r="G1306" s="204">
        <f>IFERROR(IF(C1306=1,VLOOKUP(A1306,Output!$A$27:$AB$137,28,FALSE)/AnnuityMode,0),0)</f>
        <v>0</v>
      </c>
      <c r="H1306" s="220">
        <f>IFERROR(IF(AND(MIN(A1306&gt;25,Age+A1306&gt;=85),B1306=12),VLOOKUP(A1306,Output!$A$27:$AE$137,31,FALSE),0),0)</f>
        <v>0</v>
      </c>
      <c r="I1306" s="221">
        <f>IFERROR(IF(AND(MIN(A1306&gt;15,A1306+Age&gt;=70),C1306=1),VLOOKUP(A1306,Output!$A$27:$AF$137,32,FALSE)*VLOOKUP('SV calc_ignore'!A1306,Output!$A$27:$AG$137,33,FALSE)/IF(AnnuityMode=2,2,IF(AnnuityMode=4,4,IF(AnnuityMode=12,12,1))),0),0)</f>
        <v>0</v>
      </c>
      <c r="J1306" s="227">
        <f t="shared" si="244"/>
        <v>0</v>
      </c>
      <c r="K1306" s="213">
        <f t="shared" si="251"/>
        <v>0</v>
      </c>
      <c r="L1306" s="209">
        <f t="shared" si="245"/>
        <v>0</v>
      </c>
      <c r="M1306" s="214">
        <f t="shared" si="246"/>
        <v>0</v>
      </c>
      <c r="N1306" s="211">
        <f t="shared" si="247"/>
        <v>0</v>
      </c>
      <c r="O1306" s="194">
        <f t="shared" si="248"/>
        <v>0</v>
      </c>
      <c r="P1306" s="212">
        <f t="shared" si="249"/>
        <v>0</v>
      </c>
      <c r="Q1306">
        <f t="shared" si="241"/>
        <v>0</v>
      </c>
      <c r="X1306" s="216">
        <f t="shared" si="252"/>
        <v>108</v>
      </c>
      <c r="Y1306">
        <f t="shared" si="250"/>
        <v>0</v>
      </c>
    </row>
    <row r="1307" spans="1:25" ht="13.5" thickBot="1" x14ac:dyDescent="0.25">
      <c r="A1307" s="204">
        <f>IF(MOD(COUNT($A$10:A1306),12)=0,A1306+1,A1306)</f>
        <v>109</v>
      </c>
      <c r="B1307" s="218">
        <f t="shared" si="242"/>
        <v>2</v>
      </c>
      <c r="C1307" s="218">
        <f t="shared" si="243"/>
        <v>1</v>
      </c>
      <c r="D1307" s="208">
        <f>IF(MOD(COUNT($D$10:D1306),6)=0,D1306+1,D1306)</f>
        <v>217</v>
      </c>
      <c r="E1307" s="208">
        <f>IF(MOD(COUNT($E$10:E1306),3)=0,E1306+1,E1306)</f>
        <v>433</v>
      </c>
      <c r="F1307" s="208">
        <f>IF(MOD(COUNT($F$10:F1306),1)=0,F1306+1,F1306)</f>
        <v>1298</v>
      </c>
      <c r="G1307" s="204">
        <f>IFERROR(IF(C1307=1,VLOOKUP(A1307,Output!$A$27:$AB$137,28,FALSE)/AnnuityMode,0),0)</f>
        <v>0</v>
      </c>
      <c r="H1307" s="220">
        <f>IFERROR(IF(AND(MIN(A1307&gt;25,Age+A1307&gt;=85),B1307=12),VLOOKUP(A1307,Output!$A$27:$AE$137,31,FALSE),0),0)</f>
        <v>0</v>
      </c>
      <c r="I1307" s="221">
        <f>IFERROR(IF(AND(MIN(A1307&gt;15,A1307+Age&gt;=70),C1307=1),VLOOKUP(A1307,Output!$A$27:$AF$137,32,FALSE)*VLOOKUP('SV calc_ignore'!A1307,Output!$A$27:$AG$137,33,FALSE)/IF(AnnuityMode=2,2,IF(AnnuityMode=4,4,IF(AnnuityMode=12,12,1))),0),0)</f>
        <v>0</v>
      </c>
      <c r="J1307" s="227">
        <f t="shared" si="244"/>
        <v>0</v>
      </c>
      <c r="K1307" s="213">
        <f t="shared" si="251"/>
        <v>0</v>
      </c>
      <c r="L1307" s="209">
        <f t="shared" si="245"/>
        <v>0</v>
      </c>
      <c r="M1307" s="214">
        <f t="shared" si="246"/>
        <v>0</v>
      </c>
      <c r="N1307" s="211">
        <f t="shared" si="247"/>
        <v>0</v>
      </c>
      <c r="O1307" s="194">
        <f t="shared" si="248"/>
        <v>0</v>
      </c>
      <c r="P1307" s="212">
        <f t="shared" si="249"/>
        <v>0</v>
      </c>
      <c r="Q1307">
        <f t="shared" si="241"/>
        <v>0</v>
      </c>
      <c r="X1307" s="216">
        <f t="shared" si="252"/>
        <v>108</v>
      </c>
      <c r="Y1307">
        <f t="shared" si="250"/>
        <v>0</v>
      </c>
    </row>
    <row r="1308" spans="1:25" ht="13.5" thickBot="1" x14ac:dyDescent="0.25">
      <c r="A1308" s="204">
        <f>IF(MOD(COUNT($A$10:A1307),12)=0,A1307+1,A1307)</f>
        <v>109</v>
      </c>
      <c r="B1308" s="218">
        <f t="shared" si="242"/>
        <v>3</v>
      </c>
      <c r="C1308" s="218">
        <f t="shared" si="243"/>
        <v>1</v>
      </c>
      <c r="D1308" s="208">
        <f>IF(MOD(COUNT($D$10:D1307),6)=0,D1307+1,D1307)</f>
        <v>217</v>
      </c>
      <c r="E1308" s="208">
        <f>IF(MOD(COUNT($E$10:E1307),3)=0,E1307+1,E1307)</f>
        <v>433</v>
      </c>
      <c r="F1308" s="208">
        <f>IF(MOD(COUNT($F$10:F1307),1)=0,F1307+1,F1307)</f>
        <v>1299</v>
      </c>
      <c r="G1308" s="204">
        <f>IFERROR(IF(C1308=1,VLOOKUP(A1308,Output!$A$27:$AB$137,28,FALSE)/AnnuityMode,0),0)</f>
        <v>0</v>
      </c>
      <c r="H1308" s="220">
        <f>IFERROR(IF(AND(MIN(A1308&gt;25,Age+A1308&gt;=85),B1308=12),VLOOKUP(A1308,Output!$A$27:$AE$137,31,FALSE),0),0)</f>
        <v>0</v>
      </c>
      <c r="I1308" s="221">
        <f>IFERROR(IF(AND(MIN(A1308&gt;15,A1308+Age&gt;=70),C1308=1),VLOOKUP(A1308,Output!$A$27:$AF$137,32,FALSE)*VLOOKUP('SV calc_ignore'!A1308,Output!$A$27:$AG$137,33,FALSE)/IF(AnnuityMode=2,2,IF(AnnuityMode=4,4,IF(AnnuityMode=12,12,1))),0),0)</f>
        <v>0</v>
      </c>
      <c r="J1308" s="227">
        <f t="shared" si="244"/>
        <v>0</v>
      </c>
      <c r="K1308" s="213">
        <f t="shared" si="251"/>
        <v>0</v>
      </c>
      <c r="L1308" s="209">
        <f t="shared" si="245"/>
        <v>0</v>
      </c>
      <c r="M1308" s="214">
        <f t="shared" si="246"/>
        <v>0</v>
      </c>
      <c r="N1308" s="211">
        <f t="shared" si="247"/>
        <v>0</v>
      </c>
      <c r="O1308" s="194">
        <f t="shared" si="248"/>
        <v>0</v>
      </c>
      <c r="P1308" s="212">
        <f t="shared" si="249"/>
        <v>0</v>
      </c>
      <c r="Q1308">
        <f t="shared" si="241"/>
        <v>0</v>
      </c>
      <c r="X1308" s="216">
        <f t="shared" si="252"/>
        <v>108</v>
      </c>
      <c r="Y1308">
        <f t="shared" si="250"/>
        <v>0</v>
      </c>
    </row>
    <row r="1309" spans="1:25" ht="13.5" thickBot="1" x14ac:dyDescent="0.25">
      <c r="A1309" s="204">
        <f>IF(MOD(COUNT($A$10:A1308),12)=0,A1308+1,A1308)</f>
        <v>109</v>
      </c>
      <c r="B1309" s="218">
        <f t="shared" si="242"/>
        <v>4</v>
      </c>
      <c r="C1309" s="218">
        <f t="shared" si="243"/>
        <v>1</v>
      </c>
      <c r="D1309" s="208">
        <f>IF(MOD(COUNT($D$10:D1308),6)=0,D1308+1,D1308)</f>
        <v>217</v>
      </c>
      <c r="E1309" s="208">
        <f>IF(MOD(COUNT($E$10:E1308),3)=0,E1308+1,E1308)</f>
        <v>434</v>
      </c>
      <c r="F1309" s="208">
        <f>IF(MOD(COUNT($F$10:F1308),1)=0,F1308+1,F1308)</f>
        <v>1300</v>
      </c>
      <c r="G1309" s="204">
        <f>IFERROR(IF(C1309=1,VLOOKUP(A1309,Output!$A$27:$AB$137,28,FALSE)/AnnuityMode,0),0)</f>
        <v>0</v>
      </c>
      <c r="H1309" s="220">
        <f>IFERROR(IF(AND(MIN(A1309&gt;25,Age+A1309&gt;=85),B1309=12),VLOOKUP(A1309,Output!$A$27:$AE$137,31,FALSE),0),0)</f>
        <v>0</v>
      </c>
      <c r="I1309" s="221">
        <f>IFERROR(IF(AND(MIN(A1309&gt;15,A1309+Age&gt;=70),C1309=1),VLOOKUP(A1309,Output!$A$27:$AF$137,32,FALSE)*VLOOKUP('SV calc_ignore'!A1309,Output!$A$27:$AG$137,33,FALSE)/IF(AnnuityMode=2,2,IF(AnnuityMode=4,4,IF(AnnuityMode=12,12,1))),0),0)</f>
        <v>0</v>
      </c>
      <c r="J1309" s="227">
        <f t="shared" si="244"/>
        <v>0</v>
      </c>
      <c r="K1309" s="213">
        <f t="shared" si="251"/>
        <v>0</v>
      </c>
      <c r="L1309" s="209">
        <f t="shared" si="245"/>
        <v>0</v>
      </c>
      <c r="M1309" s="214">
        <f t="shared" si="246"/>
        <v>0</v>
      </c>
      <c r="N1309" s="211">
        <f t="shared" si="247"/>
        <v>0</v>
      </c>
      <c r="O1309" s="194">
        <f t="shared" si="248"/>
        <v>0</v>
      </c>
      <c r="P1309" s="212">
        <f t="shared" si="249"/>
        <v>0</v>
      </c>
      <c r="Q1309">
        <f t="shared" si="241"/>
        <v>0</v>
      </c>
      <c r="X1309" s="216">
        <f t="shared" si="252"/>
        <v>108</v>
      </c>
      <c r="Y1309">
        <f t="shared" si="250"/>
        <v>0</v>
      </c>
    </row>
    <row r="1310" spans="1:25" ht="13.5" thickBot="1" x14ac:dyDescent="0.25">
      <c r="A1310" s="204">
        <f>IF(MOD(COUNT($A$10:A1309),12)=0,A1309+1,A1309)</f>
        <v>109</v>
      </c>
      <c r="B1310" s="218">
        <f t="shared" si="242"/>
        <v>5</v>
      </c>
      <c r="C1310" s="218">
        <f t="shared" si="243"/>
        <v>1</v>
      </c>
      <c r="D1310" s="208">
        <f>IF(MOD(COUNT($D$10:D1309),6)=0,D1309+1,D1309)</f>
        <v>217</v>
      </c>
      <c r="E1310" s="208">
        <f>IF(MOD(COUNT($E$10:E1309),3)=0,E1309+1,E1309)</f>
        <v>434</v>
      </c>
      <c r="F1310" s="208">
        <f>IF(MOD(COUNT($F$10:F1309),1)=0,F1309+1,F1309)</f>
        <v>1301</v>
      </c>
      <c r="G1310" s="204">
        <f>IFERROR(IF(C1310=1,VLOOKUP(A1310,Output!$A$27:$AB$137,28,FALSE)/AnnuityMode,0),0)</f>
        <v>0</v>
      </c>
      <c r="H1310" s="220">
        <f>IFERROR(IF(AND(MIN(A1310&gt;25,Age+A1310&gt;=85),B1310=12),VLOOKUP(A1310,Output!$A$27:$AE$137,31,FALSE),0),0)</f>
        <v>0</v>
      </c>
      <c r="I1310" s="221">
        <f>IFERROR(IF(AND(MIN(A1310&gt;15,A1310+Age&gt;=70),C1310=1),VLOOKUP(A1310,Output!$A$27:$AF$137,32,FALSE)*VLOOKUP('SV calc_ignore'!A1310,Output!$A$27:$AG$137,33,FALSE)/IF(AnnuityMode=2,2,IF(AnnuityMode=4,4,IF(AnnuityMode=12,12,1))),0),0)</f>
        <v>0</v>
      </c>
      <c r="J1310" s="227">
        <f t="shared" si="244"/>
        <v>0</v>
      </c>
      <c r="K1310" s="213">
        <f t="shared" si="251"/>
        <v>0</v>
      </c>
      <c r="L1310" s="209">
        <f t="shared" si="245"/>
        <v>0</v>
      </c>
      <c r="M1310" s="214">
        <f t="shared" si="246"/>
        <v>0</v>
      </c>
      <c r="N1310" s="211">
        <f t="shared" si="247"/>
        <v>0</v>
      </c>
      <c r="O1310" s="194">
        <f t="shared" si="248"/>
        <v>0</v>
      </c>
      <c r="P1310" s="212">
        <f t="shared" si="249"/>
        <v>0</v>
      </c>
      <c r="Q1310">
        <f t="shared" si="241"/>
        <v>0</v>
      </c>
      <c r="X1310" s="216">
        <f t="shared" si="252"/>
        <v>108</v>
      </c>
      <c r="Y1310">
        <f t="shared" si="250"/>
        <v>0</v>
      </c>
    </row>
    <row r="1311" spans="1:25" ht="13.5" thickBot="1" x14ac:dyDescent="0.25">
      <c r="A1311" s="204">
        <f>IF(MOD(COUNT($A$10:A1310),12)=0,A1310+1,A1310)</f>
        <v>109</v>
      </c>
      <c r="B1311" s="218">
        <f t="shared" si="242"/>
        <v>6</v>
      </c>
      <c r="C1311" s="218">
        <f t="shared" si="243"/>
        <v>1</v>
      </c>
      <c r="D1311" s="208">
        <f>IF(MOD(COUNT($D$10:D1310),6)=0,D1310+1,D1310)</f>
        <v>217</v>
      </c>
      <c r="E1311" s="208">
        <f>IF(MOD(COUNT($E$10:E1310),3)=0,E1310+1,E1310)</f>
        <v>434</v>
      </c>
      <c r="F1311" s="208">
        <f>IF(MOD(COUNT($F$10:F1310),1)=0,F1310+1,F1310)</f>
        <v>1302</v>
      </c>
      <c r="G1311" s="204">
        <f>IFERROR(IF(C1311=1,VLOOKUP(A1311,Output!$A$27:$AB$137,28,FALSE)/AnnuityMode,0),0)</f>
        <v>0</v>
      </c>
      <c r="H1311" s="220">
        <f>IFERROR(IF(AND(MIN(A1311&gt;25,Age+A1311&gt;=85),B1311=12),VLOOKUP(A1311,Output!$A$27:$AE$137,31,FALSE),0),0)</f>
        <v>0</v>
      </c>
      <c r="I1311" s="221">
        <f>IFERROR(IF(AND(MIN(A1311&gt;15,A1311+Age&gt;=70),C1311=1),VLOOKUP(A1311,Output!$A$27:$AF$137,32,FALSE)*VLOOKUP('SV calc_ignore'!A1311,Output!$A$27:$AG$137,33,FALSE)/IF(AnnuityMode=2,2,IF(AnnuityMode=4,4,IF(AnnuityMode=12,12,1))),0),0)</f>
        <v>0</v>
      </c>
      <c r="J1311" s="227">
        <f t="shared" si="244"/>
        <v>0</v>
      </c>
      <c r="K1311" s="213">
        <f t="shared" si="251"/>
        <v>0</v>
      </c>
      <c r="L1311" s="209">
        <f t="shared" si="245"/>
        <v>0</v>
      </c>
      <c r="M1311" s="214">
        <f t="shared" si="246"/>
        <v>0</v>
      </c>
      <c r="N1311" s="211">
        <f t="shared" si="247"/>
        <v>0</v>
      </c>
      <c r="O1311" s="194">
        <f t="shared" si="248"/>
        <v>0</v>
      </c>
      <c r="P1311" s="212">
        <f t="shared" si="249"/>
        <v>0</v>
      </c>
      <c r="Q1311">
        <f t="shared" si="241"/>
        <v>0</v>
      </c>
      <c r="X1311" s="216">
        <f t="shared" si="252"/>
        <v>108</v>
      </c>
      <c r="Y1311">
        <f t="shared" si="250"/>
        <v>0</v>
      </c>
    </row>
    <row r="1312" spans="1:25" ht="13.5" thickBot="1" x14ac:dyDescent="0.25">
      <c r="A1312" s="204">
        <f>IF(MOD(COUNT($A$10:A1311),12)=0,A1311+1,A1311)</f>
        <v>109</v>
      </c>
      <c r="B1312" s="218">
        <f t="shared" si="242"/>
        <v>7</v>
      </c>
      <c r="C1312" s="218">
        <f t="shared" si="243"/>
        <v>1</v>
      </c>
      <c r="D1312" s="208">
        <f>IF(MOD(COUNT($D$10:D1311),6)=0,D1311+1,D1311)</f>
        <v>218</v>
      </c>
      <c r="E1312" s="208">
        <f>IF(MOD(COUNT($E$10:E1311),3)=0,E1311+1,E1311)</f>
        <v>435</v>
      </c>
      <c r="F1312" s="208">
        <f>IF(MOD(COUNT($F$10:F1311),1)=0,F1311+1,F1311)</f>
        <v>1303</v>
      </c>
      <c r="G1312" s="204">
        <f>IFERROR(IF(C1312=1,VLOOKUP(A1312,Output!$A$27:$AB$137,28,FALSE)/AnnuityMode,0),0)</f>
        <v>0</v>
      </c>
      <c r="H1312" s="220">
        <f>IFERROR(IF(AND(MIN(A1312&gt;25,Age+A1312&gt;=85),B1312=12),VLOOKUP(A1312,Output!$A$27:$AE$137,31,FALSE),0),0)</f>
        <v>0</v>
      </c>
      <c r="I1312" s="221">
        <f>IFERROR(IF(AND(MIN(A1312&gt;15,A1312+Age&gt;=70),C1312=1),VLOOKUP(A1312,Output!$A$27:$AF$137,32,FALSE)*VLOOKUP('SV calc_ignore'!A1312,Output!$A$27:$AG$137,33,FALSE)/IF(AnnuityMode=2,2,IF(AnnuityMode=4,4,IF(AnnuityMode=12,12,1))),0),0)</f>
        <v>0</v>
      </c>
      <c r="J1312" s="227">
        <f t="shared" si="244"/>
        <v>0</v>
      </c>
      <c r="K1312" s="213">
        <f t="shared" si="251"/>
        <v>0</v>
      </c>
      <c r="L1312" s="209">
        <f t="shared" si="245"/>
        <v>0</v>
      </c>
      <c r="M1312" s="214">
        <f t="shared" si="246"/>
        <v>0</v>
      </c>
      <c r="N1312" s="211">
        <f t="shared" si="247"/>
        <v>0</v>
      </c>
      <c r="O1312" s="194">
        <f t="shared" si="248"/>
        <v>0</v>
      </c>
      <c r="P1312" s="212">
        <f t="shared" si="249"/>
        <v>0</v>
      </c>
      <c r="Q1312">
        <f t="shared" si="241"/>
        <v>0</v>
      </c>
      <c r="X1312" s="216">
        <f t="shared" si="252"/>
        <v>108</v>
      </c>
      <c r="Y1312">
        <f t="shared" si="250"/>
        <v>0</v>
      </c>
    </row>
    <row r="1313" spans="1:25" ht="13.5" thickBot="1" x14ac:dyDescent="0.25">
      <c r="A1313" s="204">
        <f>IF(MOD(COUNT($A$10:A1312),12)=0,A1312+1,A1312)</f>
        <v>109</v>
      </c>
      <c r="B1313" s="218">
        <f t="shared" si="242"/>
        <v>8</v>
      </c>
      <c r="C1313" s="218">
        <f t="shared" si="243"/>
        <v>1</v>
      </c>
      <c r="D1313" s="208">
        <f>IF(MOD(COUNT($D$10:D1312),6)=0,D1312+1,D1312)</f>
        <v>218</v>
      </c>
      <c r="E1313" s="208">
        <f>IF(MOD(COUNT($E$10:E1312),3)=0,E1312+1,E1312)</f>
        <v>435</v>
      </c>
      <c r="F1313" s="208">
        <f>IF(MOD(COUNT($F$10:F1312),1)=0,F1312+1,F1312)</f>
        <v>1304</v>
      </c>
      <c r="G1313" s="204">
        <f>IFERROR(IF(C1313=1,VLOOKUP(A1313,Output!$A$27:$AB$137,28,FALSE)/AnnuityMode,0),0)</f>
        <v>0</v>
      </c>
      <c r="H1313" s="220">
        <f>IFERROR(IF(AND(MIN(A1313&gt;25,Age+A1313&gt;=85),B1313=12),VLOOKUP(A1313,Output!$A$27:$AE$137,31,FALSE),0),0)</f>
        <v>0</v>
      </c>
      <c r="I1313" s="221">
        <f>IFERROR(IF(AND(MIN(A1313&gt;15,A1313+Age&gt;=70),C1313=1),VLOOKUP(A1313,Output!$A$27:$AF$137,32,FALSE)*VLOOKUP('SV calc_ignore'!A1313,Output!$A$27:$AG$137,33,FALSE)/IF(AnnuityMode=2,2,IF(AnnuityMode=4,4,IF(AnnuityMode=12,12,1))),0),0)</f>
        <v>0</v>
      </c>
      <c r="J1313" s="227">
        <f t="shared" si="244"/>
        <v>0</v>
      </c>
      <c r="K1313" s="213">
        <f t="shared" si="251"/>
        <v>0</v>
      </c>
      <c r="L1313" s="209">
        <f t="shared" si="245"/>
        <v>0</v>
      </c>
      <c r="M1313" s="214">
        <f t="shared" si="246"/>
        <v>0</v>
      </c>
      <c r="N1313" s="211">
        <f t="shared" si="247"/>
        <v>0</v>
      </c>
      <c r="O1313" s="194">
        <f t="shared" si="248"/>
        <v>0</v>
      </c>
      <c r="P1313" s="212">
        <f t="shared" si="249"/>
        <v>0</v>
      </c>
      <c r="Q1313">
        <f t="shared" si="241"/>
        <v>0</v>
      </c>
      <c r="X1313" s="216">
        <f t="shared" si="252"/>
        <v>108</v>
      </c>
      <c r="Y1313">
        <f t="shared" si="250"/>
        <v>0</v>
      </c>
    </row>
    <row r="1314" spans="1:25" ht="13.5" thickBot="1" x14ac:dyDescent="0.25">
      <c r="A1314" s="204">
        <f>IF(MOD(COUNT($A$10:A1313),12)=0,A1313+1,A1313)</f>
        <v>109</v>
      </c>
      <c r="B1314" s="218">
        <f t="shared" si="242"/>
        <v>9</v>
      </c>
      <c r="C1314" s="218">
        <f t="shared" si="243"/>
        <v>1</v>
      </c>
      <c r="D1314" s="208">
        <f>IF(MOD(COUNT($D$10:D1313),6)=0,D1313+1,D1313)</f>
        <v>218</v>
      </c>
      <c r="E1314" s="208">
        <f>IF(MOD(COUNT($E$10:E1313),3)=0,E1313+1,E1313)</f>
        <v>435</v>
      </c>
      <c r="F1314" s="208">
        <f>IF(MOD(COUNT($F$10:F1313),1)=0,F1313+1,F1313)</f>
        <v>1305</v>
      </c>
      <c r="G1314" s="204">
        <f>IFERROR(IF(C1314=1,VLOOKUP(A1314,Output!$A$27:$AB$137,28,FALSE)/AnnuityMode,0),0)</f>
        <v>0</v>
      </c>
      <c r="H1314" s="220">
        <f>IFERROR(IF(AND(MIN(A1314&gt;25,Age+A1314&gt;=85),B1314=12),VLOOKUP(A1314,Output!$A$27:$AE$137,31,FALSE),0),0)</f>
        <v>0</v>
      </c>
      <c r="I1314" s="221">
        <f>IFERROR(IF(AND(MIN(A1314&gt;15,A1314+Age&gt;=70),C1314=1),VLOOKUP(A1314,Output!$A$27:$AF$137,32,FALSE)*VLOOKUP('SV calc_ignore'!A1314,Output!$A$27:$AG$137,33,FALSE)/IF(AnnuityMode=2,2,IF(AnnuityMode=4,4,IF(AnnuityMode=12,12,1))),0),0)</f>
        <v>0</v>
      </c>
      <c r="J1314" s="227">
        <f t="shared" si="244"/>
        <v>0</v>
      </c>
      <c r="K1314" s="213">
        <f t="shared" si="251"/>
        <v>0</v>
      </c>
      <c r="L1314" s="209">
        <f t="shared" si="245"/>
        <v>0</v>
      </c>
      <c r="M1314" s="214">
        <f t="shared" si="246"/>
        <v>0</v>
      </c>
      <c r="N1314" s="211">
        <f t="shared" si="247"/>
        <v>0</v>
      </c>
      <c r="O1314" s="194">
        <f t="shared" si="248"/>
        <v>0</v>
      </c>
      <c r="P1314" s="212">
        <f t="shared" si="249"/>
        <v>0</v>
      </c>
      <c r="Q1314">
        <f t="shared" si="241"/>
        <v>0</v>
      </c>
      <c r="X1314" s="216">
        <f t="shared" si="252"/>
        <v>108</v>
      </c>
      <c r="Y1314">
        <f t="shared" si="250"/>
        <v>0</v>
      </c>
    </row>
    <row r="1315" spans="1:25" ht="13.5" thickBot="1" x14ac:dyDescent="0.25">
      <c r="A1315" s="204">
        <f>IF(MOD(COUNT($A$10:A1314),12)=0,A1314+1,A1314)</f>
        <v>109</v>
      </c>
      <c r="B1315" s="218">
        <f t="shared" si="242"/>
        <v>10</v>
      </c>
      <c r="C1315" s="218">
        <f t="shared" si="243"/>
        <v>1</v>
      </c>
      <c r="D1315" s="208">
        <f>IF(MOD(COUNT($D$10:D1314),6)=0,D1314+1,D1314)</f>
        <v>218</v>
      </c>
      <c r="E1315" s="208">
        <f>IF(MOD(COUNT($E$10:E1314),3)=0,E1314+1,E1314)</f>
        <v>436</v>
      </c>
      <c r="F1315" s="208">
        <f>IF(MOD(COUNT($F$10:F1314),1)=0,F1314+1,F1314)</f>
        <v>1306</v>
      </c>
      <c r="G1315" s="204">
        <f>IFERROR(IF(C1315=1,VLOOKUP(A1315,Output!$A$27:$AB$137,28,FALSE)/AnnuityMode,0),0)</f>
        <v>0</v>
      </c>
      <c r="H1315" s="220">
        <f>IFERROR(IF(AND(MIN(A1315&gt;25,Age+A1315&gt;=85),B1315=12),VLOOKUP(A1315,Output!$A$27:$AE$137,31,FALSE),0),0)</f>
        <v>0</v>
      </c>
      <c r="I1315" s="221">
        <f>IFERROR(IF(AND(MIN(A1315&gt;15,A1315+Age&gt;=70),C1315=1),VLOOKUP(A1315,Output!$A$27:$AF$137,32,FALSE)*VLOOKUP('SV calc_ignore'!A1315,Output!$A$27:$AG$137,33,FALSE)/IF(AnnuityMode=2,2,IF(AnnuityMode=4,4,IF(AnnuityMode=12,12,1))),0),0)</f>
        <v>0</v>
      </c>
      <c r="J1315" s="227">
        <f t="shared" si="244"/>
        <v>0</v>
      </c>
      <c r="K1315" s="213">
        <f t="shared" si="251"/>
        <v>0</v>
      </c>
      <c r="L1315" s="209">
        <f t="shared" si="245"/>
        <v>0</v>
      </c>
      <c r="M1315" s="214">
        <f t="shared" si="246"/>
        <v>0</v>
      </c>
      <c r="N1315" s="211">
        <f t="shared" si="247"/>
        <v>0</v>
      </c>
      <c r="O1315" s="194">
        <f t="shared" si="248"/>
        <v>0</v>
      </c>
      <c r="P1315" s="212">
        <f t="shared" si="249"/>
        <v>0</v>
      </c>
      <c r="Q1315">
        <f t="shared" si="241"/>
        <v>0</v>
      </c>
      <c r="X1315" s="216">
        <f t="shared" si="252"/>
        <v>108</v>
      </c>
      <c r="Y1315">
        <f t="shared" si="250"/>
        <v>0</v>
      </c>
    </row>
    <row r="1316" spans="1:25" ht="13.5" thickBot="1" x14ac:dyDescent="0.25">
      <c r="A1316" s="204">
        <f>IF(MOD(COUNT($A$10:A1315),12)=0,A1315+1,A1315)</f>
        <v>109</v>
      </c>
      <c r="B1316" s="218">
        <f t="shared" si="242"/>
        <v>11</v>
      </c>
      <c r="C1316" s="218">
        <f t="shared" si="243"/>
        <v>1</v>
      </c>
      <c r="D1316" s="208">
        <f>IF(MOD(COUNT($D$10:D1315),6)=0,D1315+1,D1315)</f>
        <v>218</v>
      </c>
      <c r="E1316" s="208">
        <f>IF(MOD(COUNT($E$10:E1315),3)=0,E1315+1,E1315)</f>
        <v>436</v>
      </c>
      <c r="F1316" s="208">
        <f>IF(MOD(COUNT($F$10:F1315),1)=0,F1315+1,F1315)</f>
        <v>1307</v>
      </c>
      <c r="G1316" s="204">
        <f>IFERROR(IF(C1316=1,VLOOKUP(A1316,Output!$A$27:$AB$137,28,FALSE)/AnnuityMode,0),0)</f>
        <v>0</v>
      </c>
      <c r="H1316" s="220">
        <f>IFERROR(IF(AND(MIN(A1316&gt;25,Age+A1316&gt;=85),B1316=12),VLOOKUP(A1316,Output!$A$27:$AE$137,31,FALSE),0),0)</f>
        <v>0</v>
      </c>
      <c r="I1316" s="221">
        <f>IFERROR(IF(AND(MIN(A1316&gt;15,A1316+Age&gt;=70),C1316=1),VLOOKUP(A1316,Output!$A$27:$AF$137,32,FALSE)*VLOOKUP('SV calc_ignore'!A1316,Output!$A$27:$AG$137,33,FALSE)/IF(AnnuityMode=2,2,IF(AnnuityMode=4,4,IF(AnnuityMode=12,12,1))),0),0)</f>
        <v>0</v>
      </c>
      <c r="J1316" s="227">
        <f t="shared" si="244"/>
        <v>0</v>
      </c>
      <c r="K1316" s="213">
        <f t="shared" si="251"/>
        <v>0</v>
      </c>
      <c r="L1316" s="209">
        <f t="shared" si="245"/>
        <v>0</v>
      </c>
      <c r="M1316" s="214">
        <f t="shared" si="246"/>
        <v>0</v>
      </c>
      <c r="N1316" s="211">
        <f t="shared" si="247"/>
        <v>0</v>
      </c>
      <c r="O1316" s="194">
        <f t="shared" si="248"/>
        <v>0</v>
      </c>
      <c r="P1316" s="212">
        <f t="shared" si="249"/>
        <v>0</v>
      </c>
      <c r="Q1316">
        <f t="shared" si="241"/>
        <v>0</v>
      </c>
      <c r="X1316" s="216">
        <f t="shared" si="252"/>
        <v>108</v>
      </c>
      <c r="Y1316">
        <f t="shared" si="250"/>
        <v>0</v>
      </c>
    </row>
    <row r="1317" spans="1:25" ht="13.5" thickBot="1" x14ac:dyDescent="0.25">
      <c r="A1317" s="204">
        <f>IF(MOD(COUNT($A$10:A1316),12)=0,A1316+1,A1316)</f>
        <v>109</v>
      </c>
      <c r="B1317" s="218">
        <f t="shared" si="242"/>
        <v>12</v>
      </c>
      <c r="C1317" s="218">
        <f t="shared" si="243"/>
        <v>1</v>
      </c>
      <c r="D1317" s="208">
        <f>IF(MOD(COUNT($D$10:D1316),6)=0,D1316+1,D1316)</f>
        <v>218</v>
      </c>
      <c r="E1317" s="208">
        <f>IF(MOD(COUNT($E$10:E1316),3)=0,E1316+1,E1316)</f>
        <v>436</v>
      </c>
      <c r="F1317" s="208">
        <f>IF(MOD(COUNT($F$10:F1316),1)=0,F1316+1,F1316)</f>
        <v>1308</v>
      </c>
      <c r="G1317" s="204">
        <f>IFERROR(IF(C1317=1,VLOOKUP(A1317,Output!$A$27:$AB$137,28,FALSE)/AnnuityMode,0),0)</f>
        <v>0</v>
      </c>
      <c r="H1317" s="220">
        <f>IFERROR(IF(AND(MIN(A1317&gt;25,Age+A1317&gt;=85),B1317=12),VLOOKUP(A1317,Output!$A$27:$AE$137,31,FALSE),0),0)</f>
        <v>0</v>
      </c>
      <c r="I1317" s="221">
        <f>IFERROR(IF(AND(MIN(A1317&gt;15,A1317+Age&gt;=70),C1317=1),VLOOKUP(A1317,Output!$A$27:$AF$137,32,FALSE)*VLOOKUP('SV calc_ignore'!A1317,Output!$A$27:$AG$137,33,FALSE)/IF(AnnuityMode=2,2,IF(AnnuityMode=4,4,IF(AnnuityMode=12,12,1))),0),0)</f>
        <v>0</v>
      </c>
      <c r="J1317" s="227">
        <f t="shared" si="244"/>
        <v>0</v>
      </c>
      <c r="K1317" s="213">
        <f t="shared" si="251"/>
        <v>0</v>
      </c>
      <c r="L1317" s="209">
        <f t="shared" si="245"/>
        <v>0</v>
      </c>
      <c r="M1317" s="214">
        <f t="shared" si="246"/>
        <v>0</v>
      </c>
      <c r="N1317" s="211">
        <f t="shared" si="247"/>
        <v>0</v>
      </c>
      <c r="O1317" s="194">
        <f t="shared" si="248"/>
        <v>0</v>
      </c>
      <c r="P1317" s="212">
        <f t="shared" si="249"/>
        <v>0</v>
      </c>
      <c r="Q1317">
        <f t="shared" si="241"/>
        <v>0</v>
      </c>
      <c r="X1317" s="216">
        <f t="shared" si="252"/>
        <v>108</v>
      </c>
      <c r="Y1317">
        <f t="shared" si="250"/>
        <v>0</v>
      </c>
    </row>
    <row r="1318" spans="1:25" ht="13.5" thickBot="1" x14ac:dyDescent="0.25">
      <c r="A1318" s="204">
        <f>IF(MOD(COUNT($A$10:A1317),12)=0,A1317+1,A1317)</f>
        <v>110</v>
      </c>
      <c r="B1318" s="218">
        <f t="shared" si="242"/>
        <v>1</v>
      </c>
      <c r="C1318" s="218">
        <f t="shared" si="243"/>
        <v>1</v>
      </c>
      <c r="D1318" s="208">
        <f>IF(MOD(COUNT($D$10:D1317),6)=0,D1317+1,D1317)</f>
        <v>219</v>
      </c>
      <c r="E1318" s="208">
        <f>IF(MOD(COUNT($E$10:E1317),3)=0,E1317+1,E1317)</f>
        <v>437</v>
      </c>
      <c r="F1318" s="208">
        <f>IF(MOD(COUNT($F$10:F1317),1)=0,F1317+1,F1317)</f>
        <v>1309</v>
      </c>
      <c r="G1318" s="204">
        <f>IFERROR(IF(C1318=1,VLOOKUP(A1318,Output!$A$27:$AB$137,28,FALSE)/AnnuityMode,0),0)</f>
        <v>0</v>
      </c>
      <c r="H1318" s="220">
        <f>IFERROR(IF(AND(MIN(A1318&gt;25,Age+A1318&gt;=85),B1318=12),VLOOKUP(A1318,Output!$A$27:$AE$137,31,FALSE),0),0)</f>
        <v>0</v>
      </c>
      <c r="I1318" s="221">
        <f>IFERROR(IF(AND(MIN(A1318&gt;15,A1318+Age&gt;=70),C1318=1),VLOOKUP(A1318,Output!$A$27:$AF$137,32,FALSE)*VLOOKUP('SV calc_ignore'!A1318,Output!$A$27:$AG$137,33,FALSE)/IF(AnnuityMode=2,2,IF(AnnuityMode=4,4,IF(AnnuityMode=12,12,1))),0),0)</f>
        <v>0</v>
      </c>
      <c r="J1318" s="227">
        <f t="shared" si="244"/>
        <v>0</v>
      </c>
      <c r="K1318" s="213">
        <f t="shared" si="251"/>
        <v>0</v>
      </c>
      <c r="L1318" s="209">
        <f t="shared" si="245"/>
        <v>0</v>
      </c>
      <c r="M1318" s="214">
        <f t="shared" si="246"/>
        <v>0</v>
      </c>
      <c r="N1318" s="211">
        <f t="shared" si="247"/>
        <v>0</v>
      </c>
      <c r="O1318" s="194">
        <f t="shared" si="248"/>
        <v>0</v>
      </c>
      <c r="P1318" s="212">
        <f t="shared" si="249"/>
        <v>0</v>
      </c>
      <c r="Q1318">
        <f t="shared" si="241"/>
        <v>0</v>
      </c>
      <c r="X1318" s="216">
        <f t="shared" si="252"/>
        <v>109</v>
      </c>
      <c r="Y1318">
        <f t="shared" si="250"/>
        <v>0</v>
      </c>
    </row>
    <row r="1319" spans="1:25" ht="13.5" thickBot="1" x14ac:dyDescent="0.25">
      <c r="A1319" s="204">
        <f>IF(MOD(COUNT($A$10:A1318),12)=0,A1318+1,A1318)</f>
        <v>110</v>
      </c>
      <c r="B1319" s="218">
        <f t="shared" si="242"/>
        <v>2</v>
      </c>
      <c r="C1319" s="218">
        <f t="shared" si="243"/>
        <v>1</v>
      </c>
      <c r="D1319" s="208">
        <f>IF(MOD(COUNT($D$10:D1318),6)=0,D1318+1,D1318)</f>
        <v>219</v>
      </c>
      <c r="E1319" s="208">
        <f>IF(MOD(COUNT($E$10:E1318),3)=0,E1318+1,E1318)</f>
        <v>437</v>
      </c>
      <c r="F1319" s="208">
        <f>IF(MOD(COUNT($F$10:F1318),1)=0,F1318+1,F1318)</f>
        <v>1310</v>
      </c>
      <c r="G1319" s="204">
        <f>IFERROR(IF(C1319=1,VLOOKUP(A1319,Output!$A$27:$AB$137,28,FALSE)/AnnuityMode,0),0)</f>
        <v>0</v>
      </c>
      <c r="H1319" s="220">
        <f>IFERROR(IF(AND(MIN(A1319&gt;25,Age+A1319&gt;=85),B1319=12),VLOOKUP(A1319,Output!$A$27:$AE$137,31,FALSE),0),0)</f>
        <v>0</v>
      </c>
      <c r="I1319" s="221">
        <f>IFERROR(IF(AND(MIN(A1319&gt;15,A1319+Age&gt;=70),C1319=1),VLOOKUP(A1319,Output!$A$27:$AF$137,32,FALSE)*VLOOKUP('SV calc_ignore'!A1319,Output!$A$27:$AG$137,33,FALSE)/IF(AnnuityMode=2,2,IF(AnnuityMode=4,4,IF(AnnuityMode=12,12,1))),0),0)</f>
        <v>0</v>
      </c>
      <c r="J1319" s="227">
        <f t="shared" si="244"/>
        <v>0</v>
      </c>
      <c r="K1319" s="213">
        <f t="shared" si="251"/>
        <v>0</v>
      </c>
      <c r="L1319" s="209">
        <f t="shared" si="245"/>
        <v>0</v>
      </c>
      <c r="M1319" s="214">
        <f t="shared" si="246"/>
        <v>0</v>
      </c>
      <c r="N1319" s="211">
        <f t="shared" si="247"/>
        <v>0</v>
      </c>
      <c r="O1319" s="194">
        <f t="shared" si="248"/>
        <v>0</v>
      </c>
      <c r="P1319" s="212">
        <f t="shared" si="249"/>
        <v>0</v>
      </c>
      <c r="Q1319">
        <f t="shared" si="241"/>
        <v>0</v>
      </c>
      <c r="X1319" s="216">
        <f t="shared" si="252"/>
        <v>109</v>
      </c>
      <c r="Y1319">
        <f t="shared" si="250"/>
        <v>0</v>
      </c>
    </row>
    <row r="1320" spans="1:25" ht="13.5" thickBot="1" x14ac:dyDescent="0.25">
      <c r="A1320" s="204">
        <f>IF(MOD(COUNT($A$10:A1319),12)=0,A1319+1,A1319)</f>
        <v>110</v>
      </c>
      <c r="B1320" s="218">
        <f t="shared" si="242"/>
        <v>3</v>
      </c>
      <c r="C1320" s="218">
        <f t="shared" si="243"/>
        <v>1</v>
      </c>
      <c r="D1320" s="208">
        <f>IF(MOD(COUNT($D$10:D1319),6)=0,D1319+1,D1319)</f>
        <v>219</v>
      </c>
      <c r="E1320" s="208">
        <f>IF(MOD(COUNT($E$10:E1319),3)=0,E1319+1,E1319)</f>
        <v>437</v>
      </c>
      <c r="F1320" s="208">
        <f>IF(MOD(COUNT($F$10:F1319),1)=0,F1319+1,F1319)</f>
        <v>1311</v>
      </c>
      <c r="G1320" s="204">
        <f>IFERROR(IF(C1320=1,VLOOKUP(A1320,Output!$A$27:$AB$137,28,FALSE)/AnnuityMode,0),0)</f>
        <v>0</v>
      </c>
      <c r="H1320" s="220">
        <f>IFERROR(IF(AND(MIN(A1320&gt;25,Age+A1320&gt;=85),B1320=12),VLOOKUP(A1320,Output!$A$27:$AE$137,31,FALSE),0),0)</f>
        <v>0</v>
      </c>
      <c r="I1320" s="221">
        <f>IFERROR(IF(AND(MIN(A1320&gt;15,A1320+Age&gt;=70),C1320=1),VLOOKUP(A1320,Output!$A$27:$AF$137,32,FALSE)*VLOOKUP('SV calc_ignore'!A1320,Output!$A$27:$AG$137,33,FALSE)/IF(AnnuityMode=2,2,IF(AnnuityMode=4,4,IF(AnnuityMode=12,12,1))),0),0)</f>
        <v>0</v>
      </c>
      <c r="J1320" s="227">
        <f t="shared" si="244"/>
        <v>0</v>
      </c>
      <c r="K1320" s="213">
        <f t="shared" si="251"/>
        <v>0</v>
      </c>
      <c r="L1320" s="209">
        <f t="shared" si="245"/>
        <v>0</v>
      </c>
      <c r="M1320" s="214">
        <f t="shared" si="246"/>
        <v>0</v>
      </c>
      <c r="N1320" s="211">
        <f t="shared" si="247"/>
        <v>0</v>
      </c>
      <c r="O1320" s="194">
        <f t="shared" si="248"/>
        <v>0</v>
      </c>
      <c r="P1320" s="212">
        <f t="shared" si="249"/>
        <v>0</v>
      </c>
      <c r="Q1320">
        <f t="shared" si="241"/>
        <v>0</v>
      </c>
      <c r="X1320" s="216">
        <f t="shared" si="252"/>
        <v>109</v>
      </c>
      <c r="Y1320">
        <f t="shared" si="250"/>
        <v>0</v>
      </c>
    </row>
    <row r="1321" spans="1:25" ht="13.5" thickBot="1" x14ac:dyDescent="0.25">
      <c r="A1321" s="204">
        <f>IF(MOD(COUNT($A$10:A1320),12)=0,A1320+1,A1320)</f>
        <v>110</v>
      </c>
      <c r="B1321" s="218">
        <f t="shared" si="242"/>
        <v>4</v>
      </c>
      <c r="C1321" s="218">
        <f t="shared" si="243"/>
        <v>1</v>
      </c>
      <c r="D1321" s="208">
        <f>IF(MOD(COUNT($D$10:D1320),6)=0,D1320+1,D1320)</f>
        <v>219</v>
      </c>
      <c r="E1321" s="208">
        <f>IF(MOD(COUNT($E$10:E1320),3)=0,E1320+1,E1320)</f>
        <v>438</v>
      </c>
      <c r="F1321" s="208">
        <f>IF(MOD(COUNT($F$10:F1320),1)=0,F1320+1,F1320)</f>
        <v>1312</v>
      </c>
      <c r="G1321" s="204">
        <f>IFERROR(IF(C1321=1,VLOOKUP(A1321,Output!$A$27:$AB$137,28,FALSE)/AnnuityMode,0),0)</f>
        <v>0</v>
      </c>
      <c r="H1321" s="220">
        <f>IFERROR(IF(AND(MIN(A1321&gt;25,Age+A1321&gt;=85),B1321=12),VLOOKUP(A1321,Output!$A$27:$AE$137,31,FALSE),0),0)</f>
        <v>0</v>
      </c>
      <c r="I1321" s="221">
        <f>IFERROR(IF(AND(MIN(A1321&gt;15,A1321+Age&gt;=70),C1321=1),VLOOKUP(A1321,Output!$A$27:$AF$137,32,FALSE)*VLOOKUP('SV calc_ignore'!A1321,Output!$A$27:$AG$137,33,FALSE)/IF(AnnuityMode=2,2,IF(AnnuityMode=4,4,IF(AnnuityMode=12,12,1))),0),0)</f>
        <v>0</v>
      </c>
      <c r="J1321" s="227">
        <f t="shared" si="244"/>
        <v>0</v>
      </c>
      <c r="K1321" s="213">
        <f t="shared" si="251"/>
        <v>0</v>
      </c>
      <c r="L1321" s="209">
        <f t="shared" si="245"/>
        <v>0</v>
      </c>
      <c r="M1321" s="214">
        <f t="shared" si="246"/>
        <v>0</v>
      </c>
      <c r="N1321" s="211">
        <f t="shared" si="247"/>
        <v>0</v>
      </c>
      <c r="O1321" s="194">
        <f t="shared" si="248"/>
        <v>0</v>
      </c>
      <c r="P1321" s="212">
        <f t="shared" si="249"/>
        <v>0</v>
      </c>
      <c r="Q1321">
        <f t="shared" si="241"/>
        <v>0</v>
      </c>
      <c r="X1321" s="216">
        <f t="shared" si="252"/>
        <v>109</v>
      </c>
      <c r="Y1321">
        <f t="shared" si="250"/>
        <v>0</v>
      </c>
    </row>
    <row r="1322" spans="1:25" ht="13.5" thickBot="1" x14ac:dyDescent="0.25">
      <c r="A1322" s="204">
        <f>IF(MOD(COUNT($A$10:A1321),12)=0,A1321+1,A1321)</f>
        <v>110</v>
      </c>
      <c r="B1322" s="218">
        <f t="shared" si="242"/>
        <v>5</v>
      </c>
      <c r="C1322" s="218">
        <f t="shared" si="243"/>
        <v>1</v>
      </c>
      <c r="D1322" s="208">
        <f>IF(MOD(COUNT($D$10:D1321),6)=0,D1321+1,D1321)</f>
        <v>219</v>
      </c>
      <c r="E1322" s="208">
        <f>IF(MOD(COUNT($E$10:E1321),3)=0,E1321+1,E1321)</f>
        <v>438</v>
      </c>
      <c r="F1322" s="208">
        <f>IF(MOD(COUNT($F$10:F1321),1)=0,F1321+1,F1321)</f>
        <v>1313</v>
      </c>
      <c r="G1322" s="204">
        <f>IFERROR(IF(C1322=1,VLOOKUP(A1322,Output!$A$27:$AB$137,28,FALSE)/AnnuityMode,0),0)</f>
        <v>0</v>
      </c>
      <c r="H1322" s="220">
        <f>IFERROR(IF(AND(MIN(A1322&gt;25,Age+A1322&gt;=85),B1322=12),VLOOKUP(A1322,Output!$A$27:$AE$137,31,FALSE),0),0)</f>
        <v>0</v>
      </c>
      <c r="I1322" s="221">
        <f>IFERROR(IF(AND(MIN(A1322&gt;15,A1322+Age&gt;=70),C1322=1),VLOOKUP(A1322,Output!$A$27:$AF$137,32,FALSE)*VLOOKUP('SV calc_ignore'!A1322,Output!$A$27:$AG$137,33,FALSE)/IF(AnnuityMode=2,2,IF(AnnuityMode=4,4,IF(AnnuityMode=12,12,1))),0),0)</f>
        <v>0</v>
      </c>
      <c r="J1322" s="227">
        <f t="shared" si="244"/>
        <v>0</v>
      </c>
      <c r="K1322" s="213">
        <f t="shared" si="251"/>
        <v>0</v>
      </c>
      <c r="L1322" s="209">
        <f t="shared" si="245"/>
        <v>0</v>
      </c>
      <c r="M1322" s="214">
        <f t="shared" si="246"/>
        <v>0</v>
      </c>
      <c r="N1322" s="211">
        <f t="shared" si="247"/>
        <v>0</v>
      </c>
      <c r="O1322" s="194">
        <f t="shared" si="248"/>
        <v>0</v>
      </c>
      <c r="P1322" s="212">
        <f t="shared" si="249"/>
        <v>0</v>
      </c>
      <c r="Q1322">
        <f t="shared" ref="Q1322:Q1341" si="253">(I1322+(Q1323)*(1+$K$3)^(-1))*(A1322&lt;=$W$5)</f>
        <v>0</v>
      </c>
      <c r="X1322" s="216">
        <f t="shared" si="252"/>
        <v>109</v>
      </c>
      <c r="Y1322">
        <f t="shared" si="250"/>
        <v>0</v>
      </c>
    </row>
    <row r="1323" spans="1:25" ht="13.5" thickBot="1" x14ac:dyDescent="0.25">
      <c r="A1323" s="204">
        <f>IF(MOD(COUNT($A$10:A1322),12)=0,A1322+1,A1322)</f>
        <v>110</v>
      </c>
      <c r="B1323" s="218">
        <f t="shared" si="242"/>
        <v>6</v>
      </c>
      <c r="C1323" s="218">
        <f t="shared" si="243"/>
        <v>1</v>
      </c>
      <c r="D1323" s="208">
        <f>IF(MOD(COUNT($D$10:D1322),6)=0,D1322+1,D1322)</f>
        <v>219</v>
      </c>
      <c r="E1323" s="208">
        <f>IF(MOD(COUNT($E$10:E1322),3)=0,E1322+1,E1322)</f>
        <v>438</v>
      </c>
      <c r="F1323" s="208">
        <f>IF(MOD(COUNT($F$10:F1322),1)=0,F1322+1,F1322)</f>
        <v>1314</v>
      </c>
      <c r="G1323" s="204">
        <f>IFERROR(IF(C1323=1,VLOOKUP(A1323,Output!$A$27:$AB$137,28,FALSE)/AnnuityMode,0),0)</f>
        <v>0</v>
      </c>
      <c r="H1323" s="220">
        <f>IFERROR(IF(AND(MIN(A1323&gt;25,Age+A1323&gt;=85),B1323=12),VLOOKUP(A1323,Output!$A$27:$AE$137,31,FALSE),0),0)</f>
        <v>0</v>
      </c>
      <c r="I1323" s="221">
        <f>IFERROR(IF(AND(MIN(A1323&gt;15,A1323+Age&gt;=70),C1323=1),VLOOKUP(A1323,Output!$A$27:$AF$137,32,FALSE)*VLOOKUP('SV calc_ignore'!A1323,Output!$A$27:$AG$137,33,FALSE)/IF(AnnuityMode=2,2,IF(AnnuityMode=4,4,IF(AnnuityMode=12,12,1))),0),0)</f>
        <v>0</v>
      </c>
      <c r="J1323" s="227">
        <f t="shared" si="244"/>
        <v>0</v>
      </c>
      <c r="K1323" s="213">
        <f t="shared" si="251"/>
        <v>0</v>
      </c>
      <c r="L1323" s="209">
        <f t="shared" si="245"/>
        <v>0</v>
      </c>
      <c r="M1323" s="214">
        <f t="shared" si="246"/>
        <v>0</v>
      </c>
      <c r="N1323" s="211">
        <f t="shared" si="247"/>
        <v>0</v>
      </c>
      <c r="O1323" s="194">
        <f t="shared" si="248"/>
        <v>0</v>
      </c>
      <c r="P1323" s="212">
        <f t="shared" si="249"/>
        <v>0</v>
      </c>
      <c r="Q1323">
        <f t="shared" si="253"/>
        <v>0</v>
      </c>
      <c r="X1323" s="216">
        <f t="shared" si="252"/>
        <v>109</v>
      </c>
      <c r="Y1323">
        <f t="shared" si="250"/>
        <v>0</v>
      </c>
    </row>
    <row r="1324" spans="1:25" ht="13.5" thickBot="1" x14ac:dyDescent="0.25">
      <c r="A1324" s="204">
        <f>IF(MOD(COUNT($A$10:A1323),12)=0,A1323+1,A1323)</f>
        <v>110</v>
      </c>
      <c r="B1324" s="218">
        <f t="shared" si="242"/>
        <v>7</v>
      </c>
      <c r="C1324" s="218">
        <f t="shared" si="243"/>
        <v>1</v>
      </c>
      <c r="D1324" s="208">
        <f>IF(MOD(COUNT($D$10:D1323),6)=0,D1323+1,D1323)</f>
        <v>220</v>
      </c>
      <c r="E1324" s="208">
        <f>IF(MOD(COUNT($E$10:E1323),3)=0,E1323+1,E1323)</f>
        <v>439</v>
      </c>
      <c r="F1324" s="208">
        <f>IF(MOD(COUNT($F$10:F1323),1)=0,F1323+1,F1323)</f>
        <v>1315</v>
      </c>
      <c r="G1324" s="204">
        <f>IFERROR(IF(C1324=1,VLOOKUP(A1324,Output!$A$27:$AB$137,28,FALSE)/AnnuityMode,0),0)</f>
        <v>0</v>
      </c>
      <c r="H1324" s="220">
        <f>IFERROR(IF(AND(MIN(A1324&gt;25,Age+A1324&gt;=85),B1324=12),VLOOKUP(A1324,Output!$A$27:$AE$137,31,FALSE),0),0)</f>
        <v>0</v>
      </c>
      <c r="I1324" s="221">
        <f>IFERROR(IF(AND(MIN(A1324&gt;15,A1324+Age&gt;=70),C1324=1),VLOOKUP(A1324,Output!$A$27:$AF$137,32,FALSE)*VLOOKUP('SV calc_ignore'!A1324,Output!$A$27:$AG$137,33,FALSE)/IF(AnnuityMode=2,2,IF(AnnuityMode=4,4,IF(AnnuityMode=12,12,1))),0),0)</f>
        <v>0</v>
      </c>
      <c r="J1324" s="227">
        <f t="shared" si="244"/>
        <v>0</v>
      </c>
      <c r="K1324" s="213">
        <f t="shared" si="251"/>
        <v>0</v>
      </c>
      <c r="L1324" s="209">
        <f t="shared" si="245"/>
        <v>0</v>
      </c>
      <c r="M1324" s="214">
        <f t="shared" si="246"/>
        <v>0</v>
      </c>
      <c r="N1324" s="211">
        <f t="shared" si="247"/>
        <v>0</v>
      </c>
      <c r="O1324" s="194">
        <f t="shared" si="248"/>
        <v>0</v>
      </c>
      <c r="P1324" s="212">
        <f t="shared" si="249"/>
        <v>0</v>
      </c>
      <c r="Q1324">
        <f t="shared" si="253"/>
        <v>0</v>
      </c>
      <c r="X1324" s="216">
        <f t="shared" si="252"/>
        <v>109</v>
      </c>
      <c r="Y1324">
        <f t="shared" si="250"/>
        <v>0</v>
      </c>
    </row>
    <row r="1325" spans="1:25" ht="13.5" thickBot="1" x14ac:dyDescent="0.25">
      <c r="A1325" s="204">
        <f>IF(MOD(COUNT($A$10:A1324),12)=0,A1324+1,A1324)</f>
        <v>110</v>
      </c>
      <c r="B1325" s="218">
        <f t="shared" si="242"/>
        <v>8</v>
      </c>
      <c r="C1325" s="218">
        <f t="shared" si="243"/>
        <v>1</v>
      </c>
      <c r="D1325" s="208">
        <f>IF(MOD(COUNT($D$10:D1324),6)=0,D1324+1,D1324)</f>
        <v>220</v>
      </c>
      <c r="E1325" s="208">
        <f>IF(MOD(COUNT($E$10:E1324),3)=0,E1324+1,E1324)</f>
        <v>439</v>
      </c>
      <c r="F1325" s="208">
        <f>IF(MOD(COUNT($F$10:F1324),1)=0,F1324+1,F1324)</f>
        <v>1316</v>
      </c>
      <c r="G1325" s="204">
        <f>IFERROR(IF(C1325=1,VLOOKUP(A1325,Output!$A$27:$AB$137,28,FALSE)/AnnuityMode,0),0)</f>
        <v>0</v>
      </c>
      <c r="H1325" s="220">
        <f>IFERROR(IF(AND(MIN(A1325&gt;25,Age+A1325&gt;=85),B1325=12),VLOOKUP(A1325,Output!$A$27:$AE$137,31,FALSE),0),0)</f>
        <v>0</v>
      </c>
      <c r="I1325" s="221">
        <f>IFERROR(IF(AND(MIN(A1325&gt;15,A1325+Age&gt;=70),C1325=1),VLOOKUP(A1325,Output!$A$27:$AF$137,32,FALSE)*VLOOKUP('SV calc_ignore'!A1325,Output!$A$27:$AG$137,33,FALSE)/IF(AnnuityMode=2,2,IF(AnnuityMode=4,4,IF(AnnuityMode=12,12,1))),0),0)</f>
        <v>0</v>
      </c>
      <c r="J1325" s="227">
        <f t="shared" si="244"/>
        <v>0</v>
      </c>
      <c r="K1325" s="213">
        <f t="shared" si="251"/>
        <v>0</v>
      </c>
      <c r="L1325" s="209">
        <f t="shared" si="245"/>
        <v>0</v>
      </c>
      <c r="M1325" s="214">
        <f t="shared" si="246"/>
        <v>0</v>
      </c>
      <c r="N1325" s="211">
        <f t="shared" si="247"/>
        <v>0</v>
      </c>
      <c r="O1325" s="194">
        <f t="shared" si="248"/>
        <v>0</v>
      </c>
      <c r="P1325" s="212">
        <f t="shared" si="249"/>
        <v>0</v>
      </c>
      <c r="Q1325">
        <f t="shared" si="253"/>
        <v>0</v>
      </c>
      <c r="X1325" s="216">
        <f t="shared" si="252"/>
        <v>109</v>
      </c>
      <c r="Y1325">
        <f t="shared" si="250"/>
        <v>0</v>
      </c>
    </row>
    <row r="1326" spans="1:25" ht="13.5" thickBot="1" x14ac:dyDescent="0.25">
      <c r="A1326" s="204">
        <f>IF(MOD(COUNT($A$10:A1325),12)=0,A1325+1,A1325)</f>
        <v>110</v>
      </c>
      <c r="B1326" s="218">
        <f t="shared" si="242"/>
        <v>9</v>
      </c>
      <c r="C1326" s="218">
        <f t="shared" si="243"/>
        <v>1</v>
      </c>
      <c r="D1326" s="208">
        <f>IF(MOD(COUNT($D$10:D1325),6)=0,D1325+1,D1325)</f>
        <v>220</v>
      </c>
      <c r="E1326" s="208">
        <f>IF(MOD(COUNT($E$10:E1325),3)=0,E1325+1,E1325)</f>
        <v>439</v>
      </c>
      <c r="F1326" s="208">
        <f>IF(MOD(COUNT($F$10:F1325),1)=0,F1325+1,F1325)</f>
        <v>1317</v>
      </c>
      <c r="G1326" s="204">
        <f>IFERROR(IF(C1326=1,VLOOKUP(A1326,Output!$A$27:$AB$137,28,FALSE)/AnnuityMode,0),0)</f>
        <v>0</v>
      </c>
      <c r="H1326" s="220">
        <f>IFERROR(IF(AND(MIN(A1326&gt;25,Age+A1326&gt;=85),B1326=12),VLOOKUP(A1326,Output!$A$27:$AE$137,31,FALSE),0),0)</f>
        <v>0</v>
      </c>
      <c r="I1326" s="221">
        <f>IFERROR(IF(AND(MIN(A1326&gt;15,A1326+Age&gt;=70),C1326=1),VLOOKUP(A1326,Output!$A$27:$AF$137,32,FALSE)*VLOOKUP('SV calc_ignore'!A1326,Output!$A$27:$AG$137,33,FALSE)/IF(AnnuityMode=2,2,IF(AnnuityMode=4,4,IF(AnnuityMode=12,12,1))),0),0)</f>
        <v>0</v>
      </c>
      <c r="J1326" s="227">
        <f t="shared" si="244"/>
        <v>0</v>
      </c>
      <c r="K1326" s="213">
        <f t="shared" si="251"/>
        <v>0</v>
      </c>
      <c r="L1326" s="209">
        <f t="shared" si="245"/>
        <v>0</v>
      </c>
      <c r="M1326" s="214">
        <f t="shared" si="246"/>
        <v>0</v>
      </c>
      <c r="N1326" s="211">
        <f t="shared" si="247"/>
        <v>0</v>
      </c>
      <c r="O1326" s="194">
        <f t="shared" si="248"/>
        <v>0</v>
      </c>
      <c r="P1326" s="212">
        <f t="shared" si="249"/>
        <v>0</v>
      </c>
      <c r="Q1326">
        <f t="shared" si="253"/>
        <v>0</v>
      </c>
      <c r="X1326" s="216">
        <f t="shared" si="252"/>
        <v>109</v>
      </c>
      <c r="Y1326">
        <f t="shared" si="250"/>
        <v>0</v>
      </c>
    </row>
    <row r="1327" spans="1:25" ht="13.5" thickBot="1" x14ac:dyDescent="0.25">
      <c r="A1327" s="204">
        <f>IF(MOD(COUNT($A$10:A1326),12)=0,A1326+1,A1326)</f>
        <v>110</v>
      </c>
      <c r="B1327" s="218">
        <f t="shared" si="242"/>
        <v>10</v>
      </c>
      <c r="C1327" s="218">
        <f t="shared" si="243"/>
        <v>1</v>
      </c>
      <c r="D1327" s="208">
        <f>IF(MOD(COUNT($D$10:D1326),6)=0,D1326+1,D1326)</f>
        <v>220</v>
      </c>
      <c r="E1327" s="208">
        <f>IF(MOD(COUNT($E$10:E1326),3)=0,E1326+1,E1326)</f>
        <v>440</v>
      </c>
      <c r="F1327" s="208">
        <f>IF(MOD(COUNT($F$10:F1326),1)=0,F1326+1,F1326)</f>
        <v>1318</v>
      </c>
      <c r="G1327" s="204">
        <f>IFERROR(IF(C1327=1,VLOOKUP(A1327,Output!$A$27:$AB$137,28,FALSE)/AnnuityMode,0),0)</f>
        <v>0</v>
      </c>
      <c r="H1327" s="220">
        <f>IFERROR(IF(AND(MIN(A1327&gt;25,Age+A1327&gt;=85),B1327=12),VLOOKUP(A1327,Output!$A$27:$AE$137,31,FALSE),0),0)</f>
        <v>0</v>
      </c>
      <c r="I1327" s="221">
        <f>IFERROR(IF(AND(MIN(A1327&gt;15,A1327+Age&gt;=70),C1327=1),VLOOKUP(A1327,Output!$A$27:$AF$137,32,FALSE)*VLOOKUP('SV calc_ignore'!A1327,Output!$A$27:$AG$137,33,FALSE)/IF(AnnuityMode=2,2,IF(AnnuityMode=4,4,IF(AnnuityMode=12,12,1))),0),0)</f>
        <v>0</v>
      </c>
      <c r="J1327" s="227">
        <f t="shared" si="244"/>
        <v>0</v>
      </c>
      <c r="K1327" s="213">
        <f t="shared" si="251"/>
        <v>0</v>
      </c>
      <c r="L1327" s="209">
        <f t="shared" si="245"/>
        <v>0</v>
      </c>
      <c r="M1327" s="214">
        <f t="shared" si="246"/>
        <v>0</v>
      </c>
      <c r="N1327" s="211">
        <f t="shared" si="247"/>
        <v>0</v>
      </c>
      <c r="O1327" s="194">
        <f t="shared" si="248"/>
        <v>0</v>
      </c>
      <c r="P1327" s="212">
        <f t="shared" si="249"/>
        <v>0</v>
      </c>
      <c r="Q1327">
        <f t="shared" si="253"/>
        <v>0</v>
      </c>
      <c r="X1327" s="216">
        <f t="shared" si="252"/>
        <v>109</v>
      </c>
      <c r="Y1327">
        <f t="shared" si="250"/>
        <v>0</v>
      </c>
    </row>
    <row r="1328" spans="1:25" ht="13.5" thickBot="1" x14ac:dyDescent="0.25">
      <c r="A1328" s="204">
        <f>IF(MOD(COUNT($A$10:A1327),12)=0,A1327+1,A1327)</f>
        <v>110</v>
      </c>
      <c r="B1328" s="218">
        <f t="shared" si="242"/>
        <v>11</v>
      </c>
      <c r="C1328" s="218">
        <f t="shared" si="243"/>
        <v>1</v>
      </c>
      <c r="D1328" s="208">
        <f>IF(MOD(COUNT($D$10:D1327),6)=0,D1327+1,D1327)</f>
        <v>220</v>
      </c>
      <c r="E1328" s="208">
        <f>IF(MOD(COUNT($E$10:E1327),3)=0,E1327+1,E1327)</f>
        <v>440</v>
      </c>
      <c r="F1328" s="208">
        <f>IF(MOD(COUNT($F$10:F1327),1)=0,F1327+1,F1327)</f>
        <v>1319</v>
      </c>
      <c r="G1328" s="204">
        <f>IFERROR(IF(C1328=1,VLOOKUP(A1328,Output!$A$27:$AB$137,28,FALSE)/AnnuityMode,0),0)</f>
        <v>0</v>
      </c>
      <c r="H1328" s="220">
        <f>IFERROR(IF(AND(MIN(A1328&gt;25,Age+A1328&gt;=85),B1328=12),VLOOKUP(A1328,Output!$A$27:$AE$137,31,FALSE),0),0)</f>
        <v>0</v>
      </c>
      <c r="I1328" s="221">
        <f>IFERROR(IF(AND(MIN(A1328&gt;15,A1328+Age&gt;=70),C1328=1),VLOOKUP(A1328,Output!$A$27:$AF$137,32,FALSE)*VLOOKUP('SV calc_ignore'!A1328,Output!$A$27:$AG$137,33,FALSE)/IF(AnnuityMode=2,2,IF(AnnuityMode=4,4,IF(AnnuityMode=12,12,1))),0),0)</f>
        <v>0</v>
      </c>
      <c r="J1328" s="227">
        <f t="shared" si="244"/>
        <v>0</v>
      </c>
      <c r="K1328" s="213">
        <f t="shared" si="251"/>
        <v>0</v>
      </c>
      <c r="L1328" s="209">
        <f t="shared" si="245"/>
        <v>0</v>
      </c>
      <c r="M1328" s="214">
        <f t="shared" si="246"/>
        <v>0</v>
      </c>
      <c r="N1328" s="211">
        <f t="shared" si="247"/>
        <v>0</v>
      </c>
      <c r="O1328" s="194">
        <f t="shared" si="248"/>
        <v>0</v>
      </c>
      <c r="P1328" s="212">
        <f t="shared" si="249"/>
        <v>0</v>
      </c>
      <c r="Q1328">
        <f t="shared" si="253"/>
        <v>0</v>
      </c>
      <c r="X1328" s="216">
        <f t="shared" si="252"/>
        <v>109</v>
      </c>
      <c r="Y1328">
        <f t="shared" si="250"/>
        <v>0</v>
      </c>
    </row>
    <row r="1329" spans="1:25" ht="13.5" thickBot="1" x14ac:dyDescent="0.25">
      <c r="A1329" s="204">
        <f>IF(MOD(COUNT($A$10:A1328),12)=0,A1328+1,A1328)</f>
        <v>110</v>
      </c>
      <c r="B1329" s="218">
        <f t="shared" si="242"/>
        <v>12</v>
      </c>
      <c r="C1329" s="218">
        <f t="shared" si="243"/>
        <v>1</v>
      </c>
      <c r="D1329" s="208">
        <f>IF(MOD(COUNT($D$10:D1328),6)=0,D1328+1,D1328)</f>
        <v>220</v>
      </c>
      <c r="E1329" s="208">
        <f>IF(MOD(COUNT($E$10:E1328),3)=0,E1328+1,E1328)</f>
        <v>440</v>
      </c>
      <c r="F1329" s="208">
        <f>IF(MOD(COUNT($F$10:F1328),1)=0,F1328+1,F1328)</f>
        <v>1320</v>
      </c>
      <c r="G1329" s="204">
        <f>IFERROR(IF(C1329=1,VLOOKUP(A1329,Output!$A$27:$AB$137,28,FALSE)/AnnuityMode,0),0)</f>
        <v>0</v>
      </c>
      <c r="H1329" s="220">
        <f>IFERROR(IF(AND(MIN(A1329&gt;25,Age+A1329&gt;=85),B1329=12),VLOOKUP(A1329,Output!$A$27:$AE$137,31,FALSE),0),0)</f>
        <v>0</v>
      </c>
      <c r="I1329" s="221">
        <f>IFERROR(IF(AND(MIN(A1329&gt;15,A1329+Age&gt;=70),C1329=1),VLOOKUP(A1329,Output!$A$27:$AF$137,32,FALSE)*VLOOKUP('SV calc_ignore'!A1329,Output!$A$27:$AG$137,33,FALSE)/IF(AnnuityMode=2,2,IF(AnnuityMode=4,4,IF(AnnuityMode=12,12,1))),0),0)</f>
        <v>0</v>
      </c>
      <c r="J1329" s="227">
        <f t="shared" si="244"/>
        <v>0</v>
      </c>
      <c r="K1329" s="213">
        <f t="shared" si="251"/>
        <v>0</v>
      </c>
      <c r="L1329" s="209">
        <f t="shared" si="245"/>
        <v>0</v>
      </c>
      <c r="M1329" s="214">
        <f t="shared" si="246"/>
        <v>0</v>
      </c>
      <c r="N1329" s="211">
        <f t="shared" si="247"/>
        <v>0</v>
      </c>
      <c r="O1329" s="194">
        <f t="shared" si="248"/>
        <v>0</v>
      </c>
      <c r="P1329" s="212">
        <f t="shared" si="249"/>
        <v>0</v>
      </c>
      <c r="Q1329">
        <f t="shared" si="253"/>
        <v>0</v>
      </c>
      <c r="X1329" s="216">
        <f t="shared" si="252"/>
        <v>109</v>
      </c>
      <c r="Y1329">
        <f t="shared" si="250"/>
        <v>0</v>
      </c>
    </row>
    <row r="1330" spans="1:25" ht="13.5" thickBot="1" x14ac:dyDescent="0.25">
      <c r="A1330" s="204">
        <f>IF(MOD(COUNT($A$10:A1329),12)=0,A1329+1,A1329)</f>
        <v>111</v>
      </c>
      <c r="B1330" s="218">
        <f t="shared" si="242"/>
        <v>1</v>
      </c>
      <c r="C1330" s="218">
        <f t="shared" si="243"/>
        <v>1</v>
      </c>
      <c r="D1330" s="208">
        <f>IF(MOD(COUNT($D$10:D1329),6)=0,D1329+1,D1329)</f>
        <v>221</v>
      </c>
      <c r="E1330" s="208">
        <f>IF(MOD(COUNT($E$10:E1329),3)=0,E1329+1,E1329)</f>
        <v>441</v>
      </c>
      <c r="F1330" s="208">
        <f>IF(MOD(COUNT($F$10:F1329),1)=0,F1329+1,F1329)</f>
        <v>1321</v>
      </c>
      <c r="G1330" s="204">
        <f>IFERROR(IF(C1330=1,VLOOKUP(A1330,Output!$A$27:$AB$137,28,FALSE)/AnnuityMode,0),0)</f>
        <v>0</v>
      </c>
      <c r="H1330" s="220">
        <f>IFERROR(IF(AND(MIN(A1330&gt;25,Age+A1330&gt;=85),B1330=12),VLOOKUP(A1330,Output!$A$27:$AE$137,31,FALSE),0),0)</f>
        <v>0</v>
      </c>
      <c r="I1330" s="221">
        <f>IFERROR(IF(AND(MIN(A1330&gt;15,A1330+Age&gt;=70),C1330=1),VLOOKUP(A1330,Output!$A$27:$AF$137,32,FALSE)*VLOOKUP('SV calc_ignore'!A1330,Output!$A$27:$AG$137,33,FALSE)/IF(AnnuityMode=2,2,IF(AnnuityMode=4,4,IF(AnnuityMode=12,12,1))),0),0)</f>
        <v>0</v>
      </c>
      <c r="J1330" s="227">
        <f t="shared" si="244"/>
        <v>0</v>
      </c>
      <c r="K1330" s="213">
        <f t="shared" si="251"/>
        <v>0</v>
      </c>
      <c r="L1330" s="209">
        <f t="shared" si="245"/>
        <v>0</v>
      </c>
      <c r="M1330" s="214">
        <f t="shared" si="246"/>
        <v>0</v>
      </c>
      <c r="N1330" s="211">
        <f t="shared" si="247"/>
        <v>0</v>
      </c>
      <c r="O1330" s="194">
        <f t="shared" si="248"/>
        <v>0</v>
      </c>
      <c r="P1330" s="212">
        <f t="shared" si="249"/>
        <v>0</v>
      </c>
      <c r="Q1330">
        <f t="shared" si="253"/>
        <v>0</v>
      </c>
      <c r="X1330" s="216">
        <f t="shared" si="252"/>
        <v>110</v>
      </c>
      <c r="Y1330">
        <f t="shared" si="250"/>
        <v>0</v>
      </c>
    </row>
    <row r="1331" spans="1:25" ht="13.5" thickBot="1" x14ac:dyDescent="0.25">
      <c r="A1331" s="204">
        <f>IF(MOD(COUNT($A$10:A1330),12)=0,A1330+1,A1330)</f>
        <v>111</v>
      </c>
      <c r="B1331" s="218">
        <f t="shared" si="242"/>
        <v>2</v>
      </c>
      <c r="C1331" s="218">
        <f t="shared" si="243"/>
        <v>1</v>
      </c>
      <c r="D1331" s="208">
        <f>IF(MOD(COUNT($D$10:D1330),6)=0,D1330+1,D1330)</f>
        <v>221</v>
      </c>
      <c r="E1331" s="208">
        <f>IF(MOD(COUNT($E$10:E1330),3)=0,E1330+1,E1330)</f>
        <v>441</v>
      </c>
      <c r="F1331" s="208">
        <f>IF(MOD(COUNT($F$10:F1330),1)=0,F1330+1,F1330)</f>
        <v>1322</v>
      </c>
      <c r="G1331" s="204">
        <f>IFERROR(IF(C1331=1,VLOOKUP(A1331,Output!$A$27:$AB$137,28,FALSE)/AnnuityMode,0),0)</f>
        <v>0</v>
      </c>
      <c r="H1331" s="220">
        <f>IFERROR(IF(AND(MIN(A1331&gt;25,Age+A1331&gt;=85),B1331=12),VLOOKUP(A1331,Output!$A$27:$AE$137,31,FALSE),0),0)</f>
        <v>0</v>
      </c>
      <c r="I1331" s="221">
        <f>IFERROR(IF(AND(MIN(A1331&gt;15,A1331+Age&gt;=70),C1331=1),VLOOKUP(A1331,Output!$A$27:$AF$137,32,FALSE)*VLOOKUP('SV calc_ignore'!A1331,Output!$A$27:$AG$137,33,FALSE)/IF(AnnuityMode=2,2,IF(AnnuityMode=4,4,IF(AnnuityMode=12,12,1))),0),0)</f>
        <v>0</v>
      </c>
      <c r="J1331" s="227">
        <f t="shared" si="244"/>
        <v>0</v>
      </c>
      <c r="K1331" s="213">
        <f t="shared" si="251"/>
        <v>0</v>
      </c>
      <c r="L1331" s="209">
        <f t="shared" si="245"/>
        <v>0</v>
      </c>
      <c r="M1331" s="214">
        <f t="shared" si="246"/>
        <v>0</v>
      </c>
      <c r="N1331" s="211">
        <f t="shared" si="247"/>
        <v>0</v>
      </c>
      <c r="O1331" s="194">
        <f t="shared" si="248"/>
        <v>0</v>
      </c>
      <c r="P1331" s="212">
        <f t="shared" si="249"/>
        <v>0</v>
      </c>
      <c r="Q1331">
        <f t="shared" si="253"/>
        <v>0</v>
      </c>
      <c r="X1331" s="216">
        <f t="shared" si="252"/>
        <v>110</v>
      </c>
      <c r="Y1331">
        <f t="shared" si="250"/>
        <v>0</v>
      </c>
    </row>
    <row r="1332" spans="1:25" ht="13.5" thickBot="1" x14ac:dyDescent="0.25">
      <c r="A1332" s="204">
        <f>IF(MOD(COUNT($A$10:A1331),12)=0,A1331+1,A1331)</f>
        <v>111</v>
      </c>
      <c r="B1332" s="218">
        <f t="shared" si="242"/>
        <v>3</v>
      </c>
      <c r="C1332" s="218">
        <f t="shared" si="243"/>
        <v>1</v>
      </c>
      <c r="D1332" s="208">
        <f>IF(MOD(COUNT($D$10:D1331),6)=0,D1331+1,D1331)</f>
        <v>221</v>
      </c>
      <c r="E1332" s="208">
        <f>IF(MOD(COUNT($E$10:E1331),3)=0,E1331+1,E1331)</f>
        <v>441</v>
      </c>
      <c r="F1332" s="208">
        <f>IF(MOD(COUNT($F$10:F1331),1)=0,F1331+1,F1331)</f>
        <v>1323</v>
      </c>
      <c r="G1332" s="204">
        <f>IFERROR(IF(C1332=1,VLOOKUP(A1332,Output!$A$27:$AB$137,28,FALSE)/AnnuityMode,0),0)</f>
        <v>0</v>
      </c>
      <c r="H1332" s="220">
        <f>IFERROR(IF(AND(MIN(A1332&gt;25,Age+A1332&gt;=85),B1332=12),VLOOKUP(A1332,Output!$A$27:$AE$137,31,FALSE),0),0)</f>
        <v>0</v>
      </c>
      <c r="I1332" s="221">
        <f>IFERROR(IF(AND(MIN(A1332&gt;15,A1332+Age&gt;=70),C1332=1),VLOOKUP(A1332,Output!$A$27:$AF$137,32,FALSE)*VLOOKUP('SV calc_ignore'!A1332,Output!$A$27:$AG$137,33,FALSE)/IF(AnnuityMode=2,2,IF(AnnuityMode=4,4,IF(AnnuityMode=12,12,1))),0),0)</f>
        <v>0</v>
      </c>
      <c r="J1332" s="227">
        <f t="shared" si="244"/>
        <v>0</v>
      </c>
      <c r="K1332" s="213">
        <f t="shared" si="251"/>
        <v>0</v>
      </c>
      <c r="L1332" s="209">
        <f t="shared" si="245"/>
        <v>0</v>
      </c>
      <c r="M1332" s="214">
        <f t="shared" si="246"/>
        <v>0</v>
      </c>
      <c r="N1332" s="211">
        <f t="shared" si="247"/>
        <v>0</v>
      </c>
      <c r="O1332" s="194">
        <f t="shared" si="248"/>
        <v>0</v>
      </c>
      <c r="P1332" s="212">
        <f t="shared" si="249"/>
        <v>0</v>
      </c>
      <c r="Q1332">
        <f t="shared" si="253"/>
        <v>0</v>
      </c>
      <c r="X1332" s="216">
        <f t="shared" si="252"/>
        <v>110</v>
      </c>
      <c r="Y1332">
        <f t="shared" si="250"/>
        <v>0</v>
      </c>
    </row>
    <row r="1333" spans="1:25" ht="13.5" thickBot="1" x14ac:dyDescent="0.25">
      <c r="A1333" s="204">
        <f>IF(MOD(COUNT($A$10:A1332),12)=0,A1332+1,A1332)</f>
        <v>111</v>
      </c>
      <c r="B1333" s="218">
        <f t="shared" si="242"/>
        <v>4</v>
      </c>
      <c r="C1333" s="218">
        <f t="shared" si="243"/>
        <v>1</v>
      </c>
      <c r="D1333" s="208">
        <f>IF(MOD(COUNT($D$10:D1332),6)=0,D1332+1,D1332)</f>
        <v>221</v>
      </c>
      <c r="E1333" s="208">
        <f>IF(MOD(COUNT($E$10:E1332),3)=0,E1332+1,E1332)</f>
        <v>442</v>
      </c>
      <c r="F1333" s="208">
        <f>IF(MOD(COUNT($F$10:F1332),1)=0,F1332+1,F1332)</f>
        <v>1324</v>
      </c>
      <c r="G1333" s="204">
        <f>IFERROR(IF(C1333=1,VLOOKUP(A1333,Output!$A$27:$AB$137,28,FALSE)/AnnuityMode,0),0)</f>
        <v>0</v>
      </c>
      <c r="H1333" s="220">
        <f>IFERROR(IF(AND(MIN(A1333&gt;25,Age+A1333&gt;=85),B1333=12),VLOOKUP(A1333,Output!$A$27:$AE$137,31,FALSE),0),0)</f>
        <v>0</v>
      </c>
      <c r="I1333" s="221">
        <f>IFERROR(IF(AND(MIN(A1333&gt;15,A1333+Age&gt;=70),C1333=1),VLOOKUP(A1333,Output!$A$27:$AF$137,32,FALSE)*VLOOKUP('SV calc_ignore'!A1333,Output!$A$27:$AG$137,33,FALSE)/IF(AnnuityMode=2,2,IF(AnnuityMode=4,4,IF(AnnuityMode=12,12,1))),0),0)</f>
        <v>0</v>
      </c>
      <c r="J1333" s="227">
        <f t="shared" si="244"/>
        <v>0</v>
      </c>
      <c r="K1333" s="213">
        <f t="shared" si="251"/>
        <v>0</v>
      </c>
      <c r="L1333" s="209">
        <f t="shared" si="245"/>
        <v>0</v>
      </c>
      <c r="M1333" s="214">
        <f t="shared" si="246"/>
        <v>0</v>
      </c>
      <c r="N1333" s="211">
        <f t="shared" si="247"/>
        <v>0</v>
      </c>
      <c r="O1333" s="194">
        <f t="shared" si="248"/>
        <v>0</v>
      </c>
      <c r="P1333" s="212">
        <f t="shared" si="249"/>
        <v>0</v>
      </c>
      <c r="Q1333">
        <f t="shared" si="253"/>
        <v>0</v>
      </c>
      <c r="X1333" s="216">
        <f t="shared" si="252"/>
        <v>110</v>
      </c>
      <c r="Y1333">
        <f t="shared" si="250"/>
        <v>0</v>
      </c>
    </row>
    <row r="1334" spans="1:25" ht="13.5" thickBot="1" x14ac:dyDescent="0.25">
      <c r="A1334" s="204">
        <f>IF(MOD(COUNT($A$10:A1333),12)=0,A1333+1,A1333)</f>
        <v>111</v>
      </c>
      <c r="B1334" s="218">
        <f t="shared" si="242"/>
        <v>5</v>
      </c>
      <c r="C1334" s="218">
        <f t="shared" si="243"/>
        <v>1</v>
      </c>
      <c r="D1334" s="208">
        <f>IF(MOD(COUNT($D$10:D1333),6)=0,D1333+1,D1333)</f>
        <v>221</v>
      </c>
      <c r="E1334" s="208">
        <f>IF(MOD(COUNT($E$10:E1333),3)=0,E1333+1,E1333)</f>
        <v>442</v>
      </c>
      <c r="F1334" s="208">
        <f>IF(MOD(COUNT($F$10:F1333),1)=0,F1333+1,F1333)</f>
        <v>1325</v>
      </c>
      <c r="G1334" s="204">
        <f>IFERROR(IF(C1334=1,VLOOKUP(A1334,Output!$A$27:$AB$137,28,FALSE)/AnnuityMode,0),0)</f>
        <v>0</v>
      </c>
      <c r="H1334" s="220">
        <f>IFERROR(IF(AND(MIN(A1334&gt;25,Age+A1334&gt;=85),B1334=12),VLOOKUP(A1334,Output!$A$27:$AE$137,31,FALSE),0),0)</f>
        <v>0</v>
      </c>
      <c r="I1334" s="221">
        <f>IFERROR(IF(AND(MIN(A1334&gt;15,A1334+Age&gt;=70),C1334=1),VLOOKUP(A1334,Output!$A$27:$AF$137,32,FALSE)*VLOOKUP('SV calc_ignore'!A1334,Output!$A$27:$AG$137,33,FALSE)/IF(AnnuityMode=2,2,IF(AnnuityMode=4,4,IF(AnnuityMode=12,12,1))),0),0)</f>
        <v>0</v>
      </c>
      <c r="J1334" s="227">
        <f t="shared" si="244"/>
        <v>0</v>
      </c>
      <c r="K1334" s="213">
        <f t="shared" si="251"/>
        <v>0</v>
      </c>
      <c r="L1334" s="209">
        <f t="shared" si="245"/>
        <v>0</v>
      </c>
      <c r="M1334" s="214">
        <f t="shared" si="246"/>
        <v>0</v>
      </c>
      <c r="N1334" s="211">
        <f t="shared" si="247"/>
        <v>0</v>
      </c>
      <c r="O1334" s="194">
        <f t="shared" si="248"/>
        <v>0</v>
      </c>
      <c r="P1334" s="212">
        <f t="shared" si="249"/>
        <v>0</v>
      </c>
      <c r="Q1334">
        <f t="shared" si="253"/>
        <v>0</v>
      </c>
      <c r="X1334" s="216">
        <f t="shared" si="252"/>
        <v>110</v>
      </c>
      <c r="Y1334">
        <f t="shared" si="250"/>
        <v>0</v>
      </c>
    </row>
    <row r="1335" spans="1:25" ht="13.5" thickBot="1" x14ac:dyDescent="0.25">
      <c r="A1335" s="204">
        <f>IF(MOD(COUNT($A$10:A1334),12)=0,A1334+1,A1334)</f>
        <v>111</v>
      </c>
      <c r="B1335" s="218">
        <f t="shared" si="242"/>
        <v>6</v>
      </c>
      <c r="C1335" s="218">
        <f t="shared" si="243"/>
        <v>1</v>
      </c>
      <c r="D1335" s="208">
        <f>IF(MOD(COUNT($D$10:D1334),6)=0,D1334+1,D1334)</f>
        <v>221</v>
      </c>
      <c r="E1335" s="208">
        <f>IF(MOD(COUNT($E$10:E1334),3)=0,E1334+1,E1334)</f>
        <v>442</v>
      </c>
      <c r="F1335" s="208">
        <f>IF(MOD(COUNT($F$10:F1334),1)=0,F1334+1,F1334)</f>
        <v>1326</v>
      </c>
      <c r="G1335" s="204">
        <f>IFERROR(IF(C1335=1,VLOOKUP(A1335,Output!$A$27:$AB$137,28,FALSE)/AnnuityMode,0),0)</f>
        <v>0</v>
      </c>
      <c r="H1335" s="220">
        <f>IFERROR(IF(AND(MIN(A1335&gt;25,Age+A1335&gt;=85),B1335=12),VLOOKUP(A1335,Output!$A$27:$AE$137,31,FALSE),0),0)</f>
        <v>0</v>
      </c>
      <c r="I1335" s="221">
        <f>IFERROR(IF(AND(MIN(A1335&gt;15,A1335+Age&gt;=70),C1335=1),VLOOKUP(A1335,Output!$A$27:$AF$137,32,FALSE)*VLOOKUP('SV calc_ignore'!A1335,Output!$A$27:$AG$137,33,FALSE)/IF(AnnuityMode=2,2,IF(AnnuityMode=4,4,IF(AnnuityMode=12,12,1))),0),0)</f>
        <v>0</v>
      </c>
      <c r="J1335" s="227">
        <f t="shared" si="244"/>
        <v>0</v>
      </c>
      <c r="K1335" s="213">
        <f t="shared" si="251"/>
        <v>0</v>
      </c>
      <c r="L1335" s="209">
        <f t="shared" si="245"/>
        <v>0</v>
      </c>
      <c r="M1335" s="214">
        <f t="shared" si="246"/>
        <v>0</v>
      </c>
      <c r="N1335" s="211">
        <f t="shared" si="247"/>
        <v>0</v>
      </c>
      <c r="O1335" s="194">
        <f t="shared" si="248"/>
        <v>0</v>
      </c>
      <c r="P1335" s="212">
        <f t="shared" si="249"/>
        <v>0</v>
      </c>
      <c r="Q1335">
        <f t="shared" si="253"/>
        <v>0</v>
      </c>
      <c r="X1335" s="216">
        <f t="shared" si="252"/>
        <v>110</v>
      </c>
      <c r="Y1335">
        <f t="shared" si="250"/>
        <v>0</v>
      </c>
    </row>
    <row r="1336" spans="1:25" ht="13.5" thickBot="1" x14ac:dyDescent="0.25">
      <c r="A1336" s="204">
        <f>IF(MOD(COUNT($A$10:A1335),12)=0,A1335+1,A1335)</f>
        <v>111</v>
      </c>
      <c r="B1336" s="218">
        <f t="shared" si="242"/>
        <v>7</v>
      </c>
      <c r="C1336" s="218">
        <f t="shared" si="243"/>
        <v>1</v>
      </c>
      <c r="D1336" s="208">
        <f>IF(MOD(COUNT($D$10:D1335),6)=0,D1335+1,D1335)</f>
        <v>222</v>
      </c>
      <c r="E1336" s="208">
        <f>IF(MOD(COUNT($E$10:E1335),3)=0,E1335+1,E1335)</f>
        <v>443</v>
      </c>
      <c r="F1336" s="208">
        <f>IF(MOD(COUNT($F$10:F1335),1)=0,F1335+1,F1335)</f>
        <v>1327</v>
      </c>
      <c r="G1336" s="204">
        <f>IFERROR(IF(C1336=1,VLOOKUP(A1336,Output!$A$27:$AB$137,28,FALSE)/AnnuityMode,0),0)</f>
        <v>0</v>
      </c>
      <c r="H1336" s="220">
        <f>IFERROR(IF(AND(MIN(A1336&gt;25,Age+A1336&gt;=85),B1336=12),VLOOKUP(A1336,Output!$A$27:$AE$137,31,FALSE),0),0)</f>
        <v>0</v>
      </c>
      <c r="I1336" s="221">
        <f>IFERROR(IF(AND(MIN(A1336&gt;15,A1336+Age&gt;=70),C1336=1),VLOOKUP(A1336,Output!$A$27:$AF$137,32,FALSE)*VLOOKUP('SV calc_ignore'!A1336,Output!$A$27:$AG$137,33,FALSE)/IF(AnnuityMode=2,2,IF(AnnuityMode=4,4,IF(AnnuityMode=12,12,1))),0),0)</f>
        <v>0</v>
      </c>
      <c r="J1336" s="227">
        <f t="shared" si="244"/>
        <v>0</v>
      </c>
      <c r="K1336" s="213">
        <f t="shared" si="251"/>
        <v>0</v>
      </c>
      <c r="L1336" s="209">
        <f t="shared" si="245"/>
        <v>0</v>
      </c>
      <c r="M1336" s="214">
        <f t="shared" si="246"/>
        <v>0</v>
      </c>
      <c r="N1336" s="211">
        <f t="shared" si="247"/>
        <v>0</v>
      </c>
      <c r="O1336" s="194">
        <f t="shared" si="248"/>
        <v>0</v>
      </c>
      <c r="P1336" s="212">
        <f t="shared" si="249"/>
        <v>0</v>
      </c>
      <c r="Q1336">
        <f t="shared" si="253"/>
        <v>0</v>
      </c>
      <c r="X1336" s="216">
        <f t="shared" si="252"/>
        <v>110</v>
      </c>
      <c r="Y1336">
        <f t="shared" si="250"/>
        <v>0</v>
      </c>
    </row>
    <row r="1337" spans="1:25" ht="13.5" thickBot="1" x14ac:dyDescent="0.25">
      <c r="A1337" s="204">
        <f>IF(MOD(COUNT($A$10:A1336),12)=0,A1336+1,A1336)</f>
        <v>111</v>
      </c>
      <c r="B1337" s="218">
        <f t="shared" si="242"/>
        <v>8</v>
      </c>
      <c r="C1337" s="218">
        <f t="shared" si="243"/>
        <v>1</v>
      </c>
      <c r="D1337" s="208">
        <f>IF(MOD(COUNT($D$10:D1336),6)=0,D1336+1,D1336)</f>
        <v>222</v>
      </c>
      <c r="E1337" s="208">
        <f>IF(MOD(COUNT($E$10:E1336),3)=0,E1336+1,E1336)</f>
        <v>443</v>
      </c>
      <c r="F1337" s="208">
        <f>IF(MOD(COUNT($F$10:F1336),1)=0,F1336+1,F1336)</f>
        <v>1328</v>
      </c>
      <c r="G1337" s="204">
        <f>IFERROR(IF(C1337=1,VLOOKUP(A1337,Output!$A$27:$AB$137,28,FALSE)/AnnuityMode,0),0)</f>
        <v>0</v>
      </c>
      <c r="H1337" s="220">
        <f>IFERROR(IF(AND(MIN(A1337&gt;25,Age+A1337&gt;=85),B1337=12),VLOOKUP(A1337,Output!$A$27:$AE$137,31,FALSE),0),0)</f>
        <v>0</v>
      </c>
      <c r="I1337" s="221">
        <f>IFERROR(IF(AND(MIN(A1337&gt;15,A1337+Age&gt;=70),C1337=1),VLOOKUP(A1337,Output!$A$27:$AF$137,32,FALSE)*VLOOKUP('SV calc_ignore'!A1337,Output!$A$27:$AG$137,33,FALSE)/IF(AnnuityMode=2,2,IF(AnnuityMode=4,4,IF(AnnuityMode=12,12,1))),0),0)</f>
        <v>0</v>
      </c>
      <c r="J1337" s="227">
        <f t="shared" si="244"/>
        <v>0</v>
      </c>
      <c r="K1337" s="213">
        <f t="shared" si="251"/>
        <v>0</v>
      </c>
      <c r="L1337" s="209">
        <f t="shared" si="245"/>
        <v>0</v>
      </c>
      <c r="M1337" s="214">
        <f t="shared" si="246"/>
        <v>0</v>
      </c>
      <c r="N1337" s="211">
        <f t="shared" si="247"/>
        <v>0</v>
      </c>
      <c r="O1337" s="194">
        <f t="shared" si="248"/>
        <v>0</v>
      </c>
      <c r="P1337" s="212">
        <f t="shared" si="249"/>
        <v>0</v>
      </c>
      <c r="Q1337">
        <f t="shared" si="253"/>
        <v>0</v>
      </c>
      <c r="X1337" s="216">
        <f t="shared" si="252"/>
        <v>110</v>
      </c>
      <c r="Y1337">
        <f t="shared" si="250"/>
        <v>0</v>
      </c>
    </row>
    <row r="1338" spans="1:25" ht="13.5" thickBot="1" x14ac:dyDescent="0.25">
      <c r="A1338" s="204">
        <f>IF(MOD(COUNT($A$10:A1337),12)=0,A1337+1,A1337)</f>
        <v>111</v>
      </c>
      <c r="B1338" s="218">
        <f t="shared" si="242"/>
        <v>9</v>
      </c>
      <c r="C1338" s="218">
        <f t="shared" si="243"/>
        <v>1</v>
      </c>
      <c r="D1338" s="208">
        <f>IF(MOD(COUNT($D$10:D1337),6)=0,D1337+1,D1337)</f>
        <v>222</v>
      </c>
      <c r="E1338" s="208">
        <f>IF(MOD(COUNT($E$10:E1337),3)=0,E1337+1,E1337)</f>
        <v>443</v>
      </c>
      <c r="F1338" s="208">
        <f>IF(MOD(COUNT($F$10:F1337),1)=0,F1337+1,F1337)</f>
        <v>1329</v>
      </c>
      <c r="G1338" s="204">
        <f>IFERROR(IF(C1338=1,VLOOKUP(A1338,Output!$A$27:$AB$137,28,FALSE)/AnnuityMode,0),0)</f>
        <v>0</v>
      </c>
      <c r="H1338" s="220">
        <f>IFERROR(IF(AND(MIN(A1338&gt;25,Age+A1338&gt;=85),B1338=12),VLOOKUP(A1338,Output!$A$27:$AE$137,31,FALSE),0),0)</f>
        <v>0</v>
      </c>
      <c r="I1338" s="221">
        <f>IFERROR(IF(AND(MIN(A1338&gt;15,A1338+Age&gt;=70),C1338=1),VLOOKUP(A1338,Output!$A$27:$AF$137,32,FALSE)*VLOOKUP('SV calc_ignore'!A1338,Output!$A$27:$AG$137,33,FALSE)/IF(AnnuityMode=2,2,IF(AnnuityMode=4,4,IF(AnnuityMode=12,12,1))),0),0)</f>
        <v>0</v>
      </c>
      <c r="J1338" s="227">
        <f t="shared" si="244"/>
        <v>0</v>
      </c>
      <c r="K1338" s="213">
        <f t="shared" si="251"/>
        <v>0</v>
      </c>
      <c r="L1338" s="209">
        <f t="shared" si="245"/>
        <v>0</v>
      </c>
      <c r="M1338" s="214">
        <f t="shared" si="246"/>
        <v>0</v>
      </c>
      <c r="N1338" s="211">
        <f t="shared" si="247"/>
        <v>0</v>
      </c>
      <c r="O1338" s="194">
        <f t="shared" si="248"/>
        <v>0</v>
      </c>
      <c r="P1338" s="212">
        <f t="shared" si="249"/>
        <v>0</v>
      </c>
      <c r="Q1338">
        <f t="shared" si="253"/>
        <v>0</v>
      </c>
      <c r="X1338" s="216">
        <f t="shared" si="252"/>
        <v>110</v>
      </c>
      <c r="Y1338">
        <f t="shared" si="250"/>
        <v>0</v>
      </c>
    </row>
    <row r="1339" spans="1:25" ht="13.5" thickBot="1" x14ac:dyDescent="0.25">
      <c r="A1339" s="204">
        <f>IF(MOD(COUNT($A$10:A1338),12)=0,A1338+1,A1338)</f>
        <v>111</v>
      </c>
      <c r="B1339" s="218">
        <f t="shared" si="242"/>
        <v>10</v>
      </c>
      <c r="C1339" s="218">
        <f t="shared" si="243"/>
        <v>1</v>
      </c>
      <c r="D1339" s="208">
        <f>IF(MOD(COUNT($D$10:D1338),6)=0,D1338+1,D1338)</f>
        <v>222</v>
      </c>
      <c r="E1339" s="208">
        <f>IF(MOD(COUNT($E$10:E1338),3)=0,E1338+1,E1338)</f>
        <v>444</v>
      </c>
      <c r="F1339" s="208">
        <f>IF(MOD(COUNT($F$10:F1338),1)=0,F1338+1,F1338)</f>
        <v>1330</v>
      </c>
      <c r="G1339" s="204">
        <f>IFERROR(IF(C1339=1,VLOOKUP(A1339,Output!$A$27:$AB$137,28,FALSE)/AnnuityMode,0),0)</f>
        <v>0</v>
      </c>
      <c r="H1339" s="220">
        <f>IFERROR(IF(AND(MIN(A1339&gt;25,Age+A1339&gt;=85),B1339=12),VLOOKUP(A1339,Output!$A$27:$AE$137,31,FALSE),0),0)</f>
        <v>0</v>
      </c>
      <c r="I1339" s="221">
        <f>IFERROR(IF(AND(MIN(A1339&gt;15,A1339+Age&gt;=70),C1339=1),VLOOKUP(A1339,Output!$A$27:$AF$137,32,FALSE)*VLOOKUP('SV calc_ignore'!A1339,Output!$A$27:$AG$137,33,FALSE)/IF(AnnuityMode=2,2,IF(AnnuityMode=4,4,IF(AnnuityMode=12,12,1))),0),0)</f>
        <v>0</v>
      </c>
      <c r="J1339" s="227">
        <f t="shared" si="244"/>
        <v>0</v>
      </c>
      <c r="K1339" s="213">
        <f t="shared" si="251"/>
        <v>0</v>
      </c>
      <c r="L1339" s="209">
        <f t="shared" si="245"/>
        <v>0</v>
      </c>
      <c r="M1339" s="214">
        <f t="shared" si="246"/>
        <v>0</v>
      </c>
      <c r="N1339" s="211">
        <f t="shared" si="247"/>
        <v>0</v>
      </c>
      <c r="O1339" s="194">
        <f t="shared" si="248"/>
        <v>0</v>
      </c>
      <c r="P1339" s="212">
        <f t="shared" si="249"/>
        <v>0</v>
      </c>
      <c r="Q1339">
        <f t="shared" si="253"/>
        <v>0</v>
      </c>
      <c r="X1339" s="216">
        <f t="shared" si="252"/>
        <v>110</v>
      </c>
      <c r="Y1339">
        <f t="shared" si="250"/>
        <v>0</v>
      </c>
    </row>
    <row r="1340" spans="1:25" ht="13.5" thickBot="1" x14ac:dyDescent="0.25">
      <c r="A1340" s="204">
        <f>IF(MOD(COUNT($A$10:A1339),12)=0,A1339+1,A1339)</f>
        <v>111</v>
      </c>
      <c r="B1340" s="218">
        <f t="shared" si="242"/>
        <v>11</v>
      </c>
      <c r="C1340" s="218">
        <f t="shared" si="243"/>
        <v>1</v>
      </c>
      <c r="D1340" s="208">
        <f>IF(MOD(COUNT($D$10:D1339),6)=0,D1339+1,D1339)</f>
        <v>222</v>
      </c>
      <c r="E1340" s="208">
        <f>IF(MOD(COUNT($E$10:E1339),3)=0,E1339+1,E1339)</f>
        <v>444</v>
      </c>
      <c r="F1340" s="208">
        <f>IF(MOD(COUNT($F$10:F1339),1)=0,F1339+1,F1339)</f>
        <v>1331</v>
      </c>
      <c r="G1340" s="204">
        <f>IFERROR(IF(C1340=1,VLOOKUP(A1340,Output!$A$27:$AB$137,28,FALSE)/AnnuityMode,0),0)</f>
        <v>0</v>
      </c>
      <c r="H1340" s="220">
        <f>IFERROR(IF(AND(MIN(A1340&gt;25,Age+A1340&gt;=85),B1340=12),VLOOKUP(A1340,Output!$A$27:$AE$137,31,FALSE),0),0)</f>
        <v>0</v>
      </c>
      <c r="I1340" s="221">
        <f>IFERROR(IF(AND(MIN(A1340&gt;15,A1340+Age&gt;=70),C1340=1),VLOOKUP(A1340,Output!$A$27:$AF$137,32,FALSE)*VLOOKUP('SV calc_ignore'!A1340,Output!$A$27:$AG$137,33,FALSE)/IF(AnnuityMode=2,2,IF(AnnuityMode=4,4,IF(AnnuityMode=12,12,1))),0),0)</f>
        <v>0</v>
      </c>
      <c r="J1340" s="227">
        <f t="shared" si="244"/>
        <v>0</v>
      </c>
      <c r="K1340" s="213">
        <f t="shared" si="251"/>
        <v>0</v>
      </c>
      <c r="L1340" s="209">
        <f t="shared" si="245"/>
        <v>0</v>
      </c>
      <c r="M1340" s="214">
        <f t="shared" si="246"/>
        <v>0</v>
      </c>
      <c r="N1340" s="211">
        <f t="shared" si="247"/>
        <v>0</v>
      </c>
      <c r="O1340" s="194">
        <f t="shared" si="248"/>
        <v>0</v>
      </c>
      <c r="P1340" s="212">
        <f t="shared" si="249"/>
        <v>0</v>
      </c>
      <c r="Q1340">
        <f t="shared" si="253"/>
        <v>0</v>
      </c>
      <c r="X1340" s="216">
        <f t="shared" si="252"/>
        <v>110</v>
      </c>
      <c r="Y1340">
        <f t="shared" si="250"/>
        <v>0</v>
      </c>
    </row>
    <row r="1341" spans="1:25" ht="13.5" thickBot="1" x14ac:dyDescent="0.25">
      <c r="A1341" s="204">
        <f>IF(MOD(COUNT($A$10:A1340),12)=0,A1340+1,A1340)</f>
        <v>111</v>
      </c>
      <c r="B1341" s="218">
        <f t="shared" si="242"/>
        <v>12</v>
      </c>
      <c r="C1341" s="218">
        <f t="shared" si="243"/>
        <v>1</v>
      </c>
      <c r="D1341" s="208">
        <f>IF(MOD(COUNT($D$10:D1340),6)=0,D1340+1,D1340)</f>
        <v>222</v>
      </c>
      <c r="E1341" s="208">
        <f>IF(MOD(COUNT($E$10:E1340),3)=0,E1340+1,E1340)</f>
        <v>444</v>
      </c>
      <c r="F1341" s="208">
        <f>IF(MOD(COUNT($F$10:F1340),1)=0,F1340+1,F1340)</f>
        <v>1332</v>
      </c>
      <c r="G1341" s="204">
        <f>IFERROR(IF(C1341=1,VLOOKUP(A1341,Output!$A$27:$AB$137,28,FALSE)/AnnuityMode,0),0)</f>
        <v>0</v>
      </c>
      <c r="H1341" s="220">
        <f>IFERROR(IF(AND(MIN(A1341&gt;25,Age+A1341&gt;=85),B1341=12),VLOOKUP(A1341,Output!$A$27:$AE$137,31,FALSE),0),0)</f>
        <v>0</v>
      </c>
      <c r="I1341" s="221">
        <f>IFERROR(IF(AND(MIN(A1341&gt;15,A1341+Age&gt;=70),C1341=1),VLOOKUP(A1341,Output!$A$27:$AF$137,32,FALSE)*VLOOKUP('SV calc_ignore'!A1341,Output!$A$27:$AG$137,33,FALSE)/IF(AnnuityMode=2,2,IF(AnnuityMode=4,4,IF(AnnuityMode=12,12,1))),0),0)</f>
        <v>0</v>
      </c>
      <c r="J1341" s="227">
        <f t="shared" si="244"/>
        <v>0</v>
      </c>
      <c r="K1341" s="213">
        <f t="shared" si="251"/>
        <v>0</v>
      </c>
      <c r="L1341" s="209">
        <f t="shared" si="245"/>
        <v>0</v>
      </c>
      <c r="M1341" s="214">
        <f t="shared" si="246"/>
        <v>0</v>
      </c>
      <c r="N1341" s="211">
        <f t="shared" si="247"/>
        <v>0</v>
      </c>
      <c r="O1341" s="194">
        <f t="shared" si="248"/>
        <v>0</v>
      </c>
      <c r="P1341" s="212">
        <f t="shared" si="249"/>
        <v>0</v>
      </c>
      <c r="Q1341">
        <f t="shared" si="253"/>
        <v>0</v>
      </c>
      <c r="X1341" s="216">
        <f t="shared" si="252"/>
        <v>110</v>
      </c>
      <c r="Y1341">
        <f t="shared" si="250"/>
        <v>0</v>
      </c>
    </row>
    <row r="1342" spans="1:25" x14ac:dyDescent="0.2">
      <c r="Y1342">
        <f t="shared" si="250"/>
        <v>0</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EC210F5927B8649868A70BA6E512BD6" ma:contentTypeVersion="1" ma:contentTypeDescription="Create a new document." ma:contentTypeScope="" ma:versionID="bce126c2f8149913c86274b5ec97a680">
  <xsd:schema xmlns:xsd="http://www.w3.org/2001/XMLSchema" xmlns:p="http://schemas.microsoft.com/office/2006/metadata/properties" xmlns:ns2="e1f88745-90ee-4a5c-bb23-63969db4f3b5" targetNamespace="http://schemas.microsoft.com/office/2006/metadata/properties" ma:root="true" ma:fieldsID="efc016c7a30bd88c503353eb395f4b41" ns2:_="">
    <xsd:import namespace="e1f88745-90ee-4a5c-bb23-63969db4f3b5"/>
    <xsd:element name="properties">
      <xsd:complexType>
        <xsd:sequence>
          <xsd:element name="documentManagement">
            <xsd:complexType>
              <xsd:all>
                <xsd:element ref="ns2:SUPPORTING_x0020_MAIL" minOccurs="0"/>
              </xsd:all>
            </xsd:complexType>
          </xsd:element>
        </xsd:sequence>
      </xsd:complexType>
    </xsd:element>
  </xsd:schema>
  <xsd:schema xmlns:xsd="http://www.w3.org/2001/XMLSchema" xmlns:dms="http://schemas.microsoft.com/office/2006/documentManagement/types" targetNamespace="e1f88745-90ee-4a5c-bb23-63969db4f3b5" elementFormDefault="qualified">
    <xsd:import namespace="http://schemas.microsoft.com/office/2006/documentManagement/types"/>
    <xsd:element name="SUPPORTING_x0020_MAIL" ma:index="8" nillable="true" ma:displayName="SUPPORTING MAIL" ma:internalName="SUPPORTING_x0020_MAIL">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SUPPORTING_x0020_MAIL xmlns="e1f88745-90ee-4a5c-bb23-63969db4f3b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3922CF-5029-433F-BCD5-FDADCABA10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f88745-90ee-4a5c-bb23-63969db4f3b5"/>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F922E469-E303-4E6A-B47F-F677ACAFD4B9}">
  <ds:schemaRefs>
    <ds:schemaRef ds:uri="e1f88745-90ee-4a5c-bb23-63969db4f3b5"/>
    <ds:schemaRef ds:uri="http://schemas.microsoft.com/office/2006/metadata/properties"/>
    <ds:schemaRef ds:uri="http://purl.org/dc/dcmitype/"/>
    <ds:schemaRef ds:uri="http://schemas.microsoft.com/office/2006/documentManagement/types"/>
    <ds:schemaRef ds:uri="http://purl.org/dc/elements/1.1/"/>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B3B2236A-59EE-4ACE-B6B2-836E7B91E6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160</vt:i4>
      </vt:variant>
    </vt:vector>
  </HeadingPairs>
  <TitlesOfParts>
    <vt:vector size="162" baseType="lpstr">
      <vt:lpstr>Annuity Calculator</vt:lpstr>
      <vt:lpstr>Instructions_Annuity to Premium</vt:lpstr>
      <vt:lpstr>'Immediate Annuity'!Age</vt:lpstr>
      <vt:lpstr>Age</vt:lpstr>
      <vt:lpstr>Age_2</vt:lpstr>
      <vt:lpstr>Annuity_Type</vt:lpstr>
      <vt:lpstr>'Immediate Annuity'!AnnuityMode</vt:lpstr>
      <vt:lpstr>AnnuityMode</vt:lpstr>
      <vt:lpstr>AnnuityMode_2</vt:lpstr>
      <vt:lpstr>'Immediate Annuity'!AnnuityOption</vt:lpstr>
      <vt:lpstr>AnnuityOption</vt:lpstr>
      <vt:lpstr>'Immediate Annuity'!Channel</vt:lpstr>
      <vt:lpstr>Channel</vt:lpstr>
      <vt:lpstr>Channel_2</vt:lpstr>
      <vt:lpstr>'Immediate Annuity'!DP</vt:lpstr>
      <vt:lpstr>DP</vt:lpstr>
      <vt:lpstr>DP1_OptA_SP</vt:lpstr>
      <vt:lpstr>DP1_OptB_SP</vt:lpstr>
      <vt:lpstr>DP1_OptF_1</vt:lpstr>
      <vt:lpstr>DP1_OptF_2</vt:lpstr>
      <vt:lpstr>DP1_OptF_3</vt:lpstr>
      <vt:lpstr>DP1_OptG_SP</vt:lpstr>
      <vt:lpstr>DP1_OptH_SP</vt:lpstr>
      <vt:lpstr>DP10_OptA_RP_PPT10</vt:lpstr>
      <vt:lpstr>DP10_OptA_RP_PPT5</vt:lpstr>
      <vt:lpstr>DP10_OptA_RP_PPT6</vt:lpstr>
      <vt:lpstr>DP10_OptA_RP_PPT7</vt:lpstr>
      <vt:lpstr>DP10_OptA_RP_PPT8</vt:lpstr>
      <vt:lpstr>DP10_OptA_RP_PPT9</vt:lpstr>
      <vt:lpstr>DP10_OptA_SP</vt:lpstr>
      <vt:lpstr>DP10_OptB_RP_PPT10</vt:lpstr>
      <vt:lpstr>DP10_OptB_RP_PPT5</vt:lpstr>
      <vt:lpstr>DP10_OptB_RP_PPT6</vt:lpstr>
      <vt:lpstr>DP10_OptB_RP_PPT7</vt:lpstr>
      <vt:lpstr>DP10_OptB_RP_PPT8</vt:lpstr>
      <vt:lpstr>DP10_OptB_RP_PPT9</vt:lpstr>
      <vt:lpstr>DP10_OptB_SP</vt:lpstr>
      <vt:lpstr>DP10_OptF_1</vt:lpstr>
      <vt:lpstr>DP10_OptF_2</vt:lpstr>
      <vt:lpstr>DP10_OptF_3</vt:lpstr>
      <vt:lpstr>DP10_OptG_SP</vt:lpstr>
      <vt:lpstr>DP10_OptH_SP</vt:lpstr>
      <vt:lpstr>DP2_OptA_SP</vt:lpstr>
      <vt:lpstr>DP2_OptB_SP</vt:lpstr>
      <vt:lpstr>DP2_OptF_1</vt:lpstr>
      <vt:lpstr>DP2_OptF_2</vt:lpstr>
      <vt:lpstr>DP2_OptF_3</vt:lpstr>
      <vt:lpstr>DP2_OptG_SP</vt:lpstr>
      <vt:lpstr>DP2_OptH_SP</vt:lpstr>
      <vt:lpstr>DP3_OptA_SP</vt:lpstr>
      <vt:lpstr>DP3_OptB_SP</vt:lpstr>
      <vt:lpstr>DP3_OptF_1</vt:lpstr>
      <vt:lpstr>DP3_OptF_2</vt:lpstr>
      <vt:lpstr>DP3_OptF_3</vt:lpstr>
      <vt:lpstr>DP3_OptG_SP</vt:lpstr>
      <vt:lpstr>DP3_OptH_SP</vt:lpstr>
      <vt:lpstr>DP4_OptA_SP</vt:lpstr>
      <vt:lpstr>DP4_OptB_SP</vt:lpstr>
      <vt:lpstr>DP4_OptF_1</vt:lpstr>
      <vt:lpstr>DP4_OptF_2</vt:lpstr>
      <vt:lpstr>DP4_OptF_3</vt:lpstr>
      <vt:lpstr>DP4_OptG_SP</vt:lpstr>
      <vt:lpstr>DP4_OptH_SP</vt:lpstr>
      <vt:lpstr>DP5_OptA_RP_PPT5</vt:lpstr>
      <vt:lpstr>DP5_OptA_SP</vt:lpstr>
      <vt:lpstr>DP5_OptB_RP_PPT5</vt:lpstr>
      <vt:lpstr>DP5_OptB_SP</vt:lpstr>
      <vt:lpstr>DP5_OptF_1</vt:lpstr>
      <vt:lpstr>DP5_OptF_2</vt:lpstr>
      <vt:lpstr>DP5_OptF_3</vt:lpstr>
      <vt:lpstr>DP5_OptG_SP</vt:lpstr>
      <vt:lpstr>DP5_OptH_SP</vt:lpstr>
      <vt:lpstr>DP6_OptA_RP_PPT5</vt:lpstr>
      <vt:lpstr>DP6_OptA_RP_PPT6</vt:lpstr>
      <vt:lpstr>DP6_OptA_SP</vt:lpstr>
      <vt:lpstr>DP6_OptB_RP_PPT5</vt:lpstr>
      <vt:lpstr>DP6_OptB_RP_PPT6</vt:lpstr>
      <vt:lpstr>DP6_OptB_SP</vt:lpstr>
      <vt:lpstr>DP6_OptF_1</vt:lpstr>
      <vt:lpstr>DP6_OptF_2</vt:lpstr>
      <vt:lpstr>DP6_OptF_3</vt:lpstr>
      <vt:lpstr>DP6_OptG_SP</vt:lpstr>
      <vt:lpstr>DP6_OptH_SP</vt:lpstr>
      <vt:lpstr>DP7_OptA_RP_PPT5</vt:lpstr>
      <vt:lpstr>DP7_OptA_RP_PPT6</vt:lpstr>
      <vt:lpstr>DP7_OptA_RP_PPT7</vt:lpstr>
      <vt:lpstr>DP7_OptA_SP</vt:lpstr>
      <vt:lpstr>DP7_OptB_RP_PPT5</vt:lpstr>
      <vt:lpstr>DP7_OptB_RP_PPT6</vt:lpstr>
      <vt:lpstr>DP7_OptB_RP_PPT7</vt:lpstr>
      <vt:lpstr>DP7_OptB_SP</vt:lpstr>
      <vt:lpstr>DP7_OptF_1</vt:lpstr>
      <vt:lpstr>DP7_OptF_2</vt:lpstr>
      <vt:lpstr>DP7_OptF_3</vt:lpstr>
      <vt:lpstr>DP7_OptG_SP</vt:lpstr>
      <vt:lpstr>DP7_OptH_SP</vt:lpstr>
      <vt:lpstr>DP8_OptA_RP_PPT5</vt:lpstr>
      <vt:lpstr>DP8_OptA_RP_PPT6</vt:lpstr>
      <vt:lpstr>DP8_OptA_RP_PPT7</vt:lpstr>
      <vt:lpstr>DP8_OptA_RP_PPT8</vt:lpstr>
      <vt:lpstr>DP8_OptA_SP</vt:lpstr>
      <vt:lpstr>DP8_OptB_RP_PPT5</vt:lpstr>
      <vt:lpstr>DP8_OptB_RP_PPT6</vt:lpstr>
      <vt:lpstr>DP8_OptB_RP_PPT7</vt:lpstr>
      <vt:lpstr>DP8_OptB_RP_PPT8</vt:lpstr>
      <vt:lpstr>DP8_OptB_SP</vt:lpstr>
      <vt:lpstr>DP8_OptF_1</vt:lpstr>
      <vt:lpstr>DP8_OptF_2</vt:lpstr>
      <vt:lpstr>DP8_OptF_3</vt:lpstr>
      <vt:lpstr>DP8_OptG_SP</vt:lpstr>
      <vt:lpstr>DP8_OptH_SP</vt:lpstr>
      <vt:lpstr>DP9_OptA_RP_PPT5</vt:lpstr>
      <vt:lpstr>DP9_OptA_RP_PPT6</vt:lpstr>
      <vt:lpstr>DP9_OptA_RP_PPT7</vt:lpstr>
      <vt:lpstr>DP9_OptA_RP_PPT8</vt:lpstr>
      <vt:lpstr>DP9_OptA_RP_PPT9</vt:lpstr>
      <vt:lpstr>DP9_OptA_SP</vt:lpstr>
      <vt:lpstr>DP9_OptB_RP_PPT5</vt:lpstr>
      <vt:lpstr>DP9_OptB_RP_PPT6</vt:lpstr>
      <vt:lpstr>DP9_OptB_RP_PPT7</vt:lpstr>
      <vt:lpstr>DP9_OptB_RP_PPT8</vt:lpstr>
      <vt:lpstr>DP9_OptB_RP_PPT9</vt:lpstr>
      <vt:lpstr>DP9_OptB_SP</vt:lpstr>
      <vt:lpstr>DP9_OptF_1</vt:lpstr>
      <vt:lpstr>DP9_OptF_2</vt:lpstr>
      <vt:lpstr>DP9_OptF_3</vt:lpstr>
      <vt:lpstr>DP9_OptG_SP</vt:lpstr>
      <vt:lpstr>DP9_OptH_SP</vt:lpstr>
      <vt:lpstr>Group_prem_list</vt:lpstr>
      <vt:lpstr>'Immediate Annuity'!Imm_Ann_Table</vt:lpstr>
      <vt:lpstr>Imm_Ann_Table</vt:lpstr>
      <vt:lpstr>JLL100_1</vt:lpstr>
      <vt:lpstr>JLL100_2</vt:lpstr>
      <vt:lpstr>JLL100_3</vt:lpstr>
      <vt:lpstr>JLL50_OS_1</vt:lpstr>
      <vt:lpstr>JLL50_OS_2</vt:lpstr>
      <vt:lpstr>JLL50_OS_3</vt:lpstr>
      <vt:lpstr>JLL50_YS_1</vt:lpstr>
      <vt:lpstr>JLL50_YS_2</vt:lpstr>
      <vt:lpstr>JLL50_YS_3</vt:lpstr>
      <vt:lpstr>JLLROC_1</vt:lpstr>
      <vt:lpstr>JLLROC_2</vt:lpstr>
      <vt:lpstr>JLLROC_3</vt:lpstr>
      <vt:lpstr>JLLROC_5</vt:lpstr>
      <vt:lpstr>JLLROC_6</vt:lpstr>
      <vt:lpstr>JLLROC_7</vt:lpstr>
      <vt:lpstr>JLLROC_8</vt:lpstr>
      <vt:lpstr>JLLROC_9</vt:lpstr>
      <vt:lpstr>'Immediate Annuity'!PPT</vt:lpstr>
      <vt:lpstr>PPT</vt:lpstr>
      <vt:lpstr>Premium_Type</vt:lpstr>
      <vt:lpstr>'Immediate Annuity'!PremiumType</vt:lpstr>
      <vt:lpstr>PremiumType</vt:lpstr>
      <vt:lpstr>Output!Print_Area</vt:lpstr>
      <vt:lpstr>PurchasePrice</vt:lpstr>
      <vt:lpstr>'Immediate Annuity'!RP_Def_Ann_Table</vt:lpstr>
      <vt:lpstr>RP_Def_Ann_Table</vt:lpstr>
      <vt:lpstr>'Immediate Annuity'!Select</vt:lpstr>
      <vt:lpstr>Select</vt:lpstr>
      <vt:lpstr>Select_1</vt:lpstr>
      <vt:lpstr>'Immediate Annuity'!SP_Def_Ann_Table</vt:lpstr>
      <vt:lpstr>SP_Def_Ann_Table</vt:lpstr>
    </vt:vector>
  </TitlesOfParts>
  <Company>Allianz Bajaj Life Insurance Company Limited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PENSION GUARANTEE</dc:title>
  <dc:creator>subhas ray</dc:creator>
  <cp:lastModifiedBy>Amit Ranjan Kachap (Corp HR)</cp:lastModifiedBy>
  <cp:lastPrinted>2020-08-28T13:48:29Z</cp:lastPrinted>
  <dcterms:created xsi:type="dcterms:W3CDTF">2007-07-18T10:38:17Z</dcterms:created>
  <dcterms:modified xsi:type="dcterms:W3CDTF">2024-02-13T06:31:11Z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0x010100FEC210F5927B8649868A70BA6E512BD6</vt:lpwstr>
  </property>
</Properties>
</file>